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F65490B1-1AE9-45D9-8156-82E9D2075EA8}" xr6:coauthVersionLast="47" xr6:coauthVersionMax="47" xr10:uidLastSave="{00000000-0000-0000-0000-000000000000}"/>
  <bookViews>
    <workbookView xWindow="0" yWindow="0" windowWidth="25600" windowHeight="15280" xr2:uid="{F2902147-7BD8-4499-9893-730DF8E26E1C}"/>
  </bookViews>
  <sheets>
    <sheet name="README" sheetId="12" r:id="rId1"/>
    <sheet name="Dashboard" sheetId="13" r:id="rId2"/>
    <sheet name="Renegotiation Queue" sheetId="14" r:id="rId3"/>
    <sheet name="Vendor Scorecard" sheetId="15" r:id="rId4"/>
    <sheet name="Validation" sheetId="16" r:id="rId5"/>
    <sheet name="Calc" sheetId="17" r:id="rId6"/>
    <sheet name="Control" sheetId="1" r:id="rId7"/>
    <sheet name="Data_PO" sheetId="2" r:id="rId8"/>
    <sheet name="Data_Erosion" sheetId="3" r:id="rId9"/>
    <sheet name="Data_Queue" sheetId="4" r:id="rId10"/>
    <sheet name="Data_Vendor" sheetId="5" r:id="rId11"/>
    <sheet name="Data_KPI" sheetId="6" r:id="rId12"/>
    <sheet name="Data_Category" sheetId="7" r:id="rId13"/>
    <sheet name="Data_Benchmark" sheetId="8" r:id="rId14"/>
    <sheet name="Data_Targets" sheetId="9" r:id="rId15"/>
    <sheet name="Data_Reject" sheetId="10" r:id="rId16"/>
    <sheet name="Data_DQ" sheetId="11" r:id="rId17"/>
  </sheets>
  <definedNames>
    <definedName name="AsOfDate">Control!$B$5</definedName>
    <definedName name="ExternalData_1" localSheetId="13" hidden="1">Data_Benchmark!$A$1:$E$9</definedName>
    <definedName name="ExternalData_1" localSheetId="12" hidden="1">Data_Category!$A$1:$L$9</definedName>
    <definedName name="ExternalData_1" localSheetId="16" hidden="1">Data_DQ!$A$1:$I$11</definedName>
    <definedName name="ExternalData_1" localSheetId="8" hidden="1">Data_Erosion!$A$1:$AA$186</definedName>
    <definedName name="ExternalData_1" localSheetId="11" hidden="1">Data_KPI!$A$1:$O$26</definedName>
    <definedName name="ExternalData_1" localSheetId="7" hidden="1">Data_PO!$A$1:$AR$6328</definedName>
    <definedName name="ExternalData_1" localSheetId="9" hidden="1">Data_Queue!$A$1:$AH$186</definedName>
    <definedName name="ExternalData_1" localSheetId="15" hidden="1">Data_Reject!$A$1:$C$9</definedName>
    <definedName name="ExternalData_1" localSheetId="14" hidden="1">Data_Targets!$A$1:$F$9</definedName>
    <definedName name="ExternalData_1" localSheetId="10" hidden="1">Data_Vendor!$A$1:$V$37</definedName>
    <definedName name="MaterialThreshold">Control!$B$9</definedName>
    <definedName name="NegotiationsPerBuyer">Control!$B$7</definedName>
    <definedName name="QueueRowsShown">Control!$B$8</definedName>
    <definedName name="SourceFolder">Control!$B$6</definedName>
    <definedName name="WinFrom">Calc!$C$4</definedName>
    <definedName name="WinTo">Calc!$C$5</definedName>
    <definedName name="xlTop5">Calc!$C$46</definedName>
    <definedName name="xlWindowAll">Calc!$C$47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6" i="1" l="1"/>
  <c r="D18" i="16"/>
  <c r="C18" i="16"/>
  <c r="E18" i="16" s="1"/>
  <c r="F18" i="16" s="1"/>
  <c r="D17" i="16"/>
  <c r="C17" i="16"/>
  <c r="E17" i="16" s="1"/>
  <c r="F17" i="16" s="1"/>
  <c r="C16" i="16"/>
  <c r="C15" i="16"/>
  <c r="C14" i="16"/>
  <c r="C13" i="16"/>
  <c r="C12" i="16"/>
  <c r="C11" i="16"/>
  <c r="C10" i="16"/>
  <c r="C9" i="16"/>
  <c r="C8" i="16"/>
  <c r="E8" i="16" s="1"/>
  <c r="F8" i="16" s="1"/>
  <c r="C7" i="16"/>
  <c r="C6" i="16"/>
  <c r="C5" i="16"/>
  <c r="K40" i="15"/>
  <c r="J40" i="15"/>
  <c r="L40" i="15" s="1"/>
  <c r="I40" i="15"/>
  <c r="H40" i="15"/>
  <c r="G40" i="15"/>
  <c r="F40" i="15"/>
  <c r="E40" i="15"/>
  <c r="D40" i="15"/>
  <c r="C40" i="15"/>
  <c r="B40" i="15"/>
  <c r="A40" i="15"/>
  <c r="K39" i="15"/>
  <c r="J39" i="15"/>
  <c r="L39" i="15" s="1"/>
  <c r="I39" i="15"/>
  <c r="H39" i="15"/>
  <c r="G39" i="15"/>
  <c r="F39" i="15"/>
  <c r="E39" i="15"/>
  <c r="D39" i="15"/>
  <c r="C39" i="15"/>
  <c r="B39" i="15"/>
  <c r="A39" i="15"/>
  <c r="K38" i="15"/>
  <c r="J38" i="15"/>
  <c r="L38" i="15" s="1"/>
  <c r="I38" i="15"/>
  <c r="H38" i="15"/>
  <c r="G38" i="15"/>
  <c r="F38" i="15"/>
  <c r="E38" i="15"/>
  <c r="D38" i="15"/>
  <c r="C38" i="15"/>
  <c r="B38" i="15"/>
  <c r="A38" i="15"/>
  <c r="K37" i="15"/>
  <c r="J37" i="15"/>
  <c r="L37" i="15" s="1"/>
  <c r="I37" i="15"/>
  <c r="H37" i="15"/>
  <c r="G37" i="15"/>
  <c r="F37" i="15"/>
  <c r="E37" i="15"/>
  <c r="D37" i="15"/>
  <c r="C37" i="15"/>
  <c r="B37" i="15"/>
  <c r="A37" i="15"/>
  <c r="K36" i="15"/>
  <c r="J36" i="15"/>
  <c r="L36" i="15" s="1"/>
  <c r="I36" i="15"/>
  <c r="H36" i="15"/>
  <c r="G36" i="15"/>
  <c r="F36" i="15"/>
  <c r="E36" i="15"/>
  <c r="D36" i="15"/>
  <c r="C36" i="15"/>
  <c r="B36" i="15"/>
  <c r="A36" i="15"/>
  <c r="K35" i="15"/>
  <c r="J35" i="15"/>
  <c r="L35" i="15" s="1"/>
  <c r="I35" i="15"/>
  <c r="H35" i="15"/>
  <c r="G35" i="15"/>
  <c r="F35" i="15"/>
  <c r="E35" i="15"/>
  <c r="D35" i="15"/>
  <c r="C35" i="15"/>
  <c r="B35" i="15"/>
  <c r="A35" i="15"/>
  <c r="K34" i="15"/>
  <c r="J34" i="15"/>
  <c r="L34" i="15" s="1"/>
  <c r="I34" i="15"/>
  <c r="H34" i="15"/>
  <c r="G34" i="15"/>
  <c r="F34" i="15"/>
  <c r="E34" i="15"/>
  <c r="D34" i="15"/>
  <c r="C34" i="15"/>
  <c r="B34" i="15"/>
  <c r="A34" i="15"/>
  <c r="K33" i="15"/>
  <c r="J33" i="15"/>
  <c r="L33" i="15" s="1"/>
  <c r="I33" i="15"/>
  <c r="H33" i="15"/>
  <c r="G33" i="15"/>
  <c r="F33" i="15"/>
  <c r="E33" i="15"/>
  <c r="D33" i="15"/>
  <c r="C33" i="15"/>
  <c r="B33" i="15"/>
  <c r="A33" i="15"/>
  <c r="K32" i="15"/>
  <c r="J32" i="15"/>
  <c r="L32" i="15" s="1"/>
  <c r="I32" i="15"/>
  <c r="H32" i="15"/>
  <c r="G32" i="15"/>
  <c r="F32" i="15"/>
  <c r="E32" i="15"/>
  <c r="D32" i="15"/>
  <c r="C32" i="15"/>
  <c r="B32" i="15"/>
  <c r="A32" i="15"/>
  <c r="K31" i="15"/>
  <c r="J31" i="15"/>
  <c r="L31" i="15" s="1"/>
  <c r="I31" i="15"/>
  <c r="H31" i="15"/>
  <c r="G31" i="15"/>
  <c r="F31" i="15"/>
  <c r="E31" i="15"/>
  <c r="D31" i="15"/>
  <c r="C31" i="15"/>
  <c r="B31" i="15"/>
  <c r="A31" i="15"/>
  <c r="K30" i="15"/>
  <c r="J30" i="15"/>
  <c r="L30" i="15" s="1"/>
  <c r="I30" i="15"/>
  <c r="H30" i="15"/>
  <c r="G30" i="15"/>
  <c r="F30" i="15"/>
  <c r="E30" i="15"/>
  <c r="D30" i="15"/>
  <c r="C30" i="15"/>
  <c r="B30" i="15"/>
  <c r="A30" i="15"/>
  <c r="K29" i="15"/>
  <c r="J29" i="15"/>
  <c r="L29" i="15" s="1"/>
  <c r="I29" i="15"/>
  <c r="H29" i="15"/>
  <c r="G29" i="15"/>
  <c r="F29" i="15"/>
  <c r="E29" i="15"/>
  <c r="D29" i="15"/>
  <c r="C29" i="15"/>
  <c r="B29" i="15"/>
  <c r="A29" i="15"/>
  <c r="K28" i="15"/>
  <c r="J28" i="15"/>
  <c r="L28" i="15" s="1"/>
  <c r="I28" i="15"/>
  <c r="H28" i="15"/>
  <c r="G28" i="15"/>
  <c r="F28" i="15"/>
  <c r="E28" i="15"/>
  <c r="D28" i="15"/>
  <c r="C28" i="15"/>
  <c r="B28" i="15"/>
  <c r="A28" i="15"/>
  <c r="K27" i="15"/>
  <c r="J27" i="15"/>
  <c r="L27" i="15" s="1"/>
  <c r="I27" i="15"/>
  <c r="H27" i="15"/>
  <c r="G27" i="15"/>
  <c r="F27" i="15"/>
  <c r="E27" i="15"/>
  <c r="D27" i="15"/>
  <c r="C27" i="15"/>
  <c r="B27" i="15"/>
  <c r="A27" i="15"/>
  <c r="K26" i="15"/>
  <c r="J26" i="15"/>
  <c r="L26" i="15" s="1"/>
  <c r="I26" i="15"/>
  <c r="H26" i="15"/>
  <c r="G26" i="15"/>
  <c r="F26" i="15"/>
  <c r="E26" i="15"/>
  <c r="D26" i="15"/>
  <c r="C26" i="15"/>
  <c r="B26" i="15"/>
  <c r="A26" i="15"/>
  <c r="K25" i="15"/>
  <c r="J25" i="15"/>
  <c r="L25" i="15" s="1"/>
  <c r="I25" i="15"/>
  <c r="H25" i="15"/>
  <c r="G25" i="15"/>
  <c r="F25" i="15"/>
  <c r="E25" i="15"/>
  <c r="D25" i="15"/>
  <c r="C25" i="15"/>
  <c r="B25" i="15"/>
  <c r="A25" i="15"/>
  <c r="K24" i="15"/>
  <c r="J24" i="15"/>
  <c r="L24" i="15" s="1"/>
  <c r="I24" i="15"/>
  <c r="H24" i="15"/>
  <c r="G24" i="15"/>
  <c r="F24" i="15"/>
  <c r="E24" i="15"/>
  <c r="D24" i="15"/>
  <c r="C24" i="15"/>
  <c r="B24" i="15"/>
  <c r="A24" i="15"/>
  <c r="K23" i="15"/>
  <c r="J23" i="15"/>
  <c r="L23" i="15" s="1"/>
  <c r="I23" i="15"/>
  <c r="H23" i="15"/>
  <c r="G23" i="15"/>
  <c r="F23" i="15"/>
  <c r="E23" i="15"/>
  <c r="D23" i="15"/>
  <c r="C23" i="15"/>
  <c r="B23" i="15"/>
  <c r="A23" i="15"/>
  <c r="K22" i="15"/>
  <c r="J22" i="15"/>
  <c r="L22" i="15" s="1"/>
  <c r="I22" i="15"/>
  <c r="H22" i="15"/>
  <c r="G22" i="15"/>
  <c r="F22" i="15"/>
  <c r="E22" i="15"/>
  <c r="D22" i="15"/>
  <c r="C22" i="15"/>
  <c r="B22" i="15"/>
  <c r="A22" i="15"/>
  <c r="K21" i="15"/>
  <c r="J21" i="15"/>
  <c r="L21" i="15" s="1"/>
  <c r="I21" i="15"/>
  <c r="H21" i="15"/>
  <c r="G21" i="15"/>
  <c r="F21" i="15"/>
  <c r="E21" i="15"/>
  <c r="D21" i="15"/>
  <c r="C21" i="15"/>
  <c r="B21" i="15"/>
  <c r="A21" i="15"/>
  <c r="K20" i="15"/>
  <c r="J20" i="15"/>
  <c r="L20" i="15" s="1"/>
  <c r="I20" i="15"/>
  <c r="H20" i="15"/>
  <c r="G20" i="15"/>
  <c r="F20" i="15"/>
  <c r="E20" i="15"/>
  <c r="D20" i="15"/>
  <c r="C20" i="15"/>
  <c r="B20" i="15"/>
  <c r="A20" i="15"/>
  <c r="K19" i="15"/>
  <c r="J19" i="15"/>
  <c r="L19" i="15" s="1"/>
  <c r="I19" i="15"/>
  <c r="H19" i="15"/>
  <c r="G19" i="15"/>
  <c r="F19" i="15"/>
  <c r="E19" i="15"/>
  <c r="D19" i="15"/>
  <c r="C19" i="15"/>
  <c r="B19" i="15"/>
  <c r="A19" i="15"/>
  <c r="K18" i="15"/>
  <c r="J18" i="15"/>
  <c r="L18" i="15" s="1"/>
  <c r="I18" i="15"/>
  <c r="H18" i="15"/>
  <c r="G18" i="15"/>
  <c r="F18" i="15"/>
  <c r="E18" i="15"/>
  <c r="D18" i="15"/>
  <c r="C18" i="15"/>
  <c r="B18" i="15"/>
  <c r="A18" i="15"/>
  <c r="K17" i="15"/>
  <c r="J17" i="15"/>
  <c r="L17" i="15" s="1"/>
  <c r="I17" i="15"/>
  <c r="H17" i="15"/>
  <c r="G17" i="15"/>
  <c r="F17" i="15"/>
  <c r="E17" i="15"/>
  <c r="D17" i="15"/>
  <c r="C17" i="15"/>
  <c r="B17" i="15"/>
  <c r="A17" i="15"/>
  <c r="L16" i="15"/>
  <c r="K16" i="15"/>
  <c r="J16" i="15"/>
  <c r="I16" i="15"/>
  <c r="H16" i="15"/>
  <c r="G16" i="15"/>
  <c r="F16" i="15"/>
  <c r="E16" i="15"/>
  <c r="D16" i="15"/>
  <c r="C16" i="15"/>
  <c r="B16" i="15"/>
  <c r="A16" i="15"/>
  <c r="K15" i="15"/>
  <c r="J15" i="15"/>
  <c r="L15" i="15" s="1"/>
  <c r="I15" i="15"/>
  <c r="H15" i="15"/>
  <c r="G15" i="15"/>
  <c r="F15" i="15"/>
  <c r="E15" i="15"/>
  <c r="D15" i="15"/>
  <c r="C15" i="15"/>
  <c r="B15" i="15"/>
  <c r="A15" i="15"/>
  <c r="K14" i="15"/>
  <c r="J14" i="15"/>
  <c r="L14" i="15" s="1"/>
  <c r="I14" i="15"/>
  <c r="H14" i="15"/>
  <c r="G14" i="15"/>
  <c r="F14" i="15"/>
  <c r="E14" i="15"/>
  <c r="D14" i="15"/>
  <c r="C14" i="15"/>
  <c r="B14" i="15"/>
  <c r="A14" i="15"/>
  <c r="K13" i="15"/>
  <c r="J13" i="15"/>
  <c r="L13" i="15" s="1"/>
  <c r="I13" i="15"/>
  <c r="H13" i="15"/>
  <c r="G13" i="15"/>
  <c r="F13" i="15"/>
  <c r="E13" i="15"/>
  <c r="D13" i="15"/>
  <c r="C13" i="15"/>
  <c r="B13" i="15"/>
  <c r="A13" i="15"/>
  <c r="K12" i="15"/>
  <c r="J12" i="15"/>
  <c r="L12" i="15" s="1"/>
  <c r="I12" i="15"/>
  <c r="H12" i="15"/>
  <c r="G12" i="15"/>
  <c r="F12" i="15"/>
  <c r="E12" i="15"/>
  <c r="D12" i="15"/>
  <c r="C12" i="15"/>
  <c r="B12" i="15"/>
  <c r="A12" i="15"/>
  <c r="K11" i="15"/>
  <c r="J11" i="15"/>
  <c r="L11" i="15" s="1"/>
  <c r="I11" i="15"/>
  <c r="H11" i="15"/>
  <c r="G11" i="15"/>
  <c r="F11" i="15"/>
  <c r="E11" i="15"/>
  <c r="D11" i="15"/>
  <c r="C11" i="15"/>
  <c r="B11" i="15"/>
  <c r="A11" i="15"/>
  <c r="K10" i="15"/>
  <c r="J10" i="15"/>
  <c r="L10" i="15" s="1"/>
  <c r="I10" i="15"/>
  <c r="H10" i="15"/>
  <c r="G10" i="15"/>
  <c r="F10" i="15"/>
  <c r="E10" i="15"/>
  <c r="D10" i="15"/>
  <c r="C10" i="15"/>
  <c r="B10" i="15"/>
  <c r="A10" i="15"/>
  <c r="K9" i="15"/>
  <c r="J9" i="15"/>
  <c r="L9" i="15" s="1"/>
  <c r="I9" i="15"/>
  <c r="H9" i="15"/>
  <c r="G9" i="15"/>
  <c r="F9" i="15"/>
  <c r="E9" i="15"/>
  <c r="D9" i="15"/>
  <c r="C9" i="15"/>
  <c r="B9" i="15"/>
  <c r="A9" i="15"/>
  <c r="K8" i="15"/>
  <c r="J8" i="15"/>
  <c r="L8" i="15" s="1"/>
  <c r="I8" i="15"/>
  <c r="H8" i="15"/>
  <c r="G8" i="15"/>
  <c r="F8" i="15"/>
  <c r="E8" i="15"/>
  <c r="D8" i="15"/>
  <c r="C8" i="15"/>
  <c r="B8" i="15"/>
  <c r="A8" i="15"/>
  <c r="K7" i="15"/>
  <c r="J7" i="15"/>
  <c r="L7" i="15" s="1"/>
  <c r="I7" i="15"/>
  <c r="H7" i="15"/>
  <c r="G7" i="15"/>
  <c r="F7" i="15"/>
  <c r="E7" i="15"/>
  <c r="D7" i="15"/>
  <c r="C7" i="15"/>
  <c r="B7" i="15"/>
  <c r="A7" i="15"/>
  <c r="K6" i="15"/>
  <c r="J6" i="15"/>
  <c r="L6" i="15" s="1"/>
  <c r="I6" i="15"/>
  <c r="H6" i="15"/>
  <c r="G6" i="15"/>
  <c r="F6" i="15"/>
  <c r="E6" i="15"/>
  <c r="D6" i="15"/>
  <c r="C6" i="15"/>
  <c r="B6" i="15"/>
  <c r="A6" i="15"/>
  <c r="K5" i="15"/>
  <c r="J5" i="15"/>
  <c r="L5" i="15" s="1"/>
  <c r="I5" i="15"/>
  <c r="H5" i="15"/>
  <c r="G5" i="15"/>
  <c r="F5" i="15"/>
  <c r="E5" i="15"/>
  <c r="D5" i="15"/>
  <c r="C5" i="15"/>
  <c r="B5" i="15"/>
  <c r="A5" i="15"/>
  <c r="D38" i="13"/>
  <c r="A38" i="13"/>
  <c r="D37" i="13"/>
  <c r="A37" i="13"/>
  <c r="D36" i="13"/>
  <c r="A36" i="13"/>
  <c r="D35" i="13"/>
  <c r="A35" i="13"/>
  <c r="D34" i="13"/>
  <c r="A34" i="13"/>
  <c r="D33" i="13"/>
  <c r="A33" i="13"/>
  <c r="D32" i="13"/>
  <c r="A32" i="13"/>
  <c r="D31" i="13"/>
  <c r="A31" i="13"/>
  <c r="D27" i="13"/>
  <c r="C27" i="13"/>
  <c r="D26" i="13"/>
  <c r="C26" i="13"/>
  <c r="D25" i="13"/>
  <c r="C25" i="13"/>
  <c r="D24" i="13"/>
  <c r="C24" i="13"/>
  <c r="D23" i="13"/>
  <c r="C23" i="13"/>
  <c r="D22" i="13"/>
  <c r="C22" i="13"/>
  <c r="D21" i="13"/>
  <c r="C21" i="13"/>
  <c r="D20" i="13"/>
  <c r="C20" i="13"/>
  <c r="G14" i="13"/>
  <c r="G13" i="13"/>
  <c r="G12" i="13"/>
  <c r="G11" i="13"/>
  <c r="G10" i="13"/>
  <c r="D8" i="16" s="1"/>
  <c r="G9" i="13"/>
  <c r="B20" i="13" s="1"/>
  <c r="G8" i="13"/>
  <c r="B236" i="17"/>
  <c r="C236" i="17" s="1"/>
  <c r="B235" i="17"/>
  <c r="C235" i="17" s="1"/>
  <c r="B234" i="17"/>
  <c r="C234" i="17" s="1"/>
  <c r="B233" i="17"/>
  <c r="C233" i="17" s="1"/>
  <c r="B232" i="17"/>
  <c r="C232" i="17" s="1"/>
  <c r="B231" i="17"/>
  <c r="C231" i="17" s="1"/>
  <c r="B230" i="17"/>
  <c r="C230" i="17" s="1"/>
  <c r="B229" i="17"/>
  <c r="C229" i="17" s="1"/>
  <c r="B228" i="17"/>
  <c r="C228" i="17" s="1"/>
  <c r="B227" i="17"/>
  <c r="C227" i="17" s="1"/>
  <c r="B226" i="17"/>
  <c r="C226" i="17" s="1"/>
  <c r="B225" i="17"/>
  <c r="C225" i="17" s="1"/>
  <c r="B224" i="17"/>
  <c r="C224" i="17" s="1"/>
  <c r="B223" i="17"/>
  <c r="C223" i="17" s="1"/>
  <c r="B222" i="17"/>
  <c r="C222" i="17" s="1"/>
  <c r="B221" i="17"/>
  <c r="C221" i="17" s="1"/>
  <c r="B220" i="17"/>
  <c r="C220" i="17" s="1"/>
  <c r="B219" i="17"/>
  <c r="C219" i="17" s="1"/>
  <c r="B218" i="17"/>
  <c r="C218" i="17" s="1"/>
  <c r="B217" i="17"/>
  <c r="C217" i="17" s="1"/>
  <c r="B216" i="17"/>
  <c r="C216" i="17" s="1"/>
  <c r="B215" i="17"/>
  <c r="C215" i="17" s="1"/>
  <c r="B214" i="17"/>
  <c r="C214" i="17" s="1"/>
  <c r="B213" i="17"/>
  <c r="C213" i="17" s="1"/>
  <c r="B212" i="17"/>
  <c r="C212" i="17" s="1"/>
  <c r="B211" i="17"/>
  <c r="C211" i="17" s="1"/>
  <c r="B210" i="17"/>
  <c r="C210" i="17" s="1"/>
  <c r="B209" i="17"/>
  <c r="C209" i="17" s="1"/>
  <c r="B208" i="17"/>
  <c r="C208" i="17" s="1"/>
  <c r="B207" i="17"/>
  <c r="C207" i="17" s="1"/>
  <c r="B206" i="17"/>
  <c r="C206" i="17" s="1"/>
  <c r="B205" i="17"/>
  <c r="C205" i="17" s="1"/>
  <c r="B204" i="17"/>
  <c r="C204" i="17" s="1"/>
  <c r="B203" i="17"/>
  <c r="C203" i="17" s="1"/>
  <c r="B202" i="17"/>
  <c r="C202" i="17" s="1"/>
  <c r="B201" i="17"/>
  <c r="C201" i="17" s="1"/>
  <c r="B200" i="17"/>
  <c r="C200" i="17" s="1"/>
  <c r="B199" i="17"/>
  <c r="C199" i="17" s="1"/>
  <c r="B198" i="17"/>
  <c r="C198" i="17" s="1"/>
  <c r="B197" i="17"/>
  <c r="C197" i="17" s="1"/>
  <c r="B196" i="17"/>
  <c r="C196" i="17" s="1"/>
  <c r="B195" i="17"/>
  <c r="C195" i="17" s="1"/>
  <c r="B194" i="17"/>
  <c r="C194" i="17" s="1"/>
  <c r="B193" i="17"/>
  <c r="C193" i="17" s="1"/>
  <c r="B192" i="17"/>
  <c r="C192" i="17" s="1"/>
  <c r="B191" i="17"/>
  <c r="C191" i="17" s="1"/>
  <c r="B190" i="17"/>
  <c r="C190" i="17" s="1"/>
  <c r="B189" i="17"/>
  <c r="C189" i="17" s="1"/>
  <c r="B188" i="17"/>
  <c r="C188" i="17" s="1"/>
  <c r="B187" i="17"/>
  <c r="C187" i="17" s="1"/>
  <c r="B186" i="17"/>
  <c r="C186" i="17" s="1"/>
  <c r="B185" i="17"/>
  <c r="C185" i="17" s="1"/>
  <c r="B184" i="17"/>
  <c r="C184" i="17" s="1"/>
  <c r="B183" i="17"/>
  <c r="C183" i="17" s="1"/>
  <c r="B182" i="17"/>
  <c r="C182" i="17" s="1"/>
  <c r="B181" i="17"/>
  <c r="C181" i="17" s="1"/>
  <c r="B180" i="17"/>
  <c r="C180" i="17" s="1"/>
  <c r="B179" i="17"/>
  <c r="C179" i="17" s="1"/>
  <c r="B178" i="17"/>
  <c r="C178" i="17" s="1"/>
  <c r="B177" i="17"/>
  <c r="C177" i="17" s="1"/>
  <c r="B176" i="17"/>
  <c r="C176" i="17" s="1"/>
  <c r="B175" i="17"/>
  <c r="C175" i="17" s="1"/>
  <c r="B174" i="17"/>
  <c r="C174" i="17" s="1"/>
  <c r="B173" i="17"/>
  <c r="C173" i="17" s="1"/>
  <c r="B172" i="17"/>
  <c r="C172" i="17" s="1"/>
  <c r="B171" i="17"/>
  <c r="C171" i="17" s="1"/>
  <c r="B170" i="17"/>
  <c r="C170" i="17" s="1"/>
  <c r="B169" i="17"/>
  <c r="C169" i="17" s="1"/>
  <c r="B168" i="17"/>
  <c r="C168" i="17" s="1"/>
  <c r="B167" i="17"/>
  <c r="C167" i="17" s="1"/>
  <c r="B166" i="17"/>
  <c r="C166" i="17" s="1"/>
  <c r="B165" i="17"/>
  <c r="C165" i="17" s="1"/>
  <c r="B164" i="17"/>
  <c r="C164" i="17" s="1"/>
  <c r="B163" i="17"/>
  <c r="C163" i="17" s="1"/>
  <c r="B162" i="17"/>
  <c r="C162" i="17" s="1"/>
  <c r="B161" i="17"/>
  <c r="C161" i="17" s="1"/>
  <c r="B160" i="17"/>
  <c r="C160" i="17" s="1"/>
  <c r="B159" i="17"/>
  <c r="C159" i="17" s="1"/>
  <c r="B158" i="17"/>
  <c r="B157" i="17"/>
  <c r="C157" i="17" s="1"/>
  <c r="B156" i="17"/>
  <c r="C156" i="17" s="1"/>
  <c r="B155" i="17"/>
  <c r="C155" i="17" s="1"/>
  <c r="B154" i="17"/>
  <c r="C154" i="17" s="1"/>
  <c r="B153" i="17"/>
  <c r="C153" i="17" s="1"/>
  <c r="B152" i="17"/>
  <c r="C152" i="17" s="1"/>
  <c r="B151" i="17"/>
  <c r="C151" i="17" s="1"/>
  <c r="B150" i="17"/>
  <c r="C150" i="17" s="1"/>
  <c r="B149" i="17"/>
  <c r="C149" i="17" s="1"/>
  <c r="B148" i="17"/>
  <c r="C148" i="17" s="1"/>
  <c r="B147" i="17"/>
  <c r="B146" i="17"/>
  <c r="C146" i="17" s="1"/>
  <c r="B145" i="17"/>
  <c r="C145" i="17" s="1"/>
  <c r="B144" i="17"/>
  <c r="C144" i="17" s="1"/>
  <c r="B143" i="17"/>
  <c r="C143" i="17" s="1"/>
  <c r="B142" i="17"/>
  <c r="C142" i="17" s="1"/>
  <c r="B141" i="17"/>
  <c r="C141" i="17" s="1"/>
  <c r="B140" i="17"/>
  <c r="C140" i="17" s="1"/>
  <c r="B139" i="17"/>
  <c r="C139" i="17" s="1"/>
  <c r="B138" i="17"/>
  <c r="C138" i="17" s="1"/>
  <c r="B137" i="17"/>
  <c r="C137" i="17" s="1"/>
  <c r="B136" i="17"/>
  <c r="C136" i="17" s="1"/>
  <c r="B135" i="17"/>
  <c r="C135" i="17" s="1"/>
  <c r="B134" i="17"/>
  <c r="C134" i="17" s="1"/>
  <c r="B133" i="17"/>
  <c r="C133" i="17" s="1"/>
  <c r="B132" i="17"/>
  <c r="C132" i="17" s="1"/>
  <c r="B131" i="17"/>
  <c r="B130" i="17"/>
  <c r="C130" i="17" s="1"/>
  <c r="B129" i="17"/>
  <c r="C129" i="17" s="1"/>
  <c r="B128" i="17"/>
  <c r="C128" i="17" s="1"/>
  <c r="B127" i="17"/>
  <c r="C127" i="17" s="1"/>
  <c r="B126" i="17"/>
  <c r="C126" i="17" s="1"/>
  <c r="B125" i="17"/>
  <c r="C125" i="17" s="1"/>
  <c r="B124" i="17"/>
  <c r="B123" i="17"/>
  <c r="C123" i="17" s="1"/>
  <c r="B122" i="17"/>
  <c r="C122" i="17" s="1"/>
  <c r="B121" i="17"/>
  <c r="C121" i="17" s="1"/>
  <c r="B120" i="17"/>
  <c r="C120" i="17" s="1"/>
  <c r="B119" i="17"/>
  <c r="C119" i="17" s="1"/>
  <c r="B118" i="17"/>
  <c r="C118" i="17" s="1"/>
  <c r="B117" i="17"/>
  <c r="C117" i="17" s="1"/>
  <c r="B116" i="17"/>
  <c r="C116" i="17" s="1"/>
  <c r="B115" i="17"/>
  <c r="C115" i="17" s="1"/>
  <c r="B114" i="17"/>
  <c r="B113" i="17"/>
  <c r="C113" i="17" s="1"/>
  <c r="B112" i="17"/>
  <c r="C112" i="17" s="1"/>
  <c r="B111" i="17"/>
  <c r="C111" i="17" s="1"/>
  <c r="B110" i="17"/>
  <c r="C110" i="17" s="1"/>
  <c r="B109" i="17"/>
  <c r="C109" i="17" s="1"/>
  <c r="B108" i="17"/>
  <c r="C108" i="17" s="1"/>
  <c r="B107" i="17"/>
  <c r="C107" i="17" s="1"/>
  <c r="B106" i="17"/>
  <c r="B105" i="17"/>
  <c r="C105" i="17" s="1"/>
  <c r="B104" i="17"/>
  <c r="C104" i="17" s="1"/>
  <c r="B103" i="17"/>
  <c r="B102" i="17"/>
  <c r="C102" i="17" s="1"/>
  <c r="B101" i="17"/>
  <c r="C101" i="17" s="1"/>
  <c r="B100" i="17"/>
  <c r="C100" i="17" s="1"/>
  <c r="B99" i="17"/>
  <c r="C99" i="17" s="1"/>
  <c r="B98" i="17"/>
  <c r="B97" i="17"/>
  <c r="C97" i="17" s="1"/>
  <c r="B96" i="17"/>
  <c r="C96" i="17" s="1"/>
  <c r="B95" i="17"/>
  <c r="B94" i="17"/>
  <c r="B93" i="17"/>
  <c r="C93" i="17" s="1"/>
  <c r="B92" i="17"/>
  <c r="B91" i="17"/>
  <c r="C91" i="17" s="1"/>
  <c r="B90" i="17"/>
  <c r="B89" i="17"/>
  <c r="B88" i="17"/>
  <c r="B87" i="17"/>
  <c r="C87" i="17" s="1"/>
  <c r="B86" i="17"/>
  <c r="B85" i="17"/>
  <c r="B84" i="17"/>
  <c r="C84" i="17" s="1"/>
  <c r="B83" i="17"/>
  <c r="C83" i="17" s="1"/>
  <c r="B82" i="17"/>
  <c r="C82" i="17" s="1"/>
  <c r="B81" i="17"/>
  <c r="B80" i="17"/>
  <c r="C80" i="17" s="1"/>
  <c r="B79" i="17"/>
  <c r="C79" i="17" s="1"/>
  <c r="B78" i="17"/>
  <c r="B77" i="17"/>
  <c r="B76" i="17"/>
  <c r="B75" i="17"/>
  <c r="B74" i="17"/>
  <c r="C74" i="17" s="1"/>
  <c r="B73" i="17"/>
  <c r="B72" i="17"/>
  <c r="B71" i="17"/>
  <c r="B70" i="17"/>
  <c r="B69" i="17"/>
  <c r="B68" i="17"/>
  <c r="B67" i="17"/>
  <c r="B66" i="17"/>
  <c r="B65" i="17"/>
  <c r="B64" i="17"/>
  <c r="B63" i="17"/>
  <c r="B62" i="17"/>
  <c r="B61" i="17"/>
  <c r="B60" i="17"/>
  <c r="B59" i="17"/>
  <c r="B58" i="17"/>
  <c r="B57" i="17"/>
  <c r="B56" i="17"/>
  <c r="B55" i="17"/>
  <c r="B54" i="17"/>
  <c r="B53" i="17"/>
  <c r="B52"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B5" i="1"/>
  <c r="C53" i="17" l="1"/>
  <c r="F38" i="13"/>
  <c r="E38" i="13"/>
  <c r="E37" i="13"/>
  <c r="G37" i="13"/>
  <c r="F37" i="13"/>
  <c r="B36" i="13"/>
  <c r="F36" i="13"/>
  <c r="E36" i="13"/>
  <c r="G36" i="13"/>
  <c r="B35" i="13"/>
  <c r="G35" i="13"/>
  <c r="E35" i="13"/>
  <c r="F35" i="13"/>
  <c r="B34" i="13"/>
  <c r="F34" i="13"/>
  <c r="E34" i="13"/>
  <c r="F33" i="13"/>
  <c r="E33" i="13"/>
  <c r="E32" i="13"/>
  <c r="F32" i="13"/>
  <c r="E31" i="13"/>
  <c r="F31" i="13"/>
  <c r="E20" i="13"/>
  <c r="D7" i="16"/>
  <c r="E7" i="16" s="1"/>
  <c r="F7" i="16" s="1"/>
  <c r="C52" i="17"/>
  <c r="H5" i="14"/>
  <c r="H4" i="14"/>
  <c r="H6" i="14"/>
  <c r="A2" i="13"/>
  <c r="C5" i="17"/>
  <c r="C4" i="17"/>
  <c r="F20" i="13"/>
  <c r="C158" i="17"/>
  <c r="C103" i="17"/>
  <c r="C92" i="17"/>
  <c r="C85" i="17"/>
  <c r="C72" i="17"/>
  <c r="C66" i="17"/>
  <c r="C59" i="17"/>
  <c r="C131" i="17"/>
  <c r="C94" i="17"/>
  <c r="C86" i="17"/>
  <c r="C77" i="17"/>
  <c r="C70" i="17"/>
  <c r="C62" i="17"/>
  <c r="C54" i="17"/>
  <c r="C147" i="17"/>
  <c r="C95" i="17"/>
  <c r="C81" i="17"/>
  <c r="C73" i="17"/>
  <c r="C67" i="17"/>
  <c r="C61" i="17"/>
  <c r="C56" i="17"/>
  <c r="C124" i="17"/>
  <c r="C98" i="17"/>
  <c r="C90" i="17"/>
  <c r="C78" i="17"/>
  <c r="C71" i="17"/>
  <c r="C65" i="17"/>
  <c r="C60" i="17"/>
  <c r="C55" i="17"/>
  <c r="C106" i="17"/>
  <c r="C88" i="17"/>
  <c r="C76" i="17"/>
  <c r="C68" i="17"/>
  <c r="C64" i="17"/>
  <c r="C57" i="17"/>
  <c r="C114" i="17"/>
  <c r="C89" i="17"/>
  <c r="C75" i="17"/>
  <c r="C69" i="17"/>
  <c r="C63" i="17"/>
  <c r="C58" i="17"/>
  <c r="M30" i="14" l="1"/>
  <c r="B31" i="14"/>
  <c r="F31" i="14"/>
  <c r="L31" i="14"/>
  <c r="O31" i="14"/>
  <c r="E32" i="14"/>
  <c r="I32" i="14"/>
  <c r="M32" i="14"/>
  <c r="C33" i="14"/>
  <c r="C10" i="14"/>
  <c r="I11" i="14"/>
  <c r="F12" i="14"/>
  <c r="J12" i="14"/>
  <c r="N12" i="14"/>
  <c r="D13" i="14"/>
  <c r="J13" i="14"/>
  <c r="O13" i="14"/>
  <c r="E14" i="14"/>
  <c r="M14" i="14"/>
  <c r="D15" i="14"/>
  <c r="J15" i="14"/>
  <c r="O15" i="14"/>
  <c r="F16" i="14"/>
  <c r="K16" i="14"/>
  <c r="C17" i="14"/>
  <c r="H17" i="14"/>
  <c r="N17" i="14"/>
  <c r="D18" i="14"/>
  <c r="K18" i="14"/>
  <c r="H19" i="14"/>
  <c r="M19" i="14"/>
  <c r="E20" i="14"/>
  <c r="J20" i="14"/>
  <c r="O20" i="14"/>
  <c r="E21" i="14"/>
  <c r="L21" i="14"/>
  <c r="B22" i="14"/>
  <c r="I22" i="14"/>
  <c r="O22" i="14"/>
  <c r="F23" i="14"/>
  <c r="K23" i="14"/>
  <c r="D24" i="14"/>
  <c r="K24" i="14"/>
  <c r="B25" i="14"/>
  <c r="I25" i="14"/>
  <c r="N25" i="14"/>
  <c r="O25" i="14"/>
  <c r="B26" i="14"/>
  <c r="C26" i="14"/>
  <c r="D26" i="14"/>
  <c r="E26" i="14"/>
  <c r="F26" i="14"/>
  <c r="G26" i="14"/>
  <c r="H26" i="14"/>
  <c r="I26" i="14"/>
  <c r="J26" i="14"/>
  <c r="K26" i="14"/>
  <c r="L26" i="14"/>
  <c r="M26" i="14"/>
  <c r="N26" i="14"/>
  <c r="O26" i="14"/>
  <c r="B27" i="14"/>
  <c r="C27" i="14"/>
  <c r="D27" i="14"/>
  <c r="E27" i="14"/>
  <c r="F27" i="14"/>
  <c r="G27" i="14"/>
  <c r="H27" i="14"/>
  <c r="I27" i="14"/>
  <c r="J27" i="14"/>
  <c r="K27" i="14"/>
  <c r="L27" i="14"/>
  <c r="M27" i="14"/>
  <c r="N27" i="14"/>
  <c r="O27" i="14"/>
  <c r="B28" i="14"/>
  <c r="C28" i="14"/>
  <c r="D28" i="14"/>
  <c r="E28" i="14"/>
  <c r="F28" i="14"/>
  <c r="G28" i="14"/>
  <c r="H28" i="14"/>
  <c r="I28" i="14"/>
  <c r="J28" i="14"/>
  <c r="K28" i="14"/>
  <c r="L28" i="14"/>
  <c r="M28" i="14"/>
  <c r="N28" i="14"/>
  <c r="O28" i="14"/>
  <c r="F33" i="14"/>
  <c r="D10" i="14"/>
  <c r="H10" i="14"/>
  <c r="C11" i="14"/>
  <c r="E11" i="14"/>
  <c r="K11" i="14"/>
  <c r="O11" i="14"/>
  <c r="C12" i="14"/>
  <c r="G12" i="14"/>
  <c r="K12" i="14"/>
  <c r="O12" i="14"/>
  <c r="B13" i="14"/>
  <c r="G13" i="14"/>
  <c r="L13" i="14"/>
  <c r="B14" i="14"/>
  <c r="F14" i="14"/>
  <c r="I14" i="14"/>
  <c r="O14" i="14"/>
  <c r="E15" i="14"/>
  <c r="G15" i="14"/>
  <c r="L15" i="14"/>
  <c r="D16" i="14"/>
  <c r="H16" i="14"/>
  <c r="L16" i="14"/>
  <c r="O16" i="14"/>
  <c r="E17" i="14"/>
  <c r="K17" i="14"/>
  <c r="B18" i="14"/>
  <c r="F18" i="14"/>
  <c r="I18" i="14"/>
  <c r="M18" i="14"/>
  <c r="C19" i="14"/>
  <c r="F19" i="14"/>
  <c r="J19" i="14"/>
  <c r="N19" i="14"/>
  <c r="C20" i="14"/>
  <c r="H20" i="14"/>
  <c r="M20" i="14"/>
  <c r="F21" i="14"/>
  <c r="K21" i="14"/>
  <c r="O21" i="14"/>
  <c r="D22" i="14"/>
  <c r="H22" i="14"/>
  <c r="J22" i="14"/>
  <c r="N22" i="14"/>
  <c r="E23" i="14"/>
  <c r="G23" i="14"/>
  <c r="L23" i="14"/>
  <c r="B24" i="14"/>
  <c r="F24" i="14"/>
  <c r="I24" i="14"/>
  <c r="N24" i="14"/>
  <c r="C25" i="14"/>
  <c r="G25" i="14"/>
  <c r="K25" i="14"/>
  <c r="B29" i="14"/>
  <c r="E29" i="14"/>
  <c r="J29" i="14"/>
  <c r="M29" i="14"/>
  <c r="E30" i="14"/>
  <c r="I30" i="14"/>
  <c r="L30" i="14"/>
  <c r="O30" i="14"/>
  <c r="C31" i="14"/>
  <c r="H31" i="14"/>
  <c r="J31" i="14"/>
  <c r="N31" i="14"/>
  <c r="B32" i="14"/>
  <c r="D32" i="14"/>
  <c r="G32" i="14"/>
  <c r="L32" i="14"/>
  <c r="O32" i="14"/>
  <c r="D34" i="14"/>
  <c r="H34" i="14"/>
  <c r="J34" i="14"/>
  <c r="O34" i="14"/>
  <c r="H33" i="14"/>
  <c r="L33" i="14"/>
  <c r="B34" i="14"/>
  <c r="F34" i="14"/>
  <c r="L34" i="14"/>
  <c r="B10" i="14"/>
  <c r="G10" i="14"/>
  <c r="J10" i="14"/>
  <c r="L10" i="14"/>
  <c r="O10" i="14"/>
  <c r="D11" i="14"/>
  <c r="F11" i="14"/>
  <c r="J11" i="14"/>
  <c r="N11" i="14"/>
  <c r="B12" i="14"/>
  <c r="F13" i="14"/>
  <c r="I13" i="14"/>
  <c r="M13" i="14"/>
  <c r="C14" i="14"/>
  <c r="H14" i="14"/>
  <c r="K14" i="14"/>
  <c r="N14" i="14"/>
  <c r="C15" i="14"/>
  <c r="I15" i="14"/>
  <c r="M15" i="14"/>
  <c r="B16" i="14"/>
  <c r="G16" i="14"/>
  <c r="M16" i="14"/>
  <c r="D17" i="14"/>
  <c r="I17" i="14"/>
  <c r="L17" i="14"/>
  <c r="E18" i="14"/>
  <c r="J18" i="14"/>
  <c r="N18" i="14"/>
  <c r="D19" i="14"/>
  <c r="G19" i="14"/>
  <c r="L19" i="14"/>
  <c r="O19" i="14"/>
  <c r="J32" i="14"/>
  <c r="G20" i="14"/>
  <c r="L20" i="14"/>
  <c r="B21" i="14"/>
  <c r="G21" i="14"/>
  <c r="J21" i="14"/>
  <c r="N21" i="14"/>
  <c r="C22" i="14"/>
  <c r="G22" i="14"/>
  <c r="K22" i="14"/>
  <c r="D23" i="14"/>
  <c r="H23" i="14"/>
  <c r="M23" i="14"/>
  <c r="C24" i="14"/>
  <c r="E24" i="14"/>
  <c r="J24" i="14"/>
  <c r="O24" i="14"/>
  <c r="E25" i="14"/>
  <c r="J25" i="14"/>
  <c r="C29" i="14"/>
  <c r="F29" i="14"/>
  <c r="I29" i="14"/>
  <c r="N29" i="14"/>
  <c r="B30" i="14"/>
  <c r="D30" i="14"/>
  <c r="H30" i="14"/>
  <c r="K30" i="14"/>
  <c r="N30" i="14"/>
  <c r="D31" i="14"/>
  <c r="G31" i="14"/>
  <c r="K31" i="14"/>
  <c r="C32" i="14"/>
  <c r="F32" i="14"/>
  <c r="H32" i="14"/>
  <c r="K32" i="14"/>
  <c r="N32" i="14"/>
  <c r="B33" i="14"/>
  <c r="D33" i="14"/>
  <c r="G33" i="14"/>
  <c r="I33" i="14"/>
  <c r="K33" i="14"/>
  <c r="N33" i="14"/>
  <c r="O33" i="14"/>
  <c r="E34" i="14"/>
  <c r="G34" i="14"/>
  <c r="K34" i="14"/>
  <c r="M34" i="14"/>
  <c r="D20" i="14"/>
  <c r="F10" i="14"/>
  <c r="K10" i="14"/>
  <c r="N10" i="14"/>
  <c r="H11" i="14"/>
  <c r="M11" i="14"/>
  <c r="E12" i="14"/>
  <c r="I12" i="14"/>
  <c r="M12" i="14"/>
  <c r="C13" i="14"/>
  <c r="H13" i="14"/>
  <c r="N13" i="14"/>
  <c r="D14" i="14"/>
  <c r="J14" i="14"/>
  <c r="F15" i="14"/>
  <c r="K15" i="14"/>
  <c r="C16" i="14"/>
  <c r="I16" i="14"/>
  <c r="B17" i="14"/>
  <c r="G17" i="14"/>
  <c r="M17" i="14"/>
  <c r="C18" i="14"/>
  <c r="H18" i="14"/>
  <c r="O18" i="14"/>
  <c r="E19" i="14"/>
  <c r="K19" i="14"/>
  <c r="B20" i="14"/>
  <c r="I20" i="14"/>
  <c r="N20" i="14"/>
  <c r="D21" i="14"/>
  <c r="I21" i="14"/>
  <c r="F22" i="14"/>
  <c r="L22" i="14"/>
  <c r="C23" i="14"/>
  <c r="J23" i="14"/>
  <c r="N23" i="14"/>
  <c r="G24" i="14"/>
  <c r="L24" i="14"/>
  <c r="F25" i="14"/>
  <c r="L25" i="14"/>
  <c r="D29" i="14"/>
  <c r="H29" i="14"/>
  <c r="K29" i="14"/>
  <c r="O29" i="14"/>
  <c r="F30" i="14"/>
  <c r="J30" i="14"/>
  <c r="E31" i="14"/>
  <c r="I31" i="14"/>
  <c r="M31" i="14"/>
  <c r="E33" i="14"/>
  <c r="J33" i="14"/>
  <c r="M33" i="14"/>
  <c r="C34" i="14"/>
  <c r="I34" i="14"/>
  <c r="N34" i="14"/>
  <c r="E10" i="14"/>
  <c r="I10" i="14"/>
  <c r="M10" i="14"/>
  <c r="B11" i="14"/>
  <c r="G11" i="14"/>
  <c r="L11" i="14"/>
  <c r="D12" i="14"/>
  <c r="H12" i="14"/>
  <c r="L12" i="14"/>
  <c r="E13" i="14"/>
  <c r="K13" i="14"/>
  <c r="G14" i="14"/>
  <c r="L14" i="14"/>
  <c r="B15" i="14"/>
  <c r="H15" i="14"/>
  <c r="N15" i="14"/>
  <c r="E16" i="14"/>
  <c r="J16" i="14"/>
  <c r="N16" i="14"/>
  <c r="F17" i="14"/>
  <c r="J17" i="14"/>
  <c r="O17" i="14"/>
  <c r="G18" i="14"/>
  <c r="L18" i="14"/>
  <c r="B19" i="14"/>
  <c r="I19" i="14"/>
  <c r="F20" i="14"/>
  <c r="K20" i="14"/>
  <c r="C21" i="14"/>
  <c r="H21" i="14"/>
  <c r="M21" i="14"/>
  <c r="E22" i="14"/>
  <c r="M22" i="14"/>
  <c r="B23" i="14"/>
  <c r="I23" i="14"/>
  <c r="O23" i="14"/>
  <c r="H24" i="14"/>
  <c r="M24" i="14"/>
  <c r="D25" i="14"/>
  <c r="H25" i="14"/>
  <c r="M25" i="14"/>
  <c r="G29" i="14"/>
  <c r="L29" i="14"/>
  <c r="C30" i="14"/>
  <c r="G30" i="14"/>
  <c r="A17" i="14"/>
  <c r="A18" i="14"/>
  <c r="A23" i="14"/>
  <c r="A32" i="14"/>
  <c r="A11" i="14"/>
  <c r="A15" i="14"/>
  <c r="A22" i="14"/>
  <c r="A25" i="14"/>
  <c r="A31" i="14"/>
  <c r="A33" i="14"/>
  <c r="F7" i="14"/>
  <c r="A13" i="14"/>
  <c r="A14" i="14"/>
  <c r="A20" i="14"/>
  <c r="A10" i="14"/>
  <c r="A12" i="14"/>
  <c r="A19" i="14"/>
  <c r="A24" i="14"/>
  <c r="A26" i="14"/>
  <c r="A27" i="14"/>
  <c r="A28" i="14"/>
  <c r="A29" i="14"/>
  <c r="A16" i="14"/>
  <c r="A21" i="14"/>
  <c r="A30" i="14"/>
  <c r="A34" i="14"/>
  <c r="C11" i="17"/>
  <c r="C15" i="17"/>
  <c r="C18" i="17"/>
  <c r="C23" i="17"/>
  <c r="C26" i="17"/>
  <c r="C29" i="17"/>
  <c r="C30" i="17"/>
  <c r="C32" i="17"/>
  <c r="C34" i="17"/>
  <c r="C35" i="17"/>
  <c r="C36" i="17"/>
  <c r="C37" i="17"/>
  <c r="C38" i="17"/>
  <c r="C39" i="17"/>
  <c r="C41" i="17"/>
  <c r="C43" i="17"/>
  <c r="C44" i="17"/>
  <c r="C12" i="17"/>
  <c r="C16" i="17"/>
  <c r="C17" i="17"/>
  <c r="C20" i="17"/>
  <c r="C24" i="17"/>
  <c r="C27" i="17"/>
  <c r="C28" i="17"/>
  <c r="C31" i="17"/>
  <c r="C33" i="17"/>
  <c r="C42" i="17"/>
  <c r="C9" i="17"/>
  <c r="C13" i="17"/>
  <c r="C21" i="17"/>
  <c r="C22" i="17"/>
  <c r="C10" i="17"/>
  <c r="C14" i="17"/>
  <c r="C19" i="17"/>
  <c r="C25" i="17"/>
  <c r="C40" i="17"/>
  <c r="C8" i="13"/>
  <c r="C9" i="13"/>
  <c r="D6" i="16" s="1"/>
  <c r="E6" i="16" s="1"/>
  <c r="F6" i="16" s="1"/>
  <c r="C10" i="13"/>
  <c r="C11" i="13"/>
  <c r="B25" i="13" s="1"/>
  <c r="C12" i="13"/>
  <c r="B21" i="13" s="1"/>
  <c r="C13" i="13"/>
  <c r="B26" i="13" s="1"/>
  <c r="C14" i="13"/>
  <c r="C15" i="13"/>
  <c r="B23" i="13" s="1"/>
  <c r="C16" i="13"/>
  <c r="D16" i="16" s="1"/>
  <c r="E16" i="16" s="1"/>
  <c r="F16" i="16" s="1"/>
  <c r="B22" i="13"/>
  <c r="B24" i="13"/>
  <c r="F39" i="13"/>
  <c r="G38" i="13"/>
  <c r="B38" i="13"/>
  <c r="C38" i="13" s="1"/>
  <c r="B37" i="13"/>
  <c r="C37" i="13" s="1"/>
  <c r="G34" i="13"/>
  <c r="B33" i="13"/>
  <c r="C33" i="13" s="1"/>
  <c r="G33" i="13"/>
  <c r="B32" i="13"/>
  <c r="C32" i="13" s="1"/>
  <c r="B31" i="13"/>
  <c r="G32" i="13"/>
  <c r="G31" i="13"/>
  <c r="C47" i="17" l="1"/>
  <c r="C46" i="17"/>
  <c r="B27" i="13" s="1"/>
  <c r="C35" i="13"/>
  <c r="C36" i="13"/>
  <c r="C34" i="13"/>
  <c r="D5" i="16"/>
  <c r="E5" i="16" s="1"/>
  <c r="F5" i="16" s="1"/>
  <c r="D13" i="16"/>
  <c r="E13" i="16" s="1"/>
  <c r="F13" i="16" s="1"/>
  <c r="E25" i="13"/>
  <c r="F25" i="13"/>
  <c r="E21" i="13"/>
  <c r="F21" i="13"/>
  <c r="D9" i="16"/>
  <c r="E9" i="16" s="1"/>
  <c r="F9" i="16" s="1"/>
  <c r="E26" i="13"/>
  <c r="F26" i="13"/>
  <c r="D14" i="16"/>
  <c r="E14" i="16" s="1"/>
  <c r="F14" i="16" s="1"/>
  <c r="F23" i="13"/>
  <c r="E23" i="13"/>
  <c r="D11" i="16"/>
  <c r="E11" i="16" s="1"/>
  <c r="F11" i="16" s="1"/>
  <c r="E22" i="13"/>
  <c r="D10" i="16"/>
  <c r="E10" i="16" s="1"/>
  <c r="F10" i="16" s="1"/>
  <c r="F22" i="13"/>
  <c r="F24" i="13"/>
  <c r="E24" i="13"/>
  <c r="D12" i="16"/>
  <c r="E12" i="16" s="1"/>
  <c r="F12" i="16" s="1"/>
  <c r="C31" i="13"/>
  <c r="B39" i="13"/>
  <c r="F27" i="13" l="1"/>
  <c r="E27" i="13"/>
  <c r="D15" i="16"/>
  <c r="E15" i="16" s="1"/>
  <c r="F15" i="16" s="1"/>
  <c r="C20" i="16"/>
  <c r="B21" i="16"/>
  <c r="C39"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FB3494-AF85-4A62-A2DB-AD2FE1AC850E}" keepAlive="1" name="Connection" type="5" refreshedVersion="8" saveData="1">
    <dbPr connection="Provider=Microsoft.Mashup.OleDb.1;Data Source=$Workbook$;Location=tPO;Extended Properties=&quot;&quot;" command="SELECT * FROM [tPO]"/>
  </connection>
  <connection id="2" xr16:uid="{69627880-08E7-4899-8A1D-E4495972B707}" keepAlive="1" name="Connection1" type="5" refreshedVersion="8" saveData="1">
    <dbPr connection="Provider=Microsoft.Mashup.OleDb.1;Data Source=$Workbook$;Location=tErosion;Extended Properties=&quot;&quot;" command="SELECT * FROM [tErosion]"/>
  </connection>
  <connection id="3" xr16:uid="{6DECBC57-753B-4125-9C10-680669A76897}" keepAlive="1" name="Connection2" type="5" refreshedVersion="8" saveData="1">
    <dbPr connection="Provider=Microsoft.Mashup.OleDb.1;Data Source=$Workbook$;Location=tQueue;Extended Properties=&quot;&quot;" command="SELECT * FROM [tQueue]"/>
  </connection>
  <connection id="4" xr16:uid="{1B9AE63D-3B7A-4441-82CC-24C90346C7DC}" keepAlive="1" name="Connection3" type="5" refreshedVersion="8" saveData="1">
    <dbPr connection="Provider=Microsoft.Mashup.OleDb.1;Data Source=$Workbook$;Location=tVendor;Extended Properties=&quot;&quot;" command="SELECT * FROM [tVendor]"/>
  </connection>
  <connection id="5" xr16:uid="{E0B342D5-2277-4FB0-8F16-784D49B7E318}" keepAlive="1" name="Connection4" type="5" refreshedVersion="8" saveData="1">
    <dbPr connection="Provider=Microsoft.Mashup.OleDb.1;Data Source=$Workbook$;Location=tKPI;Extended Properties=&quot;&quot;" command="SELECT * FROM [tKPI]"/>
  </connection>
  <connection id="6" xr16:uid="{ECC53B31-7FCA-4961-A669-5A21BD974A21}" keepAlive="1" name="Connection5" type="5" refreshedVersion="8" saveData="1">
    <dbPr connection="Provider=Microsoft.Mashup.OleDb.1;Data Source=$Workbook$;Location=tCategory;Extended Properties=&quot;&quot;" command="SELECT * FROM [tCategory]"/>
  </connection>
  <connection id="7" xr16:uid="{BD8CD945-E490-4D23-B9C7-F3606405F778}" keepAlive="1" name="Connection6" type="5" refreshedVersion="8" saveData="1">
    <dbPr connection="Provider=Microsoft.Mashup.OleDb.1;Data Source=$Workbook$;Location=tBenchmark;Extended Properties=&quot;&quot;" command="SELECT * FROM [tBenchmark]"/>
  </connection>
  <connection id="8" xr16:uid="{CB29FB7F-09B0-4720-909F-F7921B6E8547}" keepAlive="1" name="Connection7" type="5" refreshedVersion="8" saveData="1">
    <dbPr connection="Provider=Microsoft.Mashup.OleDb.1;Data Source=$Workbook$;Location=tTargets;Extended Properties=&quot;&quot;" command="SELECT * FROM [tTargets]"/>
  </connection>
  <connection id="9" xr16:uid="{C93E717F-867B-438C-90D0-C584BBE9EE2A}" keepAlive="1" name="Connection8" type="5" refreshedVersion="8" saveData="1">
    <dbPr connection="Provider=Microsoft.Mashup.OleDb.1;Data Source=$Workbook$;Location=tReject;Extended Properties=&quot;&quot;" command="SELECT * FROM [tReject]"/>
  </connection>
  <connection id="10" xr16:uid="{B12C1E8B-DBF2-4A28-891E-7F3A948225BC}" keepAlive="1" name="Connection9" type="5" refreshedVersion="8" saveData="1">
    <dbPr connection="Provider=Microsoft.Mashup.OleDb.1;Data Source=$Workbook$;Location=tDQ;Extended Properties=&quot;&quot;" command="SELECT * FROM [tDQ]"/>
  </connection>
</connections>
</file>

<file path=xl/sharedStrings.xml><?xml version="1.0" encoding="utf-8"?>
<sst xmlns="http://schemas.openxmlformats.org/spreadsheetml/2006/main" count="92721" uniqueCount="7721">
  <si>
    <t>LUMEN OPTICS MANUFACTURING -- SPEND SCORECARD</t>
  </si>
  <si>
    <t>Control panel. Every sheet reads its parameters from the cells below.</t>
  </si>
  <si>
    <t>PARAMETER</t>
  </si>
  <si>
    <t>VALUE</t>
  </si>
  <si>
    <t>WHAT IT CONTROLS</t>
  </si>
  <si>
    <t>Reporting date</t>
  </si>
  <si>
    <t>The as-of date for every figure. Spend metrics use the twelve months ending here.</t>
  </si>
  <si>
    <t>Extract folder</t>
  </si>
  <si>
    <t>Where Power Query looks for the CSV extracts. Edit if you move the repo, then Data &gt; Refresh All.</t>
  </si>
  <si>
    <t>Negotiations / buyer</t>
  </si>
  <si>
    <t>Capacity assumption behind the quarter's worklist. Raising it lengthens every category manager's list.</t>
  </si>
  <si>
    <t>Queue rows shown</t>
  </si>
  <si>
    <t>How many ranked pairs the Renegotiation Queue sheet displays.</t>
  </si>
  <si>
    <t>Baseline lag (days)</t>
  </si>
  <si>
    <t>Opportunity above which a negotiation is worth opening regardless of leverage.</t>
  </si>
  <si>
    <t>DATA DISCLOSURE</t>
  </si>
  <si>
    <t>Lumen Optics Manufacturing is a fictional company. All data in this workbook is synthetic and generated by the scripts in the sql\ folder. No confidential data is used and no claim is made about any production system.</t>
  </si>
  <si>
    <t>PONumber</t>
  </si>
  <si>
    <t>PartNumber</t>
  </si>
  <si>
    <t>PartName</t>
  </si>
  <si>
    <t>Category</t>
  </si>
  <si>
    <t>Criticality</t>
  </si>
  <si>
    <t>QualifiedSupplierCount</t>
  </si>
  <si>
    <t>QualificationMonths</t>
  </si>
  <si>
    <t>IsSingleSource</t>
  </si>
  <si>
    <t>VendorID</t>
  </si>
  <si>
    <t>VendorName</t>
  </si>
  <si>
    <t>Country</t>
  </si>
  <si>
    <t>VendorTier</t>
  </si>
  <si>
    <t>LumenRevenueSharePct</t>
  </si>
  <si>
    <t>BuyerID</t>
  </si>
  <si>
    <t>BuyerName</t>
  </si>
  <si>
    <t>Team</t>
  </si>
  <si>
    <t>OrderDate</t>
  </si>
  <si>
    <t>PromisedDate</t>
  </si>
  <si>
    <t>OrderYear</t>
  </si>
  <si>
    <t>OrderYearMonth</t>
  </si>
  <si>
    <t>OrderQty</t>
  </si>
  <si>
    <t>UnitPrice</t>
  </si>
  <si>
    <t>FreightAmount</t>
  </si>
  <si>
    <t>ExpediteFee</t>
  </si>
  <si>
    <t>IsExpedited</t>
  </si>
  <si>
    <t>ExtendedPrice</t>
  </si>
  <si>
    <t>LandedCost</t>
  </si>
  <si>
    <t>AgreementNo</t>
  </si>
  <si>
    <t>ContractedUnitPrice</t>
  </si>
  <si>
    <t>AgreementsInForce</t>
  </si>
  <si>
    <t>IsOnContract</t>
  </si>
  <si>
    <t>PPVAmount</t>
  </si>
  <si>
    <t>ContractedExtended</t>
  </si>
  <si>
    <t>QtyReceived</t>
  </si>
  <si>
    <t>QtyAccepted</t>
  </si>
  <si>
    <t>QtyRejected</t>
  </si>
  <si>
    <t>Receipts</t>
  </si>
  <si>
    <t>IsReceived</t>
  </si>
  <si>
    <t>AcceptanceRatePct</t>
  </si>
  <si>
    <t>CostPerAcceptedUnit</t>
  </si>
  <si>
    <t>RejectedValue</t>
  </si>
  <si>
    <t>LastReceiptDate</t>
  </si>
  <si>
    <t>DaysLate</t>
  </si>
  <si>
    <t>IsOnTime</t>
  </si>
  <si>
    <t>PO-000001</t>
  </si>
  <si>
    <t>LOM-0046</t>
  </si>
  <si>
    <t>Fibre Connector Module 0046</t>
  </si>
  <si>
    <t>Fibre Connector</t>
  </si>
  <si>
    <t>Standard</t>
  </si>
  <si>
    <t>VEN-033</t>
  </si>
  <si>
    <t>Oribel Technologies</t>
  </si>
  <si>
    <t>Taiwan</t>
  </si>
  <si>
    <t>Transactional</t>
  </si>
  <si>
    <t>BUY-03</t>
  </si>
  <si>
    <t>Mei-Ling Chow</t>
  </si>
  <si>
    <t>Optics &amp; Coatings</t>
  </si>
  <si>
    <t>2023-01</t>
  </si>
  <si>
    <t>PA-0000205</t>
  </si>
  <si>
    <t>PO-000002</t>
  </si>
  <si>
    <t>LOM-0036</t>
  </si>
  <si>
    <t>Optical Coating Module 0036</t>
  </si>
  <si>
    <t>Optical Coating</t>
  </si>
  <si>
    <t>VEN-020</t>
  </si>
  <si>
    <t>Meridian Photonics Industries</t>
  </si>
  <si>
    <t>Japan</t>
  </si>
  <si>
    <t>Approved</t>
  </si>
  <si>
    <t>PA-0000157</t>
  </si>
  <si>
    <t>PO-000003</t>
  </si>
  <si>
    <t>LOM-0124</t>
  </si>
  <si>
    <t>Optical Coating Module 0124</t>
  </si>
  <si>
    <t>VEN-031</t>
  </si>
  <si>
    <t>Quantex Technologies</t>
  </si>
  <si>
    <t>United States</t>
  </si>
  <si>
    <t>PA-0000572</t>
  </si>
  <si>
    <t>PO-000004</t>
  </si>
  <si>
    <t>LOM-0094</t>
  </si>
  <si>
    <t>Fibre Connector Module 0094</t>
  </si>
  <si>
    <t>VEN-014</t>
  </si>
  <si>
    <t>Photonica Industries</t>
  </si>
  <si>
    <t>Preferred</t>
  </si>
  <si>
    <t>BUY-04</t>
  </si>
  <si>
    <t>Johan Lindberg</t>
  </si>
  <si>
    <t>PA-0000428</t>
  </si>
  <si>
    <t>PO-000005</t>
  </si>
  <si>
    <t>LOM-0013</t>
  </si>
  <si>
    <t>Precision Mount Component 0013</t>
  </si>
  <si>
    <t>Precision Mount</t>
  </si>
  <si>
    <t>Commodity</t>
  </si>
  <si>
    <t>VEN-008</t>
  </si>
  <si>
    <t>Meridian Photonics GmbH</t>
  </si>
  <si>
    <t>BUY-05</t>
  </si>
  <si>
    <t>Priya Raghunathan</t>
  </si>
  <si>
    <t>Mechanical &amp; Thermal</t>
  </si>
  <si>
    <t>PA-0000057</t>
  </si>
  <si>
    <t>PO-000006</t>
  </si>
  <si>
    <t>LOM-0027</t>
  </si>
  <si>
    <t>Lens Assembly Component 0027</t>
  </si>
  <si>
    <t>Lens Assembly</t>
  </si>
  <si>
    <t>VEN-018</t>
  </si>
  <si>
    <t>Northlight Industries</t>
  </si>
  <si>
    <t>Germany</t>
  </si>
  <si>
    <t>PA-0000122</t>
  </si>
  <si>
    <t>PO-000007</t>
  </si>
  <si>
    <t>LOM-0058</t>
  </si>
  <si>
    <t>Optical Fibre Module 0058</t>
  </si>
  <si>
    <t>Optical Fibre</t>
  </si>
  <si>
    <t>VEN-023</t>
  </si>
  <si>
    <t>Kestrel Optical Industries</t>
  </si>
  <si>
    <t>Switzerland</t>
  </si>
  <si>
    <t>PA-0000259</t>
  </si>
  <si>
    <t>PO-000008</t>
  </si>
  <si>
    <t>LOM-0080</t>
  </si>
  <si>
    <t>Laser Diode Module 0080</t>
  </si>
  <si>
    <t>Laser Diode</t>
  </si>
  <si>
    <t>VEN-004</t>
  </si>
  <si>
    <t>Spectra GmbH</t>
  </si>
  <si>
    <t>United Kingdom</t>
  </si>
  <si>
    <t>Strategic</t>
  </si>
  <si>
    <t>BUY-01</t>
  </si>
  <si>
    <t>Adaeze Okonkwo</t>
  </si>
  <si>
    <t>Optoelectronics</t>
  </si>
  <si>
    <t>PA-0000361</t>
  </si>
  <si>
    <t>PO-000009</t>
  </si>
  <si>
    <t>LOM-0109</t>
  </si>
  <si>
    <t>Precision Mount Assy 0109</t>
  </si>
  <si>
    <t>Critical</t>
  </si>
  <si>
    <t>VEN-010</t>
  </si>
  <si>
    <t>Vectra GmbH</t>
  </si>
  <si>
    <t>BUY-06</t>
  </si>
  <si>
    <t>Tomas Varga</t>
  </si>
  <si>
    <t>PA-0000497</t>
  </si>
  <si>
    <t>PO-000010</t>
  </si>
  <si>
    <t>LOM-0004</t>
  </si>
  <si>
    <t>Optical Coating Module 0004</t>
  </si>
  <si>
    <t>VEN-029</t>
  </si>
  <si>
    <t>Helix Optics Technologies</t>
  </si>
  <si>
    <t>PA-0000013</t>
  </si>
  <si>
    <t>PO-000011</t>
  </si>
  <si>
    <t>LOM-0072</t>
  </si>
  <si>
    <t>Laser Diode Component 0072</t>
  </si>
  <si>
    <t>VEN-012</t>
  </si>
  <si>
    <t>Aperture Industries</t>
  </si>
  <si>
    <t>BUY-02</t>
  </si>
  <si>
    <t>Rafael Duarte</t>
  </si>
  <si>
    <t>PA-0000328</t>
  </si>
  <si>
    <t>PO-000012</t>
  </si>
  <si>
    <t>LOM-0014</t>
  </si>
  <si>
    <t>Fibre Connector Component 0014</t>
  </si>
  <si>
    <t>PA-0000060</t>
  </si>
  <si>
    <t>PO-000013</t>
  </si>
  <si>
    <t>LOM-0054</t>
  </si>
  <si>
    <t>Fibre Connector Component 0054</t>
  </si>
  <si>
    <t>VEN-001</t>
  </si>
  <si>
    <t>Lumitek GmbH</t>
  </si>
  <si>
    <t>PA-0000238</t>
  </si>
  <si>
    <t>PO-000014</t>
  </si>
  <si>
    <t>LOM-0071</t>
  </si>
  <si>
    <t>Thermal Control Component 0071</t>
  </si>
  <si>
    <t>Thermal Control</t>
  </si>
  <si>
    <t>VEN-005</t>
  </si>
  <si>
    <t>Helix Optics GmbH</t>
  </si>
  <si>
    <t>PA-0000319</t>
  </si>
  <si>
    <t>PO-000015</t>
  </si>
  <si>
    <t>PO-000016</t>
  </si>
  <si>
    <t>PO-000017</t>
  </si>
  <si>
    <t>PO-000018</t>
  </si>
  <si>
    <t>VEN-028</t>
  </si>
  <si>
    <t>Spectra Technologies</t>
  </si>
  <si>
    <t>PA-0000063</t>
  </si>
  <si>
    <t>PO-000019</t>
  </si>
  <si>
    <t>PO-000020</t>
  </si>
  <si>
    <t>PO-000021</t>
  </si>
  <si>
    <t>PO-000022</t>
  </si>
  <si>
    <t>PO-000023</t>
  </si>
  <si>
    <t>PA-0000427</t>
  </si>
  <si>
    <t>PO-000024</t>
  </si>
  <si>
    <t>LOM-0099</t>
  </si>
  <si>
    <t>Lens Assembly Module 0099</t>
  </si>
  <si>
    <t>VEN-006</t>
  </si>
  <si>
    <t>Northlight GmbH</t>
  </si>
  <si>
    <t>PA-0000446</t>
  </si>
  <si>
    <t>PO-000025</t>
  </si>
  <si>
    <t>VEN-009</t>
  </si>
  <si>
    <t>Oribel GmbH</t>
  </si>
  <si>
    <t/>
  </si>
  <si>
    <t>PO-000026</t>
  </si>
  <si>
    <t>2023-02</t>
  </si>
  <si>
    <t>PO-000027</t>
  </si>
  <si>
    <t>PA-0000325</t>
  </si>
  <si>
    <t>PO-000028</t>
  </si>
  <si>
    <t>LOM-0084</t>
  </si>
  <si>
    <t>Optical Coating Module 0084</t>
  </si>
  <si>
    <t>VEN-016</t>
  </si>
  <si>
    <t>Spectra Industries</t>
  </si>
  <si>
    <t>PA-0000377</t>
  </si>
  <si>
    <t>PO-000029</t>
  </si>
  <si>
    <t>PA-0000449</t>
  </si>
  <si>
    <t>PO-000030</t>
  </si>
  <si>
    <t>LOM-0114</t>
  </si>
  <si>
    <t>Optical Fibre Assy 0114</t>
  </si>
  <si>
    <t>VEN-027</t>
  </si>
  <si>
    <t>Crystalline Technologies</t>
  </si>
  <si>
    <t>PA-0000525</t>
  </si>
  <si>
    <t>PO-000031</t>
  </si>
  <si>
    <t>LOM-0123</t>
  </si>
  <si>
    <t>Lens Assembly Assy 0123</t>
  </si>
  <si>
    <t>VEN-002</t>
  </si>
  <si>
    <t>Photonica GmbH</t>
  </si>
  <si>
    <t>PA-0000565</t>
  </si>
  <si>
    <t>PO-000032</t>
  </si>
  <si>
    <t>VEN-013</t>
  </si>
  <si>
    <t>Lumitek Industries</t>
  </si>
  <si>
    <t>PA-0000322</t>
  </si>
  <si>
    <t>PO-000033</t>
  </si>
  <si>
    <t>LOM-0096</t>
  </si>
  <si>
    <t>Laser Diode Module 0096</t>
  </si>
  <si>
    <t>VEN-011</t>
  </si>
  <si>
    <t>Kestrel Optical GmbH</t>
  </si>
  <si>
    <t>PA-0000434</t>
  </si>
  <si>
    <t>PO-000034</t>
  </si>
  <si>
    <t>PO-000035</t>
  </si>
  <si>
    <t>LOM-0138</t>
  </si>
  <si>
    <t>Optical Fibre Module 0138</t>
  </si>
  <si>
    <t>PO-000036</t>
  </si>
  <si>
    <t>LOM-0053</t>
  </si>
  <si>
    <t>Precision Mount Assy 0053</t>
  </si>
  <si>
    <t>VEN-026</t>
  </si>
  <si>
    <t>Photonica Technologies</t>
  </si>
  <si>
    <t>PA-0000237</t>
  </si>
  <si>
    <t>PO-000037</t>
  </si>
  <si>
    <t>PO-000038</t>
  </si>
  <si>
    <t>PO-000039</t>
  </si>
  <si>
    <t>LOM-0062</t>
  </si>
  <si>
    <t>Fibre Connector Module 0062</t>
  </si>
  <si>
    <t>VEN-034</t>
  </si>
  <si>
    <t>Vectra Technologies</t>
  </si>
  <si>
    <t>PA-0000277</t>
  </si>
  <si>
    <t>PO-000040</t>
  </si>
  <si>
    <t>LOM-0093</t>
  </si>
  <si>
    <t>Precision Mount Module 0093</t>
  </si>
  <si>
    <t>PA-0000424</t>
  </si>
  <si>
    <t>PO-000041</t>
  </si>
  <si>
    <t>PO-000042</t>
  </si>
  <si>
    <t>PO-000043</t>
  </si>
  <si>
    <t>LOM-0035</t>
  </si>
  <si>
    <t>Lens Assembly Assy 0035</t>
  </si>
  <si>
    <t>VEN-017</t>
  </si>
  <si>
    <t>Helix Optics Industries</t>
  </si>
  <si>
    <t>PA-0000155</t>
  </si>
  <si>
    <t>PO-000044</t>
  </si>
  <si>
    <t>LOM-0089</t>
  </si>
  <si>
    <t>Photodetector Assy 0089</t>
  </si>
  <si>
    <t>Photodetector</t>
  </si>
  <si>
    <t>PA-0000403</t>
  </si>
  <si>
    <t>PO-000045</t>
  </si>
  <si>
    <t>PO-000046</t>
  </si>
  <si>
    <t>LOM-0055</t>
  </si>
  <si>
    <t>Thermal Control Component 0055</t>
  </si>
  <si>
    <t>VEN-025</t>
  </si>
  <si>
    <t>Lumitek Technologies</t>
  </si>
  <si>
    <t>PA-X000002</t>
  </si>
  <si>
    <t>PO-000047</t>
  </si>
  <si>
    <t>PO-000048</t>
  </si>
  <si>
    <t>PO-000049</t>
  </si>
  <si>
    <t>PO-000050</t>
  </si>
  <si>
    <t>PA-0000120</t>
  </si>
  <si>
    <t>PO-000051</t>
  </si>
  <si>
    <t>LOM-0041</t>
  </si>
  <si>
    <t>Photodetector Component 0041</t>
  </si>
  <si>
    <t>PA-0000185</t>
  </si>
  <si>
    <t>PO-000052</t>
  </si>
  <si>
    <t>PO-000053</t>
  </si>
  <si>
    <t>LOM-0103</t>
  </si>
  <si>
    <t>Thermal Control Component 0103</t>
  </si>
  <si>
    <t>PA-0000467</t>
  </si>
  <si>
    <t>PO-000054</t>
  </si>
  <si>
    <t>LOM-0131</t>
  </si>
  <si>
    <t>Lens Assembly Assy 0131</t>
  </si>
  <si>
    <t>PA-0000605</t>
  </si>
  <si>
    <t>PO-000055</t>
  </si>
  <si>
    <t>PA-0000632</t>
  </si>
  <si>
    <t>PO-000056</t>
  </si>
  <si>
    <t>PO-000057</t>
  </si>
  <si>
    <t>PO-000058</t>
  </si>
  <si>
    <t>PO-000059</t>
  </si>
  <si>
    <t>LOM-0100</t>
  </si>
  <si>
    <t>Optical Coating Module 0100</t>
  </si>
  <si>
    <t>PA-0000455</t>
  </si>
  <si>
    <t>PO-000060</t>
  </si>
  <si>
    <t>PO-000061</t>
  </si>
  <si>
    <t>PO-000062</t>
  </si>
  <si>
    <t>LOM-0042</t>
  </si>
  <si>
    <t>Optical Fibre Assy 0042</t>
  </si>
  <si>
    <t>VEN-032</t>
  </si>
  <si>
    <t>Meridian Photonics Technologies</t>
  </si>
  <si>
    <t>PA-0000189</t>
  </si>
  <si>
    <t>PO-000063</t>
  </si>
  <si>
    <t>PO-000064</t>
  </si>
  <si>
    <t>PA-0000012</t>
  </si>
  <si>
    <t>PO-000065</t>
  </si>
  <si>
    <t>LOM-0006</t>
  </si>
  <si>
    <t>Fibre Connector Component 0006</t>
  </si>
  <si>
    <t>PA-0000022</t>
  </si>
  <si>
    <t>PO-000066</t>
  </si>
  <si>
    <t>PO-000067</t>
  </si>
  <si>
    <t>PO-000068</t>
  </si>
  <si>
    <t>LOM-0134</t>
  </si>
  <si>
    <t>Fibre Connector Assy 0134</t>
  </si>
  <si>
    <t>PA-0000618</t>
  </si>
  <si>
    <t>PO-000069</t>
  </si>
  <si>
    <t>LOM-0008</t>
  </si>
  <si>
    <t>Laser Diode Component 0008</t>
  </si>
  <si>
    <t>PA-0000032</t>
  </si>
  <si>
    <t>PO-000070</t>
  </si>
  <si>
    <t>LOM-0066</t>
  </si>
  <si>
    <t>Optical Fibre Assy 0066</t>
  </si>
  <si>
    <t>PA-0000297</t>
  </si>
  <si>
    <t>PO-000071</t>
  </si>
  <si>
    <t>VEN-019</t>
  </si>
  <si>
    <t>Quantex Industries</t>
  </si>
  <si>
    <t>PA-0000452</t>
  </si>
  <si>
    <t>PO-000072</t>
  </si>
  <si>
    <t>LOM-0077</t>
  </si>
  <si>
    <t>Precision Mount Assy 0077</t>
  </si>
  <si>
    <t>VEN-024</t>
  </si>
  <si>
    <t>Aperture Technologies</t>
  </si>
  <si>
    <t>PA-0000352</t>
  </si>
  <si>
    <t>PO-000073</t>
  </si>
  <si>
    <t>PA-0000349</t>
  </si>
  <si>
    <t>PO-000074</t>
  </si>
  <si>
    <t>LOM-0012</t>
  </si>
  <si>
    <t>Optical Coating Component 0012</t>
  </si>
  <si>
    <t>PO-000075</t>
  </si>
  <si>
    <t>LOM-0038</t>
  </si>
  <si>
    <t>Fibre Connector Component 0038</t>
  </si>
  <si>
    <t>PA-0000169</t>
  </si>
  <si>
    <t>PO-000076</t>
  </si>
  <si>
    <t>PO-000077</t>
  </si>
  <si>
    <t>PO-000078</t>
  </si>
  <si>
    <t>PO-000079</t>
  </si>
  <si>
    <t>LOM-0085</t>
  </si>
  <si>
    <t>Precision Mount Component 0085</t>
  </si>
  <si>
    <t>VEN-022</t>
  </si>
  <si>
    <t>Vectra Industries</t>
  </si>
  <si>
    <t>PO-000080</t>
  </si>
  <si>
    <t>LOM-0092</t>
  </si>
  <si>
    <t>Optical Coating Component 0092</t>
  </si>
  <si>
    <t>PA-0000419</t>
  </si>
  <si>
    <t>PO-000081</t>
  </si>
  <si>
    <t>PA-0000421</t>
  </si>
  <si>
    <t>PO-000082</t>
  </si>
  <si>
    <t>PO-000083</t>
  </si>
  <si>
    <t>PA-0000469</t>
  </si>
  <si>
    <t>PO-000084</t>
  </si>
  <si>
    <t>PO-000085</t>
  </si>
  <si>
    <t>PO-000086</t>
  </si>
  <si>
    <t>PO-000087</t>
  </si>
  <si>
    <t>PO-000088</t>
  </si>
  <si>
    <t>PO-000089</t>
  </si>
  <si>
    <t>2023-03</t>
  </si>
  <si>
    <t>PO-000090</t>
  </si>
  <si>
    <t>LOM-0070</t>
  </si>
  <si>
    <t>Fibre Connector Component 0070</t>
  </si>
  <si>
    <t>VEN-007</t>
  </si>
  <si>
    <t>Quantex GmbH</t>
  </si>
  <si>
    <t>PA-0000316</t>
  </si>
  <si>
    <t>PO-000091</t>
  </si>
  <si>
    <t>PO-000092</t>
  </si>
  <si>
    <t>PO-000093</t>
  </si>
  <si>
    <t>PO-000094</t>
  </si>
  <si>
    <t>PO-000095</t>
  </si>
  <si>
    <t>PA-0000035</t>
  </si>
  <si>
    <t>PO-000096</t>
  </si>
  <si>
    <t>PO-000097</t>
  </si>
  <si>
    <t>LOM-0115</t>
  </si>
  <si>
    <t>Lens Assembly Module 0115</t>
  </si>
  <si>
    <t>PA-0000530</t>
  </si>
  <si>
    <t>PO-000098</t>
  </si>
  <si>
    <t>LOM-0032</t>
  </si>
  <si>
    <t>Laser Diode Component 0032</t>
  </si>
  <si>
    <t>PA-0000143</t>
  </si>
  <si>
    <t>PO-000099</t>
  </si>
  <si>
    <t>LOM-0043</t>
  </si>
  <si>
    <t>Lens Assembly Module 0043</t>
  </si>
  <si>
    <t>PA-0000192</t>
  </si>
  <si>
    <t>PO-000100</t>
  </si>
  <si>
    <t>PO-000101</t>
  </si>
  <si>
    <t>LOM-0009</t>
  </si>
  <si>
    <t>Photodetector Module 0009</t>
  </si>
  <si>
    <t>PA-0000039</t>
  </si>
  <si>
    <t>PO-000102</t>
  </si>
  <si>
    <t>LOM-0048</t>
  </si>
  <si>
    <t>Laser Diode Module 0048</t>
  </si>
  <si>
    <t>PA-0000210</t>
  </si>
  <si>
    <t>PO-000103</t>
  </si>
  <si>
    <t>LOM-0025</t>
  </si>
  <si>
    <t>Photodetector Module 0025</t>
  </si>
  <si>
    <t>PA-0000114</t>
  </si>
  <si>
    <t>PO-000104</t>
  </si>
  <si>
    <t>LOM-0028</t>
  </si>
  <si>
    <t>Optical Coating Module 0028</t>
  </si>
  <si>
    <t>PA-0000125</t>
  </si>
  <si>
    <t>PO-000105</t>
  </si>
  <si>
    <t>LOM-0073</t>
  </si>
  <si>
    <t>Photodetector Component 0073</t>
  </si>
  <si>
    <t>PA-0000329</t>
  </si>
  <si>
    <t>PO-000106</t>
  </si>
  <si>
    <t>PO-000107</t>
  </si>
  <si>
    <t>PO-000108</t>
  </si>
  <si>
    <t>PO-000109</t>
  </si>
  <si>
    <t>PO-000110</t>
  </si>
  <si>
    <t>LOM-0126</t>
  </si>
  <si>
    <t>Fibre Connector Module 0126</t>
  </si>
  <si>
    <t>PA-0000579</t>
  </si>
  <si>
    <t>PO-000111</t>
  </si>
  <si>
    <t>PO-000112</t>
  </si>
  <si>
    <t>LOM-0140</t>
  </si>
  <si>
    <t>Optical Coating Module 0140</t>
  </si>
  <si>
    <t>PA-0000647</t>
  </si>
  <si>
    <t>PO-000113</t>
  </si>
  <si>
    <t>LOM-0017</t>
  </si>
  <si>
    <t>Photodetector Module 0017</t>
  </si>
  <si>
    <t>PA-0000075</t>
  </si>
  <si>
    <t>PO-000114</t>
  </si>
  <si>
    <t>PO-000115</t>
  </si>
  <si>
    <t>LOM-0056</t>
  </si>
  <si>
    <t>Laser Diode Module 0056</t>
  </si>
  <si>
    <t>PA-0000251</t>
  </si>
  <si>
    <t>PO-000116</t>
  </si>
  <si>
    <t>PO-000117</t>
  </si>
  <si>
    <t>LOM-0129</t>
  </si>
  <si>
    <t>Photodetector Module 0129</t>
  </si>
  <si>
    <t>PA-0000599</t>
  </si>
  <si>
    <t>PO-000118</t>
  </si>
  <si>
    <t>LOM-0063</t>
  </si>
  <si>
    <t>Thermal Control Component 0063</t>
  </si>
  <si>
    <t>PO-000119</t>
  </si>
  <si>
    <t>LOM-0090</t>
  </si>
  <si>
    <t>Optical Fibre Component 0090</t>
  </si>
  <si>
    <t>PA-0000407</t>
  </si>
  <si>
    <t>PO-000120</t>
  </si>
  <si>
    <t>LOM-0102</t>
  </si>
  <si>
    <t>Fibre Connector Component 0102</t>
  </si>
  <si>
    <t>PA-0000461</t>
  </si>
  <si>
    <t>PO-000121</t>
  </si>
  <si>
    <t>PO-000122</t>
  </si>
  <si>
    <t>PA-0000644</t>
  </si>
  <si>
    <t>PO-000123</t>
  </si>
  <si>
    <t>LOM-0044</t>
  </si>
  <si>
    <t>Optical Coating Assy 0044</t>
  </si>
  <si>
    <t>PA-0000194</t>
  </si>
  <si>
    <t>PO-000124</t>
  </si>
  <si>
    <t>PO-000125</t>
  </si>
  <si>
    <t>PO-000126</t>
  </si>
  <si>
    <t>PO-000127</t>
  </si>
  <si>
    <t>LOM-0034</t>
  </si>
  <si>
    <t>Optical Fibre Assy 0034</t>
  </si>
  <si>
    <t>PA-0000150</t>
  </si>
  <si>
    <t>PO-000128</t>
  </si>
  <si>
    <t>PO-000129</t>
  </si>
  <si>
    <t>LOM-0064</t>
  </si>
  <si>
    <t>Laser Diode Component 0064</t>
  </si>
  <si>
    <t>PO-000130</t>
  </si>
  <si>
    <t>PA-0000464</t>
  </si>
  <si>
    <t>PO-000131</t>
  </si>
  <si>
    <t>LOM-0116</t>
  </si>
  <si>
    <t>Optical Coating Assy 0116</t>
  </si>
  <si>
    <t>PA-0000533</t>
  </si>
  <si>
    <t>PO-000132</t>
  </si>
  <si>
    <t>VEN-035</t>
  </si>
  <si>
    <t>Kestrel Optical Technologies</t>
  </si>
  <si>
    <t>PA-0000172</t>
  </si>
  <si>
    <t>PO-000133</t>
  </si>
  <si>
    <t>LOM-0088</t>
  </si>
  <si>
    <t>Laser Diode Component 0088</t>
  </si>
  <si>
    <t>PA-0000397</t>
  </si>
  <si>
    <t>PO-000134</t>
  </si>
  <si>
    <t>LOM-0119</t>
  </si>
  <si>
    <t>Thermal Control Module 0119</t>
  </si>
  <si>
    <t>PA-0000549</t>
  </si>
  <si>
    <t>PO-000135</t>
  </si>
  <si>
    <t>LOM-0135</t>
  </si>
  <si>
    <t>Thermal Control Component 0135</t>
  </si>
  <si>
    <t>PA-X000006</t>
  </si>
  <si>
    <t>PO-000136</t>
  </si>
  <si>
    <t>PO-000137</t>
  </si>
  <si>
    <t>LOM-0029</t>
  </si>
  <si>
    <t>Precision Mount Component 0029</t>
  </si>
  <si>
    <t>PA-0000129</t>
  </si>
  <si>
    <t>PO-000138</t>
  </si>
  <si>
    <t>PO-000139</t>
  </si>
  <si>
    <t>PO-000140</t>
  </si>
  <si>
    <t>LOM-0132</t>
  </si>
  <si>
    <t>Optical Coating Assy 0132</t>
  </si>
  <si>
    <t>PA-0000608</t>
  </si>
  <si>
    <t>PO-000141</t>
  </si>
  <si>
    <t>LOM-0033</t>
  </si>
  <si>
    <t>Photodetector Module 0033</t>
  </si>
  <si>
    <t>VEN-003</t>
  </si>
  <si>
    <t>Crystalline GmbH</t>
  </si>
  <si>
    <t>PA-0000149</t>
  </si>
  <si>
    <t>PO-000142</t>
  </si>
  <si>
    <t>LOM-0060</t>
  </si>
  <si>
    <t>Optical Coating Module 0060</t>
  </si>
  <si>
    <t>PA-0000270</t>
  </si>
  <si>
    <t>PO-000143</t>
  </si>
  <si>
    <t>PO-000144</t>
  </si>
  <si>
    <t>PO-000145</t>
  </si>
  <si>
    <t>PO-000146</t>
  </si>
  <si>
    <t>PO-000147</t>
  </si>
  <si>
    <t>PO-000148</t>
  </si>
  <si>
    <t>PO-000149</t>
  </si>
  <si>
    <t>PO-000150</t>
  </si>
  <si>
    <t>PA-0000241</t>
  </si>
  <si>
    <t>PO-000151</t>
  </si>
  <si>
    <t>LOM-0107</t>
  </si>
  <si>
    <t>Lens Assembly Module 0107</t>
  </si>
  <si>
    <t>PA-0000485</t>
  </si>
  <si>
    <t>PO-000152</t>
  </si>
  <si>
    <t>PO-000153</t>
  </si>
  <si>
    <t>LOM-0005</t>
  </si>
  <si>
    <t>Precision Mount Component 0005</t>
  </si>
  <si>
    <t>PA-0000016</t>
  </si>
  <si>
    <t>PO-000154</t>
  </si>
  <si>
    <t>PO-000155</t>
  </si>
  <si>
    <t>PO-000156</t>
  </si>
  <si>
    <t>PO-000157</t>
  </si>
  <si>
    <t>LOM-0007</t>
  </si>
  <si>
    <t>Thermal Control Module 0007</t>
  </si>
  <si>
    <t>PA-0000031</t>
  </si>
  <si>
    <t>PO-000158</t>
  </si>
  <si>
    <t>LOM-0020</t>
  </si>
  <si>
    <t>Optical Coating Component 0020</t>
  </si>
  <si>
    <t>PA-0000089</t>
  </si>
  <si>
    <t>PO-000159</t>
  </si>
  <si>
    <t>PO-000160</t>
  </si>
  <si>
    <t>PO-000161</t>
  </si>
  <si>
    <t>PO-000162</t>
  </si>
  <si>
    <t>LOM-0051</t>
  </si>
  <si>
    <t>Lens Assembly Assy 0051</t>
  </si>
  <si>
    <t>PA-0000225</t>
  </si>
  <si>
    <t>PO-000163</t>
  </si>
  <si>
    <t>PO-000164</t>
  </si>
  <si>
    <t>PO-000165</t>
  </si>
  <si>
    <t>LOM-0136</t>
  </si>
  <si>
    <t>Laser Diode Assy 0136</t>
  </si>
  <si>
    <t>PA-0000627</t>
  </si>
  <si>
    <t>PO-000166</t>
  </si>
  <si>
    <t>LOM-0018</t>
  </si>
  <si>
    <t>Optical Fibre Component 0018</t>
  </si>
  <si>
    <t>PA-0000084</t>
  </si>
  <si>
    <t>PO-000167</t>
  </si>
  <si>
    <t>LOM-0067</t>
  </si>
  <si>
    <t>Lens Assembly Assy 0067</t>
  </si>
  <si>
    <t>PA-0000303</t>
  </si>
  <si>
    <t>PO-000168</t>
  </si>
  <si>
    <t>PO-000169</t>
  </si>
  <si>
    <t>PO-000170</t>
  </si>
  <si>
    <t>PO-000171</t>
  </si>
  <si>
    <t>PO-000172</t>
  </si>
  <si>
    <t>PA-0000213</t>
  </si>
  <si>
    <t>PO-000173</t>
  </si>
  <si>
    <t>PO-000174</t>
  </si>
  <si>
    <t>PO-000175</t>
  </si>
  <si>
    <t>PA-0000248</t>
  </si>
  <si>
    <t>PO-000176</t>
  </si>
  <si>
    <t>PO-000177</t>
  </si>
  <si>
    <t>PA-0000386</t>
  </si>
  <si>
    <t>PO-000178</t>
  </si>
  <si>
    <t>PO-000179</t>
  </si>
  <si>
    <t>LOM-0122</t>
  </si>
  <si>
    <t>Optical Fibre Component 0122</t>
  </si>
  <si>
    <t>PA-0000561</t>
  </si>
  <si>
    <t>PO-000180</t>
  </si>
  <si>
    <t>PO-000181</t>
  </si>
  <si>
    <t>PO-000182</t>
  </si>
  <si>
    <t>PA-0000054</t>
  </si>
  <si>
    <t>PO-000183</t>
  </si>
  <si>
    <t>PA-0000128</t>
  </si>
  <si>
    <t>PO-000184</t>
  </si>
  <si>
    <t>PO-000185</t>
  </si>
  <si>
    <t>LOM-0057</t>
  </si>
  <si>
    <t>Photodetector Module 0057</t>
  </si>
  <si>
    <t>PA-0000254</t>
  </si>
  <si>
    <t>PO-000186</t>
  </si>
  <si>
    <t>LOM-0139</t>
  </si>
  <si>
    <t>Lens Assembly Assy 0139</t>
  </si>
  <si>
    <t>VEN-021</t>
  </si>
  <si>
    <t>Oribel Industries</t>
  </si>
  <si>
    <t>PA-0000641</t>
  </si>
  <si>
    <t>PO-000187</t>
  </si>
  <si>
    <t>PO-000188</t>
  </si>
  <si>
    <t>LOM-0030</t>
  </si>
  <si>
    <t>Fibre Connector Component 0030</t>
  </si>
  <si>
    <t>PA-0000134</t>
  </si>
  <si>
    <t>PO-000189</t>
  </si>
  <si>
    <t>LOM-0040</t>
  </si>
  <si>
    <t>Laser Diode Component 0040</t>
  </si>
  <si>
    <t>PA-0000182</t>
  </si>
  <si>
    <t>PO-000190</t>
  </si>
  <si>
    <t>LOM-0052</t>
  </si>
  <si>
    <t>Optical Coating Module 0052</t>
  </si>
  <si>
    <t>PA-0000231</t>
  </si>
  <si>
    <t>PO-000191</t>
  </si>
  <si>
    <t>LOM-0061</t>
  </si>
  <si>
    <t>Precision Mount Module 0061</t>
  </si>
  <si>
    <t>PA-0000271</t>
  </si>
  <si>
    <t>PO-000192</t>
  </si>
  <si>
    <t>PO-000193</t>
  </si>
  <si>
    <t>2023-04</t>
  </si>
  <si>
    <t>PA-0000283</t>
  </si>
  <si>
    <t>PO-000194</t>
  </si>
  <si>
    <t>PO-000195</t>
  </si>
  <si>
    <t>LOM-0024</t>
  </si>
  <si>
    <t>Laser Diode Module 0024</t>
  </si>
  <si>
    <t>PA-0000111</t>
  </si>
  <si>
    <t>PO-000196</t>
  </si>
  <si>
    <t>PO-000197</t>
  </si>
  <si>
    <t>PO-000198</t>
  </si>
  <si>
    <t>PA-0000332</t>
  </si>
  <si>
    <t>PO-000199</t>
  </si>
  <si>
    <t>PO-000200</t>
  </si>
  <si>
    <t>PO-000201</t>
  </si>
  <si>
    <t>LOM-0120</t>
  </si>
  <si>
    <t>Laser Diode Component 0120</t>
  </si>
  <si>
    <t>PA-0000550</t>
  </si>
  <si>
    <t>PO-000202</t>
  </si>
  <si>
    <t>PO-000203</t>
  </si>
  <si>
    <t>PO-000204</t>
  </si>
  <si>
    <t>LOM-0039</t>
  </si>
  <si>
    <t>Thermal Control Component 0039</t>
  </si>
  <si>
    <t>PO-000205</t>
  </si>
  <si>
    <t>PO-000206</t>
  </si>
  <si>
    <t>PO-000207</t>
  </si>
  <si>
    <t>PO-000208</t>
  </si>
  <si>
    <t>PA-0000416</t>
  </si>
  <si>
    <t>PO-000209</t>
  </si>
  <si>
    <t>PO-000210</t>
  </si>
  <si>
    <t>PO-000211</t>
  </si>
  <si>
    <t>PO-000212</t>
  </si>
  <si>
    <t>LOM-0079</t>
  </si>
  <si>
    <t>Thermal Control Module 0079</t>
  </si>
  <si>
    <t>PA-0000358</t>
  </si>
  <si>
    <t>PO-000213</t>
  </si>
  <si>
    <t>LOM-0095</t>
  </si>
  <si>
    <t>Thermal Control Component 0095</t>
  </si>
  <si>
    <t>PA-X000004</t>
  </si>
  <si>
    <t>PO-000214</t>
  </si>
  <si>
    <t>PO-000215</t>
  </si>
  <si>
    <t>PO-000216</t>
  </si>
  <si>
    <t>PO-000217</t>
  </si>
  <si>
    <t>PO-000218</t>
  </si>
  <si>
    <t>PO-000219</t>
  </si>
  <si>
    <t>LOM-0127</t>
  </si>
  <si>
    <t>Thermal Control Assy 0127</t>
  </si>
  <si>
    <t>PA-0000587</t>
  </si>
  <si>
    <t>PO-000220</t>
  </si>
  <si>
    <t>LOM-0001</t>
  </si>
  <si>
    <t>Photodetector Assy 0001</t>
  </si>
  <si>
    <t>VEN-015</t>
  </si>
  <si>
    <t>Crystalline Industries</t>
  </si>
  <si>
    <t>PA-0000001</t>
  </si>
  <si>
    <t>PO-000221</t>
  </si>
  <si>
    <t>LOM-0002</t>
  </si>
  <si>
    <t>Optical Fibre Component 0002</t>
  </si>
  <si>
    <t>PA-0000003</t>
  </si>
  <si>
    <t>PO-000222</t>
  </si>
  <si>
    <t>PO-000223</t>
  </si>
  <si>
    <t>LOM-0047</t>
  </si>
  <si>
    <t>Thermal Control Component 0047</t>
  </si>
  <si>
    <t>PA-0000209</t>
  </si>
  <si>
    <t>PO-000224</t>
  </si>
  <si>
    <t>PO-000225</t>
  </si>
  <si>
    <t>PO-000226</t>
  </si>
  <si>
    <t>PA-0000638</t>
  </si>
  <si>
    <t>PO-000227</t>
  </si>
  <si>
    <t>PO-000228</t>
  </si>
  <si>
    <t>LOM-0045</t>
  </si>
  <si>
    <t>Precision Mount Module 0045</t>
  </si>
  <si>
    <t>PA-0000202</t>
  </si>
  <si>
    <t>PO-000229</t>
  </si>
  <si>
    <t>PO-000230</t>
  </si>
  <si>
    <t>PO-000231</t>
  </si>
  <si>
    <t>PO-000232</t>
  </si>
  <si>
    <t>PO-000233</t>
  </si>
  <si>
    <t>PO-000234</t>
  </si>
  <si>
    <t>PO-000235</t>
  </si>
  <si>
    <t>PO-000236</t>
  </si>
  <si>
    <t>PO-000237</t>
  </si>
  <si>
    <t>LOM-0016</t>
  </si>
  <si>
    <t>Laser Diode Assy 0016</t>
  </si>
  <si>
    <t>PA-0000072</t>
  </si>
  <si>
    <t>PO-000238</t>
  </si>
  <si>
    <t>PO-000239</t>
  </si>
  <si>
    <t>PO-000240</t>
  </si>
  <si>
    <t>LOM-0125</t>
  </si>
  <si>
    <t>Precision Mount Component 0125</t>
  </si>
  <si>
    <t>PA-0000578</t>
  </si>
  <si>
    <t>PO-000241</t>
  </si>
  <si>
    <t>PO-000242</t>
  </si>
  <si>
    <t>PA-0000635</t>
  </si>
  <si>
    <t>PO-000243</t>
  </si>
  <si>
    <t>PO-000244</t>
  </si>
  <si>
    <t>PO-000245</t>
  </si>
  <si>
    <t>PO-000246</t>
  </si>
  <si>
    <t>PA-0000624</t>
  </si>
  <si>
    <t>PO-000247</t>
  </si>
  <si>
    <t>PA-0000180</t>
  </si>
  <si>
    <t>PO-000248</t>
  </si>
  <si>
    <t>PO-000249</t>
  </si>
  <si>
    <t>PO-000250</t>
  </si>
  <si>
    <t>LOM-0081</t>
  </si>
  <si>
    <t>Photodetector Module 0081</t>
  </si>
  <si>
    <t>PA-0000368</t>
  </si>
  <si>
    <t>PO-000251</t>
  </si>
  <si>
    <t>LOM-0091</t>
  </si>
  <si>
    <t>Lens Assembly Component 0091</t>
  </si>
  <si>
    <t>PA-0000410</t>
  </si>
  <si>
    <t>PO-000252</t>
  </si>
  <si>
    <t>LOM-0110</t>
  </si>
  <si>
    <t>Fibre Connector Component 0110</t>
  </si>
  <si>
    <t>PA-0000500</t>
  </si>
  <si>
    <t>PO-000253</t>
  </si>
  <si>
    <t>LOM-0118</t>
  </si>
  <si>
    <t>Fibre Connector Component 0118</t>
  </si>
  <si>
    <t>PA-0000540</t>
  </si>
  <si>
    <t>PO-000254</t>
  </si>
  <si>
    <t>PA-0000563</t>
  </si>
  <si>
    <t>PO-000255</t>
  </si>
  <si>
    <t>PO-000256</t>
  </si>
  <si>
    <t>LOM-0059</t>
  </si>
  <si>
    <t>Lens Assembly Component 0059</t>
  </si>
  <si>
    <t>PA-0000264</t>
  </si>
  <si>
    <t>PO-000257</t>
  </si>
  <si>
    <t>PO-000258</t>
  </si>
  <si>
    <t>PO-000259</t>
  </si>
  <si>
    <t>PO-000260</t>
  </si>
  <si>
    <t>PO-000261</t>
  </si>
  <si>
    <t>LOM-0068</t>
  </si>
  <si>
    <t>Optical Coating Module 0068</t>
  </si>
  <si>
    <t>PA-0000309</t>
  </si>
  <si>
    <t>PO-000262</t>
  </si>
  <si>
    <t>PA-0000306</t>
  </si>
  <si>
    <t>PO-000263</t>
  </si>
  <si>
    <t>PO-000264</t>
  </si>
  <si>
    <t>PO-000265</t>
  </si>
  <si>
    <t>PO-000266</t>
  </si>
  <si>
    <t>PA-0000413</t>
  </si>
  <si>
    <t>PO-000267</t>
  </si>
  <si>
    <t>LOM-0015</t>
  </si>
  <si>
    <t>Thermal Control Module 0015</t>
  </si>
  <si>
    <t>PA-0000069</t>
  </si>
  <si>
    <t>PO-000268</t>
  </si>
  <si>
    <t>PO-000269</t>
  </si>
  <si>
    <t>PO-000270</t>
  </si>
  <si>
    <t>PO-000271</t>
  </si>
  <si>
    <t>LOM-0078</t>
  </si>
  <si>
    <t>Fibre Connector Assy 0078</t>
  </si>
  <si>
    <t>PA-0000355</t>
  </si>
  <si>
    <t>PO-000272</t>
  </si>
  <si>
    <t>PO-000273</t>
  </si>
  <si>
    <t>PO-000274</t>
  </si>
  <si>
    <t>PO-000275</t>
  </si>
  <si>
    <t>PO-000276</t>
  </si>
  <si>
    <t>PA-0000175</t>
  </si>
  <si>
    <t>PO-000277</t>
  </si>
  <si>
    <t>PA-0000365</t>
  </si>
  <si>
    <t>PO-000278</t>
  </si>
  <si>
    <t>PO-000279</t>
  </si>
  <si>
    <t>PO-000280</t>
  </si>
  <si>
    <t>LOM-0113</t>
  </si>
  <si>
    <t>Photodetector Module 0113</t>
  </si>
  <si>
    <t>PA-0000516</t>
  </si>
  <si>
    <t>PO-000281</t>
  </si>
  <si>
    <t>PO-000282</t>
  </si>
  <si>
    <t>LOM-0133</t>
  </si>
  <si>
    <t>Precision Mount Module 0133</t>
  </si>
  <si>
    <t>PA-0000612</t>
  </si>
  <si>
    <t>PO-000283</t>
  </si>
  <si>
    <t>PO-000284</t>
  </si>
  <si>
    <t>PO-000285</t>
  </si>
  <si>
    <t>PA-0000242</t>
  </si>
  <si>
    <t>PO-000286</t>
  </si>
  <si>
    <t>PO-000287</t>
  </si>
  <si>
    <t>PO-000288</t>
  </si>
  <si>
    <t>LOM-0011</t>
  </si>
  <si>
    <t>Lens Assembly Module 0011</t>
  </si>
  <si>
    <t>VEN-036</t>
  </si>
  <si>
    <t>PA-X000001</t>
  </si>
  <si>
    <t>PO-000289</t>
  </si>
  <si>
    <t>PO-000290</t>
  </si>
  <si>
    <t>PO-000291</t>
  </si>
  <si>
    <t>LOM-0075</t>
  </si>
  <si>
    <t>Lens Assembly Module 0075</t>
  </si>
  <si>
    <t>VEN-030</t>
  </si>
  <si>
    <t>Northlight Technologies</t>
  </si>
  <si>
    <t>PA-0000337</t>
  </si>
  <si>
    <t>PO-000292</t>
  </si>
  <si>
    <t>PA-0000380</t>
  </si>
  <si>
    <t>PO-000293</t>
  </si>
  <si>
    <t>PA-0000519</t>
  </si>
  <si>
    <t>PO-000294</t>
  </si>
  <si>
    <t>PO-000295</t>
  </si>
  <si>
    <t>PO-000296</t>
  </si>
  <si>
    <t>PO-000297</t>
  </si>
  <si>
    <t>PO-000298</t>
  </si>
  <si>
    <t>LOM-0083</t>
  </si>
  <si>
    <t>Lens Assembly Assy 0083</t>
  </si>
  <si>
    <t>PA-0000374</t>
  </si>
  <si>
    <t>PO-000299</t>
  </si>
  <si>
    <t>LOM-0087</t>
  </si>
  <si>
    <t>Thermal Control Component 0087</t>
  </si>
  <si>
    <t>PA-0000392</t>
  </si>
  <si>
    <t>PO-000300</t>
  </si>
  <si>
    <t>PO-000301</t>
  </si>
  <si>
    <t>PO-000302</t>
  </si>
  <si>
    <t>PA-0000609</t>
  </si>
  <si>
    <t>PO-000303</t>
  </si>
  <si>
    <t>PO-000304</t>
  </si>
  <si>
    <t>PO-000305</t>
  </si>
  <si>
    <t>LOM-0003</t>
  </si>
  <si>
    <t>Lens Assembly Component 0003</t>
  </si>
  <si>
    <t>PA-0000006</t>
  </si>
  <si>
    <t>PO-000306</t>
  </si>
  <si>
    <t>PA-0000052</t>
  </si>
  <si>
    <t>PO-000307</t>
  </si>
  <si>
    <t>LOM-0023</t>
  </si>
  <si>
    <t>Thermal Control Module 0023</t>
  </si>
  <si>
    <t>PA-0000108</t>
  </si>
  <si>
    <t>PO-000308</t>
  </si>
  <si>
    <t>PO-000309</t>
  </si>
  <si>
    <t>LOM-0037</t>
  </si>
  <si>
    <t>Precision Mount Module 0037</t>
  </si>
  <si>
    <t>PA-0000166</t>
  </si>
  <si>
    <t>PO-000310</t>
  </si>
  <si>
    <t>PO-000311</t>
  </si>
  <si>
    <t>PO-000312</t>
  </si>
  <si>
    <t>PO-000313</t>
  </si>
  <si>
    <t>LOM-0097</t>
  </si>
  <si>
    <t>Photodetector Module 0097</t>
  </si>
  <si>
    <t>PA-0000435</t>
  </si>
  <si>
    <t>PO-000314</t>
  </si>
  <si>
    <t>PA-0000488</t>
  </si>
  <si>
    <t>PO-000315</t>
  </si>
  <si>
    <t>PA-0000002</t>
  </si>
  <si>
    <t>PO-000316</t>
  </si>
  <si>
    <t>PO-000317</t>
  </si>
  <si>
    <t>PO-000318</t>
  </si>
  <si>
    <t>PO-000319</t>
  </si>
  <si>
    <t>PO-000320</t>
  </si>
  <si>
    <t>PO-000321</t>
  </si>
  <si>
    <t>PO-000322</t>
  </si>
  <si>
    <t>LOM-0104</t>
  </si>
  <si>
    <t>Laser Diode Component 0104</t>
  </si>
  <si>
    <t>PA-0000472</t>
  </si>
  <si>
    <t>PO-000323</t>
  </si>
  <si>
    <t>PO-000324</t>
  </si>
  <si>
    <t>PO-000325</t>
  </si>
  <si>
    <t>PO-000326</t>
  </si>
  <si>
    <t>LOM-0065</t>
  </si>
  <si>
    <t>Photodetector Assy 0065</t>
  </si>
  <si>
    <t>PA-0000294</t>
  </si>
  <si>
    <t>PO-000327</t>
  </si>
  <si>
    <t>PA-0000340</t>
  </si>
  <si>
    <t>PO-000328</t>
  </si>
  <si>
    <t>PA-0000383</t>
  </si>
  <si>
    <t>PO-000329</t>
  </si>
  <si>
    <t>PA-0000405</t>
  </si>
  <si>
    <t>PO-000330</t>
  </si>
  <si>
    <t>PO-000331</t>
  </si>
  <si>
    <t>PO-000332</t>
  </si>
  <si>
    <t>PO-000333</t>
  </si>
  <si>
    <t>2023-05</t>
  </si>
  <si>
    <t>PO-000334</t>
  </si>
  <si>
    <t>LOM-0010</t>
  </si>
  <si>
    <t>Optical Fibre Module 0010</t>
  </si>
  <si>
    <t>PA-0000045</t>
  </si>
  <si>
    <t>PO-000335</t>
  </si>
  <si>
    <t>PO-000336</t>
  </si>
  <si>
    <t>PA-0000262</t>
  </si>
  <si>
    <t>PO-000337</t>
  </si>
  <si>
    <t>PO-000338</t>
  </si>
  <si>
    <t>PO-000339</t>
  </si>
  <si>
    <t>PO-000340</t>
  </si>
  <si>
    <t>PO-000341</t>
  </si>
  <si>
    <t>LOM-0130</t>
  </si>
  <si>
    <t>Optical Fibre Assy 0130</t>
  </si>
  <si>
    <t>PA-0000602</t>
  </si>
  <si>
    <t>PO-D00001</t>
  </si>
  <si>
    <t>PO-000342</t>
  </si>
  <si>
    <t>PA-0000146</t>
  </si>
  <si>
    <t>PO-000343</t>
  </si>
  <si>
    <t>LOM-0049</t>
  </si>
  <si>
    <t>Photodetector Module 0049</t>
  </si>
  <si>
    <t>PA-0000214</t>
  </si>
  <si>
    <t>PO-000344</t>
  </si>
  <si>
    <t>PO-000345</t>
  </si>
  <si>
    <t>PO-000346</t>
  </si>
  <si>
    <t>PO-000347</t>
  </si>
  <si>
    <t>PO-000348</t>
  </si>
  <si>
    <t>PA-0000078</t>
  </si>
  <si>
    <t>PO-000349</t>
  </si>
  <si>
    <t>PO-000350</t>
  </si>
  <si>
    <t>PO-000351</t>
  </si>
  <si>
    <t>PA-0000217</t>
  </si>
  <si>
    <t>PO-000352</t>
  </si>
  <si>
    <t>PO-000353</t>
  </si>
  <si>
    <t>LOM-0117</t>
  </si>
  <si>
    <t>Precision Mount Component 0117</t>
  </si>
  <si>
    <t>PA-0000536</t>
  </si>
  <si>
    <t>PO-000354</t>
  </si>
  <si>
    <t>PO-000355</t>
  </si>
  <si>
    <t>PO-000356</t>
  </si>
  <si>
    <t>PA-0000092</t>
  </si>
  <si>
    <t>PO-000357</t>
  </si>
  <si>
    <t>PO-000358</t>
  </si>
  <si>
    <t>PO-000359</t>
  </si>
  <si>
    <t>PO-000360</t>
  </si>
  <si>
    <t>PO-000361</t>
  </si>
  <si>
    <t>PO-000362</t>
  </si>
  <si>
    <t>PO-000363</t>
  </si>
  <si>
    <t>PO-000364</t>
  </si>
  <si>
    <t>PO-000365</t>
  </si>
  <si>
    <t>PO-000366</t>
  </si>
  <si>
    <t>LOM-0112</t>
  </si>
  <si>
    <t>Laser Diode Component 0112</t>
  </si>
  <si>
    <t>PA-0000510</t>
  </si>
  <si>
    <t>PO-000367</t>
  </si>
  <si>
    <t>PO-000368</t>
  </si>
  <si>
    <t>PO-000369</t>
  </si>
  <si>
    <t>PO-000370</t>
  </si>
  <si>
    <t>PO-000371</t>
  </si>
  <si>
    <t>PO-000372</t>
  </si>
  <si>
    <t>PO-000373</t>
  </si>
  <si>
    <t>PO-000374</t>
  </si>
  <si>
    <t>LOM-0086</t>
  </si>
  <si>
    <t>Fibre Connector Assy 0086</t>
  </si>
  <si>
    <t>PA-0000389</t>
  </si>
  <si>
    <t>PO-000375</t>
  </si>
  <si>
    <t>PO-000376</t>
  </si>
  <si>
    <t>LOM-0101</t>
  </si>
  <si>
    <t>Precision Mount Assy 0101</t>
  </si>
  <si>
    <t>PA-0000458</t>
  </si>
  <si>
    <t>PO-000377</t>
  </si>
  <si>
    <t>PO-000378</t>
  </si>
  <si>
    <t>PO-000379</t>
  </si>
  <si>
    <t>LOM-0019</t>
  </si>
  <si>
    <t>Lens Assembly Assy 0019</t>
  </si>
  <si>
    <t>PA-0000087</t>
  </si>
  <si>
    <t>PO-000380</t>
  </si>
  <si>
    <t>PO-000381</t>
  </si>
  <si>
    <t>PO-000382</t>
  </si>
  <si>
    <t>PO-000383</t>
  </si>
  <si>
    <t>PO-000384</t>
  </si>
  <si>
    <t>PO-000385</t>
  </si>
  <si>
    <t>LOM-0128</t>
  </si>
  <si>
    <t>Laser Diode Assy 0128</t>
  </si>
  <si>
    <t>PA-0000590</t>
  </si>
  <si>
    <t>PO-000386</t>
  </si>
  <si>
    <t>PO-000387</t>
  </si>
  <si>
    <t>PO-000388</t>
  </si>
  <si>
    <t>LOM-0082</t>
  </si>
  <si>
    <t>Optical Fibre Module 0082</t>
  </si>
  <si>
    <t>PA-0000371</t>
  </si>
  <si>
    <t>PO-000389</t>
  </si>
  <si>
    <t>PA-0000546</t>
  </si>
  <si>
    <t>PO-000390</t>
  </si>
  <si>
    <t>PO-000391</t>
  </si>
  <si>
    <t>PA-0000028</t>
  </si>
  <si>
    <t>PO-000392</t>
  </si>
  <si>
    <t>PO-000393</t>
  </si>
  <si>
    <t>PO-000394</t>
  </si>
  <si>
    <t>PO-000395</t>
  </si>
  <si>
    <t>LOM-0074</t>
  </si>
  <si>
    <t>Optical Fibre Assy 0074</t>
  </si>
  <si>
    <t>PA-0000334</t>
  </si>
  <si>
    <t>PO-000396</t>
  </si>
  <si>
    <t>PO-000397</t>
  </si>
  <si>
    <t>PO-000398</t>
  </si>
  <si>
    <t>PO-000399</t>
  </si>
  <si>
    <t>PO-000400</t>
  </si>
  <si>
    <t>PO-000401</t>
  </si>
  <si>
    <t>PO-000402</t>
  </si>
  <si>
    <t>PO-000403</t>
  </si>
  <si>
    <t>PO-000404</t>
  </si>
  <si>
    <t>PO-000405</t>
  </si>
  <si>
    <t>PO-000406</t>
  </si>
  <si>
    <t>PO-000407</t>
  </si>
  <si>
    <t>PO-000408</t>
  </si>
  <si>
    <t>PO-000409</t>
  </si>
  <si>
    <t>PO-000410</t>
  </si>
  <si>
    <t>PO-000411</t>
  </si>
  <si>
    <t>PO-000412</t>
  </si>
  <si>
    <t>PO-000413</t>
  </si>
  <si>
    <t>PO-000414</t>
  </si>
  <si>
    <t>PO-000415</t>
  </si>
  <si>
    <t>LOM-0108</t>
  </si>
  <si>
    <t>Optical Coating Module 0108</t>
  </si>
  <si>
    <t>PA-0000494</t>
  </si>
  <si>
    <t>PO-000416</t>
  </si>
  <si>
    <t>PO-000417</t>
  </si>
  <si>
    <t>PO-000418</t>
  </si>
  <si>
    <t>PO-000419</t>
  </si>
  <si>
    <t>PO-000420</t>
  </si>
  <si>
    <t>PO-000421</t>
  </si>
  <si>
    <t>PO-000422</t>
  </si>
  <si>
    <t>PO-000423</t>
  </si>
  <si>
    <t>PO-000424</t>
  </si>
  <si>
    <t>PO-000425</t>
  </si>
  <si>
    <t>LOM-0098</t>
  </si>
  <si>
    <t>Optical Fibre Component 0098</t>
  </si>
  <si>
    <t>PA-0000441</t>
  </si>
  <si>
    <t>PO-000426</t>
  </si>
  <si>
    <t>PO-000427</t>
  </si>
  <si>
    <t>PO-000428</t>
  </si>
  <si>
    <t>PO-000429</t>
  </si>
  <si>
    <t>PO-000430</t>
  </si>
  <si>
    <t>LOM-0022</t>
  </si>
  <si>
    <t>Fibre Connector Component 0022</t>
  </si>
  <si>
    <t>PA-0000099</t>
  </si>
  <si>
    <t>PO-000431</t>
  </si>
  <si>
    <t>PO-000432</t>
  </si>
  <si>
    <t>PO-000433</t>
  </si>
  <si>
    <t>PO-000434</t>
  </si>
  <si>
    <t>PO-000435</t>
  </si>
  <si>
    <t>LOM-0121</t>
  </si>
  <si>
    <t>Photodetector Component 0121</t>
  </si>
  <si>
    <t>PA-0000559</t>
  </si>
  <si>
    <t>PO-000436</t>
  </si>
  <si>
    <t>PO-000437</t>
  </si>
  <si>
    <t>PO-000438</t>
  </si>
  <si>
    <t>PO-000439</t>
  </si>
  <si>
    <t>PO-000440</t>
  </si>
  <si>
    <t>PO-000441</t>
  </si>
  <si>
    <t>PO-000442</t>
  </si>
  <si>
    <t>PO-000443</t>
  </si>
  <si>
    <t>PO-000444</t>
  </si>
  <si>
    <t>LOM-0026</t>
  </si>
  <si>
    <t>Optical Fibre Module 0026</t>
  </si>
  <si>
    <t>PA-0000117</t>
  </si>
  <si>
    <t>PO-000445</t>
  </si>
  <si>
    <t>PO-000446</t>
  </si>
  <si>
    <t>PO-000447</t>
  </si>
  <si>
    <t>PO-000448</t>
  </si>
  <si>
    <t>PO-000449</t>
  </si>
  <si>
    <t>PO-000450</t>
  </si>
  <si>
    <t>PA-0000048</t>
  </si>
  <si>
    <t>PO-000451</t>
  </si>
  <si>
    <t>PO-000452</t>
  </si>
  <si>
    <t>PO-000453</t>
  </si>
  <si>
    <t>PO-000454</t>
  </si>
  <si>
    <t>LOM-0050</t>
  </si>
  <si>
    <t>Optical Fibre Module 0050</t>
  </si>
  <si>
    <t>PA-0000222</t>
  </si>
  <si>
    <t>PO-000455</t>
  </si>
  <si>
    <t>PO-000456</t>
  </si>
  <si>
    <t>PO-000457</t>
  </si>
  <si>
    <t>PO-000458</t>
  </si>
  <si>
    <t>LOM-0069</t>
  </si>
  <si>
    <t>Precision Mount Module 0069</t>
  </si>
  <si>
    <t>PA-0000311</t>
  </si>
  <si>
    <t>PO-000459</t>
  </si>
  <si>
    <t>PO-000460</t>
  </si>
  <si>
    <t>PO-000461</t>
  </si>
  <si>
    <t>PO-000462</t>
  </si>
  <si>
    <t>PA-0000513</t>
  </si>
  <si>
    <t>PO-000463</t>
  </si>
  <si>
    <t>PA-0000532</t>
  </si>
  <si>
    <t>PO-000464</t>
  </si>
  <si>
    <t>PO-000465</t>
  </si>
  <si>
    <t>PO-000466</t>
  </si>
  <si>
    <t>PO-000467</t>
  </si>
  <si>
    <t>PO-000468</t>
  </si>
  <si>
    <t>PO-000469</t>
  </si>
  <si>
    <t>PO-000470</t>
  </si>
  <si>
    <t>PO-000471</t>
  </si>
  <si>
    <t>PO-000472</t>
  </si>
  <si>
    <t>PA-0000288</t>
  </si>
  <si>
    <t>PO-000473</t>
  </si>
  <si>
    <t>PO-000474</t>
  </si>
  <si>
    <t>PO-000475</t>
  </si>
  <si>
    <t>PO-000476</t>
  </si>
  <si>
    <t>PO-000477</t>
  </si>
  <si>
    <t>PO-000478</t>
  </si>
  <si>
    <t>PO-000479</t>
  </si>
  <si>
    <t>PO-000480</t>
  </si>
  <si>
    <t>PO-000481</t>
  </si>
  <si>
    <t>PO-000482</t>
  </si>
  <si>
    <t>PO-000483</t>
  </si>
  <si>
    <t>PO-000484</t>
  </si>
  <si>
    <t>PO-000485</t>
  </si>
  <si>
    <t>LOM-0021</t>
  </si>
  <si>
    <t>Precision Mount Module 0021</t>
  </si>
  <si>
    <t>PA-0000095</t>
  </si>
  <si>
    <t>PO-000486</t>
  </si>
  <si>
    <t>PO-000487</t>
  </si>
  <si>
    <t>PO-000488</t>
  </si>
  <si>
    <t>PO-000489</t>
  </si>
  <si>
    <t>PO-000490</t>
  </si>
  <si>
    <t>PA-0000444</t>
  </si>
  <si>
    <t>PO-000491</t>
  </si>
  <si>
    <t>PO-000492</t>
  </si>
  <si>
    <t>PO-000493</t>
  </si>
  <si>
    <t>PO-000494</t>
  </si>
  <si>
    <t>PO-000495</t>
  </si>
  <si>
    <t>PO-000496</t>
  </si>
  <si>
    <t>PO-000497</t>
  </si>
  <si>
    <t>PO-000498</t>
  </si>
  <si>
    <t>PO-000499</t>
  </si>
  <si>
    <t>PO-000500</t>
  </si>
  <si>
    <t>PO-000501</t>
  </si>
  <si>
    <t>PO-000502</t>
  </si>
  <si>
    <t>PO-000503</t>
  </si>
  <si>
    <t>PO-000504</t>
  </si>
  <si>
    <t>PO-000505</t>
  </si>
  <si>
    <t>PO-000506</t>
  </si>
  <si>
    <t>PO-000507</t>
  </si>
  <si>
    <t>LOM-0105</t>
  </si>
  <si>
    <t>Photodetector Component 0105</t>
  </si>
  <si>
    <t>PA-0000476</t>
  </si>
  <si>
    <t>PO-000508</t>
  </si>
  <si>
    <t>PO-000509</t>
  </si>
  <si>
    <t>PO-000510</t>
  </si>
  <si>
    <t>PO-000511</t>
  </si>
  <si>
    <t>PO-000512</t>
  </si>
  <si>
    <t>PO-000513</t>
  </si>
  <si>
    <t>PO-000514</t>
  </si>
  <si>
    <t>PA-0000528</t>
  </si>
  <si>
    <t>PO-000515</t>
  </si>
  <si>
    <t>PO-000516</t>
  </si>
  <si>
    <t>2023-06</t>
  </si>
  <si>
    <t>PO-000517</t>
  </si>
  <si>
    <t>PO-000518</t>
  </si>
  <si>
    <t>PO-000519</t>
  </si>
  <si>
    <t>PO-000520</t>
  </si>
  <si>
    <t>PO-000521</t>
  </si>
  <si>
    <t>PO-000522</t>
  </si>
  <si>
    <t>PA-0000267</t>
  </si>
  <si>
    <t>PO-000523</t>
  </si>
  <si>
    <t>PO-000524</t>
  </si>
  <si>
    <t>PO-000525</t>
  </si>
  <si>
    <t>PO-000526</t>
  </si>
  <si>
    <t>PO-000527</t>
  </si>
  <si>
    <t>PO-000528</t>
  </si>
  <si>
    <t>PO-000529</t>
  </si>
  <si>
    <t>PO-000530</t>
  </si>
  <si>
    <t>PA-0000314</t>
  </si>
  <si>
    <t>PO-000531</t>
  </si>
  <si>
    <t>PO-000532</t>
  </si>
  <si>
    <t>LOM-0111</t>
  </si>
  <si>
    <t>Thermal Control Module 0111</t>
  </si>
  <si>
    <t>PA-0000509</t>
  </si>
  <si>
    <t>PO-000533</t>
  </si>
  <si>
    <t>PO-000534</t>
  </si>
  <si>
    <t>PO-000535</t>
  </si>
  <si>
    <t>PO-000536</t>
  </si>
  <si>
    <t>PO-000537</t>
  </si>
  <si>
    <t>PO-000538</t>
  </si>
  <si>
    <t>PA-0000291</t>
  </si>
  <si>
    <t>PO-000539</t>
  </si>
  <si>
    <t>PO-000540</t>
  </si>
  <si>
    <t>PO-000541</t>
  </si>
  <si>
    <t>LOM-0106</t>
  </si>
  <si>
    <t>Optical Fibre Assy 0106</t>
  </si>
  <si>
    <t>PA-0000482</t>
  </si>
  <si>
    <t>PO-000542</t>
  </si>
  <si>
    <t>PO-000543</t>
  </si>
  <si>
    <t>PO-000544</t>
  </si>
  <si>
    <t>PO-000545</t>
  </si>
  <si>
    <t>PO-000546</t>
  </si>
  <si>
    <t>PA-0000152</t>
  </si>
  <si>
    <t>PO-000547</t>
  </si>
  <si>
    <t>PO-000548</t>
  </si>
  <si>
    <t>PO-000549</t>
  </si>
  <si>
    <t>PO-000550</t>
  </si>
  <si>
    <t>PO-000551</t>
  </si>
  <si>
    <t>PO-000552</t>
  </si>
  <si>
    <t>PO-000553</t>
  </si>
  <si>
    <t>PO-000554</t>
  </si>
  <si>
    <t>PO-000555</t>
  </si>
  <si>
    <t>PO-000556</t>
  </si>
  <si>
    <t>PO-000557</t>
  </si>
  <si>
    <t>PO-000558</t>
  </si>
  <si>
    <t>PO-000559</t>
  </si>
  <si>
    <t>PO-000560</t>
  </si>
  <si>
    <t>PO-000561</t>
  </si>
  <si>
    <t>PA-0000585</t>
  </si>
  <si>
    <t>PO-000562</t>
  </si>
  <si>
    <t>PO-000563</t>
  </si>
  <si>
    <t>PO-000564</t>
  </si>
  <si>
    <t>PO-000565</t>
  </si>
  <si>
    <t>PO-000566</t>
  </si>
  <si>
    <t>PO-000567</t>
  </si>
  <si>
    <t>PA-0000206</t>
  </si>
  <si>
    <t>PO-000568</t>
  </si>
  <si>
    <t>PO-000569</t>
  </si>
  <si>
    <t>PO-000570</t>
  </si>
  <si>
    <t>PO-000571</t>
  </si>
  <si>
    <t>PO-000572</t>
  </si>
  <si>
    <t>PO-000573</t>
  </si>
  <si>
    <t>PO-000574</t>
  </si>
  <si>
    <t>PO-000575</t>
  </si>
  <si>
    <t>PO-000576</t>
  </si>
  <si>
    <t>LOM-0031</t>
  </si>
  <si>
    <t>Thermal Control Component 0031</t>
  </si>
  <si>
    <t>PA-0000137</t>
  </si>
  <si>
    <t>PO-000577</t>
  </si>
  <si>
    <t>PO-000578</t>
  </si>
  <si>
    <t>PO-000579</t>
  </si>
  <si>
    <t>PO-000580</t>
  </si>
  <si>
    <t>PO-000581</t>
  </si>
  <si>
    <t>PO-000582</t>
  </si>
  <si>
    <t>PO-000583</t>
  </si>
  <si>
    <t>PO-000584</t>
  </si>
  <si>
    <t>PO-000585</t>
  </si>
  <si>
    <t>PO-000586</t>
  </si>
  <si>
    <t>PO-000587</t>
  </si>
  <si>
    <t>PO-000588</t>
  </si>
  <si>
    <t>PO-000589</t>
  </si>
  <si>
    <t>PO-000590</t>
  </si>
  <si>
    <t>PO-000591</t>
  </si>
  <si>
    <t>PO-000592</t>
  </si>
  <si>
    <t>PA-0000567</t>
  </si>
  <si>
    <t>PO-000593</t>
  </si>
  <si>
    <t>PO-000594</t>
  </si>
  <si>
    <t>PO-000595</t>
  </si>
  <si>
    <t>PO-000596</t>
  </si>
  <si>
    <t>PO-000597</t>
  </si>
  <si>
    <t>PO-000598</t>
  </si>
  <si>
    <t>PO-000599</t>
  </si>
  <si>
    <t>PO-000600</t>
  </si>
  <si>
    <t>PO-000601</t>
  </si>
  <si>
    <t>PO-000602</t>
  </si>
  <si>
    <t>PO-000603</t>
  </si>
  <si>
    <t>PA-0000186</t>
  </si>
  <si>
    <t>PO-000604</t>
  </si>
  <si>
    <t>PO-000605</t>
  </si>
  <si>
    <t>PO-000606</t>
  </si>
  <si>
    <t>PO-000607</t>
  </si>
  <si>
    <t>PO-000608</t>
  </si>
  <si>
    <t>PO-000609</t>
  </si>
  <si>
    <t>PO-000610</t>
  </si>
  <si>
    <t>PO-000611</t>
  </si>
  <si>
    <t>PO-000612</t>
  </si>
  <si>
    <t>PO-000613</t>
  </si>
  <si>
    <t>PO-000614</t>
  </si>
  <si>
    <t>PO-000615</t>
  </si>
  <si>
    <t>PO-000616</t>
  </si>
  <si>
    <t>PO-000617</t>
  </si>
  <si>
    <t>PO-000618</t>
  </si>
  <si>
    <t>PA-0000160</t>
  </si>
  <si>
    <t>PO-000619</t>
  </si>
  <si>
    <t>PO-000620</t>
  </si>
  <si>
    <t>PO-000621</t>
  </si>
  <si>
    <t>PO-000622</t>
  </si>
  <si>
    <t>PO-000623</t>
  </si>
  <si>
    <t>PO-000624</t>
  </si>
  <si>
    <t>PO-000625</t>
  </si>
  <si>
    <t>PO-000626</t>
  </si>
  <si>
    <t>PO-000627</t>
  </si>
  <si>
    <t>PO-000628</t>
  </si>
  <si>
    <t>PO-000629</t>
  </si>
  <si>
    <t>PA-0000066</t>
  </si>
  <si>
    <t>PO-000630</t>
  </si>
  <si>
    <t>PO-000631</t>
  </si>
  <si>
    <t>PO-000632</t>
  </si>
  <si>
    <t>PA-0000593</t>
  </si>
  <si>
    <t>PO-000633</t>
  </si>
  <si>
    <t>PO-000634</t>
  </si>
  <si>
    <t>PO-000635</t>
  </si>
  <si>
    <t>PO-000636</t>
  </si>
  <si>
    <t>PO-000637</t>
  </si>
  <si>
    <t>PA-0000400</t>
  </si>
  <si>
    <t>PO-000638</t>
  </si>
  <si>
    <t>PO-000639</t>
  </si>
  <si>
    <t>PO-000640</t>
  </si>
  <si>
    <t>PO-000641</t>
  </si>
  <si>
    <t>PO-D00002</t>
  </si>
  <si>
    <t>PO-000642</t>
  </si>
  <si>
    <t>PO-000643</t>
  </si>
  <si>
    <t>PO-000644</t>
  </si>
  <si>
    <t>PO-000645</t>
  </si>
  <si>
    <t>PO-000646</t>
  </si>
  <si>
    <t>PO-000647</t>
  </si>
  <si>
    <t>PO-000648</t>
  </si>
  <si>
    <t>PO-000649</t>
  </si>
  <si>
    <t>PO-000650</t>
  </si>
  <si>
    <t>PO-000651</t>
  </si>
  <si>
    <t>PO-000652</t>
  </si>
  <si>
    <t>PO-000653</t>
  </si>
  <si>
    <t>PO-000654</t>
  </si>
  <si>
    <t>PO-000655</t>
  </si>
  <si>
    <t>PO-000656</t>
  </si>
  <si>
    <t>PO-000657</t>
  </si>
  <si>
    <t>PO-000658</t>
  </si>
  <si>
    <t>PO-000659</t>
  </si>
  <si>
    <t>PO-000660</t>
  </si>
  <si>
    <t>PO-000661</t>
  </si>
  <si>
    <t>PO-000662</t>
  </si>
  <si>
    <t>PO-000663</t>
  </si>
  <si>
    <t>PO-000664</t>
  </si>
  <si>
    <t>PO-000665</t>
  </si>
  <si>
    <t>PO-000666</t>
  </si>
  <si>
    <t>PO-000667</t>
  </si>
  <si>
    <t>PO-000668</t>
  </si>
  <si>
    <t>PO-000669</t>
  </si>
  <si>
    <t>PO-000670</t>
  </si>
  <si>
    <t>PO-000671</t>
  </si>
  <si>
    <t>PO-000672</t>
  </si>
  <si>
    <t>PO-000673</t>
  </si>
  <si>
    <t>PO-000674</t>
  </si>
  <si>
    <t>PO-000675</t>
  </si>
  <si>
    <t>PO-000676</t>
  </si>
  <si>
    <t>PO-000677</t>
  </si>
  <si>
    <t>PO-000678</t>
  </si>
  <si>
    <t>PO-000679</t>
  </si>
  <si>
    <t>PO-000680</t>
  </si>
  <si>
    <t>PO-000681</t>
  </si>
  <si>
    <t>PO-000682</t>
  </si>
  <si>
    <t>PO-000683</t>
  </si>
  <si>
    <t>PO-000684</t>
  </si>
  <si>
    <t>PO-000685</t>
  </si>
  <si>
    <t>PO-000686</t>
  </si>
  <si>
    <t>PO-000687</t>
  </si>
  <si>
    <t>PO-000688</t>
  </si>
  <si>
    <t>PO-000689</t>
  </si>
  <si>
    <t>2023-07</t>
  </si>
  <si>
    <t>PO-000690</t>
  </si>
  <si>
    <t>PO-000691</t>
  </si>
  <si>
    <t>PO-000692</t>
  </si>
  <si>
    <t>PO-000693</t>
  </si>
  <si>
    <t>PO-000694</t>
  </si>
  <si>
    <t>PO-000695</t>
  </si>
  <si>
    <t>PO-000696</t>
  </si>
  <si>
    <t>PO-000697</t>
  </si>
  <si>
    <t>PO-000698</t>
  </si>
  <si>
    <t>PO-000699</t>
  </si>
  <si>
    <t>PO-000700</t>
  </si>
  <si>
    <t>PO-000701</t>
  </si>
  <si>
    <t>PO-000702</t>
  </si>
  <si>
    <t>PO-000703</t>
  </si>
  <si>
    <t>PA-0000131</t>
  </si>
  <si>
    <t>PO-000704</t>
  </si>
  <si>
    <t>PO-000705</t>
  </si>
  <si>
    <t>PO-000706</t>
  </si>
  <si>
    <t>PO-000707</t>
  </si>
  <si>
    <t>PO-000708</t>
  </si>
  <si>
    <t>PO-000709</t>
  </si>
  <si>
    <t>PO-000710</t>
  </si>
  <si>
    <t>PO-000711</t>
  </si>
  <si>
    <t>PO-000712</t>
  </si>
  <si>
    <t>PO-000713</t>
  </si>
  <si>
    <t>PO-000714</t>
  </si>
  <si>
    <t>PA-0000220</t>
  </si>
  <si>
    <t>PO-000715</t>
  </si>
  <si>
    <t>PO-000716</t>
  </si>
  <si>
    <t>PO-000717</t>
  </si>
  <si>
    <t>PO-000718</t>
  </si>
  <si>
    <t>PO-000719</t>
  </si>
  <si>
    <t>PO-000720</t>
  </si>
  <si>
    <t>PO-000721</t>
  </si>
  <si>
    <t>PO-000722</t>
  </si>
  <si>
    <t>PO-000723</t>
  </si>
  <si>
    <t>PO-000724</t>
  </si>
  <si>
    <t>PO-000725</t>
  </si>
  <si>
    <t>PO-000726</t>
  </si>
  <si>
    <t>PO-000727</t>
  </si>
  <si>
    <t>PO-000728</t>
  </si>
  <si>
    <t>PO-000729</t>
  </si>
  <si>
    <t>PO-000730</t>
  </si>
  <si>
    <t>PO-000731</t>
  </si>
  <si>
    <t>PO-000732</t>
  </si>
  <si>
    <t>PO-000733</t>
  </si>
  <si>
    <t>PO-000734</t>
  </si>
  <si>
    <t>PO-000735</t>
  </si>
  <si>
    <t>PO-000736</t>
  </si>
  <si>
    <t>PO-000737</t>
  </si>
  <si>
    <t>PO-000738</t>
  </si>
  <si>
    <t>PO-000739</t>
  </si>
  <si>
    <t>PO-000740</t>
  </si>
  <si>
    <t>PO-000741</t>
  </si>
  <si>
    <t>PO-000742</t>
  </si>
  <si>
    <t>PO-000743</t>
  </si>
  <si>
    <t>PO-000744</t>
  </si>
  <si>
    <t>PO-000745</t>
  </si>
  <si>
    <t>PO-000746</t>
  </si>
  <si>
    <t>PO-000747</t>
  </si>
  <si>
    <t>PO-000748</t>
  </si>
  <si>
    <t>PO-000749</t>
  </si>
  <si>
    <t>PA-0000042</t>
  </si>
  <si>
    <t>PO-000750</t>
  </si>
  <si>
    <t>PO-000751</t>
  </si>
  <si>
    <t>PO-000752</t>
  </si>
  <si>
    <t>PO-000753</t>
  </si>
  <si>
    <t>PO-000754</t>
  </si>
  <si>
    <t>PO-000755</t>
  </si>
  <si>
    <t>PO-000756</t>
  </si>
  <si>
    <t>PA-0000556</t>
  </si>
  <si>
    <t>PO-000757</t>
  </si>
  <si>
    <t>PO-000758</t>
  </si>
  <si>
    <t>PA-0000569</t>
  </si>
  <si>
    <t>PO-000759</t>
  </si>
  <si>
    <t>PO-000760</t>
  </si>
  <si>
    <t>PO-000761</t>
  </si>
  <si>
    <t>PO-000762</t>
  </si>
  <si>
    <t>PO-000763</t>
  </si>
  <si>
    <t>PO-000764</t>
  </si>
  <si>
    <t>PO-000765</t>
  </si>
  <si>
    <t>PO-000766</t>
  </si>
  <si>
    <t>PO-000767</t>
  </si>
  <si>
    <t>PO-000768</t>
  </si>
  <si>
    <t>PO-000769</t>
  </si>
  <si>
    <t>PO-000770</t>
  </si>
  <si>
    <t>PO-000771</t>
  </si>
  <si>
    <t>PO-000772</t>
  </si>
  <si>
    <t>PO-000773</t>
  </si>
  <si>
    <t>LOM-0137</t>
  </si>
  <si>
    <t>Photodetector Module 0137</t>
  </si>
  <si>
    <t>PA-0000628</t>
  </si>
  <si>
    <t>PO-000774</t>
  </si>
  <si>
    <t>PO-000775</t>
  </si>
  <si>
    <t>PA-0000140</t>
  </si>
  <si>
    <t>PO-000776</t>
  </si>
  <si>
    <t>PO-000777</t>
  </si>
  <si>
    <t>PO-000778</t>
  </si>
  <si>
    <t>PO-000779</t>
  </si>
  <si>
    <t>PO-000780</t>
  </si>
  <si>
    <t>PO-000781</t>
  </si>
  <si>
    <t>PO-000782</t>
  </si>
  <si>
    <t>PO-000783</t>
  </si>
  <si>
    <t>PO-000784</t>
  </si>
  <si>
    <t>PO-000785</t>
  </si>
  <si>
    <t>PO-000786</t>
  </si>
  <si>
    <t>PO-000787</t>
  </si>
  <si>
    <t>PA-0000575</t>
  </si>
  <si>
    <t>PO-000788</t>
  </si>
  <si>
    <t>PO-000789</t>
  </si>
  <si>
    <t>PO-000790</t>
  </si>
  <si>
    <t>PO-000791</t>
  </si>
  <si>
    <t>PO-000792</t>
  </si>
  <si>
    <t>PO-000793</t>
  </si>
  <si>
    <t>PO-000794</t>
  </si>
  <si>
    <t>PO-000795</t>
  </si>
  <si>
    <t>PO-000796</t>
  </si>
  <si>
    <t>PO-000797</t>
  </si>
  <si>
    <t>PO-000798</t>
  </si>
  <si>
    <t>PO-000799</t>
  </si>
  <si>
    <t>PO-000800</t>
  </si>
  <si>
    <t>PO-000801</t>
  </si>
  <si>
    <t>PO-000802</t>
  </si>
  <si>
    <t>PO-000803</t>
  </si>
  <si>
    <t>PO-000804</t>
  </si>
  <si>
    <t>PO-000805</t>
  </si>
  <si>
    <t>PO-000806</t>
  </si>
  <si>
    <t>PO-000807</t>
  </si>
  <si>
    <t>PO-000808</t>
  </si>
  <si>
    <t>PO-000809</t>
  </si>
  <si>
    <t>PO-000810</t>
  </si>
  <si>
    <t>PO-000811</t>
  </si>
  <si>
    <t>PO-000812</t>
  </si>
  <si>
    <t>PO-000813</t>
  </si>
  <si>
    <t>PO-000814</t>
  </si>
  <si>
    <t>PO-000815</t>
  </si>
  <si>
    <t>PO-000816</t>
  </si>
  <si>
    <t>PO-000817</t>
  </si>
  <si>
    <t>PO-000818</t>
  </si>
  <si>
    <t>PO-000819</t>
  </si>
  <si>
    <t>PO-000820</t>
  </si>
  <si>
    <t>PO-000821</t>
  </si>
  <si>
    <t>PO-000822</t>
  </si>
  <si>
    <t>PO-000823</t>
  </si>
  <si>
    <t>PO-000824</t>
  </si>
  <si>
    <t>PO-000825</t>
  </si>
  <si>
    <t>PO-000826</t>
  </si>
  <si>
    <t>PO-000827</t>
  </si>
  <si>
    <t>PO-000828</t>
  </si>
  <si>
    <t>PO-000829</t>
  </si>
  <si>
    <t>PO-000830</t>
  </si>
  <si>
    <t>PO-000831</t>
  </si>
  <si>
    <t>PO-000832</t>
  </si>
  <si>
    <t>PA-0000163</t>
  </si>
  <si>
    <t>PO-000833</t>
  </si>
  <si>
    <t>PA-0000362</t>
  </si>
  <si>
    <t>PO-000834</t>
  </si>
  <si>
    <t>PO-000835</t>
  </si>
  <si>
    <t>PO-000836</t>
  </si>
  <si>
    <t>PO-000837</t>
  </si>
  <si>
    <t>PA-0000025</t>
  </si>
  <si>
    <t>PO-000838</t>
  </si>
  <si>
    <t>PO-000839</t>
  </si>
  <si>
    <t>PA-0000200</t>
  </si>
  <si>
    <t>PO-000840</t>
  </si>
  <si>
    <t>PO-000841</t>
  </si>
  <si>
    <t>PO-000842</t>
  </si>
  <si>
    <t>PO-000843</t>
  </si>
  <si>
    <t>PO-000844</t>
  </si>
  <si>
    <t>PO-000845</t>
  </si>
  <si>
    <t>PO-000846</t>
  </si>
  <si>
    <t>PA-0000473</t>
  </si>
  <si>
    <t>PO-000847</t>
  </si>
  <si>
    <t>PO-000848</t>
  </si>
  <si>
    <t>PO-000849</t>
  </si>
  <si>
    <t>PO-000850</t>
  </si>
  <si>
    <t>PO-000851</t>
  </si>
  <si>
    <t>PO-000852</t>
  </si>
  <si>
    <t>PO-000853</t>
  </si>
  <si>
    <t>PA-0000228</t>
  </si>
  <si>
    <t>PO-000854</t>
  </si>
  <si>
    <t>PO-000855</t>
  </si>
  <si>
    <t>PO-000856</t>
  </si>
  <si>
    <t>PO-000857</t>
  </si>
  <si>
    <t>PO-000858</t>
  </si>
  <si>
    <t>PO-000859</t>
  </si>
  <si>
    <t>PO-000860</t>
  </si>
  <si>
    <t>PO-000861</t>
  </si>
  <si>
    <t>PO-000862</t>
  </si>
  <si>
    <t>PO-000863</t>
  </si>
  <si>
    <t>PO-000864</t>
  </si>
  <si>
    <t>PO-000865</t>
  </si>
  <si>
    <t>2023-08</t>
  </si>
  <si>
    <t>PO-000866</t>
  </si>
  <si>
    <t>PO-000867</t>
  </si>
  <si>
    <t>PA-0000315</t>
  </si>
  <si>
    <t>PO-000868</t>
  </si>
  <si>
    <t>PO-000869</t>
  </si>
  <si>
    <t>PO-000870</t>
  </si>
  <si>
    <t>PO-000871</t>
  </si>
  <si>
    <t>PO-000872</t>
  </si>
  <si>
    <t>PO-000873</t>
  </si>
  <si>
    <t>PO-000874</t>
  </si>
  <si>
    <t>PO-000875</t>
  </si>
  <si>
    <t>PA-0000394</t>
  </si>
  <si>
    <t>PO-000876</t>
  </si>
  <si>
    <t>PO-000877</t>
  </si>
  <si>
    <t>PO-000878</t>
  </si>
  <si>
    <t>PO-000879</t>
  </si>
  <si>
    <t>PO-000880</t>
  </si>
  <si>
    <t>PO-000881</t>
  </si>
  <si>
    <t>PO-000882</t>
  </si>
  <si>
    <t>PO-000883</t>
  </si>
  <si>
    <t>PO-000884</t>
  </si>
  <si>
    <t>PO-000885</t>
  </si>
  <si>
    <t>PO-000886</t>
  </si>
  <si>
    <t>PO-000887</t>
  </si>
  <si>
    <t>PO-000888</t>
  </si>
  <si>
    <t>PO-000889</t>
  </si>
  <si>
    <t>PO-000890</t>
  </si>
  <si>
    <t>PO-000891</t>
  </si>
  <si>
    <t>PO-000892</t>
  </si>
  <si>
    <t>PO-000893</t>
  </si>
  <si>
    <t>PO-000894</t>
  </si>
  <si>
    <t>PO-000895</t>
  </si>
  <si>
    <t>PO-000896</t>
  </si>
  <si>
    <t>PO-000897</t>
  </si>
  <si>
    <t>PO-000898</t>
  </si>
  <si>
    <t>PO-000899</t>
  </si>
  <si>
    <t>PO-000900</t>
  </si>
  <si>
    <t>PO-000901</t>
  </si>
  <si>
    <t>PO-000902</t>
  </si>
  <si>
    <t>PO-000903</t>
  </si>
  <si>
    <t>PO-000904</t>
  </si>
  <si>
    <t>PO-000905</t>
  </si>
  <si>
    <t>PO-000906</t>
  </si>
  <si>
    <t>PO-000907</t>
  </si>
  <si>
    <t>PO-000908</t>
  </si>
  <si>
    <t>PO-000909</t>
  </si>
  <si>
    <t>PO-000910</t>
  </si>
  <si>
    <t>PO-000911</t>
  </si>
  <si>
    <t>PO-000912</t>
  </si>
  <si>
    <t>PO-000913</t>
  </si>
  <si>
    <t>PO-000914</t>
  </si>
  <si>
    <t>PO-000915</t>
  </si>
  <si>
    <t>PO-000916</t>
  </si>
  <si>
    <t>PO-000917</t>
  </si>
  <si>
    <t>PO-000918</t>
  </si>
  <si>
    <t>PO-000919</t>
  </si>
  <si>
    <t>PO-000920</t>
  </si>
  <si>
    <t>PO-000921</t>
  </si>
  <si>
    <t>PO-000922</t>
  </si>
  <si>
    <t>PO-000923</t>
  </si>
  <si>
    <t>PO-000924</t>
  </si>
  <si>
    <t>PO-000925</t>
  </si>
  <si>
    <t>PO-000926</t>
  </si>
  <si>
    <t>PO-000927</t>
  </si>
  <si>
    <t>PO-000928</t>
  </si>
  <si>
    <t>PO-000929</t>
  </si>
  <si>
    <t>PO-000930</t>
  </si>
  <si>
    <t>PO-000931</t>
  </si>
  <si>
    <t>PO-000932</t>
  </si>
  <si>
    <t>PO-000933</t>
  </si>
  <si>
    <t>PO-000934</t>
  </si>
  <si>
    <t>PO-000935</t>
  </si>
  <si>
    <t>PO-000936</t>
  </si>
  <si>
    <t>PO-000937</t>
  </si>
  <si>
    <t>PO-000938</t>
  </si>
  <si>
    <t>PO-000939</t>
  </si>
  <si>
    <t>PO-000940</t>
  </si>
  <si>
    <t>PO-000941</t>
  </si>
  <si>
    <t>PO-000942</t>
  </si>
  <si>
    <t>PO-000943</t>
  </si>
  <si>
    <t>PO-000944</t>
  </si>
  <si>
    <t>PO-000945</t>
  </si>
  <si>
    <t>PO-000946</t>
  </si>
  <si>
    <t>PO-000947</t>
  </si>
  <si>
    <t>PO-000948</t>
  </si>
  <si>
    <t>PO-000949</t>
  </si>
  <si>
    <t>PO-000950</t>
  </si>
  <si>
    <t>PO-000951</t>
  </si>
  <si>
    <t>PO-000952</t>
  </si>
  <si>
    <t>PA-0000102</t>
  </si>
  <si>
    <t>PO-000953</t>
  </si>
  <si>
    <t>PO-000954</t>
  </si>
  <si>
    <t>PO-000955</t>
  </si>
  <si>
    <t>PO-000956</t>
  </si>
  <si>
    <t>PO-000957</t>
  </si>
  <si>
    <t>PO-000958</t>
  </si>
  <si>
    <t>PO-000959</t>
  </si>
  <si>
    <t>PA-0000096</t>
  </si>
  <si>
    <t>PO-000960</t>
  </si>
  <si>
    <t>PO-000961</t>
  </si>
  <si>
    <t>PO-000962</t>
  </si>
  <si>
    <t>PO-000963</t>
  </si>
  <si>
    <t>PO-000964</t>
  </si>
  <si>
    <t>PO-000965</t>
  </si>
  <si>
    <t>PO-000966</t>
  </si>
  <si>
    <t>PO-000967</t>
  </si>
  <si>
    <t>PO-000968</t>
  </si>
  <si>
    <t>PO-000969</t>
  </si>
  <si>
    <t>PO-000970</t>
  </si>
  <si>
    <t>PO-000971</t>
  </si>
  <si>
    <t>PO-000972</t>
  </si>
  <si>
    <t>PO-000973</t>
  </si>
  <si>
    <t>PO-000974</t>
  </si>
  <si>
    <t>PO-000975</t>
  </si>
  <si>
    <t>PO-000976</t>
  </si>
  <si>
    <t>PO-000977</t>
  </si>
  <si>
    <t>PO-000978</t>
  </si>
  <si>
    <t>PO-000979</t>
  </si>
  <si>
    <t>PO-000980</t>
  </si>
  <si>
    <t>PO-000981</t>
  </si>
  <si>
    <t>PO-000982</t>
  </si>
  <si>
    <t>PO-000983</t>
  </si>
  <si>
    <t>PO-000984</t>
  </si>
  <si>
    <t>PO-000985</t>
  </si>
  <si>
    <t>PO-000986</t>
  </si>
  <si>
    <t>PO-000987</t>
  </si>
  <si>
    <t>PO-000988</t>
  </si>
  <si>
    <t>PO-000989</t>
  </si>
  <si>
    <t>PO-000990</t>
  </si>
  <si>
    <t>LOM-0076</t>
  </si>
  <si>
    <t>Optical Coating Module 0076</t>
  </si>
  <si>
    <t>PA-0000346</t>
  </si>
  <si>
    <t>PO-000991</t>
  </si>
  <si>
    <t>PO-000992</t>
  </si>
  <si>
    <t>PO-000993</t>
  </si>
  <si>
    <t>PO-000994</t>
  </si>
  <si>
    <t>PO-000995</t>
  </si>
  <si>
    <t>PO-000996</t>
  </si>
  <si>
    <t>PO-000997</t>
  </si>
  <si>
    <t>PO-000998</t>
  </si>
  <si>
    <t>PO-000999</t>
  </si>
  <si>
    <t>PO-001000</t>
  </si>
  <si>
    <t>PO-001001</t>
  </si>
  <si>
    <t>PO-001002</t>
  </si>
  <si>
    <t>PO-001003</t>
  </si>
  <si>
    <t>PO-001004</t>
  </si>
  <si>
    <t>PO-001005</t>
  </si>
  <si>
    <t>PO-001006</t>
  </si>
  <si>
    <t>PO-001007</t>
  </si>
  <si>
    <t>PO-001008</t>
  </si>
  <si>
    <t>PO-001009</t>
  </si>
  <si>
    <t>PO-001010</t>
  </si>
  <si>
    <t>PO-001011</t>
  </si>
  <si>
    <t>PO-001012</t>
  </si>
  <si>
    <t>PO-001013</t>
  </si>
  <si>
    <t>PO-001014</t>
  </si>
  <si>
    <t>PO-001015</t>
  </si>
  <si>
    <t>PO-001016</t>
  </si>
  <si>
    <t>PO-001017</t>
  </si>
  <si>
    <t>PO-001018</t>
  </si>
  <si>
    <t>PO-001019</t>
  </si>
  <si>
    <t>PO-001020</t>
  </si>
  <si>
    <t>PO-001021</t>
  </si>
  <si>
    <t>PO-001022</t>
  </si>
  <si>
    <t>PO-001023</t>
  </si>
  <si>
    <t>PO-001024</t>
  </si>
  <si>
    <t>PO-001025</t>
  </si>
  <si>
    <t>PO-001026</t>
  </si>
  <si>
    <t>PO-001027</t>
  </si>
  <si>
    <t>PO-001028</t>
  </si>
  <si>
    <t>PO-001029</t>
  </si>
  <si>
    <t>PO-001030</t>
  </si>
  <si>
    <t>PO-001031</t>
  </si>
  <si>
    <t>PO-001032</t>
  </si>
  <si>
    <t>PO-001033</t>
  </si>
  <si>
    <t>PA-0000629</t>
  </si>
  <si>
    <t>PO-001034</t>
  </si>
  <si>
    <t>PO-001035</t>
  </si>
  <si>
    <t>PO-001036</t>
  </si>
  <si>
    <t>PO-001037</t>
  </si>
  <si>
    <t>PO-001038</t>
  </si>
  <si>
    <t>PO-001039</t>
  </si>
  <si>
    <t>PO-001040</t>
  </si>
  <si>
    <t>PO-001041</t>
  </si>
  <si>
    <t>PO-001042</t>
  </si>
  <si>
    <t>PO-001043</t>
  </si>
  <si>
    <t>PO-001044</t>
  </si>
  <si>
    <t>PO-001045</t>
  </si>
  <si>
    <t>PO-001046</t>
  </si>
  <si>
    <t>PO-001047</t>
  </si>
  <si>
    <t>PO-001048</t>
  </si>
  <si>
    <t>PO-001049</t>
  </si>
  <si>
    <t>PO-001050</t>
  </si>
  <si>
    <t>PO-001051</t>
  </si>
  <si>
    <t>PO-001052</t>
  </si>
  <si>
    <t>PO-001053</t>
  </si>
  <si>
    <t>PO-001054</t>
  </si>
  <si>
    <t>PO-001055</t>
  </si>
  <si>
    <t>PO-001056</t>
  </si>
  <si>
    <t>PO-001057</t>
  </si>
  <si>
    <t>PO-001058</t>
  </si>
  <si>
    <t>PO-001059</t>
  </si>
  <si>
    <t>PO-001060</t>
  </si>
  <si>
    <t>PO-001061</t>
  </si>
  <si>
    <t>PO-001062</t>
  </si>
  <si>
    <t>PO-001063</t>
  </si>
  <si>
    <t>PO-001064</t>
  </si>
  <si>
    <t>PO-001065</t>
  </si>
  <si>
    <t>PO-001066</t>
  </si>
  <si>
    <t>PO-001067</t>
  </si>
  <si>
    <t>PO-001068</t>
  </si>
  <si>
    <t>PO-001069</t>
  </si>
  <si>
    <t>PO-001070</t>
  </si>
  <si>
    <t>PO-001071</t>
  </si>
  <si>
    <t>PO-001072</t>
  </si>
  <si>
    <t>PO-001073</t>
  </si>
  <si>
    <t>2023-09</t>
  </si>
  <si>
    <t>PO-001074</t>
  </si>
  <si>
    <t>PO-001075</t>
  </si>
  <si>
    <t>PO-001076</t>
  </si>
  <si>
    <t>PO-001077</t>
  </si>
  <si>
    <t>PO-001078</t>
  </si>
  <si>
    <t>PO-001079</t>
  </si>
  <si>
    <t>PO-001080</t>
  </si>
  <si>
    <t>PO-001081</t>
  </si>
  <si>
    <t>PO-001082</t>
  </si>
  <si>
    <t>PO-001083</t>
  </si>
  <si>
    <t>PO-001084</t>
  </si>
  <si>
    <t>PO-001085</t>
  </si>
  <si>
    <t>PO-001086</t>
  </si>
  <si>
    <t>PO-001087</t>
  </si>
  <si>
    <t>PO-001088</t>
  </si>
  <si>
    <t>PO-001089</t>
  </si>
  <si>
    <t>PO-001090</t>
  </si>
  <si>
    <t>PO-001091</t>
  </si>
  <si>
    <t>PO-001092</t>
  </si>
  <si>
    <t>PO-001093</t>
  </si>
  <si>
    <t>PO-001094</t>
  </si>
  <si>
    <t>PO-001095</t>
  </si>
  <si>
    <t>PO-001096</t>
  </si>
  <si>
    <t>PO-001097</t>
  </si>
  <si>
    <t>PO-001098</t>
  </si>
  <si>
    <t>PO-001099</t>
  </si>
  <si>
    <t>PO-001100</t>
  </si>
  <si>
    <t>PO-001101</t>
  </si>
  <si>
    <t>PO-001102</t>
  </si>
  <si>
    <t>PO-001103</t>
  </si>
  <si>
    <t>PA-0000280</t>
  </si>
  <si>
    <t>PO-001104</t>
  </si>
  <si>
    <t>PO-001105</t>
  </si>
  <si>
    <t>PO-001106</t>
  </si>
  <si>
    <t>PO-001107</t>
  </si>
  <si>
    <t>PO-001108</t>
  </si>
  <si>
    <t>PO-001109</t>
  </si>
  <si>
    <t>PO-001110</t>
  </si>
  <si>
    <t>PO-001111</t>
  </si>
  <si>
    <t>PO-001112</t>
  </si>
  <si>
    <t>PO-001113</t>
  </si>
  <si>
    <t>PO-001114</t>
  </si>
  <si>
    <t>PO-001115</t>
  </si>
  <si>
    <t>PO-001116</t>
  </si>
  <si>
    <t>PO-001117</t>
  </si>
  <si>
    <t>PO-001118</t>
  </si>
  <si>
    <t>PO-001119</t>
  </si>
  <si>
    <t>PO-001120</t>
  </si>
  <si>
    <t>PO-001121</t>
  </si>
  <si>
    <t>PO-001122</t>
  </si>
  <si>
    <t>PO-001123</t>
  </si>
  <si>
    <t>PO-001124</t>
  </si>
  <si>
    <t>PO-001125</t>
  </si>
  <si>
    <t>PO-001126</t>
  </si>
  <si>
    <t>PO-001127</t>
  </si>
  <si>
    <t>PO-001128</t>
  </si>
  <si>
    <t>PO-001129</t>
  </si>
  <si>
    <t>PO-001130</t>
  </si>
  <si>
    <t>PO-001131</t>
  </si>
  <si>
    <t>PO-001132</t>
  </si>
  <si>
    <t>PO-001133</t>
  </si>
  <si>
    <t>PO-001134</t>
  </si>
  <si>
    <t>PO-001135</t>
  </si>
  <si>
    <t>PA-0000438</t>
  </si>
  <si>
    <t>PO-001136</t>
  </si>
  <si>
    <t>PO-001137</t>
  </si>
  <si>
    <t>PO-001138</t>
  </si>
  <si>
    <t>PO-001139</t>
  </si>
  <si>
    <t>PO-001140</t>
  </si>
  <si>
    <t>PO-001141</t>
  </si>
  <si>
    <t>PO-001142</t>
  </si>
  <si>
    <t>PO-001143</t>
  </si>
  <si>
    <t>PO-001144</t>
  </si>
  <si>
    <t>PO-001145</t>
  </si>
  <si>
    <t>PO-001146</t>
  </si>
  <si>
    <t>PO-001147</t>
  </si>
  <si>
    <t>PO-001148</t>
  </si>
  <si>
    <t>PO-001149</t>
  </si>
  <si>
    <t>PO-001150</t>
  </si>
  <si>
    <t>PO-001151</t>
  </si>
  <si>
    <t>PO-001152</t>
  </si>
  <si>
    <t>PO-001153</t>
  </si>
  <si>
    <t>PO-001154</t>
  </si>
  <si>
    <t>PO-001155</t>
  </si>
  <si>
    <t>PO-001156</t>
  </si>
  <si>
    <t>PO-001157</t>
  </si>
  <si>
    <t>PO-001158</t>
  </si>
  <si>
    <t>PO-001159</t>
  </si>
  <si>
    <t>PO-001160</t>
  </si>
  <si>
    <t>PO-001161</t>
  </si>
  <si>
    <t>PO-001162</t>
  </si>
  <si>
    <t>PO-001163</t>
  </si>
  <si>
    <t>PO-001164</t>
  </si>
  <si>
    <t>PO-001165</t>
  </si>
  <si>
    <t>PO-001166</t>
  </si>
  <si>
    <t>PO-001167</t>
  </si>
  <si>
    <t>PO-001168</t>
  </si>
  <si>
    <t>PO-001169</t>
  </si>
  <si>
    <t>PO-001170</t>
  </si>
  <si>
    <t>PO-001171</t>
  </si>
  <si>
    <t>PO-001172</t>
  </si>
  <si>
    <t>PO-001173</t>
  </si>
  <si>
    <t>PO-001174</t>
  </si>
  <si>
    <t>PO-001175</t>
  </si>
  <si>
    <t>PO-001176</t>
  </si>
  <si>
    <t>PO-001177</t>
  </si>
  <si>
    <t>PO-001178</t>
  </si>
  <si>
    <t>PO-001179</t>
  </si>
  <si>
    <t>PO-001180</t>
  </si>
  <si>
    <t>PO-001181</t>
  </si>
  <si>
    <t>PO-001182</t>
  </si>
  <si>
    <t>PO-001183</t>
  </si>
  <si>
    <t>PO-001184</t>
  </si>
  <si>
    <t>PO-001185</t>
  </si>
  <si>
    <t>PO-001186</t>
  </si>
  <si>
    <t>PO-001187</t>
  </si>
  <si>
    <t>PO-001188</t>
  </si>
  <si>
    <t>PO-001189</t>
  </si>
  <si>
    <t>PO-001190</t>
  </si>
  <si>
    <t>PO-001191</t>
  </si>
  <si>
    <t>PO-001192</t>
  </si>
  <si>
    <t>PO-001193</t>
  </si>
  <si>
    <t>PO-001194</t>
  </si>
  <si>
    <t>PO-001195</t>
  </si>
  <si>
    <t>PO-001196</t>
  </si>
  <si>
    <t>PO-001197</t>
  </si>
  <si>
    <t>PO-001198</t>
  </si>
  <si>
    <t>PO-001199</t>
  </si>
  <si>
    <t>PO-001200</t>
  </si>
  <si>
    <t>PO-001201</t>
  </si>
  <si>
    <t>PO-001202</t>
  </si>
  <si>
    <t>PO-001203</t>
  </si>
  <si>
    <t>PO-001204</t>
  </si>
  <si>
    <t>PO-001205</t>
  </si>
  <si>
    <t>PO-001206</t>
  </si>
  <si>
    <t>PO-001207</t>
  </si>
  <si>
    <t>PO-001208</t>
  </si>
  <si>
    <t>PO-001209</t>
  </si>
  <si>
    <t>PO-001210</t>
  </si>
  <si>
    <t>PO-001211</t>
  </si>
  <si>
    <t>PO-001212</t>
  </si>
  <si>
    <t>PO-001213</t>
  </si>
  <si>
    <t>PO-001214</t>
  </si>
  <si>
    <t>PO-001215</t>
  </si>
  <si>
    <t>PO-001216</t>
  </si>
  <si>
    <t>PO-001217</t>
  </si>
  <si>
    <t>PO-001218</t>
  </si>
  <si>
    <t>PO-001219</t>
  </si>
  <si>
    <t>PO-001220</t>
  </si>
  <si>
    <t>PO-001221</t>
  </si>
  <si>
    <t>PO-001222</t>
  </si>
  <si>
    <t>PO-001223</t>
  </si>
  <si>
    <t>PO-001224</t>
  </si>
  <si>
    <t>PO-001225</t>
  </si>
  <si>
    <t>PO-001226</t>
  </si>
  <si>
    <t>PO-001227</t>
  </si>
  <si>
    <t>PO-001228</t>
  </si>
  <si>
    <t>PO-001229</t>
  </si>
  <si>
    <t>PO-001230</t>
  </si>
  <si>
    <t>PO-001231</t>
  </si>
  <si>
    <t>PO-001232</t>
  </si>
  <si>
    <t>PO-001233</t>
  </si>
  <si>
    <t>PO-001234</t>
  </si>
  <si>
    <t>PO-001235</t>
  </si>
  <si>
    <t>PO-001236</t>
  </si>
  <si>
    <t>PO-001237</t>
  </si>
  <si>
    <t>PO-001238</t>
  </si>
  <si>
    <t>PO-001239</t>
  </si>
  <si>
    <t>PO-001240</t>
  </si>
  <si>
    <t>PO-001241</t>
  </si>
  <si>
    <t>PO-001242</t>
  </si>
  <si>
    <t>PO-001243</t>
  </si>
  <si>
    <t>2023-10</t>
  </si>
  <si>
    <t>PO-001244</t>
  </si>
  <si>
    <t>PO-001245</t>
  </si>
  <si>
    <t>PO-001246</t>
  </si>
  <si>
    <t>PO-001247</t>
  </si>
  <si>
    <t>PO-001248</t>
  </si>
  <si>
    <t>PO-001249</t>
  </si>
  <si>
    <t>PO-001250</t>
  </si>
  <si>
    <t>PO-001251</t>
  </si>
  <si>
    <t>PA-0000197</t>
  </si>
  <si>
    <t>PO-001252</t>
  </si>
  <si>
    <t>PO-001253</t>
  </si>
  <si>
    <t>PO-001254</t>
  </si>
  <si>
    <t>PO-001255</t>
  </si>
  <si>
    <t>PO-001256</t>
  </si>
  <si>
    <t>PO-001257</t>
  </si>
  <si>
    <t>PO-001258</t>
  </si>
  <si>
    <t>PO-001259</t>
  </si>
  <si>
    <t>PO-001260</t>
  </si>
  <si>
    <t>PO-001261</t>
  </si>
  <si>
    <t>PO-001262</t>
  </si>
  <si>
    <t>PO-001263</t>
  </si>
  <si>
    <t>PO-001264</t>
  </si>
  <si>
    <t>PO-001265</t>
  </si>
  <si>
    <t>PO-001266</t>
  </si>
  <si>
    <t>PO-001267</t>
  </si>
  <si>
    <t>PO-001268</t>
  </si>
  <si>
    <t>PO-001269</t>
  </si>
  <si>
    <t>PO-001270</t>
  </si>
  <si>
    <t>PO-001271</t>
  </si>
  <si>
    <t>PO-001272</t>
  </si>
  <si>
    <t>PO-001273</t>
  </si>
  <si>
    <t>PO-001274</t>
  </si>
  <si>
    <t>PO-001275</t>
  </si>
  <si>
    <t>PO-001276</t>
  </si>
  <si>
    <t>PO-001277</t>
  </si>
  <si>
    <t>PO-001278</t>
  </si>
  <si>
    <t>PO-001279</t>
  </si>
  <si>
    <t>PO-001280</t>
  </si>
  <si>
    <t>PO-001281</t>
  </si>
  <si>
    <t>PO-001282</t>
  </si>
  <si>
    <t>PO-001283</t>
  </si>
  <si>
    <t>PO-001284</t>
  </si>
  <si>
    <t>PO-001285</t>
  </si>
  <si>
    <t>PO-001286</t>
  </si>
  <si>
    <t>PO-001287</t>
  </si>
  <si>
    <t>PO-001288</t>
  </si>
  <si>
    <t>PO-001289</t>
  </si>
  <si>
    <t>PO-001290</t>
  </si>
  <si>
    <t>PA-0000537</t>
  </si>
  <si>
    <t>PO-001291</t>
  </si>
  <si>
    <t>PO-001292</t>
  </si>
  <si>
    <t>PO-001293</t>
  </si>
  <si>
    <t>PO-001294</t>
  </si>
  <si>
    <t>PO-001295</t>
  </si>
  <si>
    <t>PO-001296</t>
  </si>
  <si>
    <t>PO-001297</t>
  </si>
  <si>
    <t>PO-001298</t>
  </si>
  <si>
    <t>PO-001299</t>
  </si>
  <si>
    <t>PO-001300</t>
  </si>
  <si>
    <t>PO-001301</t>
  </si>
  <si>
    <t>PO-001302</t>
  </si>
  <si>
    <t>PO-001303</t>
  </si>
  <si>
    <t>PO-001304</t>
  </si>
  <si>
    <t>PO-001305</t>
  </si>
  <si>
    <t>PO-001306</t>
  </si>
  <si>
    <t>PA-0000479</t>
  </si>
  <si>
    <t>PO-001307</t>
  </si>
  <si>
    <t>PO-001308</t>
  </si>
  <si>
    <t>PO-001309</t>
  </si>
  <si>
    <t>PO-001310</t>
  </si>
  <si>
    <t>PO-001311</t>
  </si>
  <si>
    <t>PO-001312</t>
  </si>
  <si>
    <t>PO-001313</t>
  </si>
  <si>
    <t>PO-001314</t>
  </si>
  <si>
    <t>PO-001315</t>
  </si>
  <si>
    <t>PO-001316</t>
  </si>
  <si>
    <t>PO-001317</t>
  </si>
  <si>
    <t>PO-001318</t>
  </si>
  <si>
    <t>PO-001319</t>
  </si>
  <si>
    <t>PO-001320</t>
  </si>
  <si>
    <t>PO-001321</t>
  </si>
  <si>
    <t>PO-001322</t>
  </si>
  <si>
    <t>PO-001323</t>
  </si>
  <si>
    <t>PO-001324</t>
  </si>
  <si>
    <t>PO-001325</t>
  </si>
  <si>
    <t>PO-001326</t>
  </si>
  <si>
    <t>PO-001327</t>
  </si>
  <si>
    <t>PO-001328</t>
  </si>
  <si>
    <t>PA-0000036</t>
  </si>
  <si>
    <t>PO-001329</t>
  </si>
  <si>
    <t>PO-001330</t>
  </si>
  <si>
    <t>PO-001331</t>
  </si>
  <si>
    <t>PO-001332</t>
  </si>
  <si>
    <t>PO-001333</t>
  </si>
  <si>
    <t>PO-001334</t>
  </si>
  <si>
    <t>PO-001335</t>
  </si>
  <si>
    <t>PO-001336</t>
  </si>
  <si>
    <t>PA-0000522</t>
  </si>
  <si>
    <t>PO-001337</t>
  </si>
  <si>
    <t>PO-001338</t>
  </si>
  <si>
    <t>PO-001339</t>
  </si>
  <si>
    <t>PO-001340</t>
  </si>
  <si>
    <t>PO-001341</t>
  </si>
  <si>
    <t>PO-001342</t>
  </si>
  <si>
    <t>PO-001343</t>
  </si>
  <si>
    <t>PO-001344</t>
  </si>
  <si>
    <t>PO-001345</t>
  </si>
  <si>
    <t>PO-001346</t>
  </si>
  <si>
    <t>PO-001347</t>
  </si>
  <si>
    <t>PO-001348</t>
  </si>
  <si>
    <t>PO-001349</t>
  </si>
  <si>
    <t>PO-001350</t>
  </si>
  <si>
    <t>PO-001351</t>
  </si>
  <si>
    <t>PO-001352</t>
  </si>
  <si>
    <t>PO-001353</t>
  </si>
  <si>
    <t>PO-001354</t>
  </si>
  <si>
    <t>PO-001355</t>
  </si>
  <si>
    <t>PO-001356</t>
  </si>
  <si>
    <t>PO-001357</t>
  </si>
  <si>
    <t>PO-001358</t>
  </si>
  <si>
    <t>PO-001359</t>
  </si>
  <si>
    <t>PO-001360</t>
  </si>
  <si>
    <t>PO-001361</t>
  </si>
  <si>
    <t>PO-001362</t>
  </si>
  <si>
    <t>PO-001363</t>
  </si>
  <si>
    <t>PO-001364</t>
  </si>
  <si>
    <t>PO-001365</t>
  </si>
  <si>
    <t>PO-001366</t>
  </si>
  <si>
    <t>PO-001367</t>
  </si>
  <si>
    <t>PO-001368</t>
  </si>
  <si>
    <t>PO-001369</t>
  </si>
  <si>
    <t>PO-001370</t>
  </si>
  <si>
    <t>PO-001371</t>
  </si>
  <si>
    <t>PO-001372</t>
  </si>
  <si>
    <t>PO-001373</t>
  </si>
  <si>
    <t>PO-001374</t>
  </si>
  <si>
    <t>PO-001375</t>
  </si>
  <si>
    <t>PO-001376</t>
  </si>
  <si>
    <t>PO-001377</t>
  </si>
  <si>
    <t>PO-001378</t>
  </si>
  <si>
    <t>PO-001379</t>
  </si>
  <si>
    <t>PO-001380</t>
  </si>
  <si>
    <t>PO-001381</t>
  </si>
  <si>
    <t>PO-001382</t>
  </si>
  <si>
    <t>PO-001383</t>
  </si>
  <si>
    <t>PO-001384</t>
  </si>
  <si>
    <t>PO-001385</t>
  </si>
  <si>
    <t>PO-001386</t>
  </si>
  <si>
    <t>PO-001387</t>
  </si>
  <si>
    <t>PO-001388</t>
  </si>
  <si>
    <t>PO-001389</t>
  </si>
  <si>
    <t>PO-001390</t>
  </si>
  <si>
    <t>PO-001391</t>
  </si>
  <si>
    <t>PO-001392</t>
  </si>
  <si>
    <t>PO-001393</t>
  </si>
  <si>
    <t>PO-001394</t>
  </si>
  <si>
    <t>PO-001395</t>
  </si>
  <si>
    <t>PO-001396</t>
  </si>
  <si>
    <t>PO-001397</t>
  </si>
  <si>
    <t>PO-001398</t>
  </si>
  <si>
    <t>PO-001399</t>
  </si>
  <si>
    <t>PO-001400</t>
  </si>
  <si>
    <t>PO-001401</t>
  </si>
  <si>
    <t>PO-001402</t>
  </si>
  <si>
    <t>PO-001403</t>
  </si>
  <si>
    <t>PO-001404</t>
  </si>
  <si>
    <t>PO-001405</t>
  </si>
  <si>
    <t>PO-001406</t>
  </si>
  <si>
    <t>PO-001407</t>
  </si>
  <si>
    <t>PO-001408</t>
  </si>
  <si>
    <t>PO-001409</t>
  </si>
  <si>
    <t>PO-001410</t>
  </si>
  <si>
    <t>PO-001411</t>
  </si>
  <si>
    <t>PO-001412</t>
  </si>
  <si>
    <t>PO-001413</t>
  </si>
  <si>
    <t>PO-001414</t>
  </si>
  <si>
    <t>PA-0000081</t>
  </si>
  <si>
    <t>PO-001415</t>
  </si>
  <si>
    <t>PO-001416</t>
  </si>
  <si>
    <t>PO-001417</t>
  </si>
  <si>
    <t>PO-001418</t>
  </si>
  <si>
    <t>PO-001419</t>
  </si>
  <si>
    <t>PO-001420</t>
  </si>
  <si>
    <t>PO-001421</t>
  </si>
  <si>
    <t>PO-001422</t>
  </si>
  <si>
    <t>PO-001423</t>
  </si>
  <si>
    <t>PA-0000491</t>
  </si>
  <si>
    <t>PO-001424</t>
  </si>
  <si>
    <t>PO-001425</t>
  </si>
  <si>
    <t>PO-001426</t>
  </si>
  <si>
    <t>PO-001427</t>
  </si>
  <si>
    <t>PO-001428</t>
  </si>
  <si>
    <t>PO-001429</t>
  </si>
  <si>
    <t>PO-001430</t>
  </si>
  <si>
    <t>PO-001431</t>
  </si>
  <si>
    <t>PO-001432</t>
  </si>
  <si>
    <t>PO-001433</t>
  </si>
  <si>
    <t>PO-001434</t>
  </si>
  <si>
    <t>PO-001435</t>
  </si>
  <si>
    <t>PO-001436</t>
  </si>
  <si>
    <t>PA-0000274</t>
  </si>
  <si>
    <t>PO-001437</t>
  </si>
  <si>
    <t>PO-001438</t>
  </si>
  <si>
    <t>PO-001439</t>
  </si>
  <si>
    <t>PO-001440</t>
  </si>
  <si>
    <t>2023-11</t>
  </si>
  <si>
    <t>PO-001441</t>
  </si>
  <si>
    <t>PO-001442</t>
  </si>
  <si>
    <t>PO-001443</t>
  </si>
  <si>
    <t>PO-001444</t>
  </si>
  <si>
    <t>PO-001445</t>
  </si>
  <si>
    <t>PO-001446</t>
  </si>
  <si>
    <t>PO-001447</t>
  </si>
  <si>
    <t>PO-001448</t>
  </si>
  <si>
    <t>PO-001449</t>
  </si>
  <si>
    <t>PO-001450</t>
  </si>
  <si>
    <t>PO-001451</t>
  </si>
  <si>
    <t>PO-001452</t>
  </si>
  <si>
    <t>PO-001453</t>
  </si>
  <si>
    <t>PO-001454</t>
  </si>
  <si>
    <t>PO-001455</t>
  </si>
  <si>
    <t>PO-001456</t>
  </si>
  <si>
    <t>PO-001457</t>
  </si>
  <si>
    <t>PO-001458</t>
  </si>
  <si>
    <t>PO-001459</t>
  </si>
  <si>
    <t>PO-001460</t>
  </si>
  <si>
    <t>PO-001461</t>
  </si>
  <si>
    <t>PO-001462</t>
  </si>
  <si>
    <t>PO-001463</t>
  </si>
  <si>
    <t>PO-001464</t>
  </si>
  <si>
    <t>PO-001465</t>
  </si>
  <si>
    <t>PO-001466</t>
  </si>
  <si>
    <t>PO-001467</t>
  </si>
  <si>
    <t>PO-001468</t>
  </si>
  <si>
    <t>PO-001469</t>
  </si>
  <si>
    <t>PO-D00003</t>
  </si>
  <si>
    <t>PO-001470</t>
  </si>
  <si>
    <t>PO-001471</t>
  </si>
  <si>
    <t>PO-001472</t>
  </si>
  <si>
    <t>PO-001473</t>
  </si>
  <si>
    <t>PO-001474</t>
  </si>
  <si>
    <t>PO-001475</t>
  </si>
  <si>
    <t>PO-001476</t>
  </si>
  <si>
    <t>PO-001477</t>
  </si>
  <si>
    <t>PO-001478</t>
  </si>
  <si>
    <t>PO-001479</t>
  </si>
  <si>
    <t>PO-001480</t>
  </si>
  <si>
    <t>PO-001481</t>
  </si>
  <si>
    <t>PO-001482</t>
  </si>
  <si>
    <t>PO-001483</t>
  </si>
  <si>
    <t>PO-001484</t>
  </si>
  <si>
    <t>PO-001485</t>
  </si>
  <si>
    <t>PO-001486</t>
  </si>
  <si>
    <t>PO-001487</t>
  </si>
  <si>
    <t>PO-001488</t>
  </si>
  <si>
    <t>PO-001489</t>
  </si>
  <si>
    <t>PO-001490</t>
  </si>
  <si>
    <t>PO-001491</t>
  </si>
  <si>
    <t>PO-001492</t>
  </si>
  <si>
    <t>PO-001493</t>
  </si>
  <si>
    <t>PO-001494</t>
  </si>
  <si>
    <t>PO-001495</t>
  </si>
  <si>
    <t>PO-001496</t>
  </si>
  <si>
    <t>PO-001497</t>
  </si>
  <si>
    <t>PO-001498</t>
  </si>
  <si>
    <t>PO-001499</t>
  </si>
  <si>
    <t>PO-001500</t>
  </si>
  <si>
    <t>PO-001501</t>
  </si>
  <si>
    <t>PO-001502</t>
  </si>
  <si>
    <t>PO-001503</t>
  </si>
  <si>
    <t>PO-001504</t>
  </si>
  <si>
    <t>PO-001505</t>
  </si>
  <si>
    <t>PO-001506</t>
  </si>
  <si>
    <t>PO-001507</t>
  </si>
  <si>
    <t>PO-001508</t>
  </si>
  <si>
    <t>PO-001509</t>
  </si>
  <si>
    <t>PO-001510</t>
  </si>
  <si>
    <t>PO-001511</t>
  </si>
  <si>
    <t>PO-001512</t>
  </si>
  <si>
    <t>PO-001513</t>
  </si>
  <si>
    <t>PO-001514</t>
  </si>
  <si>
    <t>PO-001515</t>
  </si>
  <si>
    <t>PO-001516</t>
  </si>
  <si>
    <t>PO-001517</t>
  </si>
  <si>
    <t>PO-001518</t>
  </si>
  <si>
    <t>PO-001519</t>
  </si>
  <si>
    <t>PO-001520</t>
  </si>
  <si>
    <t>PO-001521</t>
  </si>
  <si>
    <t>PO-001522</t>
  </si>
  <si>
    <t>PO-001523</t>
  </si>
  <si>
    <t>PO-001524</t>
  </si>
  <si>
    <t>PO-001525</t>
  </si>
  <si>
    <t>PO-001526</t>
  </si>
  <si>
    <t>PO-001527</t>
  </si>
  <si>
    <t>PO-001528</t>
  </si>
  <si>
    <t>PO-001529</t>
  </si>
  <si>
    <t>PO-001530</t>
  </si>
  <si>
    <t>PO-001531</t>
  </si>
  <si>
    <t>PO-001532</t>
  </si>
  <si>
    <t>PO-001533</t>
  </si>
  <si>
    <t>PO-001534</t>
  </si>
  <si>
    <t>PO-001535</t>
  </si>
  <si>
    <t>PO-001536</t>
  </si>
  <si>
    <t>PO-001537</t>
  </si>
  <si>
    <t>PO-001538</t>
  </si>
  <si>
    <t>PO-001539</t>
  </si>
  <si>
    <t>PO-001540</t>
  </si>
  <si>
    <t>PO-001541</t>
  </si>
  <si>
    <t>PO-001542</t>
  </si>
  <si>
    <t>PO-001543</t>
  </si>
  <si>
    <t>PO-001544</t>
  </si>
  <si>
    <t>PO-001545</t>
  </si>
  <si>
    <t>PO-001546</t>
  </si>
  <si>
    <t>PO-001547</t>
  </si>
  <si>
    <t>PO-001548</t>
  </si>
  <si>
    <t>PO-001549</t>
  </si>
  <si>
    <t>PA-0000256</t>
  </si>
  <si>
    <t>PO-001550</t>
  </si>
  <si>
    <t>PO-001551</t>
  </si>
  <si>
    <t>PO-001552</t>
  </si>
  <si>
    <t>PO-001553</t>
  </si>
  <si>
    <t>PO-001554</t>
  </si>
  <si>
    <t>PO-001555</t>
  </si>
  <si>
    <t>PO-001556</t>
  </si>
  <si>
    <t>PO-001557</t>
  </si>
  <si>
    <t>PO-001558</t>
  </si>
  <si>
    <t>PO-001559</t>
  </si>
  <si>
    <t>PO-001560</t>
  </si>
  <si>
    <t>PO-001561</t>
  </si>
  <si>
    <t>PO-001562</t>
  </si>
  <si>
    <t>PO-001563</t>
  </si>
  <si>
    <t>PO-001564</t>
  </si>
  <si>
    <t>PO-001565</t>
  </si>
  <si>
    <t>PO-001566</t>
  </si>
  <si>
    <t>PO-001567</t>
  </si>
  <si>
    <t>PO-001568</t>
  </si>
  <si>
    <t>PO-001569</t>
  </si>
  <si>
    <t>PO-001570</t>
  </si>
  <si>
    <t>PO-001571</t>
  </si>
  <si>
    <t>PO-001572</t>
  </si>
  <si>
    <t>PA-0000582</t>
  </si>
  <si>
    <t>PO-001573</t>
  </si>
  <si>
    <t>PO-001574</t>
  </si>
  <si>
    <t>PO-001575</t>
  </si>
  <si>
    <t>PO-001576</t>
  </si>
  <si>
    <t>PO-001577</t>
  </si>
  <si>
    <t>PO-001578</t>
  </si>
  <si>
    <t>PO-001579</t>
  </si>
  <si>
    <t>PO-001580</t>
  </si>
  <si>
    <t>PO-001581</t>
  </si>
  <si>
    <t>PO-001582</t>
  </si>
  <si>
    <t>PO-001583</t>
  </si>
  <si>
    <t>PO-001584</t>
  </si>
  <si>
    <t>PO-001585</t>
  </si>
  <si>
    <t>PO-001586</t>
  </si>
  <si>
    <t>PO-001587</t>
  </si>
  <si>
    <t>PO-001588</t>
  </si>
  <si>
    <t>PO-001589</t>
  </si>
  <si>
    <t>PO-001590</t>
  </si>
  <si>
    <t>PO-001591</t>
  </si>
  <si>
    <t>PO-001592</t>
  </si>
  <si>
    <t>PO-001593</t>
  </si>
  <si>
    <t>PO-001594</t>
  </si>
  <si>
    <t>PO-001595</t>
  </si>
  <si>
    <t>PO-001596</t>
  </si>
  <si>
    <t>PO-001597</t>
  </si>
  <si>
    <t>PO-001598</t>
  </si>
  <si>
    <t>PO-001599</t>
  </si>
  <si>
    <t>PO-001600</t>
  </si>
  <si>
    <t>PO-001601</t>
  </si>
  <si>
    <t>PO-001602</t>
  </si>
  <si>
    <t>PO-001603</t>
  </si>
  <si>
    <t>PO-001604</t>
  </si>
  <si>
    <t>PO-001605</t>
  </si>
  <si>
    <t>PA-0000009</t>
  </si>
  <si>
    <t>PO-001606</t>
  </si>
  <si>
    <t>PO-001607</t>
  </si>
  <si>
    <t>PO-001608</t>
  </si>
  <si>
    <t>PO-001609</t>
  </si>
  <si>
    <t>PO-001610</t>
  </si>
  <si>
    <t>PO-001611</t>
  </si>
  <si>
    <t>PO-001612</t>
  </si>
  <si>
    <t>PO-001613</t>
  </si>
  <si>
    <t>PO-001614</t>
  </si>
  <si>
    <t>PO-001615</t>
  </si>
  <si>
    <t>PO-001616</t>
  </si>
  <si>
    <t>PO-001617</t>
  </si>
  <si>
    <t>PO-001618</t>
  </si>
  <si>
    <t>PO-001619</t>
  </si>
  <si>
    <t>PO-001620</t>
  </si>
  <si>
    <t>PO-001621</t>
  </si>
  <si>
    <t>PO-001622</t>
  </si>
  <si>
    <t>PO-001623</t>
  </si>
  <si>
    <t>PO-001624</t>
  </si>
  <si>
    <t>PO-001625</t>
  </si>
  <si>
    <t>PO-001626</t>
  </si>
  <si>
    <t>PO-001627</t>
  </si>
  <si>
    <t>PO-001628</t>
  </si>
  <si>
    <t>PO-001629</t>
  </si>
  <si>
    <t>PO-001630</t>
  </si>
  <si>
    <t>PO-001631</t>
  </si>
  <si>
    <t>PO-001632</t>
  </si>
  <si>
    <t>PO-001633</t>
  </si>
  <si>
    <t>PO-001634</t>
  </si>
  <si>
    <t>PO-001635</t>
  </si>
  <si>
    <t>PO-001636</t>
  </si>
  <si>
    <t>PA-0000596</t>
  </si>
  <si>
    <t>PO-001637</t>
  </si>
  <si>
    <t>PO-001638</t>
  </si>
  <si>
    <t>2023-12</t>
  </si>
  <si>
    <t>PO-001639</t>
  </si>
  <si>
    <t>PO-001640</t>
  </si>
  <si>
    <t>PO-001641</t>
  </si>
  <si>
    <t>PA-0000343</t>
  </si>
  <si>
    <t>PO-001642</t>
  </si>
  <si>
    <t>PO-001643</t>
  </si>
  <si>
    <t>PO-001644</t>
  </si>
  <si>
    <t>PO-001645</t>
  </si>
  <si>
    <t>PO-001646</t>
  </si>
  <si>
    <t>PO-001647</t>
  </si>
  <si>
    <t>PO-001648</t>
  </si>
  <si>
    <t>PO-001649</t>
  </si>
  <si>
    <t>PO-001650</t>
  </si>
  <si>
    <t>PO-001651</t>
  </si>
  <si>
    <t>PO-001652</t>
  </si>
  <si>
    <t>PA-0000234</t>
  </si>
  <si>
    <t>PO-001653</t>
  </si>
  <si>
    <t>PO-001654</t>
  </si>
  <si>
    <t>PO-001655</t>
  </si>
  <si>
    <t>PO-001656</t>
  </si>
  <si>
    <t>PA-0000300</t>
  </si>
  <si>
    <t>PO-001657</t>
  </si>
  <si>
    <t>PO-001658</t>
  </si>
  <si>
    <t>PO-001659</t>
  </si>
  <si>
    <t>PO-001660</t>
  </si>
  <si>
    <t>PO-001661</t>
  </si>
  <si>
    <t>PA-0000543</t>
  </si>
  <si>
    <t>PO-001662</t>
  </si>
  <si>
    <t>PO-001663</t>
  </si>
  <si>
    <t>PO-001664</t>
  </si>
  <si>
    <t>PO-001665</t>
  </si>
  <si>
    <t>PO-001666</t>
  </si>
  <si>
    <t>PO-001667</t>
  </si>
  <si>
    <t>PO-001668</t>
  </si>
  <si>
    <t>PO-001669</t>
  </si>
  <si>
    <t>PO-001670</t>
  </si>
  <si>
    <t>PO-001671</t>
  </si>
  <si>
    <t>PO-001672</t>
  </si>
  <si>
    <t>PO-001673</t>
  </si>
  <si>
    <t>PO-001674</t>
  </si>
  <si>
    <t>PO-001675</t>
  </si>
  <si>
    <t>PO-001676</t>
  </si>
  <si>
    <t>PO-001677</t>
  </si>
  <si>
    <t>PO-001678</t>
  </si>
  <si>
    <t>PO-001679</t>
  </si>
  <si>
    <t>PO-001680</t>
  </si>
  <si>
    <t>PO-001681</t>
  </si>
  <si>
    <t>PO-001682</t>
  </si>
  <si>
    <t>PO-001683</t>
  </si>
  <si>
    <t>PO-001684</t>
  </si>
  <si>
    <t>PO-001685</t>
  </si>
  <si>
    <t>PO-001686</t>
  </si>
  <si>
    <t>PO-001687</t>
  </si>
  <si>
    <t>PO-001688</t>
  </si>
  <si>
    <t>PO-001689</t>
  </si>
  <si>
    <t>PO-001690</t>
  </si>
  <si>
    <t>PO-001691</t>
  </si>
  <si>
    <t>PO-001692</t>
  </si>
  <si>
    <t>PO-001693</t>
  </si>
  <si>
    <t>PO-001694</t>
  </si>
  <si>
    <t>PO-001695</t>
  </si>
  <si>
    <t>PO-001696</t>
  </si>
  <si>
    <t>PO-001697</t>
  </si>
  <si>
    <t>PO-001698</t>
  </si>
  <si>
    <t>PO-001699</t>
  </si>
  <si>
    <t>PO-001700</t>
  </si>
  <si>
    <t>PO-001701</t>
  </si>
  <si>
    <t>PO-001702</t>
  </si>
  <si>
    <t>PO-001703</t>
  </si>
  <si>
    <t>PO-001704</t>
  </si>
  <si>
    <t>PO-001705</t>
  </si>
  <si>
    <t>PO-001706</t>
  </si>
  <si>
    <t>PO-001707</t>
  </si>
  <si>
    <t>PO-001708</t>
  </si>
  <si>
    <t>PO-001709</t>
  </si>
  <si>
    <t>PO-001710</t>
  </si>
  <si>
    <t>PO-001711</t>
  </si>
  <si>
    <t>PO-001712</t>
  </si>
  <si>
    <t>PO-001713</t>
  </si>
  <si>
    <t>PO-001714</t>
  </si>
  <si>
    <t>PO-001715</t>
  </si>
  <si>
    <t>PO-001716</t>
  </si>
  <si>
    <t>PO-001717</t>
  </si>
  <si>
    <t>PO-001718</t>
  </si>
  <si>
    <t>PO-001719</t>
  </si>
  <si>
    <t>PO-001720</t>
  </si>
  <si>
    <t>PA-0000503</t>
  </si>
  <si>
    <t>PO-001721</t>
  </si>
  <si>
    <t>PO-001722</t>
  </si>
  <si>
    <t>PO-001723</t>
  </si>
  <si>
    <t>PO-001724</t>
  </si>
  <si>
    <t>PO-001725</t>
  </si>
  <si>
    <t>PO-001726</t>
  </si>
  <si>
    <t>PO-001727</t>
  </si>
  <si>
    <t>PO-001728</t>
  </si>
  <si>
    <t>PO-D00004</t>
  </si>
  <si>
    <t>PO-001729</t>
  </si>
  <si>
    <t>PO-001730</t>
  </si>
  <si>
    <t>PO-001731</t>
  </si>
  <si>
    <t>PO-001732</t>
  </si>
  <si>
    <t>PO-001733</t>
  </si>
  <si>
    <t>PO-001734</t>
  </si>
  <si>
    <t>PO-001735</t>
  </si>
  <si>
    <t>PO-001736</t>
  </si>
  <si>
    <t>PO-001737</t>
  </si>
  <si>
    <t>PO-001738</t>
  </si>
  <si>
    <t>PO-001739</t>
  </si>
  <si>
    <t>PO-001740</t>
  </si>
  <si>
    <t>PO-001741</t>
  </si>
  <si>
    <t>PO-001742</t>
  </si>
  <si>
    <t>PO-001743</t>
  </si>
  <si>
    <t>PO-001744</t>
  </si>
  <si>
    <t>PO-001745</t>
  </si>
  <si>
    <t>PO-001746</t>
  </si>
  <si>
    <t>PO-001747</t>
  </si>
  <si>
    <t>PO-001748</t>
  </si>
  <si>
    <t>PO-001749</t>
  </si>
  <si>
    <t>PO-001750</t>
  </si>
  <si>
    <t>PO-001751</t>
  </si>
  <si>
    <t>PO-001752</t>
  </si>
  <si>
    <t>PO-001753</t>
  </si>
  <si>
    <t>PO-001754</t>
  </si>
  <si>
    <t>PO-001755</t>
  </si>
  <si>
    <t>PO-001756</t>
  </si>
  <si>
    <t>PO-001757</t>
  </si>
  <si>
    <t>PO-001758</t>
  </si>
  <si>
    <t>PO-001759</t>
  </si>
  <si>
    <t>PO-001760</t>
  </si>
  <si>
    <t>PO-001761</t>
  </si>
  <si>
    <t>PO-001762</t>
  </si>
  <si>
    <t>PO-001763</t>
  </si>
  <si>
    <t>PO-001764</t>
  </si>
  <si>
    <t>PO-001765</t>
  </si>
  <si>
    <t>PO-001766</t>
  </si>
  <si>
    <t>PO-001767</t>
  </si>
  <si>
    <t>PO-001768</t>
  </si>
  <si>
    <t>PO-001769</t>
  </si>
  <si>
    <t>PO-001770</t>
  </si>
  <si>
    <t>PO-001771</t>
  </si>
  <si>
    <t>PO-001772</t>
  </si>
  <si>
    <t>PO-001773</t>
  </si>
  <si>
    <t>PO-001774</t>
  </si>
  <si>
    <t>PO-001775</t>
  </si>
  <si>
    <t>PO-001776</t>
  </si>
  <si>
    <t>PO-001777</t>
  </si>
  <si>
    <t>PO-001778</t>
  </si>
  <si>
    <t>PO-001779</t>
  </si>
  <si>
    <t>PO-001780</t>
  </si>
  <si>
    <t>PO-001781</t>
  </si>
  <si>
    <t>PO-001782</t>
  </si>
  <si>
    <t>PO-001783</t>
  </si>
  <si>
    <t>PO-001784</t>
  </si>
  <si>
    <t>PO-001785</t>
  </si>
  <si>
    <t>PO-001786</t>
  </si>
  <si>
    <t>PO-001787</t>
  </si>
  <si>
    <t>PA-0000506</t>
  </si>
  <si>
    <t>PO-001788</t>
  </si>
  <si>
    <t>PO-001789</t>
  </si>
  <si>
    <t>PO-001790</t>
  </si>
  <si>
    <t>PO-001791</t>
  </si>
  <si>
    <t>PO-001792</t>
  </si>
  <si>
    <t>PO-001793</t>
  </si>
  <si>
    <t>PO-001794</t>
  </si>
  <si>
    <t>PO-001795</t>
  </si>
  <si>
    <t>PO-001796</t>
  </si>
  <si>
    <t>PO-001797</t>
  </si>
  <si>
    <t>PO-001798</t>
  </si>
  <si>
    <t>PO-001799</t>
  </si>
  <si>
    <t>PO-001800</t>
  </si>
  <si>
    <t>PO-001801</t>
  </si>
  <si>
    <t>PO-001802</t>
  </si>
  <si>
    <t>PO-001803</t>
  </si>
  <si>
    <t>PO-001804</t>
  </si>
  <si>
    <t>PO-001805</t>
  </si>
  <si>
    <t>PO-001806</t>
  </si>
  <si>
    <t>PO-001807</t>
  </si>
  <si>
    <t>2024-01</t>
  </si>
  <si>
    <t>PO-001808</t>
  </si>
  <si>
    <t>PO-001809</t>
  </si>
  <si>
    <t>PO-001810</t>
  </si>
  <si>
    <t>PO-001811</t>
  </si>
  <si>
    <t>PO-001812</t>
  </si>
  <si>
    <t>PO-001813</t>
  </si>
  <si>
    <t>PO-001814</t>
  </si>
  <si>
    <t>PO-001815</t>
  </si>
  <si>
    <t>PO-001816</t>
  </si>
  <si>
    <t>PO-001817</t>
  </si>
  <si>
    <t>PO-001818</t>
  </si>
  <si>
    <t>PO-001819</t>
  </si>
  <si>
    <t>PO-001820</t>
  </si>
  <si>
    <t>PO-001821</t>
  </si>
  <si>
    <t>PO-001822</t>
  </si>
  <si>
    <t>PO-001823</t>
  </si>
  <si>
    <t>PO-001824</t>
  </si>
  <si>
    <t>PO-001825</t>
  </si>
  <si>
    <t>PO-001826</t>
  </si>
  <si>
    <t>PO-001827</t>
  </si>
  <si>
    <t>PO-001828</t>
  </si>
  <si>
    <t>PO-001829</t>
  </si>
  <si>
    <t>PO-001830</t>
  </si>
  <si>
    <t>PO-001831</t>
  </si>
  <si>
    <t>PO-001832</t>
  </si>
  <si>
    <t>PO-001833</t>
  </si>
  <si>
    <t>PO-001834</t>
  </si>
  <si>
    <t>PO-001835</t>
  </si>
  <si>
    <t>PO-001836</t>
  </si>
  <si>
    <t>PO-001837</t>
  </si>
  <si>
    <t>PO-D00005</t>
  </si>
  <si>
    <t>PO-001838</t>
  </si>
  <si>
    <t>PA-0000014</t>
  </si>
  <si>
    <t>PO-001839</t>
  </si>
  <si>
    <t>PO-001840</t>
  </si>
  <si>
    <t>PO-001841</t>
  </si>
  <si>
    <t>PO-001842</t>
  </si>
  <si>
    <t>PO-001843</t>
  </si>
  <si>
    <t>PO-001844</t>
  </si>
  <si>
    <t>PO-001845</t>
  </si>
  <si>
    <t>PO-001846</t>
  </si>
  <si>
    <t>PO-001847</t>
  </si>
  <si>
    <t>PO-001848</t>
  </si>
  <si>
    <t>PO-001849</t>
  </si>
  <si>
    <t>PO-001850</t>
  </si>
  <si>
    <t>PO-001851</t>
  </si>
  <si>
    <t>PA-0000387</t>
  </si>
  <si>
    <t>PO-001852</t>
  </si>
  <si>
    <t>PO-001853</t>
  </si>
  <si>
    <t>PO-001854</t>
  </si>
  <si>
    <t>PO-001855</t>
  </si>
  <si>
    <t>PO-001856</t>
  </si>
  <si>
    <t>PO-001857</t>
  </si>
  <si>
    <t>PO-001858</t>
  </si>
  <si>
    <t>PO-001859</t>
  </si>
  <si>
    <t>PO-001860</t>
  </si>
  <si>
    <t>PO-001861</t>
  </si>
  <si>
    <t>PO-001862</t>
  </si>
  <si>
    <t>PO-001863</t>
  </si>
  <si>
    <t>PO-001864</t>
  </si>
  <si>
    <t>PO-001865</t>
  </si>
  <si>
    <t>PO-001866</t>
  </si>
  <si>
    <t>PO-001867</t>
  </si>
  <si>
    <t>PO-001868</t>
  </si>
  <si>
    <t>PO-001869</t>
  </si>
  <si>
    <t>PO-001870</t>
  </si>
  <si>
    <t>PO-001871</t>
  </si>
  <si>
    <t>PO-001872</t>
  </si>
  <si>
    <t>PO-001873</t>
  </si>
  <si>
    <t>PO-001874</t>
  </si>
  <si>
    <t>PO-001875</t>
  </si>
  <si>
    <t>PO-001876</t>
  </si>
  <si>
    <t>PO-001877</t>
  </si>
  <si>
    <t>PO-001878</t>
  </si>
  <si>
    <t>PO-001879</t>
  </si>
  <si>
    <t>PO-001880</t>
  </si>
  <si>
    <t>PO-001881</t>
  </si>
  <si>
    <t>PA-0000384</t>
  </si>
  <si>
    <t>PO-001882</t>
  </si>
  <si>
    <t>PO-001883</t>
  </si>
  <si>
    <t>PO-001884</t>
  </si>
  <si>
    <t>PO-001885</t>
  </si>
  <si>
    <t>PO-001886</t>
  </si>
  <si>
    <t>PO-001887</t>
  </si>
  <si>
    <t>PO-001888</t>
  </si>
  <si>
    <t>PO-001889</t>
  </si>
  <si>
    <t>PO-001890</t>
  </si>
  <si>
    <t>PO-001891</t>
  </si>
  <si>
    <t>PO-001892</t>
  </si>
  <si>
    <t>PO-001893</t>
  </si>
  <si>
    <t>PO-001894</t>
  </si>
  <si>
    <t>PO-001895</t>
  </si>
  <si>
    <t>PO-001896</t>
  </si>
  <si>
    <t>PO-001897</t>
  </si>
  <si>
    <t>PO-001898</t>
  </si>
  <si>
    <t>PO-001899</t>
  </si>
  <si>
    <t>PO-001900</t>
  </si>
  <si>
    <t>PO-001901</t>
  </si>
  <si>
    <t>PO-001902</t>
  </si>
  <si>
    <t>PO-001903</t>
  </si>
  <si>
    <t>PO-001904</t>
  </si>
  <si>
    <t>PO-001905</t>
  </si>
  <si>
    <t>PA-0000422</t>
  </si>
  <si>
    <t>PO-001906</t>
  </si>
  <si>
    <t>PO-001907</t>
  </si>
  <si>
    <t>PO-001908</t>
  </si>
  <si>
    <t>PO-001909</t>
  </si>
  <si>
    <t>PA-0000573</t>
  </si>
  <si>
    <t>PO-001910</t>
  </si>
  <si>
    <t>PO-001911</t>
  </si>
  <si>
    <t>PO-001912</t>
  </si>
  <si>
    <t>PO-001913</t>
  </si>
  <si>
    <t>PO-001914</t>
  </si>
  <si>
    <t>PO-001915</t>
  </si>
  <si>
    <t>PO-001916</t>
  </si>
  <si>
    <t>PO-001917</t>
  </si>
  <si>
    <t>PO-001918</t>
  </si>
  <si>
    <t>PO-001919</t>
  </si>
  <si>
    <t>PO-001920</t>
  </si>
  <si>
    <t>PO-001921</t>
  </si>
  <si>
    <t>PO-001922</t>
  </si>
  <si>
    <t>PO-001923</t>
  </si>
  <si>
    <t>PO-001924</t>
  </si>
  <si>
    <t>PO-001925</t>
  </si>
  <si>
    <t>PO-001926</t>
  </si>
  <si>
    <t>PO-001927</t>
  </si>
  <si>
    <t>PO-001928</t>
  </si>
  <si>
    <t>PO-001929</t>
  </si>
  <si>
    <t>PO-001930</t>
  </si>
  <si>
    <t>PO-001931</t>
  </si>
  <si>
    <t>PO-001932</t>
  </si>
  <si>
    <t>PO-001933</t>
  </si>
  <si>
    <t>PO-001934</t>
  </si>
  <si>
    <t>PO-001935</t>
  </si>
  <si>
    <t>PO-001936</t>
  </si>
  <si>
    <t>PO-001937</t>
  </si>
  <si>
    <t>PO-001938</t>
  </si>
  <si>
    <t>PO-001939</t>
  </si>
  <si>
    <t>PO-001940</t>
  </si>
  <si>
    <t>PO-001941</t>
  </si>
  <si>
    <t>PO-001942</t>
  </si>
  <si>
    <t>PA-0000156</t>
  </si>
  <si>
    <t>PO-001943</t>
  </si>
  <si>
    <t>PO-001944</t>
  </si>
  <si>
    <t>PA-0000272</t>
  </si>
  <si>
    <t>PO-001945</t>
  </si>
  <si>
    <t>PO-001946</t>
  </si>
  <si>
    <t>PO-001947</t>
  </si>
  <si>
    <t>PO-001948</t>
  </si>
  <si>
    <t>PO-001949</t>
  </si>
  <si>
    <t>PO-001950</t>
  </si>
  <si>
    <t>PO-001951</t>
  </si>
  <si>
    <t>PO-001952</t>
  </si>
  <si>
    <t>PO-001953</t>
  </si>
  <si>
    <t>PO-001954</t>
  </si>
  <si>
    <t>PO-001955</t>
  </si>
  <si>
    <t>PA-0000076</t>
  </si>
  <si>
    <t>PO-001956</t>
  </si>
  <si>
    <t>PA-0000158</t>
  </si>
  <si>
    <t>PO-001957</t>
  </si>
  <si>
    <t>PO-001958</t>
  </si>
  <si>
    <t>PO-001959</t>
  </si>
  <si>
    <t>PA-0000468</t>
  </si>
  <si>
    <t>PO-001960</t>
  </si>
  <si>
    <t>PO-001961</t>
  </si>
  <si>
    <t>PO-001962</t>
  </si>
  <si>
    <t>PO-001963</t>
  </si>
  <si>
    <t>PO-001964</t>
  </si>
  <si>
    <t>PO-001965</t>
  </si>
  <si>
    <t>PO-001966</t>
  </si>
  <si>
    <t>PO-001967</t>
  </si>
  <si>
    <t>PO-001968</t>
  </si>
  <si>
    <t>PO-001969</t>
  </si>
  <si>
    <t>PO-001970</t>
  </si>
  <si>
    <t>PA-0000633</t>
  </si>
  <si>
    <t>PO-001971</t>
  </si>
  <si>
    <t>PO-001972</t>
  </si>
  <si>
    <t>PO-001973</t>
  </si>
  <si>
    <t>PO-001974</t>
  </si>
  <si>
    <t>PO-001975</t>
  </si>
  <si>
    <t>PO-001976</t>
  </si>
  <si>
    <t>PO-001977</t>
  </si>
  <si>
    <t>PA-0000526</t>
  </si>
  <si>
    <t>PO-001978</t>
  </si>
  <si>
    <t>PO-001979</t>
  </si>
  <si>
    <t>PO-001980</t>
  </si>
  <si>
    <t>PO-001981</t>
  </si>
  <si>
    <t>PO-001982</t>
  </si>
  <si>
    <t>PO-001983</t>
  </si>
  <si>
    <t>PO-001984</t>
  </si>
  <si>
    <t>PO-001985</t>
  </si>
  <si>
    <t>PO-001986</t>
  </si>
  <si>
    <t>PO-001987</t>
  </si>
  <si>
    <t>PO-001988</t>
  </si>
  <si>
    <t>PO-001989</t>
  </si>
  <si>
    <t>PO-001990</t>
  </si>
  <si>
    <t>PO-001991</t>
  </si>
  <si>
    <t>PO-001992</t>
  </si>
  <si>
    <t>PO-001993</t>
  </si>
  <si>
    <t>PO-001994</t>
  </si>
  <si>
    <t>PO-001995</t>
  </si>
  <si>
    <t>PO-001996</t>
  </si>
  <si>
    <t>PO-001997</t>
  </si>
  <si>
    <t>PA-0000320</t>
  </si>
  <si>
    <t>PO-001998</t>
  </si>
  <si>
    <t>PO-001999</t>
  </si>
  <si>
    <t>PO-002000</t>
  </si>
  <si>
    <t>PO-002001</t>
  </si>
  <si>
    <t>PO-002002</t>
  </si>
  <si>
    <t>PA-0000470</t>
  </si>
  <si>
    <t>PO-002003</t>
  </si>
  <si>
    <t>PO-002004</t>
  </si>
  <si>
    <t>PA-0000190</t>
  </si>
  <si>
    <t>PO-002005</t>
  </si>
  <si>
    <t>PA-0000260</t>
  </si>
  <si>
    <t>PO-002006</t>
  </si>
  <si>
    <t>PO-002007</t>
  </si>
  <si>
    <t>PO-002008</t>
  </si>
  <si>
    <t>PA-0000298</t>
  </si>
  <si>
    <t>PO-002009</t>
  </si>
  <si>
    <t>PO-002010</t>
  </si>
  <si>
    <t>PO-002011</t>
  </si>
  <si>
    <t>PO-002012</t>
  </si>
  <si>
    <t>PO-002013</t>
  </si>
  <si>
    <t>PO-002014</t>
  </si>
  <si>
    <t>PO-002015</t>
  </si>
  <si>
    <t>2024-02</t>
  </si>
  <si>
    <t>PO-002016</t>
  </si>
  <si>
    <t>PA-0000144</t>
  </si>
  <si>
    <t>PO-002017</t>
  </si>
  <si>
    <t>PO-002018</t>
  </si>
  <si>
    <t>PO-002019</t>
  </si>
  <si>
    <t>PO-002020</t>
  </si>
  <si>
    <t>PA-0000278</t>
  </si>
  <si>
    <t>PO-002021</t>
  </si>
  <si>
    <t>PA-0000281</t>
  </si>
  <si>
    <t>PO-002022</t>
  </si>
  <si>
    <t>PO-002023</t>
  </si>
  <si>
    <t>PO-002024</t>
  </si>
  <si>
    <t>PO-002025</t>
  </si>
  <si>
    <t>PO-002026</t>
  </si>
  <si>
    <t>PO-002027</t>
  </si>
  <si>
    <t>PO-002028</t>
  </si>
  <si>
    <t>PO-002029</t>
  </si>
  <si>
    <t>PO-002030</t>
  </si>
  <si>
    <t>PO-002031</t>
  </si>
  <si>
    <t>PO-002032</t>
  </si>
  <si>
    <t>PO-002033</t>
  </si>
  <si>
    <t>PO-002034</t>
  </si>
  <si>
    <t>PO-002035</t>
  </si>
  <si>
    <t>PA-0000553</t>
  </si>
  <si>
    <t>PO-002036</t>
  </si>
  <si>
    <t>PO-002037</t>
  </si>
  <si>
    <t>PA-0000406</t>
  </si>
  <si>
    <t>PO-002038</t>
  </si>
  <si>
    <t>PO-002039</t>
  </si>
  <si>
    <t>PO-002040</t>
  </si>
  <si>
    <t>PO-002041</t>
  </si>
  <si>
    <t>PO-002042</t>
  </si>
  <si>
    <t>PO-002043</t>
  </si>
  <si>
    <t>PO-002044</t>
  </si>
  <si>
    <t>PO-002045</t>
  </si>
  <si>
    <t>PO-002046</t>
  </si>
  <si>
    <t>PO-002047</t>
  </si>
  <si>
    <t>PO-002048</t>
  </si>
  <si>
    <t>PO-002049</t>
  </si>
  <si>
    <t>PA-0000061</t>
  </si>
  <si>
    <t>PO-002050</t>
  </si>
  <si>
    <t>PO-002051</t>
  </si>
  <si>
    <t>PO-002052</t>
  </si>
  <si>
    <t>PO-002053</t>
  </si>
  <si>
    <t>PO-002054</t>
  </si>
  <si>
    <t>PA-0000350</t>
  </si>
  <si>
    <t>PO-002055</t>
  </si>
  <si>
    <t>PO-002056</t>
  </si>
  <si>
    <t>PO-002057</t>
  </si>
  <si>
    <t>PA-0000639</t>
  </si>
  <si>
    <t>PO-002058</t>
  </si>
  <si>
    <t>PO-002059</t>
  </si>
  <si>
    <t>PO-002060</t>
  </si>
  <si>
    <t>PO-002061</t>
  </si>
  <si>
    <t>PO-002062</t>
  </si>
  <si>
    <t>PO-002063</t>
  </si>
  <si>
    <t>PO-002064</t>
  </si>
  <si>
    <t>PO-D00006</t>
  </si>
  <si>
    <t>PO-002065</t>
  </si>
  <si>
    <t>PO-002066</t>
  </si>
  <si>
    <t>PO-002067</t>
  </si>
  <si>
    <t>PA-0000429</t>
  </si>
  <si>
    <t>PO-002068</t>
  </si>
  <si>
    <t>PO-002069</t>
  </si>
  <si>
    <t>PO-002070</t>
  </si>
  <si>
    <t>PO-002071</t>
  </si>
  <si>
    <t>PA-0000547</t>
  </si>
  <si>
    <t>PO-002072</t>
  </si>
  <si>
    <t>PO-002073</t>
  </si>
  <si>
    <t>PO-002074</t>
  </si>
  <si>
    <t>PO-002075</t>
  </si>
  <si>
    <t>PO-002076</t>
  </si>
  <si>
    <t>PO-002077</t>
  </si>
  <si>
    <t>PO-002078</t>
  </si>
  <si>
    <t>PA-0000498</t>
  </si>
  <si>
    <t>PO-002079</t>
  </si>
  <si>
    <t>PO-002080</t>
  </si>
  <si>
    <t>PA-0000568</t>
  </si>
  <si>
    <t>PO-002081</t>
  </si>
  <si>
    <t>PO-002082</t>
  </si>
  <si>
    <t>PO-002083</t>
  </si>
  <si>
    <t>PO-002084</t>
  </si>
  <si>
    <t>PO-002085</t>
  </si>
  <si>
    <t>PO-002086</t>
  </si>
  <si>
    <t>PO-002087</t>
  </si>
  <si>
    <t>PO-002088</t>
  </si>
  <si>
    <t>PO-002089</t>
  </si>
  <si>
    <t>PA-0000619</t>
  </si>
  <si>
    <t>PO-002090</t>
  </si>
  <si>
    <t>PO-002091</t>
  </si>
  <si>
    <t>PO-002092</t>
  </si>
  <si>
    <t>PA-0000378</t>
  </si>
  <si>
    <t>PO-002093</t>
  </si>
  <si>
    <t>PA-0000453</t>
  </si>
  <si>
    <t>PO-002094</t>
  </si>
  <si>
    <t>PO-002095</t>
  </si>
  <si>
    <t>PA-0000606</t>
  </si>
  <si>
    <t>PO-002096</t>
  </si>
  <si>
    <t>PA-0000121</t>
  </si>
  <si>
    <t>PO-002097</t>
  </si>
  <si>
    <t>PO-002098</t>
  </si>
  <si>
    <t>PO-002099</t>
  </si>
  <si>
    <t>PO-002100</t>
  </si>
  <si>
    <t>PO-002101</t>
  </si>
  <si>
    <t>PO-002102</t>
  </si>
  <si>
    <t>PO-002103</t>
  </si>
  <si>
    <t>PA-0000317</t>
  </si>
  <si>
    <t>PO-002104</t>
  </si>
  <si>
    <t>PO-002105</t>
  </si>
  <si>
    <t>PO-002106</t>
  </si>
  <si>
    <t>PA-0000432</t>
  </si>
  <si>
    <t>PO-002107</t>
  </si>
  <si>
    <t>PO-002108</t>
  </si>
  <si>
    <t>PO-002109</t>
  </si>
  <si>
    <t>PO-002110</t>
  </si>
  <si>
    <t>PO-002111</t>
  </si>
  <si>
    <t>PO-002112</t>
  </si>
  <si>
    <t>PO-002113</t>
  </si>
  <si>
    <t>PO-002114</t>
  </si>
  <si>
    <t>PO-002115</t>
  </si>
  <si>
    <t>PO-002116</t>
  </si>
  <si>
    <t>PO-002117</t>
  </si>
  <si>
    <t>PO-002118</t>
  </si>
  <si>
    <t>PO-002119</t>
  </si>
  <si>
    <t>PO-002120</t>
  </si>
  <si>
    <t>PA-0000058</t>
  </si>
  <si>
    <t>PO-002121</t>
  </si>
  <si>
    <t>PO-002122</t>
  </si>
  <si>
    <t>PO-002123</t>
  </si>
  <si>
    <t>PO-002124</t>
  </si>
  <si>
    <t>PO-002125</t>
  </si>
  <si>
    <t>PO-002126</t>
  </si>
  <si>
    <t>PO-002127</t>
  </si>
  <si>
    <t>PO-002128</t>
  </si>
  <si>
    <t>PO-002129</t>
  </si>
  <si>
    <t>PO-002130</t>
  </si>
  <si>
    <t>PO-002131</t>
  </si>
  <si>
    <t>PA-0000404</t>
  </si>
  <si>
    <t>PO-002132</t>
  </si>
  <si>
    <t>PO-002133</t>
  </si>
  <si>
    <t>PO-002134</t>
  </si>
  <si>
    <t>PO-002135</t>
  </si>
  <si>
    <t>PO-002136</t>
  </si>
  <si>
    <t>PO-002137</t>
  </si>
  <si>
    <t>PA-0000239</t>
  </si>
  <si>
    <t>PO-002138</t>
  </si>
  <si>
    <t>PO-002139</t>
  </si>
  <si>
    <t>PA-0000450</t>
  </si>
  <si>
    <t>PO-002140</t>
  </si>
  <si>
    <t>PA-0000531</t>
  </si>
  <si>
    <t>PO-002141</t>
  </si>
  <si>
    <t>PO-002142</t>
  </si>
  <si>
    <t>PO-002143</t>
  </si>
  <si>
    <t>PO-002144</t>
  </si>
  <si>
    <t>PO-002145</t>
  </si>
  <si>
    <t>PO-002146</t>
  </si>
  <si>
    <t>PO-002147</t>
  </si>
  <si>
    <t>PO-002148</t>
  </si>
  <si>
    <t>PO-002149</t>
  </si>
  <si>
    <t>PO-002150</t>
  </si>
  <si>
    <t>PO-002151</t>
  </si>
  <si>
    <t>PO-002152</t>
  </si>
  <si>
    <t>PO-002153</t>
  </si>
  <si>
    <t>PO-002154</t>
  </si>
  <si>
    <t>PO-002155</t>
  </si>
  <si>
    <t>PO-002156</t>
  </si>
  <si>
    <t>PA-0000570</t>
  </si>
  <si>
    <t>PO-002157</t>
  </si>
  <si>
    <t>PO-002158</t>
  </si>
  <si>
    <t>PA-0000040</t>
  </si>
  <si>
    <t>PO-002159</t>
  </si>
  <si>
    <t>PO-002160</t>
  </si>
  <si>
    <t>PO-002161</t>
  </si>
  <si>
    <t>PO-002162</t>
  </si>
  <si>
    <t>PO-002163</t>
  </si>
  <si>
    <t>PO-002164</t>
  </si>
  <si>
    <t>PO-002165</t>
  </si>
  <si>
    <t>PO-002166</t>
  </si>
  <si>
    <t>PO-002167</t>
  </si>
  <si>
    <t>PO-002168</t>
  </si>
  <si>
    <t>PO-002169</t>
  </si>
  <si>
    <t>PA-0000226</t>
  </si>
  <si>
    <t>PO-002170</t>
  </si>
  <si>
    <t>PO-002171</t>
  </si>
  <si>
    <t>PA-0000330</t>
  </si>
  <si>
    <t>PO-002172</t>
  </si>
  <si>
    <t>PO-002173</t>
  </si>
  <si>
    <t>PO-002174</t>
  </si>
  <si>
    <t>PO-002175</t>
  </si>
  <si>
    <t>PA-0000645</t>
  </si>
  <si>
    <t>PO-002176</t>
  </si>
  <si>
    <t>PO-002177</t>
  </si>
  <si>
    <t>PA-0000173</t>
  </si>
  <si>
    <t>PO-002178</t>
  </si>
  <si>
    <t>PO-002179</t>
  </si>
  <si>
    <t>PO-002180</t>
  </si>
  <si>
    <t>PO-002181</t>
  </si>
  <si>
    <t>PA-0000523</t>
  </si>
  <si>
    <t>PO-002182</t>
  </si>
  <si>
    <t>PO-002183</t>
  </si>
  <si>
    <t>2024-03</t>
  </si>
  <si>
    <t>PO-002184</t>
  </si>
  <si>
    <t>PO-002185</t>
  </si>
  <si>
    <t>PA-0000112</t>
  </si>
  <si>
    <t>PO-002186</t>
  </si>
  <si>
    <t>PO-002187</t>
  </si>
  <si>
    <t>PA-0000284</t>
  </si>
  <si>
    <t>PO-002188</t>
  </si>
  <si>
    <t>PO-002189</t>
  </si>
  <si>
    <t>PO-002190</t>
  </si>
  <si>
    <t>PO-002191</t>
  </si>
  <si>
    <t>PO-002192</t>
  </si>
  <si>
    <t>PO-002193</t>
  </si>
  <si>
    <t>PA-0000353</t>
  </si>
  <si>
    <t>PO-002194</t>
  </si>
  <si>
    <t>PO-002195</t>
  </si>
  <si>
    <t>PO-002196</t>
  </si>
  <si>
    <t>PO-002197</t>
  </si>
  <si>
    <t>PA-0000580</t>
  </si>
  <si>
    <t>PO-002198</t>
  </si>
  <si>
    <t>PO-002199</t>
  </si>
  <si>
    <t>PO-002200</t>
  </si>
  <si>
    <t>PO-002201</t>
  </si>
  <si>
    <t>PO-002202</t>
  </si>
  <si>
    <t>PO-002203</t>
  </si>
  <si>
    <t>PA-0000151</t>
  </si>
  <si>
    <t>PO-002204</t>
  </si>
  <si>
    <t>PO-002205</t>
  </si>
  <si>
    <t>PO-002206</t>
  </si>
  <si>
    <t>PO-002207</t>
  </si>
  <si>
    <t>PO-002208</t>
  </si>
  <si>
    <t>PO-002209</t>
  </si>
  <si>
    <t>PO-002210</t>
  </si>
  <si>
    <t>PO-002211</t>
  </si>
  <si>
    <t>PO-002212</t>
  </si>
  <si>
    <t>PO-002213</t>
  </si>
  <si>
    <t>PO-002214</t>
  </si>
  <si>
    <t>PO-002215</t>
  </si>
  <si>
    <t>PO-002216</t>
  </si>
  <si>
    <t>PA-0000126</t>
  </si>
  <si>
    <t>PO-002217</t>
  </si>
  <si>
    <t>PO-002218</t>
  </si>
  <si>
    <t>PO-002219</t>
  </si>
  <si>
    <t>PO-002220</t>
  </si>
  <si>
    <t>PO-002221</t>
  </si>
  <si>
    <t>PO-002222</t>
  </si>
  <si>
    <t>PO-002223</t>
  </si>
  <si>
    <t>PO-002224</t>
  </si>
  <si>
    <t>PO-002225</t>
  </si>
  <si>
    <t>PO-002226</t>
  </si>
  <si>
    <t>PO-002227</t>
  </si>
  <si>
    <t>PO-002228</t>
  </si>
  <si>
    <t>PO-002229</t>
  </si>
  <si>
    <t>PO-002230</t>
  </si>
  <si>
    <t>PO-002231</t>
  </si>
  <si>
    <t>PA-0000053</t>
  </si>
  <si>
    <t>PO-002232</t>
  </si>
  <si>
    <t>PO-002233</t>
  </si>
  <si>
    <t>PO-002234</t>
  </si>
  <si>
    <t>PO-002235</t>
  </si>
  <si>
    <t>PO-002236</t>
  </si>
  <si>
    <t>PO-002237</t>
  </si>
  <si>
    <t>PO-002238</t>
  </si>
  <si>
    <t>PA-0000583</t>
  </si>
  <si>
    <t>PO-002239</t>
  </si>
  <si>
    <t>PA-0000023</t>
  </si>
  <si>
    <t>PO-002240</t>
  </si>
  <si>
    <t>PO-002241</t>
  </si>
  <si>
    <t>PA-0000193</t>
  </si>
  <si>
    <t>PO-002242</t>
  </si>
  <si>
    <t>PO-002243</t>
  </si>
  <si>
    <t>PO-002244</t>
  </si>
  <si>
    <t>PO-002245</t>
  </si>
  <si>
    <t>PO-002246</t>
  </si>
  <si>
    <t>PO-002247</t>
  </si>
  <si>
    <t>PA-0000033</t>
  </si>
  <si>
    <t>PO-002248</t>
  </si>
  <si>
    <t>PO-002249</t>
  </si>
  <si>
    <t>PO-002250</t>
  </si>
  <si>
    <t>PO-002251</t>
  </si>
  <si>
    <t>PO-002252</t>
  </si>
  <si>
    <t>PO-002253</t>
  </si>
  <si>
    <t>PO-002254</t>
  </si>
  <si>
    <t>PO-002255</t>
  </si>
  <si>
    <t>PO-002256</t>
  </si>
  <si>
    <t>PO-002257</t>
  </si>
  <si>
    <t>PA-0000333</t>
  </si>
  <si>
    <t>PO-002258</t>
  </si>
  <si>
    <t>PO-002259</t>
  </si>
  <si>
    <t>PO-002260</t>
  </si>
  <si>
    <t>PO-002261</t>
  </si>
  <si>
    <t>PA-0000622</t>
  </si>
  <si>
    <t>PO-002262</t>
  </si>
  <si>
    <t>PO-002263</t>
  </si>
  <si>
    <t>PA-0000026</t>
  </si>
  <si>
    <t>PO-002264</t>
  </si>
  <si>
    <t>PO-002265</t>
  </si>
  <si>
    <t>PA-0000211</t>
  </si>
  <si>
    <t>PO-002266</t>
  </si>
  <si>
    <t>PO-002267</t>
  </si>
  <si>
    <t>PA-0000486</t>
  </si>
  <si>
    <t>PO-002268</t>
  </si>
  <si>
    <t>PO-002269</t>
  </si>
  <si>
    <t>PO-002270</t>
  </si>
  <si>
    <t>PO-002271</t>
  </si>
  <si>
    <t>PO-002272</t>
  </si>
  <si>
    <t>PO-002273</t>
  </si>
  <si>
    <t>PO-002274</t>
  </si>
  <si>
    <t>PA-0000483</t>
  </si>
  <si>
    <t>PO-002275</t>
  </si>
  <si>
    <t>PA-0000198</t>
  </si>
  <si>
    <t>PO-002276</t>
  </si>
  <si>
    <t>PO-002277</t>
  </si>
  <si>
    <t>PO-002278</t>
  </si>
  <si>
    <t>PO-002279</t>
  </si>
  <si>
    <t>PA-0000115</t>
  </si>
  <si>
    <t>PO-002280</t>
  </si>
  <si>
    <t>PA-0000195</t>
  </si>
  <si>
    <t>PO-002281</t>
  </si>
  <si>
    <t>PO-002282</t>
  </si>
  <si>
    <t>PO-002283</t>
  </si>
  <si>
    <t>PO-002284</t>
  </si>
  <si>
    <t>PO-002285</t>
  </si>
  <si>
    <t>PA-0000544</t>
  </si>
  <si>
    <t>PO-002286</t>
  </si>
  <si>
    <t>PO-002287</t>
  </si>
  <si>
    <t>PO-002288</t>
  </si>
  <si>
    <t>PO-002289</t>
  </si>
  <si>
    <t>PO-002290</t>
  </si>
  <si>
    <t>PO-002291</t>
  </si>
  <si>
    <t>PO-002292</t>
  </si>
  <si>
    <t>PA-0000263</t>
  </si>
  <si>
    <t>PO-002293</t>
  </si>
  <si>
    <t>PA-0000344</t>
  </si>
  <si>
    <t>PO-002294</t>
  </si>
  <si>
    <t>PO-002295</t>
  </si>
  <si>
    <t>PO-002296</t>
  </si>
  <si>
    <t>PA-0000600</t>
  </si>
  <si>
    <t>PO-002297</t>
  </si>
  <si>
    <t>PO-002298</t>
  </si>
  <si>
    <t>PO-002299</t>
  </si>
  <si>
    <t>PO-002300</t>
  </si>
  <si>
    <t>PA-0000130</t>
  </si>
  <si>
    <t>PO-002301</t>
  </si>
  <si>
    <t>PO-002302</t>
  </si>
  <si>
    <t>PO-002303</t>
  </si>
  <si>
    <t>PA-0000229</t>
  </si>
  <si>
    <t>PO-002304</t>
  </si>
  <si>
    <t>PO-002305</t>
  </si>
  <si>
    <t>PA-0000347</t>
  </si>
  <si>
    <t>PO-002306</t>
  </si>
  <si>
    <t>PO-002307</t>
  </si>
  <si>
    <t>PO-002308</t>
  </si>
  <si>
    <t>PO-002309</t>
  </si>
  <si>
    <t>PA-0000017</t>
  </si>
  <si>
    <t>PO-002310</t>
  </si>
  <si>
    <t>PA-0000183</t>
  </si>
  <si>
    <t>PO-002311</t>
  </si>
  <si>
    <t>PO-002312</t>
  </si>
  <si>
    <t>PO-002313</t>
  </si>
  <si>
    <t>PO-002314</t>
  </si>
  <si>
    <t>PA-0000255</t>
  </si>
  <si>
    <t>PO-002315</t>
  </si>
  <si>
    <t>PO-002316</t>
  </si>
  <si>
    <t>PA-0000562</t>
  </si>
  <si>
    <t>PO-002317</t>
  </si>
  <si>
    <t>PO-002318</t>
  </si>
  <si>
    <t>PO-002319</t>
  </si>
  <si>
    <t>PA-0000648</t>
  </si>
  <si>
    <t>PO-002320</t>
  </si>
  <si>
    <t>PO-002321</t>
  </si>
  <si>
    <t>PO-002322</t>
  </si>
  <si>
    <t>PA-0000223</t>
  </si>
  <si>
    <t>PO-002323</t>
  </si>
  <si>
    <t>PO-002324</t>
  </si>
  <si>
    <t>PA-0000252</t>
  </si>
  <si>
    <t>PO-002325</t>
  </si>
  <si>
    <t>PO-002326</t>
  </si>
  <si>
    <t>PA-0000265</t>
  </si>
  <si>
    <t>PO-002327</t>
  </si>
  <si>
    <t>PO-002328</t>
  </si>
  <si>
    <t>PA-0000398</t>
  </si>
  <si>
    <t>PO-002329</t>
  </si>
  <si>
    <t>PA-0000408</t>
  </si>
  <si>
    <t>PO-002330</t>
  </si>
  <si>
    <t>PO-002331</t>
  </si>
  <si>
    <t>PA-0000090</t>
  </si>
  <si>
    <t>PO-002332</t>
  </si>
  <si>
    <t>PO-002333</t>
  </si>
  <si>
    <t>PA-0000268</t>
  </si>
  <si>
    <t>PO-002334</t>
  </si>
  <si>
    <t>PO-002335</t>
  </si>
  <si>
    <t>PO-002336</t>
  </si>
  <si>
    <t>PA-0000541</t>
  </si>
  <si>
    <t>PO-002337</t>
  </si>
  <si>
    <t>PO-002338</t>
  </si>
  <si>
    <t>PO-002339</t>
  </si>
  <si>
    <t>PO-002340</t>
  </si>
  <si>
    <t>PO-002341</t>
  </si>
  <si>
    <t>PO-002342</t>
  </si>
  <si>
    <t>PO-002343</t>
  </si>
  <si>
    <t>PO-002344</t>
  </si>
  <si>
    <t>PO-002345</t>
  </si>
  <si>
    <t>PO-002346</t>
  </si>
  <si>
    <t>PA-0000534</t>
  </si>
  <si>
    <t>PO-002347</t>
  </si>
  <si>
    <t>PO-D00007</t>
  </si>
  <si>
    <t>PO-002348</t>
  </si>
  <si>
    <t>PO-002349</t>
  </si>
  <si>
    <t>PO-002350</t>
  </si>
  <si>
    <t>PA-0000170</t>
  </si>
  <si>
    <t>PO-002351</t>
  </si>
  <si>
    <t>PO-002352</t>
  </si>
  <si>
    <t>PO-002353</t>
  </si>
  <si>
    <t>PO-002354</t>
  </si>
  <si>
    <t>PO-002355</t>
  </si>
  <si>
    <t>PO-002356</t>
  </si>
  <si>
    <t>PO-002357</t>
  </si>
  <si>
    <t>PO-002358</t>
  </si>
  <si>
    <t>PO-002359</t>
  </si>
  <si>
    <t>PO-002360</t>
  </si>
  <si>
    <t>PO-002361</t>
  </si>
  <si>
    <t>PO-002362</t>
  </si>
  <si>
    <t>PO-002363</t>
  </si>
  <si>
    <t>PO-002364</t>
  </si>
  <si>
    <t>PO-002365</t>
  </si>
  <si>
    <t>PO-002366</t>
  </si>
  <si>
    <t>PO-002367</t>
  </si>
  <si>
    <t>PO-002368</t>
  </si>
  <si>
    <t>PO-002369</t>
  </si>
  <si>
    <t>2024-04</t>
  </si>
  <si>
    <t>PA-0000037</t>
  </si>
  <si>
    <t>PO-002370</t>
  </si>
  <si>
    <t>PO-002371</t>
  </si>
  <si>
    <t>PO-002372</t>
  </si>
  <si>
    <t>PA-0000338</t>
  </si>
  <si>
    <t>PO-002373</t>
  </si>
  <si>
    <t>PO-002374</t>
  </si>
  <si>
    <t>PA-0000625</t>
  </si>
  <si>
    <t>PO-002375</t>
  </si>
  <si>
    <t>PO-002376</t>
  </si>
  <si>
    <t>PO-002377</t>
  </si>
  <si>
    <t>PA-0000287</t>
  </si>
  <si>
    <t>PO-002378</t>
  </si>
  <si>
    <t>PA-0000420</t>
  </si>
  <si>
    <t>PO-002379</t>
  </si>
  <si>
    <t>PO-002380</t>
  </si>
  <si>
    <t>PA-0000564</t>
  </si>
  <si>
    <t>PO-002381</t>
  </si>
  <si>
    <t>PO-002382</t>
  </si>
  <si>
    <t>PO-002383</t>
  </si>
  <si>
    <t>PO-002384</t>
  </si>
  <si>
    <t>PO-002385</t>
  </si>
  <si>
    <t>PA-0000243</t>
  </si>
  <si>
    <t>PO-002386</t>
  </si>
  <si>
    <t>PO-002387</t>
  </si>
  <si>
    <t>PA-0000447</t>
  </si>
  <si>
    <t>PO-002388</t>
  </si>
  <si>
    <t>PA-0000597</t>
  </si>
  <si>
    <t>PO-002389</t>
  </si>
  <si>
    <t>PO-002390</t>
  </si>
  <si>
    <t>PO-002391</t>
  </si>
  <si>
    <t>PO-002392</t>
  </si>
  <si>
    <t>PO-002393</t>
  </si>
  <si>
    <t>PA-0000304</t>
  </si>
  <si>
    <t>PO-002394</t>
  </si>
  <si>
    <t>PO-002395</t>
  </si>
  <si>
    <t>PO-002396</t>
  </si>
  <si>
    <t>PO-002397</t>
  </si>
  <si>
    <t>PO-002398</t>
  </si>
  <si>
    <t>PA-0000551</t>
  </si>
  <si>
    <t>PO-002399</t>
  </si>
  <si>
    <t>PO-002400</t>
  </si>
  <si>
    <t>PO-002401</t>
  </si>
  <si>
    <t>PO-002402</t>
  </si>
  <si>
    <t>PO-002403</t>
  </si>
  <si>
    <t>PA-0000232</t>
  </si>
  <si>
    <t>PO-002404</t>
  </si>
  <si>
    <t>PO-002405</t>
  </si>
  <si>
    <t>PO-002406</t>
  </si>
  <si>
    <t>PO-002407</t>
  </si>
  <si>
    <t>PO-002408</t>
  </si>
  <si>
    <t>PO-002409</t>
  </si>
  <si>
    <t>PO-002410</t>
  </si>
  <si>
    <t>PA-0000070</t>
  </si>
  <si>
    <t>PO-002411</t>
  </si>
  <si>
    <t>PA-0000118</t>
  </si>
  <si>
    <t>PO-002412</t>
  </si>
  <si>
    <t>PO-002413</t>
  </si>
  <si>
    <t>PO-002414</t>
  </si>
  <si>
    <t>PO-002415</t>
  </si>
  <si>
    <t>PO-002416</t>
  </si>
  <si>
    <t>PO-002417</t>
  </si>
  <si>
    <t>PO-002418</t>
  </si>
  <si>
    <t>PO-002419</t>
  </si>
  <si>
    <t>PO-002420</t>
  </si>
  <si>
    <t>PO-002421</t>
  </si>
  <si>
    <t>PA-0000085</t>
  </si>
  <si>
    <t>PO-002422</t>
  </si>
  <si>
    <t>PO-002423</t>
  </si>
  <si>
    <t>PA-0000207</t>
  </si>
  <si>
    <t>PO-002424</t>
  </si>
  <si>
    <t>PO-002425</t>
  </si>
  <si>
    <t>PO-002426</t>
  </si>
  <si>
    <t>PO-002427</t>
  </si>
  <si>
    <t>PO-002428</t>
  </si>
  <si>
    <t>PA-0000414</t>
  </si>
  <si>
    <t>PO-002429</t>
  </si>
  <si>
    <t>PA-0000459</t>
  </si>
  <si>
    <t>PO-002430</t>
  </si>
  <si>
    <t>PA-0000501</t>
  </si>
  <si>
    <t>PO-002431</t>
  </si>
  <si>
    <t>PO-002432</t>
  </si>
  <si>
    <t>PO-002433</t>
  </si>
  <si>
    <t>PO-002434</t>
  </si>
  <si>
    <t>PO-002435</t>
  </si>
  <si>
    <t>PO-002436</t>
  </si>
  <si>
    <t>PO-002437</t>
  </si>
  <si>
    <t>PO-002438</t>
  </si>
  <si>
    <t>PO-002439</t>
  </si>
  <si>
    <t>PA-0000390</t>
  </si>
  <si>
    <t>PO-002440</t>
  </si>
  <si>
    <t>PO-002441</t>
  </si>
  <si>
    <t>PA-0000439</t>
  </si>
  <si>
    <t>PO-002442</t>
  </si>
  <si>
    <t>PO-002443</t>
  </si>
  <si>
    <t>PO-002444</t>
  </si>
  <si>
    <t>PO-002445</t>
  </si>
  <si>
    <t>PA-0000097</t>
  </si>
  <si>
    <t>PO-002446</t>
  </si>
  <si>
    <t>PO-002447</t>
  </si>
  <si>
    <t>PO-002448</t>
  </si>
  <si>
    <t>PO-002449</t>
  </si>
  <si>
    <t>PO-002450</t>
  </si>
  <si>
    <t>PO-002451</t>
  </si>
  <si>
    <t>PO-002452</t>
  </si>
  <si>
    <t>PA-0000586</t>
  </si>
  <si>
    <t>PO-002453</t>
  </si>
  <si>
    <t>PO-002454</t>
  </si>
  <si>
    <t>PO-002455</t>
  </si>
  <si>
    <t>PO-002456</t>
  </si>
  <si>
    <t>PO-002457</t>
  </si>
  <si>
    <t>PO-002458</t>
  </si>
  <si>
    <t>PA-0000603</t>
  </si>
  <si>
    <t>PO-002459</t>
  </si>
  <si>
    <t>PA-0000610</t>
  </si>
  <si>
    <t>PO-002460</t>
  </si>
  <si>
    <t>PO-002461</t>
  </si>
  <si>
    <t>PO-002462</t>
  </si>
  <si>
    <t>PA-0000088</t>
  </si>
  <si>
    <t>PO-002463</t>
  </si>
  <si>
    <t>PO-002464</t>
  </si>
  <si>
    <t>PO-002465</t>
  </si>
  <si>
    <t>PO-002466</t>
  </si>
  <si>
    <t>PA-0000411</t>
  </si>
  <si>
    <t>PO-002467</t>
  </si>
  <si>
    <t>PO-002468</t>
  </si>
  <si>
    <t>PO-002469</t>
  </si>
  <si>
    <t>PO-002470</t>
  </si>
  <si>
    <t>PO-002471</t>
  </si>
  <si>
    <t>PO-002472</t>
  </si>
  <si>
    <t>PO-002473</t>
  </si>
  <si>
    <t>PO-002474</t>
  </si>
  <si>
    <t>PO-002475</t>
  </si>
  <si>
    <t>PO-002476</t>
  </si>
  <si>
    <t>PO-002477</t>
  </si>
  <si>
    <t>PO-002478</t>
  </si>
  <si>
    <t>PO-002479</t>
  </si>
  <si>
    <t>PA-0000100</t>
  </si>
  <si>
    <t>PO-002480</t>
  </si>
  <si>
    <t>PA-0000132</t>
  </si>
  <si>
    <t>PO-002481</t>
  </si>
  <si>
    <t>PO-002482</t>
  </si>
  <si>
    <t>PO-002483</t>
  </si>
  <si>
    <t>PO-002484</t>
  </si>
  <si>
    <t>PO-002485</t>
  </si>
  <si>
    <t>PO-002486</t>
  </si>
  <si>
    <t>PO-002487</t>
  </si>
  <si>
    <t>PA-0000636</t>
  </si>
  <si>
    <t>PO-002488</t>
  </si>
  <si>
    <t>PA-0000020</t>
  </si>
  <si>
    <t>PO-002489</t>
  </si>
  <si>
    <t>PO-002490</t>
  </si>
  <si>
    <t>PA-0000109</t>
  </si>
  <si>
    <t>PO-002491</t>
  </si>
  <si>
    <t>PO-002492</t>
  </si>
  <si>
    <t>PO-002493</t>
  </si>
  <si>
    <t>PO-002494</t>
  </si>
  <si>
    <t>PA-0000369</t>
  </si>
  <si>
    <t>PO-002495</t>
  </si>
  <si>
    <t>PO-002496</t>
  </si>
  <si>
    <t>PO-002497</t>
  </si>
  <si>
    <t>PO-002498</t>
  </si>
  <si>
    <t>PO-002499</t>
  </si>
  <si>
    <t>PO-002500</t>
  </si>
  <si>
    <t>PO-002501</t>
  </si>
  <si>
    <t>PO-002502</t>
  </si>
  <si>
    <t>PO-002503</t>
  </si>
  <si>
    <t>PO-002504</t>
  </si>
  <si>
    <t>PO-002505</t>
  </si>
  <si>
    <t>PA-0000462</t>
  </si>
  <si>
    <t>PO-002506</t>
  </si>
  <si>
    <t>PO-002507</t>
  </si>
  <si>
    <t>PO-002508</t>
  </si>
  <si>
    <t>PO-002509</t>
  </si>
  <si>
    <t>PO-002510</t>
  </si>
  <si>
    <t>PO-002511</t>
  </si>
  <si>
    <t>PO-002512</t>
  </si>
  <si>
    <t>PA-0000135</t>
  </si>
  <si>
    <t>PO-002513</t>
  </si>
  <si>
    <t>PA-0000153</t>
  </si>
  <si>
    <t>PO-002514</t>
  </si>
  <si>
    <t>PO-002515</t>
  </si>
  <si>
    <t>PA-0000356</t>
  </si>
  <si>
    <t>PO-002516</t>
  </si>
  <si>
    <t>PO-002517</t>
  </si>
  <si>
    <t>PO-002518</t>
  </si>
  <si>
    <t>PO-002519</t>
  </si>
  <si>
    <t>PO-002520</t>
  </si>
  <si>
    <t>PO-002521</t>
  </si>
  <si>
    <t>PO-002522</t>
  </si>
  <si>
    <t>PO-002523</t>
  </si>
  <si>
    <t>PO-002524</t>
  </si>
  <si>
    <t>PO-002525</t>
  </si>
  <si>
    <t>PO-002526</t>
  </si>
  <si>
    <t>PO-002527</t>
  </si>
  <si>
    <t>PO-002528</t>
  </si>
  <si>
    <t>PA-0000335</t>
  </si>
  <si>
    <t>PO-002529</t>
  </si>
  <si>
    <t>PO-002530</t>
  </si>
  <si>
    <t>PO-002531</t>
  </si>
  <si>
    <t>PO-002532</t>
  </si>
  <si>
    <t>PA-0000566</t>
  </si>
  <si>
    <t>PO-002533</t>
  </si>
  <si>
    <t>PO-002534</t>
  </si>
  <si>
    <t>PO-002535</t>
  </si>
  <si>
    <t>PA-0000203</t>
  </si>
  <si>
    <t>PO-002536</t>
  </si>
  <si>
    <t>PO-002537</t>
  </si>
  <si>
    <t>PA-0000289</t>
  </si>
  <si>
    <t>PO-002538</t>
  </si>
  <si>
    <t>PO-002539</t>
  </si>
  <si>
    <t>PO-002540</t>
  </si>
  <si>
    <t>PO-002541</t>
  </si>
  <si>
    <t>PO-002542</t>
  </si>
  <si>
    <t>PO-002543</t>
  </si>
  <si>
    <t>PO-002544</t>
  </si>
  <si>
    <t>PO-002545</t>
  </si>
  <si>
    <t>PO-002546</t>
  </si>
  <si>
    <t>PO-002547</t>
  </si>
  <si>
    <t>PO-002548</t>
  </si>
  <si>
    <t>PO-002549</t>
  </si>
  <si>
    <t>PO-002550</t>
  </si>
  <si>
    <t>PA-0000393</t>
  </si>
  <si>
    <t>PO-002551</t>
  </si>
  <si>
    <t>PO-002552</t>
  </si>
  <si>
    <t>PO-002553</t>
  </si>
  <si>
    <t>PA-0000495</t>
  </si>
  <si>
    <t>PO-002554</t>
  </si>
  <si>
    <t>PO-002555</t>
  </si>
  <si>
    <t>PO-002556</t>
  </si>
  <si>
    <t>PO-002557</t>
  </si>
  <si>
    <t>PO-002558</t>
  </si>
  <si>
    <t>PO-002559</t>
  </si>
  <si>
    <t>PA-0000138</t>
  </si>
  <si>
    <t>PO-002560</t>
  </si>
  <si>
    <t>PO-002561</t>
  </si>
  <si>
    <t>PO-002562</t>
  </si>
  <si>
    <t>PO-002563</t>
  </si>
  <si>
    <t>PO-002564</t>
  </si>
  <si>
    <t>PA-0000613</t>
  </si>
  <si>
    <t>PO-002565</t>
  </si>
  <si>
    <t>2024-05</t>
  </si>
  <si>
    <t>PA-0000307</t>
  </si>
  <si>
    <t>PO-002566</t>
  </si>
  <si>
    <t>PA-0000341</t>
  </si>
  <si>
    <t>PO-002567</t>
  </si>
  <si>
    <t>PO-002568</t>
  </si>
  <si>
    <t>PO-002569</t>
  </si>
  <si>
    <t>PO-002570</t>
  </si>
  <si>
    <t>PO-002571</t>
  </si>
  <si>
    <t>PO-002572</t>
  </si>
  <si>
    <t>PO-002573</t>
  </si>
  <si>
    <t>PA-0000312</t>
  </si>
  <si>
    <t>PO-002574</t>
  </si>
  <si>
    <t>PO-002575</t>
  </si>
  <si>
    <t>PO-002576</t>
  </si>
  <si>
    <t>PO-002577</t>
  </si>
  <si>
    <t>PO-D00008</t>
  </si>
  <si>
    <t>PO-002578</t>
  </si>
  <si>
    <t>PO-002579</t>
  </si>
  <si>
    <t>PA-0000007</t>
  </si>
  <si>
    <t>PO-002580</t>
  </si>
  <si>
    <t>PA-0000073</t>
  </si>
  <si>
    <t>PO-002581</t>
  </si>
  <si>
    <t>PO-002582</t>
  </si>
  <si>
    <t>PO-002583</t>
  </si>
  <si>
    <t>PO-002584</t>
  </si>
  <si>
    <t>PO-002585</t>
  </si>
  <si>
    <t>PO-002586</t>
  </si>
  <si>
    <t>PO-002587</t>
  </si>
  <si>
    <t>PO-002588</t>
  </si>
  <si>
    <t>PO-002589</t>
  </si>
  <si>
    <t>PA-0000235</t>
  </si>
  <si>
    <t>PO-002590</t>
  </si>
  <si>
    <t>PO-002591</t>
  </si>
  <si>
    <t>PA-X000005</t>
  </si>
  <si>
    <t>PO-002592</t>
  </si>
  <si>
    <t>PO-002593</t>
  </si>
  <si>
    <t>PO-002594</t>
  </si>
  <si>
    <t>PO-002595</t>
  </si>
  <si>
    <t>PO-002596</t>
  </si>
  <si>
    <t>PO-002597</t>
  </si>
  <si>
    <t>PO-002598</t>
  </si>
  <si>
    <t>PO-002599</t>
  </si>
  <si>
    <t>PO-002600</t>
  </si>
  <si>
    <t>PO-002601</t>
  </si>
  <si>
    <t>PO-002602</t>
  </si>
  <si>
    <t>PO-002603</t>
  </si>
  <si>
    <t>PO-002604</t>
  </si>
  <si>
    <t>PO-002605</t>
  </si>
  <si>
    <t>PO-002606</t>
  </si>
  <si>
    <t>PO-002607</t>
  </si>
  <si>
    <t>PO-002608</t>
  </si>
  <si>
    <t>PO-002609</t>
  </si>
  <si>
    <t>PO-002610</t>
  </si>
  <si>
    <t>PA-0000642</t>
  </si>
  <si>
    <t>PO-D00009</t>
  </si>
  <si>
    <t>PO-002611</t>
  </si>
  <si>
    <t>PO-002612</t>
  </si>
  <si>
    <t>PA-0000372</t>
  </si>
  <si>
    <t>PO-002613</t>
  </si>
  <si>
    <t>PO-002614</t>
  </si>
  <si>
    <t>PO-002615</t>
  </si>
  <si>
    <t>PO-002616</t>
  </si>
  <si>
    <t>PO-002617</t>
  </si>
  <si>
    <t>PO-002618</t>
  </si>
  <si>
    <t>PO-002619</t>
  </si>
  <si>
    <t>PA-0000215</t>
  </si>
  <si>
    <t>PO-002620</t>
  </si>
  <si>
    <t>PO-002621</t>
  </si>
  <si>
    <t>PO-002622</t>
  </si>
  <si>
    <t>PA-0000375</t>
  </si>
  <si>
    <t>PO-002623</t>
  </si>
  <si>
    <t>PO-002624</t>
  </si>
  <si>
    <t>PA-0000538</t>
  </si>
  <si>
    <t>PO-002625</t>
  </si>
  <si>
    <t>PO-002626</t>
  </si>
  <si>
    <t>PO-002627</t>
  </si>
  <si>
    <t>PO-002628</t>
  </si>
  <si>
    <t>PO-002629</t>
  </si>
  <si>
    <t>PO-002630</t>
  </si>
  <si>
    <t>PO-002631</t>
  </si>
  <si>
    <t>PO-002632</t>
  </si>
  <si>
    <t>PO-002633</t>
  </si>
  <si>
    <t>PO-002634</t>
  </si>
  <si>
    <t>PO-002635</t>
  </si>
  <si>
    <t>PO-002636</t>
  </si>
  <si>
    <t>PO-002637</t>
  </si>
  <si>
    <t>PO-002638</t>
  </si>
  <si>
    <t>PO-002639</t>
  </si>
  <si>
    <t>PA-0000520</t>
  </si>
  <si>
    <t>PO-002640</t>
  </si>
  <si>
    <t>PO-002641</t>
  </si>
  <si>
    <t>PO-002642</t>
  </si>
  <si>
    <t>PO-002643</t>
  </si>
  <si>
    <t>PO-002644</t>
  </si>
  <si>
    <t>PO-002645</t>
  </si>
  <si>
    <t>PA-0000326</t>
  </si>
  <si>
    <t>PO-002646</t>
  </si>
  <si>
    <t>PO-002647</t>
  </si>
  <si>
    <t>PO-002648</t>
  </si>
  <si>
    <t>PA-0000079</t>
  </si>
  <si>
    <t>PO-002649</t>
  </si>
  <si>
    <t>PO-002650</t>
  </si>
  <si>
    <t>PO-002651</t>
  </si>
  <si>
    <t>PO-002652</t>
  </si>
  <si>
    <t>PA-0000511</t>
  </si>
  <si>
    <t>PO-002653</t>
  </si>
  <si>
    <t>PO-002654</t>
  </si>
  <si>
    <t>PO-002655</t>
  </si>
  <si>
    <t>PO-002656</t>
  </si>
  <si>
    <t>PA-0000103</t>
  </si>
  <si>
    <t>PO-002657</t>
  </si>
  <si>
    <t>PA-0000359</t>
  </si>
  <si>
    <t>PO-002658</t>
  </si>
  <si>
    <t>PO-002659</t>
  </si>
  <si>
    <t>PO-002660</t>
  </si>
  <si>
    <t>PO-002661</t>
  </si>
  <si>
    <t>PO-002662</t>
  </si>
  <si>
    <t>PO-002663</t>
  </si>
  <si>
    <t>PO-002664</t>
  </si>
  <si>
    <t>PO-002665</t>
  </si>
  <si>
    <t>PO-002666</t>
  </si>
  <si>
    <t>PA-0000176</t>
  </si>
  <si>
    <t>PO-002667</t>
  </si>
  <si>
    <t>PO-002668</t>
  </si>
  <si>
    <t>PO-002669</t>
  </si>
  <si>
    <t>PO-002670</t>
  </si>
  <si>
    <t>PA-0000366</t>
  </si>
  <si>
    <t>PO-002671</t>
  </si>
  <si>
    <t>PA-0000465</t>
  </si>
  <si>
    <t>PO-002672</t>
  </si>
  <si>
    <t>PO-002673</t>
  </si>
  <si>
    <t>PO-002674</t>
  </si>
  <si>
    <t>PA-0000591</t>
  </si>
  <si>
    <t>PO-002675</t>
  </si>
  <si>
    <t>PO-002676</t>
  </si>
  <si>
    <t>PO-002677</t>
  </si>
  <si>
    <t>PO-002678</t>
  </si>
  <si>
    <t>PO-002679</t>
  </si>
  <si>
    <t>PO-002680</t>
  </si>
  <si>
    <t>PO-002681</t>
  </si>
  <si>
    <t>PA-0000067</t>
  </si>
  <si>
    <t>PO-002682</t>
  </si>
  <si>
    <t>PO-002683</t>
  </si>
  <si>
    <t>PO-002684</t>
  </si>
  <si>
    <t>PO-002685</t>
  </si>
  <si>
    <t>PA-0000381</t>
  </si>
  <si>
    <t>PO-002686</t>
  </si>
  <si>
    <t>PO-002687</t>
  </si>
  <si>
    <t>PO-002688</t>
  </si>
  <si>
    <t>PO-002689</t>
  </si>
  <si>
    <t>PA-0000093</t>
  </si>
  <si>
    <t>PO-002690</t>
  </si>
  <si>
    <t>PA-0000179</t>
  </si>
  <si>
    <t>PO-002691</t>
  </si>
  <si>
    <t>PO-002692</t>
  </si>
  <si>
    <t>PO-002693</t>
  </si>
  <si>
    <t>PO-002694</t>
  </si>
  <si>
    <t>PO-002695</t>
  </si>
  <si>
    <t>PA-0000529</t>
  </si>
  <si>
    <t>PO-002696</t>
  </si>
  <si>
    <t>PO-002697</t>
  </si>
  <si>
    <t>PO-002698</t>
  </si>
  <si>
    <t>PO-002699</t>
  </si>
  <si>
    <t>PO-002700</t>
  </si>
  <si>
    <t>PO-002701</t>
  </si>
  <si>
    <t>PO-002702</t>
  </si>
  <si>
    <t>PA-0000246</t>
  </si>
  <si>
    <t>PO-002703</t>
  </si>
  <si>
    <t>PO-002704</t>
  </si>
  <si>
    <t>PO-002705</t>
  </si>
  <si>
    <t>PO-002706</t>
  </si>
  <si>
    <t>PO-002707</t>
  </si>
  <si>
    <t>PO-002708</t>
  </si>
  <si>
    <t>PO-002709</t>
  </si>
  <si>
    <t>PO-002710</t>
  </si>
  <si>
    <t>PO-002711</t>
  </si>
  <si>
    <t>PO-002712</t>
  </si>
  <si>
    <t>PA-0000292</t>
  </si>
  <si>
    <t>PO-002713</t>
  </si>
  <si>
    <t>PO-002714</t>
  </si>
  <si>
    <t>PO-002715</t>
  </si>
  <si>
    <t>PO-002716</t>
  </si>
  <si>
    <t>PO-002717</t>
  </si>
  <si>
    <t>PO-002718</t>
  </si>
  <si>
    <t>PO-002719</t>
  </si>
  <si>
    <t>PO-002720</t>
  </si>
  <si>
    <t>PO-002721</t>
  </si>
  <si>
    <t>PO-002722</t>
  </si>
  <si>
    <t>PO-002723</t>
  </si>
  <si>
    <t>PO-002724</t>
  </si>
  <si>
    <t>PO-002725</t>
  </si>
  <si>
    <t>PO-002726</t>
  </si>
  <si>
    <t>PO-002727</t>
  </si>
  <si>
    <t>PO-002728</t>
  </si>
  <si>
    <t>PO-002729</t>
  </si>
  <si>
    <t>PO-002730</t>
  </si>
  <si>
    <t>PO-002731</t>
  </si>
  <si>
    <t>PO-002732</t>
  </si>
  <si>
    <t>PO-002733</t>
  </si>
  <si>
    <t>PO-002734</t>
  </si>
  <si>
    <t>PO-002735</t>
  </si>
  <si>
    <t>PA-0000477</t>
  </si>
  <si>
    <t>PO-002736</t>
  </si>
  <si>
    <t>PO-002737</t>
  </si>
  <si>
    <t>PO-002738</t>
  </si>
  <si>
    <t>PO-002739</t>
  </si>
  <si>
    <t>PO-002740</t>
  </si>
  <si>
    <t>PO-002741</t>
  </si>
  <si>
    <t>PO-002742</t>
  </si>
  <si>
    <t>PO-002743</t>
  </si>
  <si>
    <t>PO-002744</t>
  </si>
  <si>
    <t>PO-002745</t>
  </si>
  <si>
    <t>PO-002746</t>
  </si>
  <si>
    <t>PO-002747</t>
  </si>
  <si>
    <t>PO-002748</t>
  </si>
  <si>
    <t>PA-0000046</t>
  </si>
  <si>
    <t>PO-002749</t>
  </si>
  <si>
    <t>PO-002750</t>
  </si>
  <si>
    <t>PO-002751</t>
  </si>
  <si>
    <t>PA-0000456</t>
  </si>
  <si>
    <t>PO-002752</t>
  </si>
  <si>
    <t>PO-002753</t>
  </si>
  <si>
    <t>PO-002754</t>
  </si>
  <si>
    <t>PO-002755</t>
  </si>
  <si>
    <t>PO-002756</t>
  </si>
  <si>
    <t>PO-002757</t>
  </si>
  <si>
    <t>PO-002758</t>
  </si>
  <si>
    <t>PO-002759</t>
  </si>
  <si>
    <t>PO-002760</t>
  </si>
  <si>
    <t>PO-002761</t>
  </si>
  <si>
    <t>PO-002762</t>
  </si>
  <si>
    <t>PO-002763</t>
  </si>
  <si>
    <t>PO-002764</t>
  </si>
  <si>
    <t>PO-002765</t>
  </si>
  <si>
    <t>PO-002766</t>
  </si>
  <si>
    <t>2024-06</t>
  </si>
  <si>
    <t>PO-002767</t>
  </si>
  <si>
    <t>PO-002768</t>
  </si>
  <si>
    <t>PO-002769</t>
  </si>
  <si>
    <t>PO-002770</t>
  </si>
  <si>
    <t>PO-002771</t>
  </si>
  <si>
    <t>PO-002772</t>
  </si>
  <si>
    <t>PO-002773</t>
  </si>
  <si>
    <t>PO-002774</t>
  </si>
  <si>
    <t>PO-002775</t>
  </si>
  <si>
    <t>PO-002776</t>
  </si>
  <si>
    <t>PO-002777</t>
  </si>
  <si>
    <t>PO-002778</t>
  </si>
  <si>
    <t>PA-0000323</t>
  </si>
  <si>
    <t>PO-002779</t>
  </si>
  <si>
    <t>PO-002780</t>
  </si>
  <si>
    <t>PO-002781</t>
  </si>
  <si>
    <t>PO-002782</t>
  </si>
  <si>
    <t>PO-002783</t>
  </si>
  <si>
    <t>PO-D00010</t>
  </si>
  <si>
    <t>PO-002784</t>
  </si>
  <si>
    <t>PO-002785</t>
  </si>
  <si>
    <t>PO-002786</t>
  </si>
  <si>
    <t>PO-002787</t>
  </si>
  <si>
    <t>PO-002788</t>
  </si>
  <si>
    <t>PO-002789</t>
  </si>
  <si>
    <t>PO-002790</t>
  </si>
  <si>
    <t>PO-002791</t>
  </si>
  <si>
    <t>PA-0000147</t>
  </si>
  <si>
    <t>PO-002792</t>
  </si>
  <si>
    <t>PO-002793</t>
  </si>
  <si>
    <t>PA-0000167</t>
  </si>
  <si>
    <t>PO-002794</t>
  </si>
  <si>
    <t>PO-002795</t>
  </si>
  <si>
    <t>PO-002796</t>
  </si>
  <si>
    <t>PO-002797</t>
  </si>
  <si>
    <t>PO-002798</t>
  </si>
  <si>
    <t>PO-002799</t>
  </si>
  <si>
    <t>PA-0000141</t>
  </si>
  <si>
    <t>PO-002800</t>
  </si>
  <si>
    <t>PO-002801</t>
  </si>
  <si>
    <t>PO-002802</t>
  </si>
  <si>
    <t>PA-0000004</t>
  </si>
  <si>
    <t>PO-002803</t>
  </si>
  <si>
    <t>PO-002804</t>
  </si>
  <si>
    <t>PO-002805</t>
  </si>
  <si>
    <t>PO-002806</t>
  </si>
  <si>
    <t>PO-002807</t>
  </si>
  <si>
    <t>PO-002808</t>
  </si>
  <si>
    <t>PO-002809</t>
  </si>
  <si>
    <t>PA-0000436</t>
  </si>
  <si>
    <t>PO-002810</t>
  </si>
  <si>
    <t>PO-002811</t>
  </si>
  <si>
    <t>PO-002812</t>
  </si>
  <si>
    <t>PO-002813</t>
  </si>
  <si>
    <t>PO-002814</t>
  </si>
  <si>
    <t>PO-002815</t>
  </si>
  <si>
    <t>PO-002816</t>
  </si>
  <si>
    <t>PO-002817</t>
  </si>
  <si>
    <t>PO-002818</t>
  </si>
  <si>
    <t>PO-002819</t>
  </si>
  <si>
    <t>PO-002820</t>
  </si>
  <si>
    <t>PO-002821</t>
  </si>
  <si>
    <t>PO-002822</t>
  </si>
  <si>
    <t>PO-002823</t>
  </si>
  <si>
    <t>PO-002824</t>
  </si>
  <si>
    <t>PO-002825</t>
  </si>
  <si>
    <t>PO-002826</t>
  </si>
  <si>
    <t>PO-002827</t>
  </si>
  <si>
    <t>PO-002828</t>
  </si>
  <si>
    <t>PO-002829</t>
  </si>
  <si>
    <t>PA-0000425</t>
  </si>
  <si>
    <t>PO-002830</t>
  </si>
  <si>
    <t>PO-002831</t>
  </si>
  <si>
    <t>PO-002832</t>
  </si>
  <si>
    <t>PO-002833</t>
  </si>
  <si>
    <t>PO-002834</t>
  </si>
  <si>
    <t>PO-002835</t>
  </si>
  <si>
    <t>PO-002836</t>
  </si>
  <si>
    <t>PO-002837</t>
  </si>
  <si>
    <t>PO-002838</t>
  </si>
  <si>
    <t>PO-002839</t>
  </si>
  <si>
    <t>PO-002840</t>
  </si>
  <si>
    <t>PO-002841</t>
  </si>
  <si>
    <t>PO-002842</t>
  </si>
  <si>
    <t>PO-002843</t>
  </si>
  <si>
    <t>PO-002844</t>
  </si>
  <si>
    <t>PO-002845</t>
  </si>
  <si>
    <t>PO-002846</t>
  </si>
  <si>
    <t>PO-002847</t>
  </si>
  <si>
    <t>PO-002848</t>
  </si>
  <si>
    <t>PO-002849</t>
  </si>
  <si>
    <t>PO-002850</t>
  </si>
  <si>
    <t>PO-002851</t>
  </si>
  <si>
    <t>PO-002852</t>
  </si>
  <si>
    <t>PO-002853</t>
  </si>
  <si>
    <t>PO-002854</t>
  </si>
  <si>
    <t>PA-0000507</t>
  </si>
  <si>
    <t>PO-002855</t>
  </si>
  <si>
    <t>PO-002856</t>
  </si>
  <si>
    <t>PO-002857</t>
  </si>
  <si>
    <t>PO-002858</t>
  </si>
  <si>
    <t>PO-002859</t>
  </si>
  <si>
    <t>PO-002860</t>
  </si>
  <si>
    <t>PO-002861</t>
  </si>
  <si>
    <t>PO-002862</t>
  </si>
  <si>
    <t>PO-002863</t>
  </si>
  <si>
    <t>PO-002864</t>
  </si>
  <si>
    <t>PO-002865</t>
  </si>
  <si>
    <t>PO-002866</t>
  </si>
  <si>
    <t>PO-002867</t>
  </si>
  <si>
    <t>PO-002868</t>
  </si>
  <si>
    <t>PO-002869</t>
  </si>
  <si>
    <t>PO-002870</t>
  </si>
  <si>
    <t>PO-002871</t>
  </si>
  <si>
    <t>PO-002872</t>
  </si>
  <si>
    <t>PO-002873</t>
  </si>
  <si>
    <t>PO-002874</t>
  </si>
  <si>
    <t>PO-002875</t>
  </si>
  <si>
    <t>PO-002876</t>
  </si>
  <si>
    <t>PO-002877</t>
  </si>
  <si>
    <t>PO-002878</t>
  </si>
  <si>
    <t>PO-002879</t>
  </si>
  <si>
    <t>PO-002880</t>
  </si>
  <si>
    <t>PO-002881</t>
  </si>
  <si>
    <t>PO-002882</t>
  </si>
  <si>
    <t>PO-002883</t>
  </si>
  <si>
    <t>PO-002884</t>
  </si>
  <si>
    <t>PO-002885</t>
  </si>
  <si>
    <t>PO-002886</t>
  </si>
  <si>
    <t>PO-002887</t>
  </si>
  <si>
    <t>PO-002888</t>
  </si>
  <si>
    <t>PO-002889</t>
  </si>
  <si>
    <t>PO-002890</t>
  </si>
  <si>
    <t>PO-002891</t>
  </si>
  <si>
    <t>PO-002892</t>
  </si>
  <si>
    <t>PO-002893</t>
  </si>
  <si>
    <t>PA-0000442</t>
  </si>
  <si>
    <t>PO-002894</t>
  </si>
  <si>
    <t>PA-0000560</t>
  </si>
  <si>
    <t>PO-002895</t>
  </si>
  <si>
    <t>PO-002896</t>
  </si>
  <si>
    <t>PO-002897</t>
  </si>
  <si>
    <t>PO-002898</t>
  </si>
  <si>
    <t>PO-002899</t>
  </si>
  <si>
    <t>PO-002900</t>
  </si>
  <si>
    <t>PO-002901</t>
  </si>
  <si>
    <t>PO-002902</t>
  </si>
  <si>
    <t>PO-002903</t>
  </si>
  <si>
    <t>PO-002904</t>
  </si>
  <si>
    <t>PO-002905</t>
  </si>
  <si>
    <t>PO-002906</t>
  </si>
  <si>
    <t>PO-002907</t>
  </si>
  <si>
    <t>PO-002908</t>
  </si>
  <si>
    <t>PO-002909</t>
  </si>
  <si>
    <t>PO-002910</t>
  </si>
  <si>
    <t>PO-002911</t>
  </si>
  <si>
    <t>PO-002912</t>
  </si>
  <si>
    <t>PO-002913</t>
  </si>
  <si>
    <t>PO-002914</t>
  </si>
  <si>
    <t>PO-002915</t>
  </si>
  <si>
    <t>PO-002916</t>
  </si>
  <si>
    <t>PO-002917</t>
  </si>
  <si>
    <t>PO-002918</t>
  </si>
  <si>
    <t>PA-0000517</t>
  </si>
  <si>
    <t>PO-002919</t>
  </si>
  <si>
    <t>PO-002920</t>
  </si>
  <si>
    <t>PO-002921</t>
  </si>
  <si>
    <t>PO-002922</t>
  </si>
  <si>
    <t>PO-002923</t>
  </si>
  <si>
    <t>PO-002924</t>
  </si>
  <si>
    <t>PO-002925</t>
  </si>
  <si>
    <t>PO-002926</t>
  </si>
  <si>
    <t>PA-0000043</t>
  </si>
  <si>
    <t>PO-002927</t>
  </si>
  <si>
    <t>PO-002928</t>
  </si>
  <si>
    <t>PO-002929</t>
  </si>
  <si>
    <t>PO-002930</t>
  </si>
  <si>
    <t>PO-002931</t>
  </si>
  <si>
    <t>PO-002932</t>
  </si>
  <si>
    <t>PO-002933</t>
  </si>
  <si>
    <t>PO-002934</t>
  </si>
  <si>
    <t>PO-002935</t>
  </si>
  <si>
    <t>PO-002936</t>
  </si>
  <si>
    <t>PO-002937</t>
  </si>
  <si>
    <t>PO-002938</t>
  </si>
  <si>
    <t>PO-002939</t>
  </si>
  <si>
    <t>PO-002940</t>
  </si>
  <si>
    <t>PO-002941</t>
  </si>
  <si>
    <t>PO-002942</t>
  </si>
  <si>
    <t>PO-002943</t>
  </si>
  <si>
    <t>PO-002944</t>
  </si>
  <si>
    <t>PO-002945</t>
  </si>
  <si>
    <t>PO-002946</t>
  </si>
  <si>
    <t>PO-002947</t>
  </si>
  <si>
    <t>PO-002948</t>
  </si>
  <si>
    <t>PO-002949</t>
  </si>
  <si>
    <t>PO-002950</t>
  </si>
  <si>
    <t>PA-0000181</t>
  </si>
  <si>
    <t>PO-002951</t>
  </si>
  <si>
    <t>PO-002952</t>
  </si>
  <si>
    <t>PO-002953</t>
  </si>
  <si>
    <t>PO-002954</t>
  </si>
  <si>
    <t>PO-002955</t>
  </si>
  <si>
    <t>PO-002956</t>
  </si>
  <si>
    <t>2024-07</t>
  </si>
  <si>
    <t>PO-002957</t>
  </si>
  <si>
    <t>PO-002958</t>
  </si>
  <si>
    <t>PO-002959</t>
  </si>
  <si>
    <t>PO-002960</t>
  </si>
  <si>
    <t>PO-002961</t>
  </si>
  <si>
    <t>PO-002962</t>
  </si>
  <si>
    <t>PO-002963</t>
  </si>
  <si>
    <t>PO-002964</t>
  </si>
  <si>
    <t>PO-002965</t>
  </si>
  <si>
    <t>PO-002966</t>
  </si>
  <si>
    <t>PO-002967</t>
  </si>
  <si>
    <t>PO-002968</t>
  </si>
  <si>
    <t>PO-002969</t>
  </si>
  <si>
    <t>PO-002970</t>
  </si>
  <si>
    <t>PO-002971</t>
  </si>
  <si>
    <t>PO-002972</t>
  </si>
  <si>
    <t>PA-0000106</t>
  </si>
  <si>
    <t>PO-002973</t>
  </si>
  <si>
    <t>PO-002974</t>
  </si>
  <si>
    <t>PO-002975</t>
  </si>
  <si>
    <t>PO-002976</t>
  </si>
  <si>
    <t>PA-0000504</t>
  </si>
  <si>
    <t>PO-002977</t>
  </si>
  <si>
    <t>PO-002978</t>
  </si>
  <si>
    <t>PO-002979</t>
  </si>
  <si>
    <t>PO-002980</t>
  </si>
  <si>
    <t>PO-002981</t>
  </si>
  <si>
    <t>PO-002982</t>
  </si>
  <si>
    <t>PO-002983</t>
  </si>
  <si>
    <t>PO-002984</t>
  </si>
  <si>
    <t>PA-0000480</t>
  </si>
  <si>
    <t>PO-002985</t>
  </si>
  <si>
    <t>PA-0000554</t>
  </si>
  <si>
    <t>PO-002986</t>
  </si>
  <si>
    <t>PO-002987</t>
  </si>
  <si>
    <t>PO-002988</t>
  </si>
  <si>
    <t>PO-002989</t>
  </si>
  <si>
    <t>PO-002990</t>
  </si>
  <si>
    <t>PO-002991</t>
  </si>
  <si>
    <t>PO-002992</t>
  </si>
  <si>
    <t>PO-002993</t>
  </si>
  <si>
    <t>PO-002994</t>
  </si>
  <si>
    <t>PO-002995</t>
  </si>
  <si>
    <t>PO-002996</t>
  </si>
  <si>
    <t>PO-002997</t>
  </si>
  <si>
    <t>PO-002998</t>
  </si>
  <si>
    <t>PO-002999</t>
  </si>
  <si>
    <t>PO-003000</t>
  </si>
  <si>
    <t>PO-003001</t>
  </si>
  <si>
    <t>PO-003002</t>
  </si>
  <si>
    <t>PO-003003</t>
  </si>
  <si>
    <t>PA-0000417</t>
  </si>
  <si>
    <t>PO-003004</t>
  </si>
  <si>
    <t>PO-003005</t>
  </si>
  <si>
    <t>PO-003006</t>
  </si>
  <si>
    <t>PO-003007</t>
  </si>
  <si>
    <t>PO-003008</t>
  </si>
  <si>
    <t>PO-003009</t>
  </si>
  <si>
    <t>PO-003010</t>
  </si>
  <si>
    <t>PO-003011</t>
  </si>
  <si>
    <t>PO-003012</t>
  </si>
  <si>
    <t>PO-003013</t>
  </si>
  <si>
    <t>PO-003014</t>
  </si>
  <si>
    <t>PO-003015</t>
  </si>
  <si>
    <t>PO-003016</t>
  </si>
  <si>
    <t>PO-003017</t>
  </si>
  <si>
    <t>PO-003018</t>
  </si>
  <si>
    <t>PO-003019</t>
  </si>
  <si>
    <t>PO-003020</t>
  </si>
  <si>
    <t>PO-003021</t>
  </si>
  <si>
    <t>PO-003022</t>
  </si>
  <si>
    <t>PO-003023</t>
  </si>
  <si>
    <t>PO-003024</t>
  </si>
  <si>
    <t>PO-003025</t>
  </si>
  <si>
    <t>PO-003026</t>
  </si>
  <si>
    <t>PO-003027</t>
  </si>
  <si>
    <t>PO-003028</t>
  </si>
  <si>
    <t>PO-003029</t>
  </si>
  <si>
    <t>PO-003030</t>
  </si>
  <si>
    <t>PO-003031</t>
  </si>
  <si>
    <t>PO-003032</t>
  </si>
  <si>
    <t>PO-003033</t>
  </si>
  <si>
    <t>PO-003034</t>
  </si>
  <si>
    <t>PO-003035</t>
  </si>
  <si>
    <t>PO-003036</t>
  </si>
  <si>
    <t>PO-003037</t>
  </si>
  <si>
    <t>PO-003038</t>
  </si>
  <si>
    <t>PO-003039</t>
  </si>
  <si>
    <t>PO-003040</t>
  </si>
  <si>
    <t>PO-003041</t>
  </si>
  <si>
    <t>PO-003042</t>
  </si>
  <si>
    <t>PO-003043</t>
  </si>
  <si>
    <t>PO-003044</t>
  </si>
  <si>
    <t>PO-003045</t>
  </si>
  <si>
    <t>PO-003046</t>
  </si>
  <si>
    <t>PO-003047</t>
  </si>
  <si>
    <t>PO-003048</t>
  </si>
  <si>
    <t>PO-003049</t>
  </si>
  <si>
    <t>PO-003050</t>
  </si>
  <si>
    <t>PO-003051</t>
  </si>
  <si>
    <t>PO-003052</t>
  </si>
  <si>
    <t>PO-003053</t>
  </si>
  <si>
    <t>PO-003054</t>
  </si>
  <si>
    <t>PO-003055</t>
  </si>
  <si>
    <t>PO-003056</t>
  </si>
  <si>
    <t>PO-003057</t>
  </si>
  <si>
    <t>PO-003058</t>
  </si>
  <si>
    <t>PO-003059</t>
  </si>
  <si>
    <t>PO-003060</t>
  </si>
  <si>
    <t>PO-003061</t>
  </si>
  <si>
    <t>PO-003062</t>
  </si>
  <si>
    <t>PO-003063</t>
  </si>
  <si>
    <t>PO-003064</t>
  </si>
  <si>
    <t>PO-003065</t>
  </si>
  <si>
    <t>PO-003066</t>
  </si>
  <si>
    <t>PO-003067</t>
  </si>
  <si>
    <t>PO-003068</t>
  </si>
  <si>
    <t>PO-003069</t>
  </si>
  <si>
    <t>PO-003070</t>
  </si>
  <si>
    <t>PO-003071</t>
  </si>
  <si>
    <t>PA-0000123</t>
  </si>
  <si>
    <t>PO-003072</t>
  </si>
  <si>
    <t>PA-0000187</t>
  </si>
  <si>
    <t>PO-003073</t>
  </si>
  <si>
    <t>PO-003074</t>
  </si>
  <si>
    <t>PO-003075</t>
  </si>
  <si>
    <t>PO-003076</t>
  </si>
  <si>
    <t>PO-003077</t>
  </si>
  <si>
    <t>PO-003078</t>
  </si>
  <si>
    <t>PA-0000576</t>
  </si>
  <si>
    <t>PO-003079</t>
  </si>
  <si>
    <t>PO-003080</t>
  </si>
  <si>
    <t>PO-003081</t>
  </si>
  <si>
    <t>PO-003082</t>
  </si>
  <si>
    <t>PO-003083</t>
  </si>
  <si>
    <t>PO-003084</t>
  </si>
  <si>
    <t>PO-003085</t>
  </si>
  <si>
    <t>PO-003086</t>
  </si>
  <si>
    <t>PO-003087</t>
  </si>
  <si>
    <t>PO-003088</t>
  </si>
  <si>
    <t>PA-0000363</t>
  </si>
  <si>
    <t>PO-003089</t>
  </si>
  <si>
    <t>PO-003090</t>
  </si>
  <si>
    <t>PO-003091</t>
  </si>
  <si>
    <t>PO-003092</t>
  </si>
  <si>
    <t>PO-003093</t>
  </si>
  <si>
    <t>PO-003094</t>
  </si>
  <si>
    <t>PO-D00011</t>
  </si>
  <si>
    <t>PO-003095</t>
  </si>
  <si>
    <t>PO-003096</t>
  </si>
  <si>
    <t>PO-003097</t>
  </si>
  <si>
    <t>PO-003098</t>
  </si>
  <si>
    <t>PO-003099</t>
  </si>
  <si>
    <t>PO-003100</t>
  </si>
  <si>
    <t>PO-003101</t>
  </si>
  <si>
    <t>PO-003102</t>
  </si>
  <si>
    <t>PO-003103</t>
  </si>
  <si>
    <t>PO-003104</t>
  </si>
  <si>
    <t>PO-003105</t>
  </si>
  <si>
    <t>PO-003106</t>
  </si>
  <si>
    <t>PO-D00012</t>
  </si>
  <si>
    <t>PO-003107</t>
  </si>
  <si>
    <t>PO-003108</t>
  </si>
  <si>
    <t>PO-003109</t>
  </si>
  <si>
    <t>PO-003110</t>
  </si>
  <si>
    <t>PO-003111</t>
  </si>
  <si>
    <t>PO-003112</t>
  </si>
  <si>
    <t>PO-003113</t>
  </si>
  <si>
    <t>PO-003114</t>
  </si>
  <si>
    <t>PO-003115</t>
  </si>
  <si>
    <t>PO-003116</t>
  </si>
  <si>
    <t>PA-0000588</t>
  </si>
  <si>
    <t>PO-003117</t>
  </si>
  <si>
    <t>PO-003118</t>
  </si>
  <si>
    <t>PO-003119</t>
  </si>
  <si>
    <t>PO-003120</t>
  </si>
  <si>
    <t>PO-003121</t>
  </si>
  <si>
    <t>PO-003122</t>
  </si>
  <si>
    <t>PO-003123</t>
  </si>
  <si>
    <t>PO-003124</t>
  </si>
  <si>
    <t>PO-003125</t>
  </si>
  <si>
    <t>PO-003126</t>
  </si>
  <si>
    <t>PO-003127</t>
  </si>
  <si>
    <t>PO-003128</t>
  </si>
  <si>
    <t>PO-003129</t>
  </si>
  <si>
    <t>PO-003130</t>
  </si>
  <si>
    <t>PO-003131</t>
  </si>
  <si>
    <t>PO-003132</t>
  </si>
  <si>
    <t>PO-003133</t>
  </si>
  <si>
    <t>PO-003134</t>
  </si>
  <si>
    <t>PO-003135</t>
  </si>
  <si>
    <t>PO-003136</t>
  </si>
  <si>
    <t>PO-003137</t>
  </si>
  <si>
    <t>PO-003138</t>
  </si>
  <si>
    <t>PO-003139</t>
  </si>
  <si>
    <t>PO-003140</t>
  </si>
  <si>
    <t>PO-003141</t>
  </si>
  <si>
    <t>PO-003142</t>
  </si>
  <si>
    <t>PO-003143</t>
  </si>
  <si>
    <t>PO-003144</t>
  </si>
  <si>
    <t>PO-003145</t>
  </si>
  <si>
    <t>PO-003146</t>
  </si>
  <si>
    <t>PO-003147</t>
  </si>
  <si>
    <t>PO-003148</t>
  </si>
  <si>
    <t>PO-003149</t>
  </si>
  <si>
    <t>PO-003150</t>
  </si>
  <si>
    <t>PA-0000630</t>
  </si>
  <si>
    <t>PO-003151</t>
  </si>
  <si>
    <t>PO-003152</t>
  </si>
  <si>
    <t>PO-003153</t>
  </si>
  <si>
    <t>PO-003154</t>
  </si>
  <si>
    <t>PO-003155</t>
  </si>
  <si>
    <t>PO-003156</t>
  </si>
  <si>
    <t>PO-003157</t>
  </si>
  <si>
    <t>PO-003158</t>
  </si>
  <si>
    <t>PO-003159</t>
  </si>
  <si>
    <t>PO-003160</t>
  </si>
  <si>
    <t>PO-003161</t>
  </si>
  <si>
    <t>PO-003162</t>
  </si>
  <si>
    <t>PO-003163</t>
  </si>
  <si>
    <t>PO-003164</t>
  </si>
  <si>
    <t>PO-003165</t>
  </si>
  <si>
    <t>2024-08</t>
  </si>
  <si>
    <t>PO-003166</t>
  </si>
  <si>
    <t>PO-003167</t>
  </si>
  <si>
    <t>PO-003168</t>
  </si>
  <si>
    <t>PO-003169</t>
  </si>
  <si>
    <t>PO-003170</t>
  </si>
  <si>
    <t>PO-003171</t>
  </si>
  <si>
    <t>PO-003172</t>
  </si>
  <si>
    <t>PO-003173</t>
  </si>
  <si>
    <t>PO-003174</t>
  </si>
  <si>
    <t>PO-003175</t>
  </si>
  <si>
    <t>PO-003176</t>
  </si>
  <si>
    <t>PO-003177</t>
  </si>
  <si>
    <t>PO-003178</t>
  </si>
  <si>
    <t>PO-003179</t>
  </si>
  <si>
    <t>PO-003180</t>
  </si>
  <si>
    <t>PO-003181</t>
  </si>
  <si>
    <t>PO-003182</t>
  </si>
  <si>
    <t>PO-003183</t>
  </si>
  <si>
    <t>PO-003184</t>
  </si>
  <si>
    <t>PO-003185</t>
  </si>
  <si>
    <t>PO-003186</t>
  </si>
  <si>
    <t>PO-003187</t>
  </si>
  <si>
    <t>PO-003188</t>
  </si>
  <si>
    <t>PO-003189</t>
  </si>
  <si>
    <t>PO-003190</t>
  </si>
  <si>
    <t>PO-003191</t>
  </si>
  <si>
    <t>PO-003192</t>
  </si>
  <si>
    <t>PO-003193</t>
  </si>
  <si>
    <t>PO-003194</t>
  </si>
  <si>
    <t>PO-003195</t>
  </si>
  <si>
    <t>PO-003196</t>
  </si>
  <si>
    <t>PO-003197</t>
  </si>
  <si>
    <t>PO-003198</t>
  </si>
  <si>
    <t>PO-003199</t>
  </si>
  <si>
    <t>PO-003200</t>
  </si>
  <si>
    <t>PO-003201</t>
  </si>
  <si>
    <t>PO-003202</t>
  </si>
  <si>
    <t>PA-0000055</t>
  </si>
  <si>
    <t>PO-003203</t>
  </si>
  <si>
    <t>PO-003204</t>
  </si>
  <si>
    <t>PO-003205</t>
  </si>
  <si>
    <t>PO-003206</t>
  </si>
  <si>
    <t>PO-003207</t>
  </si>
  <si>
    <t>PO-003208</t>
  </si>
  <si>
    <t>PO-003209</t>
  </si>
  <si>
    <t>PO-003210</t>
  </si>
  <si>
    <t>PO-003211</t>
  </si>
  <si>
    <t>PO-003212</t>
  </si>
  <si>
    <t>PO-003213</t>
  </si>
  <si>
    <t>PA-0000557</t>
  </si>
  <si>
    <t>PO-003214</t>
  </si>
  <si>
    <t>PO-003215</t>
  </si>
  <si>
    <t>PO-003216</t>
  </si>
  <si>
    <t>PO-003217</t>
  </si>
  <si>
    <t>PO-003218</t>
  </si>
  <si>
    <t>PO-003219</t>
  </si>
  <si>
    <t>PO-003220</t>
  </si>
  <si>
    <t>PO-003221</t>
  </si>
  <si>
    <t>PO-003222</t>
  </si>
  <si>
    <t>PA-0000049</t>
  </si>
  <si>
    <t>PO-003223</t>
  </si>
  <si>
    <t>PO-003224</t>
  </si>
  <si>
    <t>PO-003225</t>
  </si>
  <si>
    <t>PO-003226</t>
  </si>
  <si>
    <t>PA-0000301</t>
  </si>
  <si>
    <t>PO-003227</t>
  </si>
  <si>
    <t>PA-0000401</t>
  </si>
  <si>
    <t>PO-003228</t>
  </si>
  <si>
    <t>PO-003229</t>
  </si>
  <si>
    <t>PA-0000474</t>
  </si>
  <si>
    <t>PO-003230</t>
  </si>
  <si>
    <t>PO-003231</t>
  </si>
  <si>
    <t>PO-003232</t>
  </si>
  <si>
    <t>PO-003233</t>
  </si>
  <si>
    <t>PO-003234</t>
  </si>
  <si>
    <t>PO-003235</t>
  </si>
  <si>
    <t>PO-003236</t>
  </si>
  <si>
    <t>PO-003237</t>
  </si>
  <si>
    <t>PO-003238</t>
  </si>
  <si>
    <t>PO-003239</t>
  </si>
  <si>
    <t>PO-003240</t>
  </si>
  <si>
    <t>PO-003241</t>
  </si>
  <si>
    <t>PO-003242</t>
  </si>
  <si>
    <t>PO-003243</t>
  </si>
  <si>
    <t>PO-003244</t>
  </si>
  <si>
    <t>PO-003245</t>
  </si>
  <si>
    <t>PA-0000082</t>
  </si>
  <si>
    <t>PO-003246</t>
  </si>
  <si>
    <t>PO-003247</t>
  </si>
  <si>
    <t>PO-003248</t>
  </si>
  <si>
    <t>PA-0000249</t>
  </si>
  <si>
    <t>PO-003249</t>
  </si>
  <si>
    <t>PO-003250</t>
  </si>
  <si>
    <t>PO-003251</t>
  </si>
  <si>
    <t>PO-003252</t>
  </si>
  <si>
    <t>PO-003253</t>
  </si>
  <si>
    <t>PO-003254</t>
  </si>
  <si>
    <t>PO-003255</t>
  </si>
  <si>
    <t>PO-003256</t>
  </si>
  <si>
    <t>PO-003257</t>
  </si>
  <si>
    <t>PO-003258</t>
  </si>
  <si>
    <t>PO-003259</t>
  </si>
  <si>
    <t>PO-003260</t>
  </si>
  <si>
    <t>PO-003261</t>
  </si>
  <si>
    <t>PO-003262</t>
  </si>
  <si>
    <t>PO-003263</t>
  </si>
  <si>
    <t>PO-003264</t>
  </si>
  <si>
    <t>PO-003265</t>
  </si>
  <si>
    <t>PA-0000010</t>
  </si>
  <si>
    <t>PO-003266</t>
  </si>
  <si>
    <t>PO-003267</t>
  </si>
  <si>
    <t>PO-003268</t>
  </si>
  <si>
    <t>PO-003269</t>
  </si>
  <si>
    <t>PO-003270</t>
  </si>
  <si>
    <t>PA-0000395</t>
  </si>
  <si>
    <t>PO-003271</t>
  </si>
  <si>
    <t>PO-003272</t>
  </si>
  <si>
    <t>PA-0000594</t>
  </si>
  <si>
    <t>PO-003273</t>
  </si>
  <si>
    <t>PO-003274</t>
  </si>
  <si>
    <t>PO-003275</t>
  </si>
  <si>
    <t>PO-003276</t>
  </si>
  <si>
    <t>PO-003277</t>
  </si>
  <si>
    <t>PO-003278</t>
  </si>
  <si>
    <t>PO-003279</t>
  </si>
  <si>
    <t>PO-003280</t>
  </si>
  <si>
    <t>PO-003281</t>
  </si>
  <si>
    <t>PO-003282</t>
  </si>
  <si>
    <t>PO-003283</t>
  </si>
  <si>
    <t>PO-003284</t>
  </si>
  <si>
    <t>PO-003285</t>
  </si>
  <si>
    <t>PO-003286</t>
  </si>
  <si>
    <t>PO-003287</t>
  </si>
  <si>
    <t>PO-003288</t>
  </si>
  <si>
    <t>PA-0000295</t>
  </si>
  <si>
    <t>PO-003289</t>
  </si>
  <si>
    <t>PO-003290</t>
  </si>
  <si>
    <t>PO-003291</t>
  </si>
  <si>
    <t>PO-003292</t>
  </si>
  <si>
    <t>PO-003293</t>
  </si>
  <si>
    <t>PO-003294</t>
  </si>
  <si>
    <t>PO-003295</t>
  </si>
  <si>
    <t>PO-003296</t>
  </si>
  <si>
    <t>PO-003297</t>
  </si>
  <si>
    <t>PO-003298</t>
  </si>
  <si>
    <t>PO-003299</t>
  </si>
  <si>
    <t>PO-003300</t>
  </si>
  <si>
    <t>PO-003301</t>
  </si>
  <si>
    <t>PO-003302</t>
  </si>
  <si>
    <t>PO-003303</t>
  </si>
  <si>
    <t>PO-003304</t>
  </si>
  <si>
    <t>PO-003305</t>
  </si>
  <si>
    <t>PO-003306</t>
  </si>
  <si>
    <t>PO-003307</t>
  </si>
  <si>
    <t>PA-0000514</t>
  </si>
  <si>
    <t>PO-003308</t>
  </si>
  <si>
    <t>PO-003309</t>
  </si>
  <si>
    <t>PO-003310</t>
  </si>
  <si>
    <t>PO-003311</t>
  </si>
  <si>
    <t>PO-003312</t>
  </si>
  <si>
    <t>PO-003313</t>
  </si>
  <si>
    <t>PO-003314</t>
  </si>
  <si>
    <t>PO-003315</t>
  </si>
  <si>
    <t>PO-003316</t>
  </si>
  <si>
    <t>PO-003317</t>
  </si>
  <si>
    <t>PO-003318</t>
  </si>
  <si>
    <t>PO-003319</t>
  </si>
  <si>
    <t>PO-003320</t>
  </si>
  <si>
    <t>PO-003321</t>
  </si>
  <si>
    <t>PO-003322</t>
  </si>
  <si>
    <t>PO-003323</t>
  </si>
  <si>
    <t>PO-003324</t>
  </si>
  <si>
    <t>PO-003325</t>
  </si>
  <si>
    <t>PO-003326</t>
  </si>
  <si>
    <t>PO-003327</t>
  </si>
  <si>
    <t>PO-003328</t>
  </si>
  <si>
    <t>PO-003329</t>
  </si>
  <si>
    <t>PO-003330</t>
  </si>
  <si>
    <t>PO-003331</t>
  </si>
  <si>
    <t>PO-003332</t>
  </si>
  <si>
    <t>PO-003333</t>
  </si>
  <si>
    <t>PO-003334</t>
  </si>
  <si>
    <t>PO-003335</t>
  </si>
  <si>
    <t>PO-003336</t>
  </si>
  <si>
    <t>PO-003337</t>
  </si>
  <si>
    <t>PO-003338</t>
  </si>
  <si>
    <t>PO-003339</t>
  </si>
  <si>
    <t>PA-0000616</t>
  </si>
  <si>
    <t>PO-003340</t>
  </si>
  <si>
    <t>PO-003341</t>
  </si>
  <si>
    <t>PO-003342</t>
  </si>
  <si>
    <t>PO-003343</t>
  </si>
  <si>
    <t>PO-003344</t>
  </si>
  <si>
    <t>PO-003345</t>
  </si>
  <si>
    <t>PO-003346</t>
  </si>
  <si>
    <t>PO-003347</t>
  </si>
  <si>
    <t>PO-003348</t>
  </si>
  <si>
    <t>PO-003349</t>
  </si>
  <si>
    <t>PO-003350</t>
  </si>
  <si>
    <t>PO-003351</t>
  </si>
  <si>
    <t>PO-003352</t>
  </si>
  <si>
    <t>PO-003353</t>
  </si>
  <si>
    <t>PO-003354</t>
  </si>
  <si>
    <t>PO-003355</t>
  </si>
  <si>
    <t>PO-003356</t>
  </si>
  <si>
    <t>2024-09</t>
  </si>
  <si>
    <t>PO-003357</t>
  </si>
  <si>
    <t>PO-003358</t>
  </si>
  <si>
    <t>PO-003359</t>
  </si>
  <si>
    <t>PO-003360</t>
  </si>
  <si>
    <t>PO-003361</t>
  </si>
  <si>
    <t>PO-003362</t>
  </si>
  <si>
    <t>PO-003363</t>
  </si>
  <si>
    <t>PO-003364</t>
  </si>
  <si>
    <t>PO-003365</t>
  </si>
  <si>
    <t>PO-003366</t>
  </si>
  <si>
    <t>PO-003367</t>
  </si>
  <si>
    <t>PO-003368</t>
  </si>
  <si>
    <t>PO-003369</t>
  </si>
  <si>
    <t>PO-003370</t>
  </si>
  <si>
    <t>PO-003371</t>
  </si>
  <si>
    <t>PO-003372</t>
  </si>
  <si>
    <t>PO-003373</t>
  </si>
  <si>
    <t>PO-003374</t>
  </si>
  <si>
    <t>PO-003375</t>
  </si>
  <si>
    <t>PO-003376</t>
  </si>
  <si>
    <t>PO-003377</t>
  </si>
  <si>
    <t>PO-003378</t>
  </si>
  <si>
    <t>PO-003379</t>
  </si>
  <si>
    <t>PO-003380</t>
  </si>
  <si>
    <t>PO-003381</t>
  </si>
  <si>
    <t>PO-003382</t>
  </si>
  <si>
    <t>PO-003383</t>
  </si>
  <si>
    <t>PO-003384</t>
  </si>
  <si>
    <t>PO-003385</t>
  </si>
  <si>
    <t>PO-003386</t>
  </si>
  <si>
    <t>PO-003387</t>
  </si>
  <si>
    <t>PO-003388</t>
  </si>
  <si>
    <t>PO-003389</t>
  </si>
  <si>
    <t>PO-003390</t>
  </si>
  <si>
    <t>PO-003391</t>
  </si>
  <si>
    <t>PO-003392</t>
  </si>
  <si>
    <t>PO-003393</t>
  </si>
  <si>
    <t>PO-003394</t>
  </si>
  <si>
    <t>PO-003395</t>
  </si>
  <si>
    <t>PO-003396</t>
  </si>
  <si>
    <t>PO-003397</t>
  </si>
  <si>
    <t>PO-003398</t>
  </si>
  <si>
    <t>PO-003399</t>
  </si>
  <si>
    <t>PO-003400</t>
  </si>
  <si>
    <t>PO-003401</t>
  </si>
  <si>
    <t>PO-003402</t>
  </si>
  <si>
    <t>PO-003403</t>
  </si>
  <si>
    <t>PO-003404</t>
  </si>
  <si>
    <t>PO-003405</t>
  </si>
  <si>
    <t>PO-003406</t>
  </si>
  <si>
    <t>PO-003407</t>
  </si>
  <si>
    <t>PO-003408</t>
  </si>
  <si>
    <t>PO-003409</t>
  </si>
  <si>
    <t>PO-003410</t>
  </si>
  <si>
    <t>PO-003411</t>
  </si>
  <si>
    <t>PO-003412</t>
  </si>
  <si>
    <t>PO-003413</t>
  </si>
  <si>
    <t>PO-003414</t>
  </si>
  <si>
    <t>PO-003415</t>
  </si>
  <si>
    <t>PO-003416</t>
  </si>
  <si>
    <t>PO-003417</t>
  </si>
  <si>
    <t>PO-003418</t>
  </si>
  <si>
    <t>PO-003419</t>
  </si>
  <si>
    <t>PO-003420</t>
  </si>
  <si>
    <t>PO-003421</t>
  </si>
  <si>
    <t>PO-003422</t>
  </si>
  <si>
    <t>PO-003423</t>
  </si>
  <si>
    <t>PO-003424</t>
  </si>
  <si>
    <t>PO-003425</t>
  </si>
  <si>
    <t>PO-003426</t>
  </si>
  <si>
    <t>PO-003427</t>
  </si>
  <si>
    <t>PO-003428</t>
  </si>
  <si>
    <t>PO-003429</t>
  </si>
  <si>
    <t>PO-003430</t>
  </si>
  <si>
    <t>PO-003431</t>
  </si>
  <si>
    <t>PO-003432</t>
  </si>
  <si>
    <t>PO-003433</t>
  </si>
  <si>
    <t>PO-003434</t>
  </si>
  <si>
    <t>PO-003435</t>
  </si>
  <si>
    <t>PO-003436</t>
  </si>
  <si>
    <t>PO-003437</t>
  </si>
  <si>
    <t>PO-003438</t>
  </si>
  <si>
    <t>PO-003439</t>
  </si>
  <si>
    <t>PO-003440</t>
  </si>
  <si>
    <t>PO-003441</t>
  </si>
  <si>
    <t>PO-003442</t>
  </si>
  <si>
    <t>PO-003443</t>
  </si>
  <si>
    <t>PO-003444</t>
  </si>
  <si>
    <t>PO-003445</t>
  </si>
  <si>
    <t>PO-003446</t>
  </si>
  <si>
    <t>PO-003447</t>
  </si>
  <si>
    <t>PO-003448</t>
  </si>
  <si>
    <t>PO-003449</t>
  </si>
  <si>
    <t>PO-003450</t>
  </si>
  <si>
    <t>PO-003451</t>
  </si>
  <si>
    <t>PO-003452</t>
  </si>
  <si>
    <t>PO-003453</t>
  </si>
  <si>
    <t>PO-003454</t>
  </si>
  <si>
    <t>PO-003455</t>
  </si>
  <si>
    <t>PO-003456</t>
  </si>
  <si>
    <t>PO-003457</t>
  </si>
  <si>
    <t>PO-003458</t>
  </si>
  <si>
    <t>PO-003459</t>
  </si>
  <si>
    <t>PO-003460</t>
  </si>
  <si>
    <t>PO-003461</t>
  </si>
  <si>
    <t>PO-003462</t>
  </si>
  <si>
    <t>PO-003463</t>
  </si>
  <si>
    <t>PO-003464</t>
  </si>
  <si>
    <t>PO-003465</t>
  </si>
  <si>
    <t>PO-003466</t>
  </si>
  <si>
    <t>PA-0000201</t>
  </si>
  <si>
    <t>PO-003467</t>
  </si>
  <si>
    <t>PO-003468</t>
  </si>
  <si>
    <t>PO-003469</t>
  </si>
  <si>
    <t>PO-003470</t>
  </si>
  <si>
    <t>PO-003471</t>
  </si>
  <si>
    <t>PO-003472</t>
  </si>
  <si>
    <t>PO-003473</t>
  </si>
  <si>
    <t>PO-003474</t>
  </si>
  <si>
    <t>PO-003475</t>
  </si>
  <si>
    <t>PO-003476</t>
  </si>
  <si>
    <t>PO-003477</t>
  </si>
  <si>
    <t>PO-003478</t>
  </si>
  <si>
    <t>PO-003479</t>
  </si>
  <si>
    <t>PO-003480</t>
  </si>
  <si>
    <t>PO-003481</t>
  </si>
  <si>
    <t>PO-003482</t>
  </si>
  <si>
    <t>PO-003483</t>
  </si>
  <si>
    <t>PO-003484</t>
  </si>
  <si>
    <t>PO-003485</t>
  </si>
  <si>
    <t>PO-003486</t>
  </si>
  <si>
    <t>PO-003487</t>
  </si>
  <si>
    <t>PA-0000310</t>
  </si>
  <si>
    <t>PO-003488</t>
  </si>
  <si>
    <t>PO-003489</t>
  </si>
  <si>
    <t>PO-003490</t>
  </si>
  <si>
    <t>PO-003491</t>
  </si>
  <si>
    <t>PO-003492</t>
  </si>
  <si>
    <t>PO-003493</t>
  </si>
  <si>
    <t>PO-003494</t>
  </si>
  <si>
    <t>PO-003495</t>
  </si>
  <si>
    <t>PO-003496</t>
  </si>
  <si>
    <t>PO-003497</t>
  </si>
  <si>
    <t>PO-003498</t>
  </si>
  <si>
    <t>PO-003499</t>
  </si>
  <si>
    <t>PO-003500</t>
  </si>
  <si>
    <t>PO-003501</t>
  </si>
  <si>
    <t>PO-003502</t>
  </si>
  <si>
    <t>PO-003503</t>
  </si>
  <si>
    <t>PO-003504</t>
  </si>
  <si>
    <t>PA-0000489</t>
  </si>
  <si>
    <t>PO-003505</t>
  </si>
  <si>
    <t>PO-003506</t>
  </si>
  <si>
    <t>PO-003507</t>
  </si>
  <si>
    <t>PO-003508</t>
  </si>
  <si>
    <t>PO-003509</t>
  </si>
  <si>
    <t>PO-003510</t>
  </si>
  <si>
    <t>PO-003511</t>
  </si>
  <si>
    <t>PO-003512</t>
  </si>
  <si>
    <t>PO-003513</t>
  </si>
  <si>
    <t>PO-003514</t>
  </si>
  <si>
    <t>PO-003515</t>
  </si>
  <si>
    <t>PO-003516</t>
  </si>
  <si>
    <t>PO-003517</t>
  </si>
  <si>
    <t>PO-003518</t>
  </si>
  <si>
    <t>PO-003519</t>
  </si>
  <si>
    <t>PO-003520</t>
  </si>
  <si>
    <t>PO-003521</t>
  </si>
  <si>
    <t>PO-003522</t>
  </si>
  <si>
    <t>PO-003523</t>
  </si>
  <si>
    <t>PO-003524</t>
  </si>
  <si>
    <t>PO-003525</t>
  </si>
  <si>
    <t>PO-003526</t>
  </si>
  <si>
    <t>PO-003527</t>
  </si>
  <si>
    <t>PO-003528</t>
  </si>
  <si>
    <t>PO-003529</t>
  </si>
  <si>
    <t>PO-003530</t>
  </si>
  <si>
    <t>2024-10</t>
  </si>
  <si>
    <t>PO-003531</t>
  </si>
  <si>
    <t>PO-003532</t>
  </si>
  <si>
    <t>PO-003533</t>
  </si>
  <si>
    <t>PO-003534</t>
  </si>
  <si>
    <t>PO-003535</t>
  </si>
  <si>
    <t>PO-003536</t>
  </si>
  <si>
    <t>PO-003537</t>
  </si>
  <si>
    <t>PO-003538</t>
  </si>
  <si>
    <t>PO-003539</t>
  </si>
  <si>
    <t>PO-003540</t>
  </si>
  <si>
    <t>PO-003541</t>
  </si>
  <si>
    <t>PO-003542</t>
  </si>
  <si>
    <t>PO-003543</t>
  </si>
  <si>
    <t>PO-003544</t>
  </si>
  <si>
    <t>PO-003545</t>
  </si>
  <si>
    <t>PO-003546</t>
  </si>
  <si>
    <t>PO-003547</t>
  </si>
  <si>
    <t>PO-003548</t>
  </si>
  <si>
    <t>PO-003549</t>
  </si>
  <si>
    <t>PO-003550</t>
  </si>
  <si>
    <t>PO-003551</t>
  </si>
  <si>
    <t>PO-003552</t>
  </si>
  <si>
    <t>PO-003553</t>
  </si>
  <si>
    <t>PA-0000275</t>
  </si>
  <si>
    <t>PO-003554</t>
  </si>
  <si>
    <t>PO-003555</t>
  </si>
  <si>
    <t>PO-003556</t>
  </si>
  <si>
    <t>PO-003557</t>
  </si>
  <si>
    <t>PO-003558</t>
  </si>
  <si>
    <t>PO-003559</t>
  </si>
  <si>
    <t>PO-003560</t>
  </si>
  <si>
    <t>PO-003561</t>
  </si>
  <si>
    <t>PO-003562</t>
  </si>
  <si>
    <t>PO-003563</t>
  </si>
  <si>
    <t>PO-003564</t>
  </si>
  <si>
    <t>PO-003565</t>
  </si>
  <si>
    <t>PO-003566</t>
  </si>
  <si>
    <t>PO-003567</t>
  </si>
  <si>
    <t>PO-003568</t>
  </si>
  <si>
    <t>PO-D00013</t>
  </si>
  <si>
    <t>PO-003569</t>
  </si>
  <si>
    <t>PO-003570</t>
  </si>
  <si>
    <t>PO-003571</t>
  </si>
  <si>
    <t>PO-003572</t>
  </si>
  <si>
    <t>PO-003573</t>
  </si>
  <si>
    <t>PO-003574</t>
  </si>
  <si>
    <t>PO-003575</t>
  </si>
  <si>
    <t>PO-003576</t>
  </si>
  <si>
    <t>PO-003577</t>
  </si>
  <si>
    <t>PO-003578</t>
  </si>
  <si>
    <t>PO-003579</t>
  </si>
  <si>
    <t>PO-003580</t>
  </si>
  <si>
    <t>PO-003581</t>
  </si>
  <si>
    <t>PO-003582</t>
  </si>
  <si>
    <t>PO-003583</t>
  </si>
  <si>
    <t>PO-003584</t>
  </si>
  <si>
    <t>PO-003585</t>
  </si>
  <si>
    <t>PO-003586</t>
  </si>
  <si>
    <t>PO-003587</t>
  </si>
  <si>
    <t>PO-003588</t>
  </si>
  <si>
    <t>PO-003589</t>
  </si>
  <si>
    <t>PO-003590</t>
  </si>
  <si>
    <t>PO-003591</t>
  </si>
  <si>
    <t>PO-003592</t>
  </si>
  <si>
    <t>PO-003593</t>
  </si>
  <si>
    <t>PO-003594</t>
  </si>
  <si>
    <t>PO-003595</t>
  </si>
  <si>
    <t>PO-003596</t>
  </si>
  <si>
    <t>PO-003597</t>
  </si>
  <si>
    <t>PO-003598</t>
  </si>
  <si>
    <t>PO-003599</t>
  </si>
  <si>
    <t>PO-003600</t>
  </si>
  <si>
    <t>PO-003601</t>
  </si>
  <si>
    <t>PO-003602</t>
  </si>
  <si>
    <t>PO-003603</t>
  </si>
  <si>
    <t>PO-003604</t>
  </si>
  <si>
    <t>PO-003605</t>
  </si>
  <si>
    <t>PO-003606</t>
  </si>
  <si>
    <t>PO-003607</t>
  </si>
  <si>
    <t>PO-003608</t>
  </si>
  <si>
    <t>PO-003609</t>
  </si>
  <si>
    <t>PO-003610</t>
  </si>
  <si>
    <t>PO-003611</t>
  </si>
  <si>
    <t>PO-003612</t>
  </si>
  <si>
    <t>PO-003613</t>
  </si>
  <si>
    <t>PO-003614</t>
  </si>
  <si>
    <t>PO-003615</t>
  </si>
  <si>
    <t>PO-003616</t>
  </si>
  <si>
    <t>PO-003617</t>
  </si>
  <si>
    <t>PO-003618</t>
  </si>
  <si>
    <t>PO-003619</t>
  </si>
  <si>
    <t>PO-003620</t>
  </si>
  <si>
    <t>PO-003621</t>
  </si>
  <si>
    <t>PO-003622</t>
  </si>
  <si>
    <t>PO-003623</t>
  </si>
  <si>
    <t>PO-003624</t>
  </si>
  <si>
    <t>PO-003625</t>
  </si>
  <si>
    <t>PO-003626</t>
  </si>
  <si>
    <t>PO-003627</t>
  </si>
  <si>
    <t>PO-003628</t>
  </si>
  <si>
    <t>PO-003629</t>
  </si>
  <si>
    <t>PO-003630</t>
  </si>
  <si>
    <t>PO-003631</t>
  </si>
  <si>
    <t>PO-003632</t>
  </si>
  <si>
    <t>PO-003633</t>
  </si>
  <si>
    <t>PO-003634</t>
  </si>
  <si>
    <t>PO-003635</t>
  </si>
  <si>
    <t>PO-003636</t>
  </si>
  <si>
    <t>PO-003637</t>
  </si>
  <si>
    <t>PO-003638</t>
  </si>
  <si>
    <t>PO-003639</t>
  </si>
  <si>
    <t>PO-003640</t>
  </si>
  <si>
    <t>PO-003641</t>
  </si>
  <si>
    <t>PO-003642</t>
  </si>
  <si>
    <t>PO-003643</t>
  </si>
  <si>
    <t>PO-003644</t>
  </si>
  <si>
    <t>PO-003645</t>
  </si>
  <si>
    <t>PO-003646</t>
  </si>
  <si>
    <t>PO-003647</t>
  </si>
  <si>
    <t>PO-003648</t>
  </si>
  <si>
    <t>PO-003649</t>
  </si>
  <si>
    <t>PO-003650</t>
  </si>
  <si>
    <t>PO-003651</t>
  </si>
  <si>
    <t>PO-003652</t>
  </si>
  <si>
    <t>PO-003653</t>
  </si>
  <si>
    <t>PO-003654</t>
  </si>
  <si>
    <t>PO-003655</t>
  </si>
  <si>
    <t>PO-003656</t>
  </si>
  <si>
    <t>PO-003657</t>
  </si>
  <si>
    <t>PO-003658</t>
  </si>
  <si>
    <t>PO-003659</t>
  </si>
  <si>
    <t>PO-003660</t>
  </si>
  <si>
    <t>PO-003661</t>
  </si>
  <si>
    <t>PO-003662</t>
  </si>
  <si>
    <t>PO-003663</t>
  </si>
  <si>
    <t>PO-003664</t>
  </si>
  <si>
    <t>PO-003665</t>
  </si>
  <si>
    <t>PO-003666</t>
  </si>
  <si>
    <t>PO-003667</t>
  </si>
  <si>
    <t>PO-003668</t>
  </si>
  <si>
    <t>PO-003669</t>
  </si>
  <si>
    <t>PO-003670</t>
  </si>
  <si>
    <t>PO-003671</t>
  </si>
  <si>
    <t>PO-003672</t>
  </si>
  <si>
    <t>PO-003673</t>
  </si>
  <si>
    <t>PO-003674</t>
  </si>
  <si>
    <t>PO-003675</t>
  </si>
  <si>
    <t>PO-003676</t>
  </si>
  <si>
    <t>PO-003677</t>
  </si>
  <si>
    <t>PO-003678</t>
  </si>
  <si>
    <t>PO-003679</t>
  </si>
  <si>
    <t>PO-003680</t>
  </si>
  <si>
    <t>PO-003681</t>
  </si>
  <si>
    <t>PO-003682</t>
  </si>
  <si>
    <t>PO-003683</t>
  </si>
  <si>
    <t>PO-003684</t>
  </si>
  <si>
    <t>PO-003685</t>
  </si>
  <si>
    <t>PO-003686</t>
  </si>
  <si>
    <t>PO-003687</t>
  </si>
  <si>
    <t>PO-003688</t>
  </si>
  <si>
    <t>PO-003689</t>
  </si>
  <si>
    <t>PO-003690</t>
  </si>
  <si>
    <t>PO-003691</t>
  </si>
  <si>
    <t>PO-003692</t>
  </si>
  <si>
    <t>PO-003693</t>
  </si>
  <si>
    <t>PO-003694</t>
  </si>
  <si>
    <t>PO-003695</t>
  </si>
  <si>
    <t>PO-003696</t>
  </si>
  <si>
    <t>PO-003697</t>
  </si>
  <si>
    <t>PO-003698</t>
  </si>
  <si>
    <t>PO-003699</t>
  </si>
  <si>
    <t>PO-003700</t>
  </si>
  <si>
    <t>PO-003701</t>
  </si>
  <si>
    <t>PO-003702</t>
  </si>
  <si>
    <t>PO-003703</t>
  </si>
  <si>
    <t>PO-003704</t>
  </si>
  <si>
    <t>PO-003705</t>
  </si>
  <si>
    <t>PO-003706</t>
  </si>
  <si>
    <t>PO-003707</t>
  </si>
  <si>
    <t>PO-003708</t>
  </si>
  <si>
    <t>PO-003709</t>
  </si>
  <si>
    <t>PO-003710</t>
  </si>
  <si>
    <t>PO-003711</t>
  </si>
  <si>
    <t>PO-003712</t>
  </si>
  <si>
    <t>PO-003713</t>
  </si>
  <si>
    <t>PO-003714</t>
  </si>
  <si>
    <t>PO-003715</t>
  </si>
  <si>
    <t>PO-003716</t>
  </si>
  <si>
    <t>PO-003717</t>
  </si>
  <si>
    <t>PO-003718</t>
  </si>
  <si>
    <t>PO-003719</t>
  </si>
  <si>
    <t>PO-003720</t>
  </si>
  <si>
    <t>PO-003721</t>
  </si>
  <si>
    <t>PO-003722</t>
  </si>
  <si>
    <t>PO-003723</t>
  </si>
  <si>
    <t>PO-003724</t>
  </si>
  <si>
    <t>PO-003725</t>
  </si>
  <si>
    <t>PO-003726</t>
  </si>
  <si>
    <t>PO-003727</t>
  </si>
  <si>
    <t>PO-003728</t>
  </si>
  <si>
    <t>PO-003729</t>
  </si>
  <si>
    <t>PO-003730</t>
  </si>
  <si>
    <t>PO-003731</t>
  </si>
  <si>
    <t>2024-11</t>
  </si>
  <si>
    <t>PO-003732</t>
  </si>
  <si>
    <t>PO-003733</t>
  </si>
  <si>
    <t>PO-003734</t>
  </si>
  <si>
    <t>PO-003735</t>
  </si>
  <si>
    <t>PO-003736</t>
  </si>
  <si>
    <t>PO-003737</t>
  </si>
  <si>
    <t>PO-003738</t>
  </si>
  <si>
    <t>PO-003739</t>
  </si>
  <si>
    <t>PO-003740</t>
  </si>
  <si>
    <t>PO-003741</t>
  </si>
  <si>
    <t>PO-003742</t>
  </si>
  <si>
    <t>PO-003743</t>
  </si>
  <si>
    <t>PO-003744</t>
  </si>
  <si>
    <t>PO-003745</t>
  </si>
  <si>
    <t>PO-003746</t>
  </si>
  <si>
    <t>PO-003747</t>
  </si>
  <si>
    <t>PO-003748</t>
  </si>
  <si>
    <t>PO-003749</t>
  </si>
  <si>
    <t>PO-003750</t>
  </si>
  <si>
    <t>PO-003751</t>
  </si>
  <si>
    <t>PO-003752</t>
  </si>
  <si>
    <t>PO-003753</t>
  </si>
  <si>
    <t>PO-003754</t>
  </si>
  <si>
    <t>PO-003755</t>
  </si>
  <si>
    <t>PO-003756</t>
  </si>
  <si>
    <t>PO-003757</t>
  </si>
  <si>
    <t>PO-003758</t>
  </si>
  <si>
    <t>PO-003759</t>
  </si>
  <si>
    <t>PO-003760</t>
  </si>
  <si>
    <t>PO-003761</t>
  </si>
  <si>
    <t>PO-003762</t>
  </si>
  <si>
    <t>PO-003763</t>
  </si>
  <si>
    <t>PO-003764</t>
  </si>
  <si>
    <t>PO-003765</t>
  </si>
  <si>
    <t>PO-003766</t>
  </si>
  <si>
    <t>PO-003767</t>
  </si>
  <si>
    <t>PO-003768</t>
  </si>
  <si>
    <t>PO-003769</t>
  </si>
  <si>
    <t>PO-003770</t>
  </si>
  <si>
    <t>PO-003771</t>
  </si>
  <si>
    <t>PO-003772</t>
  </si>
  <si>
    <t>PO-003773</t>
  </si>
  <si>
    <t>PO-003774</t>
  </si>
  <si>
    <t>PO-003775</t>
  </si>
  <si>
    <t>PO-003776</t>
  </si>
  <si>
    <t>PO-003777</t>
  </si>
  <si>
    <t>PO-003778</t>
  </si>
  <si>
    <t>PO-003779</t>
  </si>
  <si>
    <t>PO-003780</t>
  </si>
  <si>
    <t>PO-003781</t>
  </si>
  <si>
    <t>PO-003782</t>
  </si>
  <si>
    <t>PO-003783</t>
  </si>
  <si>
    <t>PO-003784</t>
  </si>
  <si>
    <t>PO-003785</t>
  </si>
  <si>
    <t>PO-003786</t>
  </si>
  <si>
    <t>PO-003787</t>
  </si>
  <si>
    <t>PO-003788</t>
  </si>
  <si>
    <t>PO-003789</t>
  </si>
  <si>
    <t>PO-003790</t>
  </si>
  <si>
    <t>PO-003791</t>
  </si>
  <si>
    <t>PO-003792</t>
  </si>
  <si>
    <t>PO-003793</t>
  </si>
  <si>
    <t>PO-003794</t>
  </si>
  <si>
    <t>PO-003795</t>
  </si>
  <si>
    <t>PO-003796</t>
  </si>
  <si>
    <t>PO-D00014</t>
  </si>
  <si>
    <t>PO-003797</t>
  </si>
  <si>
    <t>PO-003798</t>
  </si>
  <si>
    <t>PO-003799</t>
  </si>
  <si>
    <t>PO-003800</t>
  </si>
  <si>
    <t>PO-003801</t>
  </si>
  <si>
    <t>PO-003802</t>
  </si>
  <si>
    <t>PO-003803</t>
  </si>
  <si>
    <t>PO-003804</t>
  </si>
  <si>
    <t>PO-003805</t>
  </si>
  <si>
    <t>PO-003806</t>
  </si>
  <si>
    <t>PO-003807</t>
  </si>
  <si>
    <t>PO-003808</t>
  </si>
  <si>
    <t>PO-003809</t>
  </si>
  <si>
    <t>PO-003810</t>
  </si>
  <si>
    <t>PO-003811</t>
  </si>
  <si>
    <t>PO-003812</t>
  </si>
  <si>
    <t>PO-003813</t>
  </si>
  <si>
    <t>PO-003814</t>
  </si>
  <si>
    <t>PO-003815</t>
  </si>
  <si>
    <t>PO-003816</t>
  </si>
  <si>
    <t>PO-003817</t>
  </si>
  <si>
    <t>PO-003818</t>
  </si>
  <si>
    <t>PO-003819</t>
  </si>
  <si>
    <t>PO-003820</t>
  </si>
  <si>
    <t>PO-003821</t>
  </si>
  <si>
    <t>PO-003822</t>
  </si>
  <si>
    <t>PO-003823</t>
  </si>
  <si>
    <t>PO-003824</t>
  </si>
  <si>
    <t>PO-003825</t>
  </si>
  <si>
    <t>PO-003826</t>
  </si>
  <si>
    <t>PO-003827</t>
  </si>
  <si>
    <t>PO-003828</t>
  </si>
  <si>
    <t>PO-003829</t>
  </si>
  <si>
    <t>PO-003830</t>
  </si>
  <si>
    <t>PO-003831</t>
  </si>
  <si>
    <t>PO-003832</t>
  </si>
  <si>
    <t>PO-003833</t>
  </si>
  <si>
    <t>PO-003834</t>
  </si>
  <si>
    <t>PO-003835</t>
  </si>
  <si>
    <t>PO-003836</t>
  </si>
  <si>
    <t>PO-003837</t>
  </si>
  <si>
    <t>PO-003838</t>
  </si>
  <si>
    <t>PO-003839</t>
  </si>
  <si>
    <t>PO-003840</t>
  </si>
  <si>
    <t>PO-003841</t>
  </si>
  <si>
    <t>PO-003842</t>
  </si>
  <si>
    <t>PO-003843</t>
  </si>
  <si>
    <t>PO-003844</t>
  </si>
  <si>
    <t>PO-003845</t>
  </si>
  <si>
    <t>PO-003846</t>
  </si>
  <si>
    <t>PO-003847</t>
  </si>
  <si>
    <t>PO-003848</t>
  </si>
  <si>
    <t>PO-003849</t>
  </si>
  <si>
    <t>PO-003850</t>
  </si>
  <si>
    <t>PO-003851</t>
  </si>
  <si>
    <t>PO-003852</t>
  </si>
  <si>
    <t>PO-003853</t>
  </si>
  <si>
    <t>PO-003854</t>
  </si>
  <si>
    <t>PO-003855</t>
  </si>
  <si>
    <t>PO-003856</t>
  </si>
  <si>
    <t>PO-003857</t>
  </si>
  <si>
    <t>PO-003858</t>
  </si>
  <si>
    <t>PO-003859</t>
  </si>
  <si>
    <t>PO-003860</t>
  </si>
  <si>
    <t>PO-003861</t>
  </si>
  <si>
    <t>PO-003862</t>
  </si>
  <si>
    <t>PO-003863</t>
  </si>
  <si>
    <t>PO-003864</t>
  </si>
  <si>
    <t>PO-003865</t>
  </si>
  <si>
    <t>PO-003866</t>
  </si>
  <si>
    <t>PO-003867</t>
  </si>
  <si>
    <t>PO-003868</t>
  </si>
  <si>
    <t>PO-003869</t>
  </si>
  <si>
    <t>PO-003870</t>
  </si>
  <si>
    <t>PO-003871</t>
  </si>
  <si>
    <t>PO-003872</t>
  </si>
  <si>
    <t>PO-003873</t>
  </si>
  <si>
    <t>PA-0000257</t>
  </si>
  <si>
    <t>PO-003874</t>
  </si>
  <si>
    <t>PO-003875</t>
  </si>
  <si>
    <t>PO-003876</t>
  </si>
  <si>
    <t>PO-003877</t>
  </si>
  <si>
    <t>PO-003878</t>
  </si>
  <si>
    <t>PO-003879</t>
  </si>
  <si>
    <t>PO-003880</t>
  </si>
  <si>
    <t>PO-003881</t>
  </si>
  <si>
    <t>PO-003882</t>
  </si>
  <si>
    <t>PO-003883</t>
  </si>
  <si>
    <t>PO-003884</t>
  </si>
  <si>
    <t>PO-003885</t>
  </si>
  <si>
    <t>PO-003886</t>
  </si>
  <si>
    <t>PO-003887</t>
  </si>
  <si>
    <t>PO-003888</t>
  </si>
  <si>
    <t>PO-003889</t>
  </si>
  <si>
    <t>PO-003890</t>
  </si>
  <si>
    <t>PO-003891</t>
  </si>
  <si>
    <t>PO-003892</t>
  </si>
  <si>
    <t>PO-003893</t>
  </si>
  <si>
    <t>PO-003894</t>
  </si>
  <si>
    <t>PO-003895</t>
  </si>
  <si>
    <t>PO-003896</t>
  </si>
  <si>
    <t>PO-003897</t>
  </si>
  <si>
    <t>PA-0000164</t>
  </si>
  <si>
    <t>PO-003898</t>
  </si>
  <si>
    <t>PO-003899</t>
  </si>
  <si>
    <t>PO-003900</t>
  </si>
  <si>
    <t>PO-003901</t>
  </si>
  <si>
    <t>PO-003902</t>
  </si>
  <si>
    <t>PO-003903</t>
  </si>
  <si>
    <t>2024-12</t>
  </si>
  <si>
    <t>PO-003904</t>
  </si>
  <si>
    <t>PO-003905</t>
  </si>
  <si>
    <t>PO-003906</t>
  </si>
  <si>
    <t>PO-003907</t>
  </si>
  <si>
    <t>PO-003908</t>
  </si>
  <si>
    <t>PO-003909</t>
  </si>
  <si>
    <t>PO-003910</t>
  </si>
  <si>
    <t>PO-003911</t>
  </si>
  <si>
    <t>PA-0000064</t>
  </si>
  <si>
    <t>PO-003912</t>
  </si>
  <si>
    <t>PO-003913</t>
  </si>
  <si>
    <t>PO-003914</t>
  </si>
  <si>
    <t>PO-003915</t>
  </si>
  <si>
    <t>PO-003916</t>
  </si>
  <si>
    <t>PO-003917</t>
  </si>
  <si>
    <t>PO-003918</t>
  </si>
  <si>
    <t>PO-003919</t>
  </si>
  <si>
    <t>PO-003920</t>
  </si>
  <si>
    <t>PO-003921</t>
  </si>
  <si>
    <t>PO-003922</t>
  </si>
  <si>
    <t>PO-003923</t>
  </si>
  <si>
    <t>PO-003924</t>
  </si>
  <si>
    <t>PO-003925</t>
  </si>
  <si>
    <t>PO-003926</t>
  </si>
  <si>
    <t>PO-003927</t>
  </si>
  <si>
    <t>PO-003928</t>
  </si>
  <si>
    <t>PO-003929</t>
  </si>
  <si>
    <t>PO-003930</t>
  </si>
  <si>
    <t>PO-003931</t>
  </si>
  <si>
    <t>PO-003932</t>
  </si>
  <si>
    <t>PO-003933</t>
  </si>
  <si>
    <t>PO-003934</t>
  </si>
  <si>
    <t>PO-003935</t>
  </si>
  <si>
    <t>PO-003936</t>
  </si>
  <si>
    <t>PO-003937</t>
  </si>
  <si>
    <t>PO-003938</t>
  </si>
  <si>
    <t>PO-003939</t>
  </si>
  <si>
    <t>PO-003940</t>
  </si>
  <si>
    <t>PO-003941</t>
  </si>
  <si>
    <t>PO-003942</t>
  </si>
  <si>
    <t>PO-003943</t>
  </si>
  <si>
    <t>PO-003944</t>
  </si>
  <si>
    <t>PO-003945</t>
  </si>
  <si>
    <t>PO-003946</t>
  </si>
  <si>
    <t>PO-003947</t>
  </si>
  <si>
    <t>PO-003948</t>
  </si>
  <si>
    <t>PO-003949</t>
  </si>
  <si>
    <t>PO-003950</t>
  </si>
  <si>
    <t>PO-003951</t>
  </si>
  <si>
    <t>PO-003952</t>
  </si>
  <si>
    <t>PO-003953</t>
  </si>
  <si>
    <t>PO-003954</t>
  </si>
  <si>
    <t>PO-003955</t>
  </si>
  <si>
    <t>PO-003956</t>
  </si>
  <si>
    <t>PO-003957</t>
  </si>
  <si>
    <t>PO-003958</t>
  </si>
  <si>
    <t>PO-003959</t>
  </si>
  <si>
    <t>PO-003960</t>
  </si>
  <si>
    <t>PO-003961</t>
  </si>
  <si>
    <t>PO-003962</t>
  </si>
  <si>
    <t>PO-003963</t>
  </si>
  <si>
    <t>PO-003964</t>
  </si>
  <si>
    <t>PO-003965</t>
  </si>
  <si>
    <t>PO-003966</t>
  </si>
  <si>
    <t>PO-003967</t>
  </si>
  <si>
    <t>PO-003968</t>
  </si>
  <si>
    <t>PO-003969</t>
  </si>
  <si>
    <t>PO-003970</t>
  </si>
  <si>
    <t>PO-003971</t>
  </si>
  <si>
    <t>PO-003972</t>
  </si>
  <si>
    <t>PO-003973</t>
  </si>
  <si>
    <t>PO-003974</t>
  </si>
  <si>
    <t>PO-003975</t>
  </si>
  <si>
    <t>PO-003976</t>
  </si>
  <si>
    <t>PO-003977</t>
  </si>
  <si>
    <t>PO-003978</t>
  </si>
  <si>
    <t>PO-003979</t>
  </si>
  <si>
    <t>PO-003980</t>
  </si>
  <si>
    <t>PO-003981</t>
  </si>
  <si>
    <t>PO-003982</t>
  </si>
  <si>
    <t>PO-003983</t>
  </si>
  <si>
    <t>PO-003984</t>
  </si>
  <si>
    <t>PO-003985</t>
  </si>
  <si>
    <t>PO-003986</t>
  </si>
  <si>
    <t>PO-003987</t>
  </si>
  <si>
    <t>PO-003988</t>
  </si>
  <si>
    <t>PO-003989</t>
  </si>
  <si>
    <t>PO-003990</t>
  </si>
  <si>
    <t>PO-003991</t>
  </si>
  <si>
    <t>PO-003992</t>
  </si>
  <si>
    <t>PO-003993</t>
  </si>
  <si>
    <t>PO-003994</t>
  </si>
  <si>
    <t>PO-003995</t>
  </si>
  <si>
    <t>PO-003996</t>
  </si>
  <si>
    <t>PA-0000492</t>
  </si>
  <si>
    <t>PO-003997</t>
  </si>
  <si>
    <t>PO-003998</t>
  </si>
  <si>
    <t>PO-003999</t>
  </si>
  <si>
    <t>PO-004000</t>
  </si>
  <si>
    <t>PO-004001</t>
  </si>
  <si>
    <t>PO-004002</t>
  </si>
  <si>
    <t>PO-004003</t>
  </si>
  <si>
    <t>PO-004004</t>
  </si>
  <si>
    <t>PO-004005</t>
  </si>
  <si>
    <t>PO-004006</t>
  </si>
  <si>
    <t>PO-004007</t>
  </si>
  <si>
    <t>PO-004008</t>
  </si>
  <si>
    <t>PO-004009</t>
  </si>
  <si>
    <t>PO-004010</t>
  </si>
  <si>
    <t>PO-004011</t>
  </si>
  <si>
    <t>PO-004012</t>
  </si>
  <si>
    <t>PO-004013</t>
  </si>
  <si>
    <t>PO-004014</t>
  </si>
  <si>
    <t>PO-004015</t>
  </si>
  <si>
    <t>PO-004016</t>
  </si>
  <si>
    <t>PO-004017</t>
  </si>
  <si>
    <t>PO-004018</t>
  </si>
  <si>
    <t>PO-004019</t>
  </si>
  <si>
    <t>PO-004020</t>
  </si>
  <si>
    <t>PO-004021</t>
  </si>
  <si>
    <t>PO-004022</t>
  </si>
  <si>
    <t>PO-004023</t>
  </si>
  <si>
    <t>PO-004024</t>
  </si>
  <si>
    <t>PO-004025</t>
  </si>
  <si>
    <t>PO-004026</t>
  </si>
  <si>
    <t>PO-004027</t>
  </si>
  <si>
    <t>PO-004028</t>
  </si>
  <si>
    <t>PO-004029</t>
  </si>
  <si>
    <t>PO-004030</t>
  </si>
  <si>
    <t>PO-004031</t>
  </si>
  <si>
    <t>PA-0000161</t>
  </si>
  <si>
    <t>PO-004032</t>
  </si>
  <si>
    <t>PO-004033</t>
  </si>
  <si>
    <t>PO-004034</t>
  </si>
  <si>
    <t>PO-004035</t>
  </si>
  <si>
    <t>PO-004036</t>
  </si>
  <si>
    <t>PO-004037</t>
  </si>
  <si>
    <t>PO-004038</t>
  </si>
  <si>
    <t>PO-004039</t>
  </si>
  <si>
    <t>PO-004040</t>
  </si>
  <si>
    <t>PO-004041</t>
  </si>
  <si>
    <t>PO-004042</t>
  </si>
  <si>
    <t>PO-004043</t>
  </si>
  <si>
    <t>PO-004044</t>
  </si>
  <si>
    <t>PO-004045</t>
  </si>
  <si>
    <t>PO-004046</t>
  </si>
  <si>
    <t>PO-004047</t>
  </si>
  <si>
    <t>PO-004048</t>
  </si>
  <si>
    <t>PO-004049</t>
  </si>
  <si>
    <t>PO-004050</t>
  </si>
  <si>
    <t>PO-004051</t>
  </si>
  <si>
    <t>PO-004052</t>
  </si>
  <si>
    <t>PO-004053</t>
  </si>
  <si>
    <t>PO-004054</t>
  </si>
  <si>
    <t>PO-004055</t>
  </si>
  <si>
    <t>PO-004056</t>
  </si>
  <si>
    <t>PO-004057</t>
  </si>
  <si>
    <t>PO-004058</t>
  </si>
  <si>
    <t>PO-004059</t>
  </si>
  <si>
    <t>PO-004060</t>
  </si>
  <si>
    <t>PO-004061</t>
  </si>
  <si>
    <t>PO-004062</t>
  </si>
  <si>
    <t>PO-004063</t>
  </si>
  <si>
    <t>PO-004064</t>
  </si>
  <si>
    <t>PO-004065</t>
  </si>
  <si>
    <t>PO-004066</t>
  </si>
  <si>
    <t>PO-004067</t>
  </si>
  <si>
    <t>PO-004068</t>
  </si>
  <si>
    <t>PO-004069</t>
  </si>
  <si>
    <t>PO-004070</t>
  </si>
  <si>
    <t>PO-004071</t>
  </si>
  <si>
    <t>PO-004072</t>
  </si>
  <si>
    <t>PO-004073</t>
  </si>
  <si>
    <t>PO-004074</t>
  </si>
  <si>
    <t>PO-004075</t>
  </si>
  <si>
    <t>PO-004076</t>
  </si>
  <si>
    <t>PO-004077</t>
  </si>
  <si>
    <t>PO-004078</t>
  </si>
  <si>
    <t>PO-004079</t>
  </si>
  <si>
    <t>PO-004080</t>
  </si>
  <si>
    <t>PO-004081</t>
  </si>
  <si>
    <t>PO-004082</t>
  </si>
  <si>
    <t>PO-004083</t>
  </si>
  <si>
    <t>PO-004084</t>
  </si>
  <si>
    <t>PO-004085</t>
  </si>
  <si>
    <t>PO-004086</t>
  </si>
  <si>
    <t>PO-004087</t>
  </si>
  <si>
    <t>PO-004088</t>
  </si>
  <si>
    <t>PO-004089</t>
  </si>
  <si>
    <t>PO-004090</t>
  </si>
  <si>
    <t>PO-004091</t>
  </si>
  <si>
    <t>PO-004092</t>
  </si>
  <si>
    <t>PO-004093</t>
  </si>
  <si>
    <t>PO-004094</t>
  </si>
  <si>
    <t>PO-004095</t>
  </si>
  <si>
    <t>PO-004096</t>
  </si>
  <si>
    <t>PO-004097</t>
  </si>
  <si>
    <t>PO-004098</t>
  </si>
  <si>
    <t>PO-004099</t>
  </si>
  <si>
    <t>PO-004100</t>
  </si>
  <si>
    <t>PO-004101</t>
  </si>
  <si>
    <t>PO-004102</t>
  </si>
  <si>
    <t>PO-004103</t>
  </si>
  <si>
    <t>PO-004104</t>
  </si>
  <si>
    <t>PO-004105</t>
  </si>
  <si>
    <t>2025-01</t>
  </si>
  <si>
    <t>PO-004106</t>
  </si>
  <si>
    <t>PO-004107</t>
  </si>
  <si>
    <t>PO-004108</t>
  </si>
  <si>
    <t>PO-004109</t>
  </si>
  <si>
    <t>PO-004110</t>
  </si>
  <si>
    <t>PO-004111</t>
  </si>
  <si>
    <t>PO-004112</t>
  </si>
  <si>
    <t>PO-004113</t>
  </si>
  <si>
    <t>PO-004114</t>
  </si>
  <si>
    <t>PO-004115</t>
  </si>
  <si>
    <t>PO-004116</t>
  </si>
  <si>
    <t>PO-004117</t>
  </si>
  <si>
    <t>PO-004118</t>
  </si>
  <si>
    <t>PO-004119</t>
  </si>
  <si>
    <t>PO-004120</t>
  </si>
  <si>
    <t>PO-004121</t>
  </si>
  <si>
    <t>PO-004122</t>
  </si>
  <si>
    <t>PO-004123</t>
  </si>
  <si>
    <t>PO-004124</t>
  </si>
  <si>
    <t>PO-004125</t>
  </si>
  <si>
    <t>PO-004126</t>
  </si>
  <si>
    <t>PO-004127</t>
  </si>
  <si>
    <t>PO-004128</t>
  </si>
  <si>
    <t>PO-004129</t>
  </si>
  <si>
    <t>PO-004130</t>
  </si>
  <si>
    <t>PO-D00015</t>
  </si>
  <si>
    <t>PO-004131</t>
  </si>
  <si>
    <t>PO-004132</t>
  </si>
  <si>
    <t>PA-0000015</t>
  </si>
  <si>
    <t>PO-004133</t>
  </si>
  <si>
    <t>PO-004134</t>
  </si>
  <si>
    <t>PO-004135</t>
  </si>
  <si>
    <t>PO-004136</t>
  </si>
  <si>
    <t>PO-004137</t>
  </si>
  <si>
    <t>PO-004138</t>
  </si>
  <si>
    <t>PO-004139</t>
  </si>
  <si>
    <t>PO-004140</t>
  </si>
  <si>
    <t>PO-004141</t>
  </si>
  <si>
    <t>PO-004142</t>
  </si>
  <si>
    <t>PO-004143</t>
  </si>
  <si>
    <t>PO-004144</t>
  </si>
  <si>
    <t>PO-004145</t>
  </si>
  <si>
    <t>PO-004146</t>
  </si>
  <si>
    <t>PO-004147</t>
  </si>
  <si>
    <t>PO-004148</t>
  </si>
  <si>
    <t>PO-004149</t>
  </si>
  <si>
    <t>PO-004150</t>
  </si>
  <si>
    <t>PO-004151</t>
  </si>
  <si>
    <t>PO-004152</t>
  </si>
  <si>
    <t>PO-004153</t>
  </si>
  <si>
    <t>PO-004154</t>
  </si>
  <si>
    <t>PO-004155</t>
  </si>
  <si>
    <t>PO-004156</t>
  </si>
  <si>
    <t>PO-004157</t>
  </si>
  <si>
    <t>PO-004158</t>
  </si>
  <si>
    <t>PO-004159</t>
  </si>
  <si>
    <t>PO-004160</t>
  </si>
  <si>
    <t>PO-004161</t>
  </si>
  <si>
    <t>PO-004162</t>
  </si>
  <si>
    <t>PO-004163</t>
  </si>
  <si>
    <t>PO-004164</t>
  </si>
  <si>
    <t>PO-004165</t>
  </si>
  <si>
    <t>PA-0000430</t>
  </si>
  <si>
    <t>PO-004166</t>
  </si>
  <si>
    <t>PO-004167</t>
  </si>
  <si>
    <t>PO-004168</t>
  </si>
  <si>
    <t>PO-004169</t>
  </si>
  <si>
    <t>PO-004170</t>
  </si>
  <si>
    <t>PO-004171</t>
  </si>
  <si>
    <t>PO-004172</t>
  </si>
  <si>
    <t>PO-004173</t>
  </si>
  <si>
    <t>PO-004174</t>
  </si>
  <si>
    <t>PO-004175</t>
  </si>
  <si>
    <t>PO-004176</t>
  </si>
  <si>
    <t>PO-004177</t>
  </si>
  <si>
    <t>PA-0000273</t>
  </si>
  <si>
    <t>PO-004178</t>
  </si>
  <si>
    <t>PO-004179</t>
  </si>
  <si>
    <t>PA-0000499</t>
  </si>
  <si>
    <t>PO-004180</t>
  </si>
  <si>
    <t>PO-004181</t>
  </si>
  <si>
    <t>PO-004182</t>
  </si>
  <si>
    <t>PO-004183</t>
  </si>
  <si>
    <t>PO-004184</t>
  </si>
  <si>
    <t>PO-004185</t>
  </si>
  <si>
    <t>PO-004186</t>
  </si>
  <si>
    <t>PO-004187</t>
  </si>
  <si>
    <t>PO-004188</t>
  </si>
  <si>
    <t>PO-004189</t>
  </si>
  <si>
    <t>PO-004190</t>
  </si>
  <si>
    <t>PO-004191</t>
  </si>
  <si>
    <t>PA-0000261</t>
  </si>
  <si>
    <t>PO-004192</t>
  </si>
  <si>
    <t>PO-004193</t>
  </si>
  <si>
    <t>PO-004194</t>
  </si>
  <si>
    <t>PO-004195</t>
  </si>
  <si>
    <t>PO-004196</t>
  </si>
  <si>
    <t>PO-004197</t>
  </si>
  <si>
    <t>PO-004198</t>
  </si>
  <si>
    <t>PO-004199</t>
  </si>
  <si>
    <t>PO-004200</t>
  </si>
  <si>
    <t>PO-004201</t>
  </si>
  <si>
    <t>PA-0000571</t>
  </si>
  <si>
    <t>PO-004202</t>
  </si>
  <si>
    <t>PO-004203</t>
  </si>
  <si>
    <t>PO-004204</t>
  </si>
  <si>
    <t>PO-004205</t>
  </si>
  <si>
    <t>PO-004206</t>
  </si>
  <si>
    <t>PO-004207</t>
  </si>
  <si>
    <t>PO-004208</t>
  </si>
  <si>
    <t>PO-004209</t>
  </si>
  <si>
    <t>PO-004210</t>
  </si>
  <si>
    <t>PO-004211</t>
  </si>
  <si>
    <t>PO-004212</t>
  </si>
  <si>
    <t>PA-0000218</t>
  </si>
  <si>
    <t>PO-004213</t>
  </si>
  <si>
    <t>PO-004214</t>
  </si>
  <si>
    <t>PO-004215</t>
  </si>
  <si>
    <t>PO-004216</t>
  </si>
  <si>
    <t>PO-004217</t>
  </si>
  <si>
    <t>PO-004218</t>
  </si>
  <si>
    <t>PO-004219</t>
  </si>
  <si>
    <t>PO-D00016</t>
  </si>
  <si>
    <t>PO-004220</t>
  </si>
  <si>
    <t>PO-004221</t>
  </si>
  <si>
    <t>PA-0000059</t>
  </si>
  <si>
    <t>PO-004222</t>
  </si>
  <si>
    <t>PO-004223</t>
  </si>
  <si>
    <t>PO-004224</t>
  </si>
  <si>
    <t>PO-004225</t>
  </si>
  <si>
    <t>PO-004226</t>
  </si>
  <si>
    <t>PO-004227</t>
  </si>
  <si>
    <t>PO-004228</t>
  </si>
  <si>
    <t>PO-004229</t>
  </si>
  <si>
    <t>PO-004230</t>
  </si>
  <si>
    <t>PO-004231</t>
  </si>
  <si>
    <t>PO-004232</t>
  </si>
  <si>
    <t>PO-004233</t>
  </si>
  <si>
    <t>PO-004234</t>
  </si>
  <si>
    <t>PO-004235</t>
  </si>
  <si>
    <t>PA-0000423</t>
  </si>
  <si>
    <t>PO-004236</t>
  </si>
  <si>
    <t>PA-0000607</t>
  </si>
  <si>
    <t>PO-004237</t>
  </si>
  <si>
    <t>PO-004238</t>
  </si>
  <si>
    <t>PO-004239</t>
  </si>
  <si>
    <t>PO-004240</t>
  </si>
  <si>
    <t>PO-004241</t>
  </si>
  <si>
    <t>PA-0000379</t>
  </si>
  <si>
    <t>PO-004242</t>
  </si>
  <si>
    <t>PO-004243</t>
  </si>
  <si>
    <t>PO-004244</t>
  </si>
  <si>
    <t>PO-004245</t>
  </si>
  <si>
    <t>PO-004246</t>
  </si>
  <si>
    <t>PO-004247</t>
  </si>
  <si>
    <t>PO-004248</t>
  </si>
  <si>
    <t>PO-004249</t>
  </si>
  <si>
    <t>PO-004250</t>
  </si>
  <si>
    <t>PO-004251</t>
  </si>
  <si>
    <t>PA-0000279</t>
  </si>
  <si>
    <t>PO-004252</t>
  </si>
  <si>
    <t>PO-004253</t>
  </si>
  <si>
    <t>PO-004254</t>
  </si>
  <si>
    <t>PO-004255</t>
  </si>
  <si>
    <t>PO-004256</t>
  </si>
  <si>
    <t>PO-004257</t>
  </si>
  <si>
    <t>PA-0000634</t>
  </si>
  <si>
    <t>PO-004258</t>
  </si>
  <si>
    <t>PO-004259</t>
  </si>
  <si>
    <t>PO-004260</t>
  </si>
  <si>
    <t>PA-0000253</t>
  </si>
  <si>
    <t>PO-004261</t>
  </si>
  <si>
    <t>PO-004262</t>
  </si>
  <si>
    <t>PA-0000321</t>
  </si>
  <si>
    <t>PO-004263</t>
  </si>
  <si>
    <t>PO-004264</t>
  </si>
  <si>
    <t>PO-004265</t>
  </si>
  <si>
    <t>PO-004266</t>
  </si>
  <si>
    <t>PO-004267</t>
  </si>
  <si>
    <t>PO-004268</t>
  </si>
  <si>
    <t>PO-004269</t>
  </si>
  <si>
    <t>PO-004270</t>
  </si>
  <si>
    <t>PO-004271</t>
  </si>
  <si>
    <t>PO-004272</t>
  </si>
  <si>
    <t>PA-0000240</t>
  </si>
  <si>
    <t>PO-004273</t>
  </si>
  <si>
    <t>PA-0000299</t>
  </si>
  <si>
    <t>PO-004274</t>
  </si>
  <si>
    <t>PO-004275</t>
  </si>
  <si>
    <t>PO-004276</t>
  </si>
  <si>
    <t>PO-004277</t>
  </si>
  <si>
    <t>PO-004278</t>
  </si>
  <si>
    <t>PO-004279</t>
  </si>
  <si>
    <t>PO-004280</t>
  </si>
  <si>
    <t>PO-004281</t>
  </si>
  <si>
    <t>PO-004282</t>
  </si>
  <si>
    <t>PA-0000285</t>
  </si>
  <si>
    <t>PO-004283</t>
  </si>
  <si>
    <t>PO-004284</t>
  </si>
  <si>
    <t>PO-004285</t>
  </si>
  <si>
    <t>PO-004286</t>
  </si>
  <si>
    <t>PO-004287</t>
  </si>
  <si>
    <t>PO-004288</t>
  </si>
  <si>
    <t>PO-004289</t>
  </si>
  <si>
    <t>PO-004290</t>
  </si>
  <si>
    <t>PO-004291</t>
  </si>
  <si>
    <t>PO-004292</t>
  </si>
  <si>
    <t>PO-004293</t>
  </si>
  <si>
    <t>PO-004294</t>
  </si>
  <si>
    <t>PO-004295</t>
  </si>
  <si>
    <t>PA-0000448</t>
  </si>
  <si>
    <t>PO-004296</t>
  </si>
  <si>
    <t>2025-02</t>
  </si>
  <si>
    <t>PO-004297</t>
  </si>
  <si>
    <t>PO-004298</t>
  </si>
  <si>
    <t>PO-004299</t>
  </si>
  <si>
    <t>PO-004300</t>
  </si>
  <si>
    <t>PA-0000385</t>
  </si>
  <si>
    <t>PO-004301</t>
  </si>
  <si>
    <t>PO-004302</t>
  </si>
  <si>
    <t>PO-004303</t>
  </si>
  <si>
    <t>PO-004304</t>
  </si>
  <si>
    <t>PO-004305</t>
  </si>
  <si>
    <t>PO-004306</t>
  </si>
  <si>
    <t>PO-004307</t>
  </si>
  <si>
    <t>PO-004308</t>
  </si>
  <si>
    <t>PO-004309</t>
  </si>
  <si>
    <t>PO-004310</t>
  </si>
  <si>
    <t>PO-004311</t>
  </si>
  <si>
    <t>PO-004312</t>
  </si>
  <si>
    <t>PO-004313</t>
  </si>
  <si>
    <t>PO-004314</t>
  </si>
  <si>
    <t>PO-004315</t>
  </si>
  <si>
    <t>PO-004316</t>
  </si>
  <si>
    <t>PA-0000145</t>
  </si>
  <si>
    <t>PO-004317</t>
  </si>
  <si>
    <t>PO-004318</t>
  </si>
  <si>
    <t>PO-004319</t>
  </si>
  <si>
    <t>PO-004320</t>
  </si>
  <si>
    <t>PO-004321</t>
  </si>
  <si>
    <t>PO-004322</t>
  </si>
  <si>
    <t>PO-004323</t>
  </si>
  <si>
    <t>PO-004324</t>
  </si>
  <si>
    <t>PO-004325</t>
  </si>
  <si>
    <t>PO-004326</t>
  </si>
  <si>
    <t>PO-004327</t>
  </si>
  <si>
    <t>PO-004328</t>
  </si>
  <si>
    <t>PO-004329</t>
  </si>
  <si>
    <t>PO-004330</t>
  </si>
  <si>
    <t>PO-004331</t>
  </si>
  <si>
    <t>PO-004332</t>
  </si>
  <si>
    <t>PO-004333</t>
  </si>
  <si>
    <t>PO-D00017</t>
  </si>
  <si>
    <t>PO-004334</t>
  </si>
  <si>
    <t>PO-004335</t>
  </si>
  <si>
    <t>PA-0000062</t>
  </si>
  <si>
    <t>PO-004336</t>
  </si>
  <si>
    <t>PO-004337</t>
  </si>
  <si>
    <t>PO-004338</t>
  </si>
  <si>
    <t>PO-004339</t>
  </si>
  <si>
    <t>PO-004340</t>
  </si>
  <si>
    <t>PO-004341</t>
  </si>
  <si>
    <t>PO-004342</t>
  </si>
  <si>
    <t>PO-004343</t>
  </si>
  <si>
    <t>PO-004344</t>
  </si>
  <si>
    <t>PO-004345</t>
  </si>
  <si>
    <t>PO-004346</t>
  </si>
  <si>
    <t>PO-004347</t>
  </si>
  <si>
    <t>PO-004348</t>
  </si>
  <si>
    <t>PO-004349</t>
  </si>
  <si>
    <t>PO-004350</t>
  </si>
  <si>
    <t>PO-004351</t>
  </si>
  <si>
    <t>PA-0000324</t>
  </si>
  <si>
    <t>PO-004352</t>
  </si>
  <si>
    <t>PO-004353</t>
  </si>
  <si>
    <t>PO-004354</t>
  </si>
  <si>
    <t>PA-0000620</t>
  </si>
  <si>
    <t>PO-004355</t>
  </si>
  <si>
    <t>PO-004356</t>
  </si>
  <si>
    <t>PO-004357</t>
  </si>
  <si>
    <t>PO-004358</t>
  </si>
  <si>
    <t>PO-004359</t>
  </si>
  <si>
    <t>PO-004360</t>
  </si>
  <si>
    <t>PO-004361</t>
  </si>
  <si>
    <t>PO-004362</t>
  </si>
  <si>
    <t>PO-004363</t>
  </si>
  <si>
    <t>PO-004364</t>
  </si>
  <si>
    <t>PO-004365</t>
  </si>
  <si>
    <t>PA-0000433</t>
  </si>
  <si>
    <t>PO-004366</t>
  </si>
  <si>
    <t>PO-004367</t>
  </si>
  <si>
    <t>PO-004368</t>
  </si>
  <si>
    <t>PO-004369</t>
  </si>
  <si>
    <t>PO-004370</t>
  </si>
  <si>
    <t>PO-004371</t>
  </si>
  <si>
    <t>PO-004372</t>
  </si>
  <si>
    <t>PO-004373</t>
  </si>
  <si>
    <t>PO-004374</t>
  </si>
  <si>
    <t>PO-004375</t>
  </si>
  <si>
    <t>PO-004376</t>
  </si>
  <si>
    <t>PO-004377</t>
  </si>
  <si>
    <t>PO-004378</t>
  </si>
  <si>
    <t>PO-004379</t>
  </si>
  <si>
    <t>PO-004380</t>
  </si>
  <si>
    <t>PO-004381</t>
  </si>
  <si>
    <t>PO-004382</t>
  </si>
  <si>
    <t>PA-0000080</t>
  </si>
  <si>
    <t>PO-004383</t>
  </si>
  <si>
    <t>PO-004384</t>
  </si>
  <si>
    <t>PA-0000191</t>
  </si>
  <si>
    <t>PO-004385</t>
  </si>
  <si>
    <t>PO-004386</t>
  </si>
  <si>
    <t>PO-004387</t>
  </si>
  <si>
    <t>PO-004388</t>
  </si>
  <si>
    <t>PO-004389</t>
  </si>
  <si>
    <t>PO-004390</t>
  </si>
  <si>
    <t>PO-004391</t>
  </si>
  <si>
    <t>PO-004392</t>
  </si>
  <si>
    <t>PO-004393</t>
  </si>
  <si>
    <t>PO-004394</t>
  </si>
  <si>
    <t>PO-004395</t>
  </si>
  <si>
    <t>PO-004396</t>
  </si>
  <si>
    <t>PO-004397</t>
  </si>
  <si>
    <t>PO-004398</t>
  </si>
  <si>
    <t>PO-004399</t>
  </si>
  <si>
    <t>PA-0000640</t>
  </si>
  <si>
    <t>PO-004400</t>
  </si>
  <si>
    <t>PO-004401</t>
  </si>
  <si>
    <t>PO-004402</t>
  </si>
  <si>
    <t>PO-004403</t>
  </si>
  <si>
    <t>PO-004404</t>
  </si>
  <si>
    <t>PO-004405</t>
  </si>
  <si>
    <t>PO-004406</t>
  </si>
  <si>
    <t>PO-004407</t>
  </si>
  <si>
    <t>PO-004408</t>
  </si>
  <si>
    <t>PO-004409</t>
  </si>
  <si>
    <t>PO-004410</t>
  </si>
  <si>
    <t>PO-004411</t>
  </si>
  <si>
    <t>PO-004412</t>
  </si>
  <si>
    <t>PO-004413</t>
  </si>
  <si>
    <t>PO-004414</t>
  </si>
  <si>
    <t>PO-004415</t>
  </si>
  <si>
    <t>PA-0000029</t>
  </si>
  <si>
    <t>PO-004416</t>
  </si>
  <si>
    <t>PO-004417</t>
  </si>
  <si>
    <t>PO-004418</t>
  </si>
  <si>
    <t>PA-0000351</t>
  </si>
  <si>
    <t>PO-004419</t>
  </si>
  <si>
    <t>PA-0000364</t>
  </si>
  <si>
    <t>PO-004420</t>
  </si>
  <si>
    <t>PO-004421</t>
  </si>
  <si>
    <t>PO-004422</t>
  </si>
  <si>
    <t>PO-004423</t>
  </si>
  <si>
    <t>PO-004424</t>
  </si>
  <si>
    <t>PO-004425</t>
  </si>
  <si>
    <t>PO-D00018</t>
  </si>
  <si>
    <t>PO-004426</t>
  </si>
  <si>
    <t>PO-004427</t>
  </si>
  <si>
    <t>PA-0000282</t>
  </si>
  <si>
    <t>PO-004428</t>
  </si>
  <si>
    <t>PO-004429</t>
  </si>
  <si>
    <t>PO-004430</t>
  </si>
  <si>
    <t>PA-0000426</t>
  </si>
  <si>
    <t>PO-004431</t>
  </si>
  <si>
    <t>PO-004432</t>
  </si>
  <si>
    <t>PO-004433</t>
  </si>
  <si>
    <t>PO-004434</t>
  </si>
  <si>
    <t>PO-004435</t>
  </si>
  <si>
    <t>PO-004436</t>
  </si>
  <si>
    <t>PO-004437</t>
  </si>
  <si>
    <t>PO-004438</t>
  </si>
  <si>
    <t>PO-004439</t>
  </si>
  <si>
    <t>PO-004440</t>
  </si>
  <si>
    <t>PO-004441</t>
  </si>
  <si>
    <t>PO-004442</t>
  </si>
  <si>
    <t>PO-004443</t>
  </si>
  <si>
    <t>PA-0000116</t>
  </si>
  <si>
    <t>PO-004444</t>
  </si>
  <si>
    <t>PO-004445</t>
  </si>
  <si>
    <t>PA-0000159</t>
  </si>
  <si>
    <t>PO-004446</t>
  </si>
  <si>
    <t>PO-004447</t>
  </si>
  <si>
    <t>PO-004448</t>
  </si>
  <si>
    <t>PO-004449</t>
  </si>
  <si>
    <t>PO-004450</t>
  </si>
  <si>
    <t>PO-004451</t>
  </si>
  <si>
    <t>PO-004452</t>
  </si>
  <si>
    <t>PO-004453</t>
  </si>
  <si>
    <t>PA-0000646</t>
  </si>
  <si>
    <t>PO-004454</t>
  </si>
  <si>
    <t>PO-004455</t>
  </si>
  <si>
    <t>PO-004456</t>
  </si>
  <si>
    <t>PO-004457</t>
  </si>
  <si>
    <t>PO-004458</t>
  </si>
  <si>
    <t>PA-0000548</t>
  </si>
  <si>
    <t>PO-004459</t>
  </si>
  <si>
    <t>PO-004460</t>
  </si>
  <si>
    <t>PA-0000574</t>
  </si>
  <si>
    <t>PO-004461</t>
  </si>
  <si>
    <t>PO-004462</t>
  </si>
  <si>
    <t>PO-004463</t>
  </si>
  <si>
    <t>PA-0000034</t>
  </si>
  <si>
    <t>PO-004464</t>
  </si>
  <si>
    <t>PO-004465</t>
  </si>
  <si>
    <t>PA-0000124</t>
  </si>
  <si>
    <t>PO-004466</t>
  </si>
  <si>
    <t>PO-004467</t>
  </si>
  <si>
    <t>PO-004468</t>
  </si>
  <si>
    <t>PA-0000409</t>
  </si>
  <si>
    <t>PO-004469</t>
  </si>
  <si>
    <t>PO-004470</t>
  </si>
  <si>
    <t>PO-004471</t>
  </si>
  <si>
    <t>PO-004472</t>
  </si>
  <si>
    <t>2025-03</t>
  </si>
  <si>
    <t>PO-004473</t>
  </si>
  <si>
    <t>PO-004474</t>
  </si>
  <si>
    <t>PO-004475</t>
  </si>
  <si>
    <t>PO-004476</t>
  </si>
  <si>
    <t>PO-004477</t>
  </si>
  <si>
    <t>PO-004478</t>
  </si>
  <si>
    <t>PO-004479</t>
  </si>
  <si>
    <t>PO-004480</t>
  </si>
  <si>
    <t>PO-004481</t>
  </si>
  <si>
    <t>PO-004482</t>
  </si>
  <si>
    <t>PO-004483</t>
  </si>
  <si>
    <t>PO-004484</t>
  </si>
  <si>
    <t>PO-004485</t>
  </si>
  <si>
    <t>PO-004486</t>
  </si>
  <si>
    <t>PO-004487</t>
  </si>
  <si>
    <t>PO-004488</t>
  </si>
  <si>
    <t>PA-0000224</t>
  </si>
  <si>
    <t>PO-004489</t>
  </si>
  <si>
    <t>PA-0000276</t>
  </si>
  <si>
    <t>PO-004490</t>
  </si>
  <si>
    <t>PO-004491</t>
  </si>
  <si>
    <t>PO-004492</t>
  </si>
  <si>
    <t>PO-004493</t>
  </si>
  <si>
    <t>PO-004494</t>
  </si>
  <si>
    <t>PO-004495</t>
  </si>
  <si>
    <t>PO-004496</t>
  </si>
  <si>
    <t>PO-004497</t>
  </si>
  <si>
    <t>PO-004498</t>
  </si>
  <si>
    <t>PA-0000212</t>
  </si>
  <si>
    <t>PO-004499</t>
  </si>
  <si>
    <t>PO-004500</t>
  </si>
  <si>
    <t>PO-004501</t>
  </si>
  <si>
    <t>PO-004502</t>
  </si>
  <si>
    <t>PO-004503</t>
  </si>
  <si>
    <t>PO-004504</t>
  </si>
  <si>
    <t>PO-004505</t>
  </si>
  <si>
    <t>PO-004506</t>
  </si>
  <si>
    <t>PO-004507</t>
  </si>
  <si>
    <t>PO-004508</t>
  </si>
  <si>
    <t>PA-0000581</t>
  </si>
  <si>
    <t>PO-004509</t>
  </si>
  <si>
    <t>PA-0000041</t>
  </si>
  <si>
    <t>PO-004510</t>
  </si>
  <si>
    <t>PA-0000077</t>
  </si>
  <si>
    <t>PO-004511</t>
  </si>
  <si>
    <t>PO-004512</t>
  </si>
  <si>
    <t>PO-004513</t>
  </si>
  <si>
    <t>PO-004514</t>
  </si>
  <si>
    <t>PO-004515</t>
  </si>
  <si>
    <t>PA-0000342</t>
  </si>
  <si>
    <t>PO-004516</t>
  </si>
  <si>
    <t>PO-004517</t>
  </si>
  <si>
    <t>PO-004518</t>
  </si>
  <si>
    <t>PO-004519</t>
  </si>
  <si>
    <t>PO-004520</t>
  </si>
  <si>
    <t>PO-004521</t>
  </si>
  <si>
    <t>PA-0000024</t>
  </si>
  <si>
    <t>PO-004522</t>
  </si>
  <si>
    <t>PO-004523</t>
  </si>
  <si>
    <t>PO-004524</t>
  </si>
  <si>
    <t>PA-0000127</t>
  </si>
  <si>
    <t>PO-004525</t>
  </si>
  <si>
    <t>PO-004526</t>
  </si>
  <si>
    <t>PO-004527</t>
  </si>
  <si>
    <t>PO-004528</t>
  </si>
  <si>
    <t>PA-0000463</t>
  </si>
  <si>
    <t>PO-004529</t>
  </si>
  <si>
    <t>PO-004530</t>
  </si>
  <si>
    <t>PO-004531</t>
  </si>
  <si>
    <t>PO-004532</t>
  </si>
  <si>
    <t>PO-004533</t>
  </si>
  <si>
    <t>PA-0000484</t>
  </si>
  <si>
    <t>PO-004534</t>
  </si>
  <si>
    <t>PO-004535</t>
  </si>
  <si>
    <t>PO-004536</t>
  </si>
  <si>
    <t>PO-004537</t>
  </si>
  <si>
    <t>PA-0000184</t>
  </si>
  <si>
    <t>PO-004538</t>
  </si>
  <si>
    <t>PO-004539</t>
  </si>
  <si>
    <t>PA-0000233</t>
  </si>
  <si>
    <t>PO-004540</t>
  </si>
  <si>
    <t>PO-004541</t>
  </si>
  <si>
    <t>PA-0000318</t>
  </si>
  <si>
    <t>PO-004542</t>
  </si>
  <si>
    <t>PO-004543</t>
  </si>
  <si>
    <t>PA-0000466</t>
  </si>
  <si>
    <t>PO-004544</t>
  </si>
  <si>
    <t>PO-004545</t>
  </si>
  <si>
    <t>PA-0000598</t>
  </si>
  <si>
    <t>PO-004546</t>
  </si>
  <si>
    <t>PO-004547</t>
  </si>
  <si>
    <t>PA-0000113</t>
  </si>
  <si>
    <t>PO-004548</t>
  </si>
  <si>
    <t>PO-004549</t>
  </si>
  <si>
    <t>PO-004550</t>
  </si>
  <si>
    <t>PO-004551</t>
  </si>
  <si>
    <t>PO-004552</t>
  </si>
  <si>
    <t>PO-004553</t>
  </si>
  <si>
    <t>PO-004554</t>
  </si>
  <si>
    <t>PO-004555</t>
  </si>
  <si>
    <t>PO-004556</t>
  </si>
  <si>
    <t>PO-004557</t>
  </si>
  <si>
    <t>PO-004558</t>
  </si>
  <si>
    <t>PO-004559</t>
  </si>
  <si>
    <t>PO-004560</t>
  </si>
  <si>
    <t>PO-004561</t>
  </si>
  <si>
    <t>PO-004562</t>
  </si>
  <si>
    <t>PO-004563</t>
  </si>
  <si>
    <t>PO-004564</t>
  </si>
  <si>
    <t>PA-0000083</t>
  </si>
  <si>
    <t>PO-004565</t>
  </si>
  <si>
    <t>PA-0000136</t>
  </si>
  <si>
    <t>PO-004566</t>
  </si>
  <si>
    <t>PO-004567</t>
  </si>
  <si>
    <t>PO-004568</t>
  </si>
  <si>
    <t>PA-0000188</t>
  </si>
  <si>
    <t>PO-004569</t>
  </si>
  <si>
    <t>PO-004570</t>
  </si>
  <si>
    <t>PO-004571</t>
  </si>
  <si>
    <t>PO-004572</t>
  </si>
  <si>
    <t>PO-004573</t>
  </si>
  <si>
    <t>PO-004574</t>
  </si>
  <si>
    <t>PO-004575</t>
  </si>
  <si>
    <t>PO-004576</t>
  </si>
  <si>
    <t>PO-004577</t>
  </si>
  <si>
    <t>PO-004578</t>
  </si>
  <si>
    <t>PO-004579</t>
  </si>
  <si>
    <t>PO-004580</t>
  </si>
  <si>
    <t>PO-004581</t>
  </si>
  <si>
    <t>PA-0000418</t>
  </si>
  <si>
    <t>PO-004582</t>
  </si>
  <si>
    <t>PO-004583</t>
  </si>
  <si>
    <t>PO-004584</t>
  </si>
  <si>
    <t>PO-004585</t>
  </si>
  <si>
    <t>PO-004586</t>
  </si>
  <si>
    <t>PO-004587</t>
  </si>
  <si>
    <t>PO-004588</t>
  </si>
  <si>
    <t>PO-004589</t>
  </si>
  <si>
    <t>PO-004590</t>
  </si>
  <si>
    <t>PO-004591</t>
  </si>
  <si>
    <t>PO-004592</t>
  </si>
  <si>
    <t>PO-004593</t>
  </si>
  <si>
    <t>PO-004594</t>
  </si>
  <si>
    <t>PO-004595</t>
  </si>
  <si>
    <t>PO-004596</t>
  </si>
  <si>
    <t>PO-004597</t>
  </si>
  <si>
    <t>PA-0000119</t>
  </si>
  <si>
    <t>PO-004598</t>
  </si>
  <si>
    <t>PO-004599</t>
  </si>
  <si>
    <t>PO-004600</t>
  </si>
  <si>
    <t>PO-004601</t>
  </si>
  <si>
    <t>PA-0000357</t>
  </si>
  <si>
    <t>PO-004602</t>
  </si>
  <si>
    <t>PO-004603</t>
  </si>
  <si>
    <t>PO-004604</t>
  </si>
  <si>
    <t>PO-004605</t>
  </si>
  <si>
    <t>PO-004606</t>
  </si>
  <si>
    <t>PA-0000269</t>
  </si>
  <si>
    <t>PO-004607</t>
  </si>
  <si>
    <t>PO-004608</t>
  </si>
  <si>
    <t>PA-0000460</t>
  </si>
  <si>
    <t>PO-004609</t>
  </si>
  <si>
    <t>PO-004610</t>
  </si>
  <si>
    <t>PO-004611</t>
  </si>
  <si>
    <t>PO-004612</t>
  </si>
  <si>
    <t>PO-004613</t>
  </si>
  <si>
    <t>PA-0000174</t>
  </si>
  <si>
    <t>PO-004614</t>
  </si>
  <si>
    <t>PO-004615</t>
  </si>
  <si>
    <t>PO-004616</t>
  </si>
  <si>
    <t>PO-004617</t>
  </si>
  <si>
    <t>PO-004618</t>
  </si>
  <si>
    <t>PO-004619</t>
  </si>
  <si>
    <t>PO-004620</t>
  </si>
  <si>
    <t>PO-004621</t>
  </si>
  <si>
    <t>PO-004622</t>
  </si>
  <si>
    <t>PO-004623</t>
  </si>
  <si>
    <t>PO-004624</t>
  </si>
  <si>
    <t>PO-004625</t>
  </si>
  <si>
    <t>PO-004626</t>
  </si>
  <si>
    <t>PO-004627</t>
  </si>
  <si>
    <t>PO-004628</t>
  </si>
  <si>
    <t>PO-004629</t>
  </si>
  <si>
    <t>PO-004630</t>
  </si>
  <si>
    <t>PO-004631</t>
  </si>
  <si>
    <t>PO-004632</t>
  </si>
  <si>
    <t>PA-0000331</t>
  </si>
  <si>
    <t>PO-004633</t>
  </si>
  <si>
    <t>PO-004634</t>
  </si>
  <si>
    <t>PO-004635</t>
  </si>
  <si>
    <t>PA-0000021</t>
  </si>
  <si>
    <t>PO-004636</t>
  </si>
  <si>
    <t>PO-004637</t>
  </si>
  <si>
    <t>PO-004638</t>
  </si>
  <si>
    <t>PO-004639</t>
  </si>
  <si>
    <t>PO-004640</t>
  </si>
  <si>
    <t>PA-0000535</t>
  </si>
  <si>
    <t>PO-004641</t>
  </si>
  <si>
    <t>2025-04</t>
  </si>
  <si>
    <t>PO-004642</t>
  </si>
  <si>
    <t>PA-0000071</t>
  </si>
  <si>
    <t>PO-004643</t>
  </si>
  <si>
    <t>PO-004644</t>
  </si>
  <si>
    <t>PO-004645</t>
  </si>
  <si>
    <t>PO-004646</t>
  </si>
  <si>
    <t>PO-004647</t>
  </si>
  <si>
    <t>PO-004648</t>
  </si>
  <si>
    <t>PO-004649</t>
  </si>
  <si>
    <t>PO-004650</t>
  </si>
  <si>
    <t>PO-004651</t>
  </si>
  <si>
    <t>PO-004652</t>
  </si>
  <si>
    <t>PO-004653</t>
  </si>
  <si>
    <t>PO-004654</t>
  </si>
  <si>
    <t>PO-004655</t>
  </si>
  <si>
    <t>PA-0000487</t>
  </si>
  <si>
    <t>PO-004656</t>
  </si>
  <si>
    <t>PO-004657</t>
  </si>
  <si>
    <t>PO-004658</t>
  </si>
  <si>
    <t>PO-004659</t>
  </si>
  <si>
    <t>PO-004660</t>
  </si>
  <si>
    <t>PO-004661</t>
  </si>
  <si>
    <t>PO-004662</t>
  </si>
  <si>
    <t>PO-004663</t>
  </si>
  <si>
    <t>PA-0000601</t>
  </si>
  <si>
    <t>PO-004664</t>
  </si>
  <si>
    <t>PO-004665</t>
  </si>
  <si>
    <t>PO-004666</t>
  </si>
  <si>
    <t>PO-004667</t>
  </si>
  <si>
    <t>PO-004668</t>
  </si>
  <si>
    <t>PO-004669</t>
  </si>
  <si>
    <t>PO-004670</t>
  </si>
  <si>
    <t>PO-004671</t>
  </si>
  <si>
    <t>PO-004672</t>
  </si>
  <si>
    <t>PO-004673</t>
  </si>
  <si>
    <t>PO-004674</t>
  </si>
  <si>
    <t>PO-004675</t>
  </si>
  <si>
    <t>PO-004676</t>
  </si>
  <si>
    <t>PO-004677</t>
  </si>
  <si>
    <t>PO-004678</t>
  </si>
  <si>
    <t>PO-004679</t>
  </si>
  <si>
    <t>PO-004680</t>
  </si>
  <si>
    <t>PO-004681</t>
  </si>
  <si>
    <t>PA-0000505</t>
  </si>
  <si>
    <t>PO-004682</t>
  </si>
  <si>
    <t>PA-0000527</t>
  </si>
  <si>
    <t>PO-004683</t>
  </si>
  <si>
    <t>PO-004684</t>
  </si>
  <si>
    <t>PO-004685</t>
  </si>
  <si>
    <t>PO-004686</t>
  </si>
  <si>
    <t>PA-0000086</t>
  </si>
  <si>
    <t>PO-004687</t>
  </si>
  <si>
    <t>PO-004688</t>
  </si>
  <si>
    <t>PA-0000154</t>
  </si>
  <si>
    <t>PO-004689</t>
  </si>
  <si>
    <t>PA-0000196</t>
  </si>
  <si>
    <t>PO-004690</t>
  </si>
  <si>
    <t>PO-004691</t>
  </si>
  <si>
    <t>PO-004692</t>
  </si>
  <si>
    <t>PO-004693</t>
  </si>
  <si>
    <t>PA-0000204</t>
  </si>
  <si>
    <t>PO-004694</t>
  </si>
  <si>
    <t>PO-004695</t>
  </si>
  <si>
    <t>PO-004696</t>
  </si>
  <si>
    <t>PO-004697</t>
  </si>
  <si>
    <t>PO-004698</t>
  </si>
  <si>
    <t>PA-0000552</t>
  </si>
  <si>
    <t>PO-004699</t>
  </si>
  <si>
    <t>PA-0000623</t>
  </si>
  <si>
    <t>PO-004700</t>
  </si>
  <si>
    <t>PA-0000626</t>
  </si>
  <si>
    <t>PO-004701</t>
  </si>
  <si>
    <t>PA-0000027</t>
  </si>
  <si>
    <t>PO-004702</t>
  </si>
  <si>
    <t>PA-0000074</t>
  </si>
  <si>
    <t>PO-004703</t>
  </si>
  <si>
    <t>PO-004704</t>
  </si>
  <si>
    <t>PO-004705</t>
  </si>
  <si>
    <t>PO-004706</t>
  </si>
  <si>
    <t>PO-004707</t>
  </si>
  <si>
    <t>PO-004708</t>
  </si>
  <si>
    <t>PO-004709</t>
  </si>
  <si>
    <t>PO-004710</t>
  </si>
  <si>
    <t>PO-004711</t>
  </si>
  <si>
    <t>PA-0000230</t>
  </si>
  <si>
    <t>PO-004712</t>
  </si>
  <si>
    <t>PO-004713</t>
  </si>
  <si>
    <t>PO-004714</t>
  </si>
  <si>
    <t>PO-004715</t>
  </si>
  <si>
    <t>PO-004716</t>
  </si>
  <si>
    <t>PA-0000258</t>
  </si>
  <si>
    <t>PO-004717</t>
  </si>
  <si>
    <t>PO-004718</t>
  </si>
  <si>
    <t>PO-004719</t>
  </si>
  <si>
    <t>PO-004720</t>
  </si>
  <si>
    <t>PO-004721</t>
  </si>
  <si>
    <t>PO-004722</t>
  </si>
  <si>
    <t>PO-004723</t>
  </si>
  <si>
    <t>PO-004724</t>
  </si>
  <si>
    <t>PA-0000399</t>
  </si>
  <si>
    <t>PO-004725</t>
  </si>
  <si>
    <t>PO-004726</t>
  </si>
  <si>
    <t>PA-0000454</t>
  </si>
  <si>
    <t>PO-004727</t>
  </si>
  <si>
    <t>PO-004728</t>
  </si>
  <si>
    <t>PO-004729</t>
  </si>
  <si>
    <t>PO-004730</t>
  </si>
  <si>
    <t>PO-004731</t>
  </si>
  <si>
    <t>PO-004732</t>
  </si>
  <si>
    <t>PO-004733</t>
  </si>
  <si>
    <t>PA-0000360</t>
  </si>
  <si>
    <t>PO-004734</t>
  </si>
  <si>
    <t>PO-004735</t>
  </si>
  <si>
    <t>PA-0000437</t>
  </si>
  <si>
    <t>PO-004736</t>
  </si>
  <si>
    <t>PO-004737</t>
  </si>
  <si>
    <t>PO-004738</t>
  </si>
  <si>
    <t>PO-004739</t>
  </si>
  <si>
    <t>PO-004740</t>
  </si>
  <si>
    <t>PA-0000208</t>
  </si>
  <si>
    <t>PO-004741</t>
  </si>
  <si>
    <t>PA-0000247</t>
  </si>
  <si>
    <t>PO-004742</t>
  </si>
  <si>
    <t>PO-004743</t>
  </si>
  <si>
    <t>PA-0000348</t>
  </si>
  <si>
    <t>PO-004744</t>
  </si>
  <si>
    <t>PO-004745</t>
  </si>
  <si>
    <t>PO-004746</t>
  </si>
  <si>
    <t>PA-0000542</t>
  </si>
  <si>
    <t>PO-004747</t>
  </si>
  <si>
    <t>PO-004748</t>
  </si>
  <si>
    <t>PO-004749</t>
  </si>
  <si>
    <t>PO-004750</t>
  </si>
  <si>
    <t>PO-004751</t>
  </si>
  <si>
    <t>PA-0000415</t>
  </si>
  <si>
    <t>PO-004752</t>
  </si>
  <si>
    <t>PO-004753</t>
  </si>
  <si>
    <t>PA-0000101</t>
  </si>
  <si>
    <t>PO-004754</t>
  </si>
  <si>
    <t>PA-0000250</t>
  </si>
  <si>
    <t>PO-004755</t>
  </si>
  <si>
    <t>PO-004756</t>
  </si>
  <si>
    <t>PO-004757</t>
  </si>
  <si>
    <t>PO-004758</t>
  </si>
  <si>
    <t>PO-004759</t>
  </si>
  <si>
    <t>PO-004760</t>
  </si>
  <si>
    <t>PO-004761</t>
  </si>
  <si>
    <t>PA-0000649</t>
  </si>
  <si>
    <t>PO-004762</t>
  </si>
  <si>
    <t>PA-0000047</t>
  </si>
  <si>
    <t>PO-004763</t>
  </si>
  <si>
    <t>PO-004764</t>
  </si>
  <si>
    <t>PO-004765</t>
  </si>
  <si>
    <t>PO-004766</t>
  </si>
  <si>
    <t>PO-004767</t>
  </si>
  <si>
    <t>PO-004768</t>
  </si>
  <si>
    <t>PA-0000305</t>
  </si>
  <si>
    <t>PO-004769</t>
  </si>
  <si>
    <t>PO-004770</t>
  </si>
  <si>
    <t>PA-0000370</t>
  </si>
  <si>
    <t>PO-004771</t>
  </si>
  <si>
    <t>PO-004772</t>
  </si>
  <si>
    <t>PO-004773</t>
  </si>
  <si>
    <t>PA-0000604</t>
  </si>
  <si>
    <t>PO-004774</t>
  </si>
  <si>
    <t>PO-004775</t>
  </si>
  <si>
    <t>PA-0000030</t>
  </si>
  <si>
    <t>PO-004776</t>
  </si>
  <si>
    <t>PO-004777</t>
  </si>
  <si>
    <t>PO-004778</t>
  </si>
  <si>
    <t>PA-0000336</t>
  </si>
  <si>
    <t>PO-004779</t>
  </si>
  <si>
    <t>PO-004780</t>
  </si>
  <si>
    <t>PO-004781</t>
  </si>
  <si>
    <t>PA-0000478</t>
  </si>
  <si>
    <t>PO-004782</t>
  </si>
  <si>
    <t>PA-0000508</t>
  </si>
  <si>
    <t>PO-004783</t>
  </si>
  <si>
    <t>PO-004784</t>
  </si>
  <si>
    <t>PO-004785</t>
  </si>
  <si>
    <t>PO-004786</t>
  </si>
  <si>
    <t>PO-004787</t>
  </si>
  <si>
    <t>PO-004788</t>
  </si>
  <si>
    <t>PO-004789</t>
  </si>
  <si>
    <t>PO-004790</t>
  </si>
  <si>
    <t>PO-004791</t>
  </si>
  <si>
    <t>PA-0000367</t>
  </si>
  <si>
    <t>PO-004792</t>
  </si>
  <si>
    <t>PO-004793</t>
  </si>
  <si>
    <t>PA-0000457</t>
  </si>
  <si>
    <t>PO-004794</t>
  </si>
  <si>
    <t>PO-004795</t>
  </si>
  <si>
    <t>PA-0000611</t>
  </si>
  <si>
    <t>PO-004796</t>
  </si>
  <si>
    <t>PO-D00019</t>
  </si>
  <si>
    <t>PO-004797</t>
  </si>
  <si>
    <t>PO-004798</t>
  </si>
  <si>
    <t>PO-004799</t>
  </si>
  <si>
    <t>PO-004800</t>
  </si>
  <si>
    <t>PO-004801</t>
  </si>
  <si>
    <t>PO-004802</t>
  </si>
  <si>
    <t>PO-004803</t>
  </si>
  <si>
    <t>PA-0000539</t>
  </si>
  <si>
    <t>PO-004804</t>
  </si>
  <si>
    <t>PO-004805</t>
  </si>
  <si>
    <t>PO-004806</t>
  </si>
  <si>
    <t>PO-004807</t>
  </si>
  <si>
    <t>PO-004808</t>
  </si>
  <si>
    <t>PO-004809</t>
  </si>
  <si>
    <t>PO-004810</t>
  </si>
  <si>
    <t>PO-004811</t>
  </si>
  <si>
    <t>PA-0000290</t>
  </si>
  <si>
    <t>PO-004812</t>
  </si>
  <si>
    <t>PO-004813</t>
  </si>
  <si>
    <t>PO-004814</t>
  </si>
  <si>
    <t>PO-004815</t>
  </si>
  <si>
    <t>PO-004816</t>
  </si>
  <si>
    <t>PO-004817</t>
  </si>
  <si>
    <t>PO-004818</t>
  </si>
  <si>
    <t>PO-004819</t>
  </si>
  <si>
    <t>PA-0000354</t>
  </si>
  <si>
    <t>PO-004820</t>
  </si>
  <si>
    <t>PA-0000376</t>
  </si>
  <si>
    <t>PO-004821</t>
  </si>
  <si>
    <t>PO-004822</t>
  </si>
  <si>
    <t>2025-05</t>
  </si>
  <si>
    <t>PO-004823</t>
  </si>
  <si>
    <t>PO-004824</t>
  </si>
  <si>
    <t>PO-004825</t>
  </si>
  <si>
    <t>PO-004826</t>
  </si>
  <si>
    <t>PO-004827</t>
  </si>
  <si>
    <t>PO-004828</t>
  </si>
  <si>
    <t>PO-004829</t>
  </si>
  <si>
    <t>PO-004830</t>
  </si>
  <si>
    <t>PA-0000008</t>
  </si>
  <si>
    <t>PO-004831</t>
  </si>
  <si>
    <t>PO-004832</t>
  </si>
  <si>
    <t>PO-004833</t>
  </si>
  <si>
    <t>PO-004834</t>
  </si>
  <si>
    <t>PO-004835</t>
  </si>
  <si>
    <t>PO-004836</t>
  </si>
  <si>
    <t>PA-0000518</t>
  </si>
  <si>
    <t>PO-004837</t>
  </si>
  <si>
    <t>PO-004838</t>
  </si>
  <si>
    <t>PA-0000011</t>
  </si>
  <si>
    <t>PO-004839</t>
  </si>
  <si>
    <t>PO-004840</t>
  </si>
  <si>
    <t>PA-0000104</t>
  </si>
  <si>
    <t>PO-004841</t>
  </si>
  <si>
    <t>PO-004842</t>
  </si>
  <si>
    <t>PA-0000168</t>
  </si>
  <si>
    <t>PO-004843</t>
  </si>
  <si>
    <t>PO-004844</t>
  </si>
  <si>
    <t>PO-004845</t>
  </si>
  <si>
    <t>PA-0000595</t>
  </si>
  <si>
    <t>PO-004846</t>
  </si>
  <si>
    <t>PO-004847</t>
  </si>
  <si>
    <t>PO-004848</t>
  </si>
  <si>
    <t>PO-004849</t>
  </si>
  <si>
    <t>PO-004850</t>
  </si>
  <si>
    <t>PO-004851</t>
  </si>
  <si>
    <t>PO-004852</t>
  </si>
  <si>
    <t>PO-004853</t>
  </si>
  <si>
    <t>PO-004854</t>
  </si>
  <si>
    <t>PO-004855</t>
  </si>
  <si>
    <t>PA-0000296</t>
  </si>
  <si>
    <t>PO-004856</t>
  </si>
  <si>
    <t>PO-004857</t>
  </si>
  <si>
    <t>PO-004858</t>
  </si>
  <si>
    <t>PA-0000490</t>
  </si>
  <si>
    <t>PO-004859</t>
  </si>
  <si>
    <t>PO-004860</t>
  </si>
  <si>
    <t>PO-004861</t>
  </si>
  <si>
    <t>PO-004862</t>
  </si>
  <si>
    <t>PA-0000177</t>
  </si>
  <si>
    <t>PO-004863</t>
  </si>
  <si>
    <t>PO-004864</t>
  </si>
  <si>
    <t>PO-004865</t>
  </si>
  <si>
    <t>PA-0000216</t>
  </si>
  <si>
    <t>PO-004866</t>
  </si>
  <si>
    <t>PO-004867</t>
  </si>
  <si>
    <t>PO-004868</t>
  </si>
  <si>
    <t>PO-004869</t>
  </si>
  <si>
    <t>PO-004870</t>
  </si>
  <si>
    <t>PA-0000512</t>
  </si>
  <si>
    <t>PO-004871</t>
  </si>
  <si>
    <t>PO-004872</t>
  </si>
  <si>
    <t>PO-004873</t>
  </si>
  <si>
    <t>PO-004874</t>
  </si>
  <si>
    <t>PO-004875</t>
  </si>
  <si>
    <t>PO-004876</t>
  </si>
  <si>
    <t>PO-004877</t>
  </si>
  <si>
    <t>PO-004878</t>
  </si>
  <si>
    <t>PO-004879</t>
  </si>
  <si>
    <t>PO-004880</t>
  </si>
  <si>
    <t>PO-004881</t>
  </si>
  <si>
    <t>PO-004882</t>
  </si>
  <si>
    <t>PO-004883</t>
  </si>
  <si>
    <t>PO-004884</t>
  </si>
  <si>
    <t>PO-004885</t>
  </si>
  <si>
    <t>PA-0000293</t>
  </si>
  <si>
    <t>PO-004886</t>
  </si>
  <si>
    <t>PO-004887</t>
  </si>
  <si>
    <t>PO-004888</t>
  </si>
  <si>
    <t>PO-004889</t>
  </si>
  <si>
    <t>PO-004890</t>
  </si>
  <si>
    <t>PO-004891</t>
  </si>
  <si>
    <t>PO-004892</t>
  </si>
  <si>
    <t>PO-004893</t>
  </si>
  <si>
    <t>PO-004894</t>
  </si>
  <si>
    <t>PO-004895</t>
  </si>
  <si>
    <t>PO-004896</t>
  </si>
  <si>
    <t>PO-004897</t>
  </si>
  <si>
    <t>PO-004898</t>
  </si>
  <si>
    <t>PO-004899</t>
  </si>
  <si>
    <t>PO-004900</t>
  </si>
  <si>
    <t>PA-0000339</t>
  </si>
  <si>
    <t>PO-004901</t>
  </si>
  <si>
    <t>PO-004902</t>
  </si>
  <si>
    <t>PO-004903</t>
  </si>
  <si>
    <t>PO-004904</t>
  </si>
  <si>
    <t>PA-0000545</t>
  </si>
  <si>
    <t>PO-004905</t>
  </si>
  <si>
    <t>PO-004906</t>
  </si>
  <si>
    <t>PO-004907</t>
  </si>
  <si>
    <t>PO-004908</t>
  </si>
  <si>
    <t>PO-004909</t>
  </si>
  <si>
    <t>PO-004910</t>
  </si>
  <si>
    <t>PO-004911</t>
  </si>
  <si>
    <t>PO-004912</t>
  </si>
  <si>
    <t>PO-004913</t>
  </si>
  <si>
    <t>PA-0000502</t>
  </si>
  <si>
    <t>PO-004914</t>
  </si>
  <si>
    <t>PO-004915</t>
  </si>
  <si>
    <t>PA-0000584</t>
  </si>
  <si>
    <t>PO-004916</t>
  </si>
  <si>
    <t>PO-004917</t>
  </si>
  <si>
    <t>PO-004918</t>
  </si>
  <si>
    <t>PO-004919</t>
  </si>
  <si>
    <t>PO-004920</t>
  </si>
  <si>
    <t>PA-0000391</t>
  </si>
  <si>
    <t>PO-004921</t>
  </si>
  <si>
    <t>PO-004922</t>
  </si>
  <si>
    <t>PO-004923</t>
  </si>
  <si>
    <t>PA-0000592</t>
  </si>
  <si>
    <t>PO-004924</t>
  </si>
  <si>
    <t>PO-004925</t>
  </si>
  <si>
    <t>PO-004926</t>
  </si>
  <si>
    <t>PA-0000056</t>
  </si>
  <si>
    <t>PO-004927</t>
  </si>
  <si>
    <t>PO-004928</t>
  </si>
  <si>
    <t>PO-004929</t>
  </si>
  <si>
    <t>PO-004930</t>
  </si>
  <si>
    <t>PO-004931</t>
  </si>
  <si>
    <t>PO-004932</t>
  </si>
  <si>
    <t>PO-004933</t>
  </si>
  <si>
    <t>PO-004934</t>
  </si>
  <si>
    <t>PO-004935</t>
  </si>
  <si>
    <t>PO-004936</t>
  </si>
  <si>
    <t>PO-004937</t>
  </si>
  <si>
    <t>PO-004938</t>
  </si>
  <si>
    <t>PO-004939</t>
  </si>
  <si>
    <t>PO-004940</t>
  </si>
  <si>
    <t>PO-004941</t>
  </si>
  <si>
    <t>PO-004942</t>
  </si>
  <si>
    <t>PO-004943</t>
  </si>
  <si>
    <t>PO-004944</t>
  </si>
  <si>
    <t>PO-004945</t>
  </si>
  <si>
    <t>PO-004946</t>
  </si>
  <si>
    <t>PO-004947</t>
  </si>
  <si>
    <t>PA-0000148</t>
  </si>
  <si>
    <t>PO-004948</t>
  </si>
  <si>
    <t>PO-004949</t>
  </si>
  <si>
    <t>PO-004950</t>
  </si>
  <si>
    <t>PA-0000313</t>
  </si>
  <si>
    <t>PO-004951</t>
  </si>
  <si>
    <t>PO-004952</t>
  </si>
  <si>
    <t>PO-004953</t>
  </si>
  <si>
    <t>PA-0000643</t>
  </si>
  <si>
    <t>PO-004954</t>
  </si>
  <si>
    <t>PO-004955</t>
  </si>
  <si>
    <t>PO-004956</t>
  </si>
  <si>
    <t>PO-004957</t>
  </si>
  <si>
    <t>PO-004958</t>
  </si>
  <si>
    <t>PO-004959</t>
  </si>
  <si>
    <t>PO-004960</t>
  </si>
  <si>
    <t>PO-004961</t>
  </si>
  <si>
    <t>PO-004962</t>
  </si>
  <si>
    <t>PO-004963</t>
  </si>
  <si>
    <t>PO-004964</t>
  </si>
  <si>
    <t>PO-004965</t>
  </si>
  <si>
    <t>PO-004966</t>
  </si>
  <si>
    <t>PO-004967</t>
  </si>
  <si>
    <t>PO-004968</t>
  </si>
  <si>
    <t>PO-004969</t>
  </si>
  <si>
    <t>PO-004970</t>
  </si>
  <si>
    <t>PO-004971</t>
  </si>
  <si>
    <t>PO-004972</t>
  </si>
  <si>
    <t>PO-004973</t>
  </si>
  <si>
    <t>PO-004974</t>
  </si>
  <si>
    <t>PA-0000373</t>
  </si>
  <si>
    <t>PO-004975</t>
  </si>
  <si>
    <t>PO-004976</t>
  </si>
  <si>
    <t>PA-0000388</t>
  </si>
  <si>
    <t>PO-004977</t>
  </si>
  <si>
    <t>PO-004978</t>
  </si>
  <si>
    <t>PO-004979</t>
  </si>
  <si>
    <t>PO-004980</t>
  </si>
  <si>
    <t>PO-004981</t>
  </si>
  <si>
    <t>PA-0000018</t>
  </si>
  <si>
    <t>PO-004982</t>
  </si>
  <si>
    <t>PA-0000050</t>
  </si>
  <si>
    <t>PO-004983</t>
  </si>
  <si>
    <t>PO-004984</t>
  </si>
  <si>
    <t>PA-0000110</t>
  </si>
  <si>
    <t>PO-004985</t>
  </si>
  <si>
    <t>PO-004986</t>
  </si>
  <si>
    <t>PO-004987</t>
  </si>
  <si>
    <t>PO-004988</t>
  </si>
  <si>
    <t>PO-004989</t>
  </si>
  <si>
    <t>PO-004990</t>
  </si>
  <si>
    <t>PO-004991</t>
  </si>
  <si>
    <t>PO-004992</t>
  </si>
  <si>
    <t>PO-004993</t>
  </si>
  <si>
    <t>PA-0000617</t>
  </si>
  <si>
    <t>PO-004994</t>
  </si>
  <si>
    <t>PO-004995</t>
  </si>
  <si>
    <t>PO-004996</t>
  </si>
  <si>
    <t>PO-004997</t>
  </si>
  <si>
    <t>PO-004998</t>
  </si>
  <si>
    <t>PO-004999</t>
  </si>
  <si>
    <t>PO-005000</t>
  </si>
  <si>
    <t>PO-005001</t>
  </si>
  <si>
    <t>PA-0000443</t>
  </si>
  <si>
    <t>PO-005002</t>
  </si>
  <si>
    <t>PO-005003</t>
  </si>
  <si>
    <t>PO-005004</t>
  </si>
  <si>
    <t>PA-0000589</t>
  </si>
  <si>
    <t>PO-005005</t>
  </si>
  <si>
    <t>PA-0000065</t>
  </si>
  <si>
    <t>PO-005006</t>
  </si>
  <si>
    <t>PO-005007</t>
  </si>
  <si>
    <t>PO-005008</t>
  </si>
  <si>
    <t>PO-005009</t>
  </si>
  <si>
    <t>PO-005010</t>
  </si>
  <si>
    <t>PO-005011</t>
  </si>
  <si>
    <t>PO-005012</t>
  </si>
  <si>
    <t>PO-005013</t>
  </si>
  <si>
    <t>PO-005014</t>
  </si>
  <si>
    <t>PO-005015</t>
  </si>
  <si>
    <t>PO-005016</t>
  </si>
  <si>
    <t>PO-005017</t>
  </si>
  <si>
    <t>2025-06</t>
  </si>
  <si>
    <t>PO-005018</t>
  </si>
  <si>
    <t>PO-005019</t>
  </si>
  <si>
    <t>PA-0000091</t>
  </si>
  <si>
    <t>PO-005020</t>
  </si>
  <si>
    <t>PO-005021</t>
  </si>
  <si>
    <t>PO-005022</t>
  </si>
  <si>
    <t>PO-005023</t>
  </si>
  <si>
    <t>PA-0000227</t>
  </si>
  <si>
    <t>PO-005024</t>
  </si>
  <si>
    <t>PO-005025</t>
  </si>
  <si>
    <t>PO-005026</t>
  </si>
  <si>
    <t>PA-0000345</t>
  </si>
  <si>
    <t>PO-005027</t>
  </si>
  <si>
    <t>PO-005028</t>
  </si>
  <si>
    <t>PO-005029</t>
  </si>
  <si>
    <t>PO-005030</t>
  </si>
  <si>
    <t>PO-005031</t>
  </si>
  <si>
    <t>PO-005032</t>
  </si>
  <si>
    <t>PO-005033</t>
  </si>
  <si>
    <t>PO-005034</t>
  </si>
  <si>
    <t>PO-005035</t>
  </si>
  <si>
    <t>PO-005036</t>
  </si>
  <si>
    <t>PO-005037</t>
  </si>
  <si>
    <t>PO-005038</t>
  </si>
  <si>
    <t>PO-005039</t>
  </si>
  <si>
    <t>PO-005040</t>
  </si>
  <si>
    <t>PO-005041</t>
  </si>
  <si>
    <t>PO-005042</t>
  </si>
  <si>
    <t>PO-005043</t>
  </si>
  <si>
    <t>PO-005044</t>
  </si>
  <si>
    <t>PO-005045</t>
  </si>
  <si>
    <t>PO-005046</t>
  </si>
  <si>
    <t>PO-005047</t>
  </si>
  <si>
    <t>PO-005048</t>
  </si>
  <si>
    <t>PO-005049</t>
  </si>
  <si>
    <t>PO-005050</t>
  </si>
  <si>
    <t>PO-005051</t>
  </si>
  <si>
    <t>PO-005052</t>
  </si>
  <si>
    <t>PO-005053</t>
  </si>
  <si>
    <t>PO-005054</t>
  </si>
  <si>
    <t>PO-005055</t>
  </si>
  <si>
    <t>PO-005056</t>
  </si>
  <si>
    <t>PO-005057</t>
  </si>
  <si>
    <t>PA-0000555</t>
  </si>
  <si>
    <t>PO-005058</t>
  </si>
  <si>
    <t>PO-005059</t>
  </si>
  <si>
    <t>PA-0000614</t>
  </si>
  <si>
    <t>PO-005060</t>
  </si>
  <si>
    <t>PO-005061</t>
  </si>
  <si>
    <t>PO-005062</t>
  </si>
  <si>
    <t>PO-005063</t>
  </si>
  <si>
    <t>PO-005064</t>
  </si>
  <si>
    <t>PO-005065</t>
  </si>
  <si>
    <t>PO-005066</t>
  </si>
  <si>
    <t>PO-005067</t>
  </si>
  <si>
    <t>PO-005068</t>
  </si>
  <si>
    <t>PO-005069</t>
  </si>
  <si>
    <t>PO-005070</t>
  </si>
  <si>
    <t>PO-005071</t>
  </si>
  <si>
    <t>PO-005072</t>
  </si>
  <si>
    <t>PO-005073</t>
  </si>
  <si>
    <t>PO-005074</t>
  </si>
  <si>
    <t>PO-005075</t>
  </si>
  <si>
    <t>PO-005076</t>
  </si>
  <si>
    <t>PO-005077</t>
  </si>
  <si>
    <t>PO-005078</t>
  </si>
  <si>
    <t>PO-005079</t>
  </si>
  <si>
    <t>PO-005080</t>
  </si>
  <si>
    <t>PO-005081</t>
  </si>
  <si>
    <t>PO-005082</t>
  </si>
  <si>
    <t>PO-005083</t>
  </si>
  <si>
    <t>PO-005084</t>
  </si>
  <si>
    <t>PO-D00020</t>
  </si>
  <si>
    <t>PO-005085</t>
  </si>
  <si>
    <t>PA-0000171</t>
  </si>
  <si>
    <t>PO-005086</t>
  </si>
  <si>
    <t>PO-005087</t>
  </si>
  <si>
    <t>PA-0000451</t>
  </si>
  <si>
    <t>PO-005088</t>
  </si>
  <si>
    <t>PO-005089</t>
  </si>
  <si>
    <t>PO-005090</t>
  </si>
  <si>
    <t>PO-005091</t>
  </si>
  <si>
    <t>PO-005092</t>
  </si>
  <si>
    <t>PO-005093</t>
  </si>
  <si>
    <t>PO-005094</t>
  </si>
  <si>
    <t>PO-005095</t>
  </si>
  <si>
    <t>PO-005096</t>
  </si>
  <si>
    <t>PO-005097</t>
  </si>
  <si>
    <t>PO-005098</t>
  </si>
  <si>
    <t>PO-005099</t>
  </si>
  <si>
    <t>PO-005100</t>
  </si>
  <si>
    <t>PO-005101</t>
  </si>
  <si>
    <t>PO-005102</t>
  </si>
  <si>
    <t>PO-005103</t>
  </si>
  <si>
    <t>PO-005104</t>
  </si>
  <si>
    <t>PO-005105</t>
  </si>
  <si>
    <t>PO-005106</t>
  </si>
  <si>
    <t>PA-0000199</t>
  </si>
  <si>
    <t>PO-005107</t>
  </si>
  <si>
    <t>PO-005108</t>
  </si>
  <si>
    <t>PO-005109</t>
  </si>
  <si>
    <t>PA-0000308</t>
  </si>
  <si>
    <t>PO-005110</t>
  </si>
  <si>
    <t>PO-005111</t>
  </si>
  <si>
    <t>PO-005112</t>
  </si>
  <si>
    <t>PO-005113</t>
  </si>
  <si>
    <t>PO-005114</t>
  </si>
  <si>
    <t>PO-005115</t>
  </si>
  <si>
    <t>PO-005116</t>
  </si>
  <si>
    <t>PO-005117</t>
  </si>
  <si>
    <t>PO-005118</t>
  </si>
  <si>
    <t>PO-005119</t>
  </si>
  <si>
    <t>PA-0000637</t>
  </si>
  <si>
    <t>PO-005120</t>
  </si>
  <si>
    <t>PO-005121</t>
  </si>
  <si>
    <t>PO-005122</t>
  </si>
  <si>
    <t>PO-005123</t>
  </si>
  <si>
    <t>PA-0000244</t>
  </si>
  <si>
    <t>PO-005124</t>
  </si>
  <si>
    <t>PO-005125</t>
  </si>
  <si>
    <t>PO-005126</t>
  </si>
  <si>
    <t>PO-005127</t>
  </si>
  <si>
    <t>PO-005128</t>
  </si>
  <si>
    <t>PO-005129</t>
  </si>
  <si>
    <t>PO-005130</t>
  </si>
  <si>
    <t>PO-005131</t>
  </si>
  <si>
    <t>PO-005132</t>
  </si>
  <si>
    <t>PO-005133</t>
  </si>
  <si>
    <t>PO-005134</t>
  </si>
  <si>
    <t>PO-005135</t>
  </si>
  <si>
    <t>PO-005136</t>
  </si>
  <si>
    <t>PO-005137</t>
  </si>
  <si>
    <t>PO-005138</t>
  </si>
  <si>
    <t>PO-005139</t>
  </si>
  <si>
    <t>PO-005140</t>
  </si>
  <si>
    <t>PO-005141</t>
  </si>
  <si>
    <t>PO-005142</t>
  </si>
  <si>
    <t>PO-005143</t>
  </si>
  <si>
    <t>PA-0000098</t>
  </si>
  <si>
    <t>PO-005144</t>
  </si>
  <si>
    <t>PO-005145</t>
  </si>
  <si>
    <t>PO-005146</t>
  </si>
  <si>
    <t>PO-005147</t>
  </si>
  <si>
    <t>PO-005148</t>
  </si>
  <si>
    <t>PO-005149</t>
  </si>
  <si>
    <t>PO-005150</t>
  </si>
  <si>
    <t>PO-005151</t>
  </si>
  <si>
    <t>PA-0000471</t>
  </si>
  <si>
    <t>PO-005152</t>
  </si>
  <si>
    <t>PO-005153</t>
  </si>
  <si>
    <t>PO-005154</t>
  </si>
  <si>
    <t>PO-005155</t>
  </si>
  <si>
    <t>PO-005156</t>
  </si>
  <si>
    <t>PO-005157</t>
  </si>
  <si>
    <t>PO-005158</t>
  </si>
  <si>
    <t>PO-005159</t>
  </si>
  <si>
    <t>PO-005160</t>
  </si>
  <si>
    <t>PO-005161</t>
  </si>
  <si>
    <t>PO-005162</t>
  </si>
  <si>
    <t>PO-005163</t>
  </si>
  <si>
    <t>PO-005164</t>
  </si>
  <si>
    <t>PO-005165</t>
  </si>
  <si>
    <t>PO-005166</t>
  </si>
  <si>
    <t>PA-0000382</t>
  </si>
  <si>
    <t>PO-005167</t>
  </si>
  <si>
    <t>PO-005168</t>
  </si>
  <si>
    <t>PO-005169</t>
  </si>
  <si>
    <t>PO-005170</t>
  </si>
  <si>
    <t>PO-005171</t>
  </si>
  <si>
    <t>PO-005172</t>
  </si>
  <si>
    <t>PO-005173</t>
  </si>
  <si>
    <t>PO-005174</t>
  </si>
  <si>
    <t>PO-005175</t>
  </si>
  <si>
    <t>PO-005176</t>
  </si>
  <si>
    <t>PO-005177</t>
  </si>
  <si>
    <t>PO-005178</t>
  </si>
  <si>
    <t>PO-005179</t>
  </si>
  <si>
    <t>PO-005180</t>
  </si>
  <si>
    <t>PO-005181</t>
  </si>
  <si>
    <t>PO-005182</t>
  </si>
  <si>
    <t>PO-005183</t>
  </si>
  <si>
    <t>PO-005184</t>
  </si>
  <si>
    <t>PO-005185</t>
  </si>
  <si>
    <t>PO-005186</t>
  </si>
  <si>
    <t>PO-005187</t>
  </si>
  <si>
    <t>PO-005188</t>
  </si>
  <si>
    <t>PA-0000038</t>
  </si>
  <si>
    <t>PO-005189</t>
  </si>
  <si>
    <t>PO-005190</t>
  </si>
  <si>
    <t>PO-005191</t>
  </si>
  <si>
    <t>PO-005192</t>
  </si>
  <si>
    <t>PO-005193</t>
  </si>
  <si>
    <t>PO-005194</t>
  </si>
  <si>
    <t>PO-005195</t>
  </si>
  <si>
    <t>PO-005196</t>
  </si>
  <si>
    <t>PO-005197</t>
  </si>
  <si>
    <t>PO-005198</t>
  </si>
  <si>
    <t>PO-005199</t>
  </si>
  <si>
    <t>PO-005200</t>
  </si>
  <si>
    <t>PO-005201</t>
  </si>
  <si>
    <t>PO-005202</t>
  </si>
  <si>
    <t>PO-005203</t>
  </si>
  <si>
    <t>PO-005204</t>
  </si>
  <si>
    <t>PO-005205</t>
  </si>
  <si>
    <t>PO-005206</t>
  </si>
  <si>
    <t>2025-07</t>
  </si>
  <si>
    <t>PO-005207</t>
  </si>
  <si>
    <t>PO-005208</t>
  </si>
  <si>
    <t>PO-005209</t>
  </si>
  <si>
    <t>PO-005210</t>
  </si>
  <si>
    <t>PO-005211</t>
  </si>
  <si>
    <t>PO-005212</t>
  </si>
  <si>
    <t>PO-005213</t>
  </si>
  <si>
    <t>PO-005214</t>
  </si>
  <si>
    <t>PO-005215</t>
  </si>
  <si>
    <t>PA-0000577</t>
  </si>
  <si>
    <t>PO-005216</t>
  </si>
  <si>
    <t>PO-005217</t>
  </si>
  <si>
    <t>PO-005218</t>
  </si>
  <si>
    <t>PO-005219</t>
  </si>
  <si>
    <t>PO-005220</t>
  </si>
  <si>
    <t>PO-005221</t>
  </si>
  <si>
    <t>PO-005222</t>
  </si>
  <si>
    <t>PO-005223</t>
  </si>
  <si>
    <t>PO-005224</t>
  </si>
  <si>
    <t>PA-0000162</t>
  </si>
  <si>
    <t>PO-005225</t>
  </si>
  <si>
    <t>PO-005226</t>
  </si>
  <si>
    <t>PO-005227</t>
  </si>
  <si>
    <t>PO-005228</t>
  </si>
  <si>
    <t>PO-005229</t>
  </si>
  <si>
    <t>PO-005230</t>
  </si>
  <si>
    <t>PO-005231</t>
  </si>
  <si>
    <t>PO-005232</t>
  </si>
  <si>
    <t>PO-005233</t>
  </si>
  <si>
    <t>PO-005234</t>
  </si>
  <si>
    <t>PA-0000496</t>
  </si>
  <si>
    <t>PO-005235</t>
  </si>
  <si>
    <t>PO-005236</t>
  </si>
  <si>
    <t>PO-005237</t>
  </si>
  <si>
    <t>PO-005238</t>
  </si>
  <si>
    <t>PO-005239</t>
  </si>
  <si>
    <t>PO-005240</t>
  </si>
  <si>
    <t>PO-005241</t>
  </si>
  <si>
    <t>PO-005242</t>
  </si>
  <si>
    <t>PO-005243</t>
  </si>
  <si>
    <t>PO-005244</t>
  </si>
  <si>
    <t>PO-005245</t>
  </si>
  <si>
    <t>PO-005246</t>
  </si>
  <si>
    <t>PO-005247</t>
  </si>
  <si>
    <t>PO-005248</t>
  </si>
  <si>
    <t>PO-005249</t>
  </si>
  <si>
    <t>PO-005250</t>
  </si>
  <si>
    <t>PO-005251</t>
  </si>
  <si>
    <t>PO-005252</t>
  </si>
  <si>
    <t>PO-005253</t>
  </si>
  <si>
    <t>PO-005254</t>
  </si>
  <si>
    <t>PO-005255</t>
  </si>
  <si>
    <t>PO-005256</t>
  </si>
  <si>
    <t>PO-005257</t>
  </si>
  <si>
    <t>PO-005258</t>
  </si>
  <si>
    <t>PO-005259</t>
  </si>
  <si>
    <t>PO-005260</t>
  </si>
  <si>
    <t>PO-005261</t>
  </si>
  <si>
    <t>PO-005262</t>
  </si>
  <si>
    <t>PO-005263</t>
  </si>
  <si>
    <t>PO-005264</t>
  </si>
  <si>
    <t>PO-005265</t>
  </si>
  <si>
    <t>PO-005266</t>
  </si>
  <si>
    <t>PO-005267</t>
  </si>
  <si>
    <t>PO-005268</t>
  </si>
  <si>
    <t>PO-005269</t>
  </si>
  <si>
    <t>PO-005270</t>
  </si>
  <si>
    <t>PO-005271</t>
  </si>
  <si>
    <t>PO-005272</t>
  </si>
  <si>
    <t>PO-005273</t>
  </si>
  <si>
    <t>PO-005274</t>
  </si>
  <si>
    <t>PO-005275</t>
  </si>
  <si>
    <t>PO-005276</t>
  </si>
  <si>
    <t>PO-005277</t>
  </si>
  <si>
    <t>PO-005278</t>
  </si>
  <si>
    <t>PO-005279</t>
  </si>
  <si>
    <t>PO-005280</t>
  </si>
  <si>
    <t>PO-005281</t>
  </si>
  <si>
    <t>PO-005282</t>
  </si>
  <si>
    <t>PO-005283</t>
  </si>
  <si>
    <t>PO-005284</t>
  </si>
  <si>
    <t>PO-005285</t>
  </si>
  <si>
    <t>PO-005286</t>
  </si>
  <si>
    <t>PO-005287</t>
  </si>
  <si>
    <t>PO-005288</t>
  </si>
  <si>
    <t>PO-005289</t>
  </si>
  <si>
    <t>PO-005290</t>
  </si>
  <si>
    <t>PO-005291</t>
  </si>
  <si>
    <t>PO-005292</t>
  </si>
  <si>
    <t>PO-005293</t>
  </si>
  <si>
    <t>PO-005294</t>
  </si>
  <si>
    <t>PO-005295</t>
  </si>
  <si>
    <t>PO-005296</t>
  </si>
  <si>
    <t>PO-005297</t>
  </si>
  <si>
    <t>PO-005298</t>
  </si>
  <si>
    <t>PO-005299</t>
  </si>
  <si>
    <t>PO-005300</t>
  </si>
  <si>
    <t>PO-005301</t>
  </si>
  <si>
    <t>PO-005302</t>
  </si>
  <si>
    <t>PO-005303</t>
  </si>
  <si>
    <t>PA-0000139</t>
  </si>
  <si>
    <t>PO-005304</t>
  </si>
  <si>
    <t>PO-005305</t>
  </si>
  <si>
    <t>PO-005306</t>
  </si>
  <si>
    <t>PO-005307</t>
  </si>
  <si>
    <t>PO-005308</t>
  </si>
  <si>
    <t>PA-0000475</t>
  </si>
  <si>
    <t>PO-005309</t>
  </si>
  <si>
    <t>PO-005310</t>
  </si>
  <si>
    <t>PO-005311</t>
  </si>
  <si>
    <t>PO-005312</t>
  </si>
  <si>
    <t>PA-0000266</t>
  </si>
  <si>
    <t>PO-005313</t>
  </si>
  <si>
    <t>PO-005314</t>
  </si>
  <si>
    <t>PO-005315</t>
  </si>
  <si>
    <t>PO-005316</t>
  </si>
  <si>
    <t>PO-005317</t>
  </si>
  <si>
    <t>PO-005318</t>
  </si>
  <si>
    <t>PO-005319</t>
  </si>
  <si>
    <t>PO-005320</t>
  </si>
  <si>
    <t>PO-005321</t>
  </si>
  <si>
    <t>PO-005322</t>
  </si>
  <si>
    <t>PO-005323</t>
  </si>
  <si>
    <t>PO-005324</t>
  </si>
  <si>
    <t>PO-005325</t>
  </si>
  <si>
    <t>PO-005326</t>
  </si>
  <si>
    <t>PO-005327</t>
  </si>
  <si>
    <t>PO-005328</t>
  </si>
  <si>
    <t>PO-005329</t>
  </si>
  <si>
    <t>PO-005330</t>
  </si>
  <si>
    <t>PO-005331</t>
  </si>
  <si>
    <t>PO-005332</t>
  </si>
  <si>
    <t>PO-005333</t>
  </si>
  <si>
    <t>PO-005334</t>
  </si>
  <si>
    <t>PO-005335</t>
  </si>
  <si>
    <t>PO-005336</t>
  </si>
  <si>
    <t>PO-005337</t>
  </si>
  <si>
    <t>PO-005338</t>
  </si>
  <si>
    <t>PO-005339</t>
  </si>
  <si>
    <t>PO-005340</t>
  </si>
  <si>
    <t>PO-005341</t>
  </si>
  <si>
    <t>PO-005342</t>
  </si>
  <si>
    <t>PO-005343</t>
  </si>
  <si>
    <t>PO-005344</t>
  </si>
  <si>
    <t>PO-005345</t>
  </si>
  <si>
    <t>PO-005346</t>
  </si>
  <si>
    <t>PA-0000493</t>
  </si>
  <si>
    <t>PO-005347</t>
  </si>
  <si>
    <t>PO-005348</t>
  </si>
  <si>
    <t>PO-005349</t>
  </si>
  <si>
    <t>PO-005350</t>
  </si>
  <si>
    <t>PO-005351</t>
  </si>
  <si>
    <t>PO-005352</t>
  </si>
  <si>
    <t>PO-005353</t>
  </si>
  <si>
    <t>PO-005354</t>
  </si>
  <si>
    <t>PO-005355</t>
  </si>
  <si>
    <t>PO-005356</t>
  </si>
  <si>
    <t>PO-005357</t>
  </si>
  <si>
    <t>PO-D00021</t>
  </si>
  <si>
    <t>PO-005358</t>
  </si>
  <si>
    <t>PO-005359</t>
  </si>
  <si>
    <t>PO-005360</t>
  </si>
  <si>
    <t>PO-005361</t>
  </si>
  <si>
    <t>PO-005362</t>
  </si>
  <si>
    <t>PO-005363</t>
  </si>
  <si>
    <t>PO-005364</t>
  </si>
  <si>
    <t>PO-005365</t>
  </si>
  <si>
    <t>PO-005366</t>
  </si>
  <si>
    <t>PO-005367</t>
  </si>
  <si>
    <t>PO-005368</t>
  </si>
  <si>
    <t>PO-005369</t>
  </si>
  <si>
    <t>PO-005370</t>
  </si>
  <si>
    <t>PO-005371</t>
  </si>
  <si>
    <t>PO-005372</t>
  </si>
  <si>
    <t>PA-0000412</t>
  </si>
  <si>
    <t>PO-005373</t>
  </si>
  <si>
    <t>PO-005374</t>
  </si>
  <si>
    <t>PO-005375</t>
  </si>
  <si>
    <t>PO-005376</t>
  </si>
  <si>
    <t>PO-005377</t>
  </si>
  <si>
    <t>PO-005378</t>
  </si>
  <si>
    <t>PO-005379</t>
  </si>
  <si>
    <t>PO-005380</t>
  </si>
  <si>
    <t>PO-005381</t>
  </si>
  <si>
    <t>PO-005382</t>
  </si>
  <si>
    <t>PO-005383</t>
  </si>
  <si>
    <t>PO-005384</t>
  </si>
  <si>
    <t>PO-005385</t>
  </si>
  <si>
    <t>PO-005386</t>
  </si>
  <si>
    <t>PO-005387</t>
  </si>
  <si>
    <t>PO-005388</t>
  </si>
  <si>
    <t>PO-005389</t>
  </si>
  <si>
    <t>PO-005390</t>
  </si>
  <si>
    <t>PO-005391</t>
  </si>
  <si>
    <t>PO-005392</t>
  </si>
  <si>
    <t>2025-08</t>
  </si>
  <si>
    <t>PA-0000044</t>
  </si>
  <si>
    <t>PO-005393</t>
  </si>
  <si>
    <t>PO-005394</t>
  </si>
  <si>
    <t>PO-005395</t>
  </si>
  <si>
    <t>PO-005396</t>
  </si>
  <si>
    <t>PO-005397</t>
  </si>
  <si>
    <t>PO-005398</t>
  </si>
  <si>
    <t>PO-005399</t>
  </si>
  <si>
    <t>PO-005400</t>
  </si>
  <si>
    <t>PO-005401</t>
  </si>
  <si>
    <t>PO-005402</t>
  </si>
  <si>
    <t>PO-005403</t>
  </si>
  <si>
    <t>PA-0000142</t>
  </si>
  <si>
    <t>PO-005404</t>
  </si>
  <si>
    <t>PO-005405</t>
  </si>
  <si>
    <t>PO-005406</t>
  </si>
  <si>
    <t>PO-005407</t>
  </si>
  <si>
    <t>PO-005408</t>
  </si>
  <si>
    <t>PO-005409</t>
  </si>
  <si>
    <t>PO-005410</t>
  </si>
  <si>
    <t>PO-005411</t>
  </si>
  <si>
    <t>PO-005412</t>
  </si>
  <si>
    <t>PO-005413</t>
  </si>
  <si>
    <t>PO-005414</t>
  </si>
  <si>
    <t>PO-005415</t>
  </si>
  <si>
    <t>PO-005416</t>
  </si>
  <si>
    <t>PO-005417</t>
  </si>
  <si>
    <t>PO-005418</t>
  </si>
  <si>
    <t>PO-005419</t>
  </si>
  <si>
    <t>PO-005420</t>
  </si>
  <si>
    <t>PO-005421</t>
  </si>
  <si>
    <t>PO-005422</t>
  </si>
  <si>
    <t>PO-005423</t>
  </si>
  <si>
    <t>PO-005424</t>
  </si>
  <si>
    <t>PO-005425</t>
  </si>
  <si>
    <t>PO-005426</t>
  </si>
  <si>
    <t>PO-005427</t>
  </si>
  <si>
    <t>PO-005428</t>
  </si>
  <si>
    <t>PO-005429</t>
  </si>
  <si>
    <t>PO-005430</t>
  </si>
  <si>
    <t>PO-005431</t>
  </si>
  <si>
    <t>PO-005432</t>
  </si>
  <si>
    <t>PO-005433</t>
  </si>
  <si>
    <t>PO-005434</t>
  </si>
  <si>
    <t>PO-005435</t>
  </si>
  <si>
    <t>PO-005436</t>
  </si>
  <si>
    <t>PO-005437</t>
  </si>
  <si>
    <t>PO-005438</t>
  </si>
  <si>
    <t>PO-005439</t>
  </si>
  <si>
    <t>PO-005440</t>
  </si>
  <si>
    <t>PO-005441</t>
  </si>
  <si>
    <t>PO-005442</t>
  </si>
  <si>
    <t>PO-005443</t>
  </si>
  <si>
    <t>PO-005444</t>
  </si>
  <si>
    <t>PO-005445</t>
  </si>
  <si>
    <t>PO-005446</t>
  </si>
  <si>
    <t>PO-005447</t>
  </si>
  <si>
    <t>PO-005448</t>
  </si>
  <si>
    <t>PO-005449</t>
  </si>
  <si>
    <t>PO-005450</t>
  </si>
  <si>
    <t>PO-005451</t>
  </si>
  <si>
    <t>PO-005452</t>
  </si>
  <si>
    <t>PO-005453</t>
  </si>
  <si>
    <t>PO-005454</t>
  </si>
  <si>
    <t>PO-005455</t>
  </si>
  <si>
    <t>PO-005456</t>
  </si>
  <si>
    <t>PO-005457</t>
  </si>
  <si>
    <t>PO-005458</t>
  </si>
  <si>
    <t>PO-005459</t>
  </si>
  <si>
    <t>PO-005460</t>
  </si>
  <si>
    <t>PO-005461</t>
  </si>
  <si>
    <t>PO-005462</t>
  </si>
  <si>
    <t>PO-005463</t>
  </si>
  <si>
    <t>PO-005464</t>
  </si>
  <si>
    <t>PO-005465</t>
  </si>
  <si>
    <t>PO-005466</t>
  </si>
  <si>
    <t>PO-005467</t>
  </si>
  <si>
    <t>PO-005468</t>
  </si>
  <si>
    <t>PO-005469</t>
  </si>
  <si>
    <t>PO-005470</t>
  </si>
  <si>
    <t>PO-005471</t>
  </si>
  <si>
    <t>PO-005472</t>
  </si>
  <si>
    <t>PO-005473</t>
  </si>
  <si>
    <t>PO-005474</t>
  </si>
  <si>
    <t>PO-005475</t>
  </si>
  <si>
    <t>PO-005476</t>
  </si>
  <si>
    <t>PO-005477</t>
  </si>
  <si>
    <t>PO-005478</t>
  </si>
  <si>
    <t>PO-005479</t>
  </si>
  <si>
    <t>PO-005480</t>
  </si>
  <si>
    <t>PO-005481</t>
  </si>
  <si>
    <t>PO-005482</t>
  </si>
  <si>
    <t>PO-005483</t>
  </si>
  <si>
    <t>PO-005484</t>
  </si>
  <si>
    <t>PO-005485</t>
  </si>
  <si>
    <t>PO-005486</t>
  </si>
  <si>
    <t>PO-005487</t>
  </si>
  <si>
    <t>PO-005488</t>
  </si>
  <si>
    <t>PO-005489</t>
  </si>
  <si>
    <t>PO-005490</t>
  </si>
  <si>
    <t>PO-005491</t>
  </si>
  <si>
    <t>PO-D00022</t>
  </si>
  <si>
    <t>PO-005492</t>
  </si>
  <si>
    <t>PO-005493</t>
  </si>
  <si>
    <t>PO-005494</t>
  </si>
  <si>
    <t>PO-005495</t>
  </si>
  <si>
    <t>PO-005496</t>
  </si>
  <si>
    <t>PO-005497</t>
  </si>
  <si>
    <t>PO-005498</t>
  </si>
  <si>
    <t>PO-005499</t>
  </si>
  <si>
    <t>PO-005500</t>
  </si>
  <si>
    <t>PO-005501</t>
  </si>
  <si>
    <t>PO-005502</t>
  </si>
  <si>
    <t>PO-005503</t>
  </si>
  <si>
    <t>PO-D00023</t>
  </si>
  <si>
    <t>PO-005504</t>
  </si>
  <si>
    <t>PO-005505</t>
  </si>
  <si>
    <t>PO-005506</t>
  </si>
  <si>
    <t>PA-0000068</t>
  </si>
  <si>
    <t>PO-005507</t>
  </si>
  <si>
    <t>PO-005508</t>
  </si>
  <si>
    <t>PO-005509</t>
  </si>
  <si>
    <t>PO-005510</t>
  </si>
  <si>
    <t>PO-005511</t>
  </si>
  <si>
    <t>PO-005512</t>
  </si>
  <si>
    <t>PO-005513</t>
  </si>
  <si>
    <t>PO-005514</t>
  </si>
  <si>
    <t>PO-005515</t>
  </si>
  <si>
    <t>PO-005516</t>
  </si>
  <si>
    <t>PO-005517</t>
  </si>
  <si>
    <t>PO-005518</t>
  </si>
  <si>
    <t>PO-005519</t>
  </si>
  <si>
    <t>PO-005520</t>
  </si>
  <si>
    <t>PO-005521</t>
  </si>
  <si>
    <t>PO-005522</t>
  </si>
  <si>
    <t>PO-005523</t>
  </si>
  <si>
    <t>PO-005524</t>
  </si>
  <si>
    <t>PO-005525</t>
  </si>
  <si>
    <t>PO-005526</t>
  </si>
  <si>
    <t>PO-005527</t>
  </si>
  <si>
    <t>PO-005528</t>
  </si>
  <si>
    <t>PO-005529</t>
  </si>
  <si>
    <t>PO-005530</t>
  </si>
  <si>
    <t>PO-005531</t>
  </si>
  <si>
    <t>PO-005532</t>
  </si>
  <si>
    <t>PO-005533</t>
  </si>
  <si>
    <t>PO-005534</t>
  </si>
  <si>
    <t>PO-005535</t>
  </si>
  <si>
    <t>PO-005536</t>
  </si>
  <si>
    <t>PO-005537</t>
  </si>
  <si>
    <t>PO-005538</t>
  </si>
  <si>
    <t>PO-005539</t>
  </si>
  <si>
    <t>PO-005540</t>
  </si>
  <si>
    <t>PO-005541</t>
  </si>
  <si>
    <t>PO-005542</t>
  </si>
  <si>
    <t>PO-005543</t>
  </si>
  <si>
    <t>PO-005544</t>
  </si>
  <si>
    <t>PO-005545</t>
  </si>
  <si>
    <t>PO-005546</t>
  </si>
  <si>
    <t>PO-005547</t>
  </si>
  <si>
    <t>PO-005548</t>
  </si>
  <si>
    <t>PO-005549</t>
  </si>
  <si>
    <t>PO-005550</t>
  </si>
  <si>
    <t>PO-005551</t>
  </si>
  <si>
    <t>PO-005552</t>
  </si>
  <si>
    <t>PA-0000327</t>
  </si>
  <si>
    <t>PO-005553</t>
  </si>
  <si>
    <t>PO-005554</t>
  </si>
  <si>
    <t>PO-005555</t>
  </si>
  <si>
    <t>PO-005556</t>
  </si>
  <si>
    <t>PO-005557</t>
  </si>
  <si>
    <t>PO-005558</t>
  </si>
  <si>
    <t>PO-005559</t>
  </si>
  <si>
    <t>PO-005560</t>
  </si>
  <si>
    <t>PO-005561</t>
  </si>
  <si>
    <t>PO-005562</t>
  </si>
  <si>
    <t>PO-005563</t>
  </si>
  <si>
    <t>PO-005564</t>
  </si>
  <si>
    <t>PO-005565</t>
  </si>
  <si>
    <t>PO-005566</t>
  </si>
  <si>
    <t>PO-005567</t>
  </si>
  <si>
    <t>PO-005568</t>
  </si>
  <si>
    <t>PO-005569</t>
  </si>
  <si>
    <t>PO-005570</t>
  </si>
  <si>
    <t>PO-005571</t>
  </si>
  <si>
    <t>PO-005572</t>
  </si>
  <si>
    <t>PO-005573</t>
  </si>
  <si>
    <t>PO-005574</t>
  </si>
  <si>
    <t>2025-09</t>
  </si>
  <si>
    <t>PO-005575</t>
  </si>
  <si>
    <t>PO-005576</t>
  </si>
  <si>
    <t>PO-005577</t>
  </si>
  <si>
    <t>PO-005578</t>
  </si>
  <si>
    <t>PO-005579</t>
  </si>
  <si>
    <t>PO-005580</t>
  </si>
  <si>
    <t>PO-005581</t>
  </si>
  <si>
    <t>PO-005582</t>
  </si>
  <si>
    <t>PO-005583</t>
  </si>
  <si>
    <t>PO-005584</t>
  </si>
  <si>
    <t>PO-005585</t>
  </si>
  <si>
    <t>PO-005586</t>
  </si>
  <si>
    <t>PO-005587</t>
  </si>
  <si>
    <t>PO-005588</t>
  </si>
  <si>
    <t>PO-005589</t>
  </si>
  <si>
    <t>PO-005590</t>
  </si>
  <si>
    <t>PO-005591</t>
  </si>
  <si>
    <t>PO-005592</t>
  </si>
  <si>
    <t>PO-005593</t>
  </si>
  <si>
    <t>PO-005594</t>
  </si>
  <si>
    <t>PO-005595</t>
  </si>
  <si>
    <t>PO-005596</t>
  </si>
  <si>
    <t>PO-005597</t>
  </si>
  <si>
    <t>PO-005598</t>
  </si>
  <si>
    <t>PO-005599</t>
  </si>
  <si>
    <t>PO-005600</t>
  </si>
  <si>
    <t>PO-005601</t>
  </si>
  <si>
    <t>PO-005602</t>
  </si>
  <si>
    <t>PO-005603</t>
  </si>
  <si>
    <t>PO-005604</t>
  </si>
  <si>
    <t>PO-005605</t>
  </si>
  <si>
    <t>PO-005606</t>
  </si>
  <si>
    <t>PO-005607</t>
  </si>
  <si>
    <t>PO-005608</t>
  </si>
  <si>
    <t>PO-005609</t>
  </si>
  <si>
    <t>PO-005610</t>
  </si>
  <si>
    <t>PO-005611</t>
  </si>
  <si>
    <t>PO-005612</t>
  </si>
  <si>
    <t>PO-005613</t>
  </si>
  <si>
    <t>PO-005614</t>
  </si>
  <si>
    <t>PO-005615</t>
  </si>
  <si>
    <t>PO-005616</t>
  </si>
  <si>
    <t>PO-005617</t>
  </si>
  <si>
    <t>PO-005618</t>
  </si>
  <si>
    <t>PO-005619</t>
  </si>
  <si>
    <t>PO-005620</t>
  </si>
  <si>
    <t>PO-005621</t>
  </si>
  <si>
    <t>PO-005622</t>
  </si>
  <si>
    <t>PO-005623</t>
  </si>
  <si>
    <t>PO-005624</t>
  </si>
  <si>
    <t>PO-005625</t>
  </si>
  <si>
    <t>PO-005626</t>
  </si>
  <si>
    <t>PO-005627</t>
  </si>
  <si>
    <t>PO-005628</t>
  </si>
  <si>
    <t>PO-005629</t>
  </si>
  <si>
    <t>PO-005630</t>
  </si>
  <si>
    <t>PO-005631</t>
  </si>
  <si>
    <t>PO-005632</t>
  </si>
  <si>
    <t>PO-005633</t>
  </si>
  <si>
    <t>PO-005634</t>
  </si>
  <si>
    <t>PO-005635</t>
  </si>
  <si>
    <t>PO-005636</t>
  </si>
  <si>
    <t>PO-005637</t>
  </si>
  <si>
    <t>PO-005638</t>
  </si>
  <si>
    <t>PO-005639</t>
  </si>
  <si>
    <t>PO-005640</t>
  </si>
  <si>
    <t>PO-005641</t>
  </si>
  <si>
    <t>PO-005642</t>
  </si>
  <si>
    <t>PO-005643</t>
  </si>
  <si>
    <t>PO-005644</t>
  </si>
  <si>
    <t>PO-005645</t>
  </si>
  <si>
    <t>PO-005646</t>
  </si>
  <si>
    <t>PO-005647</t>
  </si>
  <si>
    <t>PO-005648</t>
  </si>
  <si>
    <t>PO-005649</t>
  </si>
  <si>
    <t>PO-005650</t>
  </si>
  <si>
    <t>PO-005651</t>
  </si>
  <si>
    <t>PO-005652</t>
  </si>
  <si>
    <t>PO-005653</t>
  </si>
  <si>
    <t>PO-005654</t>
  </si>
  <si>
    <t>PO-005655</t>
  </si>
  <si>
    <t>PO-005656</t>
  </si>
  <si>
    <t>PO-005657</t>
  </si>
  <si>
    <t>PO-005658</t>
  </si>
  <si>
    <t>PO-005659</t>
  </si>
  <si>
    <t>PO-005660</t>
  </si>
  <si>
    <t>PO-005661</t>
  </si>
  <si>
    <t>PO-005662</t>
  </si>
  <si>
    <t>PO-005663</t>
  </si>
  <si>
    <t>PO-005664</t>
  </si>
  <si>
    <t>PO-005665</t>
  </si>
  <si>
    <t>PO-005666</t>
  </si>
  <si>
    <t>PO-005667</t>
  </si>
  <si>
    <t>PO-005668</t>
  </si>
  <si>
    <t>PO-005669</t>
  </si>
  <si>
    <t>PO-005670</t>
  </si>
  <si>
    <t>PO-005671</t>
  </si>
  <si>
    <t>PO-005672</t>
  </si>
  <si>
    <t>PO-005673</t>
  </si>
  <si>
    <t>PO-005674</t>
  </si>
  <si>
    <t>PO-005675</t>
  </si>
  <si>
    <t>PO-005676</t>
  </si>
  <si>
    <t>PO-005677</t>
  </si>
  <si>
    <t>PO-005678</t>
  </si>
  <si>
    <t>PO-005679</t>
  </si>
  <si>
    <t>PO-005680</t>
  </si>
  <si>
    <t>PO-005681</t>
  </si>
  <si>
    <t>PO-005682</t>
  </si>
  <si>
    <t>PO-005683</t>
  </si>
  <si>
    <t>PO-005684</t>
  </si>
  <si>
    <t>PO-005685</t>
  </si>
  <si>
    <t>PA-0000558</t>
  </si>
  <si>
    <t>PO-005686</t>
  </si>
  <si>
    <t>PO-005687</t>
  </si>
  <si>
    <t>PO-005688</t>
  </si>
  <si>
    <t>PO-005689</t>
  </si>
  <si>
    <t>PO-005690</t>
  </si>
  <si>
    <t>PO-005691</t>
  </si>
  <si>
    <t>PO-005692</t>
  </si>
  <si>
    <t>PO-005693</t>
  </si>
  <si>
    <t>PO-005694</t>
  </si>
  <si>
    <t>PO-005695</t>
  </si>
  <si>
    <t>PO-005696</t>
  </si>
  <si>
    <t>PO-005697</t>
  </si>
  <si>
    <t>PO-005698</t>
  </si>
  <si>
    <t>PO-005699</t>
  </si>
  <si>
    <t>PO-005700</t>
  </si>
  <si>
    <t>PO-005701</t>
  </si>
  <si>
    <t>PO-005702</t>
  </si>
  <si>
    <t>PO-005703</t>
  </si>
  <si>
    <t>PO-005704</t>
  </si>
  <si>
    <t>PO-005705</t>
  </si>
  <si>
    <t>PO-005706</t>
  </si>
  <si>
    <t>PO-005707</t>
  </si>
  <si>
    <t>PO-005708</t>
  </si>
  <si>
    <t>PO-005709</t>
  </si>
  <si>
    <t>PO-005710</t>
  </si>
  <si>
    <t>PO-005711</t>
  </si>
  <si>
    <t>PO-005712</t>
  </si>
  <si>
    <t>PO-005713</t>
  </si>
  <si>
    <t>PO-005714</t>
  </si>
  <si>
    <t>PO-005715</t>
  </si>
  <si>
    <t>PO-005716</t>
  </si>
  <si>
    <t>PO-005717</t>
  </si>
  <si>
    <t>PO-005718</t>
  </si>
  <si>
    <t>PO-005719</t>
  </si>
  <si>
    <t>PO-005720</t>
  </si>
  <si>
    <t>PO-005721</t>
  </si>
  <si>
    <t>PO-005722</t>
  </si>
  <si>
    <t>PO-005723</t>
  </si>
  <si>
    <t>PO-005724</t>
  </si>
  <si>
    <t>PO-005725</t>
  </si>
  <si>
    <t>PO-005726</t>
  </si>
  <si>
    <t>PO-005727</t>
  </si>
  <si>
    <t>PO-005728</t>
  </si>
  <si>
    <t>PO-005729</t>
  </si>
  <si>
    <t>PO-005730</t>
  </si>
  <si>
    <t>PO-005731</t>
  </si>
  <si>
    <t>PO-005732</t>
  </si>
  <si>
    <t>PO-005733</t>
  </si>
  <si>
    <t>PO-005734</t>
  </si>
  <si>
    <t>PO-005735</t>
  </si>
  <si>
    <t>PO-005736</t>
  </si>
  <si>
    <t>PO-005737</t>
  </si>
  <si>
    <t>PO-005738</t>
  </si>
  <si>
    <t>PO-005739</t>
  </si>
  <si>
    <t>PO-005740</t>
  </si>
  <si>
    <t>PO-005741</t>
  </si>
  <si>
    <t>PO-005742</t>
  </si>
  <si>
    <t>PA-0000515</t>
  </si>
  <si>
    <t>PO-005743</t>
  </si>
  <si>
    <t>PO-005744</t>
  </si>
  <si>
    <t>PO-005745</t>
  </si>
  <si>
    <t>PO-005746</t>
  </si>
  <si>
    <t>PO-005747</t>
  </si>
  <si>
    <t>PO-005748</t>
  </si>
  <si>
    <t>PO-005749</t>
  </si>
  <si>
    <t>PO-005750</t>
  </si>
  <si>
    <t>PO-005751</t>
  </si>
  <si>
    <t>2025-10</t>
  </si>
  <si>
    <t>PO-005752</t>
  </si>
  <si>
    <t>PO-005753</t>
  </si>
  <si>
    <t>PO-005754</t>
  </si>
  <si>
    <t>PO-005755</t>
  </si>
  <si>
    <t>PO-005756</t>
  </si>
  <si>
    <t>PO-005757</t>
  </si>
  <si>
    <t>PO-005758</t>
  </si>
  <si>
    <t>PO-005759</t>
  </si>
  <si>
    <t>PO-005760</t>
  </si>
  <si>
    <t>PO-005761</t>
  </si>
  <si>
    <t>PO-005762</t>
  </si>
  <si>
    <t>PO-005763</t>
  </si>
  <si>
    <t>PO-005764</t>
  </si>
  <si>
    <t>PO-005765</t>
  </si>
  <si>
    <t>PO-005766</t>
  </si>
  <si>
    <t>PO-005767</t>
  </si>
  <si>
    <t>PO-005768</t>
  </si>
  <si>
    <t>PO-005769</t>
  </si>
  <si>
    <t>PO-005770</t>
  </si>
  <si>
    <t>PA-0000236</t>
  </si>
  <si>
    <t>PO-005771</t>
  </si>
  <si>
    <t>PO-005772</t>
  </si>
  <si>
    <t>PO-005773</t>
  </si>
  <si>
    <t>PO-005774</t>
  </si>
  <si>
    <t>PO-005775</t>
  </si>
  <si>
    <t>PO-005776</t>
  </si>
  <si>
    <t>PO-005777</t>
  </si>
  <si>
    <t>PO-005778</t>
  </si>
  <si>
    <t>PO-005779</t>
  </si>
  <si>
    <t>PO-005780</t>
  </si>
  <si>
    <t>PO-005781</t>
  </si>
  <si>
    <t>PO-005782</t>
  </si>
  <si>
    <t>PO-005783</t>
  </si>
  <si>
    <t>PO-005784</t>
  </si>
  <si>
    <t>PO-005785</t>
  </si>
  <si>
    <t>PO-005786</t>
  </si>
  <si>
    <t>PO-005787</t>
  </si>
  <si>
    <t>PO-005788</t>
  </si>
  <si>
    <t>PO-005789</t>
  </si>
  <si>
    <t>PO-005790</t>
  </si>
  <si>
    <t>PO-005791</t>
  </si>
  <si>
    <t>PO-005792</t>
  </si>
  <si>
    <t>PO-005793</t>
  </si>
  <si>
    <t>PO-005794</t>
  </si>
  <si>
    <t>PO-005795</t>
  </si>
  <si>
    <t>PO-005796</t>
  </si>
  <si>
    <t>PO-005797</t>
  </si>
  <si>
    <t>PO-005798</t>
  </si>
  <si>
    <t>PO-005799</t>
  </si>
  <si>
    <t>PO-005800</t>
  </si>
  <si>
    <t>PO-005801</t>
  </si>
  <si>
    <t>PO-005802</t>
  </si>
  <si>
    <t>PO-005803</t>
  </si>
  <si>
    <t>PO-005804</t>
  </si>
  <si>
    <t>PO-005805</t>
  </si>
  <si>
    <t>PO-005806</t>
  </si>
  <si>
    <t>PO-005807</t>
  </si>
  <si>
    <t>PO-005808</t>
  </si>
  <si>
    <t>PO-005809</t>
  </si>
  <si>
    <t>PO-005810</t>
  </si>
  <si>
    <t>PO-005811</t>
  </si>
  <si>
    <t>PO-005812</t>
  </si>
  <si>
    <t>PO-005813</t>
  </si>
  <si>
    <t>PO-005814</t>
  </si>
  <si>
    <t>PA-0000396</t>
  </si>
  <si>
    <t>PO-005815</t>
  </si>
  <si>
    <t>PO-005816</t>
  </si>
  <si>
    <t>PO-005817</t>
  </si>
  <si>
    <t>PO-005818</t>
  </si>
  <si>
    <t>PO-005819</t>
  </si>
  <si>
    <t>PO-005820</t>
  </si>
  <si>
    <t>PO-005821</t>
  </si>
  <si>
    <t>PO-005822</t>
  </si>
  <si>
    <t>PO-005823</t>
  </si>
  <si>
    <t>PO-005824</t>
  </si>
  <si>
    <t>PO-005825</t>
  </si>
  <si>
    <t>PO-005826</t>
  </si>
  <si>
    <t>PO-005827</t>
  </si>
  <si>
    <t>PO-005828</t>
  </si>
  <si>
    <t>PO-005829</t>
  </si>
  <si>
    <t>PO-005830</t>
  </si>
  <si>
    <t>PO-005831</t>
  </si>
  <si>
    <t>PO-005832</t>
  </si>
  <si>
    <t>PO-005833</t>
  </si>
  <si>
    <t>PO-005834</t>
  </si>
  <si>
    <t>PO-005835</t>
  </si>
  <si>
    <t>PO-005836</t>
  </si>
  <si>
    <t>PO-005837</t>
  </si>
  <si>
    <t>PO-005838</t>
  </si>
  <si>
    <t>PO-005839</t>
  </si>
  <si>
    <t>PO-005840</t>
  </si>
  <si>
    <t>PO-005841</t>
  </si>
  <si>
    <t>PO-005842</t>
  </si>
  <si>
    <t>PO-005843</t>
  </si>
  <si>
    <t>PO-005844</t>
  </si>
  <si>
    <t>PO-005845</t>
  </si>
  <si>
    <t>PO-005846</t>
  </si>
  <si>
    <t>PO-005847</t>
  </si>
  <si>
    <t>PO-005848</t>
  </si>
  <si>
    <t>PO-005849</t>
  </si>
  <si>
    <t>PO-005850</t>
  </si>
  <si>
    <t>PO-005851</t>
  </si>
  <si>
    <t>PO-005852</t>
  </si>
  <si>
    <t>PO-005853</t>
  </si>
  <si>
    <t>PO-005854</t>
  </si>
  <si>
    <t>PO-005855</t>
  </si>
  <si>
    <t>PO-005856</t>
  </si>
  <si>
    <t>PO-005857</t>
  </si>
  <si>
    <t>PO-005858</t>
  </si>
  <si>
    <t>PO-005859</t>
  </si>
  <si>
    <t>PO-005860</t>
  </si>
  <si>
    <t>PO-005861</t>
  </si>
  <si>
    <t>PO-005862</t>
  </si>
  <si>
    <t>PO-005863</t>
  </si>
  <si>
    <t>PO-005864</t>
  </si>
  <si>
    <t>PO-005865</t>
  </si>
  <si>
    <t>PO-005866</t>
  </si>
  <si>
    <t>PO-005867</t>
  </si>
  <si>
    <t>PO-005868</t>
  </si>
  <si>
    <t>PO-005869</t>
  </si>
  <si>
    <t>PO-005870</t>
  </si>
  <si>
    <t>PO-005871</t>
  </si>
  <si>
    <t>PO-005872</t>
  </si>
  <si>
    <t>PO-005873</t>
  </si>
  <si>
    <t>PO-005874</t>
  </si>
  <si>
    <t>PO-005875</t>
  </si>
  <si>
    <t>PO-005876</t>
  </si>
  <si>
    <t>PA-0000005</t>
  </si>
  <si>
    <t>PO-005877</t>
  </si>
  <si>
    <t>PO-005878</t>
  </si>
  <si>
    <t>PO-005879</t>
  </si>
  <si>
    <t>PO-005880</t>
  </si>
  <si>
    <t>PO-005881</t>
  </si>
  <si>
    <t>PO-005882</t>
  </si>
  <si>
    <t>PO-005883</t>
  </si>
  <si>
    <t>PO-005884</t>
  </si>
  <si>
    <t>PO-005885</t>
  </si>
  <si>
    <t>PO-005886</t>
  </si>
  <si>
    <t>PO-005887</t>
  </si>
  <si>
    <t>PO-005888</t>
  </si>
  <si>
    <t>PO-005889</t>
  </si>
  <si>
    <t>PO-005890</t>
  </si>
  <si>
    <t>PO-005891</t>
  </si>
  <si>
    <t>PO-005892</t>
  </si>
  <si>
    <t>PO-005893</t>
  </si>
  <si>
    <t>PO-005894</t>
  </si>
  <si>
    <t>PO-005895</t>
  </si>
  <si>
    <t>PO-005896</t>
  </si>
  <si>
    <t>PO-005897</t>
  </si>
  <si>
    <t>PO-005898</t>
  </si>
  <si>
    <t>PO-005899</t>
  </si>
  <si>
    <t>PO-005900</t>
  </si>
  <si>
    <t>PO-005901</t>
  </si>
  <si>
    <t>PO-005902</t>
  </si>
  <si>
    <t>PO-005903</t>
  </si>
  <si>
    <t>PO-005904</t>
  </si>
  <si>
    <t>PO-005905</t>
  </si>
  <si>
    <t>PO-005906</t>
  </si>
  <si>
    <t>PO-005907</t>
  </si>
  <si>
    <t>PO-005908</t>
  </si>
  <si>
    <t>PO-005909</t>
  </si>
  <si>
    <t>PO-005910</t>
  </si>
  <si>
    <t>PO-005911</t>
  </si>
  <si>
    <t>PO-005912</t>
  </si>
  <si>
    <t>PO-005913</t>
  </si>
  <si>
    <t>PO-005914</t>
  </si>
  <si>
    <t>PO-005915</t>
  </si>
  <si>
    <t>PO-005916</t>
  </si>
  <si>
    <t>PO-005917</t>
  </si>
  <si>
    <t>PO-005918</t>
  </si>
  <si>
    <t>PO-005919</t>
  </si>
  <si>
    <t>PO-005920</t>
  </si>
  <si>
    <t>PO-005921</t>
  </si>
  <si>
    <t>PO-005922</t>
  </si>
  <si>
    <t>PO-005923</t>
  </si>
  <si>
    <t>PO-005924</t>
  </si>
  <si>
    <t>PO-005925</t>
  </si>
  <si>
    <t>PO-005926</t>
  </si>
  <si>
    <t>PO-005927</t>
  </si>
  <si>
    <t>PO-D00024</t>
  </si>
  <si>
    <t>PO-D00025</t>
  </si>
  <si>
    <t>PO-005928</t>
  </si>
  <si>
    <t>PO-005929</t>
  </si>
  <si>
    <t>PO-005930</t>
  </si>
  <si>
    <t>PO-005931</t>
  </si>
  <si>
    <t>PO-005932</t>
  </si>
  <si>
    <t>2025-11</t>
  </si>
  <si>
    <t>PO-005933</t>
  </si>
  <si>
    <t>PO-005934</t>
  </si>
  <si>
    <t>PO-005935</t>
  </si>
  <si>
    <t>PO-005936</t>
  </si>
  <si>
    <t>PO-005937</t>
  </si>
  <si>
    <t>PO-005938</t>
  </si>
  <si>
    <t>PO-005939</t>
  </si>
  <si>
    <t>PO-005940</t>
  </si>
  <si>
    <t>PO-005941</t>
  </si>
  <si>
    <t>PO-005942</t>
  </si>
  <si>
    <t>PO-005943</t>
  </si>
  <si>
    <t>PO-005944</t>
  </si>
  <si>
    <t>PO-005945</t>
  </si>
  <si>
    <t>PO-005946</t>
  </si>
  <si>
    <t>PO-005947</t>
  </si>
  <si>
    <t>PO-005948</t>
  </si>
  <si>
    <t>PO-005949</t>
  </si>
  <si>
    <t>PO-005950</t>
  </si>
  <si>
    <t>PO-005951</t>
  </si>
  <si>
    <t>PO-005952</t>
  </si>
  <si>
    <t>PO-005953</t>
  </si>
  <si>
    <t>PO-005954</t>
  </si>
  <si>
    <t>PO-005955</t>
  </si>
  <si>
    <t>PO-005956</t>
  </si>
  <si>
    <t>PO-005957</t>
  </si>
  <si>
    <t>PO-005958</t>
  </si>
  <si>
    <t>PO-005959</t>
  </si>
  <si>
    <t>PO-005960</t>
  </si>
  <si>
    <t>PO-005961</t>
  </si>
  <si>
    <t>PA-0000631</t>
  </si>
  <si>
    <t>PO-005962</t>
  </si>
  <si>
    <t>PO-005963</t>
  </si>
  <si>
    <t>PO-005964</t>
  </si>
  <si>
    <t>PO-005965</t>
  </si>
  <si>
    <t>PO-005966</t>
  </si>
  <si>
    <t>PO-005967</t>
  </si>
  <si>
    <t>PO-005968</t>
  </si>
  <si>
    <t>PO-005969</t>
  </si>
  <si>
    <t>PO-005970</t>
  </si>
  <si>
    <t>PO-005971</t>
  </si>
  <si>
    <t>PO-005972</t>
  </si>
  <si>
    <t>PO-005973</t>
  </si>
  <si>
    <t>PO-005974</t>
  </si>
  <si>
    <t>PO-005975</t>
  </si>
  <si>
    <t>PO-005976</t>
  </si>
  <si>
    <t>PO-005977</t>
  </si>
  <si>
    <t>PO-005978</t>
  </si>
  <si>
    <t>PO-005979</t>
  </si>
  <si>
    <t>PO-005980</t>
  </si>
  <si>
    <t>PO-005981</t>
  </si>
  <si>
    <t>PO-005982</t>
  </si>
  <si>
    <t>PA-0000133</t>
  </si>
  <si>
    <t>PO-005983</t>
  </si>
  <si>
    <t>PO-005984</t>
  </si>
  <si>
    <t>PO-005985</t>
  </si>
  <si>
    <t>PO-005986</t>
  </si>
  <si>
    <t>PO-005987</t>
  </si>
  <si>
    <t>PO-005988</t>
  </si>
  <si>
    <t>PO-005989</t>
  </si>
  <si>
    <t>PO-005990</t>
  </si>
  <si>
    <t>PO-005991</t>
  </si>
  <si>
    <t>PO-005992</t>
  </si>
  <si>
    <t>PO-005993</t>
  </si>
  <si>
    <t>PO-005994</t>
  </si>
  <si>
    <t>PO-005995</t>
  </si>
  <si>
    <t>PO-005996</t>
  </si>
  <si>
    <t>PO-005997</t>
  </si>
  <si>
    <t>PO-005998</t>
  </si>
  <si>
    <t>PO-005999</t>
  </si>
  <si>
    <t>PO-006000</t>
  </si>
  <si>
    <t>PO-006001</t>
  </si>
  <si>
    <t>PO-006002</t>
  </si>
  <si>
    <t>PO-006003</t>
  </si>
  <si>
    <t>PO-006004</t>
  </si>
  <si>
    <t>PO-006005</t>
  </si>
  <si>
    <t>PO-006006</t>
  </si>
  <si>
    <t>PO-006007</t>
  </si>
  <si>
    <t>PO-006008</t>
  </si>
  <si>
    <t>PO-006009</t>
  </si>
  <si>
    <t>PO-006010</t>
  </si>
  <si>
    <t>PO-006011</t>
  </si>
  <si>
    <t>PO-006012</t>
  </si>
  <si>
    <t>PO-006013</t>
  </si>
  <si>
    <t>PO-006014</t>
  </si>
  <si>
    <t>PO-006015</t>
  </si>
  <si>
    <t>PO-006016</t>
  </si>
  <si>
    <t>PO-006017</t>
  </si>
  <si>
    <t>PO-006018</t>
  </si>
  <si>
    <t>PO-006019</t>
  </si>
  <si>
    <t>PO-006020</t>
  </si>
  <si>
    <t>PO-006021</t>
  </si>
  <si>
    <t>PO-006022</t>
  </si>
  <si>
    <t>PO-006023</t>
  </si>
  <si>
    <t>PO-006024</t>
  </si>
  <si>
    <t>PO-006025</t>
  </si>
  <si>
    <t>PO-006026</t>
  </si>
  <si>
    <t>PO-006027</t>
  </si>
  <si>
    <t>PO-006028</t>
  </si>
  <si>
    <t>PO-006029</t>
  </si>
  <si>
    <t>PO-006030</t>
  </si>
  <si>
    <t>PO-006031</t>
  </si>
  <si>
    <t>PO-006032</t>
  </si>
  <si>
    <t>PO-006033</t>
  </si>
  <si>
    <t>PO-006034</t>
  </si>
  <si>
    <t>PO-006035</t>
  </si>
  <si>
    <t>PO-006036</t>
  </si>
  <si>
    <t>PO-006037</t>
  </si>
  <si>
    <t>PO-006038</t>
  </si>
  <si>
    <t>PO-006039</t>
  </si>
  <si>
    <t>PO-006040</t>
  </si>
  <si>
    <t>PO-006041</t>
  </si>
  <si>
    <t>PO-006042</t>
  </si>
  <si>
    <t>PO-006043</t>
  </si>
  <si>
    <t>PO-006044</t>
  </si>
  <si>
    <t>PO-006045</t>
  </si>
  <si>
    <t>PO-006046</t>
  </si>
  <si>
    <t>PO-006047</t>
  </si>
  <si>
    <t>PO-006048</t>
  </si>
  <si>
    <t>PO-006049</t>
  </si>
  <si>
    <t>PO-006050</t>
  </si>
  <si>
    <t>PO-006051</t>
  </si>
  <si>
    <t>PO-006052</t>
  </si>
  <si>
    <t>PO-006053</t>
  </si>
  <si>
    <t>PO-006054</t>
  </si>
  <si>
    <t>PO-006055</t>
  </si>
  <si>
    <t>PO-006056</t>
  </si>
  <si>
    <t>PO-006057</t>
  </si>
  <si>
    <t>PO-006058</t>
  </si>
  <si>
    <t>PO-006059</t>
  </si>
  <si>
    <t>PO-006060</t>
  </si>
  <si>
    <t>PO-006061</t>
  </si>
  <si>
    <t>PO-006062</t>
  </si>
  <si>
    <t>PO-006063</t>
  </si>
  <si>
    <t>PO-006064</t>
  </si>
  <si>
    <t>PO-006065</t>
  </si>
  <si>
    <t>PO-006066</t>
  </si>
  <si>
    <t>PO-006067</t>
  </si>
  <si>
    <t>PO-006068</t>
  </si>
  <si>
    <t>PO-006069</t>
  </si>
  <si>
    <t>PO-006070</t>
  </si>
  <si>
    <t>PO-006071</t>
  </si>
  <si>
    <t>PO-006072</t>
  </si>
  <si>
    <t>PO-006073</t>
  </si>
  <si>
    <t>PO-006074</t>
  </si>
  <si>
    <t>PO-006075</t>
  </si>
  <si>
    <t>PO-006076</t>
  </si>
  <si>
    <t>PO-006077</t>
  </si>
  <si>
    <t>PO-006078</t>
  </si>
  <si>
    <t>PO-006079</t>
  </si>
  <si>
    <t>PO-006080</t>
  </si>
  <si>
    <t>PO-006081</t>
  </si>
  <si>
    <t>PO-006082</t>
  </si>
  <si>
    <t>PO-006083</t>
  </si>
  <si>
    <t>PO-006084</t>
  </si>
  <si>
    <t>PO-006085</t>
  </si>
  <si>
    <t>PO-006086</t>
  </si>
  <si>
    <t>PO-006087</t>
  </si>
  <si>
    <t>PO-006088</t>
  </si>
  <si>
    <t>PO-006089</t>
  </si>
  <si>
    <t>PO-006090</t>
  </si>
  <si>
    <t>PO-D00026</t>
  </si>
  <si>
    <t>PO-006091</t>
  </si>
  <si>
    <t>PO-006092</t>
  </si>
  <si>
    <t>PO-006093</t>
  </si>
  <si>
    <t>PO-006094</t>
  </si>
  <si>
    <t>PO-006095</t>
  </si>
  <si>
    <t>PO-006096</t>
  </si>
  <si>
    <t>PO-006097</t>
  </si>
  <si>
    <t>PO-006098</t>
  </si>
  <si>
    <t>PO-006099</t>
  </si>
  <si>
    <t>PO-006100</t>
  </si>
  <si>
    <t>PO-006101</t>
  </si>
  <si>
    <t>PO-006102</t>
  </si>
  <si>
    <t>PO-006103</t>
  </si>
  <si>
    <t>PO-006104</t>
  </si>
  <si>
    <t>PO-006105</t>
  </si>
  <si>
    <t>PO-006106</t>
  </si>
  <si>
    <t>PO-006107</t>
  </si>
  <si>
    <t>PO-006108</t>
  </si>
  <si>
    <t>PO-006109</t>
  </si>
  <si>
    <t>PO-006110</t>
  </si>
  <si>
    <t>PO-006111</t>
  </si>
  <si>
    <t>PO-006112</t>
  </si>
  <si>
    <t>PO-006113</t>
  </si>
  <si>
    <t>PO-006114</t>
  </si>
  <si>
    <t>PO-006115</t>
  </si>
  <si>
    <t>PO-006116</t>
  </si>
  <si>
    <t>PO-006117</t>
  </si>
  <si>
    <t>PO-006118</t>
  </si>
  <si>
    <t>2025-12</t>
  </si>
  <si>
    <t>PO-006119</t>
  </si>
  <si>
    <t>PO-006120</t>
  </si>
  <si>
    <t>PO-006121</t>
  </si>
  <si>
    <t>PO-006122</t>
  </si>
  <si>
    <t>PO-006123</t>
  </si>
  <si>
    <t>PO-006124</t>
  </si>
  <si>
    <t>PO-006125</t>
  </si>
  <si>
    <t>PO-006126</t>
  </si>
  <si>
    <t>PO-006127</t>
  </si>
  <si>
    <t>PO-006128</t>
  </si>
  <si>
    <t>PO-006129</t>
  </si>
  <si>
    <t>PO-006130</t>
  </si>
  <si>
    <t>PO-006131</t>
  </si>
  <si>
    <t>PO-006132</t>
  </si>
  <si>
    <t>PA-0000440</t>
  </si>
  <si>
    <t>PO-006133</t>
  </si>
  <si>
    <t>PO-006134</t>
  </si>
  <si>
    <t>PA-0000481</t>
  </si>
  <si>
    <t>PO-006135</t>
  </si>
  <si>
    <t>PO-006136</t>
  </si>
  <si>
    <t>PO-006137</t>
  </si>
  <si>
    <t>PO-006138</t>
  </si>
  <si>
    <t>PO-006139</t>
  </si>
  <si>
    <t>PO-006140</t>
  </si>
  <si>
    <t>PO-006141</t>
  </si>
  <si>
    <t>PO-006142</t>
  </si>
  <si>
    <t>PO-006143</t>
  </si>
  <si>
    <t>PO-006144</t>
  </si>
  <si>
    <t>PO-006145</t>
  </si>
  <si>
    <t>PO-006146</t>
  </si>
  <si>
    <t>PO-006147</t>
  </si>
  <si>
    <t>PO-006148</t>
  </si>
  <si>
    <t>PO-006149</t>
  </si>
  <si>
    <t>PO-006150</t>
  </si>
  <si>
    <t>PO-006151</t>
  </si>
  <si>
    <t>PO-006152</t>
  </si>
  <si>
    <t>PO-006153</t>
  </si>
  <si>
    <t>PO-006154</t>
  </si>
  <si>
    <t>PO-006155</t>
  </si>
  <si>
    <t>PO-006156</t>
  </si>
  <si>
    <t>PO-006157</t>
  </si>
  <si>
    <t>PO-006158</t>
  </si>
  <si>
    <t>PO-006159</t>
  </si>
  <si>
    <t>PO-006160</t>
  </si>
  <si>
    <t>PO-006161</t>
  </si>
  <si>
    <t>PO-006162</t>
  </si>
  <si>
    <t>PO-006163</t>
  </si>
  <si>
    <t>PO-006164</t>
  </si>
  <si>
    <t>PO-006165</t>
  </si>
  <si>
    <t>PO-006166</t>
  </si>
  <si>
    <t>PO-006167</t>
  </si>
  <si>
    <t>PO-006168</t>
  </si>
  <si>
    <t>PO-006169</t>
  </si>
  <si>
    <t>PO-006170</t>
  </si>
  <si>
    <t>PO-006171</t>
  </si>
  <si>
    <t>PO-006172</t>
  </si>
  <si>
    <t>PO-006173</t>
  </si>
  <si>
    <t>PO-006174</t>
  </si>
  <si>
    <t>PO-006175</t>
  </si>
  <si>
    <t>PO-006176</t>
  </si>
  <si>
    <t>PO-006177</t>
  </si>
  <si>
    <t>PO-006178</t>
  </si>
  <si>
    <t>PO-006179</t>
  </si>
  <si>
    <t>PO-006180</t>
  </si>
  <si>
    <t>PO-006181</t>
  </si>
  <si>
    <t>PO-006182</t>
  </si>
  <si>
    <t>PO-006183</t>
  </si>
  <si>
    <t>PO-006184</t>
  </si>
  <si>
    <t>PO-006185</t>
  </si>
  <si>
    <t>PO-006186</t>
  </si>
  <si>
    <t>PO-006187</t>
  </si>
  <si>
    <t>PO-006188</t>
  </si>
  <si>
    <t>PA-0000165</t>
  </si>
  <si>
    <t>PO-006189</t>
  </si>
  <si>
    <t>PO-006190</t>
  </si>
  <si>
    <t>PO-006191</t>
  </si>
  <si>
    <t>PO-006192</t>
  </si>
  <si>
    <t>PA-X000003</t>
  </si>
  <si>
    <t>PO-006193</t>
  </si>
  <si>
    <t>PO-006194</t>
  </si>
  <si>
    <t>PO-006195</t>
  </si>
  <si>
    <t>PO-006196</t>
  </si>
  <si>
    <t>PO-006197</t>
  </si>
  <si>
    <t>PO-006198</t>
  </si>
  <si>
    <t>PO-006199</t>
  </si>
  <si>
    <t>PO-006200</t>
  </si>
  <si>
    <t>PO-006201</t>
  </si>
  <si>
    <t>PO-006202</t>
  </si>
  <si>
    <t>PO-006203</t>
  </si>
  <si>
    <t>PO-006204</t>
  </si>
  <si>
    <t>PO-006205</t>
  </si>
  <si>
    <t>PO-006206</t>
  </si>
  <si>
    <t>PO-006207</t>
  </si>
  <si>
    <t>PO-006208</t>
  </si>
  <si>
    <t>PO-006209</t>
  </si>
  <si>
    <t>PO-006210</t>
  </si>
  <si>
    <t>PO-006211</t>
  </si>
  <si>
    <t>PO-006212</t>
  </si>
  <si>
    <t>PO-006213</t>
  </si>
  <si>
    <t>PO-006214</t>
  </si>
  <si>
    <t>PO-006215</t>
  </si>
  <si>
    <t>PO-006216</t>
  </si>
  <si>
    <t>PO-006217</t>
  </si>
  <si>
    <t>PO-006218</t>
  </si>
  <si>
    <t>PO-006219</t>
  </si>
  <si>
    <t>PO-006220</t>
  </si>
  <si>
    <t>PO-006221</t>
  </si>
  <si>
    <t>PO-006222</t>
  </si>
  <si>
    <t>PO-006223</t>
  </si>
  <si>
    <t>PO-006224</t>
  </si>
  <si>
    <t>PO-006225</t>
  </si>
  <si>
    <t>PO-006226</t>
  </si>
  <si>
    <t>PO-006227</t>
  </si>
  <si>
    <t>PO-006228</t>
  </si>
  <si>
    <t>PO-006229</t>
  </si>
  <si>
    <t>PO-006230</t>
  </si>
  <si>
    <t>PO-006231</t>
  </si>
  <si>
    <t>PO-006232</t>
  </si>
  <si>
    <t>PO-006233</t>
  </si>
  <si>
    <t>PO-006234</t>
  </si>
  <si>
    <t>PO-006235</t>
  </si>
  <si>
    <t>PO-006236</t>
  </si>
  <si>
    <t>PO-006237</t>
  </si>
  <si>
    <t>PO-006238</t>
  </si>
  <si>
    <t>PO-006239</t>
  </si>
  <si>
    <t>PO-006240</t>
  </si>
  <si>
    <t>PO-006241</t>
  </si>
  <si>
    <t>PO-006242</t>
  </si>
  <si>
    <t>PO-006243</t>
  </si>
  <si>
    <t>PO-006244</t>
  </si>
  <si>
    <t>PO-006245</t>
  </si>
  <si>
    <t>PO-006246</t>
  </si>
  <si>
    <t>PO-006247</t>
  </si>
  <si>
    <t>PO-006248</t>
  </si>
  <si>
    <t>PO-006249</t>
  </si>
  <si>
    <t>PO-006250</t>
  </si>
  <si>
    <t>PO-006251</t>
  </si>
  <si>
    <t>PO-006252</t>
  </si>
  <si>
    <t>PO-006253</t>
  </si>
  <si>
    <t>PO-006254</t>
  </si>
  <si>
    <t>PO-006255</t>
  </si>
  <si>
    <t>PO-006256</t>
  </si>
  <si>
    <t>PO-006257</t>
  </si>
  <si>
    <t>PO-006258</t>
  </si>
  <si>
    <t>PO-006259</t>
  </si>
  <si>
    <t>PO-006260</t>
  </si>
  <si>
    <t>PO-006261</t>
  </si>
  <si>
    <t>PO-006262</t>
  </si>
  <si>
    <t>PO-006263</t>
  </si>
  <si>
    <t>PO-006264</t>
  </si>
  <si>
    <t>PO-006265</t>
  </si>
  <si>
    <t>PO-006266</t>
  </si>
  <si>
    <t>PO-006267</t>
  </si>
  <si>
    <t>PO-006268</t>
  </si>
  <si>
    <t>PO-006269</t>
  </si>
  <si>
    <t>PO-006270</t>
  </si>
  <si>
    <t>PO-006271</t>
  </si>
  <si>
    <t>PO-006272</t>
  </si>
  <si>
    <t>PO-006273</t>
  </si>
  <si>
    <t>PO-006274</t>
  </si>
  <si>
    <t>PO-006275</t>
  </si>
  <si>
    <t>PO-006276</t>
  </si>
  <si>
    <t>PO-006277</t>
  </si>
  <si>
    <t>PO-006278</t>
  </si>
  <si>
    <t>PO-006279</t>
  </si>
  <si>
    <t>PO-006280</t>
  </si>
  <si>
    <t>PO-006281</t>
  </si>
  <si>
    <t>PO-006282</t>
  </si>
  <si>
    <t>PO-006283</t>
  </si>
  <si>
    <t>PO-006284</t>
  </si>
  <si>
    <t>PO-006285</t>
  </si>
  <si>
    <t>PO-006286</t>
  </si>
  <si>
    <t>PO-006287</t>
  </si>
  <si>
    <t>PO-006288</t>
  </si>
  <si>
    <t>PO-006289</t>
  </si>
  <si>
    <t>PO-006290</t>
  </si>
  <si>
    <t>PO-006291</t>
  </si>
  <si>
    <t>PO-006292</t>
  </si>
  <si>
    <t>PO-006293</t>
  </si>
  <si>
    <t>PO-006294</t>
  </si>
  <si>
    <t>PO-006295</t>
  </si>
  <si>
    <t>PO-006296</t>
  </si>
  <si>
    <t>PO-006297</t>
  </si>
  <si>
    <t>PO-006298</t>
  </si>
  <si>
    <t>PO-006299</t>
  </si>
  <si>
    <t>PO-006300</t>
  </si>
  <si>
    <t>PO-006301</t>
  </si>
  <si>
    <t>FirstDate</t>
  </si>
  <si>
    <t>LastDate</t>
  </si>
  <si>
    <t>YearsElapsed</t>
  </si>
  <si>
    <t>Lines</t>
  </si>
  <si>
    <t>TotalQty</t>
  </si>
  <si>
    <t>TotalSpend</t>
  </si>
  <si>
    <t>TTMQty</t>
  </si>
  <si>
    <t>TTMSpend</t>
  </si>
  <si>
    <t>FirstPrice</t>
  </si>
  <si>
    <t>LastPrice</t>
  </si>
  <si>
    <t>ExpectedPrice</t>
  </si>
  <si>
    <t>BenchmarkErosionPct</t>
  </si>
  <si>
    <t>ToleranceBandPct</t>
  </si>
  <si>
    <t>ActualErosionPct</t>
  </si>
  <si>
    <t>ErosionCapturePct</t>
  </si>
  <si>
    <t>ErosionGapPerUnit</t>
  </si>
  <si>
    <t>AnnualOpportunity</t>
  </si>
  <si>
    <t>PriorityRank</t>
  </si>
  <si>
    <t>BuyerRank</t>
  </si>
  <si>
    <t>PPV</t>
  </si>
  <si>
    <t>OffContractSpend</t>
  </si>
  <si>
    <t>LeverageScore</t>
  </si>
  <si>
    <t>ActionCode</t>
  </si>
  <si>
    <t>IsThisQuarter</t>
  </si>
  <si>
    <t>RecommendedAction</t>
  </si>
  <si>
    <t>PUT_ON_CONTRACT</t>
  </si>
  <si>
    <t>Most of this spend has no agreement in force. Put it under contract before attempting to negotiate a price against nothing.</t>
  </si>
  <si>
    <t>RENEGOTIATE</t>
  </si>
  <si>
    <t>Renegotiate. A qualified alternative exists, though Lumen is under 8% of this supplier's revenue: leverage is weak, but the gap is large enough to justify the meeting. Open with the category erosion benchmark.</t>
  </si>
  <si>
    <t>Renegotiate. A qualified alternative exists, though Lumen is under 8% of this supplier's revenue. Open with the category erosion benchmark.</t>
  </si>
  <si>
    <t>Renegotiate. No second supplier is qualified, but Lumen is at least 8% of this supplier's revenue. Open with the category erosion benchmark.</t>
  </si>
  <si>
    <t>DUAL_SOURCE</t>
  </si>
  <si>
    <t>Sole source with real money at stake and a reachable requalification. Qualify a second supplier, then reopen the price.</t>
  </si>
  <si>
    <t>Renegotiate. A qualified alternative exists, and Lumen is at least 8% of this supplier's revenue. Open with the category erosion benchmark.</t>
  </si>
  <si>
    <t>ACCEPT</t>
  </si>
  <si>
    <t>Accept for now: no credible leverage and not enough value to create any. Revisit if volume or the supplier base changes.</t>
  </si>
  <si>
    <t>FIX_QUALITY</t>
  </si>
  <si>
    <t>Quality first: the loss here is rejected material, not price. Open a corrective action with the supplier before discussing cost.</t>
  </si>
  <si>
    <t>LandedSpend</t>
  </si>
  <si>
    <t>FreightSpend</t>
  </si>
  <si>
    <t>ExpediteSpend</t>
  </si>
  <si>
    <t>ExpeditePctOfSpend</t>
  </si>
  <si>
    <t>OnContractPct</t>
  </si>
  <si>
    <t>PPVPct</t>
  </si>
  <si>
    <t>OnTimePct</t>
  </si>
  <si>
    <t>AvgDaysLate</t>
  </si>
  <si>
    <t>CostIndexVsBest</t>
  </si>
  <si>
    <t>SharedParts</t>
  </si>
  <si>
    <t>AsOfDate</t>
  </si>
  <si>
    <t>MaverickSpendPct</t>
  </si>
  <si>
    <t>OnTimeDeliveryPct</t>
  </si>
  <si>
    <t>ExpediteSpendPct</t>
  </si>
  <si>
    <t>ErosionOpportunity</t>
  </si>
  <si>
    <t>SingleSourceSpendPct</t>
  </si>
  <si>
    <t>Top5VendorSharePct</t>
  </si>
  <si>
    <t>GroupedBy</t>
  </si>
  <si>
    <t>GroupValue</t>
  </si>
  <si>
    <t>SpendSharePct</t>
  </si>
  <si>
    <t>MaverickPct</t>
  </si>
  <si>
    <t>AcceptancePct</t>
  </si>
  <si>
    <t>ExpeditePct</t>
  </si>
  <si>
    <t>SingleSourcePct</t>
  </si>
  <si>
    <t>AnnualErosionPct</t>
  </si>
  <si>
    <t>MaturityProfile</t>
  </si>
  <si>
    <t>SourceNote</t>
  </si>
  <si>
    <t>Maturing</t>
  </si>
  <si>
    <t>Illustrative; high-volume moulded components erode quickly.</t>
  </si>
  <si>
    <t>Illustrative learning-curve rate for volume telecom-grade emitters; replace with the category team's own index.</t>
  </si>
  <si>
    <t>Mature</t>
  </si>
  <si>
    <t>Illustrative; precision grinding and polishing is labour-bound, so erosion is slow.</t>
  </si>
  <si>
    <t>Illustrative; coating runs benefit from chamber utilisation as volume rises.</t>
  </si>
  <si>
    <t>Illustrative; commodity fibre, thin margins, little room left to erode.</t>
  </si>
  <si>
    <t>Illustrative; detector pricing tracks wafer yield improvement.</t>
  </si>
  <si>
    <t>Illustrative; machined metal tracks input cost more than learning.</t>
  </si>
  <si>
    <t>Illustrative; TEC and driver electronics follow semiconductor curves.</t>
  </si>
  <si>
    <t>MetricName</t>
  </si>
  <si>
    <t>TargetValue</t>
  </si>
  <si>
    <t>WarningValue</t>
  </si>
  <si>
    <t>Direction</t>
  </si>
  <si>
    <t>Unit</t>
  </si>
  <si>
    <t>Description</t>
  </si>
  <si>
    <t>HigherBetter</t>
  </si>
  <si>
    <t>Percent</t>
  </si>
  <si>
    <t>Units accepted at incoming inspection as a share of units received</t>
  </si>
  <si>
    <t>Share of the expected category price erosion actually realised in paid prices</t>
  </si>
  <si>
    <t>LowerBetter</t>
  </si>
  <si>
    <t>Expedite fees as a share of total material spend</t>
  </si>
  <si>
    <t>Share of spend placed with no price agreement in force at the order date</t>
  </si>
  <si>
    <t>Receipts on or before the promised date</t>
  </si>
  <si>
    <t>Purchase price variance against the agreement in force, as a share of contracted spend</t>
  </si>
  <si>
    <t>Share of spend on parts with only one qualified supplier</t>
  </si>
  <si>
    <t>Share of total spend held by the five largest vendors</t>
  </si>
  <si>
    <t>RejectReasonCode</t>
  </si>
  <si>
    <t>Attribution</t>
  </si>
  <si>
    <t>SPEC_CHANGE</t>
  </si>
  <si>
    <t>Rejected against a drawing revision issued after the order</t>
  </si>
  <si>
    <t>Lumen</t>
  </si>
  <si>
    <t>CONTAMINATION</t>
  </si>
  <si>
    <t>Particulate or hydrocarbon contamination on optical face</t>
  </si>
  <si>
    <t>Shared</t>
  </si>
  <si>
    <t>TRANSIT_DAMAGE</t>
  </si>
  <si>
    <t>Damage consistent with handling or packaging in transit</t>
  </si>
  <si>
    <t>ATTENUATION</t>
  </si>
  <si>
    <t>Fibre attenuation above specified dB/km</t>
  </si>
  <si>
    <t>Supplier</t>
  </si>
  <si>
    <t>BEAM_PROFILE</t>
  </si>
  <si>
    <t>Laser beam profile or divergence out of specification</t>
  </si>
  <si>
    <t>COATING_DEFECT</t>
  </si>
  <si>
    <t>Coating pinholes, delamination or non-uniform reflectance</t>
  </si>
  <si>
    <t>DIMENSIONAL</t>
  </si>
  <si>
    <t>Mechanical dimensions outside drawing tolerance</t>
  </si>
  <si>
    <t>SURFACE_FIGURE</t>
  </si>
  <si>
    <t>Surface figure outside specified wavefront tolerance</t>
  </si>
  <si>
    <t>AnomalyType</t>
  </si>
  <si>
    <t>EntityType</t>
  </si>
  <si>
    <t>Severity</t>
  </si>
  <si>
    <t>ImpactClass</t>
  </si>
  <si>
    <t>Anomalies</t>
  </si>
  <si>
    <t>AmountAtRisk</t>
  </si>
  <si>
    <t>PopulationScanned</t>
  </si>
  <si>
    <t>AnomalyRatePct</t>
  </si>
  <si>
    <t>CountsTowardExposure</t>
  </si>
  <si>
    <t>AMBIGUOUS_CONTRACT</t>
  </si>
  <si>
    <t>POLine</t>
  </si>
  <si>
    <t>High</t>
  </si>
  <si>
    <t>Contract</t>
  </si>
  <si>
    <t>DUPLICATE_PO_LINE</t>
  </si>
  <si>
    <t>Spend</t>
  </si>
  <si>
    <t>ORPHAN_DIMENSION_KEY</t>
  </si>
  <si>
    <t>Integrity</t>
  </si>
  <si>
    <t>PRICE_OUTLIER</t>
  </si>
  <si>
    <t>RECEIPT_BEFORE_ORDER</t>
  </si>
  <si>
    <t>Receipt</t>
  </si>
  <si>
    <t>Timing</t>
  </si>
  <si>
    <t>RECEIPT_EXCEEDS_ORDER</t>
  </si>
  <si>
    <t>Quantity</t>
  </si>
  <si>
    <t>AGREEMENT_INVERTED</t>
  </si>
  <si>
    <t>Agreement</t>
  </si>
  <si>
    <t>Medium</t>
  </si>
  <si>
    <t>EXPEDITE_FLAG_MISMATCH</t>
  </si>
  <si>
    <t>NEVER_RECEIVED</t>
  </si>
  <si>
    <t>ORDER_AFTER_ASOF</t>
  </si>
  <si>
    <t>WORKING -- the twelve-month window, the top-five concentration and the queue ranking</t>
  </si>
  <si>
    <t>Nothing here is decorative. The Dashboard and the Queue read these cells.</t>
  </si>
  <si>
    <t>Window opens after</t>
  </si>
  <si>
    <t>Window closes</t>
  </si>
  <si>
    <t>VENDOR SPEND IN THE TWELVE-MONTH WINDOW (the top-five concentration, computed not read)</t>
  </si>
  <si>
    <t>Vendor</t>
  </si>
  <si>
    <t>Spend in window</t>
  </si>
  <si>
    <t>Top five total</t>
  </si>
  <si>
    <t>All vendors in window</t>
  </si>
  <si>
    <t>QUEUE RANKING -- re-ranks the SQL queue under the filters set on the Renegotiation Queue sheet</t>
  </si>
  <si>
    <t>Row</t>
  </si>
  <si>
    <t>Matches filters</t>
  </si>
  <si>
    <t>Rank within filter</t>
  </si>
  <si>
    <t>LUMEN OPTICS MANUFACTURING -- PHOTONICS SPEND SCORECARD</t>
  </si>
  <si>
    <t>THE QUESTION</t>
  </si>
  <si>
    <t>Our purchase prices are flat or falling and every variance report is green -- so why is material cost per ACCEPTED unit rising, and which supplier-part combinations should sourcing renegotiate first?</t>
  </si>
  <si>
    <t>SPEND -- recomputed in Excel from the purchase-order extract</t>
  </si>
  <si>
    <t>Extended price (12 months)</t>
  </si>
  <si>
    <t>Landed cost (12 months)</t>
  </si>
  <si>
    <t>Freight</t>
  </si>
  <si>
    <t>Expedite fees</t>
  </si>
  <si>
    <t>Off-contract spend</t>
  </si>
  <si>
    <t>Single-source spend</t>
  </si>
  <si>
    <t>Units received</t>
  </si>
  <si>
    <t>Units accepted</t>
  </si>
  <si>
    <t>Value of rejected material</t>
  </si>
  <si>
    <t>PRICE EROSION -- what the learning curve should have handed back</t>
  </si>
  <si>
    <t>Vendor-part pairs assessed</t>
  </si>
  <si>
    <t>Spend-weighted erosion capture %</t>
  </si>
  <si>
    <t>Annual opportunity (gross)</t>
  </si>
  <si>
    <t>Pairs already ahead of the curve</t>
  </si>
  <si>
    <t>Value where already ahead</t>
  </si>
  <si>
    <t>Pairs capturing under 20%</t>
  </si>
  <si>
    <t>Spend on those pairs</t>
  </si>
  <si>
    <t>Gross, not netted: a supplier already beating the curve is not a savings source and cannot fund another supplier's shortfall.</t>
  </si>
  <si>
    <t>SCORECARD -- status computed against the target table, not typed in</t>
  </si>
  <si>
    <t>Metric</t>
  </si>
  <si>
    <t>Value</t>
  </si>
  <si>
    <t>Target</t>
  </si>
  <si>
    <t>Warning</t>
  </si>
  <si>
    <t>Status</t>
  </si>
  <si>
    <t>Variance</t>
  </si>
  <si>
    <t>What it means</t>
  </si>
  <si>
    <t>Erosion capture %</t>
  </si>
  <si>
    <t>Share of the expected category erosion actually realised. No price-variance report can see this gap.</t>
  </si>
  <si>
    <t>Maverick spend %</t>
  </si>
  <si>
    <t>Spend with no agreement in force. There is nothing to negotiate against until it is on contract.</t>
  </si>
  <si>
    <t>Purchase price variance %</t>
  </si>
  <si>
    <t>A supplier who renews flat scores zero here forever. Read it beside erosion capture, never alone.</t>
  </si>
  <si>
    <t>Acceptance rate %</t>
  </si>
  <si>
    <t>Portfolio figure. Check the vendor-category cut before concluding anything.</t>
  </si>
  <si>
    <t>On-time delivery %</t>
  </si>
  <si>
    <t>Receipts on or before the promised date.</t>
  </si>
  <si>
    <t>Expedite spend %</t>
  </si>
  <si>
    <t>Caused by planning, not by the supplier. Negotiable only by fixing the plan.</t>
  </si>
  <si>
    <t>Single-source spend %</t>
  </si>
  <si>
    <t>Where the largest erosion gaps sit and the least leverage exists.</t>
  </si>
  <si>
    <t>Top-5 vendor share %</t>
  </si>
  <si>
    <t>Concentration of spend in the five largest suppliers.</t>
  </si>
  <si>
    <t>BY CATEGORY -- spend, benchmark and what was actually captured</t>
  </si>
  <si>
    <t>Spend (12m)</t>
  </si>
  <si>
    <t>Share %</t>
  </si>
  <si>
    <t>Benchmark erosion %</t>
  </si>
  <si>
    <t>Captured %</t>
  </si>
  <si>
    <t>Opportunity</t>
  </si>
  <si>
    <t>Maverick %</t>
  </si>
  <si>
    <t>TOTAL</t>
  </si>
  <si>
    <t>RENEGOTIATION QUEUE</t>
  </si>
  <si>
    <t>Which supplier-part combination to renegotiate first. Ranked by annual opportunity; the ACTION is decided by leverage, because the biggest gaps sit where there is least of it.</t>
  </si>
  <si>
    <t>Category manager</t>
  </si>
  <si>
    <t>(All)</t>
  </si>
  <si>
    <t>Action</t>
  </si>
  <si>
    <t>This quarter only</t>
  </si>
  <si>
    <t>Yes</t>
  </si>
  <si>
    <t>Pairs matching</t>
  </si>
  <si>
    <t>Annual opportunity in scope</t>
  </si>
  <si>
    <t>Spend in scope (12m)</t>
  </si>
  <si>
    <t>#</t>
  </si>
  <si>
    <t>Part</t>
  </si>
  <si>
    <t>Manager</t>
  </si>
  <si>
    <t>Sources</t>
  </si>
  <si>
    <t>Bench %</t>
  </si>
  <si>
    <t>Actual %</t>
  </si>
  <si>
    <t>Capture %</t>
  </si>
  <si>
    <t>Gap / unit</t>
  </si>
  <si>
    <t>TTM spend</t>
  </si>
  <si>
    <t>Leverage</t>
  </si>
  <si>
    <t>What to do</t>
  </si>
  <si>
    <t>VENDOR SCORECARD</t>
  </si>
  <si>
    <t>Cost index compares each vendor with the cheapest cost per ACCEPTED unit on the same parts, so 100 is the best available and 108 is eight per cent dearer per usable part. Unit price alone cannot show this.</t>
  </si>
  <si>
    <t>Name</t>
  </si>
  <si>
    <t>Tier</t>
  </si>
  <si>
    <t>Our share of their revenue %</t>
  </si>
  <si>
    <t>On contract %</t>
  </si>
  <si>
    <t>Acceptance %</t>
  </si>
  <si>
    <t>Rejected value</t>
  </si>
  <si>
    <t>On-time %</t>
  </si>
  <si>
    <t>Cost index vs best</t>
  </si>
  <si>
    <t>Shared parts</t>
  </si>
  <si>
    <t>Read</t>
  </si>
  <si>
    <t>CROSS-IMPLEMENTATION VALIDATION</t>
  </si>
  <si>
    <t>Each figure below was computed twice: once in T-SQL against the database, once in Excel formulas against the extract. A dashboard that only displays what the database told it cannot detect that the database was wrong.</t>
  </si>
  <si>
    <t>Figure</t>
  </si>
  <si>
    <t>SQL</t>
  </si>
  <si>
    <t>Excel</t>
  </si>
  <si>
    <t>Difference</t>
  </si>
  <si>
    <t>Result</t>
  </si>
  <si>
    <t>Annual erosion opportunity</t>
  </si>
  <si>
    <t>Queue: pairs assessed</t>
  </si>
  <si>
    <t>Queue: total opportunity</t>
  </si>
  <si>
    <t>Checks reconciling</t>
  </si>
  <si>
    <t>Lumen Optics Manufacturing is a fictional photonics manufacturer. Every figure in this workbook is synthetic, generated by the SQL scripts in the sql\ folder of this project. No confidential data is used and no claim is made about any production system.</t>
  </si>
  <si>
    <t>THE QUESTION THIS ANSWERS</t>
  </si>
  <si>
    <t>WHY PRICE VARIANCE CANNOT ANSWER IT</t>
  </si>
  <si>
    <t>Photonic components follow learning curves: unit prices decline as volumes rise and processes mature. Purchase price variance compares what was paid against what was AGREED, so a supplier who renews flat every year scores zero variance forever while quietly keeping everything the curve was supposed to hand back. Erosion capture measures that gap; price variance is structurally blind to it.</t>
  </si>
  <si>
    <t>SHEETS</t>
  </si>
  <si>
    <t>Dashboard            The scorecard, the erosion position and the category cut. Every number is a formula over the extract.</t>
  </si>
  <si>
    <t>Renegotiation Queue  Which supplier-part pair to open first, with the action and the annual value. Filters re-rank the list.</t>
  </si>
  <si>
    <t>Vendor Scorecard     Cost index against the best available on the same parts, plus quality, delivery and compliance.</t>
  </si>
  <si>
    <t>Validation           Each headline figure computed twice -- once in SQL, once in Excel -- and reconciled.</t>
  </si>
  <si>
    <t>Control              Every parameter the workbook obeys.</t>
  </si>
  <si>
    <t>Calc                 The working behind the twelve-month window, the concentration and the queue ranking. Visible on purpose.</t>
  </si>
  <si>
    <t>Data_*               The loaded extracts. Do not edit; they are replaced on refresh.</t>
  </si>
  <si>
    <t>HOW TO REFRESH</t>
  </si>
  <si>
    <t>1. Rebuild the extracts:  powershell erp_extracts\Export_Extracts.ps1</t>
  </si>
  <si>
    <t>2. If the repo has moved, update the Extract folder cell on the Control sheet.</t>
  </si>
  <si>
    <t>3. Data &gt; Refresh All.</t>
  </si>
  <si>
    <t>4. Check the Validation sheet still reads "All figures reconcile".</t>
  </si>
  <si>
    <t>WHAT THE MODEL DOES NOT DO</t>
  </si>
  <si>
    <t>Erosion is measured from the FIRST OBSERVED PRICE, so it detects a failure to erode, not whether the opening price was fair. A part bought badly in 2023 and eroded perfectly since will look healthy here. Answering that needs a should-cost build-up from materials and process, which is a different exercise with different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</si>
</sst>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
    <numFmt numFmtId="166" formatCode="0.0"/>
    <numFmt numFmtId="167" formatCode="#,##0.0000"/>
  </numFmts>
  <fonts count="9" x14ac:knownFonts="1">
    <font>
      <sz val="11"/>
      <color theme="1"/>
      <name val="Aptos Narrow"/>
      <family val="2"/>
      <scheme val="minor"/>
    </font>
    <font>
      <b/>
      <sz val="11"/>
      <color theme="1"/>
      <name val="Aptos Narrow"/>
      <family val="2"/>
      <scheme val="minor"/>
    </font>
    <font>
      <b/>
      <sz val="16"/>
      <color rgb="FF1A365D"/>
      <name val="Aptos Narrow"/>
      <family val="2"/>
      <scheme val="minor"/>
    </font>
    <font>
      <i/>
      <sz val="11"/>
      <color theme="1"/>
      <name val="Aptos Narrow"/>
      <family val="2"/>
      <scheme val="minor"/>
    </font>
    <font>
      <b/>
      <sz val="11"/>
      <color rgb="FFFFFFFF"/>
      <name val="Aptos Narrow"/>
      <family val="2"/>
      <scheme val="minor"/>
    </font>
    <font>
      <b/>
      <sz val="11"/>
      <color rgb="FF1A365D"/>
      <name val="Aptos Narrow"/>
      <family val="2"/>
      <scheme val="minor"/>
    </font>
    <font>
      <sz val="8"/>
      <name val="Aptos Narrow"/>
      <family val="2"/>
      <scheme val="minor"/>
    </font>
    <font>
      <b/>
      <sz val="13"/>
      <color rgb="FF1A365D"/>
      <name val="Aptos Narrow"/>
      <family val="2"/>
      <scheme val="minor"/>
    </font>
    <font>
      <b/>
      <sz val="18"/>
      <color rgb="FF1A365D"/>
      <name val="Aptos Narrow"/>
      <family val="2"/>
      <scheme val="minor"/>
    </font>
  </fonts>
  <fills count="5">
    <fill>
      <patternFill patternType="none"/>
    </fill>
    <fill>
      <patternFill patternType="gray125"/>
    </fill>
    <fill>
      <patternFill patternType="solid">
        <fgColor rgb="FF1A365D"/>
        <bgColor indexed="64"/>
      </patternFill>
    </fill>
    <fill>
      <patternFill patternType="solid">
        <fgColor rgb="FFD6E2F0"/>
        <bgColor indexed="64"/>
      </patternFill>
    </fill>
    <fill>
      <patternFill patternType="solid">
        <fgColor rgb="FFF2F2F2"/>
        <bgColor indexed="64"/>
      </patternFill>
    </fill>
  </fills>
  <borders count="1">
    <border>
      <left/>
      <right/>
      <top/>
      <bottom/>
      <diagonal/>
    </border>
  </borders>
  <cellStyleXfs count="1">
    <xf numFmtId="0" fontId="0" fillId="0" borderId="0"/>
  </cellStyleXfs>
  <cellXfs count="30">
    <xf numFmtId="0" fontId="0" fillId="0" borderId="0" xfId="0"/>
    <xf numFmtId="0" fontId="2" fillId="0" borderId="0" xfId="0" applyFont="1"/>
    <xf numFmtId="0" fontId="3" fillId="0" borderId="0" xfId="0" applyFont="1"/>
    <xf numFmtId="0" fontId="1" fillId="0" borderId="0" xfId="0" applyFont="1"/>
    <xf numFmtId="0" fontId="4" fillId="2" borderId="0" xfId="0" applyFont="1" applyFill="1"/>
    <xf numFmtId="164" fontId="0" fillId="0" borderId="0" xfId="0" applyNumberFormat="1"/>
    <xf numFmtId="164" fontId="1" fillId="3" borderId="0" xfId="0" applyNumberFormat="1" applyFont="1" applyFill="1"/>
    <xf numFmtId="0" fontId="0" fillId="3" borderId="0" xfId="0" applyFill="1"/>
    <xf numFmtId="0" fontId="1" fillId="3" borderId="0" xfId="0" applyFont="1" applyFill="1"/>
    <xf numFmtId="0" fontId="5" fillId="0" borderId="0" xfId="0" applyFont="1"/>
    <xf numFmtId="0" fontId="0" fillId="0" borderId="0" xfId="0" applyAlignment="1">
      <alignment wrapText="1"/>
    </xf>
    <xf numFmtId="0" fontId="0" fillId="0" borderId="0" xfId="0" applyAlignment="1">
      <alignment vertical="top" wrapText="1"/>
    </xf>
    <xf numFmtId="0" fontId="0" fillId="0" borderId="0" xfId="0" applyNumberFormat="1"/>
    <xf numFmtId="14" fontId="0" fillId="0" borderId="0" xfId="0" applyNumberFormat="1"/>
    <xf numFmtId="0" fontId="7" fillId="0" borderId="0" xfId="0" applyFont="1"/>
    <xf numFmtId="0" fontId="1" fillId="4" borderId="0" xfId="0" applyFont="1" applyFill="1"/>
    <xf numFmtId="4" fontId="0" fillId="0" borderId="0" xfId="0" applyNumberFormat="1"/>
    <xf numFmtId="4" fontId="1" fillId="0" borderId="0" xfId="0" applyNumberFormat="1" applyFont="1"/>
    <xf numFmtId="0" fontId="8" fillId="0" borderId="0" xfId="0" applyFont="1"/>
    <xf numFmtId="0" fontId="0" fillId="2" borderId="0" xfId="0" applyFill="1"/>
    <xf numFmtId="3" fontId="0" fillId="0" borderId="0" xfId="0" applyNumberFormat="1"/>
    <xf numFmtId="2" fontId="0" fillId="0" borderId="0" xfId="0" applyNumberFormat="1"/>
    <xf numFmtId="165" fontId="0" fillId="0" borderId="0" xfId="0" applyNumberFormat="1"/>
    <xf numFmtId="0" fontId="0" fillId="0" borderId="0" xfId="0" applyAlignment="1">
      <alignment horizontal="center"/>
    </xf>
    <xf numFmtId="3" fontId="1" fillId="0" borderId="0" xfId="0" applyNumberFormat="1" applyFont="1"/>
    <xf numFmtId="166" fontId="0" fillId="0" borderId="0" xfId="0" applyNumberFormat="1"/>
    <xf numFmtId="166" fontId="1" fillId="0" borderId="0" xfId="0" applyNumberFormat="1" applyFont="1"/>
    <xf numFmtId="2" fontId="1" fillId="0" borderId="0" xfId="0" applyNumberFormat="1" applyFont="1"/>
    <xf numFmtId="0" fontId="4" fillId="2" borderId="0" xfId="0" applyFont="1" applyFill="1" applyAlignment="1">
      <alignment wrapText="1"/>
    </xf>
    <xf numFmtId="167" fontId="0" fillId="0" borderId="0" xfId="0" applyNumberFormat="1"/>
  </cellXfs>
  <cellStyles count="1">
    <cellStyle name="Normal" xfId="0" builtinId="0"/>
  </cellStyles>
  <dxfs count="77">
    <dxf>
      <font>
        <b/>
        <i val="0"/>
        <color rgb="FF9C0006"/>
      </font>
      <fill>
        <patternFill>
          <bgColor rgb="FFFFC7CE"/>
        </patternFill>
      </fill>
    </dxf>
    <dxf>
      <font>
        <b/>
        <i val="0"/>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rgb="FF9C0006"/>
      </font>
      <fill>
        <patternFill>
          <bgColor rgb="FFFFC7CE"/>
        </patternFill>
      </fill>
    </dxf>
    <dxf>
      <font>
        <b/>
        <i val="0"/>
        <color rgb="FF9C6500"/>
      </font>
      <fill>
        <patternFill>
          <bgColor rgb="FFFFEB9C"/>
        </patternFill>
      </fill>
    </dxf>
    <dxf>
      <font>
        <b/>
        <i val="0"/>
        <color rgb="FF006100"/>
      </font>
      <fill>
        <patternFill>
          <bgColor rgb="FFC6EFCE"/>
        </patternFill>
      </fill>
    </dxf>
    <dxf>
      <font>
        <b/>
      </font>
    </dxf>
    <dxf>
      <numFmt numFmtId="0" formatCode="General"/>
    </dxf>
    <dxf>
      <numFmt numFmtId="0" formatCode="General"/>
    </dxf>
    <dxf>
      <numFmt numFmtId="0" formatCode="General"/>
    </dxf>
    <dxf>
      <numFmt numFmtId="0" formatCode="General"/>
    </dxf>
    <dxf>
      <font>
        <b/>
      </font>
    </dxf>
    <dxf>
      <numFmt numFmtId="0" formatCode="General"/>
    </dxf>
    <dxf>
      <numFmt numFmtId="0" formatCode="General"/>
    </dxf>
    <dxf>
      <numFmt numFmtId="0" formatCode="General"/>
    </dxf>
    <dxf>
      <font>
        <b/>
      </font>
    </dxf>
    <dxf>
      <numFmt numFmtId="0" formatCode="General"/>
    </dxf>
    <dxf>
      <numFmt numFmtId="0" formatCode="General"/>
    </dxf>
    <dxf>
      <numFmt numFmtId="0" formatCode="General"/>
    </dxf>
    <dxf>
      <numFmt numFmtId="0" formatCode="General"/>
    </dxf>
    <dxf>
      <font>
        <b/>
      </font>
    </dxf>
    <dxf>
      <numFmt numFmtId="0" formatCode="General"/>
    </dxf>
    <dxf>
      <numFmt numFmtId="0" formatCode="General"/>
    </dxf>
    <dxf>
      <numFmt numFmtId="0" formatCode="General"/>
    </dxf>
    <dxf>
      <font>
        <b/>
      </font>
    </dxf>
    <dxf>
      <numFmt numFmtId="0" formatCode="General"/>
    </dxf>
    <dxf>
      <numFmt numFmtId="0" formatCode="General"/>
    </dxf>
    <dxf>
      <numFmt numFmtId="19" formatCode="m/d/yyyy"/>
    </dxf>
    <dxf>
      <font>
        <b/>
      </font>
    </dxf>
    <dxf>
      <numFmt numFmtId="19" formatCode="m/d/yyyy"/>
    </dxf>
    <dxf>
      <font>
        <b/>
      </font>
    </dxf>
    <dxf>
      <numFmt numFmtId="0" formatCode="General"/>
    </dxf>
    <dxf>
      <numFmt numFmtId="0" formatCode="General"/>
    </dxf>
    <dxf>
      <numFmt numFmtId="0" formatCode="General"/>
    </dxf>
    <dxf>
      <numFmt numFmtId="0" formatCode="General"/>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
      <numFmt numFmtId="19" formatCode="m/d/yyyy"/>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844F6E0-14B0-4867-96DC-D29B18BD2B39}" autoFormatId="0" applyNumberFormats="0" applyBorderFormats="0" applyFontFormats="1" applyPatternFormats="1" applyAlignmentFormats="0" applyWidthHeightFormats="0">
  <queryTableRefresh nextId="45">
    <queryTableFields count="44">
      <queryTableField id="1" name="PONumber" tableColumnId="45"/>
      <queryTableField id="2" name="PartNumber" tableColumnId="46"/>
      <queryTableField id="3" name="PartName" tableColumnId="47"/>
      <queryTableField id="4" name="Category" tableColumnId="48"/>
      <queryTableField id="5" name="Criticality" tableColumnId="49"/>
      <queryTableField id="6" name="QualifiedSupplierCount" tableColumnId="50"/>
      <queryTableField id="7" name="QualificationMonths" tableColumnId="51"/>
      <queryTableField id="8" name="IsSingleSource" tableColumnId="52"/>
      <queryTableField id="9" name="VendorID" tableColumnId="53"/>
      <queryTableField id="10" name="VendorName" tableColumnId="54"/>
      <queryTableField id="11" name="Country" tableColumnId="55"/>
      <queryTableField id="12" name="VendorTier" tableColumnId="56"/>
      <queryTableField id="13" name="LumenRevenueSharePct" tableColumnId="57"/>
      <queryTableField id="14" name="BuyerID" tableColumnId="58"/>
      <queryTableField id="15" name="BuyerName" tableColumnId="59"/>
      <queryTableField id="16" name="Team" tableColumnId="60"/>
      <queryTableField id="17" name="OrderDate" tableColumnId="61"/>
      <queryTableField id="18" name="PromisedDate" tableColumnId="62"/>
      <queryTableField id="19" name="OrderYear" tableColumnId="63"/>
      <queryTableField id="20" name="OrderYearMonth" tableColumnId="64"/>
      <queryTableField id="21" name="OrderQty" tableColumnId="65"/>
      <queryTableField id="22" name="UnitPrice" tableColumnId="66"/>
      <queryTableField id="23" name="FreightAmount" tableColumnId="67"/>
      <queryTableField id="24" name="ExpediteFee" tableColumnId="68"/>
      <queryTableField id="25" name="IsExpedited" tableColumnId="69"/>
      <queryTableField id="26" name="ExtendedPrice" tableColumnId="70"/>
      <queryTableField id="27" name="LandedCost" tableColumnId="71"/>
      <queryTableField id="28" name="AgreementNo" tableColumnId="72"/>
      <queryTableField id="29" name="ContractedUnitPrice" tableColumnId="73"/>
      <queryTableField id="30" name="AgreementsInForce" tableColumnId="74"/>
      <queryTableField id="31" name="IsOnContract" tableColumnId="75"/>
      <queryTableField id="32" name="PPVAmount" tableColumnId="76"/>
      <queryTableField id="33" name="ContractedExtended" tableColumnId="77"/>
      <queryTableField id="34" name="QtyReceived" tableColumnId="78"/>
      <queryTableField id="35" name="QtyAccepted" tableColumnId="79"/>
      <queryTableField id="36" name="QtyRejected" tableColumnId="80"/>
      <queryTableField id="37" name="Receipts" tableColumnId="81"/>
      <queryTableField id="38" name="IsReceived" tableColumnId="82"/>
      <queryTableField id="39" name="AcceptanceRatePct" tableColumnId="83"/>
      <queryTableField id="40" name="CostPerAcceptedUnit" tableColumnId="84"/>
      <queryTableField id="41" name="RejectedValue" tableColumnId="85"/>
      <queryTableField id="42" name="LastReceiptDate" tableColumnId="86"/>
      <queryTableField id="43" name="DaysLate" tableColumnId="87"/>
      <queryTableField id="44" name="IsOnTime" tableColumnId="8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57433F4B-F06C-4705-B189-B9BAF526E74F}" autoFormatId="0" applyNumberFormats="0" applyBorderFormats="0" applyFontFormats="1" applyPatternFormats="1" applyAlignmentFormats="0" applyWidthHeightFormats="0">
  <queryTableRefresh nextId="28">
    <queryTableFields count="27">
      <queryTableField id="1" name="PartNumber" tableColumnId="28"/>
      <queryTableField id="2" name="PartName" tableColumnId="29"/>
      <queryTableField id="3" name="Category" tableColumnId="30"/>
      <queryTableField id="4" name="Criticality" tableColumnId="31"/>
      <queryTableField id="5" name="QualifiedSupplierCount" tableColumnId="32"/>
      <queryTableField id="6" name="QualificationMonths" tableColumnId="33"/>
      <queryTableField id="7" name="VendorID" tableColumnId="34"/>
      <queryTableField id="8" name="VendorName" tableColumnId="35"/>
      <queryTableField id="9" name="VendorTier" tableColumnId="36"/>
      <queryTableField id="10" name="LumenRevenueSharePct" tableColumnId="37"/>
      <queryTableField id="11" name="FirstDate" tableColumnId="38"/>
      <queryTableField id="12" name="LastDate" tableColumnId="39"/>
      <queryTableField id="13" name="YearsElapsed" tableColumnId="40"/>
      <queryTableField id="14" name="Lines" tableColumnId="41"/>
      <queryTableField id="15" name="TotalQty" tableColumnId="42"/>
      <queryTableField id="16" name="TotalSpend" tableColumnId="43"/>
      <queryTableField id="17" name="TTMQty" tableColumnId="44"/>
      <queryTableField id="18" name="TTMSpend" tableColumnId="45"/>
      <queryTableField id="19" name="FirstPrice" tableColumnId="46"/>
      <queryTableField id="20" name="LastPrice" tableColumnId="47"/>
      <queryTableField id="21" name="ExpectedPrice" tableColumnId="48"/>
      <queryTableField id="22" name="BenchmarkErosionPct" tableColumnId="49"/>
      <queryTableField id="23" name="ToleranceBandPct" tableColumnId="50"/>
      <queryTableField id="24" name="ActualErosionPct" tableColumnId="51"/>
      <queryTableField id="25" name="ErosionCapturePct" tableColumnId="52"/>
      <queryTableField id="26" name="ErosionGapPerUnit" tableColumnId="53"/>
      <queryTableField id="27" name="AnnualOpportunity" tableColumnId="5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16700CCC-F2C1-444A-960E-2B1F8A893B4D}" autoFormatId="0" applyNumberFormats="0" applyBorderFormats="0" applyFontFormats="1" applyPatternFormats="1" applyAlignmentFormats="0" applyWidthHeightFormats="0">
  <queryTableRefresh nextId="35">
    <queryTableFields count="34">
      <queryTableField id="1" name="PriorityRank" tableColumnId="35"/>
      <queryTableField id="2" name="BuyerRank" tableColumnId="36"/>
      <queryTableField id="3" name="PartNumber" tableColumnId="37"/>
      <queryTableField id="4" name="PartName" tableColumnId="38"/>
      <queryTableField id="5" name="Category" tableColumnId="39"/>
      <queryTableField id="6" name="Criticality" tableColumnId="40"/>
      <queryTableField id="7" name="QualifiedSupplierCount" tableColumnId="41"/>
      <queryTableField id="8" name="QualificationMonths" tableColumnId="42"/>
      <queryTableField id="9" name="IsSingleSource" tableColumnId="43"/>
      <queryTableField id="10" name="VendorID" tableColumnId="44"/>
      <queryTableField id="11" name="VendorName" tableColumnId="45"/>
      <queryTableField id="12" name="VendorTier" tableColumnId="46"/>
      <queryTableField id="13" name="LumenRevenueSharePct" tableColumnId="47"/>
      <queryTableField id="14" name="BuyerID" tableColumnId="48"/>
      <queryTableField id="15" name="BuyerName" tableColumnId="49"/>
      <queryTableField id="16" name="Team" tableColumnId="50"/>
      <queryTableField id="17" name="FirstPrice" tableColumnId="51"/>
      <queryTableField id="18" name="LastPrice" tableColumnId="52"/>
      <queryTableField id="19" name="ExpectedPrice" tableColumnId="53"/>
      <queryTableField id="20" name="BenchmarkErosionPct" tableColumnId="54"/>
      <queryTableField id="21" name="ActualErosionPct" tableColumnId="55"/>
      <queryTableField id="22" name="ErosionCapturePct" tableColumnId="56"/>
      <queryTableField id="23" name="ErosionGapPerUnit" tableColumnId="57"/>
      <queryTableField id="24" name="TTMQty" tableColumnId="58"/>
      <queryTableField id="25" name="TTMSpend" tableColumnId="59"/>
      <queryTableField id="26" name="AnnualOpportunity" tableColumnId="60"/>
      <queryTableField id="27" name="RejectedValue" tableColumnId="61"/>
      <queryTableField id="28" name="PPV" tableColumnId="62"/>
      <queryTableField id="29" name="OffContractSpend" tableColumnId="63"/>
      <queryTableField id="30" name="AcceptanceRatePct" tableColumnId="64"/>
      <queryTableField id="31" name="LeverageScore" tableColumnId="65"/>
      <queryTableField id="32" name="ActionCode" tableColumnId="66"/>
      <queryTableField id="33" name="IsThisQuarter" tableColumnId="67"/>
      <queryTableField id="34" name="RecommendedAction" tableColumnId="6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1DC2FD2C-63D7-4950-B64E-2D16740D95B5}" autoFormatId="0" applyNumberFormats="0" applyBorderFormats="0" applyFontFormats="1" applyPatternFormats="1" applyAlignmentFormats="0" applyWidthHeightFormats="0">
  <queryTableRefresh nextId="23">
    <queryTableFields count="22">
      <queryTableField id="1" name="VendorID" tableColumnId="23"/>
      <queryTableField id="2" name="VendorName" tableColumnId="24"/>
      <queryTableField id="3" name="Country" tableColumnId="25"/>
      <queryTableField id="4" name="VendorTier" tableColumnId="26"/>
      <queryTableField id="5" name="LumenRevenueSharePct" tableColumnId="27"/>
      <queryTableField id="6" name="Lines" tableColumnId="28"/>
      <queryTableField id="7" name="TotalSpend" tableColumnId="29"/>
      <queryTableField id="8" name="LandedSpend" tableColumnId="30"/>
      <queryTableField id="9" name="FreightSpend" tableColumnId="31"/>
      <queryTableField id="10" name="ExpediteSpend" tableColumnId="32"/>
      <queryTableField id="11" name="ExpeditePctOfSpend" tableColumnId="33"/>
      <queryTableField id="12" name="OnContractPct" tableColumnId="34"/>
      <queryTableField id="13" name="PPVAmount" tableColumnId="35"/>
      <queryTableField id="14" name="PPVPct" tableColumnId="36"/>
      <queryTableField id="15" name="QtyReceived" tableColumnId="37"/>
      <queryTableField id="16" name="QtyAccepted" tableColumnId="38"/>
      <queryTableField id="17" name="AcceptanceRatePct" tableColumnId="39"/>
      <queryTableField id="18" name="RejectedValue" tableColumnId="40"/>
      <queryTableField id="19" name="OnTimePct" tableColumnId="41"/>
      <queryTableField id="20" name="AvgDaysLate" tableColumnId="42"/>
      <queryTableField id="21" name="CostIndexVsBest" tableColumnId="43"/>
      <queryTableField id="22" name="SharedParts" tableColumnId="4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6F5D150C-97F6-4548-A1EA-890153AEE4CE}" autoFormatId="0" applyNumberFormats="0" applyBorderFormats="0" applyFontFormats="1" applyPatternFormats="1" applyAlignmentFormats="0" applyWidthHeightFormats="0">
  <queryTableRefresh nextId="16">
    <queryTableFields count="15">
      <queryTableField id="1" name="AsOfDate" tableColumnId="16"/>
      <queryTableField id="2" name="Lines" tableColumnId="17"/>
      <queryTableField id="3" name="TotalSpend" tableColumnId="18"/>
      <queryTableField id="4" name="LandedSpend" tableColumnId="19"/>
      <queryTableField id="5" name="PPVAmount" tableColumnId="20"/>
      <queryTableField id="6" name="PPVPct" tableColumnId="21"/>
      <queryTableField id="7" name="MaverickSpendPct" tableColumnId="22"/>
      <queryTableField id="8" name="AcceptanceRatePct" tableColumnId="23"/>
      <queryTableField id="9" name="RejectedValue" tableColumnId="24"/>
      <queryTableField id="10" name="OnTimeDeliveryPct" tableColumnId="25"/>
      <queryTableField id="11" name="ExpediteSpendPct" tableColumnId="26"/>
      <queryTableField id="12" name="ErosionCapturePct" tableColumnId="27"/>
      <queryTableField id="13" name="ErosionOpportunity" tableColumnId="28"/>
      <queryTableField id="14" name="SingleSourceSpendPct" tableColumnId="29"/>
      <queryTableField id="15" name="Top5VendorSharePct" tableColumnId="3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538AB149-B049-4852-B95F-4C1EFCAC09B7}" autoFormatId="0" applyNumberFormats="0" applyBorderFormats="0" applyFontFormats="1" applyPatternFormats="1" applyAlignmentFormats="0" applyWidthHeightFormats="0">
  <queryTableRefresh nextId="13">
    <queryTableFields count="12">
      <queryTableField id="1" name="AsOfDate" tableColumnId="13"/>
      <queryTableField id="2" name="GroupedBy" tableColumnId="14"/>
      <queryTableField id="3" name="GroupValue" tableColumnId="15"/>
      <queryTableField id="4" name="Lines" tableColumnId="16"/>
      <queryTableField id="5" name="TotalSpend" tableColumnId="17"/>
      <queryTableField id="6" name="LandedSpend" tableColumnId="18"/>
      <queryTableField id="7" name="SpendSharePct" tableColumnId="19"/>
      <queryTableField id="8" name="MaverickPct" tableColumnId="20"/>
      <queryTableField id="9" name="AcceptancePct" tableColumnId="21"/>
      <queryTableField id="10" name="OnTimePct" tableColumnId="22"/>
      <queryTableField id="11" name="ExpeditePct" tableColumnId="23"/>
      <queryTableField id="12" name="SingleSourcePct" tableColumnId="2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651EF8AD-6785-4C26-BAEC-DAA6E217C282}" autoFormatId="0" applyNumberFormats="0" applyBorderFormats="0" applyFontFormats="1" applyPatternFormats="1" applyAlignmentFormats="0" applyWidthHeightFormats="0">
  <queryTableRefresh nextId="6">
    <queryTableFields count="5">
      <queryTableField id="1" name="Category" tableColumnId="6"/>
      <queryTableField id="2" name="AnnualErosionPct" tableColumnId="7"/>
      <queryTableField id="3" name="ToleranceBandPct" tableColumnId="8"/>
      <queryTableField id="4" name="MaturityProfile" tableColumnId="9"/>
      <queryTableField id="5" name="SourceNote" tableColumnId="10"/>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B6EBE78A-C5DE-404A-AAE5-D0568CDAAA0C}" autoFormatId="0" applyNumberFormats="0" applyBorderFormats="0" applyFontFormats="1" applyPatternFormats="1" applyAlignmentFormats="0" applyWidthHeightFormats="0">
  <queryTableRefresh nextId="7">
    <queryTableFields count="6">
      <queryTableField id="1" name="MetricName" tableColumnId="7"/>
      <queryTableField id="2" name="TargetValue" tableColumnId="8"/>
      <queryTableField id="3" name="WarningValue" tableColumnId="9"/>
      <queryTableField id="4" name="Direction" tableColumnId="10"/>
      <queryTableField id="5" name="Unit" tableColumnId="11"/>
      <queryTableField id="6" name="Description" tableColumnId="1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9" xr16:uid="{4E696474-C7FA-4F09-BD3E-E9032BFB9955}" autoFormatId="0" applyNumberFormats="0" applyBorderFormats="0" applyFontFormats="1" applyPatternFormats="1" applyAlignmentFormats="0" applyWidthHeightFormats="0">
  <queryTableRefresh nextId="4">
    <queryTableFields count="3">
      <queryTableField id="1" name="RejectReasonCode" tableColumnId="4"/>
      <queryTableField id="2" name="Description" tableColumnId="5"/>
      <queryTableField id="3" name="Attribution" tableColumnId="6"/>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0" xr16:uid="{6800FCDB-0290-43DC-B2F0-23F42A8F2417}" autoFormatId="0" applyNumberFormats="0" applyBorderFormats="0" applyFontFormats="1" applyPatternFormats="1" applyAlignmentFormats="0" applyWidthHeightFormats="0">
  <queryTableRefresh nextId="10">
    <queryTableFields count="9">
      <queryTableField id="1" name="AnomalyType" tableColumnId="10"/>
      <queryTableField id="2" name="EntityType" tableColumnId="11"/>
      <queryTableField id="3" name="Severity" tableColumnId="12"/>
      <queryTableField id="4" name="ImpactClass" tableColumnId="13"/>
      <queryTableField id="5" name="Anomalies" tableColumnId="14"/>
      <queryTableField id="6" name="AmountAtRisk" tableColumnId="15"/>
      <queryTableField id="7" name="PopulationScanned" tableColumnId="16"/>
      <queryTableField id="8" name="AnomalyRatePct" tableColumnId="17"/>
      <queryTableField id="9" name="CountsTowardExposure"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59146D-9187-4678-832C-85F4FEC6F6A0}" name="tPO" displayName="tPO" ref="A1:AR6328" tableType="queryTable" totalsRowShown="0" headerRowDxfId="59">
  <autoFilter ref="A1:AR6328" xr:uid="{7659146D-9187-4678-832C-85F4FEC6F6A0}"/>
  <tableColumns count="44">
    <tableColumn id="45" xr3:uid="{6D1083D8-F9B4-44C9-9E6A-A091BD65DD89}" uniqueName="45" name="PONumber" queryTableFieldId="1" dataDxfId="76"/>
    <tableColumn id="46" xr3:uid="{E29DB499-A51E-4195-94BE-DDF70A1C91ED}" uniqueName="46" name="PartNumber" queryTableFieldId="2" dataDxfId="75"/>
    <tableColumn id="47" xr3:uid="{A9F3F9FB-AAD4-45F5-9BF4-8616CBE397F1}" uniqueName="47" name="PartName" queryTableFieldId="3" dataDxfId="74"/>
    <tableColumn id="48" xr3:uid="{4BD76C49-BD4E-4BEA-8C1F-1BE7B47D1597}" uniqueName="48" name="Category" queryTableFieldId="4" dataDxfId="73"/>
    <tableColumn id="49" xr3:uid="{8CFA54D0-9AFC-4909-8185-E3EA65C7B47D}" uniqueName="49" name="Criticality" queryTableFieldId="5" dataDxfId="72"/>
    <tableColumn id="50" xr3:uid="{15232BC2-E14A-4622-A526-8C7659E9DD5F}" uniqueName="50" name="QualifiedSupplierCount" queryTableFieldId="6"/>
    <tableColumn id="51" xr3:uid="{1D97AD05-970B-4A16-B2A4-DD4DB8244C7D}" uniqueName="51" name="QualificationMonths" queryTableFieldId="7"/>
    <tableColumn id="52" xr3:uid="{E10A1DCA-AAEF-4F08-81BD-B7AE53516BD2}" uniqueName="52" name="IsSingleSource" queryTableFieldId="8"/>
    <tableColumn id="53" xr3:uid="{981A07F1-AB36-4230-A229-9BB099B2AB28}" uniqueName="53" name="VendorID" queryTableFieldId="9" dataDxfId="71"/>
    <tableColumn id="54" xr3:uid="{EC5BAB57-1013-4355-A484-127461D57332}" uniqueName="54" name="VendorName" queryTableFieldId="10" dataDxfId="70"/>
    <tableColumn id="55" xr3:uid="{6E84B9CA-761E-4D47-9F58-F0E8F6FA5A20}" uniqueName="55" name="Country" queryTableFieldId="11" dataDxfId="69"/>
    <tableColumn id="56" xr3:uid="{FD04F0B5-85DA-4AC1-93C8-314192BFA8F0}" uniqueName="56" name="VendorTier" queryTableFieldId="12" dataDxfId="68"/>
    <tableColumn id="57" xr3:uid="{CBD93D18-BD48-4A89-AFF5-87B714577ED5}" uniqueName="57" name="LumenRevenueSharePct" queryTableFieldId="13"/>
    <tableColumn id="58" xr3:uid="{6D76D356-13C8-4672-BC50-288334C498C6}" uniqueName="58" name="BuyerID" queryTableFieldId="14" dataDxfId="67"/>
    <tableColumn id="59" xr3:uid="{1ABEBBD7-A18B-40C3-B9D8-69A343452776}" uniqueName="59" name="BuyerName" queryTableFieldId="15" dataDxfId="66"/>
    <tableColumn id="60" xr3:uid="{F44107A9-D974-46A3-B530-9BB74C034D57}" uniqueName="60" name="Team" queryTableFieldId="16" dataDxfId="65"/>
    <tableColumn id="61" xr3:uid="{D1B00831-64E0-4599-B060-1F606AC90411}" uniqueName="61" name="OrderDate" queryTableFieldId="17" dataDxfId="64"/>
    <tableColumn id="62" xr3:uid="{0BC29699-D495-47EB-892C-D38AAE59EF63}" uniqueName="62" name="PromisedDate" queryTableFieldId="18" dataDxfId="63"/>
    <tableColumn id="63" xr3:uid="{2B3A1EFC-1F24-4611-9AE5-CAA7BEB49BFF}" uniqueName="63" name="OrderYear" queryTableFieldId="19"/>
    <tableColumn id="64" xr3:uid="{63BFBE3C-6C2B-4830-93F6-35EBD81C035E}" uniqueName="64" name="OrderYearMonth" queryTableFieldId="20" dataDxfId="62"/>
    <tableColumn id="65" xr3:uid="{39BB2D8E-8E9A-425D-9F85-7BC8145C0BE7}" uniqueName="65" name="OrderQty" queryTableFieldId="21"/>
    <tableColumn id="66" xr3:uid="{21EEAA56-EA2A-4D85-86EE-EB69D12A3288}" uniqueName="66" name="UnitPrice" queryTableFieldId="22"/>
    <tableColumn id="67" xr3:uid="{E94A16FC-FD81-4E1E-BB6F-C7CCA702A5CE}" uniqueName="67" name="FreightAmount" queryTableFieldId="23"/>
    <tableColumn id="68" xr3:uid="{94171892-99B4-4360-9757-EC7E83A53FF5}" uniqueName="68" name="ExpediteFee" queryTableFieldId="24"/>
    <tableColumn id="69" xr3:uid="{D42D027A-72C6-4E13-BDEE-7F19F2494427}" uniqueName="69" name="IsExpedited" queryTableFieldId="25"/>
    <tableColumn id="70" xr3:uid="{5C0EBFA8-786B-45E1-9F7F-2E2D69348474}" uniqueName="70" name="ExtendedPrice" queryTableFieldId="26"/>
    <tableColumn id="71" xr3:uid="{AD02CAB1-BD28-4700-B3D6-4FC5F140C9D9}" uniqueName="71" name="LandedCost" queryTableFieldId="27"/>
    <tableColumn id="72" xr3:uid="{63E53A93-60FF-4F69-BE58-B94DC287300A}" uniqueName="72" name="AgreementNo" queryTableFieldId="28" dataDxfId="61"/>
    <tableColumn id="73" xr3:uid="{32C3AF87-9E81-4361-8A8C-C4076F630176}" uniqueName="73" name="ContractedUnitPrice" queryTableFieldId="29"/>
    <tableColumn id="74" xr3:uid="{FC665C79-F33A-4E2A-82B3-A8EE8D89A9DA}" uniqueName="74" name="AgreementsInForce" queryTableFieldId="30"/>
    <tableColumn id="75" xr3:uid="{4FBA2C6D-78B6-458C-ACED-9B703D43BF9A}" uniqueName="75" name="IsOnContract" queryTableFieldId="31"/>
    <tableColumn id="76" xr3:uid="{230784BC-7B6F-4920-A385-F8B5AC53A737}" uniqueName="76" name="PPVAmount" queryTableFieldId="32"/>
    <tableColumn id="77" xr3:uid="{9C594948-9933-44B7-AD12-44F037DD4F63}" uniqueName="77" name="ContractedExtended" queryTableFieldId="33"/>
    <tableColumn id="78" xr3:uid="{88E9F660-7EE9-4E24-9A44-1D0CCB6743C6}" uniqueName="78" name="QtyReceived" queryTableFieldId="34"/>
    <tableColumn id="79" xr3:uid="{8D7A1368-84C8-4C4A-B046-2BC5E1EFEF09}" uniqueName="79" name="QtyAccepted" queryTableFieldId="35"/>
    <tableColumn id="80" xr3:uid="{F0DFBE8A-C911-4FFF-92AE-06BDB8FF94E4}" uniqueName="80" name="QtyRejected" queryTableFieldId="36"/>
    <tableColumn id="81" xr3:uid="{4BBA8810-7B41-413D-83CC-344BF4B1031C}" uniqueName="81" name="Receipts" queryTableFieldId="37"/>
    <tableColumn id="82" xr3:uid="{1F2845BE-95A1-4E2B-8C48-7A6EBF7D01DD}" uniqueName="82" name="IsReceived" queryTableFieldId="38"/>
    <tableColumn id="83" xr3:uid="{8C5FAAB7-7D04-4D5B-92CF-623C70C1815C}" uniqueName="83" name="AcceptanceRatePct" queryTableFieldId="39"/>
    <tableColumn id="84" xr3:uid="{D7BF9C02-4638-4E84-8CA4-649D2E817198}" uniqueName="84" name="CostPerAcceptedUnit" queryTableFieldId="40"/>
    <tableColumn id="85" xr3:uid="{37118A23-A7FB-44AD-BAE1-CF60BBDE5CF5}" uniqueName="85" name="RejectedValue" queryTableFieldId="41"/>
    <tableColumn id="86" xr3:uid="{1CFDC6FB-9120-4AC9-B141-B770796CA48B}" uniqueName="86" name="LastReceiptDate" queryTableFieldId="42" dataDxfId="60"/>
    <tableColumn id="87" xr3:uid="{92964BEC-B16E-43F1-8FBD-7FD510785BBC}" uniqueName="87" name="DaysLate" queryTableFieldId="43"/>
    <tableColumn id="88" xr3:uid="{9271B483-11B1-4D7B-9BF1-CD5A2AEB4717}" uniqueName="88" name="IsOnTime" queryTableFieldId="4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A2F954-5B8C-47BC-A8D1-038BD7167B29}" name="tErosion" displayName="tErosion" ref="A1:AA186" tableType="queryTable" totalsRowShown="0" headerRowDxfId="49">
  <autoFilter ref="A1:AA186" xr:uid="{64A2F954-5B8C-47BC-A8D1-038BD7167B29}"/>
  <tableColumns count="27">
    <tableColumn id="28" xr3:uid="{9CF0DC92-B13E-4E3B-BD49-961793CCBB13}" uniqueName="28" name="PartNumber" queryTableFieldId="1" dataDxfId="58"/>
    <tableColumn id="29" xr3:uid="{0F39ACF9-FC60-4E73-B28E-C08FFFE06054}" uniqueName="29" name="PartName" queryTableFieldId="2" dataDxfId="57"/>
    <tableColumn id="30" xr3:uid="{C51C6E13-F2FB-4A00-A431-AA2DE99C4A4B}" uniqueName="30" name="Category" queryTableFieldId="3" dataDxfId="56"/>
    <tableColumn id="31" xr3:uid="{38BA193D-1785-4A2D-9787-DE1BC39E4919}" uniqueName="31" name="Criticality" queryTableFieldId="4" dataDxfId="55"/>
    <tableColumn id="32" xr3:uid="{214FFDC8-FD24-433A-90F2-1D61B98AB64B}" uniqueName="32" name="QualifiedSupplierCount" queryTableFieldId="5"/>
    <tableColumn id="33" xr3:uid="{2CD719D4-F72E-4FE5-BF7F-91B9F1ADECAE}" uniqueName="33" name="QualificationMonths" queryTableFieldId="6"/>
    <tableColumn id="34" xr3:uid="{4A754C13-BB20-4B03-8FDB-63C1E3BD8526}" uniqueName="34" name="VendorID" queryTableFieldId="7" dataDxfId="54"/>
    <tableColumn id="35" xr3:uid="{3F352B53-B64C-46F2-B10F-A03F2B49782D}" uniqueName="35" name="VendorName" queryTableFieldId="8" dataDxfId="53"/>
    <tableColumn id="36" xr3:uid="{DABCC081-820F-4AA8-86C3-225B094AB85A}" uniqueName="36" name="VendorTier" queryTableFieldId="9" dataDxfId="52"/>
    <tableColumn id="37" xr3:uid="{EF49242A-0BB2-4387-A599-F2A9482D24C9}" uniqueName="37" name="LumenRevenueSharePct" queryTableFieldId="10"/>
    <tableColumn id="38" xr3:uid="{1EDA70D7-8B13-4E60-9317-22CF19AA8557}" uniqueName="38" name="FirstDate" queryTableFieldId="11" dataDxfId="51"/>
    <tableColumn id="39" xr3:uid="{44B82CC7-4226-417D-A73D-E0A8BF7F12FD}" uniqueName="39" name="LastDate" queryTableFieldId="12" dataDxfId="50"/>
    <tableColumn id="40" xr3:uid="{AB9E9CF2-2956-4D48-BA28-6CD04E439636}" uniqueName="40" name="YearsElapsed" queryTableFieldId="13"/>
    <tableColumn id="41" xr3:uid="{1941E77F-6D63-4433-8D11-A1664CA42764}" uniqueName="41" name="Lines" queryTableFieldId="14"/>
    <tableColumn id="42" xr3:uid="{1FB7C4AD-61A7-461E-9057-ECF533D2B62F}" uniqueName="42" name="TotalQty" queryTableFieldId="15"/>
    <tableColumn id="43" xr3:uid="{B24A27C5-C6A8-4AA0-9F48-5172F4877ABC}" uniqueName="43" name="TotalSpend" queryTableFieldId="16"/>
    <tableColumn id="44" xr3:uid="{CFA4A7E6-A425-4B03-8A2E-60AD8FE91349}" uniqueName="44" name="TTMQty" queryTableFieldId="17"/>
    <tableColumn id="45" xr3:uid="{DF930A1E-DF4B-40F4-8790-221C997A2097}" uniqueName="45" name="TTMSpend" queryTableFieldId="18"/>
    <tableColumn id="46" xr3:uid="{621290AA-5E97-4530-9AB3-D2519D2EF603}" uniqueName="46" name="FirstPrice" queryTableFieldId="19"/>
    <tableColumn id="47" xr3:uid="{3B975F82-0E65-4495-AF3F-DA19415DEBE2}" uniqueName="47" name="LastPrice" queryTableFieldId="20"/>
    <tableColumn id="48" xr3:uid="{B56F74A9-A9FF-4B2A-85A7-4EF47BA36ED8}" uniqueName="48" name="ExpectedPrice" queryTableFieldId="21"/>
    <tableColumn id="49" xr3:uid="{E071F2F4-B265-44A3-8F6F-6F23786963DF}" uniqueName="49" name="BenchmarkErosionPct" queryTableFieldId="22"/>
    <tableColumn id="50" xr3:uid="{35FF71B6-AC20-4390-8F06-840FA14A6F0E}" uniqueName="50" name="ToleranceBandPct" queryTableFieldId="23"/>
    <tableColumn id="51" xr3:uid="{BFA96388-B6A0-4F1A-A18C-50F4454B0FFF}" uniqueName="51" name="ActualErosionPct" queryTableFieldId="24"/>
    <tableColumn id="52" xr3:uid="{1DDB2750-5DC7-41E5-8B15-7FF2D7591244}" uniqueName="52" name="ErosionCapturePct" queryTableFieldId="25"/>
    <tableColumn id="53" xr3:uid="{85F9B889-B54B-4314-90EC-1238CC785498}" uniqueName="53" name="ErosionGapPerUnit" queryTableFieldId="26"/>
    <tableColumn id="54" xr3:uid="{9A706361-B6EC-42F1-B138-451AC5D04F56}" uniqueName="54" name="AnnualOpportunity" queryTableFieldId="2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B6F887-64DB-4D7B-AC5E-4A5E1EF6948F}" name="tQueue" displayName="tQueue" ref="A1:AH186" tableType="queryTable" totalsRowShown="0" headerRowDxfId="36">
  <autoFilter ref="A1:AH186" xr:uid="{41B6F887-64DB-4D7B-AC5E-4A5E1EF6948F}"/>
  <tableColumns count="34">
    <tableColumn id="35" xr3:uid="{082B5706-A136-4EC2-A547-F0A3AE850174}" uniqueName="35" name="PriorityRank" queryTableFieldId="1"/>
    <tableColumn id="36" xr3:uid="{71BB531C-D11C-4216-BE30-9DF18BE8B0D0}" uniqueName="36" name="BuyerRank" queryTableFieldId="2"/>
    <tableColumn id="37" xr3:uid="{DF232E47-0576-4033-AE2D-63BA13ACE056}" uniqueName="37" name="PartNumber" queryTableFieldId="3" dataDxfId="48"/>
    <tableColumn id="38" xr3:uid="{A30E9C26-3D93-474C-A2B1-B379B64177E6}" uniqueName="38" name="PartName" queryTableFieldId="4" dataDxfId="47"/>
    <tableColumn id="39" xr3:uid="{8B890F25-373B-416C-9EA2-4C2162D8F95E}" uniqueName="39" name="Category" queryTableFieldId="5" dataDxfId="46"/>
    <tableColumn id="40" xr3:uid="{2F7865F2-E036-441C-A861-CA9AB797155E}" uniqueName="40" name="Criticality" queryTableFieldId="6" dataDxfId="45"/>
    <tableColumn id="41" xr3:uid="{52837563-C172-4993-971E-2ADEA29C2E6F}" uniqueName="41" name="QualifiedSupplierCount" queryTableFieldId="7"/>
    <tableColumn id="42" xr3:uid="{0C390AA1-7691-48FD-B2AF-09FD13DB610D}" uniqueName="42" name="QualificationMonths" queryTableFieldId="8"/>
    <tableColumn id="43" xr3:uid="{C850A6C3-2762-4EA9-BA73-B708E2CC78EA}" uniqueName="43" name="IsSingleSource" queryTableFieldId="9"/>
    <tableColumn id="44" xr3:uid="{14795885-8FD1-4641-B3F1-23B9B2478697}" uniqueName="44" name="VendorID" queryTableFieldId="10" dataDxfId="44"/>
    <tableColumn id="45" xr3:uid="{D10084D8-1EE7-4DD9-BF3D-D6289B708540}" uniqueName="45" name="VendorName" queryTableFieldId="11" dataDxfId="43"/>
    <tableColumn id="46" xr3:uid="{5E62A0EA-19D9-48F4-97A0-618BB14934F9}" uniqueName="46" name="VendorTier" queryTableFieldId="12" dataDxfId="42"/>
    <tableColumn id="47" xr3:uid="{627F47FC-C1AA-49FA-95A3-BF28CAF2A72E}" uniqueName="47" name="LumenRevenueSharePct" queryTableFieldId="13"/>
    <tableColumn id="48" xr3:uid="{95F6A0BB-1780-4AD7-8CF4-C9C037375FFE}" uniqueName="48" name="BuyerID" queryTableFieldId="14" dataDxfId="41"/>
    <tableColumn id="49" xr3:uid="{2C5406D3-B543-4C45-9074-F2CA5D91712C}" uniqueName="49" name="BuyerName" queryTableFieldId="15" dataDxfId="40"/>
    <tableColumn id="50" xr3:uid="{652DE57B-EB51-41C4-83F3-DFD3FD9D0ABE}" uniqueName="50" name="Team" queryTableFieldId="16" dataDxfId="39"/>
    <tableColumn id="51" xr3:uid="{C19CE1F4-FCDD-4DBC-ACFB-AE948E950689}" uniqueName="51" name="FirstPrice" queryTableFieldId="17"/>
    <tableColumn id="52" xr3:uid="{E4824A62-96F6-4F63-BD34-36FD6DF64D57}" uniqueName="52" name="LastPrice" queryTableFieldId="18"/>
    <tableColumn id="53" xr3:uid="{9F4A208A-09E0-4C37-B668-744663B6F0C9}" uniqueName="53" name="ExpectedPrice" queryTableFieldId="19"/>
    <tableColumn id="54" xr3:uid="{0DDD8B35-DD34-4C77-B7DB-491B4FE3DF03}" uniqueName="54" name="BenchmarkErosionPct" queryTableFieldId="20"/>
    <tableColumn id="55" xr3:uid="{A3EC782E-EB2E-43CF-AA47-8FE862B3163B}" uniqueName="55" name="ActualErosionPct" queryTableFieldId="21"/>
    <tableColumn id="56" xr3:uid="{363C74A7-1E4A-48D1-8A91-40836A5E8316}" uniqueName="56" name="ErosionCapturePct" queryTableFieldId="22"/>
    <tableColumn id="57" xr3:uid="{738C671B-9F36-4972-89B4-F9935469D2E6}" uniqueName="57" name="ErosionGapPerUnit" queryTableFieldId="23"/>
    <tableColumn id="58" xr3:uid="{0F2625F5-A869-4835-82CB-4C01605B2505}" uniqueName="58" name="TTMQty" queryTableFieldId="24"/>
    <tableColumn id="59" xr3:uid="{FEFC0B2B-3E07-498F-B6B1-89CBBBF79477}" uniqueName="59" name="TTMSpend" queryTableFieldId="25"/>
    <tableColumn id="60" xr3:uid="{C37CDFA8-6068-49C1-82A4-CBDEEA4C5C74}" uniqueName="60" name="AnnualOpportunity" queryTableFieldId="26"/>
    <tableColumn id="61" xr3:uid="{6E4BC1F5-4D80-450D-9FC3-706AA6B38C6F}" uniqueName="61" name="RejectedValue" queryTableFieldId="27"/>
    <tableColumn id="62" xr3:uid="{5D0EF551-8125-4260-91ED-C4C2EB0C2F9A}" uniqueName="62" name="PPV" queryTableFieldId="28"/>
    <tableColumn id="63" xr3:uid="{2DFB4F96-9526-4C05-82D1-4D9EEAE69BAB}" uniqueName="63" name="OffContractSpend" queryTableFieldId="29"/>
    <tableColumn id="64" xr3:uid="{8AB8E261-428F-4170-B973-004A3E6A6F2F}" uniqueName="64" name="AcceptanceRatePct" queryTableFieldId="30"/>
    <tableColumn id="65" xr3:uid="{E445C301-C4D7-462B-9410-AB4D95ED5314}" uniqueName="65" name="LeverageScore" queryTableFieldId="31"/>
    <tableColumn id="66" xr3:uid="{34DAEF04-9332-40C4-8BB3-50D8D8A2096A}" uniqueName="66" name="ActionCode" queryTableFieldId="32" dataDxfId="38"/>
    <tableColumn id="67" xr3:uid="{6A0568D0-94D2-42E8-85A0-BA1F696E18FE}" uniqueName="67" name="IsThisQuarter" queryTableFieldId="33"/>
    <tableColumn id="68" xr3:uid="{F6D10C1A-F704-4D93-93A0-876BA87DFB26}" uniqueName="68" name="RecommendedAction" queryTableFieldId="34" dataDxfId="3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76A252-DBDA-4925-B9D9-F560E722204C}" name="tVendor" displayName="tVendor" ref="A1:V37" tableType="queryTable" totalsRowShown="0" headerRowDxfId="31">
  <autoFilter ref="A1:V37" xr:uid="{FC76A252-DBDA-4925-B9D9-F560E722204C}"/>
  <tableColumns count="22">
    <tableColumn id="23" xr3:uid="{A8660A5E-0020-4EC8-9F0C-47383D9B36C4}" uniqueName="23" name="VendorID" queryTableFieldId="1" dataDxfId="35"/>
    <tableColumn id="24" xr3:uid="{CD3CA3E5-1597-4EA5-9C82-167FF858A210}" uniqueName="24" name="VendorName" queryTableFieldId="2" dataDxfId="34"/>
    <tableColumn id="25" xr3:uid="{88FEA644-C060-4F15-9B51-4EE8950D49C4}" uniqueName="25" name="Country" queryTableFieldId="3" dataDxfId="33"/>
    <tableColumn id="26" xr3:uid="{A275E6E7-5299-432D-BC11-0E584D4072AF}" uniqueName="26" name="VendorTier" queryTableFieldId="4" dataDxfId="32"/>
    <tableColumn id="27" xr3:uid="{C5001FF5-5E82-4BFD-92F3-3988F0C12B22}" uniqueName="27" name="LumenRevenueSharePct" queryTableFieldId="5"/>
    <tableColumn id="28" xr3:uid="{E076761B-604C-4EBD-8D1B-E105BA944A62}" uniqueName="28" name="Lines" queryTableFieldId="6"/>
    <tableColumn id="29" xr3:uid="{D3108726-FD35-43DC-A9E8-5713BF8A5470}" uniqueName="29" name="TotalSpend" queryTableFieldId="7"/>
    <tableColumn id="30" xr3:uid="{24935807-9AFC-489D-8AD0-E8498905A5CA}" uniqueName="30" name="LandedSpend" queryTableFieldId="8"/>
    <tableColumn id="31" xr3:uid="{AA1B9EB4-1CBC-4402-824A-B79705E046A3}" uniqueName="31" name="FreightSpend" queryTableFieldId="9"/>
    <tableColumn id="32" xr3:uid="{A956FD25-B7D3-4514-A5EB-501E75175BA6}" uniqueName="32" name="ExpediteSpend" queryTableFieldId="10"/>
    <tableColumn id="33" xr3:uid="{15A4ECE8-A32C-4EBB-82F0-68C64E48EA2C}" uniqueName="33" name="ExpeditePctOfSpend" queryTableFieldId="11"/>
    <tableColumn id="34" xr3:uid="{B334CC5B-2FCF-4F57-A846-E96E2EDE8A2C}" uniqueName="34" name="OnContractPct" queryTableFieldId="12"/>
    <tableColumn id="35" xr3:uid="{D896A0FD-ADDF-4AFF-A2FD-CD3EE6B9D0F7}" uniqueName="35" name="PPVAmount" queryTableFieldId="13"/>
    <tableColumn id="36" xr3:uid="{F045937F-ED0F-4516-B8EE-5865DBCCB99E}" uniqueName="36" name="PPVPct" queryTableFieldId="14"/>
    <tableColumn id="37" xr3:uid="{87D4D661-D46A-4F8B-A852-D212B8439B4C}" uniqueName="37" name="QtyReceived" queryTableFieldId="15"/>
    <tableColumn id="38" xr3:uid="{28284D4C-FD84-473C-A79A-FFFC90E823D2}" uniqueName="38" name="QtyAccepted" queryTableFieldId="16"/>
    <tableColumn id="39" xr3:uid="{3E0F277A-906A-4FC7-8641-30339F92CFFC}" uniqueName="39" name="AcceptanceRatePct" queryTableFieldId="17"/>
    <tableColumn id="40" xr3:uid="{B51D1C78-823D-4E43-896C-304C8C2093CC}" uniqueName="40" name="RejectedValue" queryTableFieldId="18"/>
    <tableColumn id="41" xr3:uid="{57554FF3-51B2-48BB-A3CA-7CC9BC049FAC}" uniqueName="41" name="OnTimePct" queryTableFieldId="19"/>
    <tableColumn id="42" xr3:uid="{472123AD-5F36-4C77-AB51-81FA4D33041F}" uniqueName="42" name="AvgDaysLate" queryTableFieldId="20"/>
    <tableColumn id="43" xr3:uid="{04FB5BF1-0835-4981-89DE-29E3440E2399}" uniqueName="43" name="CostIndexVsBest" queryTableFieldId="21"/>
    <tableColumn id="44" xr3:uid="{9F6F12C0-11AE-4FA3-9965-3CDF4C29FB1D}" uniqueName="44" name="SharedParts" queryTableFieldId="2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BDCF263-B711-4CA6-BA2B-209F686E5356}" name="tKPI" displayName="tKPI" ref="A1:O26" tableType="queryTable" totalsRowShown="0" headerRowDxfId="29">
  <autoFilter ref="A1:O26" xr:uid="{BBDCF263-B711-4CA6-BA2B-209F686E5356}"/>
  <tableColumns count="15">
    <tableColumn id="16" xr3:uid="{A2B55100-0467-43C5-AF77-70A582D67582}" uniqueName="16" name="AsOfDate" queryTableFieldId="1" dataDxfId="30"/>
    <tableColumn id="17" xr3:uid="{FB240C11-B127-4B0E-AC34-6E591E1DB1CC}" uniqueName="17" name="Lines" queryTableFieldId="2"/>
    <tableColumn id="18" xr3:uid="{FD36114E-115F-476A-AB59-71D9C9CB79A3}" uniqueName="18" name="TotalSpend" queryTableFieldId="3"/>
    <tableColumn id="19" xr3:uid="{387C7649-01E4-42B8-9F9B-AB51B95F3388}" uniqueName="19" name="LandedSpend" queryTableFieldId="4"/>
    <tableColumn id="20" xr3:uid="{9FD660B8-E064-4A88-9CBF-EFA60B7322A4}" uniqueName="20" name="PPVAmount" queryTableFieldId="5"/>
    <tableColumn id="21" xr3:uid="{6A851F57-7C63-4CF6-B06B-93FD662BD0D8}" uniqueName="21" name="PPVPct" queryTableFieldId="6"/>
    <tableColumn id="22" xr3:uid="{C2699040-422F-4A4C-8288-549F164B8529}" uniqueName="22" name="MaverickSpendPct" queryTableFieldId="7"/>
    <tableColumn id="23" xr3:uid="{E499A07E-F052-4415-A7FF-04AA4E2DB0C1}" uniqueName="23" name="AcceptanceRatePct" queryTableFieldId="8"/>
    <tableColumn id="24" xr3:uid="{097013E9-893B-458F-92EA-36997687781D}" uniqueName="24" name="RejectedValue" queryTableFieldId="9"/>
    <tableColumn id="25" xr3:uid="{FAD9203D-7449-4923-8E92-86B975DCFE6F}" uniqueName="25" name="OnTimeDeliveryPct" queryTableFieldId="10"/>
    <tableColumn id="26" xr3:uid="{35057B4C-BF2D-4B85-B4AC-B2C0259ADA10}" uniqueName="26" name="ExpediteSpendPct" queryTableFieldId="11"/>
    <tableColumn id="27" xr3:uid="{8B14D274-FEBD-4ECA-9E9E-D8B8D9825422}" uniqueName="27" name="ErosionCapturePct" queryTableFieldId="12"/>
    <tableColumn id="28" xr3:uid="{435019F9-6883-4BD8-89CF-4DB22952F30B}" uniqueName="28" name="ErosionOpportunity" queryTableFieldId="13"/>
    <tableColumn id="29" xr3:uid="{BE39A4D6-D77B-43D3-80B5-D47DBB064559}" uniqueName="29" name="SingleSourceSpendPct" queryTableFieldId="14"/>
    <tableColumn id="30" xr3:uid="{1C09CD53-EF8B-4F42-8DF5-C6219F29E9F8}" uniqueName="30" name="Top5VendorSharePct" queryTableFieldId="1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7D5E8B2-13C1-426F-8114-C596B423A1B0}" name="tCategory" displayName="tCategory" ref="A1:L9" tableType="queryTable" totalsRowShown="0" headerRowDxfId="25">
  <autoFilter ref="A1:L9" xr:uid="{E7D5E8B2-13C1-426F-8114-C596B423A1B0}"/>
  <tableColumns count="12">
    <tableColumn id="13" xr3:uid="{F3148F35-EC95-40C4-9E44-1C4CB0F4B86F}" uniqueName="13" name="AsOfDate" queryTableFieldId="1" dataDxfId="28"/>
    <tableColumn id="14" xr3:uid="{7444DD38-7353-4D03-BD95-D7842A9E9816}" uniqueName="14" name="GroupedBy" queryTableFieldId="2" dataDxfId="27"/>
    <tableColumn id="15" xr3:uid="{C5C59AB1-E8F5-4933-8733-69D2DD6B5F0A}" uniqueName="15" name="GroupValue" queryTableFieldId="3" dataDxfId="26"/>
    <tableColumn id="16" xr3:uid="{6ACF525D-C210-448E-8A4F-19FCE08F0F90}" uniqueName="16" name="Lines" queryTableFieldId="4"/>
    <tableColumn id="17" xr3:uid="{8DEF0816-EAF3-47B0-81C5-01B9E5127BA9}" uniqueName="17" name="TotalSpend" queryTableFieldId="5"/>
    <tableColumn id="18" xr3:uid="{9192DF8E-4904-4268-9CBB-E34BDA0D6D13}" uniqueName="18" name="LandedSpend" queryTableFieldId="6"/>
    <tableColumn id="19" xr3:uid="{2BFDF832-957F-4E64-A457-62203A9E4D57}" uniqueName="19" name="SpendSharePct" queryTableFieldId="7"/>
    <tableColumn id="20" xr3:uid="{C391044C-4FE6-42A1-AA6C-C868907F341B}" uniqueName="20" name="MaverickPct" queryTableFieldId="8"/>
    <tableColumn id="21" xr3:uid="{B48D0220-B6AD-47A0-B488-4BE5933B46DD}" uniqueName="21" name="AcceptancePct" queryTableFieldId="9"/>
    <tableColumn id="22" xr3:uid="{D4896C70-2E4E-4084-9C17-7949BDA59635}" uniqueName="22" name="OnTimePct" queryTableFieldId="10"/>
    <tableColumn id="23" xr3:uid="{6E1A140C-F86B-4FE9-AC39-1C3296708A3E}" uniqueName="23" name="ExpeditePct" queryTableFieldId="11"/>
    <tableColumn id="24" xr3:uid="{90FFFBA0-48C8-446F-A711-D2192338840E}" uniqueName="24" name="SingleSourcePct" queryTableFieldId="1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21D1F49-8EBE-44BF-A58E-1F7582083EA2}" name="tBenchmark" displayName="tBenchmark" ref="A1:E9" tableType="queryTable" totalsRowShown="0" headerRowDxfId="21">
  <autoFilter ref="A1:E9" xr:uid="{021D1F49-8EBE-44BF-A58E-1F7582083EA2}"/>
  <tableColumns count="5">
    <tableColumn id="6" xr3:uid="{C392CAAA-2466-45C7-9BD3-AA17483A5E3E}" uniqueName="6" name="Category" queryTableFieldId="1" dataDxfId="24"/>
    <tableColumn id="7" xr3:uid="{C2A8F3EF-F714-48E9-8B01-7F19CC57051E}" uniqueName="7" name="AnnualErosionPct" queryTableFieldId="2"/>
    <tableColumn id="8" xr3:uid="{8DC05BBA-A3E9-4F5D-A8C8-0506354B9590}" uniqueName="8" name="ToleranceBandPct" queryTableFieldId="3"/>
    <tableColumn id="9" xr3:uid="{0EFE609B-6139-4A7E-9A6F-31DD2DD19965}" uniqueName="9" name="MaturityProfile" queryTableFieldId="4" dataDxfId="23"/>
    <tableColumn id="10" xr3:uid="{FEE8EBCD-C895-4C43-9953-06476E44BCE6}" uniqueName="10" name="SourceNote" queryTableFieldId="5" dataDxfId="2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188D6AD-44D5-4642-AB93-382108976BEA}" name="tTargets" displayName="tTargets" ref="A1:F9" tableType="queryTable" totalsRowShown="0" headerRowDxfId="16">
  <autoFilter ref="A1:F9" xr:uid="{0188D6AD-44D5-4642-AB93-382108976BEA}"/>
  <tableColumns count="6">
    <tableColumn id="7" xr3:uid="{4F1051D5-5C2B-4950-AD2D-5D108F8D9825}" uniqueName="7" name="MetricName" queryTableFieldId="1" dataDxfId="20"/>
    <tableColumn id="8" xr3:uid="{06DC69EF-0BF3-4FF7-921F-A87FFDAB7E8F}" uniqueName="8" name="TargetValue" queryTableFieldId="2"/>
    <tableColumn id="9" xr3:uid="{FB358EA7-C309-46E1-BF02-2BB8508DC063}" uniqueName="9" name="WarningValue" queryTableFieldId="3"/>
    <tableColumn id="10" xr3:uid="{0EF2384A-6648-4412-8164-15F0AB579AB3}" uniqueName="10" name="Direction" queryTableFieldId="4" dataDxfId="19"/>
    <tableColumn id="11" xr3:uid="{6C20D458-C3F4-4D9B-A098-BE05C4DD5C51}" uniqueName="11" name="Unit" queryTableFieldId="5" dataDxfId="18"/>
    <tableColumn id="12" xr3:uid="{3A905B26-C7E3-44E4-AF38-7132B8C375E7}" uniqueName="12" name="Description" queryTableFieldId="6" dataDxfId="17"/>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EF6DED5-F733-458B-9726-5A128FBF0707}" name="tReject" displayName="tReject" ref="A1:C9" tableType="queryTable" totalsRowShown="0" headerRowDxfId="12">
  <autoFilter ref="A1:C9" xr:uid="{3EF6DED5-F733-458B-9726-5A128FBF0707}"/>
  <tableColumns count="3">
    <tableColumn id="4" xr3:uid="{1B847BD2-0536-4CBA-8BF5-51F7ECFC7B3F}" uniqueName="4" name="RejectReasonCode" queryTableFieldId="1" dataDxfId="15"/>
    <tableColumn id="5" xr3:uid="{E28D685B-699B-4F78-AF1A-1624E9FCF116}" uniqueName="5" name="Description" queryTableFieldId="2" dataDxfId="14"/>
    <tableColumn id="6" xr3:uid="{EFC86096-356C-47DE-8B1D-CE2020602807}" uniqueName="6" name="Attribution" queryTableFieldId="3" dataDxfId="13"/>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90F7D1B-D578-4F83-9E80-7BC67D10BC04}" name="tDQ" displayName="tDQ" ref="A1:I11" tableType="queryTable" totalsRowShown="0" headerRowDxfId="7">
  <autoFilter ref="A1:I11" xr:uid="{C90F7D1B-D578-4F83-9E80-7BC67D10BC04}"/>
  <tableColumns count="9">
    <tableColumn id="10" xr3:uid="{B11BD905-1784-425C-BC41-BE74D09894C2}" uniqueName="10" name="AnomalyType" queryTableFieldId="1" dataDxfId="11"/>
    <tableColumn id="11" xr3:uid="{3A885875-20E8-4EB6-BA79-6C8D5AEB017B}" uniqueName="11" name="EntityType" queryTableFieldId="2" dataDxfId="10"/>
    <tableColumn id="12" xr3:uid="{CAE00FCE-4AC7-4B31-80C6-C51511D9B9EB}" uniqueName="12" name="Severity" queryTableFieldId="3" dataDxfId="9"/>
    <tableColumn id="13" xr3:uid="{DC09CF73-73E8-407E-A566-5A2EFB50D385}" uniqueName="13" name="ImpactClass" queryTableFieldId="4" dataDxfId="8"/>
    <tableColumn id="14" xr3:uid="{3EBDCD22-4867-4843-AB64-36FC1ADF463A}" uniqueName="14" name="Anomalies" queryTableFieldId="5"/>
    <tableColumn id="15" xr3:uid="{9B46B3F2-F3CA-4B10-9CBC-799CD0BDCC00}" uniqueName="15" name="AmountAtRisk" queryTableFieldId="6"/>
    <tableColumn id="16" xr3:uid="{8C56D89B-F303-4C25-B59D-BA38A97B901A}" uniqueName="16" name="PopulationScanned" queryTableFieldId="7"/>
    <tableColumn id="17" xr3:uid="{6E3070A7-7A49-4548-8EEC-6F99440BE224}" uniqueName="17" name="AnomalyRatePct" queryTableFieldId="8"/>
    <tableColumn id="18" xr3:uid="{AF16E622-BD53-46F7-BF84-AF4479E00252}" uniqueName="18" name="CountsTowardExposure"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65606-E132-4CAA-91D3-CE12EDBB5B36}">
  <dimension ref="A1:A27"/>
  <sheetViews>
    <sheetView tabSelected="1" workbookViewId="0"/>
  </sheetViews>
  <sheetFormatPr defaultRowHeight="14.5" x14ac:dyDescent="0.35"/>
  <cols>
    <col min="1" max="1" width="140.6328125" customWidth="1"/>
  </cols>
  <sheetData>
    <row r="1" spans="1:1" ht="21" x14ac:dyDescent="0.5">
      <c r="A1" s="1" t="s">
        <v>7604</v>
      </c>
    </row>
    <row r="3" spans="1:1" x14ac:dyDescent="0.35">
      <c r="A3" t="s">
        <v>7702</v>
      </c>
    </row>
    <row r="5" spans="1:1" x14ac:dyDescent="0.35">
      <c r="A5" s="9" t="s">
        <v>7703</v>
      </c>
    </row>
    <row r="6" spans="1:1" x14ac:dyDescent="0.35">
      <c r="A6" t="s">
        <v>7606</v>
      </c>
    </row>
    <row r="8" spans="1:1" x14ac:dyDescent="0.35">
      <c r="A8" s="9" t="s">
        <v>7704</v>
      </c>
    </row>
    <row r="9" spans="1:1" x14ac:dyDescent="0.35">
      <c r="A9" t="s">
        <v>7705</v>
      </c>
    </row>
    <row r="11" spans="1:1" x14ac:dyDescent="0.35">
      <c r="A11" s="9" t="s">
        <v>7706</v>
      </c>
    </row>
    <row r="12" spans="1:1" x14ac:dyDescent="0.35">
      <c r="A12" t="s">
        <v>7707</v>
      </c>
    </row>
    <row r="13" spans="1:1" x14ac:dyDescent="0.35">
      <c r="A13" t="s">
        <v>7708</v>
      </c>
    </row>
    <row r="14" spans="1:1" x14ac:dyDescent="0.35">
      <c r="A14" t="s">
        <v>7709</v>
      </c>
    </row>
    <row r="15" spans="1:1" x14ac:dyDescent="0.35">
      <c r="A15" t="s">
        <v>7710</v>
      </c>
    </row>
    <row r="16" spans="1:1" x14ac:dyDescent="0.35">
      <c r="A16" t="s">
        <v>7711</v>
      </c>
    </row>
    <row r="17" spans="1:1" x14ac:dyDescent="0.35">
      <c r="A17" t="s">
        <v>7712</v>
      </c>
    </row>
    <row r="18" spans="1:1" x14ac:dyDescent="0.35">
      <c r="A18" t="s">
        <v>7713</v>
      </c>
    </row>
    <row r="20" spans="1:1" x14ac:dyDescent="0.35">
      <c r="A20" s="9" t="s">
        <v>7714</v>
      </c>
    </row>
    <row r="21" spans="1:1" x14ac:dyDescent="0.35">
      <c r="A21" t="s">
        <v>7715</v>
      </c>
    </row>
    <row r="22" spans="1:1" x14ac:dyDescent="0.35">
      <c r="A22" t="s">
        <v>7716</v>
      </c>
    </row>
    <row r="23" spans="1:1" x14ac:dyDescent="0.35">
      <c r="A23" t="s">
        <v>7717</v>
      </c>
    </row>
    <row r="24" spans="1:1" x14ac:dyDescent="0.35">
      <c r="A24" t="s">
        <v>7718</v>
      </c>
    </row>
    <row r="26" spans="1:1" x14ac:dyDescent="0.35">
      <c r="A26" s="9" t="s">
        <v>7719</v>
      </c>
    </row>
    <row r="27" spans="1:1" x14ac:dyDescent="0.35">
      <c r="A27" t="s">
        <v>7720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B87D0-6AF8-4E0D-81C0-39A827BE3423}">
  <dimension ref="A1:H39"/>
  <sheetViews>
    <sheetView workbookViewId="0"/>
  </sheetViews>
  <sheetFormatPr defaultRowHeight="14.5" x14ac:dyDescent="0.35"/>
  <cols>
    <col min="1" max="1" width="32.6328125" customWidth="1"/>
    <col min="2" max="2" width="15.6328125" customWidth="1"/>
    <col min="3" max="3" width="14.6328125" customWidth="1"/>
    <col min="4" max="4" width="13.6328125" customWidth="1"/>
    <col min="5" max="5" width="30.6328125" customWidth="1"/>
    <col min="6" max="6" width="13.6328125" customWidth="1"/>
    <col min="7" max="7" width="58.6328125" customWidth="1"/>
    <col min="8" max="8" width="60.6328125" customWidth="1"/>
  </cols>
  <sheetData>
    <row r="1" spans="1:8" ht="23.5" x14ac:dyDescent="0.55000000000000004">
      <c r="A1" s="18" t="s">
        <v>7604</v>
      </c>
    </row>
    <row r="2" spans="1:8" x14ac:dyDescent="0.35">
      <c r="A2" s="2" t="str">
        <f>"Twelve months to "&amp;TEXT(AsOfDate,"d mmmm yyyy")&amp;"   |   Fictional company, synthetic data, no production system."</f>
        <v>Twelve months to 31 December 2025   |   Fictional company, synthetic data, no production system.</v>
      </c>
    </row>
    <row r="4" spans="1:8" x14ac:dyDescent="0.35">
      <c r="A4" s="4" t="s">
        <v>7605</v>
      </c>
      <c r="B4" s="19"/>
      <c r="C4" s="19"/>
      <c r="D4" s="19"/>
      <c r="E4" s="19"/>
      <c r="F4" s="19"/>
      <c r="G4" s="19"/>
      <c r="H4" s="19"/>
    </row>
    <row r="5" spans="1:8" ht="30" customHeight="1" x14ac:dyDescent="0.35">
      <c r="A5" s="10" t="s">
        <v>7606</v>
      </c>
      <c r="B5" s="10"/>
      <c r="C5" s="10"/>
      <c r="D5" s="10"/>
      <c r="E5" s="10"/>
      <c r="F5" s="10"/>
      <c r="G5" s="10"/>
      <c r="H5" s="10"/>
    </row>
    <row r="7" spans="1:8" x14ac:dyDescent="0.35">
      <c r="A7" s="3" t="s">
        <v>7607</v>
      </c>
      <c r="E7" s="3" t="s">
        <v>7617</v>
      </c>
    </row>
    <row r="8" spans="1:8" x14ac:dyDescent="0.35">
      <c r="A8" t="s">
        <v>7608</v>
      </c>
      <c r="C8" s="16">
        <f>SUMIFS(tPO[ExtendedPrice],tPO[OrderDate],"&gt;"&amp;WinFrom,tPO[OrderDate],"&lt;="&amp;WinTo)</f>
        <v>48586386.859999955</v>
      </c>
      <c r="E8" t="s">
        <v>7618</v>
      </c>
      <c r="G8" s="20">
        <f>COUNTA(tErosion[PartNumber])</f>
        <v>185</v>
      </c>
    </row>
    <row r="9" spans="1:8" x14ac:dyDescent="0.35">
      <c r="A9" t="s">
        <v>7609</v>
      </c>
      <c r="C9" s="16">
        <f>SUMIFS(tPO[LandedCost],tPO[OrderDate],"&gt;"&amp;WinFrom,tPO[OrderDate],"&lt;="&amp;WinTo)</f>
        <v>49474785.920000069</v>
      </c>
      <c r="E9" t="s">
        <v>7619</v>
      </c>
      <c r="G9" s="16">
        <f>SUMPRODUCT(tErosion[ErosionCapturePct],tErosion[TTMSpend])/SUM(tErosion[TTMSpend])</f>
        <v>29.499100987530092</v>
      </c>
    </row>
    <row r="10" spans="1:8" x14ac:dyDescent="0.35">
      <c r="A10" t="s">
        <v>7610</v>
      </c>
      <c r="C10" s="16">
        <f>SUMIFS(tPO[FreightAmount],tPO[OrderDate],"&gt;"&amp;WinFrom,tPO[OrderDate],"&lt;="&amp;WinTo)</f>
        <v>779056.82000000251</v>
      </c>
      <c r="E10" t="s">
        <v>7620</v>
      </c>
      <c r="G10" s="16">
        <f>SUMIF(tErosion[AnnualOpportunity],"&gt;0")</f>
        <v>4047608.7199999983</v>
      </c>
      <c r="H10" s="2" t="s">
        <v>7625</v>
      </c>
    </row>
    <row r="11" spans="1:8" x14ac:dyDescent="0.35">
      <c r="A11" t="s">
        <v>7611</v>
      </c>
      <c r="C11" s="16">
        <f>SUMIFS(tPO[ExpediteFee],tPO[OrderDate],"&gt;"&amp;WinFrom,tPO[OrderDate],"&lt;="&amp;WinTo)</f>
        <v>109342.23999999999</v>
      </c>
      <c r="E11" t="s">
        <v>7621</v>
      </c>
      <c r="G11" s="20">
        <f>COUNTIF(tErosion[AnnualOpportunity],"&lt;0")</f>
        <v>19</v>
      </c>
    </row>
    <row r="12" spans="1:8" x14ac:dyDescent="0.35">
      <c r="A12" t="s">
        <v>7612</v>
      </c>
      <c r="C12" s="16">
        <f>SUMIFS(tPO[ExtendedPrice],tPO[OrderDate],"&gt;"&amp;WinFrom,tPO[OrderDate],"&lt;="&amp;WinTo,tPO[IsOnContract],0)</f>
        <v>13161619.999999993</v>
      </c>
      <c r="E12" t="s">
        <v>7622</v>
      </c>
      <c r="G12" s="16">
        <f>SUMIF(tErosion[AnnualOpportunity],"&lt;0")</f>
        <v>-249428.64</v>
      </c>
    </row>
    <row r="13" spans="1:8" x14ac:dyDescent="0.35">
      <c r="A13" t="s">
        <v>7613</v>
      </c>
      <c r="C13" s="16">
        <f>SUMIFS(tPO[ExtendedPrice],tPO[OrderDate],"&gt;"&amp;WinFrom,tPO[OrderDate],"&lt;="&amp;WinTo,tPO[IsSingleSource],1)</f>
        <v>13201039.679999996</v>
      </c>
      <c r="E13" t="s">
        <v>7623</v>
      </c>
      <c r="G13" s="20">
        <f>COUNTIFS(tErosion[ErosionCapturePct],"&lt;20")</f>
        <v>61</v>
      </c>
    </row>
    <row r="14" spans="1:8" x14ac:dyDescent="0.35">
      <c r="A14" t="s">
        <v>7614</v>
      </c>
      <c r="C14" s="20">
        <f>SUMIFS(tPO[QtyReceived],tPO[OrderDate],"&gt;"&amp;WinFrom,tPO[OrderDate],"&lt;="&amp;WinTo)</f>
        <v>560046</v>
      </c>
      <c r="E14" t="s">
        <v>7624</v>
      </c>
      <c r="G14" s="16">
        <f>SUMIFS(tErosion[TTMSpend],tErosion[ErosionCapturePct],"&lt;20")</f>
        <v>17495220.699999996</v>
      </c>
    </row>
    <row r="15" spans="1:8" x14ac:dyDescent="0.35">
      <c r="A15" t="s">
        <v>7615</v>
      </c>
      <c r="C15" s="20">
        <f>SUMIFS(tPO[QtyAccepted],tPO[OrderDate],"&gt;"&amp;WinFrom,tPO[OrderDate],"&lt;="&amp;WinTo)</f>
        <v>555083</v>
      </c>
    </row>
    <row r="16" spans="1:8" x14ac:dyDescent="0.35">
      <c r="A16" t="s">
        <v>7616</v>
      </c>
      <c r="C16" s="16">
        <f>SUMIFS(tPO[RejectedValue],tPO[OrderDate],"&gt;"&amp;WinFrom,tPO[OrderDate],"&lt;="&amp;WinTo)</f>
        <v>498840.70999999926</v>
      </c>
    </row>
    <row r="18" spans="1:7" x14ac:dyDescent="0.35">
      <c r="A18" s="3" t="s">
        <v>7626</v>
      </c>
    </row>
    <row r="19" spans="1:7" x14ac:dyDescent="0.35">
      <c r="A19" s="4" t="s">
        <v>7627</v>
      </c>
      <c r="B19" s="4" t="s">
        <v>7628</v>
      </c>
      <c r="C19" s="4" t="s">
        <v>7629</v>
      </c>
      <c r="D19" s="4" t="s">
        <v>7630</v>
      </c>
      <c r="E19" s="4" t="s">
        <v>7631</v>
      </c>
      <c r="F19" s="4" t="s">
        <v>7632</v>
      </c>
      <c r="G19" s="4" t="s">
        <v>7633</v>
      </c>
    </row>
    <row r="20" spans="1:7" x14ac:dyDescent="0.35">
      <c r="A20" t="s">
        <v>7634</v>
      </c>
      <c r="B20" s="21">
        <f>$G$9</f>
        <v>29.499100987530092</v>
      </c>
      <c r="C20" s="21">
        <f>INDEX(tTargets[TargetValue],MATCH("ErosionCapturePct",tTargets[MetricName],0))</f>
        <v>80</v>
      </c>
      <c r="D20" s="21">
        <f>INDEX(tTargets[WarningValue],MATCH("ErosionCapturePct",tTargets[MetricName],0))</f>
        <v>60</v>
      </c>
      <c r="E20" s="23" t="str">
        <f>IF(B20&gt;=C20,"Green",IF(B20&gt;=D20,"Amber","Red"))</f>
        <v>Red</v>
      </c>
      <c r="F20" s="22">
        <f>C20-B20</f>
        <v>50.500899012469908</v>
      </c>
      <c r="G20" t="s">
        <v>7635</v>
      </c>
    </row>
    <row r="21" spans="1:7" x14ac:dyDescent="0.35">
      <c r="A21" t="s">
        <v>7636</v>
      </c>
      <c r="B21" s="21">
        <f>100*$C$12/$C$8</f>
        <v>27.089110449650764</v>
      </c>
      <c r="C21" s="21">
        <f>INDEX(tTargets[TargetValue],MATCH("MaverickSpendPct",tTargets[MetricName],0))</f>
        <v>5</v>
      </c>
      <c r="D21" s="21">
        <f>INDEX(tTargets[WarningValue],MATCH("MaverickSpendPct",tTargets[MetricName],0))</f>
        <v>12</v>
      </c>
      <c r="E21" s="23" t="str">
        <f>IF(B21&lt;=C21,"Green",IF(B21&lt;=D21,"Amber","Red"))</f>
        <v>Red</v>
      </c>
      <c r="F21" s="22">
        <f>B21-C21</f>
        <v>22.089110449650764</v>
      </c>
      <c r="G21" t="s">
        <v>7637</v>
      </c>
    </row>
    <row r="22" spans="1:7" x14ac:dyDescent="0.35">
      <c r="A22" t="s">
        <v>7638</v>
      </c>
      <c r="B22" s="21">
        <f>100*SUMIFS(tPO[PPVAmount],tPO[OrderDate],"&gt;"&amp;WinFrom,tPO[OrderDate],"&lt;="&amp;WinTo)/SUMIFS(tPO[ContractedExtended],tPO[OrderDate],"&gt;"&amp;WinFrom,tPO[OrderDate],"&lt;="&amp;WinTo)</f>
        <v>-0.18902297660968786</v>
      </c>
      <c r="C22" s="21">
        <f>INDEX(tTargets[TargetValue],MATCH("PPVPct",tTargets[MetricName],0))</f>
        <v>0</v>
      </c>
      <c r="D22" s="21">
        <f>INDEX(tTargets[WarningValue],MATCH("PPVPct",tTargets[MetricName],0))</f>
        <v>2</v>
      </c>
      <c r="E22" s="23" t="str">
        <f>IF(B22&lt;=C22,"Green",IF(B22&lt;=D22,"Amber","Red"))</f>
        <v>Green</v>
      </c>
      <c r="F22" s="22">
        <f>B22-C22</f>
        <v>-0.18902297660968786</v>
      </c>
      <c r="G22" t="s">
        <v>7639</v>
      </c>
    </row>
    <row r="23" spans="1:7" x14ac:dyDescent="0.35">
      <c r="A23" t="s">
        <v>7640</v>
      </c>
      <c r="B23" s="21">
        <f>100*$C$15/$C$14</f>
        <v>99.11382279312771</v>
      </c>
      <c r="C23" s="21">
        <f>INDEX(tTargets[TargetValue],MATCH("AcceptanceRatePct",tTargets[MetricName],0))</f>
        <v>98</v>
      </c>
      <c r="D23" s="21">
        <f>INDEX(tTargets[WarningValue],MATCH("AcceptanceRatePct",tTargets[MetricName],0))</f>
        <v>95</v>
      </c>
      <c r="E23" s="23" t="str">
        <f>IF(B23&gt;=C23,"Green",IF(B23&gt;=D23,"Amber","Red"))</f>
        <v>Green</v>
      </c>
      <c r="F23" s="22">
        <f>C23-B23</f>
        <v>-1.11382279312771</v>
      </c>
      <c r="G23" t="s">
        <v>7641</v>
      </c>
    </row>
    <row r="24" spans="1:7" x14ac:dyDescent="0.35">
      <c r="A24" t="s">
        <v>7642</v>
      </c>
      <c r="B24" s="21">
        <f>100*COUNTIFS(tPO[IsOnTime],1,tPO[OrderDate],"&gt;"&amp;WinFrom,tPO[OrderDate],"&lt;="&amp;WinTo)/COUNTIFS(tPO[IsOnTime],"&gt;=0",tPO[OrderDate],"&gt;"&amp;WinFrom,tPO[OrderDate],"&lt;="&amp;WinTo)</f>
        <v>80.622837370242209</v>
      </c>
      <c r="C24" s="21">
        <f>INDEX(tTargets[TargetValue],MATCH("OnTimeDeliveryPct",tTargets[MetricName],0))</f>
        <v>95</v>
      </c>
      <c r="D24" s="21">
        <f>INDEX(tTargets[WarningValue],MATCH("OnTimeDeliveryPct",tTargets[MetricName],0))</f>
        <v>90</v>
      </c>
      <c r="E24" s="23" t="str">
        <f>IF(B24&gt;=C24,"Green",IF(B24&gt;=D24,"Amber","Red"))</f>
        <v>Red</v>
      </c>
      <c r="F24" s="22">
        <f>C24-B24</f>
        <v>14.377162629757791</v>
      </c>
      <c r="G24" t="s">
        <v>7643</v>
      </c>
    </row>
    <row r="25" spans="1:7" x14ac:dyDescent="0.35">
      <c r="A25" t="s">
        <v>7644</v>
      </c>
      <c r="B25" s="21">
        <f>100*$C$11/$C$8</f>
        <v>0.22504706990265813</v>
      </c>
      <c r="C25" s="21">
        <f>INDEX(tTargets[TargetValue],MATCH("ExpediteSpendPct",tTargets[MetricName],0))</f>
        <v>1</v>
      </c>
      <c r="D25" s="21">
        <f>INDEX(tTargets[WarningValue],MATCH("ExpediteSpendPct",tTargets[MetricName],0))</f>
        <v>3</v>
      </c>
      <c r="E25" s="23" t="str">
        <f>IF(B25&lt;=C25,"Green",IF(B25&lt;=D25,"Amber","Red"))</f>
        <v>Green</v>
      </c>
      <c r="F25" s="22">
        <f>B25-C25</f>
        <v>-0.7749529300973419</v>
      </c>
      <c r="G25" t="s">
        <v>7645</v>
      </c>
    </row>
    <row r="26" spans="1:7" x14ac:dyDescent="0.35">
      <c r="A26" t="s">
        <v>7646</v>
      </c>
      <c r="B26" s="21">
        <f>100*$C$13/$C$8</f>
        <v>27.17024362819641</v>
      </c>
      <c r="C26" s="21">
        <f>INDEX(tTargets[TargetValue],MATCH("SingleSourceSpendPct",tTargets[MetricName],0))</f>
        <v>20</v>
      </c>
      <c r="D26" s="21">
        <f>INDEX(tTargets[WarningValue],MATCH("SingleSourceSpendPct",tTargets[MetricName],0))</f>
        <v>35</v>
      </c>
      <c r="E26" s="23" t="str">
        <f>IF(B26&lt;=C26,"Green",IF(B26&lt;=D26,"Amber","Red"))</f>
        <v>Amber</v>
      </c>
      <c r="F26" s="22">
        <f>B26-C26</f>
        <v>7.1702436281964097</v>
      </c>
      <c r="G26" t="s">
        <v>7647</v>
      </c>
    </row>
    <row r="27" spans="1:7" x14ac:dyDescent="0.35">
      <c r="A27" t="s">
        <v>7648</v>
      </c>
      <c r="B27" s="21">
        <f>100*xlTop5/xlWindowAll</f>
        <v>27.1981550265868</v>
      </c>
      <c r="C27" s="21">
        <f>INDEX(tTargets[TargetValue],MATCH("Top5VendorSharePct",tTargets[MetricName],0))</f>
        <v>50</v>
      </c>
      <c r="D27" s="21">
        <f>INDEX(tTargets[WarningValue],MATCH("Top5VendorSharePct",tTargets[MetricName],0))</f>
        <v>70</v>
      </c>
      <c r="E27" s="23" t="str">
        <f>IF(B27&lt;=C27,"Green",IF(B27&lt;=D27,"Amber","Red"))</f>
        <v>Green</v>
      </c>
      <c r="F27" s="22">
        <f>B27-C27</f>
        <v>-22.8018449734132</v>
      </c>
      <c r="G27" t="s">
        <v>7649</v>
      </c>
    </row>
    <row r="29" spans="1:7" x14ac:dyDescent="0.35">
      <c r="A29" s="3" t="s">
        <v>7650</v>
      </c>
    </row>
    <row r="30" spans="1:7" x14ac:dyDescent="0.35">
      <c r="A30" s="15" t="s">
        <v>20</v>
      </c>
      <c r="B30" s="15" t="s">
        <v>7651</v>
      </c>
      <c r="C30" s="15" t="s">
        <v>7652</v>
      </c>
      <c r="D30" s="15" t="s">
        <v>7653</v>
      </c>
      <c r="E30" s="15" t="s">
        <v>7654</v>
      </c>
      <c r="F30" s="15" t="s">
        <v>7655</v>
      </c>
      <c r="G30" s="15" t="s">
        <v>7656</v>
      </c>
    </row>
    <row r="31" spans="1:7" x14ac:dyDescent="0.35">
      <c r="A31" t="str">
        <f>IFERROR(INDEX(tBenchmark[Category],1),"")</f>
        <v>Fibre Connector</v>
      </c>
      <c r="B31" s="20">
        <f>IF($A31="","",SUMIFS(tPO[ExtendedPrice],tPO[OrderDate],"&gt;"&amp;WinFrom,tPO[OrderDate],"&lt;="&amp;WinTo,tPO[Category],$A31))</f>
        <v>2929738.0500000012</v>
      </c>
      <c r="C31" s="25">
        <f>IF($A31="","",100*B31/$C$8)</f>
        <v>6.0299566181818438</v>
      </c>
      <c r="D31" s="21">
        <f>IFERROR(INDEX(tBenchmark[AnnualErosionPct],1),"")</f>
        <v>7</v>
      </c>
      <c r="E31" s="21">
        <f>IF($A31="","",IFERROR(SUMPRODUCT((tErosion[Category]=$A31)*tErosion[ErosionCapturePct]*tErosion[TTMSpend])/SUMPRODUCT((tErosion[Category]=$A31)*tErosion[TTMSpend]),""))</f>
        <v>28.839434478058156</v>
      </c>
      <c r="F31" s="20">
        <f>IF($A31="","",SUMIFS(tErosion[AnnualOpportunity],tErosion[Category],$A31,tErosion[AnnualOpportunity],"&gt;0"))</f>
        <v>359521.71</v>
      </c>
      <c r="G31" s="25">
        <f>IF($A31="","",IFERROR(100*SUMIFS(tPO[ExtendedPrice],tPO[OrderDate],"&gt;"&amp;WinFrom,tPO[OrderDate],"&lt;="&amp;WinTo,tPO[Category],$A31,tPO[IsOnContract],0)/SUMIFS(tPO[ExtendedPrice],tPO[OrderDate],"&gt;"&amp;WinFrom,tPO[OrderDate],"&lt;="&amp;WinTo,tPO[Category],$A31),""))</f>
        <v>10.011915229076534</v>
      </c>
    </row>
    <row r="32" spans="1:7" x14ac:dyDescent="0.35">
      <c r="A32" t="str">
        <f>IFERROR(INDEX(tBenchmark[Category],2),"")</f>
        <v>Laser Diode</v>
      </c>
      <c r="B32" s="20">
        <f>IF($A32="","",SUMIFS(tPO[ExtendedPrice],tPO[OrderDate],"&gt;"&amp;WinFrom,tPO[OrderDate],"&lt;="&amp;WinTo,tPO[Category],$A32))</f>
        <v>10615764.760000002</v>
      </c>
      <c r="C32" s="25">
        <f>IF($A32="","",100*B32/$C$8)</f>
        <v>21.849257469152771</v>
      </c>
      <c r="D32" s="21">
        <f>IFERROR(INDEX(tBenchmark[AnnualErosionPct],2),"")</f>
        <v>8</v>
      </c>
      <c r="E32" s="21">
        <f>IF($A32="","",IFERROR(SUMPRODUCT((tErosion[Category]=$A32)*tErosion[ErosionCapturePct]*tErosion[TTMSpend])/SUMPRODUCT((tErosion[Category]=$A32)*tErosion[TTMSpend]),""))</f>
        <v>42.984472608461374</v>
      </c>
      <c r="F32" s="20">
        <f>IF($A32="","",SUMIFS(tErosion[AnnualOpportunity],tErosion[Category],$A32,tErosion[AnnualOpportunity],"&gt;0"))</f>
        <v>1189602.5499999996</v>
      </c>
      <c r="G32" s="25">
        <f>IF($A32="","",IFERROR(100*SUMIFS(tPO[ExtendedPrice],tPO[OrderDate],"&gt;"&amp;WinFrom,tPO[OrderDate],"&lt;="&amp;WinTo,tPO[Category],$A32,tPO[IsOnContract],0)/SUMIFS(tPO[ExtendedPrice],tPO[OrderDate],"&gt;"&amp;WinFrom,tPO[OrderDate],"&lt;="&amp;WinTo,tPO[Category],$A32),""))</f>
        <v>28.031511598793173</v>
      </c>
    </row>
    <row r="33" spans="1:7" x14ac:dyDescent="0.35">
      <c r="A33" t="str">
        <f>IFERROR(INDEX(tBenchmark[Category],3),"")</f>
        <v>Lens Assembly</v>
      </c>
      <c r="B33" s="20">
        <f>IF($A33="","",SUMIFS(tPO[ExtendedPrice],tPO[OrderDate],"&gt;"&amp;WinFrom,tPO[OrderDate],"&lt;="&amp;WinTo,tPO[Category],$A33))</f>
        <v>5521842.9299999997</v>
      </c>
      <c r="C33" s="25">
        <f>IF($A33="","",100*B33/$C$8)</f>
        <v>11.365000130408967</v>
      </c>
      <c r="D33" s="21">
        <f>IFERROR(INDEX(tBenchmark[AnnualErosionPct],3),"")</f>
        <v>3</v>
      </c>
      <c r="E33" s="21">
        <f>IF($A33="","",IFERROR(SUMPRODUCT((tErosion[Category]=$A33)*tErosion[ErosionCapturePct]*tErosion[TTMSpend])/SUMPRODUCT((tErosion[Category]=$A33)*tErosion[TTMSpend]),""))</f>
        <v>-14.074411349555589</v>
      </c>
      <c r="F33" s="20">
        <f>IF($A33="","",SUMIFS(tErosion[AnnualOpportunity],tErosion[Category],$A33,tErosion[AnnualOpportunity],"&gt;0"))</f>
        <v>429596.73000000004</v>
      </c>
      <c r="G33" s="25">
        <f>IF($A33="","",IFERROR(100*SUMIFS(tPO[ExtendedPrice],tPO[OrderDate],"&gt;"&amp;WinFrom,tPO[OrderDate],"&lt;="&amp;WinTo,tPO[Category],$A33,tPO[IsOnContract],0)/SUMIFS(tPO[ExtendedPrice],tPO[OrderDate],"&gt;"&amp;WinFrom,tPO[OrderDate],"&lt;="&amp;WinTo,tPO[Category],$A33),""))</f>
        <v>40.204203707764663</v>
      </c>
    </row>
    <row r="34" spans="1:7" x14ac:dyDescent="0.35">
      <c r="A34" t="str">
        <f>IFERROR(INDEX(tBenchmark[Category],4),"")</f>
        <v>Optical Coating</v>
      </c>
      <c r="B34" s="20">
        <f>IF($A34="","",SUMIFS(tPO[ExtendedPrice],tPO[OrderDate],"&gt;"&amp;WinFrom,tPO[OrderDate],"&lt;="&amp;WinTo,tPO[Category],$A34))</f>
        <v>4144023.4000000018</v>
      </c>
      <c r="C34" s="25">
        <f>IF($A34="","",100*B34/$C$8)</f>
        <v>8.5291861935337288</v>
      </c>
      <c r="D34" s="21">
        <f>IFERROR(INDEX(tBenchmark[AnnualErosionPct],4),"")</f>
        <v>5</v>
      </c>
      <c r="E34" s="21">
        <f>IF($A34="","",IFERROR(SUMPRODUCT((tErosion[Category]=$A34)*tErosion[ErosionCapturePct]*tErosion[TTMSpend])/SUMPRODUCT((tErosion[Category]=$A34)*tErosion[TTMSpend]),""))</f>
        <v>43.097375222904617</v>
      </c>
      <c r="F34" s="20">
        <f>IF($A34="","",SUMIFS(tErosion[AnnualOpportunity],tErosion[Category],$A34,tErosion[AnnualOpportunity],"&gt;0"))</f>
        <v>259235.99999999997</v>
      </c>
      <c r="G34" s="25">
        <f>IF($A34="","",IFERROR(100*SUMIFS(tPO[ExtendedPrice],tPO[OrderDate],"&gt;"&amp;WinFrom,tPO[OrderDate],"&lt;="&amp;WinTo,tPO[Category],$A34,tPO[IsOnContract],0)/SUMIFS(tPO[ExtendedPrice],tPO[OrderDate],"&gt;"&amp;WinFrom,tPO[OrderDate],"&lt;="&amp;WinTo,tPO[Category],$A34),""))</f>
        <v>22.588663471350081</v>
      </c>
    </row>
    <row r="35" spans="1:7" x14ac:dyDescent="0.35">
      <c r="A35" t="str">
        <f>IFERROR(INDEX(tBenchmark[Category],5),"")</f>
        <v>Optical Fibre</v>
      </c>
      <c r="B35" s="20">
        <f>IF($A35="","",SUMIFS(tPO[ExtendedPrice],tPO[OrderDate],"&gt;"&amp;WinFrom,tPO[OrderDate],"&lt;="&amp;WinTo,tPO[Category],$A35))</f>
        <v>11843665.93</v>
      </c>
      <c r="C35" s="25">
        <f>IF($A35="","",100*B35/$C$8)</f>
        <v>24.376510984706737</v>
      </c>
      <c r="D35" s="21">
        <f>IFERROR(INDEX(tBenchmark[AnnualErosionPct],5),"")</f>
        <v>4</v>
      </c>
      <c r="E35" s="21">
        <f>IF($A35="","",IFERROR(SUMPRODUCT((tErosion[Category]=$A35)*tErosion[ErosionCapturePct]*tErosion[TTMSpend])/SUMPRODUCT((tErosion[Category]=$A35)*tErosion[TTMSpend]),""))</f>
        <v>43.885710896797953</v>
      </c>
      <c r="F35" s="20">
        <f>IF($A35="","",SUMIFS(tErosion[AnnualOpportunity],tErosion[Category],$A35,tErosion[AnnualOpportunity],"&gt;0"))</f>
        <v>715059.09</v>
      </c>
      <c r="G35" s="25">
        <f>IF($A35="","",IFERROR(100*SUMIFS(tPO[ExtendedPrice],tPO[OrderDate],"&gt;"&amp;WinFrom,tPO[OrderDate],"&lt;="&amp;WinTo,tPO[Category],$A35,tPO[IsOnContract],0)/SUMIFS(tPO[ExtendedPrice],tPO[OrderDate],"&gt;"&amp;WinFrom,tPO[OrderDate],"&lt;="&amp;WinTo,tPO[Category],$A35),""))</f>
        <v>18.361651813325</v>
      </c>
    </row>
    <row r="36" spans="1:7" x14ac:dyDescent="0.35">
      <c r="A36" t="str">
        <f>IFERROR(INDEX(tBenchmark[Category],6),"")</f>
        <v>Photodetector</v>
      </c>
      <c r="B36" s="20">
        <f>IF($A36="","",SUMIFS(tPO[ExtendedPrice],tPO[OrderDate],"&gt;"&amp;WinFrom,tPO[OrderDate],"&lt;="&amp;WinTo,tPO[Category],$A36))</f>
        <v>6260935.660000002</v>
      </c>
      <c r="C36" s="25">
        <f>IF($A36="","",100*B36/$C$8)</f>
        <v>12.886193159496875</v>
      </c>
      <c r="D36" s="21">
        <f>IFERROR(INDEX(tBenchmark[AnnualErosionPct],6),"")</f>
        <v>6.5</v>
      </c>
      <c r="E36" s="21">
        <f>IF($A36="","",IFERROR(SUMPRODUCT((tErosion[Category]=$A36)*tErosion[ErosionCapturePct]*tErosion[TTMSpend])/SUMPRODUCT((tErosion[Category]=$A36)*tErosion[TTMSpend]),""))</f>
        <v>30.426866284504555</v>
      </c>
      <c r="F36" s="20">
        <f>IF($A36="","",SUMIFS(tErosion[AnnualOpportunity],tErosion[Category],$A36,tErosion[AnnualOpportunity],"&gt;0"))</f>
        <v>619420.28</v>
      </c>
      <c r="G36" s="25">
        <f>IF($A36="","",IFERROR(100*SUMIFS(tPO[ExtendedPrice],tPO[OrderDate],"&gt;"&amp;WinFrom,tPO[OrderDate],"&lt;="&amp;WinTo,tPO[Category],$A36,tPO[IsOnContract],0)/SUMIFS(tPO[ExtendedPrice],tPO[OrderDate],"&gt;"&amp;WinFrom,tPO[OrderDate],"&lt;="&amp;WinTo,tPO[Category],$A36),""))</f>
        <v>40.060672656712768</v>
      </c>
    </row>
    <row r="37" spans="1:7" x14ac:dyDescent="0.35">
      <c r="A37" t="str">
        <f>IFERROR(INDEX(tBenchmark[Category],7),"")</f>
        <v>Precision Mount</v>
      </c>
      <c r="B37" s="20">
        <f>IF($A37="","",SUMIFS(tPO[ExtendedPrice],tPO[OrderDate],"&gt;"&amp;WinFrom,tPO[OrderDate],"&lt;="&amp;WinTo,tPO[Category],$A37))</f>
        <v>3429103.1399999992</v>
      </c>
      <c r="C37" s="25">
        <f>IF($A37="","",100*B37/$C$8)</f>
        <v>7.0577446927281198</v>
      </c>
      <c r="D37" s="21">
        <f>IFERROR(INDEX(tBenchmark[AnnualErosionPct],7),"")</f>
        <v>2</v>
      </c>
      <c r="E37" s="21">
        <f>IF($A37="","",IFERROR(SUMPRODUCT((tErosion[Category]=$A37)*tErosion[ErosionCapturePct]*tErosion[TTMSpend])/SUMPRODUCT((tErosion[Category]=$A37)*tErosion[TTMSpend]),""))</f>
        <v>-20.831331066113542</v>
      </c>
      <c r="F37" s="20">
        <f>IF($A37="","",SUMIFS(tErosion[AnnualOpportunity],tErosion[Category],$A37,tErosion[AnnualOpportunity],"&gt;0"))</f>
        <v>189051.85</v>
      </c>
      <c r="G37" s="25">
        <f>IF($A37="","",IFERROR(100*SUMIFS(tPO[ExtendedPrice],tPO[OrderDate],"&gt;"&amp;WinFrom,tPO[OrderDate],"&lt;="&amp;WinTo,tPO[Category],$A37,tPO[IsOnContract],0)/SUMIFS(tPO[ExtendedPrice],tPO[OrderDate],"&gt;"&amp;WinFrom,tPO[OrderDate],"&lt;="&amp;WinTo,tPO[Category],$A37),""))</f>
        <v>26.112232658012154</v>
      </c>
    </row>
    <row r="38" spans="1:7" x14ac:dyDescent="0.35">
      <c r="A38" t="str">
        <f>IFERROR(INDEX(tBenchmark[Category],8),"")</f>
        <v>Thermal Control</v>
      </c>
      <c r="B38" s="20">
        <f>IF($A38="","",SUMIFS(tPO[ExtendedPrice],tPO[OrderDate],"&gt;"&amp;WinFrom,tPO[OrderDate],"&lt;="&amp;WinTo,tPO[Category],$A38))</f>
        <v>3841312.9899999984</v>
      </c>
      <c r="C38" s="25">
        <f>IF($A38="","",100*B38/$C$8)</f>
        <v>7.9061507517910581</v>
      </c>
      <c r="D38" s="21">
        <f>IFERROR(INDEX(tBenchmark[AnnualErosionPct],8),"")</f>
        <v>5.5</v>
      </c>
      <c r="E38" s="21">
        <f>IF($A38="","",IFERROR(SUMPRODUCT((tErosion[Category]=$A38)*tErosion[ErosionCapturePct]*tErosion[TTMSpend])/SUMPRODUCT((tErosion[Category]=$A38)*tErosion[TTMSpend]),""))</f>
        <v>38.547711380574398</v>
      </c>
      <c r="F38" s="20">
        <f>IF($A38="","",SUMIFS(tErosion[AnnualOpportunity],tErosion[Category],$A38,tErosion[AnnualOpportunity],"&gt;0"))</f>
        <v>286120.51</v>
      </c>
      <c r="G38" s="25">
        <f>IF($A38="","",IFERROR(100*SUMIFS(tPO[ExtendedPrice],tPO[OrderDate],"&gt;"&amp;WinFrom,tPO[OrderDate],"&lt;="&amp;WinTo,tPO[Category],$A38,tPO[IsOnContract],0)/SUMIFS(tPO[ExtendedPrice],tPO[OrderDate],"&gt;"&amp;WinFrom,tPO[OrderDate],"&lt;="&amp;WinTo,tPO[Category],$A38),""))</f>
        <v>30.150218766734771</v>
      </c>
    </row>
    <row r="39" spans="1:7" x14ac:dyDescent="0.35">
      <c r="A39" s="3" t="s">
        <v>7657</v>
      </c>
      <c r="B39" s="24">
        <f>SUM(B31:B38)</f>
        <v>48586386.860000014</v>
      </c>
      <c r="C39" s="26">
        <f>SUM(C31:C38)</f>
        <v>100.0000000000001</v>
      </c>
      <c r="D39" s="27"/>
      <c r="E39" s="27"/>
      <c r="F39" s="24">
        <f>SUM(F31:F38)</f>
        <v>4047608.7199999997</v>
      </c>
      <c r="G39" s="26"/>
    </row>
  </sheetData>
  <mergeCells count="1">
    <mergeCell ref="A5:H5"/>
  </mergeCells>
  <conditionalFormatting sqref="E20:E27">
    <cfRule type="cellIs" dxfId="6" priority="1" stopIfTrue="1" operator="equal">
      <formula>"""Green"""</formula>
    </cfRule>
    <cfRule type="cellIs" dxfId="5" priority="2" stopIfTrue="1" operator="equal">
      <formula>"""Amber"""</formula>
    </cfRule>
    <cfRule type="cellIs" dxfId="4" priority="3" stopIfTrue="1" operator="equal">
      <formula>"""Red"""</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786A3-13E0-4B5F-8D91-03902EAE60A3}">
  <dimension ref="A1:P34"/>
  <sheetViews>
    <sheetView workbookViewId="0"/>
  </sheetViews>
  <sheetFormatPr defaultRowHeight="14.5" x14ac:dyDescent="0.35"/>
  <cols>
    <col min="1" max="1" width="5.6328125" customWidth="1"/>
    <col min="2" max="2" width="14.6328125" customWidth="1"/>
    <col min="3" max="3" width="17.6328125" customWidth="1"/>
    <col min="4" max="4" width="10.6328125" customWidth="1"/>
    <col min="5" max="5" width="17.6328125" customWidth="1"/>
    <col min="6" max="6" width="9.6328125" customWidth="1"/>
    <col min="7" max="8" width="10.6328125" customWidth="1"/>
    <col min="9" max="9" width="11.6328125" customWidth="1"/>
    <col min="10" max="10" width="12.6328125" customWidth="1"/>
    <col min="11" max="12" width="14.6328125" customWidth="1"/>
    <col min="13" max="13" width="11.6328125" customWidth="1"/>
    <col min="14" max="14" width="19.6328125" customWidth="1"/>
    <col min="15" max="15" width="72.6328125" customWidth="1"/>
  </cols>
  <sheetData>
    <row r="1" spans="1:16" ht="21" x14ac:dyDescent="0.5">
      <c r="A1" s="1" t="s">
        <v>7658</v>
      </c>
    </row>
    <row r="2" spans="1:16" ht="28" customHeight="1" x14ac:dyDescent="0.35">
      <c r="A2" s="10" t="s">
        <v>7659</v>
      </c>
      <c r="B2" s="10"/>
      <c r="C2" s="10"/>
      <c r="D2" s="10"/>
      <c r="E2" s="10"/>
      <c r="F2" s="10"/>
      <c r="G2" s="10"/>
      <c r="H2" s="10"/>
      <c r="I2" s="10"/>
      <c r="J2" s="10"/>
      <c r="K2" s="10"/>
      <c r="L2" s="10"/>
      <c r="M2" s="10"/>
      <c r="N2" s="10"/>
      <c r="O2" s="10"/>
      <c r="P2" s="10"/>
    </row>
    <row r="4" spans="1:16" x14ac:dyDescent="0.35">
      <c r="B4" s="3" t="s">
        <v>7660</v>
      </c>
      <c r="C4" s="7" t="s">
        <v>7661</v>
      </c>
      <c r="F4" s="3" t="s">
        <v>7665</v>
      </c>
      <c r="H4">
        <f>SUM(Calc!$B$52:$B$236)</f>
        <v>43</v>
      </c>
    </row>
    <row r="5" spans="1:16" x14ac:dyDescent="0.35">
      <c r="B5" s="3" t="s">
        <v>7662</v>
      </c>
      <c r="C5" s="7" t="s">
        <v>7661</v>
      </c>
      <c r="F5" s="3" t="s">
        <v>7666</v>
      </c>
      <c r="H5" s="16">
        <f>SUMPRODUCT(Calc!$B$52:$B$236,tQueue[AnnualOpportunity])</f>
        <v>2673946.2099999995</v>
      </c>
    </row>
    <row r="6" spans="1:16" x14ac:dyDescent="0.35">
      <c r="B6" s="3" t="s">
        <v>20</v>
      </c>
      <c r="C6" s="7" t="s">
        <v>7661</v>
      </c>
      <c r="F6" s="3" t="s">
        <v>7667</v>
      </c>
      <c r="H6" s="16">
        <f>SUMPRODUCT(Calc!$B$52:$B$236,tQueue[TTMSpend])</f>
        <v>18583467.129999995</v>
      </c>
    </row>
    <row r="7" spans="1:16" x14ac:dyDescent="0.35">
      <c r="B7" s="3" t="s">
        <v>7663</v>
      </c>
      <c r="C7" s="7" t="s">
        <v>7664</v>
      </c>
      <c r="F7" s="3" t="str">
        <f>"Showing top "&amp;MIN(QueueRowsShown,H4)&amp;" of "&amp;H4</f>
        <v>Showing top 25 of 43</v>
      </c>
    </row>
    <row r="9" spans="1:16" ht="29" x14ac:dyDescent="0.35">
      <c r="A9" s="28" t="s">
        <v>7668</v>
      </c>
      <c r="B9" s="28" t="s">
        <v>7669</v>
      </c>
      <c r="C9" s="28" t="s">
        <v>20</v>
      </c>
      <c r="D9" s="28" t="s">
        <v>7596</v>
      </c>
      <c r="E9" s="28" t="s">
        <v>7670</v>
      </c>
      <c r="F9" s="28" t="s">
        <v>7671</v>
      </c>
      <c r="G9" s="28" t="s">
        <v>7672</v>
      </c>
      <c r="H9" s="28" t="s">
        <v>7673</v>
      </c>
      <c r="I9" s="28" t="s">
        <v>7674</v>
      </c>
      <c r="J9" s="28" t="s">
        <v>7675</v>
      </c>
      <c r="K9" s="28" t="s">
        <v>7676</v>
      </c>
      <c r="L9" s="28" t="s">
        <v>7655</v>
      </c>
      <c r="M9" s="28" t="s">
        <v>7677</v>
      </c>
      <c r="N9" s="28" t="s">
        <v>7662</v>
      </c>
      <c r="O9" s="28" t="s">
        <v>7678</v>
      </c>
    </row>
    <row r="10" spans="1:16" x14ac:dyDescent="0.35">
      <c r="A10">
        <f>IF(1&gt;MIN(QueueRowsShown,$H$4),"",1)</f>
        <v>1</v>
      </c>
      <c r="B10" t="str">
        <f>IFERROR(INDEX(tQueue[PartNumber],MATCH(1,Calc!$C$52:$C$236,0)),"")</f>
        <v>LOM-0104</v>
      </c>
      <c r="C10" t="str">
        <f>IFERROR(INDEX(tQueue[Category],MATCH(1,Calc!$C$52:$C$236,0)),"")</f>
        <v>Laser Diode</v>
      </c>
      <c r="D10" t="str">
        <f>IFERROR(INDEX(tQueue[VendorID],MATCH(1,Calc!$C$52:$C$236,0)),"")</f>
        <v>VEN-003</v>
      </c>
      <c r="E10" t="str">
        <f>IFERROR(INDEX(tQueue[BuyerName],MATCH(1,Calc!$C$52:$C$236,0)),"")</f>
        <v>Adaeze Okonkwo</v>
      </c>
      <c r="F10">
        <f>IFERROR(INDEX(tQueue[QualifiedSupplierCount],MATCH(1,Calc!$C$52:$C$236,0)),"")</f>
        <v>2</v>
      </c>
      <c r="G10" s="21">
        <f>IFERROR(INDEX(tQueue[BenchmarkErosionPct],MATCH(1,Calc!$C$52:$C$236,0)),"")</f>
        <v>8</v>
      </c>
      <c r="H10" s="21">
        <f>IFERROR(INDEX(tQueue[ActualErosionPct],MATCH(1,Calc!$C$52:$C$236,0)),"")</f>
        <v>-4.4740000000000002</v>
      </c>
      <c r="I10" s="21">
        <f>IFERROR(INDEX(tQueue[ErosionCapturePct],MATCH(1,Calc!$C$52:$C$236,0)),"")</f>
        <v>-55.93</v>
      </c>
      <c r="J10" s="21">
        <f>IFERROR(INDEX(tQueue[ErosionGapPerUnit],MATCH(1,Calc!$C$52:$C$236,0)),"")</f>
        <v>180.35050000000001</v>
      </c>
      <c r="K10" s="20">
        <f>IFERROR(INDEX(tQueue[TTMSpend],MATCH(1,Calc!$C$52:$C$236,0)),"")</f>
        <v>714564.24</v>
      </c>
      <c r="L10" s="20">
        <f>IFERROR(INDEX(tQueue[AnnualOpportunity],MATCH(1,Calc!$C$52:$C$236,0)),"")</f>
        <v>199828.4</v>
      </c>
      <c r="M10" s="25">
        <f>IFERROR(INDEX(tQueue[LeverageScore],MATCH(1,Calc!$C$52:$C$236,0)),"")</f>
        <v>59</v>
      </c>
      <c r="N10" t="str">
        <f>IFERROR(INDEX(tQueue[ActionCode],MATCH(1,Calc!$C$52:$C$236,0)),"")</f>
        <v>PUT_ON_CONTRACT</v>
      </c>
      <c r="O10" t="str">
        <f>IFERROR(INDEX(tQueue[RecommendedAction],MATCH(1,Calc!$C$52:$C$236,0)),"")</f>
        <v>Most of this spend has no agreement in force. Put it under contract before attempting to negotiate a price against nothing.</v>
      </c>
    </row>
    <row r="11" spans="1:16" x14ac:dyDescent="0.35">
      <c r="A11">
        <f>IF(2&gt;MIN(QueueRowsShown,$H$4),"",2)</f>
        <v>2</v>
      </c>
      <c r="B11" t="str">
        <f>IFERROR(INDEX(tQueue[PartNumber],MATCH(2,Calc!$C$52:$C$236,0)),"")</f>
        <v>LOM-0128</v>
      </c>
      <c r="C11" t="str">
        <f>IFERROR(INDEX(tQueue[Category],MATCH(2,Calc!$C$52:$C$236,0)),"")</f>
        <v>Laser Diode</v>
      </c>
      <c r="D11" t="str">
        <f>IFERROR(INDEX(tQueue[VendorID],MATCH(2,Calc!$C$52:$C$236,0)),"")</f>
        <v>VEN-015</v>
      </c>
      <c r="E11" t="str">
        <f>IFERROR(INDEX(tQueue[BuyerName],MATCH(2,Calc!$C$52:$C$236,0)),"")</f>
        <v>Adaeze Okonkwo</v>
      </c>
      <c r="F11">
        <f>IFERROR(INDEX(tQueue[QualifiedSupplierCount],MATCH(2,Calc!$C$52:$C$236,0)),"")</f>
        <v>2</v>
      </c>
      <c r="G11" s="21">
        <f>IFERROR(INDEX(tQueue[BenchmarkErosionPct],MATCH(2,Calc!$C$52:$C$236,0)),"")</f>
        <v>8</v>
      </c>
      <c r="H11" s="21">
        <f>IFERROR(INDEX(tQueue[ActualErosionPct],MATCH(2,Calc!$C$52:$C$236,0)),"")</f>
        <v>0.73799999999999999</v>
      </c>
      <c r="I11" s="21">
        <f>IFERROR(INDEX(tQueue[ErosionCapturePct],MATCH(2,Calc!$C$52:$C$236,0)),"")</f>
        <v>9.23</v>
      </c>
      <c r="J11" s="21">
        <f>IFERROR(INDEX(tQueue[ErosionGapPerUnit],MATCH(2,Calc!$C$52:$C$236,0)),"")</f>
        <v>150.62139999999999</v>
      </c>
      <c r="K11" s="20">
        <f>IFERROR(INDEX(tQueue[TTMSpend],MATCH(2,Calc!$C$52:$C$236,0)),"")</f>
        <v>997643.82</v>
      </c>
      <c r="L11" s="20">
        <f>IFERROR(INDEX(tQueue[AnnualOpportunity],MATCH(2,Calc!$C$52:$C$236,0)),"")</f>
        <v>179088.8</v>
      </c>
      <c r="M11" s="25">
        <f>IFERROR(INDEX(tQueue[LeverageScore],MATCH(2,Calc!$C$52:$C$236,0)),"")</f>
        <v>35</v>
      </c>
      <c r="N11" t="str">
        <f>IFERROR(INDEX(tQueue[ActionCode],MATCH(2,Calc!$C$52:$C$236,0)),"")</f>
        <v>RENEGOTIATE</v>
      </c>
      <c r="O11" t="str">
        <f>IFERROR(INDEX(tQueue[RecommendedAction],MATCH(2,Calc!$C$52:$C$236,0)),"")</f>
        <v>Renegotiate. A qualified alternative exists, though Lumen is under 8% of this supplier's revenue: leverage is weak, but the gap is large enough to justify the meeting. Open with the category erosion benchmark.</v>
      </c>
    </row>
    <row r="12" spans="1:16" x14ac:dyDescent="0.35">
      <c r="A12">
        <f>IF(3&gt;MIN(QueueRowsShown,$H$4),"",3)</f>
        <v>3</v>
      </c>
      <c r="B12" t="str">
        <f>IFERROR(INDEX(tQueue[PartNumber],MATCH(3,Calc!$C$52:$C$236,0)),"")</f>
        <v>LOM-0096</v>
      </c>
      <c r="C12" t="str">
        <f>IFERROR(INDEX(tQueue[Category],MATCH(3,Calc!$C$52:$C$236,0)),"")</f>
        <v>Laser Diode</v>
      </c>
      <c r="D12" t="str">
        <f>IFERROR(INDEX(tQueue[VendorID],MATCH(3,Calc!$C$52:$C$236,0)),"")</f>
        <v>VEN-011</v>
      </c>
      <c r="E12" t="str">
        <f>IFERROR(INDEX(tQueue[BuyerName],MATCH(3,Calc!$C$52:$C$236,0)),"")</f>
        <v>Adaeze Okonkwo</v>
      </c>
      <c r="F12">
        <f>IFERROR(INDEX(tQueue[QualifiedSupplierCount],MATCH(3,Calc!$C$52:$C$236,0)),"")</f>
        <v>1</v>
      </c>
      <c r="G12" s="21">
        <f>IFERROR(INDEX(tQueue[BenchmarkErosionPct],MATCH(3,Calc!$C$52:$C$236,0)),"")</f>
        <v>8</v>
      </c>
      <c r="H12" s="21">
        <f>IFERROR(INDEX(tQueue[ActualErosionPct],MATCH(3,Calc!$C$52:$C$236,0)),"")</f>
        <v>-2.262</v>
      </c>
      <c r="I12" s="21">
        <f>IFERROR(INDEX(tQueue[ErosionCapturePct],MATCH(3,Calc!$C$52:$C$236,0)),"")</f>
        <v>-28.28</v>
      </c>
      <c r="J12" s="21">
        <f>IFERROR(INDEX(tQueue[ErosionGapPerUnit],MATCH(3,Calc!$C$52:$C$236,0)),"")</f>
        <v>116.1129</v>
      </c>
      <c r="K12" s="20">
        <f>IFERROR(INDEX(tQueue[TTMSpend],MATCH(3,Calc!$C$52:$C$236,0)),"")</f>
        <v>686912.99</v>
      </c>
      <c r="L12" s="20">
        <f>IFERROR(INDEX(tQueue[AnnualOpportunity],MATCH(3,Calc!$C$52:$C$236,0)),"")</f>
        <v>176607.69</v>
      </c>
      <c r="M12" s="25">
        <f>IFERROR(INDEX(tQueue[LeverageScore],MATCH(3,Calc!$C$52:$C$236,0)),"")</f>
        <v>37</v>
      </c>
      <c r="N12" t="str">
        <f>IFERROR(INDEX(tQueue[ActionCode],MATCH(3,Calc!$C$52:$C$236,0)),"")</f>
        <v>PUT_ON_CONTRACT</v>
      </c>
      <c r="O12" t="str">
        <f>IFERROR(INDEX(tQueue[RecommendedAction],MATCH(3,Calc!$C$52:$C$236,0)),"")</f>
        <v>Most of this spend has no agreement in force. Put it under contract before attempting to negotiate a price against nothing.</v>
      </c>
    </row>
    <row r="13" spans="1:16" x14ac:dyDescent="0.35">
      <c r="A13">
        <f>IF(4&gt;MIN(QueueRowsShown,$H$4),"",4)</f>
        <v>4</v>
      </c>
      <c r="B13" t="str">
        <f>IFERROR(INDEX(tQueue[PartNumber],MATCH(4,Calc!$C$52:$C$236,0)),"")</f>
        <v>LOM-0048</v>
      </c>
      <c r="C13" t="str">
        <f>IFERROR(INDEX(tQueue[Category],MATCH(4,Calc!$C$52:$C$236,0)),"")</f>
        <v>Laser Diode</v>
      </c>
      <c r="D13" t="str">
        <f>IFERROR(INDEX(tQueue[VendorID],MATCH(4,Calc!$C$52:$C$236,0)),"")</f>
        <v>VEN-008</v>
      </c>
      <c r="E13" t="str">
        <f>IFERROR(INDEX(tQueue[BuyerName],MATCH(4,Calc!$C$52:$C$236,0)),"")</f>
        <v>Adaeze Okonkwo</v>
      </c>
      <c r="F13">
        <f>IFERROR(INDEX(tQueue[QualifiedSupplierCount],MATCH(4,Calc!$C$52:$C$236,0)),"")</f>
        <v>3</v>
      </c>
      <c r="G13" s="21">
        <f>IFERROR(INDEX(tQueue[BenchmarkErosionPct],MATCH(4,Calc!$C$52:$C$236,0)),"")</f>
        <v>8</v>
      </c>
      <c r="H13" s="21">
        <f>IFERROR(INDEX(tQueue[ActualErosionPct],MATCH(4,Calc!$C$52:$C$236,0)),"")</f>
        <v>2.202</v>
      </c>
      <c r="I13" s="21">
        <f>IFERROR(INDEX(tQueue[ErosionCapturePct],MATCH(4,Calc!$C$52:$C$236,0)),"")</f>
        <v>27.53</v>
      </c>
      <c r="J13" s="21">
        <f>IFERROR(INDEX(tQueue[ErosionGapPerUnit],MATCH(4,Calc!$C$52:$C$236,0)),"")</f>
        <v>113.51439999999999</v>
      </c>
      <c r="K13" s="20">
        <f>IFERROR(INDEX(tQueue[TTMSpend],MATCH(4,Calc!$C$52:$C$236,0)),"")</f>
        <v>988567.39</v>
      </c>
      <c r="L13" s="20">
        <f>IFERROR(INDEX(tQueue[AnnualOpportunity],MATCH(4,Calc!$C$52:$C$236,0)),"")</f>
        <v>154039.04000000001</v>
      </c>
      <c r="M13" s="25">
        <f>IFERROR(INDEX(tQueue[LeverageScore],MATCH(4,Calc!$C$52:$C$236,0)),"")</f>
        <v>70</v>
      </c>
      <c r="N13" t="str">
        <f>IFERROR(INDEX(tQueue[ActionCode],MATCH(4,Calc!$C$52:$C$236,0)),"")</f>
        <v>RENEGOTIATE</v>
      </c>
      <c r="O13" t="str">
        <f>IFERROR(INDEX(tQueue[RecommendedAction],MATCH(4,Calc!$C$52:$C$236,0)),"")</f>
        <v>Renegotiate. A qualified alternative exists, though Lumen is under 8% of this supplier's revenue. Open with the category erosion benchmark.</v>
      </c>
    </row>
    <row r="14" spans="1:16" x14ac:dyDescent="0.35">
      <c r="A14">
        <f>IF(5&gt;MIN(QueueRowsShown,$H$4),"",5)</f>
        <v>5</v>
      </c>
      <c r="B14" t="str">
        <f>IFERROR(INDEX(tQueue[PartNumber],MATCH(5,Calc!$C$52:$C$236,0)),"")</f>
        <v>LOM-0057</v>
      </c>
      <c r="C14" t="str">
        <f>IFERROR(INDEX(tQueue[Category],MATCH(5,Calc!$C$52:$C$236,0)),"")</f>
        <v>Photodetector</v>
      </c>
      <c r="D14" t="str">
        <f>IFERROR(INDEX(tQueue[VendorID],MATCH(5,Calc!$C$52:$C$236,0)),"")</f>
        <v>VEN-005</v>
      </c>
      <c r="E14" t="str">
        <f>IFERROR(INDEX(tQueue[BuyerName],MATCH(5,Calc!$C$52:$C$236,0)),"")</f>
        <v>Rafael Duarte</v>
      </c>
      <c r="F14">
        <f>IFERROR(INDEX(tQueue[QualifiedSupplierCount],MATCH(5,Calc!$C$52:$C$236,0)),"")</f>
        <v>1</v>
      </c>
      <c r="G14" s="21">
        <f>IFERROR(INDEX(tQueue[BenchmarkErosionPct],MATCH(5,Calc!$C$52:$C$236,0)),"")</f>
        <v>6.5</v>
      </c>
      <c r="H14" s="21">
        <f>IFERROR(INDEX(tQueue[ActualErosionPct],MATCH(5,Calc!$C$52:$C$236,0)),"")</f>
        <v>-3.504</v>
      </c>
      <c r="I14" s="21">
        <f>IFERROR(INDEX(tQueue[ErosionCapturePct],MATCH(5,Calc!$C$52:$C$236,0)),"")</f>
        <v>-53.91</v>
      </c>
      <c r="J14" s="21">
        <f>IFERROR(INDEX(tQueue[ErosionGapPerUnit],MATCH(5,Calc!$C$52:$C$236,0)),"")</f>
        <v>120.4996</v>
      </c>
      <c r="K14" s="20">
        <f>IFERROR(INDEX(tQueue[TTMSpend],MATCH(5,Calc!$C$52:$C$236,0)),"")</f>
        <v>436614.97</v>
      </c>
      <c r="L14" s="20">
        <f>IFERROR(INDEX(tQueue[AnnualOpportunity],MATCH(5,Calc!$C$52:$C$236,0)),"")</f>
        <v>105437.11</v>
      </c>
      <c r="M14" s="25">
        <f>IFERROR(INDEX(tQueue[LeverageScore],MATCH(5,Calc!$C$52:$C$236,0)),"")</f>
        <v>37</v>
      </c>
      <c r="N14" t="str">
        <f>IFERROR(INDEX(tQueue[ActionCode],MATCH(5,Calc!$C$52:$C$236,0)),"")</f>
        <v>PUT_ON_CONTRACT</v>
      </c>
      <c r="O14" t="str">
        <f>IFERROR(INDEX(tQueue[RecommendedAction],MATCH(5,Calc!$C$52:$C$236,0)),"")</f>
        <v>Most of this spend has no agreement in force. Put it under contract before attempting to negotiate a price against nothing.</v>
      </c>
    </row>
    <row r="15" spans="1:16" x14ac:dyDescent="0.35">
      <c r="A15">
        <f>IF(6&gt;MIN(QueueRowsShown,$H$4),"",6)</f>
        <v>6</v>
      </c>
      <c r="B15" t="str">
        <f>IFERROR(INDEX(tQueue[PartNumber],MATCH(6,Calc!$C$52:$C$236,0)),"")</f>
        <v>LOM-0082</v>
      </c>
      <c r="C15" t="str">
        <f>IFERROR(INDEX(tQueue[Category],MATCH(6,Calc!$C$52:$C$236,0)),"")</f>
        <v>Optical Fibre</v>
      </c>
      <c r="D15" t="str">
        <f>IFERROR(INDEX(tQueue[VendorID],MATCH(6,Calc!$C$52:$C$236,0)),"")</f>
        <v>VEN-032</v>
      </c>
      <c r="E15" t="str">
        <f>IFERROR(INDEX(tQueue[BuyerName],MATCH(6,Calc!$C$52:$C$236,0)),"")</f>
        <v>Mei-Ling Chow</v>
      </c>
      <c r="F15">
        <f>IFERROR(INDEX(tQueue[QualifiedSupplierCount],MATCH(6,Calc!$C$52:$C$236,0)),"")</f>
        <v>1</v>
      </c>
      <c r="G15" s="21">
        <f>IFERROR(INDEX(tQueue[BenchmarkErosionPct],MATCH(6,Calc!$C$52:$C$236,0)),"")</f>
        <v>4</v>
      </c>
      <c r="H15" s="21">
        <f>IFERROR(INDEX(tQueue[ActualErosionPct],MATCH(6,Calc!$C$52:$C$236,0)),"")</f>
        <v>1.6E-2</v>
      </c>
      <c r="I15" s="21">
        <f>IFERROR(INDEX(tQueue[ErosionCapturePct],MATCH(6,Calc!$C$52:$C$236,0)),"")</f>
        <v>0.4</v>
      </c>
      <c r="J15" s="21">
        <f>IFERROR(INDEX(tQueue[ErosionGapPerUnit],MATCH(6,Calc!$C$52:$C$236,0)),"")</f>
        <v>4.4279000000000002</v>
      </c>
      <c r="K15" s="20">
        <f>IFERROR(INDEX(tQueue[TTMSpend],MATCH(6,Calc!$C$52:$C$236,0)),"")</f>
        <v>1026650.19</v>
      </c>
      <c r="L15" s="20">
        <f>IFERROR(INDEX(tQueue[AnnualOpportunity],MATCH(6,Calc!$C$52:$C$236,0)),"")</f>
        <v>104353.4</v>
      </c>
      <c r="M15" s="25">
        <f>IFERROR(INDEX(tQueue[LeverageScore],MATCH(6,Calc!$C$52:$C$236,0)),"")</f>
        <v>60</v>
      </c>
      <c r="N15" t="str">
        <f>IFERROR(INDEX(tQueue[ActionCode],MATCH(6,Calc!$C$52:$C$236,0)),"")</f>
        <v>RENEGOTIATE</v>
      </c>
      <c r="O15" t="str">
        <f>IFERROR(INDEX(tQueue[RecommendedAction],MATCH(6,Calc!$C$52:$C$236,0)),"")</f>
        <v>Renegotiate. No second supplier is qualified, but Lumen is at least 8% of this supplier's revenue. Open with the category erosion benchmark.</v>
      </c>
    </row>
    <row r="16" spans="1:16" x14ac:dyDescent="0.35">
      <c r="A16">
        <f>IF(7&gt;MIN(QueueRowsShown,$H$4),"",7)</f>
        <v>7</v>
      </c>
      <c r="B16" t="str">
        <f>IFERROR(INDEX(tQueue[PartNumber],MATCH(7,Calc!$C$52:$C$236,0)),"")</f>
        <v>LOM-0024</v>
      </c>
      <c r="C16" t="str">
        <f>IFERROR(INDEX(tQueue[Category],MATCH(7,Calc!$C$52:$C$236,0)),"")</f>
        <v>Laser Diode</v>
      </c>
      <c r="D16" t="str">
        <f>IFERROR(INDEX(tQueue[VendorID],MATCH(7,Calc!$C$52:$C$236,0)),"")</f>
        <v>VEN-019</v>
      </c>
      <c r="E16" t="str">
        <f>IFERROR(INDEX(tQueue[BuyerName],MATCH(7,Calc!$C$52:$C$236,0)),"")</f>
        <v>Rafael Duarte</v>
      </c>
      <c r="F16">
        <f>IFERROR(INDEX(tQueue[QualifiedSupplierCount],MATCH(7,Calc!$C$52:$C$236,0)),"")</f>
        <v>1</v>
      </c>
      <c r="G16" s="21">
        <f>IFERROR(INDEX(tQueue[BenchmarkErosionPct],MATCH(7,Calc!$C$52:$C$236,0)),"")</f>
        <v>8</v>
      </c>
      <c r="H16" s="21">
        <f>IFERROR(INDEX(tQueue[ActualErosionPct],MATCH(7,Calc!$C$52:$C$236,0)),"")</f>
        <v>-0.97599999999999998</v>
      </c>
      <c r="I16" s="21">
        <f>IFERROR(INDEX(tQueue[ErosionCapturePct],MATCH(7,Calc!$C$52:$C$236,0)),"")</f>
        <v>-12.2</v>
      </c>
      <c r="J16" s="21">
        <f>IFERROR(INDEX(tQueue[ErosionGapPerUnit],MATCH(7,Calc!$C$52:$C$236,0)),"")</f>
        <v>98.907899999999998</v>
      </c>
      <c r="K16" s="20">
        <f>IFERROR(INDEX(tQueue[TTMSpend],MATCH(7,Calc!$C$52:$C$236,0)),"")</f>
        <v>454797.44</v>
      </c>
      <c r="L16" s="20">
        <f>IFERROR(INDEX(tQueue[AnnualOpportunity],MATCH(7,Calc!$C$52:$C$236,0)),"")</f>
        <v>101479.51</v>
      </c>
      <c r="M16" s="25">
        <f>IFERROR(INDEX(tQueue[LeverageScore],MATCH(7,Calc!$C$52:$C$236,0)),"")</f>
        <v>60</v>
      </c>
      <c r="N16" t="str">
        <f>IFERROR(INDEX(tQueue[ActionCode],MATCH(7,Calc!$C$52:$C$236,0)),"")</f>
        <v>RENEGOTIATE</v>
      </c>
      <c r="O16" t="str">
        <f>IFERROR(INDEX(tQueue[RecommendedAction],MATCH(7,Calc!$C$52:$C$236,0)),"")</f>
        <v>Renegotiate. No second supplier is qualified, but Lumen is at least 8% of this supplier's revenue. Open with the category erosion benchmark.</v>
      </c>
    </row>
    <row r="17" spans="1:15" x14ac:dyDescent="0.35">
      <c r="A17">
        <f>IF(8&gt;MIN(QueueRowsShown,$H$4),"",8)</f>
        <v>8</v>
      </c>
      <c r="B17" t="str">
        <f>IFERROR(INDEX(tQueue[PartNumber],MATCH(8,Calc!$C$52:$C$236,0)),"")</f>
        <v>LOM-0130</v>
      </c>
      <c r="C17" t="str">
        <f>IFERROR(INDEX(tQueue[Category],MATCH(8,Calc!$C$52:$C$236,0)),"")</f>
        <v>Optical Fibre</v>
      </c>
      <c r="D17" t="str">
        <f>IFERROR(INDEX(tQueue[VendorID],MATCH(8,Calc!$C$52:$C$236,0)),"")</f>
        <v>VEN-008</v>
      </c>
      <c r="E17" t="str">
        <f>IFERROR(INDEX(tQueue[BuyerName],MATCH(8,Calc!$C$52:$C$236,0)),"")</f>
        <v>Mei-Ling Chow</v>
      </c>
      <c r="F17">
        <f>IFERROR(INDEX(tQueue[QualifiedSupplierCount],MATCH(8,Calc!$C$52:$C$236,0)),"")</f>
        <v>1</v>
      </c>
      <c r="G17" s="21">
        <f>IFERROR(INDEX(tQueue[BenchmarkErosionPct],MATCH(8,Calc!$C$52:$C$236,0)),"")</f>
        <v>4</v>
      </c>
      <c r="H17" s="21">
        <f>IFERROR(INDEX(tQueue[ActualErosionPct],MATCH(8,Calc!$C$52:$C$236,0)),"")</f>
        <v>-1.56</v>
      </c>
      <c r="I17" s="21">
        <f>IFERROR(INDEX(tQueue[ErosionCapturePct],MATCH(8,Calc!$C$52:$C$236,0)),"")</f>
        <v>-39</v>
      </c>
      <c r="J17" s="21">
        <f>IFERROR(INDEX(tQueue[ErosionGapPerUnit],MATCH(8,Calc!$C$52:$C$236,0)),"")</f>
        <v>5.7596999999999996</v>
      </c>
      <c r="K17" s="20">
        <f>IFERROR(INDEX(tQueue[TTMSpend],MATCH(8,Calc!$C$52:$C$236,0)),"")</f>
        <v>694927.1</v>
      </c>
      <c r="L17" s="20">
        <f>IFERROR(INDEX(tQueue[AnnualOpportunity],MATCH(8,Calc!$C$52:$C$236,0)),"")</f>
        <v>96439.91</v>
      </c>
      <c r="M17" s="25">
        <f>IFERROR(INDEX(tQueue[LeverageScore],MATCH(8,Calc!$C$52:$C$236,0)),"")</f>
        <v>27</v>
      </c>
      <c r="N17" t="str">
        <f>IFERROR(INDEX(tQueue[ActionCode],MATCH(8,Calc!$C$52:$C$236,0)),"")</f>
        <v>DUAL_SOURCE</v>
      </c>
      <c r="O17" t="str">
        <f>IFERROR(INDEX(tQueue[RecommendedAction],MATCH(8,Calc!$C$52:$C$236,0)),"")</f>
        <v>Sole source with real money at stake and a reachable requalification. Qualify a second supplier, then reopen the price.</v>
      </c>
    </row>
    <row r="18" spans="1:15" x14ac:dyDescent="0.35">
      <c r="A18">
        <f>IF(9&gt;MIN(QueueRowsShown,$H$4),"",9)</f>
        <v>9</v>
      </c>
      <c r="B18" t="str">
        <f>IFERROR(INDEX(tQueue[PartNumber],MATCH(9,Calc!$C$52:$C$236,0)),"")</f>
        <v>LOM-0009</v>
      </c>
      <c r="C18" t="str">
        <f>IFERROR(INDEX(tQueue[Category],MATCH(9,Calc!$C$52:$C$236,0)),"")</f>
        <v>Photodetector</v>
      </c>
      <c r="D18" t="str">
        <f>IFERROR(INDEX(tQueue[VendorID],MATCH(9,Calc!$C$52:$C$236,0)),"")</f>
        <v>VEN-020</v>
      </c>
      <c r="E18" t="str">
        <f>IFERROR(INDEX(tQueue[BuyerName],MATCH(9,Calc!$C$52:$C$236,0)),"")</f>
        <v>Adaeze Okonkwo</v>
      </c>
      <c r="F18">
        <f>IFERROR(INDEX(tQueue[QualifiedSupplierCount],MATCH(9,Calc!$C$52:$C$236,0)),"")</f>
        <v>3</v>
      </c>
      <c r="G18" s="21">
        <f>IFERROR(INDEX(tQueue[BenchmarkErosionPct],MATCH(9,Calc!$C$52:$C$236,0)),"")</f>
        <v>6.5</v>
      </c>
      <c r="H18" s="21">
        <f>IFERROR(INDEX(tQueue[ActualErosionPct],MATCH(9,Calc!$C$52:$C$236,0)),"")</f>
        <v>2.5999999999999999E-2</v>
      </c>
      <c r="I18" s="21">
        <f>IFERROR(INDEX(tQueue[ErosionCapturePct],MATCH(9,Calc!$C$52:$C$236,0)),"")</f>
        <v>0.4</v>
      </c>
      <c r="J18" s="21">
        <f>IFERROR(INDEX(tQueue[ErosionGapPerUnit],MATCH(9,Calc!$C$52:$C$236,0)),"")</f>
        <v>72.682000000000002</v>
      </c>
      <c r="K18" s="20">
        <f>IFERROR(INDEX(tQueue[TTMSpend],MATCH(9,Calc!$C$52:$C$236,0)),"")</f>
        <v>557683.88</v>
      </c>
      <c r="L18" s="20">
        <f>IFERROR(INDEX(tQueue[AnnualOpportunity],MATCH(9,Calc!$C$52:$C$236,0)),"")</f>
        <v>93977.83</v>
      </c>
      <c r="M18" s="25">
        <f>IFERROR(INDEX(tQueue[LeverageScore],MATCH(9,Calc!$C$52:$C$236,0)),"")</f>
        <v>79</v>
      </c>
      <c r="N18" t="str">
        <f>IFERROR(INDEX(tQueue[ActionCode],MATCH(9,Calc!$C$52:$C$236,0)),"")</f>
        <v>RENEGOTIATE</v>
      </c>
      <c r="O18" t="str">
        <f>IFERROR(INDEX(tQueue[RecommendedAction],MATCH(9,Calc!$C$52:$C$236,0)),"")</f>
        <v>Renegotiate. A qualified alternative exists, and Lumen is at least 8% of this supplier's revenue. Open with the category erosion benchmark.</v>
      </c>
    </row>
    <row r="19" spans="1:15" x14ac:dyDescent="0.35">
      <c r="A19">
        <f>IF(10&gt;MIN(QueueRowsShown,$H$4),"",10)</f>
        <v>10</v>
      </c>
      <c r="B19" t="str">
        <f>IFERROR(INDEX(tQueue[PartNumber],MATCH(10,Calc!$C$52:$C$236,0)),"")</f>
        <v>LOM-0106</v>
      </c>
      <c r="C19" t="str">
        <f>IFERROR(INDEX(tQueue[Category],MATCH(10,Calc!$C$52:$C$236,0)),"")</f>
        <v>Optical Fibre</v>
      </c>
      <c r="D19" t="str">
        <f>IFERROR(INDEX(tQueue[VendorID],MATCH(10,Calc!$C$52:$C$236,0)),"")</f>
        <v>VEN-010</v>
      </c>
      <c r="E19" t="str">
        <f>IFERROR(INDEX(tQueue[BuyerName],MATCH(10,Calc!$C$52:$C$236,0)),"")</f>
        <v>Johan Lindberg</v>
      </c>
      <c r="F19">
        <f>IFERROR(INDEX(tQueue[QualifiedSupplierCount],MATCH(10,Calc!$C$52:$C$236,0)),"")</f>
        <v>1</v>
      </c>
      <c r="G19" s="21">
        <f>IFERROR(INDEX(tQueue[BenchmarkErosionPct],MATCH(10,Calc!$C$52:$C$236,0)),"")</f>
        <v>4</v>
      </c>
      <c r="H19" s="21">
        <f>IFERROR(INDEX(tQueue[ActualErosionPct],MATCH(10,Calc!$C$52:$C$236,0)),"")</f>
        <v>0.73199999999999998</v>
      </c>
      <c r="I19" s="21">
        <f>IFERROR(INDEX(tQueue[ErosionCapturePct],MATCH(10,Calc!$C$52:$C$236,0)),"")</f>
        <v>18.3</v>
      </c>
      <c r="J19" s="21">
        <f>IFERROR(INDEX(tQueue[ErosionGapPerUnit],MATCH(10,Calc!$C$52:$C$236,0)),"")</f>
        <v>4.3014000000000001</v>
      </c>
      <c r="K19" s="20">
        <f>IFERROR(INDEX(tQueue[TTMSpend],MATCH(10,Calc!$C$52:$C$236,0)),"")</f>
        <v>1096526.6499999999</v>
      </c>
      <c r="L19" s="20">
        <f>IFERROR(INDEX(tQueue[AnnualOpportunity],MATCH(10,Calc!$C$52:$C$236,0)),"")</f>
        <v>90892.88</v>
      </c>
      <c r="M19" s="25">
        <f>IFERROR(INDEX(tQueue[LeverageScore],MATCH(10,Calc!$C$52:$C$236,0)),"")</f>
        <v>27</v>
      </c>
      <c r="N19" t="str">
        <f>IFERROR(INDEX(tQueue[ActionCode],MATCH(10,Calc!$C$52:$C$236,0)),"")</f>
        <v>DUAL_SOURCE</v>
      </c>
      <c r="O19" t="str">
        <f>IFERROR(INDEX(tQueue[RecommendedAction],MATCH(10,Calc!$C$52:$C$236,0)),"")</f>
        <v>Sole source with real money at stake and a reachable requalification. Qualify a second supplier, then reopen the price.</v>
      </c>
    </row>
    <row r="20" spans="1:15" x14ac:dyDescent="0.35">
      <c r="A20">
        <f>IF(11&gt;MIN(QueueRowsShown,$H$4),"",11)</f>
        <v>11</v>
      </c>
      <c r="B20" t="str">
        <f>IFERROR(INDEX(tQueue[PartNumber],MATCH(11,Calc!$C$52:$C$236,0)),"")</f>
        <v>LOM-0120</v>
      </c>
      <c r="C20" t="str">
        <f>IFERROR(INDEX(tQueue[Category],MATCH(11,Calc!$C$52:$C$236,0)),"")</f>
        <v>Laser Diode</v>
      </c>
      <c r="D20" t="str">
        <f>IFERROR(INDEX(tQueue[VendorID],MATCH(11,Calc!$C$52:$C$236,0)),"")</f>
        <v>VEN-016</v>
      </c>
      <c r="E20" t="str">
        <f>IFERROR(INDEX(tQueue[BuyerName],MATCH(11,Calc!$C$52:$C$236,0)),"")</f>
        <v>Adaeze Okonkwo</v>
      </c>
      <c r="F20">
        <f>IFERROR(INDEX(tQueue[QualifiedSupplierCount],MATCH(11,Calc!$C$52:$C$236,0)),"")</f>
        <v>3</v>
      </c>
      <c r="G20" s="21">
        <f>IFERROR(INDEX(tQueue[BenchmarkErosionPct],MATCH(11,Calc!$C$52:$C$236,0)),"")</f>
        <v>8</v>
      </c>
      <c r="H20" s="21">
        <f>IFERROR(INDEX(tQueue[ActualErosionPct],MATCH(11,Calc!$C$52:$C$236,0)),"")</f>
        <v>2.5049999999999999</v>
      </c>
      <c r="I20" s="21">
        <f>IFERROR(INDEX(tQueue[ErosionCapturePct],MATCH(11,Calc!$C$52:$C$236,0)),"")</f>
        <v>31.31</v>
      </c>
      <c r="J20" s="21">
        <f>IFERROR(INDEX(tQueue[ErosionGapPerUnit],MATCH(11,Calc!$C$52:$C$236,0)),"")</f>
        <v>126.6776</v>
      </c>
      <c r="K20" s="20">
        <f>IFERROR(INDEX(tQueue[TTMSpend],MATCH(11,Calc!$C$52:$C$236,0)),"")</f>
        <v>646871.89</v>
      </c>
      <c r="L20" s="20">
        <f>IFERROR(INDEX(tQueue[AnnualOpportunity],MATCH(11,Calc!$C$52:$C$236,0)),"")</f>
        <v>85507.38</v>
      </c>
      <c r="M20" s="25">
        <f>IFERROR(INDEX(tQueue[LeverageScore],MATCH(11,Calc!$C$52:$C$236,0)),"")</f>
        <v>77</v>
      </c>
      <c r="N20" t="str">
        <f>IFERROR(INDEX(tQueue[ActionCode],MATCH(11,Calc!$C$52:$C$236,0)),"")</f>
        <v>RENEGOTIATE</v>
      </c>
      <c r="O20" t="str">
        <f>IFERROR(INDEX(tQueue[RecommendedAction],MATCH(11,Calc!$C$52:$C$236,0)),"")</f>
        <v>Renegotiate. A qualified alternative exists, though Lumen is under 8% of this supplier's revenue. Open with the category erosion benchmark.</v>
      </c>
    </row>
    <row r="21" spans="1:15" x14ac:dyDescent="0.35">
      <c r="A21">
        <f>IF(12&gt;MIN(QueueRowsShown,$H$4),"",12)</f>
        <v>12</v>
      </c>
      <c r="B21" t="str">
        <f>IFERROR(INDEX(tQueue[PartNumber],MATCH(12,Calc!$C$52:$C$236,0)),"")</f>
        <v>LOM-0123</v>
      </c>
      <c r="C21" t="str">
        <f>IFERROR(INDEX(tQueue[Category],MATCH(12,Calc!$C$52:$C$236,0)),"")</f>
        <v>Lens Assembly</v>
      </c>
      <c r="D21" t="str">
        <f>IFERROR(INDEX(tQueue[VendorID],MATCH(12,Calc!$C$52:$C$236,0)),"")</f>
        <v>VEN-008</v>
      </c>
      <c r="E21" t="str">
        <f>IFERROR(INDEX(tQueue[BuyerName],MATCH(12,Calc!$C$52:$C$236,0)),"")</f>
        <v>Mei-Ling Chow</v>
      </c>
      <c r="F21">
        <f>IFERROR(INDEX(tQueue[QualifiedSupplierCount],MATCH(12,Calc!$C$52:$C$236,0)),"")</f>
        <v>3</v>
      </c>
      <c r="G21" s="21">
        <f>IFERROR(INDEX(tQueue[BenchmarkErosionPct],MATCH(12,Calc!$C$52:$C$236,0)),"")</f>
        <v>3</v>
      </c>
      <c r="H21" s="21">
        <f>IFERROR(INDEX(tQueue[ActualErosionPct],MATCH(12,Calc!$C$52:$C$236,0)),"")</f>
        <v>-5.3879999999999999</v>
      </c>
      <c r="I21" s="21">
        <f>IFERROR(INDEX(tQueue[ErosionCapturePct],MATCH(12,Calc!$C$52:$C$236,0)),"")</f>
        <v>-179.6</v>
      </c>
      <c r="J21" s="21">
        <f>IFERROR(INDEX(tQueue[ErosionGapPerUnit],MATCH(12,Calc!$C$52:$C$236,0)),"")</f>
        <v>50.417000000000002</v>
      </c>
      <c r="K21" s="20">
        <f>IFERROR(INDEX(tQueue[TTMSpend],MATCH(12,Calc!$C$52:$C$236,0)),"")</f>
        <v>410583.38</v>
      </c>
      <c r="L21" s="20">
        <f>IFERROR(INDEX(tQueue[AnnualOpportunity],MATCH(12,Calc!$C$52:$C$236,0)),"")</f>
        <v>78045.539999999994</v>
      </c>
      <c r="M21" s="25">
        <f>IFERROR(INDEX(tQueue[LeverageScore],MATCH(12,Calc!$C$52:$C$236,0)),"")</f>
        <v>61</v>
      </c>
      <c r="N21" t="str">
        <f>IFERROR(INDEX(tQueue[ActionCode],MATCH(12,Calc!$C$52:$C$236,0)),"")</f>
        <v>PUT_ON_CONTRACT</v>
      </c>
      <c r="O21" t="str">
        <f>IFERROR(INDEX(tQueue[RecommendedAction],MATCH(12,Calc!$C$52:$C$236,0)),"")</f>
        <v>Most of this spend has no agreement in force. Put it under contract before attempting to negotiate a price against nothing.</v>
      </c>
    </row>
    <row r="22" spans="1:15" x14ac:dyDescent="0.35">
      <c r="A22">
        <f>IF(13&gt;MIN(QueueRowsShown,$H$4),"",13)</f>
        <v>13</v>
      </c>
      <c r="B22" t="str">
        <f>IFERROR(INDEX(tQueue[PartNumber],MATCH(13,Calc!$C$52:$C$236,0)),"")</f>
        <v>LOM-0134</v>
      </c>
      <c r="C22" t="str">
        <f>IFERROR(INDEX(tQueue[Category],MATCH(13,Calc!$C$52:$C$236,0)),"")</f>
        <v>Fibre Connector</v>
      </c>
      <c r="D22" t="str">
        <f>IFERROR(INDEX(tQueue[VendorID],MATCH(13,Calc!$C$52:$C$236,0)),"")</f>
        <v>VEN-010</v>
      </c>
      <c r="E22" t="str">
        <f>IFERROR(INDEX(tQueue[BuyerName],MATCH(13,Calc!$C$52:$C$236,0)),"")</f>
        <v>Johan Lindberg</v>
      </c>
      <c r="F22">
        <f>IFERROR(INDEX(tQueue[QualifiedSupplierCount],MATCH(13,Calc!$C$52:$C$236,0)),"")</f>
        <v>1</v>
      </c>
      <c r="G22" s="21">
        <f>IFERROR(INDEX(tQueue[BenchmarkErosionPct],MATCH(13,Calc!$C$52:$C$236,0)),"")</f>
        <v>7</v>
      </c>
      <c r="H22" s="21">
        <f>IFERROR(INDEX(tQueue[ActualErosionPct],MATCH(13,Calc!$C$52:$C$236,0)),"")</f>
        <v>-0.25600000000000001</v>
      </c>
      <c r="I22" s="21">
        <f>IFERROR(INDEX(tQueue[ErosionCapturePct],MATCH(13,Calc!$C$52:$C$236,0)),"")</f>
        <v>-3.66</v>
      </c>
      <c r="J22" s="21">
        <f>IFERROR(INDEX(tQueue[ErosionGapPerUnit],MATCH(13,Calc!$C$52:$C$236,0)),"")</f>
        <v>7.5997000000000003</v>
      </c>
      <c r="K22" s="20">
        <f>IFERROR(INDEX(tQueue[TTMSpend],MATCH(13,Calc!$C$52:$C$236,0)),"")</f>
        <v>375755.12</v>
      </c>
      <c r="L22" s="20">
        <f>IFERROR(INDEX(tQueue[AnnualOpportunity],MATCH(13,Calc!$C$52:$C$236,0)),"")</f>
        <v>72706.7</v>
      </c>
      <c r="M22" s="25">
        <f>IFERROR(INDEX(tQueue[LeverageScore],MATCH(13,Calc!$C$52:$C$236,0)),"")</f>
        <v>27</v>
      </c>
      <c r="N22" t="str">
        <f>IFERROR(INDEX(tQueue[ActionCode],MATCH(13,Calc!$C$52:$C$236,0)),"")</f>
        <v>DUAL_SOURCE</v>
      </c>
      <c r="O22" t="str">
        <f>IFERROR(INDEX(tQueue[RecommendedAction],MATCH(13,Calc!$C$52:$C$236,0)),"")</f>
        <v>Sole source with real money at stake and a reachable requalification. Qualify a second supplier, then reopen the price.</v>
      </c>
    </row>
    <row r="23" spans="1:15" x14ac:dyDescent="0.35">
      <c r="A23">
        <f>IF(14&gt;MIN(QueueRowsShown,$H$4),"",14)</f>
        <v>14</v>
      </c>
      <c r="B23" t="str">
        <f>IFERROR(INDEX(tQueue[PartNumber],MATCH(14,Calc!$C$52:$C$236,0)),"")</f>
        <v>LOM-0098</v>
      </c>
      <c r="C23" t="str">
        <f>IFERROR(INDEX(tQueue[Category],MATCH(14,Calc!$C$52:$C$236,0)),"")</f>
        <v>Optical Fibre</v>
      </c>
      <c r="D23" t="str">
        <f>IFERROR(INDEX(tQueue[VendorID],MATCH(14,Calc!$C$52:$C$236,0)),"")</f>
        <v>VEN-028</v>
      </c>
      <c r="E23" t="str">
        <f>IFERROR(INDEX(tQueue[BuyerName],MATCH(14,Calc!$C$52:$C$236,0)),"")</f>
        <v>Mei-Ling Chow</v>
      </c>
      <c r="F23">
        <f>IFERROR(INDEX(tQueue[QualifiedSupplierCount],MATCH(14,Calc!$C$52:$C$236,0)),"")</f>
        <v>3</v>
      </c>
      <c r="G23" s="21">
        <f>IFERROR(INDEX(tQueue[BenchmarkErosionPct],MATCH(14,Calc!$C$52:$C$236,0)),"")</f>
        <v>4</v>
      </c>
      <c r="H23" s="21">
        <f>IFERROR(INDEX(tQueue[ActualErosionPct],MATCH(14,Calc!$C$52:$C$236,0)),"")</f>
        <v>0.46600000000000003</v>
      </c>
      <c r="I23" s="21">
        <f>IFERROR(INDEX(tQueue[ErosionCapturePct],MATCH(14,Calc!$C$52:$C$236,0)),"")</f>
        <v>11.65</v>
      </c>
      <c r="J23" s="21">
        <f>IFERROR(INDEX(tQueue[ErosionGapPerUnit],MATCH(14,Calc!$C$52:$C$236,0)),"")</f>
        <v>3.7052</v>
      </c>
      <c r="K23" s="20">
        <f>IFERROR(INDEX(tQueue[TTMSpend],MATCH(14,Calc!$C$52:$C$236,0)),"")</f>
        <v>739415.54</v>
      </c>
      <c r="L23" s="20">
        <f>IFERROR(INDEX(tQueue[AnnualOpportunity],MATCH(14,Calc!$C$52:$C$236,0)),"")</f>
        <v>66048.73</v>
      </c>
      <c r="M23" s="25">
        <f>IFERROR(INDEX(tQueue[LeverageScore],MATCH(14,Calc!$C$52:$C$236,0)),"")</f>
        <v>90</v>
      </c>
      <c r="N23" t="str">
        <f>IFERROR(INDEX(tQueue[ActionCode],MATCH(14,Calc!$C$52:$C$236,0)),"")</f>
        <v>PUT_ON_CONTRACT</v>
      </c>
      <c r="O23" t="str">
        <f>IFERROR(INDEX(tQueue[RecommendedAction],MATCH(14,Calc!$C$52:$C$236,0)),"")</f>
        <v>Most of this spend has no agreement in force. Put it under contract before attempting to negotiate a price against nothing.</v>
      </c>
    </row>
    <row r="24" spans="1:15" x14ac:dyDescent="0.35">
      <c r="A24">
        <f>IF(15&gt;MIN(QueueRowsShown,$H$4),"",15)</f>
        <v>15</v>
      </c>
      <c r="B24" t="str">
        <f>IFERROR(INDEX(tQueue[PartNumber],MATCH(15,Calc!$C$52:$C$236,0)),"")</f>
        <v>LOM-0074</v>
      </c>
      <c r="C24" t="str">
        <f>IFERROR(INDEX(tQueue[Category],MATCH(15,Calc!$C$52:$C$236,0)),"")</f>
        <v>Optical Fibre</v>
      </c>
      <c r="D24" t="str">
        <f>IFERROR(INDEX(tQueue[VendorID],MATCH(15,Calc!$C$52:$C$236,0)),"")</f>
        <v>VEN-027</v>
      </c>
      <c r="E24" t="str">
        <f>IFERROR(INDEX(tQueue[BuyerName],MATCH(15,Calc!$C$52:$C$236,0)),"")</f>
        <v>Johan Lindberg</v>
      </c>
      <c r="F24">
        <f>IFERROR(INDEX(tQueue[QualifiedSupplierCount],MATCH(15,Calc!$C$52:$C$236,0)),"")</f>
        <v>1</v>
      </c>
      <c r="G24" s="21">
        <f>IFERROR(INDEX(tQueue[BenchmarkErosionPct],MATCH(15,Calc!$C$52:$C$236,0)),"")</f>
        <v>4</v>
      </c>
      <c r="H24" s="21">
        <f>IFERROR(INDEX(tQueue[ActualErosionPct],MATCH(15,Calc!$C$52:$C$236,0)),"")</f>
        <v>0.16600000000000001</v>
      </c>
      <c r="I24" s="21">
        <f>IFERROR(INDEX(tQueue[ErosionCapturePct],MATCH(15,Calc!$C$52:$C$236,0)),"")</f>
        <v>4.1500000000000004</v>
      </c>
      <c r="J24" s="21">
        <f>IFERROR(INDEX(tQueue[ErosionGapPerUnit],MATCH(15,Calc!$C$52:$C$236,0)),"")</f>
        <v>3.2366999999999999</v>
      </c>
      <c r="K24" s="20">
        <f>IFERROR(INDEX(tQueue[TTMSpend],MATCH(15,Calc!$C$52:$C$236,0)),"")</f>
        <v>667640.96</v>
      </c>
      <c r="L24" s="20">
        <f>IFERROR(INDEX(tQueue[AnnualOpportunity],MATCH(15,Calc!$C$52:$C$236,0)),"")</f>
        <v>64044.58</v>
      </c>
      <c r="M24" s="25">
        <f>IFERROR(INDEX(tQueue[LeverageScore],MATCH(15,Calc!$C$52:$C$236,0)),"")</f>
        <v>36</v>
      </c>
      <c r="N24" t="str">
        <f>IFERROR(INDEX(tQueue[ActionCode],MATCH(15,Calc!$C$52:$C$236,0)),"")</f>
        <v>DUAL_SOURCE</v>
      </c>
      <c r="O24" t="str">
        <f>IFERROR(INDEX(tQueue[RecommendedAction],MATCH(15,Calc!$C$52:$C$236,0)),"")</f>
        <v>Sole source with real money at stake and a reachable requalification. Qualify a second supplier, then reopen the price.</v>
      </c>
    </row>
    <row r="25" spans="1:15" x14ac:dyDescent="0.35">
      <c r="A25">
        <f>IF(16&gt;MIN(QueueRowsShown,$H$4),"",16)</f>
        <v>16</v>
      </c>
      <c r="B25" t="str">
        <f>IFERROR(INDEX(tQueue[PartNumber],MATCH(16,Calc!$C$52:$C$236,0)),"")</f>
        <v>LOM-0016</v>
      </c>
      <c r="C25" t="str">
        <f>IFERROR(INDEX(tQueue[Category],MATCH(16,Calc!$C$52:$C$236,0)),"")</f>
        <v>Laser Diode</v>
      </c>
      <c r="D25" t="str">
        <f>IFERROR(INDEX(tQueue[VendorID],MATCH(16,Calc!$C$52:$C$236,0)),"")</f>
        <v>VEN-017</v>
      </c>
      <c r="E25" t="str">
        <f>IFERROR(INDEX(tQueue[BuyerName],MATCH(16,Calc!$C$52:$C$236,0)),"")</f>
        <v>Adaeze Okonkwo</v>
      </c>
      <c r="F25">
        <f>IFERROR(INDEX(tQueue[QualifiedSupplierCount],MATCH(16,Calc!$C$52:$C$236,0)),"")</f>
        <v>1</v>
      </c>
      <c r="G25" s="21">
        <f>IFERROR(INDEX(tQueue[BenchmarkErosionPct],MATCH(16,Calc!$C$52:$C$236,0)),"")</f>
        <v>8</v>
      </c>
      <c r="H25" s="21">
        <f>IFERROR(INDEX(tQueue[ActualErosionPct],MATCH(16,Calc!$C$52:$C$236,0)),"")</f>
        <v>0.14199999999999999</v>
      </c>
      <c r="I25" s="21">
        <f>IFERROR(INDEX(tQueue[ErosionCapturePct],MATCH(16,Calc!$C$52:$C$236,0)),"")</f>
        <v>1.78</v>
      </c>
      <c r="J25" s="21">
        <f>IFERROR(INDEX(tQueue[ErosionGapPerUnit],MATCH(16,Calc!$C$52:$C$236,0)),"")</f>
        <v>51.880299999999998</v>
      </c>
      <c r="K25" s="20">
        <f>IFERROR(INDEX(tQueue[TTMSpend],MATCH(16,Calc!$C$52:$C$236,0)),"")</f>
        <v>341330.3</v>
      </c>
      <c r="L25" s="20">
        <f>IFERROR(INDEX(tQueue[AnnualOpportunity],MATCH(16,Calc!$C$52:$C$236,0)),"")</f>
        <v>63760.89</v>
      </c>
      <c r="M25" s="25">
        <f>IFERROR(INDEX(tQueue[LeverageScore],MATCH(16,Calc!$C$52:$C$236,0)),"")</f>
        <v>36</v>
      </c>
      <c r="N25" t="str">
        <f>IFERROR(INDEX(tQueue[ActionCode],MATCH(16,Calc!$C$52:$C$236,0)),"")</f>
        <v>DUAL_SOURCE</v>
      </c>
      <c r="O25" t="str">
        <f>IFERROR(INDEX(tQueue[RecommendedAction],MATCH(16,Calc!$C$52:$C$236,0)),"")</f>
        <v>Sole source with real money at stake and a reachable requalification. Qualify a second supplier, then reopen the price.</v>
      </c>
    </row>
    <row r="26" spans="1:15" x14ac:dyDescent="0.35">
      <c r="A26">
        <f>IF(17&gt;MIN(QueueRowsShown,$H$4),"",17)</f>
        <v>17</v>
      </c>
      <c r="B26" t="str">
        <f>IFERROR(INDEX(tQueue[PartNumber],MATCH(17,Calc!$C$52:$C$236,0)),"")</f>
        <v>LOM-0097</v>
      </c>
      <c r="C26" t="str">
        <f>IFERROR(INDEX(tQueue[Category],MATCH(17,Calc!$C$52:$C$236,0)),"")</f>
        <v>Photodetector</v>
      </c>
      <c r="D26" t="str">
        <f>IFERROR(INDEX(tQueue[VendorID],MATCH(17,Calc!$C$52:$C$236,0)),"")</f>
        <v>VEN-014</v>
      </c>
      <c r="E26" t="str">
        <f>IFERROR(INDEX(tQueue[BuyerName],MATCH(17,Calc!$C$52:$C$236,0)),"")</f>
        <v>Adaeze Okonkwo</v>
      </c>
      <c r="F26">
        <f>IFERROR(INDEX(tQueue[QualifiedSupplierCount],MATCH(17,Calc!$C$52:$C$236,0)),"")</f>
        <v>3</v>
      </c>
      <c r="G26" s="21">
        <f>IFERROR(INDEX(tQueue[BenchmarkErosionPct],MATCH(17,Calc!$C$52:$C$236,0)),"")</f>
        <v>6.5</v>
      </c>
      <c r="H26" s="21">
        <f>IFERROR(INDEX(tQueue[ActualErosionPct],MATCH(17,Calc!$C$52:$C$236,0)),"")</f>
        <v>2.137</v>
      </c>
      <c r="I26" s="21">
        <f>IFERROR(INDEX(tQueue[ErosionCapturePct],MATCH(17,Calc!$C$52:$C$236,0)),"")</f>
        <v>32.880000000000003</v>
      </c>
      <c r="J26" s="21">
        <f>IFERROR(INDEX(tQueue[ErosionGapPerUnit],MATCH(17,Calc!$C$52:$C$236,0)),"")</f>
        <v>52.655500000000004</v>
      </c>
      <c r="K26" s="20">
        <f>IFERROR(INDEX(tQueue[TTMSpend],MATCH(17,Calc!$C$52:$C$236,0)),"")</f>
        <v>548805.62</v>
      </c>
      <c r="L26" s="20">
        <f>IFERROR(INDEX(tQueue[AnnualOpportunity],MATCH(17,Calc!$C$52:$C$236,0)),"")</f>
        <v>61764.9</v>
      </c>
      <c r="M26" s="25">
        <f>IFERROR(INDEX(tQueue[LeverageScore],MATCH(17,Calc!$C$52:$C$236,0)),"")</f>
        <v>70</v>
      </c>
      <c r="N26" t="str">
        <f>IFERROR(INDEX(tQueue[ActionCode],MATCH(17,Calc!$C$52:$C$236,0)),"")</f>
        <v>RENEGOTIATE</v>
      </c>
      <c r="O26" t="str">
        <f>IFERROR(INDEX(tQueue[RecommendedAction],MATCH(17,Calc!$C$52:$C$236,0)),"")</f>
        <v>Renegotiate. A qualified alternative exists, though Lumen is under 8% of this supplier's revenue. Open with the category erosion benchmark.</v>
      </c>
    </row>
    <row r="27" spans="1:15" x14ac:dyDescent="0.35">
      <c r="A27">
        <f>IF(18&gt;MIN(QueueRowsShown,$H$4),"",18)</f>
        <v>18</v>
      </c>
      <c r="B27" t="str">
        <f>IFERROR(INDEX(tQueue[PartNumber],MATCH(18,Calc!$C$52:$C$236,0)),"")</f>
        <v>LOM-0043</v>
      </c>
      <c r="C27" t="str">
        <f>IFERROR(INDEX(tQueue[Category],MATCH(18,Calc!$C$52:$C$236,0)),"")</f>
        <v>Lens Assembly</v>
      </c>
      <c r="D27" t="str">
        <f>IFERROR(INDEX(tQueue[VendorID],MATCH(18,Calc!$C$52:$C$236,0)),"")</f>
        <v>VEN-029</v>
      </c>
      <c r="E27" t="str">
        <f>IFERROR(INDEX(tQueue[BuyerName],MATCH(18,Calc!$C$52:$C$236,0)),"")</f>
        <v>Johan Lindberg</v>
      </c>
      <c r="F27">
        <f>IFERROR(INDEX(tQueue[QualifiedSupplierCount],MATCH(18,Calc!$C$52:$C$236,0)),"")</f>
        <v>1</v>
      </c>
      <c r="G27" s="21">
        <f>IFERROR(INDEX(tQueue[BenchmarkErosionPct],MATCH(18,Calc!$C$52:$C$236,0)),"")</f>
        <v>3</v>
      </c>
      <c r="H27" s="21">
        <f>IFERROR(INDEX(tQueue[ActualErosionPct],MATCH(18,Calc!$C$52:$C$236,0)),"")</f>
        <v>-3.536</v>
      </c>
      <c r="I27" s="21">
        <f>IFERROR(INDEX(tQueue[ErosionCapturePct],MATCH(18,Calc!$C$52:$C$236,0)),"")</f>
        <v>-117.87</v>
      </c>
      <c r="J27" s="21">
        <f>IFERROR(INDEX(tQueue[ErosionGapPerUnit],MATCH(18,Calc!$C$52:$C$236,0)),"")</f>
        <v>51.316899999999997</v>
      </c>
      <c r="K27" s="20">
        <f>IFERROR(INDEX(tQueue[TTMSpend],MATCH(18,Calc!$C$52:$C$236,0)),"")</f>
        <v>378324.53</v>
      </c>
      <c r="L27" s="20">
        <f>IFERROR(INDEX(tQueue[AnnualOpportunity],MATCH(18,Calc!$C$52:$C$236,0)),"")</f>
        <v>61734.18</v>
      </c>
      <c r="M27" s="25">
        <f>IFERROR(INDEX(tQueue[LeverageScore],MATCH(18,Calc!$C$52:$C$236,0)),"")</f>
        <v>64</v>
      </c>
      <c r="N27" t="str">
        <f>IFERROR(INDEX(tQueue[ActionCode],MATCH(18,Calc!$C$52:$C$236,0)),"")</f>
        <v>PUT_ON_CONTRACT</v>
      </c>
      <c r="O27" t="str">
        <f>IFERROR(INDEX(tQueue[RecommendedAction],MATCH(18,Calc!$C$52:$C$236,0)),"")</f>
        <v>Most of this spend has no agreement in force. Put it under contract before attempting to negotiate a price against nothing.</v>
      </c>
    </row>
    <row r="28" spans="1:15" x14ac:dyDescent="0.35">
      <c r="A28">
        <f>IF(19&gt;MIN(QueueRowsShown,$H$4),"",19)</f>
        <v>19</v>
      </c>
      <c r="B28" t="str">
        <f>IFERROR(INDEX(tQueue[PartNumber],MATCH(19,Calc!$C$52:$C$236,0)),"")</f>
        <v>LOM-0001</v>
      </c>
      <c r="C28" t="str">
        <f>IFERROR(INDEX(tQueue[Category],MATCH(19,Calc!$C$52:$C$236,0)),"")</f>
        <v>Photodetector</v>
      </c>
      <c r="D28" t="str">
        <f>IFERROR(INDEX(tQueue[VendorID],MATCH(19,Calc!$C$52:$C$236,0)),"")</f>
        <v>VEN-015</v>
      </c>
      <c r="E28" t="str">
        <f>IFERROR(INDEX(tQueue[BuyerName],MATCH(19,Calc!$C$52:$C$236,0)),"")</f>
        <v>Rafael Duarte</v>
      </c>
      <c r="F28">
        <f>IFERROR(INDEX(tQueue[QualifiedSupplierCount],MATCH(19,Calc!$C$52:$C$236,0)),"")</f>
        <v>1</v>
      </c>
      <c r="G28" s="21">
        <f>IFERROR(INDEX(tQueue[BenchmarkErosionPct],MATCH(19,Calc!$C$52:$C$236,0)),"")</f>
        <v>6.5</v>
      </c>
      <c r="H28" s="21">
        <f>IFERROR(INDEX(tQueue[ActualErosionPct],MATCH(19,Calc!$C$52:$C$236,0)),"")</f>
        <v>0.53800000000000003</v>
      </c>
      <c r="I28" s="21">
        <f>IFERROR(INDEX(tQueue[ErosionCapturePct],MATCH(19,Calc!$C$52:$C$236,0)),"")</f>
        <v>8.2799999999999994</v>
      </c>
      <c r="J28" s="21">
        <f>IFERROR(INDEX(tQueue[ErosionGapPerUnit],MATCH(19,Calc!$C$52:$C$236,0)),"")</f>
        <v>54.52</v>
      </c>
      <c r="K28" s="20">
        <f>IFERROR(INDEX(tQueue[TTMSpend],MATCH(19,Calc!$C$52:$C$236,0)),"")</f>
        <v>403455.27</v>
      </c>
      <c r="L28" s="20">
        <f>IFERROR(INDEX(tQueue[AnnualOpportunity],MATCH(19,Calc!$C$52:$C$236,0)),"")</f>
        <v>60462.65</v>
      </c>
      <c r="M28" s="25">
        <f>IFERROR(INDEX(tQueue[LeverageScore],MATCH(19,Calc!$C$52:$C$236,0)),"")</f>
        <v>23</v>
      </c>
      <c r="N28" t="str">
        <f>IFERROR(INDEX(tQueue[ActionCode],MATCH(19,Calc!$C$52:$C$236,0)),"")</f>
        <v>PUT_ON_CONTRACT</v>
      </c>
      <c r="O28" t="str">
        <f>IFERROR(INDEX(tQueue[RecommendedAction],MATCH(19,Calc!$C$52:$C$236,0)),"")</f>
        <v>Most of this spend has no agreement in force. Put it under contract before attempting to negotiate a price against nothing.</v>
      </c>
    </row>
    <row r="29" spans="1:15" x14ac:dyDescent="0.35">
      <c r="A29">
        <f>IF(20&gt;MIN(QueueRowsShown,$H$4),"",20)</f>
        <v>20</v>
      </c>
      <c r="B29" t="str">
        <f>IFERROR(INDEX(tQueue[PartNumber],MATCH(20,Calc!$C$52:$C$236,0)),"")</f>
        <v>LOM-0034</v>
      </c>
      <c r="C29" t="str">
        <f>IFERROR(INDEX(tQueue[Category],MATCH(20,Calc!$C$52:$C$236,0)),"")</f>
        <v>Optical Fibre</v>
      </c>
      <c r="D29" t="str">
        <f>IFERROR(INDEX(tQueue[VendorID],MATCH(20,Calc!$C$52:$C$236,0)),"")</f>
        <v>VEN-016</v>
      </c>
      <c r="E29" t="str">
        <f>IFERROR(INDEX(tQueue[BuyerName],MATCH(20,Calc!$C$52:$C$236,0)),"")</f>
        <v>Mei-Ling Chow</v>
      </c>
      <c r="F29">
        <f>IFERROR(INDEX(tQueue[QualifiedSupplierCount],MATCH(20,Calc!$C$52:$C$236,0)),"")</f>
        <v>2</v>
      </c>
      <c r="G29" s="21">
        <f>IFERROR(INDEX(tQueue[BenchmarkErosionPct],MATCH(20,Calc!$C$52:$C$236,0)),"")</f>
        <v>4</v>
      </c>
      <c r="H29" s="21">
        <f>IFERROR(INDEX(tQueue[ActualErosionPct],MATCH(20,Calc!$C$52:$C$236,0)),"")</f>
        <v>1.024</v>
      </c>
      <c r="I29" s="21">
        <f>IFERROR(INDEX(tQueue[ErosionCapturePct],MATCH(20,Calc!$C$52:$C$236,0)),"")</f>
        <v>25.6</v>
      </c>
      <c r="J29" s="21">
        <f>IFERROR(INDEX(tQueue[ErosionGapPerUnit],MATCH(20,Calc!$C$52:$C$236,0)),"")</f>
        <v>3.5834000000000001</v>
      </c>
      <c r="K29" s="20">
        <f>IFERROR(INDEX(tQueue[TTMSpend],MATCH(20,Calc!$C$52:$C$236,0)),"")</f>
        <v>742352.47</v>
      </c>
      <c r="L29" s="20">
        <f>IFERROR(INDEX(tQueue[AnnualOpportunity],MATCH(20,Calc!$C$52:$C$236,0)),"")</f>
        <v>54657.48</v>
      </c>
      <c r="M29" s="25">
        <f>IFERROR(INDEX(tQueue[LeverageScore],MATCH(20,Calc!$C$52:$C$236,0)),"")</f>
        <v>47</v>
      </c>
      <c r="N29" t="str">
        <f>IFERROR(INDEX(tQueue[ActionCode],MATCH(20,Calc!$C$52:$C$236,0)),"")</f>
        <v>PUT_ON_CONTRACT</v>
      </c>
      <c r="O29" t="str">
        <f>IFERROR(INDEX(tQueue[RecommendedAction],MATCH(20,Calc!$C$52:$C$236,0)),"")</f>
        <v>Most of this spend has no agreement in force. Put it under contract before attempting to negotiate a price against nothing.</v>
      </c>
    </row>
    <row r="30" spans="1:15" x14ac:dyDescent="0.35">
      <c r="A30">
        <f>IF(21&gt;MIN(QueueRowsShown,$H$4),"",21)</f>
        <v>21</v>
      </c>
      <c r="B30" t="str">
        <f>IFERROR(INDEX(tQueue[PartNumber],MATCH(21,Calc!$C$52:$C$236,0)),"")</f>
        <v>LOM-0048</v>
      </c>
      <c r="C30" t="str">
        <f>IFERROR(INDEX(tQueue[Category],MATCH(21,Calc!$C$52:$C$236,0)),"")</f>
        <v>Laser Diode</v>
      </c>
      <c r="D30" t="str">
        <f>IFERROR(INDEX(tQueue[VendorID],MATCH(21,Calc!$C$52:$C$236,0)),"")</f>
        <v>VEN-014</v>
      </c>
      <c r="E30" t="str">
        <f>IFERROR(INDEX(tQueue[BuyerName],MATCH(21,Calc!$C$52:$C$236,0)),"")</f>
        <v>Rafael Duarte</v>
      </c>
      <c r="F30">
        <f>IFERROR(INDEX(tQueue[QualifiedSupplierCount],MATCH(21,Calc!$C$52:$C$236,0)),"")</f>
        <v>3</v>
      </c>
      <c r="G30" s="21">
        <f>IFERROR(INDEX(tQueue[BenchmarkErosionPct],MATCH(21,Calc!$C$52:$C$236,0)),"")</f>
        <v>8</v>
      </c>
      <c r="H30" s="21">
        <f>IFERROR(INDEX(tQueue[ActualErosionPct],MATCH(21,Calc!$C$52:$C$236,0)),"")</f>
        <v>-8.5000000000000006E-2</v>
      </c>
      <c r="I30" s="21">
        <f>IFERROR(INDEX(tQueue[ErosionCapturePct],MATCH(21,Calc!$C$52:$C$236,0)),"")</f>
        <v>-1.06</v>
      </c>
      <c r="J30" s="21">
        <f>IFERROR(INDEX(tQueue[ErosionGapPerUnit],MATCH(21,Calc!$C$52:$C$236,0)),"")</f>
        <v>160.3057</v>
      </c>
      <c r="K30" s="20">
        <f>IFERROR(INDEX(tQueue[TTMSpend],MATCH(21,Calc!$C$52:$C$236,0)),"")</f>
        <v>241053.34</v>
      </c>
      <c r="L30" s="20">
        <f>IFERROR(INDEX(tQueue[AnnualOpportunity],MATCH(21,Calc!$C$52:$C$236,0)),"")</f>
        <v>49855.09</v>
      </c>
      <c r="M30" s="25">
        <f>IFERROR(INDEX(tQueue[LeverageScore],MATCH(21,Calc!$C$52:$C$236,0)),"")</f>
        <v>74</v>
      </c>
      <c r="N30" t="str">
        <f>IFERROR(INDEX(tQueue[ActionCode],MATCH(21,Calc!$C$52:$C$236,0)),"")</f>
        <v>PUT_ON_CONTRACT</v>
      </c>
      <c r="O30" t="str">
        <f>IFERROR(INDEX(tQueue[RecommendedAction],MATCH(21,Calc!$C$52:$C$236,0)),"")</f>
        <v>Most of this spend has no agreement in force. Put it under contract before attempting to negotiate a price against nothing.</v>
      </c>
    </row>
    <row r="31" spans="1:15" x14ac:dyDescent="0.35">
      <c r="A31">
        <f>IF(22&gt;MIN(QueueRowsShown,$H$4),"",22)</f>
        <v>22</v>
      </c>
      <c r="B31" t="str">
        <f>IFERROR(INDEX(tQueue[PartNumber],MATCH(22,Calc!$C$52:$C$236,0)),"")</f>
        <v>LOM-0125</v>
      </c>
      <c r="C31" t="str">
        <f>IFERROR(INDEX(tQueue[Category],MATCH(22,Calc!$C$52:$C$236,0)),"")</f>
        <v>Precision Mount</v>
      </c>
      <c r="D31" t="str">
        <f>IFERROR(INDEX(tQueue[VendorID],MATCH(22,Calc!$C$52:$C$236,0)),"")</f>
        <v>VEN-009</v>
      </c>
      <c r="E31" t="str">
        <f>IFERROR(INDEX(tQueue[BuyerName],MATCH(22,Calc!$C$52:$C$236,0)),"")</f>
        <v>Priya Raghunathan</v>
      </c>
      <c r="F31">
        <f>IFERROR(INDEX(tQueue[QualifiedSupplierCount],MATCH(22,Calc!$C$52:$C$236,0)),"")</f>
        <v>2</v>
      </c>
      <c r="G31" s="21">
        <f>IFERROR(INDEX(tQueue[BenchmarkErosionPct],MATCH(22,Calc!$C$52:$C$236,0)),"")</f>
        <v>2</v>
      </c>
      <c r="H31" s="21">
        <f>IFERROR(INDEX(tQueue[ActualErosionPct],MATCH(22,Calc!$C$52:$C$236,0)),"")</f>
        <v>-6.7990000000000004</v>
      </c>
      <c r="I31" s="21">
        <f>IFERROR(INDEX(tQueue[ErosionCapturePct],MATCH(22,Calc!$C$52:$C$236,0)),"")</f>
        <v>-339.95</v>
      </c>
      <c r="J31" s="21">
        <f>IFERROR(INDEX(tQueue[ErosionGapPerUnit],MATCH(22,Calc!$C$52:$C$236,0)),"")</f>
        <v>46.877699999999997</v>
      </c>
      <c r="K31" s="20">
        <f>IFERROR(INDEX(tQueue[TTMSpend],MATCH(22,Calc!$C$52:$C$236,0)),"")</f>
        <v>235463.37</v>
      </c>
      <c r="L31" s="20">
        <f>IFERROR(INDEX(tQueue[AnnualOpportunity],MATCH(22,Calc!$C$52:$C$236,0)),"")</f>
        <v>48846.59</v>
      </c>
      <c r="M31" s="25">
        <f>IFERROR(INDEX(tQueue[LeverageScore],MATCH(22,Calc!$C$52:$C$236,0)),"")</f>
        <v>76</v>
      </c>
      <c r="N31" t="str">
        <f>IFERROR(INDEX(tQueue[ActionCode],MATCH(22,Calc!$C$52:$C$236,0)),"")</f>
        <v>PUT_ON_CONTRACT</v>
      </c>
      <c r="O31" t="str">
        <f>IFERROR(INDEX(tQueue[RecommendedAction],MATCH(22,Calc!$C$52:$C$236,0)),"")</f>
        <v>Most of this spend has no agreement in force. Put it under contract before attempting to negotiate a price against nothing.</v>
      </c>
    </row>
    <row r="32" spans="1:15" x14ac:dyDescent="0.35">
      <c r="A32">
        <f>IF(23&gt;MIN(QueueRowsShown,$H$4),"",23)</f>
        <v>23</v>
      </c>
      <c r="B32" t="str">
        <f>IFERROR(INDEX(tQueue[PartNumber],MATCH(23,Calc!$C$52:$C$236,0)),"")</f>
        <v>LOM-0083</v>
      </c>
      <c r="C32" t="str">
        <f>IFERROR(INDEX(tQueue[Category],MATCH(23,Calc!$C$52:$C$236,0)),"")</f>
        <v>Lens Assembly</v>
      </c>
      <c r="D32" t="str">
        <f>IFERROR(INDEX(tQueue[VendorID],MATCH(23,Calc!$C$52:$C$236,0)),"")</f>
        <v>VEN-003</v>
      </c>
      <c r="E32" t="str">
        <f>IFERROR(INDEX(tQueue[BuyerName],MATCH(23,Calc!$C$52:$C$236,0)),"")</f>
        <v>Johan Lindberg</v>
      </c>
      <c r="F32">
        <f>IFERROR(INDEX(tQueue[QualifiedSupplierCount],MATCH(23,Calc!$C$52:$C$236,0)),"")</f>
        <v>1</v>
      </c>
      <c r="G32" s="21">
        <f>IFERROR(INDEX(tQueue[BenchmarkErosionPct],MATCH(23,Calc!$C$52:$C$236,0)),"")</f>
        <v>3</v>
      </c>
      <c r="H32" s="21">
        <f>IFERROR(INDEX(tQueue[ActualErosionPct],MATCH(23,Calc!$C$52:$C$236,0)),"")</f>
        <v>-0.14699999999999999</v>
      </c>
      <c r="I32" s="21">
        <f>IFERROR(INDEX(tQueue[ErosionCapturePct],MATCH(23,Calc!$C$52:$C$236,0)),"")</f>
        <v>-4.9000000000000004</v>
      </c>
      <c r="J32" s="21">
        <f>IFERROR(INDEX(tQueue[ErosionGapPerUnit],MATCH(23,Calc!$C$52:$C$236,0)),"")</f>
        <v>28.702300000000001</v>
      </c>
      <c r="K32" s="20">
        <f>IFERROR(INDEX(tQueue[TTMSpend],MATCH(23,Calc!$C$52:$C$236,0)),"")</f>
        <v>550211.69999999995</v>
      </c>
      <c r="L32" s="20">
        <f>IFERROR(INDEX(tQueue[AnnualOpportunity],MATCH(23,Calc!$C$52:$C$236,0)),"")</f>
        <v>43570.09</v>
      </c>
      <c r="M32" s="25">
        <f>IFERROR(INDEX(tQueue[LeverageScore],MATCH(23,Calc!$C$52:$C$236,0)),"")</f>
        <v>19</v>
      </c>
      <c r="N32" t="str">
        <f>IFERROR(INDEX(tQueue[ActionCode],MATCH(23,Calc!$C$52:$C$236,0)),"")</f>
        <v>DUAL_SOURCE</v>
      </c>
      <c r="O32" t="str">
        <f>IFERROR(INDEX(tQueue[RecommendedAction],MATCH(23,Calc!$C$52:$C$236,0)),"")</f>
        <v>Sole source with real money at stake and a reachable requalification. Qualify a second supplier, then reopen the price.</v>
      </c>
    </row>
    <row r="33" spans="1:15" x14ac:dyDescent="0.35">
      <c r="A33">
        <f>IF(24&gt;MIN(QueueRowsShown,$H$4),"",24)</f>
        <v>24</v>
      </c>
      <c r="B33" t="str">
        <f>IFERROR(INDEX(tQueue[PartNumber],MATCH(24,Calc!$C$52:$C$236,0)),"")</f>
        <v>LOM-0042</v>
      </c>
      <c r="C33" t="str">
        <f>IFERROR(INDEX(tQueue[Category],MATCH(24,Calc!$C$52:$C$236,0)),"")</f>
        <v>Optical Fibre</v>
      </c>
      <c r="D33" t="str">
        <f>IFERROR(INDEX(tQueue[VendorID],MATCH(24,Calc!$C$52:$C$236,0)),"")</f>
        <v>VEN-032</v>
      </c>
      <c r="E33" t="str">
        <f>IFERROR(INDEX(tQueue[BuyerName],MATCH(24,Calc!$C$52:$C$236,0)),"")</f>
        <v>Mei-Ling Chow</v>
      </c>
      <c r="F33">
        <f>IFERROR(INDEX(tQueue[QualifiedSupplierCount],MATCH(24,Calc!$C$52:$C$236,0)),"")</f>
        <v>1</v>
      </c>
      <c r="G33" s="21">
        <f>IFERROR(INDEX(tQueue[BenchmarkErosionPct],MATCH(24,Calc!$C$52:$C$236,0)),"")</f>
        <v>4</v>
      </c>
      <c r="H33" s="21">
        <f>IFERROR(INDEX(tQueue[ActualErosionPct],MATCH(24,Calc!$C$52:$C$236,0)),"")</f>
        <v>1.633</v>
      </c>
      <c r="I33" s="21">
        <f>IFERROR(INDEX(tQueue[ErosionCapturePct],MATCH(24,Calc!$C$52:$C$236,0)),"")</f>
        <v>40.83</v>
      </c>
      <c r="J33" s="21">
        <f>IFERROR(INDEX(tQueue[ErosionGapPerUnit],MATCH(24,Calc!$C$52:$C$236,0)),"")</f>
        <v>3.6684000000000001</v>
      </c>
      <c r="K33" s="20">
        <f>IFERROR(INDEX(tQueue[TTMSpend],MATCH(24,Calc!$C$52:$C$236,0)),"")</f>
        <v>660641.39</v>
      </c>
      <c r="L33" s="20">
        <f>IFERROR(INDEX(tQueue[AnnualOpportunity],MATCH(24,Calc!$C$52:$C$236,0)),"")</f>
        <v>42377.36</v>
      </c>
      <c r="M33" s="25">
        <f>IFERROR(INDEX(tQueue[LeverageScore],MATCH(24,Calc!$C$52:$C$236,0)),"")</f>
        <v>46</v>
      </c>
      <c r="N33" t="str">
        <f>IFERROR(INDEX(tQueue[ActionCode],MATCH(24,Calc!$C$52:$C$236,0)),"")</f>
        <v>DUAL_SOURCE</v>
      </c>
      <c r="O33" t="str">
        <f>IFERROR(INDEX(tQueue[RecommendedAction],MATCH(24,Calc!$C$52:$C$236,0)),"")</f>
        <v>Sole source with real money at stake and a reachable requalification. Qualify a second supplier, then reopen the price.</v>
      </c>
    </row>
    <row r="34" spans="1:15" x14ac:dyDescent="0.35">
      <c r="A34">
        <f>IF(25&gt;MIN(QueueRowsShown,$H$4),"",25)</f>
        <v>25</v>
      </c>
      <c r="B34" t="str">
        <f>IFERROR(INDEX(tQueue[PartNumber],MATCH(25,Calc!$C$52:$C$236,0)),"")</f>
        <v>LOM-0086</v>
      </c>
      <c r="C34" t="str">
        <f>IFERROR(INDEX(tQueue[Category],MATCH(25,Calc!$C$52:$C$236,0)),"")</f>
        <v>Fibre Connector</v>
      </c>
      <c r="D34" t="str">
        <f>IFERROR(INDEX(tQueue[VendorID],MATCH(25,Calc!$C$52:$C$236,0)),"")</f>
        <v>VEN-004</v>
      </c>
      <c r="E34" t="str">
        <f>IFERROR(INDEX(tQueue[BuyerName],MATCH(25,Calc!$C$52:$C$236,0)),"")</f>
        <v>Mei-Ling Chow</v>
      </c>
      <c r="F34">
        <f>IFERROR(INDEX(tQueue[QualifiedSupplierCount],MATCH(25,Calc!$C$52:$C$236,0)),"")</f>
        <v>1</v>
      </c>
      <c r="G34" s="21">
        <f>IFERROR(INDEX(tQueue[BenchmarkErosionPct],MATCH(25,Calc!$C$52:$C$236,0)),"")</f>
        <v>7</v>
      </c>
      <c r="H34" s="21">
        <f>IFERROR(INDEX(tQueue[ActualErosionPct],MATCH(25,Calc!$C$52:$C$236,0)),"")</f>
        <v>0.60299999999999998</v>
      </c>
      <c r="I34" s="21">
        <f>IFERROR(INDEX(tQueue[ErosionCapturePct],MATCH(25,Calc!$C$52:$C$236,0)),"")</f>
        <v>8.61</v>
      </c>
      <c r="J34" s="21">
        <f>IFERROR(INDEX(tQueue[ErosionGapPerUnit],MATCH(25,Calc!$C$52:$C$236,0)),"")</f>
        <v>4.9134000000000002</v>
      </c>
      <c r="K34" s="20">
        <f>IFERROR(INDEX(tQueue[TTMSpend],MATCH(25,Calc!$C$52:$C$236,0)),"")</f>
        <v>264990.96999999997</v>
      </c>
      <c r="L34" s="20">
        <f>IFERROR(INDEX(tQueue[AnnualOpportunity],MATCH(25,Calc!$C$52:$C$236,0)),"")</f>
        <v>41537.769999999997</v>
      </c>
      <c r="M34" s="25">
        <f>IFERROR(INDEX(tQueue[LeverageScore],MATCH(25,Calc!$C$52:$C$236,0)),"")</f>
        <v>19</v>
      </c>
      <c r="N34" t="str">
        <f>IFERROR(INDEX(tQueue[ActionCode],MATCH(25,Calc!$C$52:$C$236,0)),"")</f>
        <v>DUAL_SOURCE</v>
      </c>
      <c r="O34" t="str">
        <f>IFERROR(INDEX(tQueue[RecommendedAction],MATCH(25,Calc!$C$52:$C$236,0)),"")</f>
        <v>Sole source with real money at stake and a reachable requalification. Qualify a second supplier, then reopen the price.</v>
      </c>
    </row>
  </sheetData>
  <mergeCells count="1">
    <mergeCell ref="A2:P2"/>
  </mergeCells>
  <conditionalFormatting sqref="A10:O34">
    <cfRule type="expression" dxfId="3" priority="1" stopIfTrue="1">
      <formula>OR($N10="DUAL_SOURCE",$N10="QUALIFY_ALTERNATE")</formula>
    </cfRule>
    <cfRule type="expression" dxfId="2" priority="2" stopIfTrue="1">
      <formula>$N10="PUT_ON_CONTRACT"</formula>
    </cfRule>
  </conditionalFormatting>
  <dataValidations count="4">
    <dataValidation type="list" allowBlank="1" showInputMessage="1" showErrorMessage="1" sqref="C4" xr:uid="{53716A2F-9FEE-432E-A412-1E7C8FFD1710}">
      <formula1>"(All),Adaeze Okonkwo,Johan Lindberg,Mei-Ling Chow,Priya Raghunathan,Rafael Duarte,Tomas Varga"</formula1>
    </dataValidation>
    <dataValidation type="list" allowBlank="1" showInputMessage="1" showErrorMessage="1" sqref="C5" xr:uid="{10682385-5B2F-45F8-B069-8351E1DBCD3F}">
      <formula1>"(All),ACCEPT,DUAL_SOURCE,FIX_QUALITY,PUT_ON_CONTRACT,RENEGOTIATE"</formula1>
    </dataValidation>
    <dataValidation type="list" allowBlank="1" showInputMessage="1" showErrorMessage="1" sqref="C6" xr:uid="{FF8FC1D7-7437-4203-BA11-A88B6EED6B06}">
      <formula1>"(All),Fibre Connector,Laser Diode,Lens Assembly,Optical Coating,Optical Fibre,Photodetector,Precision Mount,Thermal Control"</formula1>
    </dataValidation>
    <dataValidation type="list" allowBlank="1" showInputMessage="1" showErrorMessage="1" sqref="C7" xr:uid="{B8A2F852-EEC5-4D80-A053-B9FC63777319}">
      <formula1>"Yes,No"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11171-213D-4317-A997-FD02D975932F}">
  <dimension ref="A1:L40"/>
  <sheetViews>
    <sheetView workbookViewId="0"/>
  </sheetViews>
  <sheetFormatPr defaultRowHeight="14.5" x14ac:dyDescent="0.35"/>
  <cols>
    <col min="1" max="1" width="10.6328125" customWidth="1"/>
    <col min="2" max="2" width="30.6328125" customWidth="1"/>
    <col min="3" max="3" width="14.6328125" customWidth="1"/>
    <col min="4" max="4" width="15.6328125" customWidth="1"/>
    <col min="5" max="5" width="16.6328125" customWidth="1"/>
    <col min="6" max="7" width="13.6328125" customWidth="1"/>
    <col min="8" max="8" width="15.6328125" customWidth="1"/>
    <col min="9" max="9" width="11.6328125" customWidth="1"/>
    <col min="10" max="10" width="14.6328125" customWidth="1"/>
    <col min="11" max="11" width="13.6328125" customWidth="1"/>
    <col min="12" max="12" width="48.6328125" customWidth="1"/>
  </cols>
  <sheetData>
    <row r="1" spans="1:12" ht="21" x14ac:dyDescent="0.5">
      <c r="A1" s="1" t="s">
        <v>7679</v>
      </c>
    </row>
    <row r="2" spans="1:12" ht="28" customHeight="1" x14ac:dyDescent="0.35">
      <c r="A2" s="10" t="s">
        <v>7680</v>
      </c>
      <c r="B2" s="10"/>
      <c r="C2" s="10"/>
      <c r="D2" s="10"/>
      <c r="E2" s="10"/>
      <c r="F2" s="10"/>
      <c r="G2" s="10"/>
      <c r="H2" s="10"/>
      <c r="I2" s="10"/>
      <c r="J2" s="10"/>
      <c r="K2" s="10"/>
      <c r="L2" s="10"/>
    </row>
    <row r="4" spans="1:12" ht="72.5" x14ac:dyDescent="0.35">
      <c r="A4" s="28" t="s">
        <v>7596</v>
      </c>
      <c r="B4" s="28" t="s">
        <v>7681</v>
      </c>
      <c r="C4" s="28" t="s">
        <v>7682</v>
      </c>
      <c r="D4" s="28" t="s">
        <v>7651</v>
      </c>
      <c r="E4" s="28" t="s">
        <v>7683</v>
      </c>
      <c r="F4" s="28" t="s">
        <v>7684</v>
      </c>
      <c r="G4" s="28" t="s">
        <v>7685</v>
      </c>
      <c r="H4" s="28" t="s">
        <v>7686</v>
      </c>
      <c r="I4" s="28" t="s">
        <v>7687</v>
      </c>
      <c r="J4" s="28" t="s">
        <v>7688</v>
      </c>
      <c r="K4" s="28" t="s">
        <v>7689</v>
      </c>
      <c r="L4" s="28" t="s">
        <v>7690</v>
      </c>
    </row>
    <row r="5" spans="1:12" x14ac:dyDescent="0.35">
      <c r="A5" t="str">
        <f>IFERROR(INDEX(tVendor[VendorID],1),"")</f>
        <v>VEN-008</v>
      </c>
      <c r="B5" t="str">
        <f>IFERROR(INDEX(tVendor[VendorName],1),"")</f>
        <v>Meridian Photonics GmbH</v>
      </c>
      <c r="C5" t="str">
        <f>IFERROR(INDEX(tVendor[VendorTier],1),"")</f>
        <v>Preferred</v>
      </c>
      <c r="D5" s="20">
        <f>IFERROR(INDEX(tVendor[TotalSpend],1),"")</f>
        <v>8518594.0399999991</v>
      </c>
      <c r="E5" s="21">
        <f>IFERROR(INDEX(tVendor[LumenRevenueSharePct],1),"")</f>
        <v>5.01</v>
      </c>
      <c r="F5" s="21">
        <f>IFERROR(INDEX(tVendor[OnContractPct],1),"")</f>
        <v>87.9</v>
      </c>
      <c r="G5" s="21">
        <f>IFERROR(INDEX(tVendor[AcceptanceRatePct],1),"")</f>
        <v>99.13</v>
      </c>
      <c r="H5" s="20">
        <f>IFERROR(INDEX(tVendor[RejectedValue],1),"")</f>
        <v>81655.48</v>
      </c>
      <c r="I5" s="21">
        <f>IFERROR(INDEX(tVendor[OnTimePct],1),"")</f>
        <v>81.11</v>
      </c>
      <c r="J5" s="21">
        <f>IFERROR(INDEX(tVendor[CostIndexVsBest],1),"")</f>
        <v>104.42</v>
      </c>
      <c r="K5">
        <f>IFERROR(INDEX(tVendor[SharedParts],1),"")</f>
        <v>14</v>
      </c>
      <c r="L5" t="str">
        <f>IF(J5="","",IF(J5&gt;105,"Dearer per usable part than the best alternative",IF(G5&lt;97,"Quality is the problem, not price","Competitive")))</f>
        <v>Competitive</v>
      </c>
    </row>
    <row r="6" spans="1:12" x14ac:dyDescent="0.35">
      <c r="A6" t="str">
        <f>IFERROR(INDEX(tVendor[VendorID],2),"")</f>
        <v>VEN-010</v>
      </c>
      <c r="B6" t="str">
        <f>IFERROR(INDEX(tVendor[VendorName],2),"")</f>
        <v>Vectra GmbH</v>
      </c>
      <c r="C6" t="str">
        <f>IFERROR(INDEX(tVendor[VendorTier],2),"")</f>
        <v>Preferred</v>
      </c>
      <c r="D6" s="20">
        <f>IFERROR(INDEX(tVendor[TotalSpend],2),"")</f>
        <v>8098186.8399999999</v>
      </c>
      <c r="E6" s="21">
        <f>IFERROR(INDEX(tVendor[LumenRevenueSharePct],2),"")</f>
        <v>5.43</v>
      </c>
      <c r="F6" s="21">
        <f>IFERROR(INDEX(tVendor[OnContractPct],2),"")</f>
        <v>89.75</v>
      </c>
      <c r="G6" s="21">
        <f>IFERROR(INDEX(tVendor[AcceptanceRatePct],2),"")</f>
        <v>99.2</v>
      </c>
      <c r="H6" s="20">
        <f>IFERROR(INDEX(tVendor[RejectedValue],2),"")</f>
        <v>62897.760000000002</v>
      </c>
      <c r="I6" s="21">
        <f>IFERROR(INDEX(tVendor[OnTimePct],2),"")</f>
        <v>81.84</v>
      </c>
      <c r="J6" s="21">
        <f>IFERROR(INDEX(tVendor[CostIndexVsBest],2),"")</f>
        <v>101.77</v>
      </c>
      <c r="K6">
        <f>IFERROR(INDEX(tVendor[SharedParts],2),"")</f>
        <v>10</v>
      </c>
      <c r="L6" t="str">
        <f>IF(J6="","",IF(J6&gt;105,"Dearer per usable part than the best alternative",IF(G6&lt;97,"Quality is the problem, not price","Competitive")))</f>
        <v>Competitive</v>
      </c>
    </row>
    <row r="7" spans="1:12" x14ac:dyDescent="0.35">
      <c r="A7" t="str">
        <f>IFERROR(INDEX(tVendor[VendorID],3),"")</f>
        <v>VEN-016</v>
      </c>
      <c r="B7" t="str">
        <f>IFERROR(INDEX(tVendor[VendorName],3),"")</f>
        <v>Spectra Industries</v>
      </c>
      <c r="C7" t="str">
        <f>IFERROR(INDEX(tVendor[VendorTier],3),"")</f>
        <v>Preferred</v>
      </c>
      <c r="D7" s="20">
        <f>IFERROR(INDEX(tVendor[TotalSpend],3),"")</f>
        <v>7562968.4299999997</v>
      </c>
      <c r="E7" s="21">
        <f>IFERROR(INDEX(tVendor[LumenRevenueSharePct],3),"")</f>
        <v>7.82</v>
      </c>
      <c r="F7" s="21">
        <f>IFERROR(INDEX(tVendor[OnContractPct],3),"")</f>
        <v>79.489999999999995</v>
      </c>
      <c r="G7" s="21">
        <f>IFERROR(INDEX(tVendor[AcceptanceRatePct],3),"")</f>
        <v>99.13</v>
      </c>
      <c r="H7" s="20">
        <f>IFERROR(INDEX(tVendor[RejectedValue],3),"")</f>
        <v>77381.039999999994</v>
      </c>
      <c r="I7" s="21">
        <f>IFERROR(INDEX(tVendor[OnTimePct],3),"")</f>
        <v>77.95</v>
      </c>
      <c r="J7" s="21">
        <f>IFERROR(INDEX(tVendor[CostIndexVsBest],3),"")</f>
        <v>100.8</v>
      </c>
      <c r="K7">
        <f>IFERROR(INDEX(tVendor[SharedParts],3),"")</f>
        <v>11</v>
      </c>
      <c r="L7" t="str">
        <f>IF(J7="","",IF(J7&gt;105,"Dearer per usable part than the best alternative",IF(G7&lt;97,"Quality is the problem, not price","Competitive")))</f>
        <v>Competitive</v>
      </c>
    </row>
    <row r="8" spans="1:12" x14ac:dyDescent="0.35">
      <c r="A8" t="str">
        <f>IFERROR(INDEX(tVendor[VendorID],4),"")</f>
        <v>VEN-032</v>
      </c>
      <c r="B8" t="str">
        <f>IFERROR(INDEX(tVendor[VendorName],4),"")</f>
        <v>Meridian Photonics Technologies</v>
      </c>
      <c r="C8" t="str">
        <f>IFERROR(INDEX(tVendor[VendorTier],4),"")</f>
        <v>Transactional</v>
      </c>
      <c r="D8" s="20">
        <f>IFERROR(INDEX(tVendor[TotalSpend],4),"")</f>
        <v>7188922.5999999996</v>
      </c>
      <c r="E8" s="21">
        <f>IFERROR(INDEX(tVendor[LumenRevenueSharePct],4),"")</f>
        <v>28.3</v>
      </c>
      <c r="F8" s="21">
        <f>IFERROR(INDEX(tVendor[OnContractPct],4),"")</f>
        <v>93.87</v>
      </c>
      <c r="G8" s="21">
        <f>IFERROR(INDEX(tVendor[AcceptanceRatePct],4),"")</f>
        <v>99.28</v>
      </c>
      <c r="H8" s="20">
        <f>IFERROR(INDEX(tVendor[RejectedValue],4),"")</f>
        <v>56967.13</v>
      </c>
      <c r="I8" s="21">
        <f>IFERROR(INDEX(tVendor[OnTimePct],4),"")</f>
        <v>86.19</v>
      </c>
      <c r="J8" s="21">
        <f>IFERROR(INDEX(tVendor[CostIndexVsBest],4),"")</f>
        <v>101.04</v>
      </c>
      <c r="K8">
        <f>IFERROR(INDEX(tVendor[SharedParts],4),"")</f>
        <v>6</v>
      </c>
      <c r="L8" t="str">
        <f>IF(J8="","",IF(J8&gt;105,"Dearer per usable part than the best alternative",IF(G8&lt;97,"Quality is the problem, not price","Competitive")))</f>
        <v>Competitive</v>
      </c>
    </row>
    <row r="9" spans="1:12" x14ac:dyDescent="0.35">
      <c r="A9" t="str">
        <f>IFERROR(INDEX(tVendor[VendorID],5),"")</f>
        <v>VEN-014</v>
      </c>
      <c r="B9" t="str">
        <f>IFERROR(INDEX(tVendor[VendorName],5),"")</f>
        <v>Photonica Industries</v>
      </c>
      <c r="C9" t="str">
        <f>IFERROR(INDEX(tVendor[VendorTier],5),"")</f>
        <v>Preferred</v>
      </c>
      <c r="D9" s="20">
        <f>IFERROR(INDEX(tVendor[TotalSpend],5),"")</f>
        <v>6776342.2000000002</v>
      </c>
      <c r="E9" s="21">
        <f>IFERROR(INDEX(tVendor[LumenRevenueSharePct],5),"")</f>
        <v>4.8099999999999996</v>
      </c>
      <c r="F9" s="21">
        <f>IFERROR(INDEX(tVendor[OnContractPct],5),"")</f>
        <v>83.68</v>
      </c>
      <c r="G9" s="21">
        <f>IFERROR(INDEX(tVendor[AcceptanceRatePct],5),"")</f>
        <v>99.15</v>
      </c>
      <c r="H9" s="20">
        <f>IFERROR(INDEX(tVendor[RejectedValue],5),"")</f>
        <v>54049.22</v>
      </c>
      <c r="I9" s="21">
        <f>IFERROR(INDEX(tVendor[OnTimePct],5),"")</f>
        <v>84.48</v>
      </c>
      <c r="J9" s="21">
        <f>IFERROR(INDEX(tVendor[CostIndexVsBest],5),"")</f>
        <v>104.15</v>
      </c>
      <c r="K9">
        <f>IFERROR(INDEX(tVendor[SharedParts],5),"")</f>
        <v>13</v>
      </c>
      <c r="L9" t="str">
        <f>IF(J9="","",IF(J9&gt;105,"Dearer per usable part than the best alternative",IF(G9&lt;97,"Quality is the problem, not price","Competitive")))</f>
        <v>Competitive</v>
      </c>
    </row>
    <row r="10" spans="1:12" x14ac:dyDescent="0.35">
      <c r="A10" t="str">
        <f>IFERROR(INDEX(tVendor[VendorID],6),"")</f>
        <v>VEN-005</v>
      </c>
      <c r="B10" t="str">
        <f>IFERROR(INDEX(tVendor[VendorName],6),"")</f>
        <v>Helix Optics GmbH</v>
      </c>
      <c r="C10" t="str">
        <f>IFERROR(INDEX(tVendor[VendorTier],6),"")</f>
        <v>Strategic</v>
      </c>
      <c r="D10" s="20">
        <f>IFERROR(INDEX(tVendor[TotalSpend],6),"")</f>
        <v>6535276.5700000003</v>
      </c>
      <c r="E10" s="21">
        <f>IFERROR(INDEX(tVendor[LumenRevenueSharePct],6),"")</f>
        <v>1.75</v>
      </c>
      <c r="F10" s="21">
        <f>IFERROR(INDEX(tVendor[OnContractPct],6),"")</f>
        <v>80.069999999999993</v>
      </c>
      <c r="G10" s="21">
        <f>IFERROR(INDEX(tVendor[AcceptanceRatePct],6),"")</f>
        <v>99.15</v>
      </c>
      <c r="H10" s="20">
        <f>IFERROR(INDEX(tVendor[RejectedValue],6),"")</f>
        <v>60207.61</v>
      </c>
      <c r="I10" s="21">
        <f>IFERROR(INDEX(tVendor[OnTimePct],6),"")</f>
        <v>84.25</v>
      </c>
      <c r="J10" s="21">
        <f>IFERROR(INDEX(tVendor[CostIndexVsBest],6),"")</f>
        <v>101.57</v>
      </c>
      <c r="K10">
        <f>IFERROR(INDEX(tVendor[SharedParts],6),"")</f>
        <v>11</v>
      </c>
      <c r="L10" t="str">
        <f>IF(J10="","",IF(J10&gt;105,"Dearer per usable part than the best alternative",IF(G10&lt;97,"Quality is the problem, not price","Competitive")))</f>
        <v>Competitive</v>
      </c>
    </row>
    <row r="11" spans="1:12" x14ac:dyDescent="0.35">
      <c r="A11" t="str">
        <f>IFERROR(INDEX(tVendor[VendorID],7),"")</f>
        <v>VEN-003</v>
      </c>
      <c r="B11" t="str">
        <f>IFERROR(INDEX(tVendor[VendorName],7),"")</f>
        <v>Crystalline GmbH</v>
      </c>
      <c r="C11" t="str">
        <f>IFERROR(INDEX(tVendor[VendorTier],7),"")</f>
        <v>Strategic</v>
      </c>
      <c r="D11" s="20">
        <f>IFERROR(INDEX(tVendor[TotalSpend],7),"")</f>
        <v>5774441.6399999997</v>
      </c>
      <c r="E11" s="21">
        <f>IFERROR(INDEX(tVendor[LumenRevenueSharePct],7),"")</f>
        <v>3.69</v>
      </c>
      <c r="F11" s="21">
        <f>IFERROR(INDEX(tVendor[OnContractPct],7),"")</f>
        <v>74.790000000000006</v>
      </c>
      <c r="G11" s="21">
        <f>IFERROR(INDEX(tVendor[AcceptanceRatePct],7),"")</f>
        <v>99.03</v>
      </c>
      <c r="H11" s="20">
        <f>IFERROR(INDEX(tVendor[RejectedValue],7),"")</f>
        <v>60006.31</v>
      </c>
      <c r="I11" s="21">
        <f>IFERROR(INDEX(tVendor[OnTimePct],7),"")</f>
        <v>82.17</v>
      </c>
      <c r="J11" s="21">
        <f>IFERROR(INDEX(tVendor[CostIndexVsBest],7),"")</f>
        <v>102.13</v>
      </c>
      <c r="K11">
        <f>IFERROR(INDEX(tVendor[SharedParts],7),"")</f>
        <v>6</v>
      </c>
      <c r="L11" t="str">
        <f>IF(J11="","",IF(J11&gt;105,"Dearer per usable part than the best alternative",IF(G11&lt;97,"Quality is the problem, not price","Competitive")))</f>
        <v>Competitive</v>
      </c>
    </row>
    <row r="12" spans="1:12" x14ac:dyDescent="0.35">
      <c r="A12" t="str">
        <f>IFERROR(INDEX(tVendor[VendorID],8),"")</f>
        <v>VEN-031</v>
      </c>
      <c r="B12" t="str">
        <f>IFERROR(INDEX(tVendor[VendorName],8),"")</f>
        <v>Quantex Technologies</v>
      </c>
      <c r="C12" t="str">
        <f>IFERROR(INDEX(tVendor[VendorTier],8),"")</f>
        <v>Transactional</v>
      </c>
      <c r="D12" s="20">
        <f>IFERROR(INDEX(tVendor[TotalSpend],8),"")</f>
        <v>5598522.3700000001</v>
      </c>
      <c r="E12" s="21">
        <f>IFERROR(INDEX(tVendor[LumenRevenueSharePct],8),"")</f>
        <v>14.93</v>
      </c>
      <c r="F12" s="21">
        <f>IFERROR(INDEX(tVendor[OnContractPct],8),"")</f>
        <v>88.76</v>
      </c>
      <c r="G12" s="21">
        <f>IFERROR(INDEX(tVendor[AcceptanceRatePct],8),"")</f>
        <v>99.18</v>
      </c>
      <c r="H12" s="20">
        <f>IFERROR(INDEX(tVendor[RejectedValue],8),"")</f>
        <v>52890.82</v>
      </c>
      <c r="I12" s="21">
        <f>IFERROR(INDEX(tVendor[OnTimePct],8),"")</f>
        <v>84.27</v>
      </c>
      <c r="J12" s="21">
        <f>IFERROR(INDEX(tVendor[CostIndexVsBest],8),"")</f>
        <v>105.59</v>
      </c>
      <c r="K12">
        <f>IFERROR(INDEX(tVendor[SharedParts],8),"")</f>
        <v>14</v>
      </c>
      <c r="L12" t="str">
        <f>IF(J12="","",IF(J12&gt;105,"Dearer per usable part than the best alternative",IF(G12&lt;97,"Quality is the problem, not price","Competitive")))</f>
        <v>Dearer per usable part than the best alternative</v>
      </c>
    </row>
    <row r="13" spans="1:12" x14ac:dyDescent="0.35">
      <c r="A13" t="str">
        <f>IFERROR(INDEX(tVendor[VendorID],9),"")</f>
        <v>VEN-023</v>
      </c>
      <c r="B13" t="str">
        <f>IFERROR(INDEX(tVendor[VendorName],9),"")</f>
        <v>Kestrel Optical Industries</v>
      </c>
      <c r="C13" t="str">
        <f>IFERROR(INDEX(tVendor[VendorTier],9),"")</f>
        <v>Approved</v>
      </c>
      <c r="D13" s="20">
        <f>IFERROR(INDEX(tVendor[TotalSpend],9),"")</f>
        <v>5429746.8700000001</v>
      </c>
      <c r="E13" s="21">
        <f>IFERROR(INDEX(tVendor[LumenRevenueSharePct],9),"")</f>
        <v>6.75</v>
      </c>
      <c r="F13" s="21">
        <f>IFERROR(INDEX(tVendor[OnContractPct],9),"")</f>
        <v>85.53</v>
      </c>
      <c r="G13" s="21">
        <f>IFERROR(INDEX(tVendor[AcceptanceRatePct],9),"")</f>
        <v>99.23</v>
      </c>
      <c r="H13" s="20">
        <f>IFERROR(INDEX(tVendor[RejectedValue],9),"")</f>
        <v>47208.63</v>
      </c>
      <c r="I13" s="21">
        <f>IFERROR(INDEX(tVendor[OnTimePct],9),"")</f>
        <v>76.430000000000007</v>
      </c>
      <c r="J13" s="21">
        <f>IFERROR(INDEX(tVendor[CostIndexVsBest],9),"")</f>
        <v>108.5</v>
      </c>
      <c r="K13">
        <f>IFERROR(INDEX(tVendor[SharedParts],9),"")</f>
        <v>10</v>
      </c>
      <c r="L13" t="str">
        <f>IF(J13="","",IF(J13&gt;105,"Dearer per usable part than the best alternative",IF(G13&lt;97,"Quality is the problem, not price","Competitive")))</f>
        <v>Dearer per usable part than the best alternative</v>
      </c>
    </row>
    <row r="14" spans="1:12" x14ac:dyDescent="0.35">
      <c r="A14" t="str">
        <f>IFERROR(INDEX(tVendor[VendorID],10),"")</f>
        <v>VEN-020</v>
      </c>
      <c r="B14" t="str">
        <f>IFERROR(INDEX(tVendor[VendorName],10),"")</f>
        <v>Meridian Photonics Industries</v>
      </c>
      <c r="C14" t="str">
        <f>IFERROR(INDEX(tVendor[VendorTier],10),"")</f>
        <v>Approved</v>
      </c>
      <c r="D14" s="20">
        <f>IFERROR(INDEX(tVendor[TotalSpend],10),"")</f>
        <v>5336318.29</v>
      </c>
      <c r="E14" s="21">
        <f>IFERROR(INDEX(tVendor[LumenRevenueSharePct],10),"")</f>
        <v>12.07</v>
      </c>
      <c r="F14" s="21">
        <f>IFERROR(INDEX(tVendor[OnContractPct],10),"")</f>
        <v>98.44</v>
      </c>
      <c r="G14" s="21">
        <f>IFERROR(INDEX(tVendor[AcceptanceRatePct],10),"")</f>
        <v>99.2</v>
      </c>
      <c r="H14" s="20">
        <f>IFERROR(INDEX(tVendor[RejectedValue],10),"")</f>
        <v>41513.03</v>
      </c>
      <c r="I14" s="21">
        <f>IFERROR(INDEX(tVendor[OnTimePct],10),"")</f>
        <v>80.319999999999993</v>
      </c>
      <c r="J14" s="21">
        <f>IFERROR(INDEX(tVendor[CostIndexVsBest],10),"")</f>
        <v>104.12</v>
      </c>
      <c r="K14">
        <f>IFERROR(INDEX(tVendor[SharedParts],10),"")</f>
        <v>11</v>
      </c>
      <c r="L14" t="str">
        <f>IF(J14="","",IF(J14&gt;105,"Dearer per usable part than the best alternative",IF(G14&lt;97,"Quality is the problem, not price","Competitive")))</f>
        <v>Competitive</v>
      </c>
    </row>
    <row r="15" spans="1:12" x14ac:dyDescent="0.35">
      <c r="A15" t="str">
        <f>IFERROR(INDEX(tVendor[VendorID],11),"")</f>
        <v>VEN-028</v>
      </c>
      <c r="B15" t="str">
        <f>IFERROR(INDEX(tVendor[VendorName],11),"")</f>
        <v>Spectra Technologies</v>
      </c>
      <c r="C15" t="str">
        <f>IFERROR(INDEX(tVendor[VendorTier],11),"")</f>
        <v>Approved</v>
      </c>
      <c r="D15" s="20">
        <f>IFERROR(INDEX(tVendor[TotalSpend],11),"")</f>
        <v>5082227.67</v>
      </c>
      <c r="E15" s="21">
        <f>IFERROR(INDEX(tVendor[LumenRevenueSharePct],11),"")</f>
        <v>8.6199999999999992</v>
      </c>
      <c r="F15" s="21">
        <f>IFERROR(INDEX(tVendor[OnContractPct],11),"")</f>
        <v>85.71</v>
      </c>
      <c r="G15" s="21">
        <f>IFERROR(INDEX(tVendor[AcceptanceRatePct],11),"")</f>
        <v>99.18</v>
      </c>
      <c r="H15" s="20">
        <f>IFERROR(INDEX(tVendor[RejectedValue],11),"")</f>
        <v>38312.959999999999</v>
      </c>
      <c r="I15" s="21">
        <f>IFERROR(INDEX(tVendor[OnTimePct],11),"")</f>
        <v>79.8</v>
      </c>
      <c r="J15" s="21">
        <f>IFERROR(INDEX(tVendor[CostIndexVsBest],11),"")</f>
        <v>105.42</v>
      </c>
      <c r="K15">
        <f>IFERROR(INDEX(tVendor[SharedParts],11),"")</f>
        <v>10</v>
      </c>
      <c r="L15" t="str">
        <f>IF(J15="","",IF(J15&gt;105,"Dearer per usable part than the best alternative",IF(G15&lt;97,"Quality is the problem, not price","Competitive")))</f>
        <v>Dearer per usable part than the best alternative</v>
      </c>
    </row>
    <row r="16" spans="1:12" x14ac:dyDescent="0.35">
      <c r="A16" t="str">
        <f>IFERROR(INDEX(tVendor[VendorID],12),"")</f>
        <v>VEN-004</v>
      </c>
      <c r="B16" t="str">
        <f>IFERROR(INDEX(tVendor[VendorName],12),"")</f>
        <v>Spectra GmbH</v>
      </c>
      <c r="C16" t="str">
        <f>IFERROR(INDEX(tVendor[VendorTier],12),"")</f>
        <v>Strategic</v>
      </c>
      <c r="D16" s="20">
        <f>IFERROR(INDEX(tVendor[TotalSpend],12),"")</f>
        <v>4712776.0599999996</v>
      </c>
      <c r="E16" s="21">
        <f>IFERROR(INDEX(tVendor[LumenRevenueSharePct],12),"")</f>
        <v>1.51</v>
      </c>
      <c r="F16" s="21">
        <f>IFERROR(INDEX(tVendor[OnContractPct],12),"")</f>
        <v>81.430000000000007</v>
      </c>
      <c r="G16" s="21">
        <f>IFERROR(INDEX(tVendor[AcceptanceRatePct],12),"")</f>
        <v>98.33</v>
      </c>
      <c r="H16" s="20">
        <f>IFERROR(INDEX(tVendor[RejectedValue],12),"")</f>
        <v>289024.27</v>
      </c>
      <c r="I16" s="21">
        <f>IFERROR(INDEX(tVendor[OnTimePct],12),"")</f>
        <v>83.94</v>
      </c>
      <c r="J16" s="21">
        <f>IFERROR(INDEX(tVendor[CostIndexVsBest],12),"")</f>
        <v>100.23</v>
      </c>
      <c r="K16">
        <f>IFERROR(INDEX(tVendor[SharedParts],12),"")</f>
        <v>5</v>
      </c>
      <c r="L16" t="str">
        <f>IF(J16="","",IF(J16&gt;105,"Dearer per usable part than the best alternative",IF(G16&lt;97,"Quality is the problem, not price","Competitive")))</f>
        <v>Competitive</v>
      </c>
    </row>
    <row r="17" spans="1:12" x14ac:dyDescent="0.35">
      <c r="A17" t="str">
        <f>IFERROR(INDEX(tVendor[VendorID],13),"")</f>
        <v>VEN-007</v>
      </c>
      <c r="B17" t="str">
        <f>IFERROR(INDEX(tVendor[VendorName],13),"")</f>
        <v>Quantex GmbH</v>
      </c>
      <c r="C17" t="str">
        <f>IFERROR(INDEX(tVendor[VendorTier],13),"")</f>
        <v>Preferred</v>
      </c>
      <c r="D17" s="20">
        <f>IFERROR(INDEX(tVendor[TotalSpend],13),"")</f>
        <v>4232747.9400000004</v>
      </c>
      <c r="E17" s="21">
        <f>IFERROR(INDEX(tVendor[LumenRevenueSharePct],13),"")</f>
        <v>10.210000000000001</v>
      </c>
      <c r="F17" s="21">
        <f>IFERROR(INDEX(tVendor[OnContractPct],13),"")</f>
        <v>93.24</v>
      </c>
      <c r="G17" s="21">
        <f>IFERROR(INDEX(tVendor[AcceptanceRatePct],13),"")</f>
        <v>99.09</v>
      </c>
      <c r="H17" s="20">
        <f>IFERROR(INDEX(tVendor[RejectedValue],13),"")</f>
        <v>37788.82</v>
      </c>
      <c r="I17" s="21">
        <f>IFERROR(INDEX(tVendor[OnTimePct],13),"")</f>
        <v>84.8</v>
      </c>
      <c r="J17" s="21">
        <f>IFERROR(INDEX(tVendor[CostIndexVsBest],13),"")</f>
        <v>103.4</v>
      </c>
      <c r="K17">
        <f>IFERROR(INDEX(tVendor[SharedParts],13),"")</f>
        <v>9</v>
      </c>
      <c r="L17" t="str">
        <f>IF(J17="","",IF(J17&gt;105,"Dearer per usable part than the best alternative",IF(G17&lt;97,"Quality is the problem, not price","Competitive")))</f>
        <v>Competitive</v>
      </c>
    </row>
    <row r="18" spans="1:12" x14ac:dyDescent="0.35">
      <c r="A18" t="str">
        <f>IFERROR(INDEX(tVendor[VendorID],14),"")</f>
        <v>VEN-017</v>
      </c>
      <c r="B18" t="str">
        <f>IFERROR(INDEX(tVendor[VendorName],14),"")</f>
        <v>Helix Optics Industries</v>
      </c>
      <c r="C18" t="str">
        <f>IFERROR(INDEX(tVendor[VendorTier],14),"")</f>
        <v>Approved</v>
      </c>
      <c r="D18" s="20">
        <f>IFERROR(INDEX(tVendor[TotalSpend],14),"")</f>
        <v>4074084.85</v>
      </c>
      <c r="E18" s="21">
        <f>IFERROR(INDEX(tVendor[LumenRevenueSharePct],14),"")</f>
        <v>10.210000000000001</v>
      </c>
      <c r="F18" s="21">
        <f>IFERROR(INDEX(tVendor[OnContractPct],14),"")</f>
        <v>93.52</v>
      </c>
      <c r="G18" s="21">
        <f>IFERROR(INDEX(tVendor[AcceptanceRatePct],14),"")</f>
        <v>99.13</v>
      </c>
      <c r="H18" s="20">
        <f>IFERROR(INDEX(tVendor[RejectedValue],14),"")</f>
        <v>39904.83</v>
      </c>
      <c r="I18" s="21">
        <f>IFERROR(INDEX(tVendor[OnTimePct],14),"")</f>
        <v>78.95</v>
      </c>
      <c r="J18" s="21">
        <f>IFERROR(INDEX(tVendor[CostIndexVsBest],14),"")</f>
        <v>101.58</v>
      </c>
      <c r="K18">
        <f>IFERROR(INDEX(tVendor[SharedParts],14),"")</f>
        <v>4</v>
      </c>
      <c r="L18" t="str">
        <f>IF(J18="","",IF(J18&gt;105,"Dearer per usable part than the best alternative",IF(G18&lt;97,"Quality is the problem, not price","Competitive")))</f>
        <v>Competitive</v>
      </c>
    </row>
    <row r="19" spans="1:12" x14ac:dyDescent="0.35">
      <c r="A19" t="str">
        <f>IFERROR(INDEX(tVendor[VendorID],15),"")</f>
        <v>VEN-009</v>
      </c>
      <c r="B19" t="str">
        <f>IFERROR(INDEX(tVendor[VendorName],15),"")</f>
        <v>Oribel GmbH</v>
      </c>
      <c r="C19" t="str">
        <f>IFERROR(INDEX(tVendor[VendorTier],15),"")</f>
        <v>Preferred</v>
      </c>
      <c r="D19" s="20">
        <f>IFERROR(INDEX(tVendor[TotalSpend],15),"")</f>
        <v>4072508.87</v>
      </c>
      <c r="E19" s="21">
        <f>IFERROR(INDEX(tVendor[LumenRevenueSharePct],15),"")</f>
        <v>9.4700000000000006</v>
      </c>
      <c r="F19" s="21">
        <f>IFERROR(INDEX(tVendor[OnContractPct],15),"")</f>
        <v>71.3</v>
      </c>
      <c r="G19" s="21">
        <f>IFERROR(INDEX(tVendor[AcceptanceRatePct],15),"")</f>
        <v>98.88</v>
      </c>
      <c r="H19" s="20">
        <f>IFERROR(INDEX(tVendor[RejectedValue],15),"")</f>
        <v>46617.13</v>
      </c>
      <c r="I19" s="21">
        <f>IFERROR(INDEX(tVendor[OnTimePct],15),"")</f>
        <v>59.64</v>
      </c>
      <c r="J19" s="21">
        <f>IFERROR(INDEX(tVendor[CostIndexVsBest],15),"")</f>
        <v>103.99</v>
      </c>
      <c r="K19">
        <f>IFERROR(INDEX(tVendor[SharedParts],15),"")</f>
        <v>10</v>
      </c>
      <c r="L19" t="str">
        <f>IF(J19="","",IF(J19&gt;105,"Dearer per usable part than the best alternative",IF(G19&lt;97,"Quality is the problem, not price","Competitive")))</f>
        <v>Competitive</v>
      </c>
    </row>
    <row r="20" spans="1:12" x14ac:dyDescent="0.35">
      <c r="A20" t="str">
        <f>IFERROR(INDEX(tVendor[VendorID],16),"")</f>
        <v>VEN-011</v>
      </c>
      <c r="B20" t="str">
        <f>IFERROR(INDEX(tVendor[VendorName],16),"")</f>
        <v>Kestrel Optical GmbH</v>
      </c>
      <c r="C20" t="str">
        <f>IFERROR(INDEX(tVendor[VendorTier],16),"")</f>
        <v>Preferred</v>
      </c>
      <c r="D20" s="20">
        <f>IFERROR(INDEX(tVendor[TotalSpend],16),"")</f>
        <v>3942975.99</v>
      </c>
      <c r="E20" s="21">
        <f>IFERROR(INDEX(tVendor[LumenRevenueSharePct],16),"")</f>
        <v>3.73</v>
      </c>
      <c r="F20" s="21">
        <f>IFERROR(INDEX(tVendor[OnContractPct],16),"")</f>
        <v>66.67</v>
      </c>
      <c r="G20" s="21">
        <f>IFERROR(INDEX(tVendor[AcceptanceRatePct],16),"")</f>
        <v>99.17</v>
      </c>
      <c r="H20" s="20">
        <f>IFERROR(INDEX(tVendor[RejectedValue],16),"")</f>
        <v>37088.25</v>
      </c>
      <c r="I20" s="21">
        <f>IFERROR(INDEX(tVendor[OnTimePct],16),"")</f>
        <v>82.35</v>
      </c>
      <c r="J20" s="21">
        <f>IFERROR(INDEX(tVendor[CostIndexVsBest],16),"")</f>
        <v>101.98</v>
      </c>
      <c r="K20">
        <f>IFERROR(INDEX(tVendor[SharedParts],16),"")</f>
        <v>5</v>
      </c>
      <c r="L20" t="str">
        <f>IF(J20="","",IF(J20&gt;105,"Dearer per usable part than the best alternative",IF(G20&lt;97,"Quality is the problem, not price","Competitive")))</f>
        <v>Competitive</v>
      </c>
    </row>
    <row r="21" spans="1:12" x14ac:dyDescent="0.35">
      <c r="A21" t="str">
        <f>IFERROR(INDEX(tVendor[VendorID],17),"")</f>
        <v>VEN-029</v>
      </c>
      <c r="B21" t="str">
        <f>IFERROR(INDEX(tVendor[VendorName],17),"")</f>
        <v>Helix Optics Technologies</v>
      </c>
      <c r="C21" t="str">
        <f>IFERROR(INDEX(tVendor[VendorTier],17),"")</f>
        <v>Transactional</v>
      </c>
      <c r="D21" s="20">
        <f>IFERROR(INDEX(tVendor[TotalSpend],17),"")</f>
        <v>3860778.97</v>
      </c>
      <c r="E21" s="21">
        <f>IFERROR(INDEX(tVendor[LumenRevenueSharePct],17),"")</f>
        <v>36.479999999999997</v>
      </c>
      <c r="F21" s="21">
        <f>IFERROR(INDEX(tVendor[OnContractPct],17),"")</f>
        <v>88.07</v>
      </c>
      <c r="G21" s="21">
        <f>IFERROR(INDEX(tVendor[AcceptanceRatePct],17),"")</f>
        <v>98.76</v>
      </c>
      <c r="H21" s="20">
        <f>IFERROR(INDEX(tVendor[RejectedValue],17),"")</f>
        <v>47507.28</v>
      </c>
      <c r="I21" s="21">
        <f>IFERROR(INDEX(tVendor[OnTimePct],17),"")</f>
        <v>81.5</v>
      </c>
      <c r="J21" s="21">
        <f>IFERROR(INDEX(tVendor[CostIndexVsBest],17),"")</f>
        <v>100.94</v>
      </c>
      <c r="K21">
        <f>IFERROR(INDEX(tVendor[SharedParts],17),"")</f>
        <v>7</v>
      </c>
      <c r="L21" t="str">
        <f>IF(J21="","",IF(J21&gt;105,"Dearer per usable part than the best alternative",IF(G21&lt;97,"Quality is the problem, not price","Competitive")))</f>
        <v>Competitive</v>
      </c>
    </row>
    <row r="22" spans="1:12" x14ac:dyDescent="0.35">
      <c r="A22" t="str">
        <f>IFERROR(INDEX(tVendor[VendorID],18),"")</f>
        <v>VEN-015</v>
      </c>
      <c r="B22" t="str">
        <f>IFERROR(INDEX(tVendor[VendorName],18),"")</f>
        <v>Crystalline Industries</v>
      </c>
      <c r="C22" t="str">
        <f>IFERROR(INDEX(tVendor[VendorTier],18),"")</f>
        <v>Preferred</v>
      </c>
      <c r="D22" s="20">
        <f>IFERROR(INDEX(tVendor[TotalSpend],18),"")</f>
        <v>3849672.24</v>
      </c>
      <c r="E22" s="21">
        <f>IFERROR(INDEX(tVendor[LumenRevenueSharePct],18),"")</f>
        <v>3.57</v>
      </c>
      <c r="F22" s="21">
        <f>IFERROR(INDEX(tVendor[OnContractPct],18),"")</f>
        <v>66.67</v>
      </c>
      <c r="G22" s="21">
        <f>IFERROR(INDEX(tVendor[AcceptanceRatePct],18),"")</f>
        <v>99.17</v>
      </c>
      <c r="H22" s="20">
        <f>IFERROR(INDEX(tVendor[RejectedValue],18),"")</f>
        <v>31122.44</v>
      </c>
      <c r="I22" s="21">
        <f>IFERROR(INDEX(tVendor[OnTimePct],18),"")</f>
        <v>81.08</v>
      </c>
      <c r="J22" s="21">
        <f>IFERROR(INDEX(tVendor[CostIndexVsBest],18),"")</f>
        <v>108.71</v>
      </c>
      <c r="K22">
        <f>IFERROR(INDEX(tVendor[SharedParts],18),"")</f>
        <v>6</v>
      </c>
      <c r="L22" t="str">
        <f>IF(J22="","",IF(J22&gt;105,"Dearer per usable part than the best alternative",IF(G22&lt;97,"Quality is the problem, not price","Competitive")))</f>
        <v>Dearer per usable part than the best alternative</v>
      </c>
    </row>
    <row r="23" spans="1:12" x14ac:dyDescent="0.35">
      <c r="A23" t="str">
        <f>IFERROR(INDEX(tVendor[VendorID],19),"")</f>
        <v>VEN-006</v>
      </c>
      <c r="B23" t="str">
        <f>IFERROR(INDEX(tVendor[VendorName],19),"")</f>
        <v>Northlight GmbH</v>
      </c>
      <c r="C23" t="str">
        <f>IFERROR(INDEX(tVendor[VendorTier],19),"")</f>
        <v>Strategic</v>
      </c>
      <c r="D23" s="20">
        <f>IFERROR(INDEX(tVendor[TotalSpend],19),"")</f>
        <v>3718821.08</v>
      </c>
      <c r="E23" s="21">
        <f>IFERROR(INDEX(tVendor[LumenRevenueSharePct],19),"")</f>
        <v>4.7699999999999996</v>
      </c>
      <c r="F23" s="21">
        <f>IFERROR(INDEX(tVendor[OnContractPct],19),"")</f>
        <v>93.65</v>
      </c>
      <c r="G23" s="21">
        <f>IFERROR(INDEX(tVendor[AcceptanceRatePct],19),"")</f>
        <v>99.06</v>
      </c>
      <c r="H23" s="20">
        <f>IFERROR(INDEX(tVendor[RejectedValue],19),"")</f>
        <v>44321.59</v>
      </c>
      <c r="I23" s="21">
        <f>IFERROR(INDEX(tVendor[OnTimePct],19),"")</f>
        <v>83.51</v>
      </c>
      <c r="J23" s="21">
        <f>IFERROR(INDEX(tVendor[CostIndexVsBest],19),"")</f>
        <v>101.43</v>
      </c>
      <c r="K23">
        <f>IFERROR(INDEX(tVendor[SharedParts],19),"")</f>
        <v>8</v>
      </c>
      <c r="L23" t="str">
        <f>IF(J23="","",IF(J23&gt;105,"Dearer per usable part than the best alternative",IF(G23&lt;97,"Quality is the problem, not price","Competitive")))</f>
        <v>Competitive</v>
      </c>
    </row>
    <row r="24" spans="1:12" x14ac:dyDescent="0.35">
      <c r="A24" t="str">
        <f>IFERROR(INDEX(tVendor[VendorID],20),"")</f>
        <v>VEN-019</v>
      </c>
      <c r="B24" t="str">
        <f>IFERROR(INDEX(tVendor[VendorName],20),"")</f>
        <v>Quantex Industries</v>
      </c>
      <c r="C24" t="str">
        <f>IFERROR(INDEX(tVendor[VendorTier],20),"")</f>
        <v>Approved</v>
      </c>
      <c r="D24" s="20">
        <f>IFERROR(INDEX(tVendor[TotalSpend],20),"")</f>
        <v>3376414.95</v>
      </c>
      <c r="E24" s="21">
        <f>IFERROR(INDEX(tVendor[LumenRevenueSharePct],20),"")</f>
        <v>16</v>
      </c>
      <c r="F24" s="21">
        <f>IFERROR(INDEX(tVendor[OnContractPct],20),"")</f>
        <v>78.62</v>
      </c>
      <c r="G24" s="21">
        <f>IFERROR(INDEX(tVendor[AcceptanceRatePct],20),"")</f>
        <v>98.86</v>
      </c>
      <c r="H24" s="20">
        <f>IFERROR(INDEX(tVendor[RejectedValue],20),"")</f>
        <v>34364.03</v>
      </c>
      <c r="I24" s="21">
        <f>IFERROR(INDEX(tVendor[OnTimePct],20),"")</f>
        <v>76.92</v>
      </c>
      <c r="J24" s="21">
        <f>IFERROR(INDEX(tVendor[CostIndexVsBest],20),"")</f>
        <v>101.9</v>
      </c>
      <c r="K24">
        <f>IFERROR(INDEX(tVendor[SharedParts],20),"")</f>
        <v>6</v>
      </c>
      <c r="L24" t="str">
        <f>IF(J24="","",IF(J24&gt;105,"Dearer per usable part than the best alternative",IF(G24&lt;97,"Quality is the problem, not price","Competitive")))</f>
        <v>Competitive</v>
      </c>
    </row>
    <row r="25" spans="1:12" x14ac:dyDescent="0.35">
      <c r="A25" t="str">
        <f>IFERROR(INDEX(tVendor[VendorID],21),"")</f>
        <v>VEN-002</v>
      </c>
      <c r="B25" t="str">
        <f>IFERROR(INDEX(tVendor[VendorName],21),"")</f>
        <v>Photonica GmbH</v>
      </c>
      <c r="C25" t="str">
        <f>IFERROR(INDEX(tVendor[VendorTier],21),"")</f>
        <v>Strategic</v>
      </c>
      <c r="D25" s="20">
        <f>IFERROR(INDEX(tVendor[TotalSpend],21),"")</f>
        <v>3168434.02</v>
      </c>
      <c r="E25" s="21">
        <f>IFERROR(INDEX(tVendor[LumenRevenueSharePct],21),"")</f>
        <v>2.4900000000000002</v>
      </c>
      <c r="F25" s="21">
        <f>IFERROR(INDEX(tVendor[OnContractPct],21),"")</f>
        <v>49.06</v>
      </c>
      <c r="G25" s="21">
        <f>IFERROR(INDEX(tVendor[AcceptanceRatePct],21),"")</f>
        <v>98.96</v>
      </c>
      <c r="H25" s="20">
        <f>IFERROR(INDEX(tVendor[RejectedValue],21),"")</f>
        <v>27294.97</v>
      </c>
      <c r="I25" s="21">
        <f>IFERROR(INDEX(tVendor[OnTimePct],21),"")</f>
        <v>85.29</v>
      </c>
      <c r="J25" s="21">
        <f>IFERROR(INDEX(tVendor[CostIndexVsBest],21),"")</f>
        <v>103.08</v>
      </c>
      <c r="K25">
        <f>IFERROR(INDEX(tVendor[SharedParts],21),"")</f>
        <v>4</v>
      </c>
      <c r="L25" t="str">
        <f>IF(J25="","",IF(J25&gt;105,"Dearer per usable part than the best alternative",IF(G25&lt;97,"Quality is the problem, not price","Competitive")))</f>
        <v>Competitive</v>
      </c>
    </row>
    <row r="26" spans="1:12" x14ac:dyDescent="0.35">
      <c r="A26" t="str">
        <f>IFERROR(INDEX(tVendor[VendorID],22),"")</f>
        <v>VEN-034</v>
      </c>
      <c r="B26" t="str">
        <f>IFERROR(INDEX(tVendor[VendorName],22),"")</f>
        <v>Vectra Technologies</v>
      </c>
      <c r="C26" t="str">
        <f>IFERROR(INDEX(tVendor[VendorTier],22),"")</f>
        <v>Transactional</v>
      </c>
      <c r="D26" s="20">
        <f>IFERROR(INDEX(tVendor[TotalSpend],22),"")</f>
        <v>3147306.5</v>
      </c>
      <c r="E26" s="21">
        <f>IFERROR(INDEX(tVendor[LumenRevenueSharePct],22),"")</f>
        <v>34.49</v>
      </c>
      <c r="F26" s="21">
        <f>IFERROR(INDEX(tVendor[OnContractPct],22),"")</f>
        <v>97.62</v>
      </c>
      <c r="G26" s="21">
        <f>IFERROR(INDEX(tVendor[AcceptanceRatePct],22),"")</f>
        <v>99.04</v>
      </c>
      <c r="H26" s="20">
        <f>IFERROR(INDEX(tVendor[RejectedValue],22),"")</f>
        <v>33523.61</v>
      </c>
      <c r="I26" s="21">
        <f>IFERROR(INDEX(tVendor[OnTimePct],22),"")</f>
        <v>82.13</v>
      </c>
      <c r="J26" s="21">
        <f>IFERROR(INDEX(tVendor[CostIndexVsBest],22),"")</f>
        <v>102.94</v>
      </c>
      <c r="K26">
        <f>IFERROR(INDEX(tVendor[SharedParts],22),"")</f>
        <v>9</v>
      </c>
      <c r="L26" t="str">
        <f>IF(J26="","",IF(J26&gt;105,"Dearer per usable part than the best alternative",IF(G26&lt;97,"Quality is the problem, not price","Competitive")))</f>
        <v>Competitive</v>
      </c>
    </row>
    <row r="27" spans="1:12" x14ac:dyDescent="0.35">
      <c r="A27" t="str">
        <f>IFERROR(INDEX(tVendor[VendorID],23),"")</f>
        <v>VEN-026</v>
      </c>
      <c r="B27" t="str">
        <f>IFERROR(INDEX(tVendor[VendorName],23),"")</f>
        <v>Photonica Technologies</v>
      </c>
      <c r="C27" t="str">
        <f>IFERROR(INDEX(tVendor[VendorTier],23),"")</f>
        <v>Approved</v>
      </c>
      <c r="D27" s="20">
        <f>IFERROR(INDEX(tVendor[TotalSpend],23),"")</f>
        <v>3122968.97</v>
      </c>
      <c r="E27" s="21">
        <f>IFERROR(INDEX(tVendor[LumenRevenueSharePct],23),"")</f>
        <v>9.2200000000000006</v>
      </c>
      <c r="F27" s="21">
        <f>IFERROR(INDEX(tVendor[OnContractPct],23),"")</f>
        <v>58.55</v>
      </c>
      <c r="G27" s="21">
        <f>IFERROR(INDEX(tVendor[AcceptanceRatePct],23),"")</f>
        <v>99.16</v>
      </c>
      <c r="H27" s="20">
        <f>IFERROR(INDEX(tVendor[RejectedValue],23),"")</f>
        <v>28359.02</v>
      </c>
      <c r="I27" s="21">
        <f>IFERROR(INDEX(tVendor[OnTimePct],23),"")</f>
        <v>86.67</v>
      </c>
      <c r="J27" s="21">
        <f>IFERROR(INDEX(tVendor[CostIndexVsBest],23),"")</f>
        <v>104.32</v>
      </c>
      <c r="K27">
        <f>IFERROR(INDEX(tVendor[SharedParts],23),"")</f>
        <v>12</v>
      </c>
      <c r="L27" t="str">
        <f>IF(J27="","",IF(J27&gt;105,"Dearer per usable part than the best alternative",IF(G27&lt;97,"Quality is the problem, not price","Competitive")))</f>
        <v>Competitive</v>
      </c>
    </row>
    <row r="28" spans="1:12" x14ac:dyDescent="0.35">
      <c r="A28" t="str">
        <f>IFERROR(INDEX(tVendor[VendorID],24),"")</f>
        <v>VEN-022</v>
      </c>
      <c r="B28" t="str">
        <f>IFERROR(INDEX(tVendor[VendorName],24),"")</f>
        <v>Vectra Industries</v>
      </c>
      <c r="C28" t="str">
        <f>IFERROR(INDEX(tVendor[VendorTier],24),"")</f>
        <v>Approved</v>
      </c>
      <c r="D28" s="20">
        <f>IFERROR(INDEX(tVendor[TotalSpend],24),"")</f>
        <v>2991524.18</v>
      </c>
      <c r="E28" s="21">
        <f>IFERROR(INDEX(tVendor[LumenRevenueSharePct],24),"")</f>
        <v>12.65</v>
      </c>
      <c r="F28" s="21">
        <f>IFERROR(INDEX(tVendor[OnContractPct],24),"")</f>
        <v>92.98</v>
      </c>
      <c r="G28" s="21">
        <f>IFERROR(INDEX(tVendor[AcceptanceRatePct],24),"")</f>
        <v>98.84</v>
      </c>
      <c r="H28" s="20">
        <f>IFERROR(INDEX(tVendor[RejectedValue],24),"")</f>
        <v>28958.92</v>
      </c>
      <c r="I28" s="21">
        <f>IFERROR(INDEX(tVendor[OnTimePct],24),"")</f>
        <v>86.75</v>
      </c>
      <c r="J28" s="21">
        <f>IFERROR(INDEX(tVendor[CostIndexVsBest],24),"")</f>
        <v>102.72</v>
      </c>
      <c r="K28">
        <f>IFERROR(INDEX(tVendor[SharedParts],24),"")</f>
        <v>11</v>
      </c>
      <c r="L28" t="str">
        <f>IF(J28="","",IF(J28&gt;105,"Dearer per usable part than the best alternative",IF(G28&lt;97,"Quality is the problem, not price","Competitive")))</f>
        <v>Competitive</v>
      </c>
    </row>
    <row r="29" spans="1:12" x14ac:dyDescent="0.35">
      <c r="A29" t="str">
        <f>IFERROR(INDEX(tVendor[VendorID],25),"")</f>
        <v>VEN-033</v>
      </c>
      <c r="B29" t="str">
        <f>IFERROR(INDEX(tVendor[VendorName],25),"")</f>
        <v>Oribel Technologies</v>
      </c>
      <c r="C29" t="str">
        <f>IFERROR(INDEX(tVendor[VendorTier],25),"")</f>
        <v>Transactional</v>
      </c>
      <c r="D29" s="20">
        <f>IFERROR(INDEX(tVendor[TotalSpend],25),"")</f>
        <v>2972739.36</v>
      </c>
      <c r="E29" s="21">
        <f>IFERROR(INDEX(tVendor[LumenRevenueSharePct],25),"")</f>
        <v>17.66</v>
      </c>
      <c r="F29" s="21">
        <f>IFERROR(INDEX(tVendor[OnContractPct],25),"")</f>
        <v>53.85</v>
      </c>
      <c r="G29" s="21">
        <f>IFERROR(INDEX(tVendor[AcceptanceRatePct],25),"")</f>
        <v>99.05</v>
      </c>
      <c r="H29" s="20">
        <f>IFERROR(INDEX(tVendor[RejectedValue],25),"")</f>
        <v>26321.09</v>
      </c>
      <c r="I29" s="21">
        <f>IFERROR(INDEX(tVendor[OnTimePct],25),"")</f>
        <v>80.260000000000005</v>
      </c>
      <c r="J29" s="21">
        <f>IFERROR(INDEX(tVendor[CostIndexVsBest],25),"")</f>
        <v>101.68</v>
      </c>
      <c r="K29">
        <f>IFERROR(INDEX(tVendor[SharedParts],25),"")</f>
        <v>8</v>
      </c>
      <c r="L29" t="str">
        <f>IF(J29="","",IF(J29&gt;105,"Dearer per usable part than the best alternative",IF(G29&lt;97,"Quality is the problem, not price","Competitive")))</f>
        <v>Competitive</v>
      </c>
    </row>
    <row r="30" spans="1:12" x14ac:dyDescent="0.35">
      <c r="A30" t="str">
        <f>IFERROR(INDEX(tVendor[VendorID],26),"")</f>
        <v>VEN-013</v>
      </c>
      <c r="B30" t="str">
        <f>IFERROR(INDEX(tVendor[VendorName],26),"")</f>
        <v>Lumitek Industries</v>
      </c>
      <c r="C30" t="str">
        <f>IFERROR(INDEX(tVendor[VendorTier],26),"")</f>
        <v>Preferred</v>
      </c>
      <c r="D30" s="20">
        <f>IFERROR(INDEX(tVendor[TotalSpend],26),"")</f>
        <v>2846030.62</v>
      </c>
      <c r="E30" s="21">
        <f>IFERROR(INDEX(tVendor[LumenRevenueSharePct],26),"")</f>
        <v>9.15</v>
      </c>
      <c r="F30" s="21">
        <f>IFERROR(INDEX(tVendor[OnContractPct],26),"")</f>
        <v>79.27</v>
      </c>
      <c r="G30" s="21">
        <f>IFERROR(INDEX(tVendor[AcceptanceRatePct],26),"")</f>
        <v>99.17</v>
      </c>
      <c r="H30" s="20">
        <f>IFERROR(INDEX(tVendor[RejectedValue],26),"")</f>
        <v>26707.16</v>
      </c>
      <c r="I30" s="21">
        <f>IFERROR(INDEX(tVendor[OnTimePct],26),"")</f>
        <v>88.61</v>
      </c>
      <c r="J30" s="21">
        <f>IFERROR(INDEX(tVendor[CostIndexVsBest],26),"")</f>
        <v>104.41</v>
      </c>
      <c r="K30">
        <f>IFERROR(INDEX(tVendor[SharedParts],26),"")</f>
        <v>6</v>
      </c>
      <c r="L30" t="str">
        <f>IF(J30="","",IF(J30&gt;105,"Dearer per usable part than the best alternative",IF(G30&lt;97,"Quality is the problem, not price","Competitive")))</f>
        <v>Competitive</v>
      </c>
    </row>
    <row r="31" spans="1:12" x14ac:dyDescent="0.35">
      <c r="A31" t="str">
        <f>IFERROR(INDEX(tVendor[VendorID],27),"")</f>
        <v>VEN-018</v>
      </c>
      <c r="B31" t="str">
        <f>IFERROR(INDEX(tVendor[VendorName],27),"")</f>
        <v>Northlight Industries</v>
      </c>
      <c r="C31" t="str">
        <f>IFERROR(INDEX(tVendor[VendorTier],27),"")</f>
        <v>Approved</v>
      </c>
      <c r="D31" s="20">
        <f>IFERROR(INDEX(tVendor[TotalSpend],27),"")</f>
        <v>2708008.75</v>
      </c>
      <c r="E31" s="21">
        <f>IFERROR(INDEX(tVendor[LumenRevenueSharePct],27),"")</f>
        <v>17.170000000000002</v>
      </c>
      <c r="F31" s="21">
        <f>IFERROR(INDEX(tVendor[OnContractPct],27),"")</f>
        <v>98.31</v>
      </c>
      <c r="G31" s="21">
        <f>IFERROR(INDEX(tVendor[AcceptanceRatePct],27),"")</f>
        <v>99</v>
      </c>
      <c r="H31" s="20">
        <f>IFERROR(INDEX(tVendor[RejectedValue],27),"")</f>
        <v>25979.26</v>
      </c>
      <c r="I31" s="21">
        <f>IFERROR(INDEX(tVendor[OnTimePct],27),"")</f>
        <v>85.09</v>
      </c>
      <c r="J31" s="21">
        <f>IFERROR(INDEX(tVendor[CostIndexVsBest],27),"")</f>
        <v>104.45</v>
      </c>
      <c r="K31">
        <f>IFERROR(INDEX(tVendor[SharedParts],27),"")</f>
        <v>8</v>
      </c>
      <c r="L31" t="str">
        <f>IF(J31="","",IF(J31&gt;105,"Dearer per usable part than the best alternative",IF(G31&lt;97,"Quality is the problem, not price","Competitive")))</f>
        <v>Competitive</v>
      </c>
    </row>
    <row r="32" spans="1:12" x14ac:dyDescent="0.35">
      <c r="A32" t="str">
        <f>IFERROR(INDEX(tVendor[VendorID],28),"")</f>
        <v>VEN-001</v>
      </c>
      <c r="B32" t="str">
        <f>IFERROR(INDEX(tVendor[VendorName],28),"")</f>
        <v>Lumitek GmbH</v>
      </c>
      <c r="C32" t="str">
        <f>IFERROR(INDEX(tVendor[VendorTier],28),"")</f>
        <v>Strategic</v>
      </c>
      <c r="D32" s="20">
        <f>IFERROR(INDEX(tVendor[TotalSpend],28),"")</f>
        <v>2610446.87</v>
      </c>
      <c r="E32" s="21">
        <f>IFERROR(INDEX(tVendor[LumenRevenueSharePct],28),"")</f>
        <v>1.37</v>
      </c>
      <c r="F32" s="21">
        <f>IFERROR(INDEX(tVendor[OnContractPct],28),"")</f>
        <v>94.34</v>
      </c>
      <c r="G32" s="21">
        <f>IFERROR(INDEX(tVendor[AcceptanceRatePct],28),"")</f>
        <v>99.04</v>
      </c>
      <c r="H32" s="20">
        <f>IFERROR(INDEX(tVendor[RejectedValue],28),"")</f>
        <v>26356.41</v>
      </c>
      <c r="I32" s="21">
        <f>IFERROR(INDEX(tVendor[OnTimePct],28),"")</f>
        <v>81.94</v>
      </c>
      <c r="J32" s="21">
        <f>IFERROR(INDEX(tVendor[CostIndexVsBest],28),"")</f>
        <v>101.86</v>
      </c>
      <c r="K32">
        <f>IFERROR(INDEX(tVendor[SharedParts],28),"")</f>
        <v>8</v>
      </c>
      <c r="L32" t="str">
        <f>IF(J32="","",IF(J32&gt;105,"Dearer per usable part than the best alternative",IF(G32&lt;97,"Quality is the problem, not price","Competitive")))</f>
        <v>Competitive</v>
      </c>
    </row>
    <row r="33" spans="1:12" x14ac:dyDescent="0.35">
      <c r="A33" t="str">
        <f>IFERROR(INDEX(tVendor[VendorID],29),"")</f>
        <v>VEN-027</v>
      </c>
      <c r="B33" t="str">
        <f>IFERROR(INDEX(tVendor[VendorName],29),"")</f>
        <v>Crystalline Technologies</v>
      </c>
      <c r="C33" t="str">
        <f>IFERROR(INDEX(tVendor[VendorTier],29),"")</f>
        <v>Approved</v>
      </c>
      <c r="D33" s="20">
        <f>IFERROR(INDEX(tVendor[TotalSpend],29),"")</f>
        <v>2420352.9500000002</v>
      </c>
      <c r="E33" s="21">
        <f>IFERROR(INDEX(tVendor[LumenRevenueSharePct],29),"")</f>
        <v>14.24</v>
      </c>
      <c r="F33" s="21">
        <f>IFERROR(INDEX(tVendor[OnContractPct],29),"")</f>
        <v>100</v>
      </c>
      <c r="G33" s="21">
        <f>IFERROR(INDEX(tVendor[AcceptanceRatePct],29),"")</f>
        <v>99.33</v>
      </c>
      <c r="H33" s="20">
        <f>IFERROR(INDEX(tVendor[RejectedValue],29),"")</f>
        <v>16227.01</v>
      </c>
      <c r="I33" s="21">
        <f>IFERROR(INDEX(tVendor[OnTimePct],29),"")</f>
        <v>86.08</v>
      </c>
      <c r="J33" s="21">
        <f>IFERROR(INDEX(tVendor[CostIndexVsBest],29),"")</f>
        <v>100.03</v>
      </c>
      <c r="K33">
        <f>IFERROR(INDEX(tVendor[SharedParts],29),"")</f>
        <v>2</v>
      </c>
      <c r="L33" t="str">
        <f>IF(J33="","",IF(J33&gt;105,"Dearer per usable part than the best alternative",IF(G33&lt;97,"Quality is the problem, not price","Competitive")))</f>
        <v>Competitive</v>
      </c>
    </row>
    <row r="34" spans="1:12" x14ac:dyDescent="0.35">
      <c r="A34" t="str">
        <f>IFERROR(INDEX(tVendor[VendorID],30),"")</f>
        <v>VEN-012</v>
      </c>
      <c r="B34" t="str">
        <f>IFERROR(INDEX(tVendor[VendorName],30),"")</f>
        <v>Aperture Industries</v>
      </c>
      <c r="C34" t="str">
        <f>IFERROR(INDEX(tVendor[VendorTier],30),"")</f>
        <v>Preferred</v>
      </c>
      <c r="D34" s="20">
        <f>IFERROR(INDEX(tVendor[TotalSpend],30),"")</f>
        <v>1932201.82</v>
      </c>
      <c r="E34" s="21">
        <f>IFERROR(INDEX(tVendor[LumenRevenueSharePct],30),"")</f>
        <v>4.72</v>
      </c>
      <c r="F34" s="21">
        <f>IFERROR(INDEX(tVendor[OnContractPct],30),"")</f>
        <v>72.63</v>
      </c>
      <c r="G34" s="21">
        <f>IFERROR(INDEX(tVendor[AcceptanceRatePct],30),"")</f>
        <v>99.03</v>
      </c>
      <c r="H34" s="20">
        <f>IFERROR(INDEX(tVendor[RejectedValue],30),"")</f>
        <v>19397.22</v>
      </c>
      <c r="I34" s="21">
        <f>IFERROR(INDEX(tVendor[OnTimePct],30),"")</f>
        <v>84.75</v>
      </c>
      <c r="J34" s="21">
        <f>IFERROR(INDEX(tVendor[CostIndexVsBest],30),"")</f>
        <v>101.71</v>
      </c>
      <c r="K34">
        <f>IFERROR(INDEX(tVendor[SharedParts],30),"")</f>
        <v>7</v>
      </c>
      <c r="L34" t="str">
        <f>IF(J34="","",IF(J34&gt;105,"Dearer per usable part than the best alternative",IF(G34&lt;97,"Quality is the problem, not price","Competitive")))</f>
        <v>Competitive</v>
      </c>
    </row>
    <row r="35" spans="1:12" x14ac:dyDescent="0.35">
      <c r="A35" t="str">
        <f>IFERROR(INDEX(tVendor[VendorID],31),"")</f>
        <v>VEN-036</v>
      </c>
      <c r="B35" t="str">
        <f>IFERROR(INDEX(tVendor[VendorName],31),"")</f>
        <v>Aperture Technologies</v>
      </c>
      <c r="C35" t="str">
        <f>IFERROR(INDEX(tVendor[VendorTier],31),"")</f>
        <v>Transactional</v>
      </c>
      <c r="D35" s="20">
        <f>IFERROR(INDEX(tVendor[TotalSpend],31),"")</f>
        <v>1503596.69</v>
      </c>
      <c r="E35" s="21">
        <f>IFERROR(INDEX(tVendor[LumenRevenueSharePct],31),"")</f>
        <v>30.07</v>
      </c>
      <c r="F35" s="21">
        <f>IFERROR(INDEX(tVendor[OnContractPct],31),"")</f>
        <v>76.19</v>
      </c>
      <c r="G35" s="21">
        <f>IFERROR(INDEX(tVendor[AcceptanceRatePct],31),"")</f>
        <v>98.51</v>
      </c>
      <c r="H35" s="20">
        <f>IFERROR(INDEX(tVendor[RejectedValue],31),"")</f>
        <v>21548.240000000002</v>
      </c>
      <c r="I35" s="21">
        <f>IFERROR(INDEX(tVendor[OnTimePct],31),"")</f>
        <v>85</v>
      </c>
      <c r="J35" s="21">
        <f>IFERROR(INDEX(tVendor[CostIndexVsBest],31),"")</f>
        <v>109.71</v>
      </c>
      <c r="K35">
        <f>IFERROR(INDEX(tVendor[SharedParts],31),"")</f>
        <v>3</v>
      </c>
      <c r="L35" t="str">
        <f>IF(J35="","",IF(J35&gt;105,"Dearer per usable part than the best alternative",IF(G35&lt;97,"Quality is the problem, not price","Competitive")))</f>
        <v>Dearer per usable part than the best alternative</v>
      </c>
    </row>
    <row r="36" spans="1:12" x14ac:dyDescent="0.35">
      <c r="A36" t="str">
        <f>IFERROR(INDEX(tVendor[VendorID],32),"")</f>
        <v>VEN-024</v>
      </c>
      <c r="B36" t="str">
        <f>IFERROR(INDEX(tVendor[VendorName],32),"")</f>
        <v>Aperture Technologies</v>
      </c>
      <c r="C36" t="str">
        <f>IFERROR(INDEX(tVendor[VendorTier],32),"")</f>
        <v>Approved</v>
      </c>
      <c r="D36" s="20">
        <f>IFERROR(INDEX(tVendor[TotalSpend],32),"")</f>
        <v>1469457.03</v>
      </c>
      <c r="E36" s="21">
        <f>IFERROR(INDEX(tVendor[LumenRevenueSharePct],32),"")</f>
        <v>18.36</v>
      </c>
      <c r="F36" s="21">
        <f>IFERROR(INDEX(tVendor[OnContractPct],32),"")</f>
        <v>100</v>
      </c>
      <c r="G36" s="21">
        <f>IFERROR(INDEX(tVendor[AcceptanceRatePct],32),"")</f>
        <v>98.8</v>
      </c>
      <c r="H36" s="20">
        <f>IFERROR(INDEX(tVendor[RejectedValue],32),"")</f>
        <v>16471.86</v>
      </c>
      <c r="I36" s="21">
        <f>IFERROR(INDEX(tVendor[OnTimePct],32),"")</f>
        <v>78.650000000000006</v>
      </c>
      <c r="J36" s="21">
        <f>IFERROR(INDEX(tVendor[CostIndexVsBest],32),"")</f>
        <v>100.07</v>
      </c>
      <c r="K36">
        <f>IFERROR(INDEX(tVendor[SharedParts],32),"")</f>
        <v>5</v>
      </c>
      <c r="L36" t="str">
        <f>IF(J36="","",IF(J36&gt;105,"Dearer per usable part than the best alternative",IF(G36&lt;97,"Quality is the problem, not price","Competitive")))</f>
        <v>Competitive</v>
      </c>
    </row>
    <row r="37" spans="1:12" x14ac:dyDescent="0.35">
      <c r="A37" t="str">
        <f>IFERROR(INDEX(tVendor[VendorID],33),"")</f>
        <v>VEN-035</v>
      </c>
      <c r="B37" t="str">
        <f>IFERROR(INDEX(tVendor[VendorName],33),"")</f>
        <v>Kestrel Optical Technologies</v>
      </c>
      <c r="C37" t="str">
        <f>IFERROR(INDEX(tVendor[VendorTier],33),"")</f>
        <v>Transactional</v>
      </c>
      <c r="D37" s="20">
        <f>IFERROR(INDEX(tVendor[TotalSpend],33),"")</f>
        <v>1445470.41</v>
      </c>
      <c r="E37" s="21">
        <f>IFERROR(INDEX(tVendor[LumenRevenueSharePct],33),"")</f>
        <v>36.86</v>
      </c>
      <c r="F37" s="21">
        <f>IFERROR(INDEX(tVendor[OnContractPct],33),"")</f>
        <v>90.18</v>
      </c>
      <c r="G37" s="21">
        <f>IFERROR(INDEX(tVendor[AcceptanceRatePct],33),"")</f>
        <v>99.24</v>
      </c>
      <c r="H37" s="20">
        <f>IFERROR(INDEX(tVendor[RejectedValue],33),"")</f>
        <v>10359.57</v>
      </c>
      <c r="I37" s="21">
        <f>IFERROR(INDEX(tVendor[OnTimePct],33),"")</f>
        <v>86.11</v>
      </c>
      <c r="J37" s="21">
        <f>IFERROR(INDEX(tVendor[CostIndexVsBest],33),"")</f>
        <v>101.74</v>
      </c>
      <c r="K37">
        <f>IFERROR(INDEX(tVendor[SharedParts],33),"")</f>
        <v>3</v>
      </c>
      <c r="L37" t="str">
        <f>IF(J37="","",IF(J37&gt;105,"Dearer per usable part than the best alternative",IF(G37&lt;97,"Quality is the problem, not price","Competitive")))</f>
        <v>Competitive</v>
      </c>
    </row>
    <row r="38" spans="1:12" x14ac:dyDescent="0.35">
      <c r="A38" t="str">
        <f>IFERROR(INDEX(tVendor[VendorID],34),"")</f>
        <v>VEN-025</v>
      </c>
      <c r="B38" t="str">
        <f>IFERROR(INDEX(tVendor[VendorName],34),"")</f>
        <v>Lumitek Technologies</v>
      </c>
      <c r="C38" t="str">
        <f>IFERROR(INDEX(tVendor[VendorTier],34),"")</f>
        <v>Approved</v>
      </c>
      <c r="D38" s="20">
        <f>IFERROR(INDEX(tVendor[TotalSpend],34),"")</f>
        <v>971234.04</v>
      </c>
      <c r="E38" s="21">
        <f>IFERROR(INDEX(tVendor[LumenRevenueSharePct],34),"")</f>
        <v>14.26</v>
      </c>
      <c r="F38" s="21">
        <f>IFERROR(INDEX(tVendor[OnContractPct],34),"")</f>
        <v>83.05</v>
      </c>
      <c r="G38" s="21">
        <f>IFERROR(INDEX(tVendor[AcceptanceRatePct],34),"")</f>
        <v>99.1</v>
      </c>
      <c r="H38" s="20">
        <f>IFERROR(INDEX(tVendor[RejectedValue],34),"")</f>
        <v>8851.33</v>
      </c>
      <c r="I38" s="21">
        <f>IFERROR(INDEX(tVendor[OnTimePct],34),"")</f>
        <v>84.48</v>
      </c>
      <c r="J38" s="21">
        <f>IFERROR(INDEX(tVendor[CostIndexVsBest],34),"")</f>
        <v>102.99</v>
      </c>
      <c r="K38">
        <f>IFERROR(INDEX(tVendor[SharedParts],34),"")</f>
        <v>5</v>
      </c>
      <c r="L38" t="str">
        <f>IF(J38="","",IF(J38&gt;105,"Dearer per usable part than the best alternative",IF(G38&lt;97,"Quality is the problem, not price","Competitive")))</f>
        <v>Competitive</v>
      </c>
    </row>
    <row r="39" spans="1:12" x14ac:dyDescent="0.35">
      <c r="A39" t="str">
        <f>IFERROR(INDEX(tVendor[VendorID],35),"")</f>
        <v>VEN-030</v>
      </c>
      <c r="B39" t="str">
        <f>IFERROR(INDEX(tVendor[VendorName],35),"")</f>
        <v>Northlight Technologies</v>
      </c>
      <c r="C39" t="str">
        <f>IFERROR(INDEX(tVendor[VendorTier],35),"")</f>
        <v>Transactional</v>
      </c>
      <c r="D39" s="20">
        <f>IFERROR(INDEX(tVendor[TotalSpend],35),"")</f>
        <v>670517.98</v>
      </c>
      <c r="E39" s="21">
        <f>IFERROR(INDEX(tVendor[LumenRevenueSharePct],35),"")</f>
        <v>26.4</v>
      </c>
      <c r="F39" s="21">
        <f>IFERROR(INDEX(tVendor[OnContractPct],35),"")</f>
        <v>90.48</v>
      </c>
      <c r="G39" s="21">
        <f>IFERROR(INDEX(tVendor[AcceptanceRatePct],35),"")</f>
        <v>98.53</v>
      </c>
      <c r="H39" s="20">
        <f>IFERROR(INDEX(tVendor[RejectedValue],35),"")</f>
        <v>9800.57</v>
      </c>
      <c r="I39" s="21">
        <f>IFERROR(INDEX(tVendor[OnTimePct],35),"")</f>
        <v>80.95</v>
      </c>
      <c r="J39" s="21">
        <f>IFERROR(INDEX(tVendor[CostIndexVsBest],35),"")</f>
        <v>102.51</v>
      </c>
      <c r="K39">
        <f>IFERROR(INDEX(tVendor[SharedParts],35),"")</f>
        <v>3</v>
      </c>
      <c r="L39" t="str">
        <f>IF(J39="","",IF(J39&gt;105,"Dearer per usable part than the best alternative",IF(G39&lt;97,"Quality is the problem, not price","Competitive")))</f>
        <v>Competitive</v>
      </c>
    </row>
    <row r="40" spans="1:12" x14ac:dyDescent="0.35">
      <c r="A40" t="str">
        <f>IFERROR(INDEX(tVendor[VendorID],36),"")</f>
        <v>VEN-021</v>
      </c>
      <c r="B40" t="str">
        <f>IFERROR(INDEX(tVendor[VendorName],36),"")</f>
        <v>Oribel Industries</v>
      </c>
      <c r="C40" t="str">
        <f>IFERROR(INDEX(tVendor[VendorTier],36),"")</f>
        <v>Approved</v>
      </c>
      <c r="D40" s="20">
        <f>IFERROR(INDEX(tVendor[TotalSpend],36),"")</f>
        <v>591810.44999999995</v>
      </c>
      <c r="E40" s="21">
        <f>IFERROR(INDEX(tVendor[LumenRevenueSharePct],36),"")</f>
        <v>7.24</v>
      </c>
      <c r="F40" s="21">
        <f>IFERROR(INDEX(tVendor[OnContractPct],36),"")</f>
        <v>100</v>
      </c>
      <c r="G40" s="21">
        <f>IFERROR(INDEX(tVendor[AcceptanceRatePct],36),"")</f>
        <v>99.28</v>
      </c>
      <c r="H40" s="20">
        <f>IFERROR(INDEX(tVendor[RejectedValue],36),"")</f>
        <v>4183.17</v>
      </c>
      <c r="I40" s="21">
        <f>IFERROR(INDEX(tVendor[OnTimePct],36),"")</f>
        <v>100</v>
      </c>
      <c r="J40" s="21">
        <f>IFERROR(INDEX(tVendor[CostIndexVsBest],36),"")</f>
        <v>104.39</v>
      </c>
      <c r="K40">
        <f>IFERROR(INDEX(tVendor[SharedParts],36),"")</f>
        <v>2</v>
      </c>
      <c r="L40" t="str">
        <f>IF(J40="","",IF(J40&gt;105,"Dearer per usable part than the best alternative",IF(G40&lt;97,"Quality is the problem, not price","Competitive")))</f>
        <v>Competitive</v>
      </c>
    </row>
  </sheetData>
  <mergeCells count="1">
    <mergeCell ref="A2:L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F4ED1-3EBB-43AB-A562-123CE0F0E494}">
  <dimension ref="A1:F21"/>
  <sheetViews>
    <sheetView workbookViewId="0"/>
  </sheetViews>
  <sheetFormatPr defaultRowHeight="14.5" x14ac:dyDescent="0.35"/>
  <cols>
    <col min="1" max="1" width="5.6328125" customWidth="1"/>
    <col min="2" max="2" width="36.6328125" customWidth="1"/>
    <col min="3" max="4" width="18.6328125" customWidth="1"/>
    <col min="5" max="5" width="15.6328125" customWidth="1"/>
    <col min="6" max="6" width="12.6328125" customWidth="1"/>
  </cols>
  <sheetData>
    <row r="1" spans="1:6" ht="21" x14ac:dyDescent="0.5">
      <c r="A1" s="1" t="s">
        <v>7691</v>
      </c>
    </row>
    <row r="2" spans="1:6" ht="30" customHeight="1" x14ac:dyDescent="0.35">
      <c r="A2" s="10" t="s">
        <v>7692</v>
      </c>
      <c r="B2" s="10"/>
      <c r="C2" s="10"/>
      <c r="D2" s="10"/>
      <c r="E2" s="10"/>
      <c r="F2" s="10"/>
    </row>
    <row r="4" spans="1:6" x14ac:dyDescent="0.35">
      <c r="A4" s="4" t="s">
        <v>7668</v>
      </c>
      <c r="B4" s="4" t="s">
        <v>7693</v>
      </c>
      <c r="C4" s="4" t="s">
        <v>7694</v>
      </c>
      <c r="D4" s="4" t="s">
        <v>7695</v>
      </c>
      <c r="E4" s="4" t="s">
        <v>7696</v>
      </c>
      <c r="F4" s="4" t="s">
        <v>7697</v>
      </c>
    </row>
    <row r="5" spans="1:6" x14ac:dyDescent="0.35">
      <c r="A5">
        <v>1</v>
      </c>
      <c r="B5" t="s">
        <v>7608</v>
      </c>
      <c r="C5" s="29">
        <f>INDEX(tKPI[TotalSpend],MATCH(MAX(tKPI[AsOfDate]),tKPI[AsOfDate],0))</f>
        <v>48586386.859999999</v>
      </c>
      <c r="D5" s="29">
        <f>Dashboard!$C$8</f>
        <v>48586386.859999955</v>
      </c>
      <c r="E5" s="29">
        <f>C5-D5</f>
        <v>0</v>
      </c>
      <c r="F5" s="23" t="str">
        <f>IF(ABS(E5)&lt;=0.05,"MATCH","DIFFERS")</f>
        <v>MATCH</v>
      </c>
    </row>
    <row r="6" spans="1:6" x14ac:dyDescent="0.35">
      <c r="A6">
        <v>2</v>
      </c>
      <c r="B6" t="s">
        <v>7609</v>
      </c>
      <c r="C6" s="29">
        <f>INDEX(tKPI[LandedSpend],MATCH(MAX(tKPI[AsOfDate]),tKPI[AsOfDate],0))</f>
        <v>49474785.920000002</v>
      </c>
      <c r="D6" s="29">
        <f>Dashboard!$C$9</f>
        <v>49474785.920000069</v>
      </c>
      <c r="E6" s="29">
        <f>C6-D6</f>
        <v>-6.7055225372314453E-8</v>
      </c>
      <c r="F6" s="23" t="str">
        <f>IF(ABS(E6)&lt;=0.05,"MATCH","DIFFERS")</f>
        <v>MATCH</v>
      </c>
    </row>
    <row r="7" spans="1:6" x14ac:dyDescent="0.35">
      <c r="A7">
        <v>3</v>
      </c>
      <c r="B7" t="s">
        <v>7634</v>
      </c>
      <c r="C7" s="29">
        <f>INDEX(tKPI[ErosionCapturePct],MATCH(MAX(tKPI[AsOfDate]),tKPI[AsOfDate],0))</f>
        <v>29.5</v>
      </c>
      <c r="D7" s="29">
        <f>Dashboard!$B$20</f>
        <v>29.499100987530092</v>
      </c>
      <c r="E7" s="29">
        <f>C7-D7</f>
        <v>8.9901246990820027E-4</v>
      </c>
      <c r="F7" s="23" t="str">
        <f>IF(ABS(E7)&lt;=0.01,"MATCH","DIFFERS")</f>
        <v>MATCH</v>
      </c>
    </row>
    <row r="8" spans="1:6" x14ac:dyDescent="0.35">
      <c r="A8">
        <v>4</v>
      </c>
      <c r="B8" t="s">
        <v>7698</v>
      </c>
      <c r="C8" s="29">
        <f>INDEX(tKPI[ErosionOpportunity],MATCH(MAX(tKPI[AsOfDate]),tKPI[AsOfDate],0))</f>
        <v>4047608.72</v>
      </c>
      <c r="D8" s="29">
        <f>Dashboard!$G$10</f>
        <v>4047608.7199999983</v>
      </c>
      <c r="E8" s="29">
        <f>C8-D8</f>
        <v>0</v>
      </c>
      <c r="F8" s="23" t="str">
        <f>IF(ABS(E8)&lt;=0.05,"MATCH","DIFFERS")</f>
        <v>MATCH</v>
      </c>
    </row>
    <row r="9" spans="1:6" x14ac:dyDescent="0.35">
      <c r="A9">
        <v>5</v>
      </c>
      <c r="B9" t="s">
        <v>7636</v>
      </c>
      <c r="C9" s="29">
        <f>INDEX(tKPI[MaverickSpendPct],MATCH(MAX(tKPI[AsOfDate]),tKPI[AsOfDate],0))</f>
        <v>27.09</v>
      </c>
      <c r="D9" s="29">
        <f>Dashboard!$B$21</f>
        <v>27.089110449650764</v>
      </c>
      <c r="E9" s="29">
        <f>C9-D9</f>
        <v>8.8955034923543508E-4</v>
      </c>
      <c r="F9" s="23" t="str">
        <f>IF(ABS(E9)&lt;=0.01,"MATCH","DIFFERS")</f>
        <v>MATCH</v>
      </c>
    </row>
    <row r="10" spans="1:6" x14ac:dyDescent="0.35">
      <c r="A10">
        <v>6</v>
      </c>
      <c r="B10" t="s">
        <v>7638</v>
      </c>
      <c r="C10" s="29">
        <f>INDEX(tKPI[PPVPct],MATCH(MAX(tKPI[AsOfDate]),tKPI[AsOfDate],0))</f>
        <v>-0.189</v>
      </c>
      <c r="D10" s="29">
        <f>Dashboard!$B$22</f>
        <v>-0.18902297660968786</v>
      </c>
      <c r="E10" s="29">
        <f>C10-D10</f>
        <v>2.2976609687863636E-5</v>
      </c>
      <c r="F10" s="23" t="str">
        <f>IF(ABS(E10)&lt;=0.01,"MATCH","DIFFERS")</f>
        <v>MATCH</v>
      </c>
    </row>
    <row r="11" spans="1:6" x14ac:dyDescent="0.35">
      <c r="A11">
        <v>7</v>
      </c>
      <c r="B11" t="s">
        <v>7640</v>
      </c>
      <c r="C11" s="29">
        <f>INDEX(tKPI[AcceptanceRatePct],MATCH(MAX(tKPI[AsOfDate]),tKPI[AsOfDate],0))</f>
        <v>99.11</v>
      </c>
      <c r="D11" s="29">
        <f>Dashboard!$B$23</f>
        <v>99.11382279312771</v>
      </c>
      <c r="E11" s="29">
        <f>C11-D11</f>
        <v>-3.8227931277106109E-3</v>
      </c>
      <c r="F11" s="23" t="str">
        <f>IF(ABS(E11)&lt;=0.01,"MATCH","DIFFERS")</f>
        <v>MATCH</v>
      </c>
    </row>
    <row r="12" spans="1:6" x14ac:dyDescent="0.35">
      <c r="A12">
        <v>8</v>
      </c>
      <c r="B12" t="s">
        <v>7642</v>
      </c>
      <c r="C12" s="29">
        <f>INDEX(tKPI[OnTimeDeliveryPct],MATCH(MAX(tKPI[AsOfDate]),tKPI[AsOfDate],0))</f>
        <v>80.62</v>
      </c>
      <c r="D12" s="29">
        <f>Dashboard!$B$24</f>
        <v>80.622837370242209</v>
      </c>
      <c r="E12" s="29">
        <f>C12-D12</f>
        <v>-2.8373702422044289E-3</v>
      </c>
      <c r="F12" s="23" t="str">
        <f>IF(ABS(E12)&lt;=0.01,"MATCH","DIFFERS")</f>
        <v>MATCH</v>
      </c>
    </row>
    <row r="13" spans="1:6" x14ac:dyDescent="0.35">
      <c r="A13">
        <v>9</v>
      </c>
      <c r="B13" t="s">
        <v>7644</v>
      </c>
      <c r="C13" s="29">
        <f>INDEX(tKPI[ExpediteSpendPct],MATCH(MAX(tKPI[AsOfDate]),tKPI[AsOfDate],0))</f>
        <v>0.23</v>
      </c>
      <c r="D13" s="29">
        <f>Dashboard!$B$25</f>
        <v>0.22504706990265813</v>
      </c>
      <c r="E13" s="29">
        <f>C13-D13</f>
        <v>4.9529300973418788E-3</v>
      </c>
      <c r="F13" s="23" t="str">
        <f>IF(ABS(E13)&lt;=0.01,"MATCH","DIFFERS")</f>
        <v>MATCH</v>
      </c>
    </row>
    <row r="14" spans="1:6" x14ac:dyDescent="0.35">
      <c r="A14">
        <v>10</v>
      </c>
      <c r="B14" t="s">
        <v>7646</v>
      </c>
      <c r="C14" s="29">
        <f>INDEX(tKPI[SingleSourceSpendPct],MATCH(MAX(tKPI[AsOfDate]),tKPI[AsOfDate],0))</f>
        <v>27.17</v>
      </c>
      <c r="D14" s="29">
        <f>Dashboard!$B$26</f>
        <v>27.17024362819641</v>
      </c>
      <c r="E14" s="29">
        <f>C14-D14</f>
        <v>-2.4362819640799671E-4</v>
      </c>
      <c r="F14" s="23" t="str">
        <f>IF(ABS(E14)&lt;=0.01,"MATCH","DIFFERS")</f>
        <v>MATCH</v>
      </c>
    </row>
    <row r="15" spans="1:6" x14ac:dyDescent="0.35">
      <c r="A15">
        <v>11</v>
      </c>
      <c r="B15" t="s">
        <v>7648</v>
      </c>
      <c r="C15" s="29">
        <f>INDEX(tKPI[Top5VendorSharePct],MATCH(MAX(tKPI[AsOfDate]),tKPI[AsOfDate],0))</f>
        <v>27.2</v>
      </c>
      <c r="D15" s="29">
        <f>Dashboard!$B$27</f>
        <v>27.1981550265868</v>
      </c>
      <c r="E15" s="29">
        <f>C15-D15</f>
        <v>1.8449734131991136E-3</v>
      </c>
      <c r="F15" s="23" t="str">
        <f>IF(ABS(E15)&lt;=0.01,"MATCH","DIFFERS")</f>
        <v>MATCH</v>
      </c>
    </row>
    <row r="16" spans="1:6" x14ac:dyDescent="0.35">
      <c r="A16">
        <v>12</v>
      </c>
      <c r="B16" t="s">
        <v>7616</v>
      </c>
      <c r="C16" s="29">
        <f>INDEX(tKPI[RejectedValue],MATCH(MAX(tKPI[AsOfDate]),tKPI[AsOfDate],0))</f>
        <v>498840.71</v>
      </c>
      <c r="D16" s="29">
        <f>Dashboard!$C$16</f>
        <v>498840.70999999926</v>
      </c>
      <c r="E16" s="29">
        <f>C16-D16</f>
        <v>7.5669959187507629E-10</v>
      </c>
      <c r="F16" s="23" t="str">
        <f>IF(ABS(E16)&lt;=0.05,"MATCH","DIFFERS")</f>
        <v>MATCH</v>
      </c>
    </row>
    <row r="17" spans="1:6" x14ac:dyDescent="0.35">
      <c r="A17">
        <v>13</v>
      </c>
      <c r="B17" t="s">
        <v>7699</v>
      </c>
      <c r="C17" s="29">
        <f>COUNTA(tQueue[PartNumber])</f>
        <v>185</v>
      </c>
      <c r="D17" s="29">
        <f>COUNTA(tErosion[PartNumber])</f>
        <v>185</v>
      </c>
      <c r="E17" s="29">
        <f>C17-D17</f>
        <v>0</v>
      </c>
      <c r="F17" s="23" t="str">
        <f>IF(ABS(E17)&lt;=0.5,"MATCH","DIFFERS")</f>
        <v>MATCH</v>
      </c>
    </row>
    <row r="18" spans="1:6" x14ac:dyDescent="0.35">
      <c r="A18">
        <v>14</v>
      </c>
      <c r="B18" t="s">
        <v>7700</v>
      </c>
      <c r="C18" s="29">
        <f>SUM(tQueue[AnnualOpportunity])</f>
        <v>4047608.7199999983</v>
      </c>
      <c r="D18" s="29">
        <f>SUMIF(tErosion[AnnualOpportunity],"&gt;0")</f>
        <v>4047608.7199999983</v>
      </c>
      <c r="E18" s="29">
        <f>C18-D18</f>
        <v>0</v>
      </c>
      <c r="F18" s="23" t="str">
        <f>IF(ABS(E18)&lt;=0.05,"MATCH","DIFFERS")</f>
        <v>MATCH</v>
      </c>
    </row>
    <row r="20" spans="1:6" x14ac:dyDescent="0.35">
      <c r="B20" s="3" t="s">
        <v>7701</v>
      </c>
      <c r="C20" s="3" t="str">
        <f>COUNTIF($F$5:$F$18,"MATCH")&amp;" of "&amp;COUNTA($F$5:$F$18)</f>
        <v>14 of 14</v>
      </c>
    </row>
    <row r="21" spans="1:6" x14ac:dyDescent="0.35">
      <c r="B21" s="3" t="str">
        <f>IF(COUNTIF($F$5:$F$18,"DIFFERS")=0,"All figures reconcile between the two independent implementations.","RECONCILIATION FAILED -- do not publish these figures.")</f>
        <v>All figures reconcile between the two independent implementations.</v>
      </c>
    </row>
  </sheetData>
  <mergeCells count="1">
    <mergeCell ref="A2:F2"/>
  </mergeCells>
  <conditionalFormatting sqref="F5:F18">
    <cfRule type="cellIs" dxfId="1" priority="1" stopIfTrue="1" operator="equal">
      <formula>"""MATCH"""</formula>
    </cfRule>
    <cfRule type="cellIs" dxfId="0" priority="2" stopIfTrue="1" operator="equal">
      <formula>"""DIFFERS"""</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FC49F-4B60-4861-8839-AA6EBC18026E}">
  <dimension ref="A1:C236"/>
  <sheetViews>
    <sheetView workbookViewId="0"/>
  </sheetViews>
  <sheetFormatPr defaultRowHeight="14.5" x14ac:dyDescent="0.35"/>
  <cols>
    <col min="1" max="1" width="34.6328125" customWidth="1"/>
    <col min="3" max="3" width="12.453125" bestFit="1" customWidth="1"/>
  </cols>
  <sheetData>
    <row r="1" spans="1:3" ht="17" x14ac:dyDescent="0.4">
      <c r="A1" s="14" t="s">
        <v>7591</v>
      </c>
    </row>
    <row r="2" spans="1:3" x14ac:dyDescent="0.35">
      <c r="A2" s="2" t="s">
        <v>7592</v>
      </c>
    </row>
    <row r="4" spans="1:3" x14ac:dyDescent="0.35">
      <c r="A4" s="3" t="s">
        <v>7593</v>
      </c>
      <c r="C4" s="5">
        <f>EOMONTH(AsOfDate,-12)</f>
        <v>45657</v>
      </c>
    </row>
    <row r="5" spans="1:3" x14ac:dyDescent="0.35">
      <c r="A5" s="3" t="s">
        <v>7594</v>
      </c>
      <c r="C5" s="5">
        <f>AsOfDate</f>
        <v>46022</v>
      </c>
    </row>
    <row r="7" spans="1:3" x14ac:dyDescent="0.35">
      <c r="A7" s="3" t="s">
        <v>7595</v>
      </c>
    </row>
    <row r="8" spans="1:3" x14ac:dyDescent="0.35">
      <c r="A8" s="15" t="s">
        <v>7596</v>
      </c>
      <c r="B8" s="15"/>
      <c r="C8" s="15" t="s">
        <v>7597</v>
      </c>
    </row>
    <row r="9" spans="1:3" x14ac:dyDescent="0.35">
      <c r="A9" t="str">
        <f>IFERROR(INDEX(tVendor[VendorID],1),"")</f>
        <v>VEN-008</v>
      </c>
      <c r="C9" s="16">
        <f>IF($A9="","",SUMIFS(tPO[ExtendedPrice],tPO[VendorID],$A9,tPO[OrderDate],"&gt;"&amp;WinFrom,tPO[OrderDate],"&lt;="&amp;WinTo))</f>
        <v>3406341.3099999977</v>
      </c>
    </row>
    <row r="10" spans="1:3" x14ac:dyDescent="0.35">
      <c r="A10" t="str">
        <f>IFERROR(INDEX(tVendor[VendorID],2),"")</f>
        <v>VEN-010</v>
      </c>
      <c r="C10" s="16">
        <f>IF($A10="","",SUMIFS(tPO[ExtendedPrice],tPO[VendorID],$A10,tPO[OrderDate],"&gt;"&amp;WinFrom,tPO[OrderDate],"&lt;="&amp;WinTo))</f>
        <v>3004333.2100000014</v>
      </c>
    </row>
    <row r="11" spans="1:3" x14ac:dyDescent="0.35">
      <c r="A11" t="str">
        <f>IFERROR(INDEX(tVendor[VendorID],3),"")</f>
        <v>VEN-016</v>
      </c>
      <c r="C11" s="16">
        <f>IF($A11="","",SUMIFS(tPO[ExtendedPrice],tPO[VendorID],$A11,tPO[OrderDate],"&gt;"&amp;WinFrom,tPO[OrderDate],"&lt;="&amp;WinTo))</f>
        <v>2068684.1900000004</v>
      </c>
    </row>
    <row r="12" spans="1:3" x14ac:dyDescent="0.35">
      <c r="A12" t="str">
        <f>IFERROR(INDEX(tVendor[VendorID],4),"")</f>
        <v>VEN-032</v>
      </c>
      <c r="C12" s="16">
        <f>IF($A12="","",SUMIFS(tPO[ExtendedPrice],tPO[VendorID],$A12,tPO[OrderDate],"&gt;"&amp;WinFrom,tPO[OrderDate],"&lt;="&amp;WinTo))</f>
        <v>2428046.1399999987</v>
      </c>
    </row>
    <row r="13" spans="1:3" x14ac:dyDescent="0.35">
      <c r="A13" t="str">
        <f>IFERROR(INDEX(tVendor[VendorID],5),"")</f>
        <v>VEN-014</v>
      </c>
      <c r="C13" s="16">
        <f>IF($A13="","",SUMIFS(tPO[ExtendedPrice],tPO[VendorID],$A13,tPO[OrderDate],"&gt;"&amp;WinFrom,tPO[OrderDate],"&lt;="&amp;WinTo))</f>
        <v>2247897.9500000007</v>
      </c>
    </row>
    <row r="14" spans="1:3" x14ac:dyDescent="0.35">
      <c r="A14" t="str">
        <f>IFERROR(INDEX(tVendor[VendorID],6),"")</f>
        <v>VEN-005</v>
      </c>
      <c r="C14" s="16">
        <f>IF($A14="","",SUMIFS(tPO[ExtendedPrice],tPO[VendorID],$A14,tPO[OrderDate],"&gt;"&amp;WinFrom,tPO[OrderDate],"&lt;="&amp;WinTo))</f>
        <v>2124976.64</v>
      </c>
    </row>
    <row r="15" spans="1:3" x14ac:dyDescent="0.35">
      <c r="A15" t="str">
        <f>IFERROR(INDEX(tVendor[VendorID],7),"")</f>
        <v>VEN-003</v>
      </c>
      <c r="C15" s="16">
        <f>IF($A15="","",SUMIFS(tPO[ExtendedPrice],tPO[VendorID],$A15,tPO[OrderDate],"&gt;"&amp;WinFrom,tPO[OrderDate],"&lt;="&amp;WinTo))</f>
        <v>2127982.2100000004</v>
      </c>
    </row>
    <row r="16" spans="1:3" x14ac:dyDescent="0.35">
      <c r="A16" t="str">
        <f>IFERROR(INDEX(tVendor[VendorID],8),"")</f>
        <v>VEN-031</v>
      </c>
      <c r="C16" s="16">
        <f>IF($A16="","",SUMIFS(tPO[ExtendedPrice],tPO[VendorID],$A16,tPO[OrderDate],"&gt;"&amp;WinFrom,tPO[OrderDate],"&lt;="&amp;WinTo))</f>
        <v>2025356.8</v>
      </c>
    </row>
    <row r="17" spans="1:3" x14ac:dyDescent="0.35">
      <c r="A17" t="str">
        <f>IFERROR(INDEX(tVendor[VendorID],9),"")</f>
        <v>VEN-023</v>
      </c>
      <c r="C17" s="16">
        <f>IF($A17="","",SUMIFS(tPO[ExtendedPrice],tPO[VendorID],$A17,tPO[OrderDate],"&gt;"&amp;WinFrom,tPO[OrderDate],"&lt;="&amp;WinTo))</f>
        <v>1861975.4000000001</v>
      </c>
    </row>
    <row r="18" spans="1:3" x14ac:dyDescent="0.35">
      <c r="A18" t="str">
        <f>IFERROR(INDEX(tVendor[VendorID],10),"")</f>
        <v>VEN-020</v>
      </c>
      <c r="C18" s="16">
        <f>IF($A18="","",SUMIFS(tPO[ExtendedPrice],tPO[VendorID],$A18,tPO[OrderDate],"&gt;"&amp;WinFrom,tPO[OrderDate],"&lt;="&amp;WinTo))</f>
        <v>1920190.4400000004</v>
      </c>
    </row>
    <row r="19" spans="1:3" x14ac:dyDescent="0.35">
      <c r="A19" t="str">
        <f>IFERROR(INDEX(tVendor[VendorID],11),"")</f>
        <v>VEN-028</v>
      </c>
      <c r="C19" s="16">
        <f>IF($A19="","",SUMIFS(tPO[ExtendedPrice],tPO[VendorID],$A19,tPO[OrderDate],"&gt;"&amp;WinFrom,tPO[OrderDate],"&lt;="&amp;WinTo))</f>
        <v>1965909.9400000004</v>
      </c>
    </row>
    <row r="20" spans="1:3" x14ac:dyDescent="0.35">
      <c r="A20" t="str">
        <f>IFERROR(INDEX(tVendor[VendorID],12),"")</f>
        <v>VEN-004</v>
      </c>
      <c r="C20" s="16">
        <f>IF($A20="","",SUMIFS(tPO[ExtendedPrice],tPO[VendorID],$A20,tPO[OrderDate],"&gt;"&amp;WinFrom,tPO[OrderDate],"&lt;="&amp;WinTo))</f>
        <v>1632035.64</v>
      </c>
    </row>
    <row r="21" spans="1:3" x14ac:dyDescent="0.35">
      <c r="A21" t="str">
        <f>IFERROR(INDEX(tVendor[VendorID],13),"")</f>
        <v>VEN-007</v>
      </c>
      <c r="C21" s="16">
        <f>IF($A21="","",SUMIFS(tPO[ExtendedPrice],tPO[VendorID],$A21,tPO[OrderDate],"&gt;"&amp;WinFrom,tPO[OrderDate],"&lt;="&amp;WinTo))</f>
        <v>1501484.3200000005</v>
      </c>
    </row>
    <row r="22" spans="1:3" x14ac:dyDescent="0.35">
      <c r="A22" t="str">
        <f>IFERROR(INDEX(tVendor[VendorID],14),"")</f>
        <v>VEN-017</v>
      </c>
      <c r="C22" s="16">
        <f>IF($A22="","",SUMIFS(tPO[ExtendedPrice],tPO[VendorID],$A22,tPO[OrderDate],"&gt;"&amp;WinFrom,tPO[OrderDate],"&lt;="&amp;WinTo))</f>
        <v>1476499.1899999995</v>
      </c>
    </row>
    <row r="23" spans="1:3" x14ac:dyDescent="0.35">
      <c r="A23" t="str">
        <f>IFERROR(INDEX(tVendor[VendorID],15),"")</f>
        <v>VEN-009</v>
      </c>
      <c r="C23" s="16">
        <f>IF($A23="","",SUMIFS(tPO[ExtendedPrice],tPO[VendorID],$A23,tPO[OrderDate],"&gt;"&amp;WinFrom,tPO[OrderDate],"&lt;="&amp;WinTo))</f>
        <v>1255888.7499999995</v>
      </c>
    </row>
    <row r="24" spans="1:3" x14ac:dyDescent="0.35">
      <c r="A24" t="str">
        <f>IFERROR(INDEX(tVendor[VendorID],16),"")</f>
        <v>VEN-011</v>
      </c>
      <c r="C24" s="16">
        <f>IF($A24="","",SUMIFS(tPO[ExtendedPrice],tPO[VendorID],$A24,tPO[OrderDate],"&gt;"&amp;WinFrom,tPO[OrderDate],"&lt;="&amp;WinTo))</f>
        <v>1294496.43</v>
      </c>
    </row>
    <row r="25" spans="1:3" x14ac:dyDescent="0.35">
      <c r="A25" t="str">
        <f>IFERROR(INDEX(tVendor[VendorID],17),"")</f>
        <v>VEN-029</v>
      </c>
      <c r="C25" s="16">
        <f>IF($A25="","",SUMIFS(tPO[ExtendedPrice],tPO[VendorID],$A25,tPO[OrderDate],"&gt;"&amp;WinFrom,tPO[OrderDate],"&lt;="&amp;WinTo))</f>
        <v>1144931.82</v>
      </c>
    </row>
    <row r="26" spans="1:3" x14ac:dyDescent="0.35">
      <c r="A26" t="str">
        <f>IFERROR(INDEX(tVendor[VendorID],18),"")</f>
        <v>VEN-015</v>
      </c>
      <c r="C26" s="16">
        <f>IF($A26="","",SUMIFS(tPO[ExtendedPrice],tPO[VendorID],$A26,tPO[OrderDate],"&gt;"&amp;WinFrom,tPO[OrderDate],"&lt;="&amp;WinTo))</f>
        <v>1554548.0999999999</v>
      </c>
    </row>
    <row r="27" spans="1:3" x14ac:dyDescent="0.35">
      <c r="A27" t="str">
        <f>IFERROR(INDEX(tVendor[VendorID],19),"")</f>
        <v>VEN-006</v>
      </c>
      <c r="C27" s="16">
        <f>IF($A27="","",SUMIFS(tPO[ExtendedPrice],tPO[VendorID],$A27,tPO[OrderDate],"&gt;"&amp;WinFrom,tPO[OrderDate],"&lt;="&amp;WinTo))</f>
        <v>1164628.7799999998</v>
      </c>
    </row>
    <row r="28" spans="1:3" x14ac:dyDescent="0.35">
      <c r="A28" t="str">
        <f>IFERROR(INDEX(tVendor[VendorID],20),"")</f>
        <v>VEN-019</v>
      </c>
      <c r="C28" s="16">
        <f>IF($A28="","",SUMIFS(tPO[ExtendedPrice],tPO[VendorID],$A28,tPO[OrderDate],"&gt;"&amp;WinFrom,tPO[OrderDate],"&lt;="&amp;WinTo))</f>
        <v>882986.4800000001</v>
      </c>
    </row>
    <row r="29" spans="1:3" x14ac:dyDescent="0.35">
      <c r="A29" t="str">
        <f>IFERROR(INDEX(tVendor[VendorID],21),"")</f>
        <v>VEN-002</v>
      </c>
      <c r="C29" s="16">
        <f>IF($A29="","",SUMIFS(tPO[ExtendedPrice],tPO[VendorID],$A29,tPO[OrderDate],"&gt;"&amp;WinFrom,tPO[OrderDate],"&lt;="&amp;WinTo))</f>
        <v>937751.65</v>
      </c>
    </row>
    <row r="30" spans="1:3" x14ac:dyDescent="0.35">
      <c r="A30" t="str">
        <f>IFERROR(INDEX(tVendor[VendorID],22),"")</f>
        <v>VEN-034</v>
      </c>
      <c r="C30" s="16">
        <f>IF($A30="","",SUMIFS(tPO[ExtendedPrice],tPO[VendorID],$A30,tPO[OrderDate],"&gt;"&amp;WinFrom,tPO[OrderDate],"&lt;="&amp;WinTo))</f>
        <v>882151.11999999988</v>
      </c>
    </row>
    <row r="31" spans="1:3" x14ac:dyDescent="0.35">
      <c r="A31" t="str">
        <f>IFERROR(INDEX(tVendor[VendorID],23),"")</f>
        <v>VEN-026</v>
      </c>
      <c r="C31" s="16">
        <f>IF($A31="","",SUMIFS(tPO[ExtendedPrice],tPO[VendorID],$A31,tPO[OrderDate],"&gt;"&amp;WinFrom,tPO[OrderDate],"&lt;="&amp;WinTo))</f>
        <v>1084136.45</v>
      </c>
    </row>
    <row r="32" spans="1:3" x14ac:dyDescent="0.35">
      <c r="A32" t="str">
        <f>IFERROR(INDEX(tVendor[VendorID],24),"")</f>
        <v>VEN-022</v>
      </c>
      <c r="C32" s="16">
        <f>IF($A32="","",SUMIFS(tPO[ExtendedPrice],tPO[VendorID],$A32,tPO[OrderDate],"&gt;"&amp;WinFrom,tPO[OrderDate],"&lt;="&amp;WinTo))</f>
        <v>1158063.96</v>
      </c>
    </row>
    <row r="33" spans="1:3" x14ac:dyDescent="0.35">
      <c r="A33" t="str">
        <f>IFERROR(INDEX(tVendor[VendorID],25),"")</f>
        <v>VEN-033</v>
      </c>
      <c r="C33" s="16">
        <f>IF($A33="","",SUMIFS(tPO[ExtendedPrice],tPO[VendorID],$A33,tPO[OrderDate],"&gt;"&amp;WinFrom,tPO[OrderDate],"&lt;="&amp;WinTo))</f>
        <v>1083274.7500000002</v>
      </c>
    </row>
    <row r="34" spans="1:3" x14ac:dyDescent="0.35">
      <c r="A34" t="str">
        <f>IFERROR(INDEX(tVendor[VendorID],26),"")</f>
        <v>VEN-013</v>
      </c>
      <c r="C34" s="16">
        <f>IF($A34="","",SUMIFS(tPO[ExtendedPrice],tPO[VendorID],$A34,tPO[OrderDate],"&gt;"&amp;WinFrom,tPO[OrderDate],"&lt;="&amp;WinTo))</f>
        <v>803560.53</v>
      </c>
    </row>
    <row r="35" spans="1:3" x14ac:dyDescent="0.35">
      <c r="A35" t="str">
        <f>IFERROR(INDEX(tVendor[VendorID],27),"")</f>
        <v>VEN-018</v>
      </c>
      <c r="C35" s="16">
        <f>IF($A35="","",SUMIFS(tPO[ExtendedPrice],tPO[VendorID],$A35,tPO[OrderDate],"&gt;"&amp;WinFrom,tPO[OrderDate],"&lt;="&amp;WinTo))</f>
        <v>1131076.6499999999</v>
      </c>
    </row>
    <row r="36" spans="1:3" x14ac:dyDescent="0.35">
      <c r="A36" t="str">
        <f>IFERROR(INDEX(tVendor[VendorID],28),"")</f>
        <v>VEN-001</v>
      </c>
      <c r="C36" s="16">
        <f>IF($A36="","",SUMIFS(tPO[ExtendedPrice],tPO[VendorID],$A36,tPO[OrderDate],"&gt;"&amp;WinFrom,tPO[OrderDate],"&lt;="&amp;WinTo))</f>
        <v>996803.69000000029</v>
      </c>
    </row>
    <row r="37" spans="1:3" x14ac:dyDescent="0.35">
      <c r="A37" t="str">
        <f>IFERROR(INDEX(tVendor[VendorID],29),"")</f>
        <v>VEN-027</v>
      </c>
      <c r="C37" s="16">
        <f>IF($A37="","",SUMIFS(tPO[ExtendedPrice],tPO[VendorID],$A37,tPO[OrderDate],"&gt;"&amp;WinFrom,tPO[OrderDate],"&lt;="&amp;WinTo))</f>
        <v>753254.8</v>
      </c>
    </row>
    <row r="38" spans="1:3" x14ac:dyDescent="0.35">
      <c r="A38" t="str">
        <f>IFERROR(INDEX(tVendor[VendorID],30),"")</f>
        <v>VEN-012</v>
      </c>
      <c r="C38" s="16">
        <f>IF($A38="","",SUMIFS(tPO[ExtendedPrice],tPO[VendorID],$A38,tPO[OrderDate],"&gt;"&amp;WinFrom,tPO[OrderDate],"&lt;="&amp;WinTo))</f>
        <v>533827.70000000007</v>
      </c>
    </row>
    <row r="39" spans="1:3" x14ac:dyDescent="0.35">
      <c r="A39" t="str">
        <f>IFERROR(INDEX(tVendor[VendorID],31),"")</f>
        <v>VEN-036</v>
      </c>
      <c r="C39" s="16">
        <f>IF($A39="","",SUMIFS(tPO[ExtendedPrice],tPO[VendorID],$A39,tPO[OrderDate],"&gt;"&amp;WinFrom,tPO[OrderDate],"&lt;="&amp;WinTo))</f>
        <v>491992.36000000004</v>
      </c>
    </row>
    <row r="40" spans="1:3" x14ac:dyDescent="0.35">
      <c r="A40" t="str">
        <f>IFERROR(INDEX(tVendor[VendorID],32),"")</f>
        <v>VEN-024</v>
      </c>
      <c r="C40" s="16">
        <f>IF($A40="","",SUMIFS(tPO[ExtendedPrice],tPO[VendorID],$A40,tPO[OrderDate],"&gt;"&amp;WinFrom,tPO[OrderDate],"&lt;="&amp;WinTo))</f>
        <v>430217.7</v>
      </c>
    </row>
    <row r="41" spans="1:3" x14ac:dyDescent="0.35">
      <c r="A41" t="str">
        <f>IFERROR(INDEX(tVendor[VendorID],33),"")</f>
        <v>VEN-035</v>
      </c>
      <c r="C41" s="16">
        <f>IF($A41="","",SUMIFS(tPO[ExtendedPrice],tPO[VendorID],$A41,tPO[OrderDate],"&gt;"&amp;WinFrom,tPO[OrderDate],"&lt;="&amp;WinTo))</f>
        <v>474909.05999999994</v>
      </c>
    </row>
    <row r="42" spans="1:3" x14ac:dyDescent="0.35">
      <c r="A42" t="str">
        <f>IFERROR(INDEX(tVendor[VendorID],34),"")</f>
        <v>VEN-025</v>
      </c>
      <c r="C42" s="16">
        <f>IF($A42="","",SUMIFS(tPO[ExtendedPrice],tPO[VendorID],$A42,tPO[OrderDate],"&gt;"&amp;WinFrom,tPO[OrderDate],"&lt;="&amp;WinTo))</f>
        <v>283802.05000000005</v>
      </c>
    </row>
    <row r="43" spans="1:3" x14ac:dyDescent="0.35">
      <c r="A43" t="str">
        <f>IFERROR(INDEX(tVendor[VendorID],35),"")</f>
        <v>VEN-030</v>
      </c>
      <c r="C43" s="16">
        <f>IF($A43="","",SUMIFS(tPO[ExtendedPrice],tPO[VendorID],$A43,tPO[OrderDate],"&gt;"&amp;WinFrom,tPO[OrderDate],"&lt;="&amp;WinTo))</f>
        <v>185329.94999999998</v>
      </c>
    </row>
    <row r="44" spans="1:3" x14ac:dyDescent="0.35">
      <c r="A44" t="str">
        <f>IFERROR(INDEX(tVendor[VendorID],36),"")</f>
        <v>VEN-021</v>
      </c>
      <c r="C44" s="16">
        <f>IF($A44="","",SUMIFS(tPO[ExtendedPrice],tPO[VendorID],$A44,tPO[OrderDate],"&gt;"&amp;WinFrom,tPO[OrderDate],"&lt;="&amp;WinTo))</f>
        <v>267040.7</v>
      </c>
    </row>
    <row r="46" spans="1:3" x14ac:dyDescent="0.35">
      <c r="A46" s="3" t="s">
        <v>7598</v>
      </c>
      <c r="B46" s="3"/>
      <c r="C46" s="17">
        <f>LARGE($C$9:$C$44,1)+LARGE($C$9:$C$44,2)+LARGE($C$9:$C$44,3)+LARGE($C$9:$C$44,4)+LARGE($C$9:$C$44,5)</f>
        <v>13214600.82</v>
      </c>
    </row>
    <row r="47" spans="1:3" x14ac:dyDescent="0.35">
      <c r="A47" s="3" t="s">
        <v>7599</v>
      </c>
      <c r="B47" s="3"/>
      <c r="C47" s="17">
        <f>SUM($C$9:$C$44)</f>
        <v>48586386.860000007</v>
      </c>
    </row>
    <row r="50" spans="1:3" x14ac:dyDescent="0.35">
      <c r="A50" s="3" t="s">
        <v>7600</v>
      </c>
    </row>
    <row r="51" spans="1:3" x14ac:dyDescent="0.35">
      <c r="A51" s="15" t="s">
        <v>7601</v>
      </c>
      <c r="B51" s="15" t="s">
        <v>7602</v>
      </c>
      <c r="C51" s="15" t="s">
        <v>7603</v>
      </c>
    </row>
    <row r="52" spans="1:3" x14ac:dyDescent="0.35">
      <c r="A52">
        <v>1</v>
      </c>
      <c r="B52">
        <f>IF(AND(OR('Renegotiation Queue'!$C$4="(All)",INDEX(tQueue[BuyerName],1)='Renegotiation Queue'!$C$4),OR('Renegotiation Queue'!$C$5="(All)",INDEX(tQueue[ActionCode],1)='Renegotiation Queue'!$C$5),OR('Renegotiation Queue'!$C$6="(All)",INDEX(tQueue[Category],1)='Renegotiation Queue'!$C$6),OR('Renegotiation Queue'!$C$7="No",INDEX(tQueue[IsThisQuarter],1)=1)),1,0)</f>
        <v>1</v>
      </c>
      <c r="C52">
        <f>IF($B52=0,"",SUMPRODUCT(($B$52:$B$236=1)*(tQueue[PriorityRank]&lt;INDEX(tQueue[PriorityRank],1)))+1)</f>
        <v>1</v>
      </c>
    </row>
    <row r="53" spans="1:3" x14ac:dyDescent="0.35">
      <c r="A53">
        <v>2</v>
      </c>
      <c r="B53">
        <f>IF(AND(OR('Renegotiation Queue'!$C$4="(All)",INDEX(tQueue[BuyerName],2)='Renegotiation Queue'!$C$4),OR('Renegotiation Queue'!$C$5="(All)",INDEX(tQueue[ActionCode],2)='Renegotiation Queue'!$C$5),OR('Renegotiation Queue'!$C$6="(All)",INDEX(tQueue[Category],2)='Renegotiation Queue'!$C$6),OR('Renegotiation Queue'!$C$7="No",INDEX(tQueue[IsThisQuarter],2)=1)),1,0)</f>
        <v>1</v>
      </c>
      <c r="C53">
        <f>IF($B53=0,"",SUMPRODUCT(($B$52:$B$236=1)*(tQueue[PriorityRank]&lt;INDEX(tQueue[PriorityRank],2)))+1)</f>
        <v>2</v>
      </c>
    </row>
    <row r="54" spans="1:3" x14ac:dyDescent="0.35">
      <c r="A54">
        <v>3</v>
      </c>
      <c r="B54">
        <f>IF(AND(OR('Renegotiation Queue'!$C$4="(All)",INDEX(tQueue[BuyerName],3)='Renegotiation Queue'!$C$4),OR('Renegotiation Queue'!$C$5="(All)",INDEX(tQueue[ActionCode],3)='Renegotiation Queue'!$C$5),OR('Renegotiation Queue'!$C$6="(All)",INDEX(tQueue[Category],3)='Renegotiation Queue'!$C$6),OR('Renegotiation Queue'!$C$7="No",INDEX(tQueue[IsThisQuarter],3)=1)),1,0)</f>
        <v>1</v>
      </c>
      <c r="C54">
        <f>IF($B54=0,"",SUMPRODUCT(($B$52:$B$236=1)*(tQueue[PriorityRank]&lt;INDEX(tQueue[PriorityRank],3)))+1)</f>
        <v>3</v>
      </c>
    </row>
    <row r="55" spans="1:3" x14ac:dyDescent="0.35">
      <c r="A55">
        <v>4</v>
      </c>
      <c r="B55">
        <f>IF(AND(OR('Renegotiation Queue'!$C$4="(All)",INDEX(tQueue[BuyerName],4)='Renegotiation Queue'!$C$4),OR('Renegotiation Queue'!$C$5="(All)",INDEX(tQueue[ActionCode],4)='Renegotiation Queue'!$C$5),OR('Renegotiation Queue'!$C$6="(All)",INDEX(tQueue[Category],4)='Renegotiation Queue'!$C$6),OR('Renegotiation Queue'!$C$7="No",INDEX(tQueue[IsThisQuarter],4)=1)),1,0)</f>
        <v>1</v>
      </c>
      <c r="C55">
        <f>IF($B55=0,"",SUMPRODUCT(($B$52:$B$236=1)*(tQueue[PriorityRank]&lt;INDEX(tQueue[PriorityRank],4)))+1)</f>
        <v>4</v>
      </c>
    </row>
    <row r="56" spans="1:3" x14ac:dyDescent="0.35">
      <c r="A56">
        <v>5</v>
      </c>
      <c r="B56">
        <f>IF(AND(OR('Renegotiation Queue'!$C$4="(All)",INDEX(tQueue[BuyerName],5)='Renegotiation Queue'!$C$4),OR('Renegotiation Queue'!$C$5="(All)",INDEX(tQueue[ActionCode],5)='Renegotiation Queue'!$C$5),OR('Renegotiation Queue'!$C$6="(All)",INDEX(tQueue[Category],5)='Renegotiation Queue'!$C$6),OR('Renegotiation Queue'!$C$7="No",INDEX(tQueue[IsThisQuarter],5)=1)),1,0)</f>
        <v>1</v>
      </c>
      <c r="C56">
        <f>IF($B56=0,"",SUMPRODUCT(($B$52:$B$236=1)*(tQueue[PriorityRank]&lt;INDEX(tQueue[PriorityRank],5)))+1)</f>
        <v>5</v>
      </c>
    </row>
    <row r="57" spans="1:3" x14ac:dyDescent="0.35">
      <c r="A57">
        <v>6</v>
      </c>
      <c r="B57">
        <f>IF(AND(OR('Renegotiation Queue'!$C$4="(All)",INDEX(tQueue[BuyerName],6)='Renegotiation Queue'!$C$4),OR('Renegotiation Queue'!$C$5="(All)",INDEX(tQueue[ActionCode],6)='Renegotiation Queue'!$C$5),OR('Renegotiation Queue'!$C$6="(All)",INDEX(tQueue[Category],6)='Renegotiation Queue'!$C$6),OR('Renegotiation Queue'!$C$7="No",INDEX(tQueue[IsThisQuarter],6)=1)),1,0)</f>
        <v>1</v>
      </c>
      <c r="C57">
        <f>IF($B57=0,"",SUMPRODUCT(($B$52:$B$236=1)*(tQueue[PriorityRank]&lt;INDEX(tQueue[PriorityRank],6)))+1)</f>
        <v>6</v>
      </c>
    </row>
    <row r="58" spans="1:3" x14ac:dyDescent="0.35">
      <c r="A58">
        <v>7</v>
      </c>
      <c r="B58">
        <f>IF(AND(OR('Renegotiation Queue'!$C$4="(All)",INDEX(tQueue[BuyerName],7)='Renegotiation Queue'!$C$4),OR('Renegotiation Queue'!$C$5="(All)",INDEX(tQueue[ActionCode],7)='Renegotiation Queue'!$C$5),OR('Renegotiation Queue'!$C$6="(All)",INDEX(tQueue[Category],7)='Renegotiation Queue'!$C$6),OR('Renegotiation Queue'!$C$7="No",INDEX(tQueue[IsThisQuarter],7)=1)),1,0)</f>
        <v>1</v>
      </c>
      <c r="C58">
        <f>IF($B58=0,"",SUMPRODUCT(($B$52:$B$236=1)*(tQueue[PriorityRank]&lt;INDEX(tQueue[PriorityRank],7)))+1)</f>
        <v>7</v>
      </c>
    </row>
    <row r="59" spans="1:3" x14ac:dyDescent="0.35">
      <c r="A59">
        <v>8</v>
      </c>
      <c r="B59">
        <f>IF(AND(OR('Renegotiation Queue'!$C$4="(All)",INDEX(tQueue[BuyerName],8)='Renegotiation Queue'!$C$4),OR('Renegotiation Queue'!$C$5="(All)",INDEX(tQueue[ActionCode],8)='Renegotiation Queue'!$C$5),OR('Renegotiation Queue'!$C$6="(All)",INDEX(tQueue[Category],8)='Renegotiation Queue'!$C$6),OR('Renegotiation Queue'!$C$7="No",INDEX(tQueue[IsThisQuarter],8)=1)),1,0)</f>
        <v>1</v>
      </c>
      <c r="C59">
        <f>IF($B59=0,"",SUMPRODUCT(($B$52:$B$236=1)*(tQueue[PriorityRank]&lt;INDEX(tQueue[PriorityRank],8)))+1)</f>
        <v>8</v>
      </c>
    </row>
    <row r="60" spans="1:3" x14ac:dyDescent="0.35">
      <c r="A60">
        <v>9</v>
      </c>
      <c r="B60">
        <f>IF(AND(OR('Renegotiation Queue'!$C$4="(All)",INDEX(tQueue[BuyerName],9)='Renegotiation Queue'!$C$4),OR('Renegotiation Queue'!$C$5="(All)",INDEX(tQueue[ActionCode],9)='Renegotiation Queue'!$C$5),OR('Renegotiation Queue'!$C$6="(All)",INDEX(tQueue[Category],9)='Renegotiation Queue'!$C$6),OR('Renegotiation Queue'!$C$7="No",INDEX(tQueue[IsThisQuarter],9)=1)),1,0)</f>
        <v>1</v>
      </c>
      <c r="C60">
        <f>IF($B60=0,"",SUMPRODUCT(($B$52:$B$236=1)*(tQueue[PriorityRank]&lt;INDEX(tQueue[PriorityRank],9)))+1)</f>
        <v>9</v>
      </c>
    </row>
    <row r="61" spans="1:3" x14ac:dyDescent="0.35">
      <c r="A61">
        <v>10</v>
      </c>
      <c r="B61">
        <f>IF(AND(OR('Renegotiation Queue'!$C$4="(All)",INDEX(tQueue[BuyerName],10)='Renegotiation Queue'!$C$4),OR('Renegotiation Queue'!$C$5="(All)",INDEX(tQueue[ActionCode],10)='Renegotiation Queue'!$C$5),OR('Renegotiation Queue'!$C$6="(All)",INDEX(tQueue[Category],10)='Renegotiation Queue'!$C$6),OR('Renegotiation Queue'!$C$7="No",INDEX(tQueue[IsThisQuarter],10)=1)),1,0)</f>
        <v>1</v>
      </c>
      <c r="C61">
        <f>IF($B61=0,"",SUMPRODUCT(($B$52:$B$236=1)*(tQueue[PriorityRank]&lt;INDEX(tQueue[PriorityRank],10)))+1)</f>
        <v>10</v>
      </c>
    </row>
    <row r="62" spans="1:3" x14ac:dyDescent="0.35">
      <c r="A62">
        <v>11</v>
      </c>
      <c r="B62">
        <f>IF(AND(OR('Renegotiation Queue'!$C$4="(All)",INDEX(tQueue[BuyerName],11)='Renegotiation Queue'!$C$4),OR('Renegotiation Queue'!$C$5="(All)",INDEX(tQueue[ActionCode],11)='Renegotiation Queue'!$C$5),OR('Renegotiation Queue'!$C$6="(All)",INDEX(tQueue[Category],11)='Renegotiation Queue'!$C$6),OR('Renegotiation Queue'!$C$7="No",INDEX(tQueue[IsThisQuarter],11)=1)),1,0)</f>
        <v>1</v>
      </c>
      <c r="C62">
        <f>IF($B62=0,"",SUMPRODUCT(($B$52:$B$236=1)*(tQueue[PriorityRank]&lt;INDEX(tQueue[PriorityRank],11)))+1)</f>
        <v>11</v>
      </c>
    </row>
    <row r="63" spans="1:3" x14ac:dyDescent="0.35">
      <c r="A63">
        <v>12</v>
      </c>
      <c r="B63">
        <f>IF(AND(OR('Renegotiation Queue'!$C$4="(All)",INDEX(tQueue[BuyerName],12)='Renegotiation Queue'!$C$4),OR('Renegotiation Queue'!$C$5="(All)",INDEX(tQueue[ActionCode],12)='Renegotiation Queue'!$C$5),OR('Renegotiation Queue'!$C$6="(All)",INDEX(tQueue[Category],12)='Renegotiation Queue'!$C$6),OR('Renegotiation Queue'!$C$7="No",INDEX(tQueue[IsThisQuarter],12)=1)),1,0)</f>
        <v>1</v>
      </c>
      <c r="C63">
        <f>IF($B63=0,"",SUMPRODUCT(($B$52:$B$236=1)*(tQueue[PriorityRank]&lt;INDEX(tQueue[PriorityRank],12)))+1)</f>
        <v>12</v>
      </c>
    </row>
    <row r="64" spans="1:3" x14ac:dyDescent="0.35">
      <c r="A64">
        <v>13</v>
      </c>
      <c r="B64">
        <f>IF(AND(OR('Renegotiation Queue'!$C$4="(All)",INDEX(tQueue[BuyerName],13)='Renegotiation Queue'!$C$4),OR('Renegotiation Queue'!$C$5="(All)",INDEX(tQueue[ActionCode],13)='Renegotiation Queue'!$C$5),OR('Renegotiation Queue'!$C$6="(All)",INDEX(tQueue[Category],13)='Renegotiation Queue'!$C$6),OR('Renegotiation Queue'!$C$7="No",INDEX(tQueue[IsThisQuarter],13)=1)),1,0)</f>
        <v>1</v>
      </c>
      <c r="C64">
        <f>IF($B64=0,"",SUMPRODUCT(($B$52:$B$236=1)*(tQueue[PriorityRank]&lt;INDEX(tQueue[PriorityRank],13)))+1)</f>
        <v>13</v>
      </c>
    </row>
    <row r="65" spans="1:3" x14ac:dyDescent="0.35">
      <c r="A65">
        <v>14</v>
      </c>
      <c r="B65">
        <f>IF(AND(OR('Renegotiation Queue'!$C$4="(All)",INDEX(tQueue[BuyerName],14)='Renegotiation Queue'!$C$4),OR('Renegotiation Queue'!$C$5="(All)",INDEX(tQueue[ActionCode],14)='Renegotiation Queue'!$C$5),OR('Renegotiation Queue'!$C$6="(All)",INDEX(tQueue[Category],14)='Renegotiation Queue'!$C$6),OR('Renegotiation Queue'!$C$7="No",INDEX(tQueue[IsThisQuarter],14)=1)),1,0)</f>
        <v>1</v>
      </c>
      <c r="C65">
        <f>IF($B65=0,"",SUMPRODUCT(($B$52:$B$236=1)*(tQueue[PriorityRank]&lt;INDEX(tQueue[PriorityRank],14)))+1)</f>
        <v>14</v>
      </c>
    </row>
    <row r="66" spans="1:3" x14ac:dyDescent="0.35">
      <c r="A66">
        <v>15</v>
      </c>
      <c r="B66">
        <f>IF(AND(OR('Renegotiation Queue'!$C$4="(All)",INDEX(tQueue[BuyerName],15)='Renegotiation Queue'!$C$4),OR('Renegotiation Queue'!$C$5="(All)",INDEX(tQueue[ActionCode],15)='Renegotiation Queue'!$C$5),OR('Renegotiation Queue'!$C$6="(All)",INDEX(tQueue[Category],15)='Renegotiation Queue'!$C$6),OR('Renegotiation Queue'!$C$7="No",INDEX(tQueue[IsThisQuarter],15)=1)),1,0)</f>
        <v>1</v>
      </c>
      <c r="C66">
        <f>IF($B66=0,"",SUMPRODUCT(($B$52:$B$236=1)*(tQueue[PriorityRank]&lt;INDEX(tQueue[PriorityRank],15)))+1)</f>
        <v>15</v>
      </c>
    </row>
    <row r="67" spans="1:3" x14ac:dyDescent="0.35">
      <c r="A67">
        <v>16</v>
      </c>
      <c r="B67">
        <f>IF(AND(OR('Renegotiation Queue'!$C$4="(All)",INDEX(tQueue[BuyerName],16)='Renegotiation Queue'!$C$4),OR('Renegotiation Queue'!$C$5="(All)",INDEX(tQueue[ActionCode],16)='Renegotiation Queue'!$C$5),OR('Renegotiation Queue'!$C$6="(All)",INDEX(tQueue[Category],16)='Renegotiation Queue'!$C$6),OR('Renegotiation Queue'!$C$7="No",INDEX(tQueue[IsThisQuarter],16)=1)),1,0)</f>
        <v>1</v>
      </c>
      <c r="C67">
        <f>IF($B67=0,"",SUMPRODUCT(($B$52:$B$236=1)*(tQueue[PriorityRank]&lt;INDEX(tQueue[PriorityRank],16)))+1)</f>
        <v>16</v>
      </c>
    </row>
    <row r="68" spans="1:3" x14ac:dyDescent="0.35">
      <c r="A68">
        <v>17</v>
      </c>
      <c r="B68">
        <f>IF(AND(OR('Renegotiation Queue'!$C$4="(All)",INDEX(tQueue[BuyerName],17)='Renegotiation Queue'!$C$4),OR('Renegotiation Queue'!$C$5="(All)",INDEX(tQueue[ActionCode],17)='Renegotiation Queue'!$C$5),OR('Renegotiation Queue'!$C$6="(All)",INDEX(tQueue[Category],17)='Renegotiation Queue'!$C$6),OR('Renegotiation Queue'!$C$7="No",INDEX(tQueue[IsThisQuarter],17)=1)),1,0)</f>
        <v>1</v>
      </c>
      <c r="C68">
        <f>IF($B68=0,"",SUMPRODUCT(($B$52:$B$236=1)*(tQueue[PriorityRank]&lt;INDEX(tQueue[PriorityRank],17)))+1)</f>
        <v>17</v>
      </c>
    </row>
    <row r="69" spans="1:3" x14ac:dyDescent="0.35">
      <c r="A69">
        <v>18</v>
      </c>
      <c r="B69">
        <f>IF(AND(OR('Renegotiation Queue'!$C$4="(All)",INDEX(tQueue[BuyerName],18)='Renegotiation Queue'!$C$4),OR('Renegotiation Queue'!$C$5="(All)",INDEX(tQueue[ActionCode],18)='Renegotiation Queue'!$C$5),OR('Renegotiation Queue'!$C$6="(All)",INDEX(tQueue[Category],18)='Renegotiation Queue'!$C$6),OR('Renegotiation Queue'!$C$7="No",INDEX(tQueue[IsThisQuarter],18)=1)),1,0)</f>
        <v>1</v>
      </c>
      <c r="C69">
        <f>IF($B69=0,"",SUMPRODUCT(($B$52:$B$236=1)*(tQueue[PriorityRank]&lt;INDEX(tQueue[PriorityRank],18)))+1)</f>
        <v>18</v>
      </c>
    </row>
    <row r="70" spans="1:3" x14ac:dyDescent="0.35">
      <c r="A70">
        <v>19</v>
      </c>
      <c r="B70">
        <f>IF(AND(OR('Renegotiation Queue'!$C$4="(All)",INDEX(tQueue[BuyerName],19)='Renegotiation Queue'!$C$4),OR('Renegotiation Queue'!$C$5="(All)",INDEX(tQueue[ActionCode],19)='Renegotiation Queue'!$C$5),OR('Renegotiation Queue'!$C$6="(All)",INDEX(tQueue[Category],19)='Renegotiation Queue'!$C$6),OR('Renegotiation Queue'!$C$7="No",INDEX(tQueue[IsThisQuarter],19)=1)),1,0)</f>
        <v>1</v>
      </c>
      <c r="C70">
        <f>IF($B70=0,"",SUMPRODUCT(($B$52:$B$236=1)*(tQueue[PriorityRank]&lt;INDEX(tQueue[PriorityRank],19)))+1)</f>
        <v>19</v>
      </c>
    </row>
    <row r="71" spans="1:3" x14ac:dyDescent="0.35">
      <c r="A71">
        <v>20</v>
      </c>
      <c r="B71">
        <f>IF(AND(OR('Renegotiation Queue'!$C$4="(All)",INDEX(tQueue[BuyerName],20)='Renegotiation Queue'!$C$4),OR('Renegotiation Queue'!$C$5="(All)",INDEX(tQueue[ActionCode],20)='Renegotiation Queue'!$C$5),OR('Renegotiation Queue'!$C$6="(All)",INDEX(tQueue[Category],20)='Renegotiation Queue'!$C$6),OR('Renegotiation Queue'!$C$7="No",INDEX(tQueue[IsThisQuarter],20)=1)),1,0)</f>
        <v>1</v>
      </c>
      <c r="C71">
        <f>IF($B71=0,"",SUMPRODUCT(($B$52:$B$236=1)*(tQueue[PriorityRank]&lt;INDEX(tQueue[PriorityRank],20)))+1)</f>
        <v>20</v>
      </c>
    </row>
    <row r="72" spans="1:3" x14ac:dyDescent="0.35">
      <c r="A72">
        <v>21</v>
      </c>
      <c r="B72">
        <f>IF(AND(OR('Renegotiation Queue'!$C$4="(All)",INDEX(tQueue[BuyerName],21)='Renegotiation Queue'!$C$4),OR('Renegotiation Queue'!$C$5="(All)",INDEX(tQueue[ActionCode],21)='Renegotiation Queue'!$C$5),OR('Renegotiation Queue'!$C$6="(All)",INDEX(tQueue[Category],21)='Renegotiation Queue'!$C$6),OR('Renegotiation Queue'!$C$7="No",INDEX(tQueue[IsThisQuarter],21)=1)),1,0)</f>
        <v>1</v>
      </c>
      <c r="C72">
        <f>IF($B72=0,"",SUMPRODUCT(($B$52:$B$236=1)*(tQueue[PriorityRank]&lt;INDEX(tQueue[PriorityRank],21)))+1)</f>
        <v>21</v>
      </c>
    </row>
    <row r="73" spans="1:3" x14ac:dyDescent="0.35">
      <c r="A73">
        <v>22</v>
      </c>
      <c r="B73">
        <f>IF(AND(OR('Renegotiation Queue'!$C$4="(All)",INDEX(tQueue[BuyerName],22)='Renegotiation Queue'!$C$4),OR('Renegotiation Queue'!$C$5="(All)",INDEX(tQueue[ActionCode],22)='Renegotiation Queue'!$C$5),OR('Renegotiation Queue'!$C$6="(All)",INDEX(tQueue[Category],22)='Renegotiation Queue'!$C$6),OR('Renegotiation Queue'!$C$7="No",INDEX(tQueue[IsThisQuarter],22)=1)),1,0)</f>
        <v>1</v>
      </c>
      <c r="C73">
        <f>IF($B73=0,"",SUMPRODUCT(($B$52:$B$236=1)*(tQueue[PriorityRank]&lt;INDEX(tQueue[PriorityRank],22)))+1)</f>
        <v>22</v>
      </c>
    </row>
    <row r="74" spans="1:3" x14ac:dyDescent="0.35">
      <c r="A74">
        <v>23</v>
      </c>
      <c r="B74">
        <f>IF(AND(OR('Renegotiation Queue'!$C$4="(All)",INDEX(tQueue[BuyerName],23)='Renegotiation Queue'!$C$4),OR('Renegotiation Queue'!$C$5="(All)",INDEX(tQueue[ActionCode],23)='Renegotiation Queue'!$C$5),OR('Renegotiation Queue'!$C$6="(All)",INDEX(tQueue[Category],23)='Renegotiation Queue'!$C$6),OR('Renegotiation Queue'!$C$7="No",INDEX(tQueue[IsThisQuarter],23)=1)),1,0)</f>
        <v>0</v>
      </c>
      <c r="C74" t="str">
        <f>IF($B74=0,"",SUMPRODUCT(($B$52:$B$236=1)*(tQueue[PriorityRank]&lt;INDEX(tQueue[PriorityRank],23)))+1)</f>
        <v/>
      </c>
    </row>
    <row r="75" spans="1:3" x14ac:dyDescent="0.35">
      <c r="A75">
        <v>24</v>
      </c>
      <c r="B75">
        <f>IF(AND(OR('Renegotiation Queue'!$C$4="(All)",INDEX(tQueue[BuyerName],24)='Renegotiation Queue'!$C$4),OR('Renegotiation Queue'!$C$5="(All)",INDEX(tQueue[ActionCode],24)='Renegotiation Queue'!$C$5),OR('Renegotiation Queue'!$C$6="(All)",INDEX(tQueue[Category],24)='Renegotiation Queue'!$C$6),OR('Renegotiation Queue'!$C$7="No",INDEX(tQueue[IsThisQuarter],24)=1)),1,0)</f>
        <v>1</v>
      </c>
      <c r="C75">
        <f>IF($B75=0,"",SUMPRODUCT(($B$52:$B$236=1)*(tQueue[PriorityRank]&lt;INDEX(tQueue[PriorityRank],24)))+1)</f>
        <v>23</v>
      </c>
    </row>
    <row r="76" spans="1:3" x14ac:dyDescent="0.35">
      <c r="A76">
        <v>25</v>
      </c>
      <c r="B76">
        <f>IF(AND(OR('Renegotiation Queue'!$C$4="(All)",INDEX(tQueue[BuyerName],25)='Renegotiation Queue'!$C$4),OR('Renegotiation Queue'!$C$5="(All)",INDEX(tQueue[ActionCode],25)='Renegotiation Queue'!$C$5),OR('Renegotiation Queue'!$C$6="(All)",INDEX(tQueue[Category],25)='Renegotiation Queue'!$C$6),OR('Renegotiation Queue'!$C$7="No",INDEX(tQueue[IsThisQuarter],25)=1)),1,0)</f>
        <v>1</v>
      </c>
      <c r="C76">
        <f>IF($B76=0,"",SUMPRODUCT(($B$52:$B$236=1)*(tQueue[PriorityRank]&lt;INDEX(tQueue[PriorityRank],25)))+1)</f>
        <v>24</v>
      </c>
    </row>
    <row r="77" spans="1:3" x14ac:dyDescent="0.35">
      <c r="A77">
        <v>26</v>
      </c>
      <c r="B77">
        <f>IF(AND(OR('Renegotiation Queue'!$C$4="(All)",INDEX(tQueue[BuyerName],26)='Renegotiation Queue'!$C$4),OR('Renegotiation Queue'!$C$5="(All)",INDEX(tQueue[ActionCode],26)='Renegotiation Queue'!$C$5),OR('Renegotiation Queue'!$C$6="(All)",INDEX(tQueue[Category],26)='Renegotiation Queue'!$C$6),OR('Renegotiation Queue'!$C$7="No",INDEX(tQueue[IsThisQuarter],26)=1)),1,0)</f>
        <v>1</v>
      </c>
      <c r="C77">
        <f>IF($B77=0,"",SUMPRODUCT(($B$52:$B$236=1)*(tQueue[PriorityRank]&lt;INDEX(tQueue[PriorityRank],26)))+1)</f>
        <v>25</v>
      </c>
    </row>
    <row r="78" spans="1:3" x14ac:dyDescent="0.35">
      <c r="A78">
        <v>27</v>
      </c>
      <c r="B78">
        <f>IF(AND(OR('Renegotiation Queue'!$C$4="(All)",INDEX(tQueue[BuyerName],27)='Renegotiation Queue'!$C$4),OR('Renegotiation Queue'!$C$5="(All)",INDEX(tQueue[ActionCode],27)='Renegotiation Queue'!$C$5),OR('Renegotiation Queue'!$C$6="(All)",INDEX(tQueue[Category],27)='Renegotiation Queue'!$C$6),OR('Renegotiation Queue'!$C$7="No",INDEX(tQueue[IsThisQuarter],27)=1)),1,0)</f>
        <v>1</v>
      </c>
      <c r="C78">
        <f>IF($B78=0,"",SUMPRODUCT(($B$52:$B$236=1)*(tQueue[PriorityRank]&lt;INDEX(tQueue[PriorityRank],27)))+1)</f>
        <v>26</v>
      </c>
    </row>
    <row r="79" spans="1:3" x14ac:dyDescent="0.35">
      <c r="A79">
        <v>28</v>
      </c>
      <c r="B79">
        <f>IF(AND(OR('Renegotiation Queue'!$C$4="(All)",INDEX(tQueue[BuyerName],28)='Renegotiation Queue'!$C$4),OR('Renegotiation Queue'!$C$5="(All)",INDEX(tQueue[ActionCode],28)='Renegotiation Queue'!$C$5),OR('Renegotiation Queue'!$C$6="(All)",INDEX(tQueue[Category],28)='Renegotiation Queue'!$C$6),OR('Renegotiation Queue'!$C$7="No",INDEX(tQueue[IsThisQuarter],28)=1)),1,0)</f>
        <v>0</v>
      </c>
      <c r="C79" t="str">
        <f>IF($B79=0,"",SUMPRODUCT(($B$52:$B$236=1)*(tQueue[PriorityRank]&lt;INDEX(tQueue[PriorityRank],28)))+1)</f>
        <v/>
      </c>
    </row>
    <row r="80" spans="1:3" x14ac:dyDescent="0.35">
      <c r="A80">
        <v>29</v>
      </c>
      <c r="B80">
        <f>IF(AND(OR('Renegotiation Queue'!$C$4="(All)",INDEX(tQueue[BuyerName],29)='Renegotiation Queue'!$C$4),OR('Renegotiation Queue'!$C$5="(All)",INDEX(tQueue[ActionCode],29)='Renegotiation Queue'!$C$5),OR('Renegotiation Queue'!$C$6="(All)",INDEX(tQueue[Category],29)='Renegotiation Queue'!$C$6),OR('Renegotiation Queue'!$C$7="No",INDEX(tQueue[IsThisQuarter],29)=1)),1,0)</f>
        <v>0</v>
      </c>
      <c r="C80" t="str">
        <f>IF($B80=0,"",SUMPRODUCT(($B$52:$B$236=1)*(tQueue[PriorityRank]&lt;INDEX(tQueue[PriorityRank],29)))+1)</f>
        <v/>
      </c>
    </row>
    <row r="81" spans="1:3" x14ac:dyDescent="0.35">
      <c r="A81">
        <v>30</v>
      </c>
      <c r="B81">
        <f>IF(AND(OR('Renegotiation Queue'!$C$4="(All)",INDEX(tQueue[BuyerName],30)='Renegotiation Queue'!$C$4),OR('Renegotiation Queue'!$C$5="(All)",INDEX(tQueue[ActionCode],30)='Renegotiation Queue'!$C$5),OR('Renegotiation Queue'!$C$6="(All)",INDEX(tQueue[Category],30)='Renegotiation Queue'!$C$6),OR('Renegotiation Queue'!$C$7="No",INDEX(tQueue[IsThisQuarter],30)=1)),1,0)</f>
        <v>1</v>
      </c>
      <c r="C81">
        <f>IF($B81=0,"",SUMPRODUCT(($B$52:$B$236=1)*(tQueue[PriorityRank]&lt;INDEX(tQueue[PriorityRank],30)))+1)</f>
        <v>27</v>
      </c>
    </row>
    <row r="82" spans="1:3" x14ac:dyDescent="0.35">
      <c r="A82">
        <v>31</v>
      </c>
      <c r="B82">
        <f>IF(AND(OR('Renegotiation Queue'!$C$4="(All)",INDEX(tQueue[BuyerName],31)='Renegotiation Queue'!$C$4),OR('Renegotiation Queue'!$C$5="(All)",INDEX(tQueue[ActionCode],31)='Renegotiation Queue'!$C$5),OR('Renegotiation Queue'!$C$6="(All)",INDEX(tQueue[Category],31)='Renegotiation Queue'!$C$6),OR('Renegotiation Queue'!$C$7="No",INDEX(tQueue[IsThisQuarter],31)=1)),1,0)</f>
        <v>0</v>
      </c>
      <c r="C82" t="str">
        <f>IF($B82=0,"",SUMPRODUCT(($B$52:$B$236=1)*(tQueue[PriorityRank]&lt;INDEX(tQueue[PriorityRank],31)))+1)</f>
        <v/>
      </c>
    </row>
    <row r="83" spans="1:3" x14ac:dyDescent="0.35">
      <c r="A83">
        <v>32</v>
      </c>
      <c r="B83">
        <f>IF(AND(OR('Renegotiation Queue'!$C$4="(All)",INDEX(tQueue[BuyerName],32)='Renegotiation Queue'!$C$4),OR('Renegotiation Queue'!$C$5="(All)",INDEX(tQueue[ActionCode],32)='Renegotiation Queue'!$C$5),OR('Renegotiation Queue'!$C$6="(All)",INDEX(tQueue[Category],32)='Renegotiation Queue'!$C$6),OR('Renegotiation Queue'!$C$7="No",INDEX(tQueue[IsThisQuarter],32)=1)),1,0)</f>
        <v>0</v>
      </c>
      <c r="C83" t="str">
        <f>IF($B83=0,"",SUMPRODUCT(($B$52:$B$236=1)*(tQueue[PriorityRank]&lt;INDEX(tQueue[PriorityRank],32)))+1)</f>
        <v/>
      </c>
    </row>
    <row r="84" spans="1:3" x14ac:dyDescent="0.35">
      <c r="A84">
        <v>33</v>
      </c>
      <c r="B84">
        <f>IF(AND(OR('Renegotiation Queue'!$C$4="(All)",INDEX(tQueue[BuyerName],33)='Renegotiation Queue'!$C$4),OR('Renegotiation Queue'!$C$5="(All)",INDEX(tQueue[ActionCode],33)='Renegotiation Queue'!$C$5),OR('Renegotiation Queue'!$C$6="(All)",INDEX(tQueue[Category],33)='Renegotiation Queue'!$C$6),OR('Renegotiation Queue'!$C$7="No",INDEX(tQueue[IsThisQuarter],33)=1)),1,0)</f>
        <v>0</v>
      </c>
      <c r="C84" t="str">
        <f>IF($B84=0,"",SUMPRODUCT(($B$52:$B$236=1)*(tQueue[PriorityRank]&lt;INDEX(tQueue[PriorityRank],33)))+1)</f>
        <v/>
      </c>
    </row>
    <row r="85" spans="1:3" x14ac:dyDescent="0.35">
      <c r="A85">
        <v>34</v>
      </c>
      <c r="B85">
        <f>IF(AND(OR('Renegotiation Queue'!$C$4="(All)",INDEX(tQueue[BuyerName],34)='Renegotiation Queue'!$C$4),OR('Renegotiation Queue'!$C$5="(All)",INDEX(tQueue[ActionCode],34)='Renegotiation Queue'!$C$5),OR('Renegotiation Queue'!$C$6="(All)",INDEX(tQueue[Category],34)='Renegotiation Queue'!$C$6),OR('Renegotiation Queue'!$C$7="No",INDEX(tQueue[IsThisQuarter],34)=1)),1,0)</f>
        <v>1</v>
      </c>
      <c r="C85">
        <f>IF($B85=0,"",SUMPRODUCT(($B$52:$B$236=1)*(tQueue[PriorityRank]&lt;INDEX(tQueue[PriorityRank],34)))+1)</f>
        <v>28</v>
      </c>
    </row>
    <row r="86" spans="1:3" x14ac:dyDescent="0.35">
      <c r="A86">
        <v>35</v>
      </c>
      <c r="B86">
        <f>IF(AND(OR('Renegotiation Queue'!$C$4="(All)",INDEX(tQueue[BuyerName],35)='Renegotiation Queue'!$C$4),OR('Renegotiation Queue'!$C$5="(All)",INDEX(tQueue[ActionCode],35)='Renegotiation Queue'!$C$5),OR('Renegotiation Queue'!$C$6="(All)",INDEX(tQueue[Category],35)='Renegotiation Queue'!$C$6),OR('Renegotiation Queue'!$C$7="No",INDEX(tQueue[IsThisQuarter],35)=1)),1,0)</f>
        <v>1</v>
      </c>
      <c r="C86">
        <f>IF($B86=0,"",SUMPRODUCT(($B$52:$B$236=1)*(tQueue[PriorityRank]&lt;INDEX(tQueue[PriorityRank],35)))+1)</f>
        <v>29</v>
      </c>
    </row>
    <row r="87" spans="1:3" x14ac:dyDescent="0.35">
      <c r="A87">
        <v>36</v>
      </c>
      <c r="B87">
        <f>IF(AND(OR('Renegotiation Queue'!$C$4="(All)",INDEX(tQueue[BuyerName],36)='Renegotiation Queue'!$C$4),OR('Renegotiation Queue'!$C$5="(All)",INDEX(tQueue[ActionCode],36)='Renegotiation Queue'!$C$5),OR('Renegotiation Queue'!$C$6="(All)",INDEX(tQueue[Category],36)='Renegotiation Queue'!$C$6),OR('Renegotiation Queue'!$C$7="No",INDEX(tQueue[IsThisQuarter],36)=1)),1,0)</f>
        <v>0</v>
      </c>
      <c r="C87" t="str">
        <f>IF($B87=0,"",SUMPRODUCT(($B$52:$B$236=1)*(tQueue[PriorityRank]&lt;INDEX(tQueue[PriorityRank],36)))+1)</f>
        <v/>
      </c>
    </row>
    <row r="88" spans="1:3" x14ac:dyDescent="0.35">
      <c r="A88">
        <v>37</v>
      </c>
      <c r="B88">
        <f>IF(AND(OR('Renegotiation Queue'!$C$4="(All)",INDEX(tQueue[BuyerName],37)='Renegotiation Queue'!$C$4),OR('Renegotiation Queue'!$C$5="(All)",INDEX(tQueue[ActionCode],37)='Renegotiation Queue'!$C$5),OR('Renegotiation Queue'!$C$6="(All)",INDEX(tQueue[Category],37)='Renegotiation Queue'!$C$6),OR('Renegotiation Queue'!$C$7="No",INDEX(tQueue[IsThisQuarter],37)=1)),1,0)</f>
        <v>1</v>
      </c>
      <c r="C88">
        <f>IF($B88=0,"",SUMPRODUCT(($B$52:$B$236=1)*(tQueue[PriorityRank]&lt;INDEX(tQueue[PriorityRank],37)))+1)</f>
        <v>30</v>
      </c>
    </row>
    <row r="89" spans="1:3" x14ac:dyDescent="0.35">
      <c r="A89">
        <v>38</v>
      </c>
      <c r="B89">
        <f>IF(AND(OR('Renegotiation Queue'!$C$4="(All)",INDEX(tQueue[BuyerName],38)='Renegotiation Queue'!$C$4),OR('Renegotiation Queue'!$C$5="(All)",INDEX(tQueue[ActionCode],38)='Renegotiation Queue'!$C$5),OR('Renegotiation Queue'!$C$6="(All)",INDEX(tQueue[Category],38)='Renegotiation Queue'!$C$6),OR('Renegotiation Queue'!$C$7="No",INDEX(tQueue[IsThisQuarter],38)=1)),1,0)</f>
        <v>1</v>
      </c>
      <c r="C89">
        <f>IF($B89=0,"",SUMPRODUCT(($B$52:$B$236=1)*(tQueue[PriorityRank]&lt;INDEX(tQueue[PriorityRank],38)))+1)</f>
        <v>31</v>
      </c>
    </row>
    <row r="90" spans="1:3" x14ac:dyDescent="0.35">
      <c r="A90">
        <v>39</v>
      </c>
      <c r="B90">
        <f>IF(AND(OR('Renegotiation Queue'!$C$4="(All)",INDEX(tQueue[BuyerName],39)='Renegotiation Queue'!$C$4),OR('Renegotiation Queue'!$C$5="(All)",INDEX(tQueue[ActionCode],39)='Renegotiation Queue'!$C$5),OR('Renegotiation Queue'!$C$6="(All)",INDEX(tQueue[Category],39)='Renegotiation Queue'!$C$6),OR('Renegotiation Queue'!$C$7="No",INDEX(tQueue[IsThisQuarter],39)=1)),1,0)</f>
        <v>1</v>
      </c>
      <c r="C90">
        <f>IF($B90=0,"",SUMPRODUCT(($B$52:$B$236=1)*(tQueue[PriorityRank]&lt;INDEX(tQueue[PriorityRank],39)))+1)</f>
        <v>32</v>
      </c>
    </row>
    <row r="91" spans="1:3" x14ac:dyDescent="0.35">
      <c r="A91">
        <v>40</v>
      </c>
      <c r="B91">
        <f>IF(AND(OR('Renegotiation Queue'!$C$4="(All)",INDEX(tQueue[BuyerName],40)='Renegotiation Queue'!$C$4),OR('Renegotiation Queue'!$C$5="(All)",INDEX(tQueue[ActionCode],40)='Renegotiation Queue'!$C$5),OR('Renegotiation Queue'!$C$6="(All)",INDEX(tQueue[Category],40)='Renegotiation Queue'!$C$6),OR('Renegotiation Queue'!$C$7="No",INDEX(tQueue[IsThisQuarter],40)=1)),1,0)</f>
        <v>0</v>
      </c>
      <c r="C91" t="str">
        <f>IF($B91=0,"",SUMPRODUCT(($B$52:$B$236=1)*(tQueue[PriorityRank]&lt;INDEX(tQueue[PriorityRank],40)))+1)</f>
        <v/>
      </c>
    </row>
    <row r="92" spans="1:3" x14ac:dyDescent="0.35">
      <c r="A92">
        <v>41</v>
      </c>
      <c r="B92">
        <f>IF(AND(OR('Renegotiation Queue'!$C$4="(All)",INDEX(tQueue[BuyerName],41)='Renegotiation Queue'!$C$4),OR('Renegotiation Queue'!$C$5="(All)",INDEX(tQueue[ActionCode],41)='Renegotiation Queue'!$C$5),OR('Renegotiation Queue'!$C$6="(All)",INDEX(tQueue[Category],41)='Renegotiation Queue'!$C$6),OR('Renegotiation Queue'!$C$7="No",INDEX(tQueue[IsThisQuarter],41)=1)),1,0)</f>
        <v>1</v>
      </c>
      <c r="C92">
        <f>IF($B92=0,"",SUMPRODUCT(($B$52:$B$236=1)*(tQueue[PriorityRank]&lt;INDEX(tQueue[PriorityRank],41)))+1)</f>
        <v>33</v>
      </c>
    </row>
    <row r="93" spans="1:3" x14ac:dyDescent="0.35">
      <c r="A93">
        <v>42</v>
      </c>
      <c r="B93">
        <f>IF(AND(OR('Renegotiation Queue'!$C$4="(All)",INDEX(tQueue[BuyerName],42)='Renegotiation Queue'!$C$4),OR('Renegotiation Queue'!$C$5="(All)",INDEX(tQueue[ActionCode],42)='Renegotiation Queue'!$C$5),OR('Renegotiation Queue'!$C$6="(All)",INDEX(tQueue[Category],42)='Renegotiation Queue'!$C$6),OR('Renegotiation Queue'!$C$7="No",INDEX(tQueue[IsThisQuarter],42)=1)),1,0)</f>
        <v>0</v>
      </c>
      <c r="C93" t="str">
        <f>IF($B93=0,"",SUMPRODUCT(($B$52:$B$236=1)*(tQueue[PriorityRank]&lt;INDEX(tQueue[PriorityRank],42)))+1)</f>
        <v/>
      </c>
    </row>
    <row r="94" spans="1:3" x14ac:dyDescent="0.35">
      <c r="A94">
        <v>43</v>
      </c>
      <c r="B94">
        <f>IF(AND(OR('Renegotiation Queue'!$C$4="(All)",INDEX(tQueue[BuyerName],43)='Renegotiation Queue'!$C$4),OR('Renegotiation Queue'!$C$5="(All)",INDEX(tQueue[ActionCode],43)='Renegotiation Queue'!$C$5),OR('Renegotiation Queue'!$C$6="(All)",INDEX(tQueue[Category],43)='Renegotiation Queue'!$C$6),OR('Renegotiation Queue'!$C$7="No",INDEX(tQueue[IsThisQuarter],43)=1)),1,0)</f>
        <v>1</v>
      </c>
      <c r="C94">
        <f>IF($B94=0,"",SUMPRODUCT(($B$52:$B$236=1)*(tQueue[PriorityRank]&lt;INDEX(tQueue[PriorityRank],43)))+1)</f>
        <v>34</v>
      </c>
    </row>
    <row r="95" spans="1:3" x14ac:dyDescent="0.35">
      <c r="A95">
        <v>44</v>
      </c>
      <c r="B95">
        <f>IF(AND(OR('Renegotiation Queue'!$C$4="(All)",INDEX(tQueue[BuyerName],44)='Renegotiation Queue'!$C$4),OR('Renegotiation Queue'!$C$5="(All)",INDEX(tQueue[ActionCode],44)='Renegotiation Queue'!$C$5),OR('Renegotiation Queue'!$C$6="(All)",INDEX(tQueue[Category],44)='Renegotiation Queue'!$C$6),OR('Renegotiation Queue'!$C$7="No",INDEX(tQueue[IsThisQuarter],44)=1)),1,0)</f>
        <v>1</v>
      </c>
      <c r="C95">
        <f>IF($B95=0,"",SUMPRODUCT(($B$52:$B$236=1)*(tQueue[PriorityRank]&lt;INDEX(tQueue[PriorityRank],44)))+1)</f>
        <v>35</v>
      </c>
    </row>
    <row r="96" spans="1:3" x14ac:dyDescent="0.35">
      <c r="A96">
        <v>45</v>
      </c>
      <c r="B96">
        <f>IF(AND(OR('Renegotiation Queue'!$C$4="(All)",INDEX(tQueue[BuyerName],45)='Renegotiation Queue'!$C$4),OR('Renegotiation Queue'!$C$5="(All)",INDEX(tQueue[ActionCode],45)='Renegotiation Queue'!$C$5),OR('Renegotiation Queue'!$C$6="(All)",INDEX(tQueue[Category],45)='Renegotiation Queue'!$C$6),OR('Renegotiation Queue'!$C$7="No",INDEX(tQueue[IsThisQuarter],45)=1)),1,0)</f>
        <v>0</v>
      </c>
      <c r="C96" t="str">
        <f>IF($B96=0,"",SUMPRODUCT(($B$52:$B$236=1)*(tQueue[PriorityRank]&lt;INDEX(tQueue[PriorityRank],45)))+1)</f>
        <v/>
      </c>
    </row>
    <row r="97" spans="1:3" x14ac:dyDescent="0.35">
      <c r="A97">
        <v>46</v>
      </c>
      <c r="B97">
        <f>IF(AND(OR('Renegotiation Queue'!$C$4="(All)",INDEX(tQueue[BuyerName],46)='Renegotiation Queue'!$C$4),OR('Renegotiation Queue'!$C$5="(All)",INDEX(tQueue[ActionCode],46)='Renegotiation Queue'!$C$5),OR('Renegotiation Queue'!$C$6="(All)",INDEX(tQueue[Category],46)='Renegotiation Queue'!$C$6),OR('Renegotiation Queue'!$C$7="No",INDEX(tQueue[IsThisQuarter],46)=1)),1,0)</f>
        <v>0</v>
      </c>
      <c r="C97" t="str">
        <f>IF($B97=0,"",SUMPRODUCT(($B$52:$B$236=1)*(tQueue[PriorityRank]&lt;INDEX(tQueue[PriorityRank],46)))+1)</f>
        <v/>
      </c>
    </row>
    <row r="98" spans="1:3" x14ac:dyDescent="0.35">
      <c r="A98">
        <v>47</v>
      </c>
      <c r="B98">
        <f>IF(AND(OR('Renegotiation Queue'!$C$4="(All)",INDEX(tQueue[BuyerName],47)='Renegotiation Queue'!$C$4),OR('Renegotiation Queue'!$C$5="(All)",INDEX(tQueue[ActionCode],47)='Renegotiation Queue'!$C$5),OR('Renegotiation Queue'!$C$6="(All)",INDEX(tQueue[Category],47)='Renegotiation Queue'!$C$6),OR('Renegotiation Queue'!$C$7="No",INDEX(tQueue[IsThisQuarter],47)=1)),1,0)</f>
        <v>1</v>
      </c>
      <c r="C98">
        <f>IF($B98=0,"",SUMPRODUCT(($B$52:$B$236=1)*(tQueue[PriorityRank]&lt;INDEX(tQueue[PriorityRank],47)))+1)</f>
        <v>36</v>
      </c>
    </row>
    <row r="99" spans="1:3" x14ac:dyDescent="0.35">
      <c r="A99">
        <v>48</v>
      </c>
      <c r="B99">
        <f>IF(AND(OR('Renegotiation Queue'!$C$4="(All)",INDEX(tQueue[BuyerName],48)='Renegotiation Queue'!$C$4),OR('Renegotiation Queue'!$C$5="(All)",INDEX(tQueue[ActionCode],48)='Renegotiation Queue'!$C$5),OR('Renegotiation Queue'!$C$6="(All)",INDEX(tQueue[Category],48)='Renegotiation Queue'!$C$6),OR('Renegotiation Queue'!$C$7="No",INDEX(tQueue[IsThisQuarter],48)=1)),1,0)</f>
        <v>0</v>
      </c>
      <c r="C99" t="str">
        <f>IF($B99=0,"",SUMPRODUCT(($B$52:$B$236=1)*(tQueue[PriorityRank]&lt;INDEX(tQueue[PriorityRank],48)))+1)</f>
        <v/>
      </c>
    </row>
    <row r="100" spans="1:3" x14ac:dyDescent="0.35">
      <c r="A100">
        <v>49</v>
      </c>
      <c r="B100">
        <f>IF(AND(OR('Renegotiation Queue'!$C$4="(All)",INDEX(tQueue[BuyerName],49)='Renegotiation Queue'!$C$4),OR('Renegotiation Queue'!$C$5="(All)",INDEX(tQueue[ActionCode],49)='Renegotiation Queue'!$C$5),OR('Renegotiation Queue'!$C$6="(All)",INDEX(tQueue[Category],49)='Renegotiation Queue'!$C$6),OR('Renegotiation Queue'!$C$7="No",INDEX(tQueue[IsThisQuarter],49)=1)),1,0)</f>
        <v>0</v>
      </c>
      <c r="C100" t="str">
        <f>IF($B100=0,"",SUMPRODUCT(($B$52:$B$236=1)*(tQueue[PriorityRank]&lt;INDEX(tQueue[PriorityRank],49)))+1)</f>
        <v/>
      </c>
    </row>
    <row r="101" spans="1:3" x14ac:dyDescent="0.35">
      <c r="A101">
        <v>50</v>
      </c>
      <c r="B101">
        <f>IF(AND(OR('Renegotiation Queue'!$C$4="(All)",INDEX(tQueue[BuyerName],50)='Renegotiation Queue'!$C$4),OR('Renegotiation Queue'!$C$5="(All)",INDEX(tQueue[ActionCode],50)='Renegotiation Queue'!$C$5),OR('Renegotiation Queue'!$C$6="(All)",INDEX(tQueue[Category],50)='Renegotiation Queue'!$C$6),OR('Renegotiation Queue'!$C$7="No",INDEX(tQueue[IsThisQuarter],50)=1)),1,0)</f>
        <v>0</v>
      </c>
      <c r="C101" t="str">
        <f>IF($B101=0,"",SUMPRODUCT(($B$52:$B$236=1)*(tQueue[PriorityRank]&lt;INDEX(tQueue[PriorityRank],50)))+1)</f>
        <v/>
      </c>
    </row>
    <row r="102" spans="1:3" x14ac:dyDescent="0.35">
      <c r="A102">
        <v>51</v>
      </c>
      <c r="B102">
        <f>IF(AND(OR('Renegotiation Queue'!$C$4="(All)",INDEX(tQueue[BuyerName],51)='Renegotiation Queue'!$C$4),OR('Renegotiation Queue'!$C$5="(All)",INDEX(tQueue[ActionCode],51)='Renegotiation Queue'!$C$5),OR('Renegotiation Queue'!$C$6="(All)",INDEX(tQueue[Category],51)='Renegotiation Queue'!$C$6),OR('Renegotiation Queue'!$C$7="No",INDEX(tQueue[IsThisQuarter],51)=1)),1,0)</f>
        <v>0</v>
      </c>
      <c r="C102" t="str">
        <f>IF($B102=0,"",SUMPRODUCT(($B$52:$B$236=1)*(tQueue[PriorityRank]&lt;INDEX(tQueue[PriorityRank],51)))+1)</f>
        <v/>
      </c>
    </row>
    <row r="103" spans="1:3" x14ac:dyDescent="0.35">
      <c r="A103">
        <v>52</v>
      </c>
      <c r="B103">
        <f>IF(AND(OR('Renegotiation Queue'!$C$4="(All)",INDEX(tQueue[BuyerName],52)='Renegotiation Queue'!$C$4),OR('Renegotiation Queue'!$C$5="(All)",INDEX(tQueue[ActionCode],52)='Renegotiation Queue'!$C$5),OR('Renegotiation Queue'!$C$6="(All)",INDEX(tQueue[Category],52)='Renegotiation Queue'!$C$6),OR('Renegotiation Queue'!$C$7="No",INDEX(tQueue[IsThisQuarter],52)=1)),1,0)</f>
        <v>1</v>
      </c>
      <c r="C103">
        <f>IF($B103=0,"",SUMPRODUCT(($B$52:$B$236=1)*(tQueue[PriorityRank]&lt;INDEX(tQueue[PriorityRank],52)))+1)</f>
        <v>37</v>
      </c>
    </row>
    <row r="104" spans="1:3" x14ac:dyDescent="0.35">
      <c r="A104">
        <v>53</v>
      </c>
      <c r="B104">
        <f>IF(AND(OR('Renegotiation Queue'!$C$4="(All)",INDEX(tQueue[BuyerName],53)='Renegotiation Queue'!$C$4),OR('Renegotiation Queue'!$C$5="(All)",INDEX(tQueue[ActionCode],53)='Renegotiation Queue'!$C$5),OR('Renegotiation Queue'!$C$6="(All)",INDEX(tQueue[Category],53)='Renegotiation Queue'!$C$6),OR('Renegotiation Queue'!$C$7="No",INDEX(tQueue[IsThisQuarter],53)=1)),1,0)</f>
        <v>0</v>
      </c>
      <c r="C104" t="str">
        <f>IF($B104=0,"",SUMPRODUCT(($B$52:$B$236=1)*(tQueue[PriorityRank]&lt;INDEX(tQueue[PriorityRank],53)))+1)</f>
        <v/>
      </c>
    </row>
    <row r="105" spans="1:3" x14ac:dyDescent="0.35">
      <c r="A105">
        <v>54</v>
      </c>
      <c r="B105">
        <f>IF(AND(OR('Renegotiation Queue'!$C$4="(All)",INDEX(tQueue[BuyerName],54)='Renegotiation Queue'!$C$4),OR('Renegotiation Queue'!$C$5="(All)",INDEX(tQueue[ActionCode],54)='Renegotiation Queue'!$C$5),OR('Renegotiation Queue'!$C$6="(All)",INDEX(tQueue[Category],54)='Renegotiation Queue'!$C$6),OR('Renegotiation Queue'!$C$7="No",INDEX(tQueue[IsThisQuarter],54)=1)),1,0)</f>
        <v>0</v>
      </c>
      <c r="C105" t="str">
        <f>IF($B105=0,"",SUMPRODUCT(($B$52:$B$236=1)*(tQueue[PriorityRank]&lt;INDEX(tQueue[PriorityRank],54)))+1)</f>
        <v/>
      </c>
    </row>
    <row r="106" spans="1:3" x14ac:dyDescent="0.35">
      <c r="A106">
        <v>55</v>
      </c>
      <c r="B106">
        <f>IF(AND(OR('Renegotiation Queue'!$C$4="(All)",INDEX(tQueue[BuyerName],55)='Renegotiation Queue'!$C$4),OR('Renegotiation Queue'!$C$5="(All)",INDEX(tQueue[ActionCode],55)='Renegotiation Queue'!$C$5),OR('Renegotiation Queue'!$C$6="(All)",INDEX(tQueue[Category],55)='Renegotiation Queue'!$C$6),OR('Renegotiation Queue'!$C$7="No",INDEX(tQueue[IsThisQuarter],55)=1)),1,0)</f>
        <v>1</v>
      </c>
      <c r="C106">
        <f>IF($B106=0,"",SUMPRODUCT(($B$52:$B$236=1)*(tQueue[PriorityRank]&lt;INDEX(tQueue[PriorityRank],55)))+1)</f>
        <v>38</v>
      </c>
    </row>
    <row r="107" spans="1:3" x14ac:dyDescent="0.35">
      <c r="A107">
        <v>56</v>
      </c>
      <c r="B107">
        <f>IF(AND(OR('Renegotiation Queue'!$C$4="(All)",INDEX(tQueue[BuyerName],56)='Renegotiation Queue'!$C$4),OR('Renegotiation Queue'!$C$5="(All)",INDEX(tQueue[ActionCode],56)='Renegotiation Queue'!$C$5),OR('Renegotiation Queue'!$C$6="(All)",INDEX(tQueue[Category],56)='Renegotiation Queue'!$C$6),OR('Renegotiation Queue'!$C$7="No",INDEX(tQueue[IsThisQuarter],56)=1)),1,0)</f>
        <v>0</v>
      </c>
      <c r="C107" t="str">
        <f>IF($B107=0,"",SUMPRODUCT(($B$52:$B$236=1)*(tQueue[PriorityRank]&lt;INDEX(tQueue[PriorityRank],56)))+1)</f>
        <v/>
      </c>
    </row>
    <row r="108" spans="1:3" x14ac:dyDescent="0.35">
      <c r="A108">
        <v>57</v>
      </c>
      <c r="B108">
        <f>IF(AND(OR('Renegotiation Queue'!$C$4="(All)",INDEX(tQueue[BuyerName],57)='Renegotiation Queue'!$C$4),OR('Renegotiation Queue'!$C$5="(All)",INDEX(tQueue[ActionCode],57)='Renegotiation Queue'!$C$5),OR('Renegotiation Queue'!$C$6="(All)",INDEX(tQueue[Category],57)='Renegotiation Queue'!$C$6),OR('Renegotiation Queue'!$C$7="No",INDEX(tQueue[IsThisQuarter],57)=1)),1,0)</f>
        <v>0</v>
      </c>
      <c r="C108" t="str">
        <f>IF($B108=0,"",SUMPRODUCT(($B$52:$B$236=1)*(tQueue[PriorityRank]&lt;INDEX(tQueue[PriorityRank],57)))+1)</f>
        <v/>
      </c>
    </row>
    <row r="109" spans="1:3" x14ac:dyDescent="0.35">
      <c r="A109">
        <v>58</v>
      </c>
      <c r="B109">
        <f>IF(AND(OR('Renegotiation Queue'!$C$4="(All)",INDEX(tQueue[BuyerName],58)='Renegotiation Queue'!$C$4),OR('Renegotiation Queue'!$C$5="(All)",INDEX(tQueue[ActionCode],58)='Renegotiation Queue'!$C$5),OR('Renegotiation Queue'!$C$6="(All)",INDEX(tQueue[Category],58)='Renegotiation Queue'!$C$6),OR('Renegotiation Queue'!$C$7="No",INDEX(tQueue[IsThisQuarter],58)=1)),1,0)</f>
        <v>0</v>
      </c>
      <c r="C109" t="str">
        <f>IF($B109=0,"",SUMPRODUCT(($B$52:$B$236=1)*(tQueue[PriorityRank]&lt;INDEX(tQueue[PriorityRank],58)))+1)</f>
        <v/>
      </c>
    </row>
    <row r="110" spans="1:3" x14ac:dyDescent="0.35">
      <c r="A110">
        <v>59</v>
      </c>
      <c r="B110">
        <f>IF(AND(OR('Renegotiation Queue'!$C$4="(All)",INDEX(tQueue[BuyerName],59)='Renegotiation Queue'!$C$4),OR('Renegotiation Queue'!$C$5="(All)",INDEX(tQueue[ActionCode],59)='Renegotiation Queue'!$C$5),OR('Renegotiation Queue'!$C$6="(All)",INDEX(tQueue[Category],59)='Renegotiation Queue'!$C$6),OR('Renegotiation Queue'!$C$7="No",INDEX(tQueue[IsThisQuarter],59)=1)),1,0)</f>
        <v>0</v>
      </c>
      <c r="C110" t="str">
        <f>IF($B110=0,"",SUMPRODUCT(($B$52:$B$236=1)*(tQueue[PriorityRank]&lt;INDEX(tQueue[PriorityRank],59)))+1)</f>
        <v/>
      </c>
    </row>
    <row r="111" spans="1:3" x14ac:dyDescent="0.35">
      <c r="A111">
        <v>60</v>
      </c>
      <c r="B111">
        <f>IF(AND(OR('Renegotiation Queue'!$C$4="(All)",INDEX(tQueue[BuyerName],60)='Renegotiation Queue'!$C$4),OR('Renegotiation Queue'!$C$5="(All)",INDEX(tQueue[ActionCode],60)='Renegotiation Queue'!$C$5),OR('Renegotiation Queue'!$C$6="(All)",INDEX(tQueue[Category],60)='Renegotiation Queue'!$C$6),OR('Renegotiation Queue'!$C$7="No",INDEX(tQueue[IsThisQuarter],60)=1)),1,0)</f>
        <v>0</v>
      </c>
      <c r="C111" t="str">
        <f>IF($B111=0,"",SUMPRODUCT(($B$52:$B$236=1)*(tQueue[PriorityRank]&lt;INDEX(tQueue[PriorityRank],60)))+1)</f>
        <v/>
      </c>
    </row>
    <row r="112" spans="1:3" x14ac:dyDescent="0.35">
      <c r="A112">
        <v>61</v>
      </c>
      <c r="B112">
        <f>IF(AND(OR('Renegotiation Queue'!$C$4="(All)",INDEX(tQueue[BuyerName],61)='Renegotiation Queue'!$C$4),OR('Renegotiation Queue'!$C$5="(All)",INDEX(tQueue[ActionCode],61)='Renegotiation Queue'!$C$5),OR('Renegotiation Queue'!$C$6="(All)",INDEX(tQueue[Category],61)='Renegotiation Queue'!$C$6),OR('Renegotiation Queue'!$C$7="No",INDEX(tQueue[IsThisQuarter],61)=1)),1,0)</f>
        <v>0</v>
      </c>
      <c r="C112" t="str">
        <f>IF($B112=0,"",SUMPRODUCT(($B$52:$B$236=1)*(tQueue[PriorityRank]&lt;INDEX(tQueue[PriorityRank],61)))+1)</f>
        <v/>
      </c>
    </row>
    <row r="113" spans="1:3" x14ac:dyDescent="0.35">
      <c r="A113">
        <v>62</v>
      </c>
      <c r="B113">
        <f>IF(AND(OR('Renegotiation Queue'!$C$4="(All)",INDEX(tQueue[BuyerName],62)='Renegotiation Queue'!$C$4),OR('Renegotiation Queue'!$C$5="(All)",INDEX(tQueue[ActionCode],62)='Renegotiation Queue'!$C$5),OR('Renegotiation Queue'!$C$6="(All)",INDEX(tQueue[Category],62)='Renegotiation Queue'!$C$6),OR('Renegotiation Queue'!$C$7="No",INDEX(tQueue[IsThisQuarter],62)=1)),1,0)</f>
        <v>0</v>
      </c>
      <c r="C113" t="str">
        <f>IF($B113=0,"",SUMPRODUCT(($B$52:$B$236=1)*(tQueue[PriorityRank]&lt;INDEX(tQueue[PriorityRank],62)))+1)</f>
        <v/>
      </c>
    </row>
    <row r="114" spans="1:3" x14ac:dyDescent="0.35">
      <c r="A114">
        <v>63</v>
      </c>
      <c r="B114">
        <f>IF(AND(OR('Renegotiation Queue'!$C$4="(All)",INDEX(tQueue[BuyerName],63)='Renegotiation Queue'!$C$4),OR('Renegotiation Queue'!$C$5="(All)",INDEX(tQueue[ActionCode],63)='Renegotiation Queue'!$C$5),OR('Renegotiation Queue'!$C$6="(All)",INDEX(tQueue[Category],63)='Renegotiation Queue'!$C$6),OR('Renegotiation Queue'!$C$7="No",INDEX(tQueue[IsThisQuarter],63)=1)),1,0)</f>
        <v>1</v>
      </c>
      <c r="C114">
        <f>IF($B114=0,"",SUMPRODUCT(($B$52:$B$236=1)*(tQueue[PriorityRank]&lt;INDEX(tQueue[PriorityRank],63)))+1)</f>
        <v>39</v>
      </c>
    </row>
    <row r="115" spans="1:3" x14ac:dyDescent="0.35">
      <c r="A115">
        <v>64</v>
      </c>
      <c r="B115">
        <f>IF(AND(OR('Renegotiation Queue'!$C$4="(All)",INDEX(tQueue[BuyerName],64)='Renegotiation Queue'!$C$4),OR('Renegotiation Queue'!$C$5="(All)",INDEX(tQueue[ActionCode],64)='Renegotiation Queue'!$C$5),OR('Renegotiation Queue'!$C$6="(All)",INDEX(tQueue[Category],64)='Renegotiation Queue'!$C$6),OR('Renegotiation Queue'!$C$7="No",INDEX(tQueue[IsThisQuarter],64)=1)),1,0)</f>
        <v>0</v>
      </c>
      <c r="C115" t="str">
        <f>IF($B115=0,"",SUMPRODUCT(($B$52:$B$236=1)*(tQueue[PriorityRank]&lt;INDEX(tQueue[PriorityRank],64)))+1)</f>
        <v/>
      </c>
    </row>
    <row r="116" spans="1:3" x14ac:dyDescent="0.35">
      <c r="A116">
        <v>65</v>
      </c>
      <c r="B116">
        <f>IF(AND(OR('Renegotiation Queue'!$C$4="(All)",INDEX(tQueue[BuyerName],65)='Renegotiation Queue'!$C$4),OR('Renegotiation Queue'!$C$5="(All)",INDEX(tQueue[ActionCode],65)='Renegotiation Queue'!$C$5),OR('Renegotiation Queue'!$C$6="(All)",INDEX(tQueue[Category],65)='Renegotiation Queue'!$C$6),OR('Renegotiation Queue'!$C$7="No",INDEX(tQueue[IsThisQuarter],65)=1)),1,0)</f>
        <v>0</v>
      </c>
      <c r="C116" t="str">
        <f>IF($B116=0,"",SUMPRODUCT(($B$52:$B$236=1)*(tQueue[PriorityRank]&lt;INDEX(tQueue[PriorityRank],65)))+1)</f>
        <v/>
      </c>
    </row>
    <row r="117" spans="1:3" x14ac:dyDescent="0.35">
      <c r="A117">
        <v>66</v>
      </c>
      <c r="B117">
        <f>IF(AND(OR('Renegotiation Queue'!$C$4="(All)",INDEX(tQueue[BuyerName],66)='Renegotiation Queue'!$C$4),OR('Renegotiation Queue'!$C$5="(All)",INDEX(tQueue[ActionCode],66)='Renegotiation Queue'!$C$5),OR('Renegotiation Queue'!$C$6="(All)",INDEX(tQueue[Category],66)='Renegotiation Queue'!$C$6),OR('Renegotiation Queue'!$C$7="No",INDEX(tQueue[IsThisQuarter],66)=1)),1,0)</f>
        <v>0</v>
      </c>
      <c r="C117" t="str">
        <f>IF($B117=0,"",SUMPRODUCT(($B$52:$B$236=1)*(tQueue[PriorityRank]&lt;INDEX(tQueue[PriorityRank],66)))+1)</f>
        <v/>
      </c>
    </row>
    <row r="118" spans="1:3" x14ac:dyDescent="0.35">
      <c r="A118">
        <v>67</v>
      </c>
      <c r="B118">
        <f>IF(AND(OR('Renegotiation Queue'!$C$4="(All)",INDEX(tQueue[BuyerName],67)='Renegotiation Queue'!$C$4),OR('Renegotiation Queue'!$C$5="(All)",INDEX(tQueue[ActionCode],67)='Renegotiation Queue'!$C$5),OR('Renegotiation Queue'!$C$6="(All)",INDEX(tQueue[Category],67)='Renegotiation Queue'!$C$6),OR('Renegotiation Queue'!$C$7="No",INDEX(tQueue[IsThisQuarter],67)=1)),1,0)</f>
        <v>0</v>
      </c>
      <c r="C118" t="str">
        <f>IF($B118=0,"",SUMPRODUCT(($B$52:$B$236=1)*(tQueue[PriorityRank]&lt;INDEX(tQueue[PriorityRank],67)))+1)</f>
        <v/>
      </c>
    </row>
    <row r="119" spans="1:3" x14ac:dyDescent="0.35">
      <c r="A119">
        <v>68</v>
      </c>
      <c r="B119">
        <f>IF(AND(OR('Renegotiation Queue'!$C$4="(All)",INDEX(tQueue[BuyerName],68)='Renegotiation Queue'!$C$4),OR('Renegotiation Queue'!$C$5="(All)",INDEX(tQueue[ActionCode],68)='Renegotiation Queue'!$C$5),OR('Renegotiation Queue'!$C$6="(All)",INDEX(tQueue[Category],68)='Renegotiation Queue'!$C$6),OR('Renegotiation Queue'!$C$7="No",INDEX(tQueue[IsThisQuarter],68)=1)),1,0)</f>
        <v>0</v>
      </c>
      <c r="C119" t="str">
        <f>IF($B119=0,"",SUMPRODUCT(($B$52:$B$236=1)*(tQueue[PriorityRank]&lt;INDEX(tQueue[PriorityRank],68)))+1)</f>
        <v/>
      </c>
    </row>
    <row r="120" spans="1:3" x14ac:dyDescent="0.35">
      <c r="A120">
        <v>69</v>
      </c>
      <c r="B120">
        <f>IF(AND(OR('Renegotiation Queue'!$C$4="(All)",INDEX(tQueue[BuyerName],69)='Renegotiation Queue'!$C$4),OR('Renegotiation Queue'!$C$5="(All)",INDEX(tQueue[ActionCode],69)='Renegotiation Queue'!$C$5),OR('Renegotiation Queue'!$C$6="(All)",INDEX(tQueue[Category],69)='Renegotiation Queue'!$C$6),OR('Renegotiation Queue'!$C$7="No",INDEX(tQueue[IsThisQuarter],69)=1)),1,0)</f>
        <v>0</v>
      </c>
      <c r="C120" t="str">
        <f>IF($B120=0,"",SUMPRODUCT(($B$52:$B$236=1)*(tQueue[PriorityRank]&lt;INDEX(tQueue[PriorityRank],69)))+1)</f>
        <v/>
      </c>
    </row>
    <row r="121" spans="1:3" x14ac:dyDescent="0.35">
      <c r="A121">
        <v>70</v>
      </c>
      <c r="B121">
        <f>IF(AND(OR('Renegotiation Queue'!$C$4="(All)",INDEX(tQueue[BuyerName],70)='Renegotiation Queue'!$C$4),OR('Renegotiation Queue'!$C$5="(All)",INDEX(tQueue[ActionCode],70)='Renegotiation Queue'!$C$5),OR('Renegotiation Queue'!$C$6="(All)",INDEX(tQueue[Category],70)='Renegotiation Queue'!$C$6),OR('Renegotiation Queue'!$C$7="No",INDEX(tQueue[IsThisQuarter],70)=1)),1,0)</f>
        <v>0</v>
      </c>
      <c r="C121" t="str">
        <f>IF($B121=0,"",SUMPRODUCT(($B$52:$B$236=1)*(tQueue[PriorityRank]&lt;INDEX(tQueue[PriorityRank],70)))+1)</f>
        <v/>
      </c>
    </row>
    <row r="122" spans="1:3" x14ac:dyDescent="0.35">
      <c r="A122">
        <v>71</v>
      </c>
      <c r="B122">
        <f>IF(AND(OR('Renegotiation Queue'!$C$4="(All)",INDEX(tQueue[BuyerName],71)='Renegotiation Queue'!$C$4),OR('Renegotiation Queue'!$C$5="(All)",INDEX(tQueue[ActionCode],71)='Renegotiation Queue'!$C$5),OR('Renegotiation Queue'!$C$6="(All)",INDEX(tQueue[Category],71)='Renegotiation Queue'!$C$6),OR('Renegotiation Queue'!$C$7="No",INDEX(tQueue[IsThisQuarter],71)=1)),1,0)</f>
        <v>0</v>
      </c>
      <c r="C122" t="str">
        <f>IF($B122=0,"",SUMPRODUCT(($B$52:$B$236=1)*(tQueue[PriorityRank]&lt;INDEX(tQueue[PriorityRank],71)))+1)</f>
        <v/>
      </c>
    </row>
    <row r="123" spans="1:3" x14ac:dyDescent="0.35">
      <c r="A123">
        <v>72</v>
      </c>
      <c r="B123">
        <f>IF(AND(OR('Renegotiation Queue'!$C$4="(All)",INDEX(tQueue[BuyerName],72)='Renegotiation Queue'!$C$4),OR('Renegotiation Queue'!$C$5="(All)",INDEX(tQueue[ActionCode],72)='Renegotiation Queue'!$C$5),OR('Renegotiation Queue'!$C$6="(All)",INDEX(tQueue[Category],72)='Renegotiation Queue'!$C$6),OR('Renegotiation Queue'!$C$7="No",INDEX(tQueue[IsThisQuarter],72)=1)),1,0)</f>
        <v>0</v>
      </c>
      <c r="C123" t="str">
        <f>IF($B123=0,"",SUMPRODUCT(($B$52:$B$236=1)*(tQueue[PriorityRank]&lt;INDEX(tQueue[PriorityRank],72)))+1)</f>
        <v/>
      </c>
    </row>
    <row r="124" spans="1:3" x14ac:dyDescent="0.35">
      <c r="A124">
        <v>73</v>
      </c>
      <c r="B124">
        <f>IF(AND(OR('Renegotiation Queue'!$C$4="(All)",INDEX(tQueue[BuyerName],73)='Renegotiation Queue'!$C$4),OR('Renegotiation Queue'!$C$5="(All)",INDEX(tQueue[ActionCode],73)='Renegotiation Queue'!$C$5),OR('Renegotiation Queue'!$C$6="(All)",INDEX(tQueue[Category],73)='Renegotiation Queue'!$C$6),OR('Renegotiation Queue'!$C$7="No",INDEX(tQueue[IsThisQuarter],73)=1)),1,0)</f>
        <v>1</v>
      </c>
      <c r="C124">
        <f>IF($B124=0,"",SUMPRODUCT(($B$52:$B$236=1)*(tQueue[PriorityRank]&lt;INDEX(tQueue[PriorityRank],73)))+1)</f>
        <v>40</v>
      </c>
    </row>
    <row r="125" spans="1:3" x14ac:dyDescent="0.35">
      <c r="A125">
        <v>74</v>
      </c>
      <c r="B125">
        <f>IF(AND(OR('Renegotiation Queue'!$C$4="(All)",INDEX(tQueue[BuyerName],74)='Renegotiation Queue'!$C$4),OR('Renegotiation Queue'!$C$5="(All)",INDEX(tQueue[ActionCode],74)='Renegotiation Queue'!$C$5),OR('Renegotiation Queue'!$C$6="(All)",INDEX(tQueue[Category],74)='Renegotiation Queue'!$C$6),OR('Renegotiation Queue'!$C$7="No",INDEX(tQueue[IsThisQuarter],74)=1)),1,0)</f>
        <v>0</v>
      </c>
      <c r="C125" t="str">
        <f>IF($B125=0,"",SUMPRODUCT(($B$52:$B$236=1)*(tQueue[PriorityRank]&lt;INDEX(tQueue[PriorityRank],74)))+1)</f>
        <v/>
      </c>
    </row>
    <row r="126" spans="1:3" x14ac:dyDescent="0.35">
      <c r="A126">
        <v>75</v>
      </c>
      <c r="B126">
        <f>IF(AND(OR('Renegotiation Queue'!$C$4="(All)",INDEX(tQueue[BuyerName],75)='Renegotiation Queue'!$C$4),OR('Renegotiation Queue'!$C$5="(All)",INDEX(tQueue[ActionCode],75)='Renegotiation Queue'!$C$5),OR('Renegotiation Queue'!$C$6="(All)",INDEX(tQueue[Category],75)='Renegotiation Queue'!$C$6),OR('Renegotiation Queue'!$C$7="No",INDEX(tQueue[IsThisQuarter],75)=1)),1,0)</f>
        <v>0</v>
      </c>
      <c r="C126" t="str">
        <f>IF($B126=0,"",SUMPRODUCT(($B$52:$B$236=1)*(tQueue[PriorityRank]&lt;INDEX(tQueue[PriorityRank],75)))+1)</f>
        <v/>
      </c>
    </row>
    <row r="127" spans="1:3" x14ac:dyDescent="0.35">
      <c r="A127">
        <v>76</v>
      </c>
      <c r="B127">
        <f>IF(AND(OR('Renegotiation Queue'!$C$4="(All)",INDEX(tQueue[BuyerName],76)='Renegotiation Queue'!$C$4),OR('Renegotiation Queue'!$C$5="(All)",INDEX(tQueue[ActionCode],76)='Renegotiation Queue'!$C$5),OR('Renegotiation Queue'!$C$6="(All)",INDEX(tQueue[Category],76)='Renegotiation Queue'!$C$6),OR('Renegotiation Queue'!$C$7="No",INDEX(tQueue[IsThisQuarter],76)=1)),1,0)</f>
        <v>0</v>
      </c>
      <c r="C127" t="str">
        <f>IF($B127=0,"",SUMPRODUCT(($B$52:$B$236=1)*(tQueue[PriorityRank]&lt;INDEX(tQueue[PriorityRank],76)))+1)</f>
        <v/>
      </c>
    </row>
    <row r="128" spans="1:3" x14ac:dyDescent="0.35">
      <c r="A128">
        <v>77</v>
      </c>
      <c r="B128">
        <f>IF(AND(OR('Renegotiation Queue'!$C$4="(All)",INDEX(tQueue[BuyerName],77)='Renegotiation Queue'!$C$4),OR('Renegotiation Queue'!$C$5="(All)",INDEX(tQueue[ActionCode],77)='Renegotiation Queue'!$C$5),OR('Renegotiation Queue'!$C$6="(All)",INDEX(tQueue[Category],77)='Renegotiation Queue'!$C$6),OR('Renegotiation Queue'!$C$7="No",INDEX(tQueue[IsThisQuarter],77)=1)),1,0)</f>
        <v>0</v>
      </c>
      <c r="C128" t="str">
        <f>IF($B128=0,"",SUMPRODUCT(($B$52:$B$236=1)*(tQueue[PriorityRank]&lt;INDEX(tQueue[PriorityRank],77)))+1)</f>
        <v/>
      </c>
    </row>
    <row r="129" spans="1:3" x14ac:dyDescent="0.35">
      <c r="A129">
        <v>78</v>
      </c>
      <c r="B129">
        <f>IF(AND(OR('Renegotiation Queue'!$C$4="(All)",INDEX(tQueue[BuyerName],78)='Renegotiation Queue'!$C$4),OR('Renegotiation Queue'!$C$5="(All)",INDEX(tQueue[ActionCode],78)='Renegotiation Queue'!$C$5),OR('Renegotiation Queue'!$C$6="(All)",INDEX(tQueue[Category],78)='Renegotiation Queue'!$C$6),OR('Renegotiation Queue'!$C$7="No",INDEX(tQueue[IsThisQuarter],78)=1)),1,0)</f>
        <v>0</v>
      </c>
      <c r="C129" t="str">
        <f>IF($B129=0,"",SUMPRODUCT(($B$52:$B$236=1)*(tQueue[PriorityRank]&lt;INDEX(tQueue[PriorityRank],78)))+1)</f>
        <v/>
      </c>
    </row>
    <row r="130" spans="1:3" x14ac:dyDescent="0.35">
      <c r="A130">
        <v>79</v>
      </c>
      <c r="B130">
        <f>IF(AND(OR('Renegotiation Queue'!$C$4="(All)",INDEX(tQueue[BuyerName],79)='Renegotiation Queue'!$C$4),OR('Renegotiation Queue'!$C$5="(All)",INDEX(tQueue[ActionCode],79)='Renegotiation Queue'!$C$5),OR('Renegotiation Queue'!$C$6="(All)",INDEX(tQueue[Category],79)='Renegotiation Queue'!$C$6),OR('Renegotiation Queue'!$C$7="No",INDEX(tQueue[IsThisQuarter],79)=1)),1,0)</f>
        <v>0</v>
      </c>
      <c r="C130" t="str">
        <f>IF($B130=0,"",SUMPRODUCT(($B$52:$B$236=1)*(tQueue[PriorityRank]&lt;INDEX(tQueue[PriorityRank],79)))+1)</f>
        <v/>
      </c>
    </row>
    <row r="131" spans="1:3" x14ac:dyDescent="0.35">
      <c r="A131">
        <v>80</v>
      </c>
      <c r="B131">
        <f>IF(AND(OR('Renegotiation Queue'!$C$4="(All)",INDEX(tQueue[BuyerName],80)='Renegotiation Queue'!$C$4),OR('Renegotiation Queue'!$C$5="(All)",INDEX(tQueue[ActionCode],80)='Renegotiation Queue'!$C$5),OR('Renegotiation Queue'!$C$6="(All)",INDEX(tQueue[Category],80)='Renegotiation Queue'!$C$6),OR('Renegotiation Queue'!$C$7="No",INDEX(tQueue[IsThisQuarter],80)=1)),1,0)</f>
        <v>1</v>
      </c>
      <c r="C131">
        <f>IF($B131=0,"",SUMPRODUCT(($B$52:$B$236=1)*(tQueue[PriorityRank]&lt;INDEX(tQueue[PriorityRank],80)))+1)</f>
        <v>41</v>
      </c>
    </row>
    <row r="132" spans="1:3" x14ac:dyDescent="0.35">
      <c r="A132">
        <v>81</v>
      </c>
      <c r="B132">
        <f>IF(AND(OR('Renegotiation Queue'!$C$4="(All)",INDEX(tQueue[BuyerName],81)='Renegotiation Queue'!$C$4),OR('Renegotiation Queue'!$C$5="(All)",INDEX(tQueue[ActionCode],81)='Renegotiation Queue'!$C$5),OR('Renegotiation Queue'!$C$6="(All)",INDEX(tQueue[Category],81)='Renegotiation Queue'!$C$6),OR('Renegotiation Queue'!$C$7="No",INDEX(tQueue[IsThisQuarter],81)=1)),1,0)</f>
        <v>0</v>
      </c>
      <c r="C132" t="str">
        <f>IF($B132=0,"",SUMPRODUCT(($B$52:$B$236=1)*(tQueue[PriorityRank]&lt;INDEX(tQueue[PriorityRank],81)))+1)</f>
        <v/>
      </c>
    </row>
    <row r="133" spans="1:3" x14ac:dyDescent="0.35">
      <c r="A133">
        <v>82</v>
      </c>
      <c r="B133">
        <f>IF(AND(OR('Renegotiation Queue'!$C$4="(All)",INDEX(tQueue[BuyerName],82)='Renegotiation Queue'!$C$4),OR('Renegotiation Queue'!$C$5="(All)",INDEX(tQueue[ActionCode],82)='Renegotiation Queue'!$C$5),OR('Renegotiation Queue'!$C$6="(All)",INDEX(tQueue[Category],82)='Renegotiation Queue'!$C$6),OR('Renegotiation Queue'!$C$7="No",INDEX(tQueue[IsThisQuarter],82)=1)),1,0)</f>
        <v>0</v>
      </c>
      <c r="C133" t="str">
        <f>IF($B133=0,"",SUMPRODUCT(($B$52:$B$236=1)*(tQueue[PriorityRank]&lt;INDEX(tQueue[PriorityRank],82)))+1)</f>
        <v/>
      </c>
    </row>
    <row r="134" spans="1:3" x14ac:dyDescent="0.35">
      <c r="A134">
        <v>83</v>
      </c>
      <c r="B134">
        <f>IF(AND(OR('Renegotiation Queue'!$C$4="(All)",INDEX(tQueue[BuyerName],83)='Renegotiation Queue'!$C$4),OR('Renegotiation Queue'!$C$5="(All)",INDEX(tQueue[ActionCode],83)='Renegotiation Queue'!$C$5),OR('Renegotiation Queue'!$C$6="(All)",INDEX(tQueue[Category],83)='Renegotiation Queue'!$C$6),OR('Renegotiation Queue'!$C$7="No",INDEX(tQueue[IsThisQuarter],83)=1)),1,0)</f>
        <v>0</v>
      </c>
      <c r="C134" t="str">
        <f>IF($B134=0,"",SUMPRODUCT(($B$52:$B$236=1)*(tQueue[PriorityRank]&lt;INDEX(tQueue[PriorityRank],83)))+1)</f>
        <v/>
      </c>
    </row>
    <row r="135" spans="1:3" x14ac:dyDescent="0.35">
      <c r="A135">
        <v>84</v>
      </c>
      <c r="B135">
        <f>IF(AND(OR('Renegotiation Queue'!$C$4="(All)",INDEX(tQueue[BuyerName],84)='Renegotiation Queue'!$C$4),OR('Renegotiation Queue'!$C$5="(All)",INDEX(tQueue[ActionCode],84)='Renegotiation Queue'!$C$5),OR('Renegotiation Queue'!$C$6="(All)",INDEX(tQueue[Category],84)='Renegotiation Queue'!$C$6),OR('Renegotiation Queue'!$C$7="No",INDEX(tQueue[IsThisQuarter],84)=1)),1,0)</f>
        <v>0</v>
      </c>
      <c r="C135" t="str">
        <f>IF($B135=0,"",SUMPRODUCT(($B$52:$B$236=1)*(tQueue[PriorityRank]&lt;INDEX(tQueue[PriorityRank],84)))+1)</f>
        <v/>
      </c>
    </row>
    <row r="136" spans="1:3" x14ac:dyDescent="0.35">
      <c r="A136">
        <v>85</v>
      </c>
      <c r="B136">
        <f>IF(AND(OR('Renegotiation Queue'!$C$4="(All)",INDEX(tQueue[BuyerName],85)='Renegotiation Queue'!$C$4),OR('Renegotiation Queue'!$C$5="(All)",INDEX(tQueue[ActionCode],85)='Renegotiation Queue'!$C$5),OR('Renegotiation Queue'!$C$6="(All)",INDEX(tQueue[Category],85)='Renegotiation Queue'!$C$6),OR('Renegotiation Queue'!$C$7="No",INDEX(tQueue[IsThisQuarter],85)=1)),1,0)</f>
        <v>0</v>
      </c>
      <c r="C136" t="str">
        <f>IF($B136=0,"",SUMPRODUCT(($B$52:$B$236=1)*(tQueue[PriorityRank]&lt;INDEX(tQueue[PriorityRank],85)))+1)</f>
        <v/>
      </c>
    </row>
    <row r="137" spans="1:3" x14ac:dyDescent="0.35">
      <c r="A137">
        <v>86</v>
      </c>
      <c r="B137">
        <f>IF(AND(OR('Renegotiation Queue'!$C$4="(All)",INDEX(tQueue[BuyerName],86)='Renegotiation Queue'!$C$4),OR('Renegotiation Queue'!$C$5="(All)",INDEX(tQueue[ActionCode],86)='Renegotiation Queue'!$C$5),OR('Renegotiation Queue'!$C$6="(All)",INDEX(tQueue[Category],86)='Renegotiation Queue'!$C$6),OR('Renegotiation Queue'!$C$7="No",INDEX(tQueue[IsThisQuarter],86)=1)),1,0)</f>
        <v>0</v>
      </c>
      <c r="C137" t="str">
        <f>IF($B137=0,"",SUMPRODUCT(($B$52:$B$236=1)*(tQueue[PriorityRank]&lt;INDEX(tQueue[PriorityRank],86)))+1)</f>
        <v/>
      </c>
    </row>
    <row r="138" spans="1:3" x14ac:dyDescent="0.35">
      <c r="A138">
        <v>87</v>
      </c>
      <c r="B138">
        <f>IF(AND(OR('Renegotiation Queue'!$C$4="(All)",INDEX(tQueue[BuyerName],87)='Renegotiation Queue'!$C$4),OR('Renegotiation Queue'!$C$5="(All)",INDEX(tQueue[ActionCode],87)='Renegotiation Queue'!$C$5),OR('Renegotiation Queue'!$C$6="(All)",INDEX(tQueue[Category],87)='Renegotiation Queue'!$C$6),OR('Renegotiation Queue'!$C$7="No",INDEX(tQueue[IsThisQuarter],87)=1)),1,0)</f>
        <v>0</v>
      </c>
      <c r="C138" t="str">
        <f>IF($B138=0,"",SUMPRODUCT(($B$52:$B$236=1)*(tQueue[PriorityRank]&lt;INDEX(tQueue[PriorityRank],87)))+1)</f>
        <v/>
      </c>
    </row>
    <row r="139" spans="1:3" x14ac:dyDescent="0.35">
      <c r="A139">
        <v>88</v>
      </c>
      <c r="B139">
        <f>IF(AND(OR('Renegotiation Queue'!$C$4="(All)",INDEX(tQueue[BuyerName],88)='Renegotiation Queue'!$C$4),OR('Renegotiation Queue'!$C$5="(All)",INDEX(tQueue[ActionCode],88)='Renegotiation Queue'!$C$5),OR('Renegotiation Queue'!$C$6="(All)",INDEX(tQueue[Category],88)='Renegotiation Queue'!$C$6),OR('Renegotiation Queue'!$C$7="No",INDEX(tQueue[IsThisQuarter],88)=1)),1,0)</f>
        <v>0</v>
      </c>
      <c r="C139" t="str">
        <f>IF($B139=0,"",SUMPRODUCT(($B$52:$B$236=1)*(tQueue[PriorityRank]&lt;INDEX(tQueue[PriorityRank],88)))+1)</f>
        <v/>
      </c>
    </row>
    <row r="140" spans="1:3" x14ac:dyDescent="0.35">
      <c r="A140">
        <v>89</v>
      </c>
      <c r="B140">
        <f>IF(AND(OR('Renegotiation Queue'!$C$4="(All)",INDEX(tQueue[BuyerName],89)='Renegotiation Queue'!$C$4),OR('Renegotiation Queue'!$C$5="(All)",INDEX(tQueue[ActionCode],89)='Renegotiation Queue'!$C$5),OR('Renegotiation Queue'!$C$6="(All)",INDEX(tQueue[Category],89)='Renegotiation Queue'!$C$6),OR('Renegotiation Queue'!$C$7="No",INDEX(tQueue[IsThisQuarter],89)=1)),1,0)</f>
        <v>0</v>
      </c>
      <c r="C140" t="str">
        <f>IF($B140=0,"",SUMPRODUCT(($B$52:$B$236=1)*(tQueue[PriorityRank]&lt;INDEX(tQueue[PriorityRank],89)))+1)</f>
        <v/>
      </c>
    </row>
    <row r="141" spans="1:3" x14ac:dyDescent="0.35">
      <c r="A141">
        <v>90</v>
      </c>
      <c r="B141">
        <f>IF(AND(OR('Renegotiation Queue'!$C$4="(All)",INDEX(tQueue[BuyerName],90)='Renegotiation Queue'!$C$4),OR('Renegotiation Queue'!$C$5="(All)",INDEX(tQueue[ActionCode],90)='Renegotiation Queue'!$C$5),OR('Renegotiation Queue'!$C$6="(All)",INDEX(tQueue[Category],90)='Renegotiation Queue'!$C$6),OR('Renegotiation Queue'!$C$7="No",INDEX(tQueue[IsThisQuarter],90)=1)),1,0)</f>
        <v>0</v>
      </c>
      <c r="C141" t="str">
        <f>IF($B141=0,"",SUMPRODUCT(($B$52:$B$236=1)*(tQueue[PriorityRank]&lt;INDEX(tQueue[PriorityRank],90)))+1)</f>
        <v/>
      </c>
    </row>
    <row r="142" spans="1:3" x14ac:dyDescent="0.35">
      <c r="A142">
        <v>91</v>
      </c>
      <c r="B142">
        <f>IF(AND(OR('Renegotiation Queue'!$C$4="(All)",INDEX(tQueue[BuyerName],91)='Renegotiation Queue'!$C$4),OR('Renegotiation Queue'!$C$5="(All)",INDEX(tQueue[ActionCode],91)='Renegotiation Queue'!$C$5),OR('Renegotiation Queue'!$C$6="(All)",INDEX(tQueue[Category],91)='Renegotiation Queue'!$C$6),OR('Renegotiation Queue'!$C$7="No",INDEX(tQueue[IsThisQuarter],91)=1)),1,0)</f>
        <v>0</v>
      </c>
      <c r="C142" t="str">
        <f>IF($B142=0,"",SUMPRODUCT(($B$52:$B$236=1)*(tQueue[PriorityRank]&lt;INDEX(tQueue[PriorityRank],91)))+1)</f>
        <v/>
      </c>
    </row>
    <row r="143" spans="1:3" x14ac:dyDescent="0.35">
      <c r="A143">
        <v>92</v>
      </c>
      <c r="B143">
        <f>IF(AND(OR('Renegotiation Queue'!$C$4="(All)",INDEX(tQueue[BuyerName],92)='Renegotiation Queue'!$C$4),OR('Renegotiation Queue'!$C$5="(All)",INDEX(tQueue[ActionCode],92)='Renegotiation Queue'!$C$5),OR('Renegotiation Queue'!$C$6="(All)",INDEX(tQueue[Category],92)='Renegotiation Queue'!$C$6),OR('Renegotiation Queue'!$C$7="No",INDEX(tQueue[IsThisQuarter],92)=1)),1,0)</f>
        <v>0</v>
      </c>
      <c r="C143" t="str">
        <f>IF($B143=0,"",SUMPRODUCT(($B$52:$B$236=1)*(tQueue[PriorityRank]&lt;INDEX(tQueue[PriorityRank],92)))+1)</f>
        <v/>
      </c>
    </row>
    <row r="144" spans="1:3" x14ac:dyDescent="0.35">
      <c r="A144">
        <v>93</v>
      </c>
      <c r="B144">
        <f>IF(AND(OR('Renegotiation Queue'!$C$4="(All)",INDEX(tQueue[BuyerName],93)='Renegotiation Queue'!$C$4),OR('Renegotiation Queue'!$C$5="(All)",INDEX(tQueue[ActionCode],93)='Renegotiation Queue'!$C$5),OR('Renegotiation Queue'!$C$6="(All)",INDEX(tQueue[Category],93)='Renegotiation Queue'!$C$6),OR('Renegotiation Queue'!$C$7="No",INDEX(tQueue[IsThisQuarter],93)=1)),1,0)</f>
        <v>0</v>
      </c>
      <c r="C144" t="str">
        <f>IF($B144=0,"",SUMPRODUCT(($B$52:$B$236=1)*(tQueue[PriorityRank]&lt;INDEX(tQueue[PriorityRank],93)))+1)</f>
        <v/>
      </c>
    </row>
    <row r="145" spans="1:3" x14ac:dyDescent="0.35">
      <c r="A145">
        <v>94</v>
      </c>
      <c r="B145">
        <f>IF(AND(OR('Renegotiation Queue'!$C$4="(All)",INDEX(tQueue[BuyerName],94)='Renegotiation Queue'!$C$4),OR('Renegotiation Queue'!$C$5="(All)",INDEX(tQueue[ActionCode],94)='Renegotiation Queue'!$C$5),OR('Renegotiation Queue'!$C$6="(All)",INDEX(tQueue[Category],94)='Renegotiation Queue'!$C$6),OR('Renegotiation Queue'!$C$7="No",INDEX(tQueue[IsThisQuarter],94)=1)),1,0)</f>
        <v>0</v>
      </c>
      <c r="C145" t="str">
        <f>IF($B145=0,"",SUMPRODUCT(($B$52:$B$236=1)*(tQueue[PriorityRank]&lt;INDEX(tQueue[PriorityRank],94)))+1)</f>
        <v/>
      </c>
    </row>
    <row r="146" spans="1:3" x14ac:dyDescent="0.35">
      <c r="A146">
        <v>95</v>
      </c>
      <c r="B146">
        <f>IF(AND(OR('Renegotiation Queue'!$C$4="(All)",INDEX(tQueue[BuyerName],95)='Renegotiation Queue'!$C$4),OR('Renegotiation Queue'!$C$5="(All)",INDEX(tQueue[ActionCode],95)='Renegotiation Queue'!$C$5),OR('Renegotiation Queue'!$C$6="(All)",INDEX(tQueue[Category],95)='Renegotiation Queue'!$C$6),OR('Renegotiation Queue'!$C$7="No",INDEX(tQueue[IsThisQuarter],95)=1)),1,0)</f>
        <v>0</v>
      </c>
      <c r="C146" t="str">
        <f>IF($B146=0,"",SUMPRODUCT(($B$52:$B$236=1)*(tQueue[PriorityRank]&lt;INDEX(tQueue[PriorityRank],95)))+1)</f>
        <v/>
      </c>
    </row>
    <row r="147" spans="1:3" x14ac:dyDescent="0.35">
      <c r="A147">
        <v>96</v>
      </c>
      <c r="B147">
        <f>IF(AND(OR('Renegotiation Queue'!$C$4="(All)",INDEX(tQueue[BuyerName],96)='Renegotiation Queue'!$C$4),OR('Renegotiation Queue'!$C$5="(All)",INDEX(tQueue[ActionCode],96)='Renegotiation Queue'!$C$5),OR('Renegotiation Queue'!$C$6="(All)",INDEX(tQueue[Category],96)='Renegotiation Queue'!$C$6),OR('Renegotiation Queue'!$C$7="No",INDEX(tQueue[IsThisQuarter],96)=1)),1,0)</f>
        <v>1</v>
      </c>
      <c r="C147">
        <f>IF($B147=0,"",SUMPRODUCT(($B$52:$B$236=1)*(tQueue[PriorityRank]&lt;INDEX(tQueue[PriorityRank],96)))+1)</f>
        <v>42</v>
      </c>
    </row>
    <row r="148" spans="1:3" x14ac:dyDescent="0.35">
      <c r="A148">
        <v>97</v>
      </c>
      <c r="B148">
        <f>IF(AND(OR('Renegotiation Queue'!$C$4="(All)",INDEX(tQueue[BuyerName],97)='Renegotiation Queue'!$C$4),OR('Renegotiation Queue'!$C$5="(All)",INDEX(tQueue[ActionCode],97)='Renegotiation Queue'!$C$5),OR('Renegotiation Queue'!$C$6="(All)",INDEX(tQueue[Category],97)='Renegotiation Queue'!$C$6),OR('Renegotiation Queue'!$C$7="No",INDEX(tQueue[IsThisQuarter],97)=1)),1,0)</f>
        <v>0</v>
      </c>
      <c r="C148" t="str">
        <f>IF($B148=0,"",SUMPRODUCT(($B$52:$B$236=1)*(tQueue[PriorityRank]&lt;INDEX(tQueue[PriorityRank],97)))+1)</f>
        <v/>
      </c>
    </row>
    <row r="149" spans="1:3" x14ac:dyDescent="0.35">
      <c r="A149">
        <v>98</v>
      </c>
      <c r="B149">
        <f>IF(AND(OR('Renegotiation Queue'!$C$4="(All)",INDEX(tQueue[BuyerName],98)='Renegotiation Queue'!$C$4),OR('Renegotiation Queue'!$C$5="(All)",INDEX(tQueue[ActionCode],98)='Renegotiation Queue'!$C$5),OR('Renegotiation Queue'!$C$6="(All)",INDEX(tQueue[Category],98)='Renegotiation Queue'!$C$6),OR('Renegotiation Queue'!$C$7="No",INDEX(tQueue[IsThisQuarter],98)=1)),1,0)</f>
        <v>0</v>
      </c>
      <c r="C149" t="str">
        <f>IF($B149=0,"",SUMPRODUCT(($B$52:$B$236=1)*(tQueue[PriorityRank]&lt;INDEX(tQueue[PriorityRank],98)))+1)</f>
        <v/>
      </c>
    </row>
    <row r="150" spans="1:3" x14ac:dyDescent="0.35">
      <c r="A150">
        <v>99</v>
      </c>
      <c r="B150">
        <f>IF(AND(OR('Renegotiation Queue'!$C$4="(All)",INDEX(tQueue[BuyerName],99)='Renegotiation Queue'!$C$4),OR('Renegotiation Queue'!$C$5="(All)",INDEX(tQueue[ActionCode],99)='Renegotiation Queue'!$C$5),OR('Renegotiation Queue'!$C$6="(All)",INDEX(tQueue[Category],99)='Renegotiation Queue'!$C$6),OR('Renegotiation Queue'!$C$7="No",INDEX(tQueue[IsThisQuarter],99)=1)),1,0)</f>
        <v>0</v>
      </c>
      <c r="C150" t="str">
        <f>IF($B150=0,"",SUMPRODUCT(($B$52:$B$236=1)*(tQueue[PriorityRank]&lt;INDEX(tQueue[PriorityRank],99)))+1)</f>
        <v/>
      </c>
    </row>
    <row r="151" spans="1:3" x14ac:dyDescent="0.35">
      <c r="A151">
        <v>100</v>
      </c>
      <c r="B151">
        <f>IF(AND(OR('Renegotiation Queue'!$C$4="(All)",INDEX(tQueue[BuyerName],100)='Renegotiation Queue'!$C$4),OR('Renegotiation Queue'!$C$5="(All)",INDEX(tQueue[ActionCode],100)='Renegotiation Queue'!$C$5),OR('Renegotiation Queue'!$C$6="(All)",INDEX(tQueue[Category],100)='Renegotiation Queue'!$C$6),OR('Renegotiation Queue'!$C$7="No",INDEX(tQueue[IsThisQuarter],100)=1)),1,0)</f>
        <v>0</v>
      </c>
      <c r="C151" t="str">
        <f>IF($B151=0,"",SUMPRODUCT(($B$52:$B$236=1)*(tQueue[PriorityRank]&lt;INDEX(tQueue[PriorityRank],100)))+1)</f>
        <v/>
      </c>
    </row>
    <row r="152" spans="1:3" x14ac:dyDescent="0.35">
      <c r="A152">
        <v>101</v>
      </c>
      <c r="B152">
        <f>IF(AND(OR('Renegotiation Queue'!$C$4="(All)",INDEX(tQueue[BuyerName],101)='Renegotiation Queue'!$C$4),OR('Renegotiation Queue'!$C$5="(All)",INDEX(tQueue[ActionCode],101)='Renegotiation Queue'!$C$5),OR('Renegotiation Queue'!$C$6="(All)",INDEX(tQueue[Category],101)='Renegotiation Queue'!$C$6),OR('Renegotiation Queue'!$C$7="No",INDEX(tQueue[IsThisQuarter],101)=1)),1,0)</f>
        <v>0</v>
      </c>
      <c r="C152" t="str">
        <f>IF($B152=0,"",SUMPRODUCT(($B$52:$B$236=1)*(tQueue[PriorityRank]&lt;INDEX(tQueue[PriorityRank],101)))+1)</f>
        <v/>
      </c>
    </row>
    <row r="153" spans="1:3" x14ac:dyDescent="0.35">
      <c r="A153">
        <v>102</v>
      </c>
      <c r="B153">
        <f>IF(AND(OR('Renegotiation Queue'!$C$4="(All)",INDEX(tQueue[BuyerName],102)='Renegotiation Queue'!$C$4),OR('Renegotiation Queue'!$C$5="(All)",INDEX(tQueue[ActionCode],102)='Renegotiation Queue'!$C$5),OR('Renegotiation Queue'!$C$6="(All)",INDEX(tQueue[Category],102)='Renegotiation Queue'!$C$6),OR('Renegotiation Queue'!$C$7="No",INDEX(tQueue[IsThisQuarter],102)=1)),1,0)</f>
        <v>0</v>
      </c>
      <c r="C153" t="str">
        <f>IF($B153=0,"",SUMPRODUCT(($B$52:$B$236=1)*(tQueue[PriorityRank]&lt;INDEX(tQueue[PriorityRank],102)))+1)</f>
        <v/>
      </c>
    </row>
    <row r="154" spans="1:3" x14ac:dyDescent="0.35">
      <c r="A154">
        <v>103</v>
      </c>
      <c r="B154">
        <f>IF(AND(OR('Renegotiation Queue'!$C$4="(All)",INDEX(tQueue[BuyerName],103)='Renegotiation Queue'!$C$4),OR('Renegotiation Queue'!$C$5="(All)",INDEX(tQueue[ActionCode],103)='Renegotiation Queue'!$C$5),OR('Renegotiation Queue'!$C$6="(All)",INDEX(tQueue[Category],103)='Renegotiation Queue'!$C$6),OR('Renegotiation Queue'!$C$7="No",INDEX(tQueue[IsThisQuarter],103)=1)),1,0)</f>
        <v>0</v>
      </c>
      <c r="C154" t="str">
        <f>IF($B154=0,"",SUMPRODUCT(($B$52:$B$236=1)*(tQueue[PriorityRank]&lt;INDEX(tQueue[PriorityRank],103)))+1)</f>
        <v/>
      </c>
    </row>
    <row r="155" spans="1:3" x14ac:dyDescent="0.35">
      <c r="A155">
        <v>104</v>
      </c>
      <c r="B155">
        <f>IF(AND(OR('Renegotiation Queue'!$C$4="(All)",INDEX(tQueue[BuyerName],104)='Renegotiation Queue'!$C$4),OR('Renegotiation Queue'!$C$5="(All)",INDEX(tQueue[ActionCode],104)='Renegotiation Queue'!$C$5),OR('Renegotiation Queue'!$C$6="(All)",INDEX(tQueue[Category],104)='Renegotiation Queue'!$C$6),OR('Renegotiation Queue'!$C$7="No",INDEX(tQueue[IsThisQuarter],104)=1)),1,0)</f>
        <v>0</v>
      </c>
      <c r="C155" t="str">
        <f>IF($B155=0,"",SUMPRODUCT(($B$52:$B$236=1)*(tQueue[PriorityRank]&lt;INDEX(tQueue[PriorityRank],104)))+1)</f>
        <v/>
      </c>
    </row>
    <row r="156" spans="1:3" x14ac:dyDescent="0.35">
      <c r="A156">
        <v>105</v>
      </c>
      <c r="B156">
        <f>IF(AND(OR('Renegotiation Queue'!$C$4="(All)",INDEX(tQueue[BuyerName],105)='Renegotiation Queue'!$C$4),OR('Renegotiation Queue'!$C$5="(All)",INDEX(tQueue[ActionCode],105)='Renegotiation Queue'!$C$5),OR('Renegotiation Queue'!$C$6="(All)",INDEX(tQueue[Category],105)='Renegotiation Queue'!$C$6),OR('Renegotiation Queue'!$C$7="No",INDEX(tQueue[IsThisQuarter],105)=1)),1,0)</f>
        <v>0</v>
      </c>
      <c r="C156" t="str">
        <f>IF($B156=0,"",SUMPRODUCT(($B$52:$B$236=1)*(tQueue[PriorityRank]&lt;INDEX(tQueue[PriorityRank],105)))+1)</f>
        <v/>
      </c>
    </row>
    <row r="157" spans="1:3" x14ac:dyDescent="0.35">
      <c r="A157">
        <v>106</v>
      </c>
      <c r="B157">
        <f>IF(AND(OR('Renegotiation Queue'!$C$4="(All)",INDEX(tQueue[BuyerName],106)='Renegotiation Queue'!$C$4),OR('Renegotiation Queue'!$C$5="(All)",INDEX(tQueue[ActionCode],106)='Renegotiation Queue'!$C$5),OR('Renegotiation Queue'!$C$6="(All)",INDEX(tQueue[Category],106)='Renegotiation Queue'!$C$6),OR('Renegotiation Queue'!$C$7="No",INDEX(tQueue[IsThisQuarter],106)=1)),1,0)</f>
        <v>0</v>
      </c>
      <c r="C157" t="str">
        <f>IF($B157=0,"",SUMPRODUCT(($B$52:$B$236=1)*(tQueue[PriorityRank]&lt;INDEX(tQueue[PriorityRank],106)))+1)</f>
        <v/>
      </c>
    </row>
    <row r="158" spans="1:3" x14ac:dyDescent="0.35">
      <c r="A158">
        <v>107</v>
      </c>
      <c r="B158">
        <f>IF(AND(OR('Renegotiation Queue'!$C$4="(All)",INDEX(tQueue[BuyerName],107)='Renegotiation Queue'!$C$4),OR('Renegotiation Queue'!$C$5="(All)",INDEX(tQueue[ActionCode],107)='Renegotiation Queue'!$C$5),OR('Renegotiation Queue'!$C$6="(All)",INDEX(tQueue[Category],107)='Renegotiation Queue'!$C$6),OR('Renegotiation Queue'!$C$7="No",INDEX(tQueue[IsThisQuarter],107)=1)),1,0)</f>
        <v>1</v>
      </c>
      <c r="C158">
        <f>IF($B158=0,"",SUMPRODUCT(($B$52:$B$236=1)*(tQueue[PriorityRank]&lt;INDEX(tQueue[PriorityRank],107)))+1)</f>
        <v>43</v>
      </c>
    </row>
    <row r="159" spans="1:3" x14ac:dyDescent="0.35">
      <c r="A159">
        <v>108</v>
      </c>
      <c r="B159">
        <f>IF(AND(OR('Renegotiation Queue'!$C$4="(All)",INDEX(tQueue[BuyerName],108)='Renegotiation Queue'!$C$4),OR('Renegotiation Queue'!$C$5="(All)",INDEX(tQueue[ActionCode],108)='Renegotiation Queue'!$C$5),OR('Renegotiation Queue'!$C$6="(All)",INDEX(tQueue[Category],108)='Renegotiation Queue'!$C$6),OR('Renegotiation Queue'!$C$7="No",INDEX(tQueue[IsThisQuarter],108)=1)),1,0)</f>
        <v>0</v>
      </c>
      <c r="C159" t="str">
        <f>IF($B159=0,"",SUMPRODUCT(($B$52:$B$236=1)*(tQueue[PriorityRank]&lt;INDEX(tQueue[PriorityRank],108)))+1)</f>
        <v/>
      </c>
    </row>
    <row r="160" spans="1:3" x14ac:dyDescent="0.35">
      <c r="A160">
        <v>109</v>
      </c>
      <c r="B160">
        <f>IF(AND(OR('Renegotiation Queue'!$C$4="(All)",INDEX(tQueue[BuyerName],109)='Renegotiation Queue'!$C$4),OR('Renegotiation Queue'!$C$5="(All)",INDEX(tQueue[ActionCode],109)='Renegotiation Queue'!$C$5),OR('Renegotiation Queue'!$C$6="(All)",INDEX(tQueue[Category],109)='Renegotiation Queue'!$C$6),OR('Renegotiation Queue'!$C$7="No",INDEX(tQueue[IsThisQuarter],109)=1)),1,0)</f>
        <v>0</v>
      </c>
      <c r="C160" t="str">
        <f>IF($B160=0,"",SUMPRODUCT(($B$52:$B$236=1)*(tQueue[PriorityRank]&lt;INDEX(tQueue[PriorityRank],109)))+1)</f>
        <v/>
      </c>
    </row>
    <row r="161" spans="1:3" x14ac:dyDescent="0.35">
      <c r="A161">
        <v>110</v>
      </c>
      <c r="B161">
        <f>IF(AND(OR('Renegotiation Queue'!$C$4="(All)",INDEX(tQueue[BuyerName],110)='Renegotiation Queue'!$C$4),OR('Renegotiation Queue'!$C$5="(All)",INDEX(tQueue[ActionCode],110)='Renegotiation Queue'!$C$5),OR('Renegotiation Queue'!$C$6="(All)",INDEX(tQueue[Category],110)='Renegotiation Queue'!$C$6),OR('Renegotiation Queue'!$C$7="No",INDEX(tQueue[IsThisQuarter],110)=1)),1,0)</f>
        <v>0</v>
      </c>
      <c r="C161" t="str">
        <f>IF($B161=0,"",SUMPRODUCT(($B$52:$B$236=1)*(tQueue[PriorityRank]&lt;INDEX(tQueue[PriorityRank],110)))+1)</f>
        <v/>
      </c>
    </row>
    <row r="162" spans="1:3" x14ac:dyDescent="0.35">
      <c r="A162">
        <v>111</v>
      </c>
      <c r="B162">
        <f>IF(AND(OR('Renegotiation Queue'!$C$4="(All)",INDEX(tQueue[BuyerName],111)='Renegotiation Queue'!$C$4),OR('Renegotiation Queue'!$C$5="(All)",INDEX(tQueue[ActionCode],111)='Renegotiation Queue'!$C$5),OR('Renegotiation Queue'!$C$6="(All)",INDEX(tQueue[Category],111)='Renegotiation Queue'!$C$6),OR('Renegotiation Queue'!$C$7="No",INDEX(tQueue[IsThisQuarter],111)=1)),1,0)</f>
        <v>0</v>
      </c>
      <c r="C162" t="str">
        <f>IF($B162=0,"",SUMPRODUCT(($B$52:$B$236=1)*(tQueue[PriorityRank]&lt;INDEX(tQueue[PriorityRank],111)))+1)</f>
        <v/>
      </c>
    </row>
    <row r="163" spans="1:3" x14ac:dyDescent="0.35">
      <c r="A163">
        <v>112</v>
      </c>
      <c r="B163">
        <f>IF(AND(OR('Renegotiation Queue'!$C$4="(All)",INDEX(tQueue[BuyerName],112)='Renegotiation Queue'!$C$4),OR('Renegotiation Queue'!$C$5="(All)",INDEX(tQueue[ActionCode],112)='Renegotiation Queue'!$C$5),OR('Renegotiation Queue'!$C$6="(All)",INDEX(tQueue[Category],112)='Renegotiation Queue'!$C$6),OR('Renegotiation Queue'!$C$7="No",INDEX(tQueue[IsThisQuarter],112)=1)),1,0)</f>
        <v>0</v>
      </c>
      <c r="C163" t="str">
        <f>IF($B163=0,"",SUMPRODUCT(($B$52:$B$236=1)*(tQueue[PriorityRank]&lt;INDEX(tQueue[PriorityRank],112)))+1)</f>
        <v/>
      </c>
    </row>
    <row r="164" spans="1:3" x14ac:dyDescent="0.35">
      <c r="A164">
        <v>113</v>
      </c>
      <c r="B164">
        <f>IF(AND(OR('Renegotiation Queue'!$C$4="(All)",INDEX(tQueue[BuyerName],113)='Renegotiation Queue'!$C$4),OR('Renegotiation Queue'!$C$5="(All)",INDEX(tQueue[ActionCode],113)='Renegotiation Queue'!$C$5),OR('Renegotiation Queue'!$C$6="(All)",INDEX(tQueue[Category],113)='Renegotiation Queue'!$C$6),OR('Renegotiation Queue'!$C$7="No",INDEX(tQueue[IsThisQuarter],113)=1)),1,0)</f>
        <v>0</v>
      </c>
      <c r="C164" t="str">
        <f>IF($B164=0,"",SUMPRODUCT(($B$52:$B$236=1)*(tQueue[PriorityRank]&lt;INDEX(tQueue[PriorityRank],113)))+1)</f>
        <v/>
      </c>
    </row>
    <row r="165" spans="1:3" x14ac:dyDescent="0.35">
      <c r="A165">
        <v>114</v>
      </c>
      <c r="B165">
        <f>IF(AND(OR('Renegotiation Queue'!$C$4="(All)",INDEX(tQueue[BuyerName],114)='Renegotiation Queue'!$C$4),OR('Renegotiation Queue'!$C$5="(All)",INDEX(tQueue[ActionCode],114)='Renegotiation Queue'!$C$5),OR('Renegotiation Queue'!$C$6="(All)",INDEX(tQueue[Category],114)='Renegotiation Queue'!$C$6),OR('Renegotiation Queue'!$C$7="No",INDEX(tQueue[IsThisQuarter],114)=1)),1,0)</f>
        <v>0</v>
      </c>
      <c r="C165" t="str">
        <f>IF($B165=0,"",SUMPRODUCT(($B$52:$B$236=1)*(tQueue[PriorityRank]&lt;INDEX(tQueue[PriorityRank],114)))+1)</f>
        <v/>
      </c>
    </row>
    <row r="166" spans="1:3" x14ac:dyDescent="0.35">
      <c r="A166">
        <v>115</v>
      </c>
      <c r="B166">
        <f>IF(AND(OR('Renegotiation Queue'!$C$4="(All)",INDEX(tQueue[BuyerName],115)='Renegotiation Queue'!$C$4),OR('Renegotiation Queue'!$C$5="(All)",INDEX(tQueue[ActionCode],115)='Renegotiation Queue'!$C$5),OR('Renegotiation Queue'!$C$6="(All)",INDEX(tQueue[Category],115)='Renegotiation Queue'!$C$6),OR('Renegotiation Queue'!$C$7="No",INDEX(tQueue[IsThisQuarter],115)=1)),1,0)</f>
        <v>0</v>
      </c>
      <c r="C166" t="str">
        <f>IF($B166=0,"",SUMPRODUCT(($B$52:$B$236=1)*(tQueue[PriorityRank]&lt;INDEX(tQueue[PriorityRank],115)))+1)</f>
        <v/>
      </c>
    </row>
    <row r="167" spans="1:3" x14ac:dyDescent="0.35">
      <c r="A167">
        <v>116</v>
      </c>
      <c r="B167">
        <f>IF(AND(OR('Renegotiation Queue'!$C$4="(All)",INDEX(tQueue[BuyerName],116)='Renegotiation Queue'!$C$4),OR('Renegotiation Queue'!$C$5="(All)",INDEX(tQueue[ActionCode],116)='Renegotiation Queue'!$C$5),OR('Renegotiation Queue'!$C$6="(All)",INDEX(tQueue[Category],116)='Renegotiation Queue'!$C$6),OR('Renegotiation Queue'!$C$7="No",INDEX(tQueue[IsThisQuarter],116)=1)),1,0)</f>
        <v>0</v>
      </c>
      <c r="C167" t="str">
        <f>IF($B167=0,"",SUMPRODUCT(($B$52:$B$236=1)*(tQueue[PriorityRank]&lt;INDEX(tQueue[PriorityRank],116)))+1)</f>
        <v/>
      </c>
    </row>
    <row r="168" spans="1:3" x14ac:dyDescent="0.35">
      <c r="A168">
        <v>117</v>
      </c>
      <c r="B168">
        <f>IF(AND(OR('Renegotiation Queue'!$C$4="(All)",INDEX(tQueue[BuyerName],117)='Renegotiation Queue'!$C$4),OR('Renegotiation Queue'!$C$5="(All)",INDEX(tQueue[ActionCode],117)='Renegotiation Queue'!$C$5),OR('Renegotiation Queue'!$C$6="(All)",INDEX(tQueue[Category],117)='Renegotiation Queue'!$C$6),OR('Renegotiation Queue'!$C$7="No",INDEX(tQueue[IsThisQuarter],117)=1)),1,0)</f>
        <v>0</v>
      </c>
      <c r="C168" t="str">
        <f>IF($B168=0,"",SUMPRODUCT(($B$52:$B$236=1)*(tQueue[PriorityRank]&lt;INDEX(tQueue[PriorityRank],117)))+1)</f>
        <v/>
      </c>
    </row>
    <row r="169" spans="1:3" x14ac:dyDescent="0.35">
      <c r="A169">
        <v>118</v>
      </c>
      <c r="B169">
        <f>IF(AND(OR('Renegotiation Queue'!$C$4="(All)",INDEX(tQueue[BuyerName],118)='Renegotiation Queue'!$C$4),OR('Renegotiation Queue'!$C$5="(All)",INDEX(tQueue[ActionCode],118)='Renegotiation Queue'!$C$5),OR('Renegotiation Queue'!$C$6="(All)",INDEX(tQueue[Category],118)='Renegotiation Queue'!$C$6),OR('Renegotiation Queue'!$C$7="No",INDEX(tQueue[IsThisQuarter],118)=1)),1,0)</f>
        <v>0</v>
      </c>
      <c r="C169" t="str">
        <f>IF($B169=0,"",SUMPRODUCT(($B$52:$B$236=1)*(tQueue[PriorityRank]&lt;INDEX(tQueue[PriorityRank],118)))+1)</f>
        <v/>
      </c>
    </row>
    <row r="170" spans="1:3" x14ac:dyDescent="0.35">
      <c r="A170">
        <v>119</v>
      </c>
      <c r="B170">
        <f>IF(AND(OR('Renegotiation Queue'!$C$4="(All)",INDEX(tQueue[BuyerName],119)='Renegotiation Queue'!$C$4),OR('Renegotiation Queue'!$C$5="(All)",INDEX(tQueue[ActionCode],119)='Renegotiation Queue'!$C$5),OR('Renegotiation Queue'!$C$6="(All)",INDEX(tQueue[Category],119)='Renegotiation Queue'!$C$6),OR('Renegotiation Queue'!$C$7="No",INDEX(tQueue[IsThisQuarter],119)=1)),1,0)</f>
        <v>0</v>
      </c>
      <c r="C170" t="str">
        <f>IF($B170=0,"",SUMPRODUCT(($B$52:$B$236=1)*(tQueue[PriorityRank]&lt;INDEX(tQueue[PriorityRank],119)))+1)</f>
        <v/>
      </c>
    </row>
    <row r="171" spans="1:3" x14ac:dyDescent="0.35">
      <c r="A171">
        <v>120</v>
      </c>
      <c r="B171">
        <f>IF(AND(OR('Renegotiation Queue'!$C$4="(All)",INDEX(tQueue[BuyerName],120)='Renegotiation Queue'!$C$4),OR('Renegotiation Queue'!$C$5="(All)",INDEX(tQueue[ActionCode],120)='Renegotiation Queue'!$C$5),OR('Renegotiation Queue'!$C$6="(All)",INDEX(tQueue[Category],120)='Renegotiation Queue'!$C$6),OR('Renegotiation Queue'!$C$7="No",INDEX(tQueue[IsThisQuarter],120)=1)),1,0)</f>
        <v>0</v>
      </c>
      <c r="C171" t="str">
        <f>IF($B171=0,"",SUMPRODUCT(($B$52:$B$236=1)*(tQueue[PriorityRank]&lt;INDEX(tQueue[PriorityRank],120)))+1)</f>
        <v/>
      </c>
    </row>
    <row r="172" spans="1:3" x14ac:dyDescent="0.35">
      <c r="A172">
        <v>121</v>
      </c>
      <c r="B172">
        <f>IF(AND(OR('Renegotiation Queue'!$C$4="(All)",INDEX(tQueue[BuyerName],121)='Renegotiation Queue'!$C$4),OR('Renegotiation Queue'!$C$5="(All)",INDEX(tQueue[ActionCode],121)='Renegotiation Queue'!$C$5),OR('Renegotiation Queue'!$C$6="(All)",INDEX(tQueue[Category],121)='Renegotiation Queue'!$C$6),OR('Renegotiation Queue'!$C$7="No",INDEX(tQueue[IsThisQuarter],121)=1)),1,0)</f>
        <v>0</v>
      </c>
      <c r="C172" t="str">
        <f>IF($B172=0,"",SUMPRODUCT(($B$52:$B$236=1)*(tQueue[PriorityRank]&lt;INDEX(tQueue[PriorityRank],121)))+1)</f>
        <v/>
      </c>
    </row>
    <row r="173" spans="1:3" x14ac:dyDescent="0.35">
      <c r="A173">
        <v>122</v>
      </c>
      <c r="B173">
        <f>IF(AND(OR('Renegotiation Queue'!$C$4="(All)",INDEX(tQueue[BuyerName],122)='Renegotiation Queue'!$C$4),OR('Renegotiation Queue'!$C$5="(All)",INDEX(tQueue[ActionCode],122)='Renegotiation Queue'!$C$5),OR('Renegotiation Queue'!$C$6="(All)",INDEX(tQueue[Category],122)='Renegotiation Queue'!$C$6),OR('Renegotiation Queue'!$C$7="No",INDEX(tQueue[IsThisQuarter],122)=1)),1,0)</f>
        <v>0</v>
      </c>
      <c r="C173" t="str">
        <f>IF($B173=0,"",SUMPRODUCT(($B$52:$B$236=1)*(tQueue[PriorityRank]&lt;INDEX(tQueue[PriorityRank],122)))+1)</f>
        <v/>
      </c>
    </row>
    <row r="174" spans="1:3" x14ac:dyDescent="0.35">
      <c r="A174">
        <v>123</v>
      </c>
      <c r="B174">
        <f>IF(AND(OR('Renegotiation Queue'!$C$4="(All)",INDEX(tQueue[BuyerName],123)='Renegotiation Queue'!$C$4),OR('Renegotiation Queue'!$C$5="(All)",INDEX(tQueue[ActionCode],123)='Renegotiation Queue'!$C$5),OR('Renegotiation Queue'!$C$6="(All)",INDEX(tQueue[Category],123)='Renegotiation Queue'!$C$6),OR('Renegotiation Queue'!$C$7="No",INDEX(tQueue[IsThisQuarter],123)=1)),1,0)</f>
        <v>0</v>
      </c>
      <c r="C174" t="str">
        <f>IF($B174=0,"",SUMPRODUCT(($B$52:$B$236=1)*(tQueue[PriorityRank]&lt;INDEX(tQueue[PriorityRank],123)))+1)</f>
        <v/>
      </c>
    </row>
    <row r="175" spans="1:3" x14ac:dyDescent="0.35">
      <c r="A175">
        <v>124</v>
      </c>
      <c r="B175">
        <f>IF(AND(OR('Renegotiation Queue'!$C$4="(All)",INDEX(tQueue[BuyerName],124)='Renegotiation Queue'!$C$4),OR('Renegotiation Queue'!$C$5="(All)",INDEX(tQueue[ActionCode],124)='Renegotiation Queue'!$C$5),OR('Renegotiation Queue'!$C$6="(All)",INDEX(tQueue[Category],124)='Renegotiation Queue'!$C$6),OR('Renegotiation Queue'!$C$7="No",INDEX(tQueue[IsThisQuarter],124)=1)),1,0)</f>
        <v>0</v>
      </c>
      <c r="C175" t="str">
        <f>IF($B175=0,"",SUMPRODUCT(($B$52:$B$236=1)*(tQueue[PriorityRank]&lt;INDEX(tQueue[PriorityRank],124)))+1)</f>
        <v/>
      </c>
    </row>
    <row r="176" spans="1:3" x14ac:dyDescent="0.35">
      <c r="A176">
        <v>125</v>
      </c>
      <c r="B176">
        <f>IF(AND(OR('Renegotiation Queue'!$C$4="(All)",INDEX(tQueue[BuyerName],125)='Renegotiation Queue'!$C$4),OR('Renegotiation Queue'!$C$5="(All)",INDEX(tQueue[ActionCode],125)='Renegotiation Queue'!$C$5),OR('Renegotiation Queue'!$C$6="(All)",INDEX(tQueue[Category],125)='Renegotiation Queue'!$C$6),OR('Renegotiation Queue'!$C$7="No",INDEX(tQueue[IsThisQuarter],125)=1)),1,0)</f>
        <v>0</v>
      </c>
      <c r="C176" t="str">
        <f>IF($B176=0,"",SUMPRODUCT(($B$52:$B$236=1)*(tQueue[PriorityRank]&lt;INDEX(tQueue[PriorityRank],125)))+1)</f>
        <v/>
      </c>
    </row>
    <row r="177" spans="1:3" x14ac:dyDescent="0.35">
      <c r="A177">
        <v>126</v>
      </c>
      <c r="B177">
        <f>IF(AND(OR('Renegotiation Queue'!$C$4="(All)",INDEX(tQueue[BuyerName],126)='Renegotiation Queue'!$C$4),OR('Renegotiation Queue'!$C$5="(All)",INDEX(tQueue[ActionCode],126)='Renegotiation Queue'!$C$5),OR('Renegotiation Queue'!$C$6="(All)",INDEX(tQueue[Category],126)='Renegotiation Queue'!$C$6),OR('Renegotiation Queue'!$C$7="No",INDEX(tQueue[IsThisQuarter],126)=1)),1,0)</f>
        <v>0</v>
      </c>
      <c r="C177" t="str">
        <f>IF($B177=0,"",SUMPRODUCT(($B$52:$B$236=1)*(tQueue[PriorityRank]&lt;INDEX(tQueue[PriorityRank],126)))+1)</f>
        <v/>
      </c>
    </row>
    <row r="178" spans="1:3" x14ac:dyDescent="0.35">
      <c r="A178">
        <v>127</v>
      </c>
      <c r="B178">
        <f>IF(AND(OR('Renegotiation Queue'!$C$4="(All)",INDEX(tQueue[BuyerName],127)='Renegotiation Queue'!$C$4),OR('Renegotiation Queue'!$C$5="(All)",INDEX(tQueue[ActionCode],127)='Renegotiation Queue'!$C$5),OR('Renegotiation Queue'!$C$6="(All)",INDEX(tQueue[Category],127)='Renegotiation Queue'!$C$6),OR('Renegotiation Queue'!$C$7="No",INDEX(tQueue[IsThisQuarter],127)=1)),1,0)</f>
        <v>0</v>
      </c>
      <c r="C178" t="str">
        <f>IF($B178=0,"",SUMPRODUCT(($B$52:$B$236=1)*(tQueue[PriorityRank]&lt;INDEX(tQueue[PriorityRank],127)))+1)</f>
        <v/>
      </c>
    </row>
    <row r="179" spans="1:3" x14ac:dyDescent="0.35">
      <c r="A179">
        <v>128</v>
      </c>
      <c r="B179">
        <f>IF(AND(OR('Renegotiation Queue'!$C$4="(All)",INDEX(tQueue[BuyerName],128)='Renegotiation Queue'!$C$4),OR('Renegotiation Queue'!$C$5="(All)",INDEX(tQueue[ActionCode],128)='Renegotiation Queue'!$C$5),OR('Renegotiation Queue'!$C$6="(All)",INDEX(tQueue[Category],128)='Renegotiation Queue'!$C$6),OR('Renegotiation Queue'!$C$7="No",INDEX(tQueue[IsThisQuarter],128)=1)),1,0)</f>
        <v>0</v>
      </c>
      <c r="C179" t="str">
        <f>IF($B179=0,"",SUMPRODUCT(($B$52:$B$236=1)*(tQueue[PriorityRank]&lt;INDEX(tQueue[PriorityRank],128)))+1)</f>
        <v/>
      </c>
    </row>
    <row r="180" spans="1:3" x14ac:dyDescent="0.35">
      <c r="A180">
        <v>129</v>
      </c>
      <c r="B180">
        <f>IF(AND(OR('Renegotiation Queue'!$C$4="(All)",INDEX(tQueue[BuyerName],129)='Renegotiation Queue'!$C$4),OR('Renegotiation Queue'!$C$5="(All)",INDEX(tQueue[ActionCode],129)='Renegotiation Queue'!$C$5),OR('Renegotiation Queue'!$C$6="(All)",INDEX(tQueue[Category],129)='Renegotiation Queue'!$C$6),OR('Renegotiation Queue'!$C$7="No",INDEX(tQueue[IsThisQuarter],129)=1)),1,0)</f>
        <v>0</v>
      </c>
      <c r="C180" t="str">
        <f>IF($B180=0,"",SUMPRODUCT(($B$52:$B$236=1)*(tQueue[PriorityRank]&lt;INDEX(tQueue[PriorityRank],129)))+1)</f>
        <v/>
      </c>
    </row>
    <row r="181" spans="1:3" x14ac:dyDescent="0.35">
      <c r="A181">
        <v>130</v>
      </c>
      <c r="B181">
        <f>IF(AND(OR('Renegotiation Queue'!$C$4="(All)",INDEX(tQueue[BuyerName],130)='Renegotiation Queue'!$C$4),OR('Renegotiation Queue'!$C$5="(All)",INDEX(tQueue[ActionCode],130)='Renegotiation Queue'!$C$5),OR('Renegotiation Queue'!$C$6="(All)",INDEX(tQueue[Category],130)='Renegotiation Queue'!$C$6),OR('Renegotiation Queue'!$C$7="No",INDEX(tQueue[IsThisQuarter],130)=1)),1,0)</f>
        <v>0</v>
      </c>
      <c r="C181" t="str">
        <f>IF($B181=0,"",SUMPRODUCT(($B$52:$B$236=1)*(tQueue[PriorityRank]&lt;INDEX(tQueue[PriorityRank],130)))+1)</f>
        <v/>
      </c>
    </row>
    <row r="182" spans="1:3" x14ac:dyDescent="0.35">
      <c r="A182">
        <v>131</v>
      </c>
      <c r="B182">
        <f>IF(AND(OR('Renegotiation Queue'!$C$4="(All)",INDEX(tQueue[BuyerName],131)='Renegotiation Queue'!$C$4),OR('Renegotiation Queue'!$C$5="(All)",INDEX(tQueue[ActionCode],131)='Renegotiation Queue'!$C$5),OR('Renegotiation Queue'!$C$6="(All)",INDEX(tQueue[Category],131)='Renegotiation Queue'!$C$6),OR('Renegotiation Queue'!$C$7="No",INDEX(tQueue[IsThisQuarter],131)=1)),1,0)</f>
        <v>0</v>
      </c>
      <c r="C182" t="str">
        <f>IF($B182=0,"",SUMPRODUCT(($B$52:$B$236=1)*(tQueue[PriorityRank]&lt;INDEX(tQueue[PriorityRank],131)))+1)</f>
        <v/>
      </c>
    </row>
    <row r="183" spans="1:3" x14ac:dyDescent="0.35">
      <c r="A183">
        <v>132</v>
      </c>
      <c r="B183">
        <f>IF(AND(OR('Renegotiation Queue'!$C$4="(All)",INDEX(tQueue[BuyerName],132)='Renegotiation Queue'!$C$4),OR('Renegotiation Queue'!$C$5="(All)",INDEX(tQueue[ActionCode],132)='Renegotiation Queue'!$C$5),OR('Renegotiation Queue'!$C$6="(All)",INDEX(tQueue[Category],132)='Renegotiation Queue'!$C$6),OR('Renegotiation Queue'!$C$7="No",INDEX(tQueue[IsThisQuarter],132)=1)),1,0)</f>
        <v>0</v>
      </c>
      <c r="C183" t="str">
        <f>IF($B183=0,"",SUMPRODUCT(($B$52:$B$236=1)*(tQueue[PriorityRank]&lt;INDEX(tQueue[PriorityRank],132)))+1)</f>
        <v/>
      </c>
    </row>
    <row r="184" spans="1:3" x14ac:dyDescent="0.35">
      <c r="A184">
        <v>133</v>
      </c>
      <c r="B184">
        <f>IF(AND(OR('Renegotiation Queue'!$C$4="(All)",INDEX(tQueue[BuyerName],133)='Renegotiation Queue'!$C$4),OR('Renegotiation Queue'!$C$5="(All)",INDEX(tQueue[ActionCode],133)='Renegotiation Queue'!$C$5),OR('Renegotiation Queue'!$C$6="(All)",INDEX(tQueue[Category],133)='Renegotiation Queue'!$C$6),OR('Renegotiation Queue'!$C$7="No",INDEX(tQueue[IsThisQuarter],133)=1)),1,0)</f>
        <v>0</v>
      </c>
      <c r="C184" t="str">
        <f>IF($B184=0,"",SUMPRODUCT(($B$52:$B$236=1)*(tQueue[PriorityRank]&lt;INDEX(tQueue[PriorityRank],133)))+1)</f>
        <v/>
      </c>
    </row>
    <row r="185" spans="1:3" x14ac:dyDescent="0.35">
      <c r="A185">
        <v>134</v>
      </c>
      <c r="B185">
        <f>IF(AND(OR('Renegotiation Queue'!$C$4="(All)",INDEX(tQueue[BuyerName],134)='Renegotiation Queue'!$C$4),OR('Renegotiation Queue'!$C$5="(All)",INDEX(tQueue[ActionCode],134)='Renegotiation Queue'!$C$5),OR('Renegotiation Queue'!$C$6="(All)",INDEX(tQueue[Category],134)='Renegotiation Queue'!$C$6),OR('Renegotiation Queue'!$C$7="No",INDEX(tQueue[IsThisQuarter],134)=1)),1,0)</f>
        <v>0</v>
      </c>
      <c r="C185" t="str">
        <f>IF($B185=0,"",SUMPRODUCT(($B$52:$B$236=1)*(tQueue[PriorityRank]&lt;INDEX(tQueue[PriorityRank],134)))+1)</f>
        <v/>
      </c>
    </row>
    <row r="186" spans="1:3" x14ac:dyDescent="0.35">
      <c r="A186">
        <v>135</v>
      </c>
      <c r="B186">
        <f>IF(AND(OR('Renegotiation Queue'!$C$4="(All)",INDEX(tQueue[BuyerName],135)='Renegotiation Queue'!$C$4),OR('Renegotiation Queue'!$C$5="(All)",INDEX(tQueue[ActionCode],135)='Renegotiation Queue'!$C$5),OR('Renegotiation Queue'!$C$6="(All)",INDEX(tQueue[Category],135)='Renegotiation Queue'!$C$6),OR('Renegotiation Queue'!$C$7="No",INDEX(tQueue[IsThisQuarter],135)=1)),1,0)</f>
        <v>0</v>
      </c>
      <c r="C186" t="str">
        <f>IF($B186=0,"",SUMPRODUCT(($B$52:$B$236=1)*(tQueue[PriorityRank]&lt;INDEX(tQueue[PriorityRank],135)))+1)</f>
        <v/>
      </c>
    </row>
    <row r="187" spans="1:3" x14ac:dyDescent="0.35">
      <c r="A187">
        <v>136</v>
      </c>
      <c r="B187">
        <f>IF(AND(OR('Renegotiation Queue'!$C$4="(All)",INDEX(tQueue[BuyerName],136)='Renegotiation Queue'!$C$4),OR('Renegotiation Queue'!$C$5="(All)",INDEX(tQueue[ActionCode],136)='Renegotiation Queue'!$C$5),OR('Renegotiation Queue'!$C$6="(All)",INDEX(tQueue[Category],136)='Renegotiation Queue'!$C$6),OR('Renegotiation Queue'!$C$7="No",INDEX(tQueue[IsThisQuarter],136)=1)),1,0)</f>
        <v>0</v>
      </c>
      <c r="C187" t="str">
        <f>IF($B187=0,"",SUMPRODUCT(($B$52:$B$236=1)*(tQueue[PriorityRank]&lt;INDEX(tQueue[PriorityRank],136)))+1)</f>
        <v/>
      </c>
    </row>
    <row r="188" spans="1:3" x14ac:dyDescent="0.35">
      <c r="A188">
        <v>137</v>
      </c>
      <c r="B188">
        <f>IF(AND(OR('Renegotiation Queue'!$C$4="(All)",INDEX(tQueue[BuyerName],137)='Renegotiation Queue'!$C$4),OR('Renegotiation Queue'!$C$5="(All)",INDEX(tQueue[ActionCode],137)='Renegotiation Queue'!$C$5),OR('Renegotiation Queue'!$C$6="(All)",INDEX(tQueue[Category],137)='Renegotiation Queue'!$C$6),OR('Renegotiation Queue'!$C$7="No",INDEX(tQueue[IsThisQuarter],137)=1)),1,0)</f>
        <v>0</v>
      </c>
      <c r="C188" t="str">
        <f>IF($B188=0,"",SUMPRODUCT(($B$52:$B$236=1)*(tQueue[PriorityRank]&lt;INDEX(tQueue[PriorityRank],137)))+1)</f>
        <v/>
      </c>
    </row>
    <row r="189" spans="1:3" x14ac:dyDescent="0.35">
      <c r="A189">
        <v>138</v>
      </c>
      <c r="B189">
        <f>IF(AND(OR('Renegotiation Queue'!$C$4="(All)",INDEX(tQueue[BuyerName],138)='Renegotiation Queue'!$C$4),OR('Renegotiation Queue'!$C$5="(All)",INDEX(tQueue[ActionCode],138)='Renegotiation Queue'!$C$5),OR('Renegotiation Queue'!$C$6="(All)",INDEX(tQueue[Category],138)='Renegotiation Queue'!$C$6),OR('Renegotiation Queue'!$C$7="No",INDEX(tQueue[IsThisQuarter],138)=1)),1,0)</f>
        <v>0</v>
      </c>
      <c r="C189" t="str">
        <f>IF($B189=0,"",SUMPRODUCT(($B$52:$B$236=1)*(tQueue[PriorityRank]&lt;INDEX(tQueue[PriorityRank],138)))+1)</f>
        <v/>
      </c>
    </row>
    <row r="190" spans="1:3" x14ac:dyDescent="0.35">
      <c r="A190">
        <v>139</v>
      </c>
      <c r="B190">
        <f>IF(AND(OR('Renegotiation Queue'!$C$4="(All)",INDEX(tQueue[BuyerName],139)='Renegotiation Queue'!$C$4),OR('Renegotiation Queue'!$C$5="(All)",INDEX(tQueue[ActionCode],139)='Renegotiation Queue'!$C$5),OR('Renegotiation Queue'!$C$6="(All)",INDEX(tQueue[Category],139)='Renegotiation Queue'!$C$6),OR('Renegotiation Queue'!$C$7="No",INDEX(tQueue[IsThisQuarter],139)=1)),1,0)</f>
        <v>0</v>
      </c>
      <c r="C190" t="str">
        <f>IF($B190=0,"",SUMPRODUCT(($B$52:$B$236=1)*(tQueue[PriorityRank]&lt;INDEX(tQueue[PriorityRank],139)))+1)</f>
        <v/>
      </c>
    </row>
    <row r="191" spans="1:3" x14ac:dyDescent="0.35">
      <c r="A191">
        <v>140</v>
      </c>
      <c r="B191">
        <f>IF(AND(OR('Renegotiation Queue'!$C$4="(All)",INDEX(tQueue[BuyerName],140)='Renegotiation Queue'!$C$4),OR('Renegotiation Queue'!$C$5="(All)",INDEX(tQueue[ActionCode],140)='Renegotiation Queue'!$C$5),OR('Renegotiation Queue'!$C$6="(All)",INDEX(tQueue[Category],140)='Renegotiation Queue'!$C$6),OR('Renegotiation Queue'!$C$7="No",INDEX(tQueue[IsThisQuarter],140)=1)),1,0)</f>
        <v>0</v>
      </c>
      <c r="C191" t="str">
        <f>IF($B191=0,"",SUMPRODUCT(($B$52:$B$236=1)*(tQueue[PriorityRank]&lt;INDEX(tQueue[PriorityRank],140)))+1)</f>
        <v/>
      </c>
    </row>
    <row r="192" spans="1:3" x14ac:dyDescent="0.35">
      <c r="A192">
        <v>141</v>
      </c>
      <c r="B192">
        <f>IF(AND(OR('Renegotiation Queue'!$C$4="(All)",INDEX(tQueue[BuyerName],141)='Renegotiation Queue'!$C$4),OR('Renegotiation Queue'!$C$5="(All)",INDEX(tQueue[ActionCode],141)='Renegotiation Queue'!$C$5),OR('Renegotiation Queue'!$C$6="(All)",INDEX(tQueue[Category],141)='Renegotiation Queue'!$C$6),OR('Renegotiation Queue'!$C$7="No",INDEX(tQueue[IsThisQuarter],141)=1)),1,0)</f>
        <v>0</v>
      </c>
      <c r="C192" t="str">
        <f>IF($B192=0,"",SUMPRODUCT(($B$52:$B$236=1)*(tQueue[PriorityRank]&lt;INDEX(tQueue[PriorityRank],141)))+1)</f>
        <v/>
      </c>
    </row>
    <row r="193" spans="1:3" x14ac:dyDescent="0.35">
      <c r="A193">
        <v>142</v>
      </c>
      <c r="B193">
        <f>IF(AND(OR('Renegotiation Queue'!$C$4="(All)",INDEX(tQueue[BuyerName],142)='Renegotiation Queue'!$C$4),OR('Renegotiation Queue'!$C$5="(All)",INDEX(tQueue[ActionCode],142)='Renegotiation Queue'!$C$5),OR('Renegotiation Queue'!$C$6="(All)",INDEX(tQueue[Category],142)='Renegotiation Queue'!$C$6),OR('Renegotiation Queue'!$C$7="No",INDEX(tQueue[IsThisQuarter],142)=1)),1,0)</f>
        <v>0</v>
      </c>
      <c r="C193" t="str">
        <f>IF($B193=0,"",SUMPRODUCT(($B$52:$B$236=1)*(tQueue[PriorityRank]&lt;INDEX(tQueue[PriorityRank],142)))+1)</f>
        <v/>
      </c>
    </row>
    <row r="194" spans="1:3" x14ac:dyDescent="0.35">
      <c r="A194">
        <v>143</v>
      </c>
      <c r="B194">
        <f>IF(AND(OR('Renegotiation Queue'!$C$4="(All)",INDEX(tQueue[BuyerName],143)='Renegotiation Queue'!$C$4),OR('Renegotiation Queue'!$C$5="(All)",INDEX(tQueue[ActionCode],143)='Renegotiation Queue'!$C$5),OR('Renegotiation Queue'!$C$6="(All)",INDEX(tQueue[Category],143)='Renegotiation Queue'!$C$6),OR('Renegotiation Queue'!$C$7="No",INDEX(tQueue[IsThisQuarter],143)=1)),1,0)</f>
        <v>0</v>
      </c>
      <c r="C194" t="str">
        <f>IF($B194=0,"",SUMPRODUCT(($B$52:$B$236=1)*(tQueue[PriorityRank]&lt;INDEX(tQueue[PriorityRank],143)))+1)</f>
        <v/>
      </c>
    </row>
    <row r="195" spans="1:3" x14ac:dyDescent="0.35">
      <c r="A195">
        <v>144</v>
      </c>
      <c r="B195">
        <f>IF(AND(OR('Renegotiation Queue'!$C$4="(All)",INDEX(tQueue[BuyerName],144)='Renegotiation Queue'!$C$4),OR('Renegotiation Queue'!$C$5="(All)",INDEX(tQueue[ActionCode],144)='Renegotiation Queue'!$C$5),OR('Renegotiation Queue'!$C$6="(All)",INDEX(tQueue[Category],144)='Renegotiation Queue'!$C$6),OR('Renegotiation Queue'!$C$7="No",INDEX(tQueue[IsThisQuarter],144)=1)),1,0)</f>
        <v>0</v>
      </c>
      <c r="C195" t="str">
        <f>IF($B195=0,"",SUMPRODUCT(($B$52:$B$236=1)*(tQueue[PriorityRank]&lt;INDEX(tQueue[PriorityRank],144)))+1)</f>
        <v/>
      </c>
    </row>
    <row r="196" spans="1:3" x14ac:dyDescent="0.35">
      <c r="A196">
        <v>145</v>
      </c>
      <c r="B196">
        <f>IF(AND(OR('Renegotiation Queue'!$C$4="(All)",INDEX(tQueue[BuyerName],145)='Renegotiation Queue'!$C$4),OR('Renegotiation Queue'!$C$5="(All)",INDEX(tQueue[ActionCode],145)='Renegotiation Queue'!$C$5),OR('Renegotiation Queue'!$C$6="(All)",INDEX(tQueue[Category],145)='Renegotiation Queue'!$C$6),OR('Renegotiation Queue'!$C$7="No",INDEX(tQueue[IsThisQuarter],145)=1)),1,0)</f>
        <v>0</v>
      </c>
      <c r="C196" t="str">
        <f>IF($B196=0,"",SUMPRODUCT(($B$52:$B$236=1)*(tQueue[PriorityRank]&lt;INDEX(tQueue[PriorityRank],145)))+1)</f>
        <v/>
      </c>
    </row>
    <row r="197" spans="1:3" x14ac:dyDescent="0.35">
      <c r="A197">
        <v>146</v>
      </c>
      <c r="B197">
        <f>IF(AND(OR('Renegotiation Queue'!$C$4="(All)",INDEX(tQueue[BuyerName],146)='Renegotiation Queue'!$C$4),OR('Renegotiation Queue'!$C$5="(All)",INDEX(tQueue[ActionCode],146)='Renegotiation Queue'!$C$5),OR('Renegotiation Queue'!$C$6="(All)",INDEX(tQueue[Category],146)='Renegotiation Queue'!$C$6),OR('Renegotiation Queue'!$C$7="No",INDEX(tQueue[IsThisQuarter],146)=1)),1,0)</f>
        <v>0</v>
      </c>
      <c r="C197" t="str">
        <f>IF($B197=0,"",SUMPRODUCT(($B$52:$B$236=1)*(tQueue[PriorityRank]&lt;INDEX(tQueue[PriorityRank],146)))+1)</f>
        <v/>
      </c>
    </row>
    <row r="198" spans="1:3" x14ac:dyDescent="0.35">
      <c r="A198">
        <v>147</v>
      </c>
      <c r="B198">
        <f>IF(AND(OR('Renegotiation Queue'!$C$4="(All)",INDEX(tQueue[BuyerName],147)='Renegotiation Queue'!$C$4),OR('Renegotiation Queue'!$C$5="(All)",INDEX(tQueue[ActionCode],147)='Renegotiation Queue'!$C$5),OR('Renegotiation Queue'!$C$6="(All)",INDEX(tQueue[Category],147)='Renegotiation Queue'!$C$6),OR('Renegotiation Queue'!$C$7="No",INDEX(tQueue[IsThisQuarter],147)=1)),1,0)</f>
        <v>0</v>
      </c>
      <c r="C198" t="str">
        <f>IF($B198=0,"",SUMPRODUCT(($B$52:$B$236=1)*(tQueue[PriorityRank]&lt;INDEX(tQueue[PriorityRank],147)))+1)</f>
        <v/>
      </c>
    </row>
    <row r="199" spans="1:3" x14ac:dyDescent="0.35">
      <c r="A199">
        <v>148</v>
      </c>
      <c r="B199">
        <f>IF(AND(OR('Renegotiation Queue'!$C$4="(All)",INDEX(tQueue[BuyerName],148)='Renegotiation Queue'!$C$4),OR('Renegotiation Queue'!$C$5="(All)",INDEX(tQueue[ActionCode],148)='Renegotiation Queue'!$C$5),OR('Renegotiation Queue'!$C$6="(All)",INDEX(tQueue[Category],148)='Renegotiation Queue'!$C$6),OR('Renegotiation Queue'!$C$7="No",INDEX(tQueue[IsThisQuarter],148)=1)),1,0)</f>
        <v>0</v>
      </c>
      <c r="C199" t="str">
        <f>IF($B199=0,"",SUMPRODUCT(($B$52:$B$236=1)*(tQueue[PriorityRank]&lt;INDEX(tQueue[PriorityRank],148)))+1)</f>
        <v/>
      </c>
    </row>
    <row r="200" spans="1:3" x14ac:dyDescent="0.35">
      <c r="A200">
        <v>149</v>
      </c>
      <c r="B200">
        <f>IF(AND(OR('Renegotiation Queue'!$C$4="(All)",INDEX(tQueue[BuyerName],149)='Renegotiation Queue'!$C$4),OR('Renegotiation Queue'!$C$5="(All)",INDEX(tQueue[ActionCode],149)='Renegotiation Queue'!$C$5),OR('Renegotiation Queue'!$C$6="(All)",INDEX(tQueue[Category],149)='Renegotiation Queue'!$C$6),OR('Renegotiation Queue'!$C$7="No",INDEX(tQueue[IsThisQuarter],149)=1)),1,0)</f>
        <v>0</v>
      </c>
      <c r="C200" t="str">
        <f>IF($B200=0,"",SUMPRODUCT(($B$52:$B$236=1)*(tQueue[PriorityRank]&lt;INDEX(tQueue[PriorityRank],149)))+1)</f>
        <v/>
      </c>
    </row>
    <row r="201" spans="1:3" x14ac:dyDescent="0.35">
      <c r="A201">
        <v>150</v>
      </c>
      <c r="B201">
        <f>IF(AND(OR('Renegotiation Queue'!$C$4="(All)",INDEX(tQueue[BuyerName],150)='Renegotiation Queue'!$C$4),OR('Renegotiation Queue'!$C$5="(All)",INDEX(tQueue[ActionCode],150)='Renegotiation Queue'!$C$5),OR('Renegotiation Queue'!$C$6="(All)",INDEX(tQueue[Category],150)='Renegotiation Queue'!$C$6),OR('Renegotiation Queue'!$C$7="No",INDEX(tQueue[IsThisQuarter],150)=1)),1,0)</f>
        <v>0</v>
      </c>
      <c r="C201" t="str">
        <f>IF($B201=0,"",SUMPRODUCT(($B$52:$B$236=1)*(tQueue[PriorityRank]&lt;INDEX(tQueue[PriorityRank],150)))+1)</f>
        <v/>
      </c>
    </row>
    <row r="202" spans="1:3" x14ac:dyDescent="0.35">
      <c r="A202">
        <v>151</v>
      </c>
      <c r="B202">
        <f>IF(AND(OR('Renegotiation Queue'!$C$4="(All)",INDEX(tQueue[BuyerName],151)='Renegotiation Queue'!$C$4),OR('Renegotiation Queue'!$C$5="(All)",INDEX(tQueue[ActionCode],151)='Renegotiation Queue'!$C$5),OR('Renegotiation Queue'!$C$6="(All)",INDEX(tQueue[Category],151)='Renegotiation Queue'!$C$6),OR('Renegotiation Queue'!$C$7="No",INDEX(tQueue[IsThisQuarter],151)=1)),1,0)</f>
        <v>0</v>
      </c>
      <c r="C202" t="str">
        <f>IF($B202=0,"",SUMPRODUCT(($B$52:$B$236=1)*(tQueue[PriorityRank]&lt;INDEX(tQueue[PriorityRank],151)))+1)</f>
        <v/>
      </c>
    </row>
    <row r="203" spans="1:3" x14ac:dyDescent="0.35">
      <c r="A203">
        <v>152</v>
      </c>
      <c r="B203">
        <f>IF(AND(OR('Renegotiation Queue'!$C$4="(All)",INDEX(tQueue[BuyerName],152)='Renegotiation Queue'!$C$4),OR('Renegotiation Queue'!$C$5="(All)",INDEX(tQueue[ActionCode],152)='Renegotiation Queue'!$C$5),OR('Renegotiation Queue'!$C$6="(All)",INDEX(tQueue[Category],152)='Renegotiation Queue'!$C$6),OR('Renegotiation Queue'!$C$7="No",INDEX(tQueue[IsThisQuarter],152)=1)),1,0)</f>
        <v>0</v>
      </c>
      <c r="C203" t="str">
        <f>IF($B203=0,"",SUMPRODUCT(($B$52:$B$236=1)*(tQueue[PriorityRank]&lt;INDEX(tQueue[PriorityRank],152)))+1)</f>
        <v/>
      </c>
    </row>
    <row r="204" spans="1:3" x14ac:dyDescent="0.35">
      <c r="A204">
        <v>153</v>
      </c>
      <c r="B204">
        <f>IF(AND(OR('Renegotiation Queue'!$C$4="(All)",INDEX(tQueue[BuyerName],153)='Renegotiation Queue'!$C$4),OR('Renegotiation Queue'!$C$5="(All)",INDEX(tQueue[ActionCode],153)='Renegotiation Queue'!$C$5),OR('Renegotiation Queue'!$C$6="(All)",INDEX(tQueue[Category],153)='Renegotiation Queue'!$C$6),OR('Renegotiation Queue'!$C$7="No",INDEX(tQueue[IsThisQuarter],153)=1)),1,0)</f>
        <v>0</v>
      </c>
      <c r="C204" t="str">
        <f>IF($B204=0,"",SUMPRODUCT(($B$52:$B$236=1)*(tQueue[PriorityRank]&lt;INDEX(tQueue[PriorityRank],153)))+1)</f>
        <v/>
      </c>
    </row>
    <row r="205" spans="1:3" x14ac:dyDescent="0.35">
      <c r="A205">
        <v>154</v>
      </c>
      <c r="B205">
        <f>IF(AND(OR('Renegotiation Queue'!$C$4="(All)",INDEX(tQueue[BuyerName],154)='Renegotiation Queue'!$C$4),OR('Renegotiation Queue'!$C$5="(All)",INDEX(tQueue[ActionCode],154)='Renegotiation Queue'!$C$5),OR('Renegotiation Queue'!$C$6="(All)",INDEX(tQueue[Category],154)='Renegotiation Queue'!$C$6),OR('Renegotiation Queue'!$C$7="No",INDEX(tQueue[IsThisQuarter],154)=1)),1,0)</f>
        <v>0</v>
      </c>
      <c r="C205" t="str">
        <f>IF($B205=0,"",SUMPRODUCT(($B$52:$B$236=1)*(tQueue[PriorityRank]&lt;INDEX(tQueue[PriorityRank],154)))+1)</f>
        <v/>
      </c>
    </row>
    <row r="206" spans="1:3" x14ac:dyDescent="0.35">
      <c r="A206">
        <v>155</v>
      </c>
      <c r="B206">
        <f>IF(AND(OR('Renegotiation Queue'!$C$4="(All)",INDEX(tQueue[BuyerName],155)='Renegotiation Queue'!$C$4),OR('Renegotiation Queue'!$C$5="(All)",INDEX(tQueue[ActionCode],155)='Renegotiation Queue'!$C$5),OR('Renegotiation Queue'!$C$6="(All)",INDEX(tQueue[Category],155)='Renegotiation Queue'!$C$6),OR('Renegotiation Queue'!$C$7="No",INDEX(tQueue[IsThisQuarter],155)=1)),1,0)</f>
        <v>0</v>
      </c>
      <c r="C206" t="str">
        <f>IF($B206=0,"",SUMPRODUCT(($B$52:$B$236=1)*(tQueue[PriorityRank]&lt;INDEX(tQueue[PriorityRank],155)))+1)</f>
        <v/>
      </c>
    </row>
    <row r="207" spans="1:3" x14ac:dyDescent="0.35">
      <c r="A207">
        <v>156</v>
      </c>
      <c r="B207">
        <f>IF(AND(OR('Renegotiation Queue'!$C$4="(All)",INDEX(tQueue[BuyerName],156)='Renegotiation Queue'!$C$4),OR('Renegotiation Queue'!$C$5="(All)",INDEX(tQueue[ActionCode],156)='Renegotiation Queue'!$C$5),OR('Renegotiation Queue'!$C$6="(All)",INDEX(tQueue[Category],156)='Renegotiation Queue'!$C$6),OR('Renegotiation Queue'!$C$7="No",INDEX(tQueue[IsThisQuarter],156)=1)),1,0)</f>
        <v>0</v>
      </c>
      <c r="C207" t="str">
        <f>IF($B207=0,"",SUMPRODUCT(($B$52:$B$236=1)*(tQueue[PriorityRank]&lt;INDEX(tQueue[PriorityRank],156)))+1)</f>
        <v/>
      </c>
    </row>
    <row r="208" spans="1:3" x14ac:dyDescent="0.35">
      <c r="A208">
        <v>157</v>
      </c>
      <c r="B208">
        <f>IF(AND(OR('Renegotiation Queue'!$C$4="(All)",INDEX(tQueue[BuyerName],157)='Renegotiation Queue'!$C$4),OR('Renegotiation Queue'!$C$5="(All)",INDEX(tQueue[ActionCode],157)='Renegotiation Queue'!$C$5),OR('Renegotiation Queue'!$C$6="(All)",INDEX(tQueue[Category],157)='Renegotiation Queue'!$C$6),OR('Renegotiation Queue'!$C$7="No",INDEX(tQueue[IsThisQuarter],157)=1)),1,0)</f>
        <v>0</v>
      </c>
      <c r="C208" t="str">
        <f>IF($B208=0,"",SUMPRODUCT(($B$52:$B$236=1)*(tQueue[PriorityRank]&lt;INDEX(tQueue[PriorityRank],157)))+1)</f>
        <v/>
      </c>
    </row>
    <row r="209" spans="1:3" x14ac:dyDescent="0.35">
      <c r="A209">
        <v>158</v>
      </c>
      <c r="B209">
        <f>IF(AND(OR('Renegotiation Queue'!$C$4="(All)",INDEX(tQueue[BuyerName],158)='Renegotiation Queue'!$C$4),OR('Renegotiation Queue'!$C$5="(All)",INDEX(tQueue[ActionCode],158)='Renegotiation Queue'!$C$5),OR('Renegotiation Queue'!$C$6="(All)",INDEX(tQueue[Category],158)='Renegotiation Queue'!$C$6),OR('Renegotiation Queue'!$C$7="No",INDEX(tQueue[IsThisQuarter],158)=1)),1,0)</f>
        <v>0</v>
      </c>
      <c r="C209" t="str">
        <f>IF($B209=0,"",SUMPRODUCT(($B$52:$B$236=1)*(tQueue[PriorityRank]&lt;INDEX(tQueue[PriorityRank],158)))+1)</f>
        <v/>
      </c>
    </row>
    <row r="210" spans="1:3" x14ac:dyDescent="0.35">
      <c r="A210">
        <v>159</v>
      </c>
      <c r="B210">
        <f>IF(AND(OR('Renegotiation Queue'!$C$4="(All)",INDEX(tQueue[BuyerName],159)='Renegotiation Queue'!$C$4),OR('Renegotiation Queue'!$C$5="(All)",INDEX(tQueue[ActionCode],159)='Renegotiation Queue'!$C$5),OR('Renegotiation Queue'!$C$6="(All)",INDEX(tQueue[Category],159)='Renegotiation Queue'!$C$6),OR('Renegotiation Queue'!$C$7="No",INDEX(tQueue[IsThisQuarter],159)=1)),1,0)</f>
        <v>0</v>
      </c>
      <c r="C210" t="str">
        <f>IF($B210=0,"",SUMPRODUCT(($B$52:$B$236=1)*(tQueue[PriorityRank]&lt;INDEX(tQueue[PriorityRank],159)))+1)</f>
        <v/>
      </c>
    </row>
    <row r="211" spans="1:3" x14ac:dyDescent="0.35">
      <c r="A211">
        <v>160</v>
      </c>
      <c r="B211">
        <f>IF(AND(OR('Renegotiation Queue'!$C$4="(All)",INDEX(tQueue[BuyerName],160)='Renegotiation Queue'!$C$4),OR('Renegotiation Queue'!$C$5="(All)",INDEX(tQueue[ActionCode],160)='Renegotiation Queue'!$C$5),OR('Renegotiation Queue'!$C$6="(All)",INDEX(tQueue[Category],160)='Renegotiation Queue'!$C$6),OR('Renegotiation Queue'!$C$7="No",INDEX(tQueue[IsThisQuarter],160)=1)),1,0)</f>
        <v>0</v>
      </c>
      <c r="C211" t="str">
        <f>IF($B211=0,"",SUMPRODUCT(($B$52:$B$236=1)*(tQueue[PriorityRank]&lt;INDEX(tQueue[PriorityRank],160)))+1)</f>
        <v/>
      </c>
    </row>
    <row r="212" spans="1:3" x14ac:dyDescent="0.35">
      <c r="A212">
        <v>161</v>
      </c>
      <c r="B212">
        <f>IF(AND(OR('Renegotiation Queue'!$C$4="(All)",INDEX(tQueue[BuyerName],161)='Renegotiation Queue'!$C$4),OR('Renegotiation Queue'!$C$5="(All)",INDEX(tQueue[ActionCode],161)='Renegotiation Queue'!$C$5),OR('Renegotiation Queue'!$C$6="(All)",INDEX(tQueue[Category],161)='Renegotiation Queue'!$C$6),OR('Renegotiation Queue'!$C$7="No",INDEX(tQueue[IsThisQuarter],161)=1)),1,0)</f>
        <v>0</v>
      </c>
      <c r="C212" t="str">
        <f>IF($B212=0,"",SUMPRODUCT(($B$52:$B$236=1)*(tQueue[PriorityRank]&lt;INDEX(tQueue[PriorityRank],161)))+1)</f>
        <v/>
      </c>
    </row>
    <row r="213" spans="1:3" x14ac:dyDescent="0.35">
      <c r="A213">
        <v>162</v>
      </c>
      <c r="B213">
        <f>IF(AND(OR('Renegotiation Queue'!$C$4="(All)",INDEX(tQueue[BuyerName],162)='Renegotiation Queue'!$C$4),OR('Renegotiation Queue'!$C$5="(All)",INDEX(tQueue[ActionCode],162)='Renegotiation Queue'!$C$5),OR('Renegotiation Queue'!$C$6="(All)",INDEX(tQueue[Category],162)='Renegotiation Queue'!$C$6),OR('Renegotiation Queue'!$C$7="No",INDEX(tQueue[IsThisQuarter],162)=1)),1,0)</f>
        <v>0</v>
      </c>
      <c r="C213" t="str">
        <f>IF($B213=0,"",SUMPRODUCT(($B$52:$B$236=1)*(tQueue[PriorityRank]&lt;INDEX(tQueue[PriorityRank],162)))+1)</f>
        <v/>
      </c>
    </row>
    <row r="214" spans="1:3" x14ac:dyDescent="0.35">
      <c r="A214">
        <v>163</v>
      </c>
      <c r="B214">
        <f>IF(AND(OR('Renegotiation Queue'!$C$4="(All)",INDEX(tQueue[BuyerName],163)='Renegotiation Queue'!$C$4),OR('Renegotiation Queue'!$C$5="(All)",INDEX(tQueue[ActionCode],163)='Renegotiation Queue'!$C$5),OR('Renegotiation Queue'!$C$6="(All)",INDEX(tQueue[Category],163)='Renegotiation Queue'!$C$6),OR('Renegotiation Queue'!$C$7="No",INDEX(tQueue[IsThisQuarter],163)=1)),1,0)</f>
        <v>0</v>
      </c>
      <c r="C214" t="str">
        <f>IF($B214=0,"",SUMPRODUCT(($B$52:$B$236=1)*(tQueue[PriorityRank]&lt;INDEX(tQueue[PriorityRank],163)))+1)</f>
        <v/>
      </c>
    </row>
    <row r="215" spans="1:3" x14ac:dyDescent="0.35">
      <c r="A215">
        <v>164</v>
      </c>
      <c r="B215">
        <f>IF(AND(OR('Renegotiation Queue'!$C$4="(All)",INDEX(tQueue[BuyerName],164)='Renegotiation Queue'!$C$4),OR('Renegotiation Queue'!$C$5="(All)",INDEX(tQueue[ActionCode],164)='Renegotiation Queue'!$C$5),OR('Renegotiation Queue'!$C$6="(All)",INDEX(tQueue[Category],164)='Renegotiation Queue'!$C$6),OR('Renegotiation Queue'!$C$7="No",INDEX(tQueue[IsThisQuarter],164)=1)),1,0)</f>
        <v>0</v>
      </c>
      <c r="C215" t="str">
        <f>IF($B215=0,"",SUMPRODUCT(($B$52:$B$236=1)*(tQueue[PriorityRank]&lt;INDEX(tQueue[PriorityRank],164)))+1)</f>
        <v/>
      </c>
    </row>
    <row r="216" spans="1:3" x14ac:dyDescent="0.35">
      <c r="A216">
        <v>165</v>
      </c>
      <c r="B216">
        <f>IF(AND(OR('Renegotiation Queue'!$C$4="(All)",INDEX(tQueue[BuyerName],165)='Renegotiation Queue'!$C$4),OR('Renegotiation Queue'!$C$5="(All)",INDEX(tQueue[ActionCode],165)='Renegotiation Queue'!$C$5),OR('Renegotiation Queue'!$C$6="(All)",INDEX(tQueue[Category],165)='Renegotiation Queue'!$C$6),OR('Renegotiation Queue'!$C$7="No",INDEX(tQueue[IsThisQuarter],165)=1)),1,0)</f>
        <v>0</v>
      </c>
      <c r="C216" t="str">
        <f>IF($B216=0,"",SUMPRODUCT(($B$52:$B$236=1)*(tQueue[PriorityRank]&lt;INDEX(tQueue[PriorityRank],165)))+1)</f>
        <v/>
      </c>
    </row>
    <row r="217" spans="1:3" x14ac:dyDescent="0.35">
      <c r="A217">
        <v>166</v>
      </c>
      <c r="B217">
        <f>IF(AND(OR('Renegotiation Queue'!$C$4="(All)",INDEX(tQueue[BuyerName],166)='Renegotiation Queue'!$C$4),OR('Renegotiation Queue'!$C$5="(All)",INDEX(tQueue[ActionCode],166)='Renegotiation Queue'!$C$5),OR('Renegotiation Queue'!$C$6="(All)",INDEX(tQueue[Category],166)='Renegotiation Queue'!$C$6),OR('Renegotiation Queue'!$C$7="No",INDEX(tQueue[IsThisQuarter],166)=1)),1,0)</f>
        <v>0</v>
      </c>
      <c r="C217" t="str">
        <f>IF($B217=0,"",SUMPRODUCT(($B$52:$B$236=1)*(tQueue[PriorityRank]&lt;INDEX(tQueue[PriorityRank],166)))+1)</f>
        <v/>
      </c>
    </row>
    <row r="218" spans="1:3" x14ac:dyDescent="0.35">
      <c r="A218">
        <v>167</v>
      </c>
      <c r="B218">
        <f>IF(AND(OR('Renegotiation Queue'!$C$4="(All)",INDEX(tQueue[BuyerName],167)='Renegotiation Queue'!$C$4),OR('Renegotiation Queue'!$C$5="(All)",INDEX(tQueue[ActionCode],167)='Renegotiation Queue'!$C$5),OR('Renegotiation Queue'!$C$6="(All)",INDEX(tQueue[Category],167)='Renegotiation Queue'!$C$6),OR('Renegotiation Queue'!$C$7="No",INDEX(tQueue[IsThisQuarter],167)=1)),1,0)</f>
        <v>0</v>
      </c>
      <c r="C218" t="str">
        <f>IF($B218=0,"",SUMPRODUCT(($B$52:$B$236=1)*(tQueue[PriorityRank]&lt;INDEX(tQueue[PriorityRank],167)))+1)</f>
        <v/>
      </c>
    </row>
    <row r="219" spans="1:3" x14ac:dyDescent="0.35">
      <c r="A219">
        <v>168</v>
      </c>
      <c r="B219">
        <f>IF(AND(OR('Renegotiation Queue'!$C$4="(All)",INDEX(tQueue[BuyerName],168)='Renegotiation Queue'!$C$4),OR('Renegotiation Queue'!$C$5="(All)",INDEX(tQueue[ActionCode],168)='Renegotiation Queue'!$C$5),OR('Renegotiation Queue'!$C$6="(All)",INDEX(tQueue[Category],168)='Renegotiation Queue'!$C$6),OR('Renegotiation Queue'!$C$7="No",INDEX(tQueue[IsThisQuarter],168)=1)),1,0)</f>
        <v>0</v>
      </c>
      <c r="C219" t="str">
        <f>IF($B219=0,"",SUMPRODUCT(($B$52:$B$236=1)*(tQueue[PriorityRank]&lt;INDEX(tQueue[PriorityRank],168)))+1)</f>
        <v/>
      </c>
    </row>
    <row r="220" spans="1:3" x14ac:dyDescent="0.35">
      <c r="A220">
        <v>169</v>
      </c>
      <c r="B220">
        <f>IF(AND(OR('Renegotiation Queue'!$C$4="(All)",INDEX(tQueue[BuyerName],169)='Renegotiation Queue'!$C$4),OR('Renegotiation Queue'!$C$5="(All)",INDEX(tQueue[ActionCode],169)='Renegotiation Queue'!$C$5),OR('Renegotiation Queue'!$C$6="(All)",INDEX(tQueue[Category],169)='Renegotiation Queue'!$C$6),OR('Renegotiation Queue'!$C$7="No",INDEX(tQueue[IsThisQuarter],169)=1)),1,0)</f>
        <v>0</v>
      </c>
      <c r="C220" t="str">
        <f>IF($B220=0,"",SUMPRODUCT(($B$52:$B$236=1)*(tQueue[PriorityRank]&lt;INDEX(tQueue[PriorityRank],169)))+1)</f>
        <v/>
      </c>
    </row>
    <row r="221" spans="1:3" x14ac:dyDescent="0.35">
      <c r="A221">
        <v>170</v>
      </c>
      <c r="B221">
        <f>IF(AND(OR('Renegotiation Queue'!$C$4="(All)",INDEX(tQueue[BuyerName],170)='Renegotiation Queue'!$C$4),OR('Renegotiation Queue'!$C$5="(All)",INDEX(tQueue[ActionCode],170)='Renegotiation Queue'!$C$5),OR('Renegotiation Queue'!$C$6="(All)",INDEX(tQueue[Category],170)='Renegotiation Queue'!$C$6),OR('Renegotiation Queue'!$C$7="No",INDEX(tQueue[IsThisQuarter],170)=1)),1,0)</f>
        <v>0</v>
      </c>
      <c r="C221" t="str">
        <f>IF($B221=0,"",SUMPRODUCT(($B$52:$B$236=1)*(tQueue[PriorityRank]&lt;INDEX(tQueue[PriorityRank],170)))+1)</f>
        <v/>
      </c>
    </row>
    <row r="222" spans="1:3" x14ac:dyDescent="0.35">
      <c r="A222">
        <v>171</v>
      </c>
      <c r="B222">
        <f>IF(AND(OR('Renegotiation Queue'!$C$4="(All)",INDEX(tQueue[BuyerName],171)='Renegotiation Queue'!$C$4),OR('Renegotiation Queue'!$C$5="(All)",INDEX(tQueue[ActionCode],171)='Renegotiation Queue'!$C$5),OR('Renegotiation Queue'!$C$6="(All)",INDEX(tQueue[Category],171)='Renegotiation Queue'!$C$6),OR('Renegotiation Queue'!$C$7="No",INDEX(tQueue[IsThisQuarter],171)=1)),1,0)</f>
        <v>0</v>
      </c>
      <c r="C222" t="str">
        <f>IF($B222=0,"",SUMPRODUCT(($B$52:$B$236=1)*(tQueue[PriorityRank]&lt;INDEX(tQueue[PriorityRank],171)))+1)</f>
        <v/>
      </c>
    </row>
    <row r="223" spans="1:3" x14ac:dyDescent="0.35">
      <c r="A223">
        <v>172</v>
      </c>
      <c r="B223">
        <f>IF(AND(OR('Renegotiation Queue'!$C$4="(All)",INDEX(tQueue[BuyerName],172)='Renegotiation Queue'!$C$4),OR('Renegotiation Queue'!$C$5="(All)",INDEX(tQueue[ActionCode],172)='Renegotiation Queue'!$C$5),OR('Renegotiation Queue'!$C$6="(All)",INDEX(tQueue[Category],172)='Renegotiation Queue'!$C$6),OR('Renegotiation Queue'!$C$7="No",INDEX(tQueue[IsThisQuarter],172)=1)),1,0)</f>
        <v>0</v>
      </c>
      <c r="C223" t="str">
        <f>IF($B223=0,"",SUMPRODUCT(($B$52:$B$236=1)*(tQueue[PriorityRank]&lt;INDEX(tQueue[PriorityRank],172)))+1)</f>
        <v/>
      </c>
    </row>
    <row r="224" spans="1:3" x14ac:dyDescent="0.35">
      <c r="A224">
        <v>173</v>
      </c>
      <c r="B224">
        <f>IF(AND(OR('Renegotiation Queue'!$C$4="(All)",INDEX(tQueue[BuyerName],173)='Renegotiation Queue'!$C$4),OR('Renegotiation Queue'!$C$5="(All)",INDEX(tQueue[ActionCode],173)='Renegotiation Queue'!$C$5),OR('Renegotiation Queue'!$C$6="(All)",INDEX(tQueue[Category],173)='Renegotiation Queue'!$C$6),OR('Renegotiation Queue'!$C$7="No",INDEX(tQueue[IsThisQuarter],173)=1)),1,0)</f>
        <v>0</v>
      </c>
      <c r="C224" t="str">
        <f>IF($B224=0,"",SUMPRODUCT(($B$52:$B$236=1)*(tQueue[PriorityRank]&lt;INDEX(tQueue[PriorityRank],173)))+1)</f>
        <v/>
      </c>
    </row>
    <row r="225" spans="1:3" x14ac:dyDescent="0.35">
      <c r="A225">
        <v>174</v>
      </c>
      <c r="B225">
        <f>IF(AND(OR('Renegotiation Queue'!$C$4="(All)",INDEX(tQueue[BuyerName],174)='Renegotiation Queue'!$C$4),OR('Renegotiation Queue'!$C$5="(All)",INDEX(tQueue[ActionCode],174)='Renegotiation Queue'!$C$5),OR('Renegotiation Queue'!$C$6="(All)",INDEX(tQueue[Category],174)='Renegotiation Queue'!$C$6),OR('Renegotiation Queue'!$C$7="No",INDEX(tQueue[IsThisQuarter],174)=1)),1,0)</f>
        <v>0</v>
      </c>
      <c r="C225" t="str">
        <f>IF($B225=0,"",SUMPRODUCT(($B$52:$B$236=1)*(tQueue[PriorityRank]&lt;INDEX(tQueue[PriorityRank],174)))+1)</f>
        <v/>
      </c>
    </row>
    <row r="226" spans="1:3" x14ac:dyDescent="0.35">
      <c r="A226">
        <v>175</v>
      </c>
      <c r="B226">
        <f>IF(AND(OR('Renegotiation Queue'!$C$4="(All)",INDEX(tQueue[BuyerName],175)='Renegotiation Queue'!$C$4),OR('Renegotiation Queue'!$C$5="(All)",INDEX(tQueue[ActionCode],175)='Renegotiation Queue'!$C$5),OR('Renegotiation Queue'!$C$6="(All)",INDEX(tQueue[Category],175)='Renegotiation Queue'!$C$6),OR('Renegotiation Queue'!$C$7="No",INDEX(tQueue[IsThisQuarter],175)=1)),1,0)</f>
        <v>0</v>
      </c>
      <c r="C226" t="str">
        <f>IF($B226=0,"",SUMPRODUCT(($B$52:$B$236=1)*(tQueue[PriorityRank]&lt;INDEX(tQueue[PriorityRank],175)))+1)</f>
        <v/>
      </c>
    </row>
    <row r="227" spans="1:3" x14ac:dyDescent="0.35">
      <c r="A227">
        <v>176</v>
      </c>
      <c r="B227">
        <f>IF(AND(OR('Renegotiation Queue'!$C$4="(All)",INDEX(tQueue[BuyerName],176)='Renegotiation Queue'!$C$4),OR('Renegotiation Queue'!$C$5="(All)",INDEX(tQueue[ActionCode],176)='Renegotiation Queue'!$C$5),OR('Renegotiation Queue'!$C$6="(All)",INDEX(tQueue[Category],176)='Renegotiation Queue'!$C$6),OR('Renegotiation Queue'!$C$7="No",INDEX(tQueue[IsThisQuarter],176)=1)),1,0)</f>
        <v>0</v>
      </c>
      <c r="C227" t="str">
        <f>IF($B227=0,"",SUMPRODUCT(($B$52:$B$236=1)*(tQueue[PriorityRank]&lt;INDEX(tQueue[PriorityRank],176)))+1)</f>
        <v/>
      </c>
    </row>
    <row r="228" spans="1:3" x14ac:dyDescent="0.35">
      <c r="A228">
        <v>177</v>
      </c>
      <c r="B228">
        <f>IF(AND(OR('Renegotiation Queue'!$C$4="(All)",INDEX(tQueue[BuyerName],177)='Renegotiation Queue'!$C$4),OR('Renegotiation Queue'!$C$5="(All)",INDEX(tQueue[ActionCode],177)='Renegotiation Queue'!$C$5),OR('Renegotiation Queue'!$C$6="(All)",INDEX(tQueue[Category],177)='Renegotiation Queue'!$C$6),OR('Renegotiation Queue'!$C$7="No",INDEX(tQueue[IsThisQuarter],177)=1)),1,0)</f>
        <v>0</v>
      </c>
      <c r="C228" t="str">
        <f>IF($B228=0,"",SUMPRODUCT(($B$52:$B$236=1)*(tQueue[PriorityRank]&lt;INDEX(tQueue[PriorityRank],177)))+1)</f>
        <v/>
      </c>
    </row>
    <row r="229" spans="1:3" x14ac:dyDescent="0.35">
      <c r="A229">
        <v>178</v>
      </c>
      <c r="B229">
        <f>IF(AND(OR('Renegotiation Queue'!$C$4="(All)",INDEX(tQueue[BuyerName],178)='Renegotiation Queue'!$C$4),OR('Renegotiation Queue'!$C$5="(All)",INDEX(tQueue[ActionCode],178)='Renegotiation Queue'!$C$5),OR('Renegotiation Queue'!$C$6="(All)",INDEX(tQueue[Category],178)='Renegotiation Queue'!$C$6),OR('Renegotiation Queue'!$C$7="No",INDEX(tQueue[IsThisQuarter],178)=1)),1,0)</f>
        <v>0</v>
      </c>
      <c r="C229" t="str">
        <f>IF($B229=0,"",SUMPRODUCT(($B$52:$B$236=1)*(tQueue[PriorityRank]&lt;INDEX(tQueue[PriorityRank],178)))+1)</f>
        <v/>
      </c>
    </row>
    <row r="230" spans="1:3" x14ac:dyDescent="0.35">
      <c r="A230">
        <v>179</v>
      </c>
      <c r="B230">
        <f>IF(AND(OR('Renegotiation Queue'!$C$4="(All)",INDEX(tQueue[BuyerName],179)='Renegotiation Queue'!$C$4),OR('Renegotiation Queue'!$C$5="(All)",INDEX(tQueue[ActionCode],179)='Renegotiation Queue'!$C$5),OR('Renegotiation Queue'!$C$6="(All)",INDEX(tQueue[Category],179)='Renegotiation Queue'!$C$6),OR('Renegotiation Queue'!$C$7="No",INDEX(tQueue[IsThisQuarter],179)=1)),1,0)</f>
        <v>0</v>
      </c>
      <c r="C230" t="str">
        <f>IF($B230=0,"",SUMPRODUCT(($B$52:$B$236=1)*(tQueue[PriorityRank]&lt;INDEX(tQueue[PriorityRank],179)))+1)</f>
        <v/>
      </c>
    </row>
    <row r="231" spans="1:3" x14ac:dyDescent="0.35">
      <c r="A231">
        <v>180</v>
      </c>
      <c r="B231">
        <f>IF(AND(OR('Renegotiation Queue'!$C$4="(All)",INDEX(tQueue[BuyerName],180)='Renegotiation Queue'!$C$4),OR('Renegotiation Queue'!$C$5="(All)",INDEX(tQueue[ActionCode],180)='Renegotiation Queue'!$C$5),OR('Renegotiation Queue'!$C$6="(All)",INDEX(tQueue[Category],180)='Renegotiation Queue'!$C$6),OR('Renegotiation Queue'!$C$7="No",INDEX(tQueue[IsThisQuarter],180)=1)),1,0)</f>
        <v>0</v>
      </c>
      <c r="C231" t="str">
        <f>IF($B231=0,"",SUMPRODUCT(($B$52:$B$236=1)*(tQueue[PriorityRank]&lt;INDEX(tQueue[PriorityRank],180)))+1)</f>
        <v/>
      </c>
    </row>
    <row r="232" spans="1:3" x14ac:dyDescent="0.35">
      <c r="A232">
        <v>181</v>
      </c>
      <c r="B232">
        <f>IF(AND(OR('Renegotiation Queue'!$C$4="(All)",INDEX(tQueue[BuyerName],181)='Renegotiation Queue'!$C$4),OR('Renegotiation Queue'!$C$5="(All)",INDEX(tQueue[ActionCode],181)='Renegotiation Queue'!$C$5),OR('Renegotiation Queue'!$C$6="(All)",INDEX(tQueue[Category],181)='Renegotiation Queue'!$C$6),OR('Renegotiation Queue'!$C$7="No",INDEX(tQueue[IsThisQuarter],181)=1)),1,0)</f>
        <v>0</v>
      </c>
      <c r="C232" t="str">
        <f>IF($B232=0,"",SUMPRODUCT(($B$52:$B$236=1)*(tQueue[PriorityRank]&lt;INDEX(tQueue[PriorityRank],181)))+1)</f>
        <v/>
      </c>
    </row>
    <row r="233" spans="1:3" x14ac:dyDescent="0.35">
      <c r="A233">
        <v>182</v>
      </c>
      <c r="B233">
        <f>IF(AND(OR('Renegotiation Queue'!$C$4="(All)",INDEX(tQueue[BuyerName],182)='Renegotiation Queue'!$C$4),OR('Renegotiation Queue'!$C$5="(All)",INDEX(tQueue[ActionCode],182)='Renegotiation Queue'!$C$5),OR('Renegotiation Queue'!$C$6="(All)",INDEX(tQueue[Category],182)='Renegotiation Queue'!$C$6),OR('Renegotiation Queue'!$C$7="No",INDEX(tQueue[IsThisQuarter],182)=1)),1,0)</f>
        <v>0</v>
      </c>
      <c r="C233" t="str">
        <f>IF($B233=0,"",SUMPRODUCT(($B$52:$B$236=1)*(tQueue[PriorityRank]&lt;INDEX(tQueue[PriorityRank],182)))+1)</f>
        <v/>
      </c>
    </row>
    <row r="234" spans="1:3" x14ac:dyDescent="0.35">
      <c r="A234">
        <v>183</v>
      </c>
      <c r="B234">
        <f>IF(AND(OR('Renegotiation Queue'!$C$4="(All)",INDEX(tQueue[BuyerName],183)='Renegotiation Queue'!$C$4),OR('Renegotiation Queue'!$C$5="(All)",INDEX(tQueue[ActionCode],183)='Renegotiation Queue'!$C$5),OR('Renegotiation Queue'!$C$6="(All)",INDEX(tQueue[Category],183)='Renegotiation Queue'!$C$6),OR('Renegotiation Queue'!$C$7="No",INDEX(tQueue[IsThisQuarter],183)=1)),1,0)</f>
        <v>0</v>
      </c>
      <c r="C234" t="str">
        <f>IF($B234=0,"",SUMPRODUCT(($B$52:$B$236=1)*(tQueue[PriorityRank]&lt;INDEX(tQueue[PriorityRank],183)))+1)</f>
        <v/>
      </c>
    </row>
    <row r="235" spans="1:3" x14ac:dyDescent="0.35">
      <c r="A235">
        <v>184</v>
      </c>
      <c r="B235">
        <f>IF(AND(OR('Renegotiation Queue'!$C$4="(All)",INDEX(tQueue[BuyerName],184)='Renegotiation Queue'!$C$4),OR('Renegotiation Queue'!$C$5="(All)",INDEX(tQueue[ActionCode],184)='Renegotiation Queue'!$C$5),OR('Renegotiation Queue'!$C$6="(All)",INDEX(tQueue[Category],184)='Renegotiation Queue'!$C$6),OR('Renegotiation Queue'!$C$7="No",INDEX(tQueue[IsThisQuarter],184)=1)),1,0)</f>
        <v>0</v>
      </c>
      <c r="C235" t="str">
        <f>IF($B235=0,"",SUMPRODUCT(($B$52:$B$236=1)*(tQueue[PriorityRank]&lt;INDEX(tQueue[PriorityRank],184)))+1)</f>
        <v/>
      </c>
    </row>
    <row r="236" spans="1:3" x14ac:dyDescent="0.35">
      <c r="A236">
        <v>185</v>
      </c>
      <c r="B236">
        <f>IF(AND(OR('Renegotiation Queue'!$C$4="(All)",INDEX(tQueue[BuyerName],185)='Renegotiation Queue'!$C$4),OR('Renegotiation Queue'!$C$5="(All)",INDEX(tQueue[ActionCode],185)='Renegotiation Queue'!$C$5),OR('Renegotiation Queue'!$C$6="(All)",INDEX(tQueue[Category],185)='Renegotiation Queue'!$C$6),OR('Renegotiation Queue'!$C$7="No",INDEX(tQueue[IsThisQuarter],185)=1)),1,0)</f>
        <v>0</v>
      </c>
      <c r="C236" t="str">
        <f>IF($B236=0,"",SUMPRODUCT(($B$52:$B$236=1)*(tQueue[PriorityRank]&lt;INDEX(tQueue[PriorityRank],185)))+1)</f>
        <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44D0-16BD-44EB-8B88-46DEC3FF8BB5}">
  <dimension ref="A1:C15"/>
  <sheetViews>
    <sheetView workbookViewId="0"/>
  </sheetViews>
  <sheetFormatPr defaultRowHeight="14.5" x14ac:dyDescent="0.35"/>
  <cols>
    <col min="1" max="1" width="24.6328125" customWidth="1"/>
    <col min="2" max="2" width="46.6328125" customWidth="1"/>
    <col min="3" max="3" width="84.6328125" customWidth="1"/>
  </cols>
  <sheetData>
    <row r="1" spans="1:3" ht="21" x14ac:dyDescent="0.5">
      <c r="A1" s="1" t="s">
        <v>0</v>
      </c>
    </row>
    <row r="2" spans="1:3" x14ac:dyDescent="0.35">
      <c r="A2" s="2" t="s">
        <v>1</v>
      </c>
    </row>
    <row r="4" spans="1:3" x14ac:dyDescent="0.35">
      <c r="A4" s="4" t="s">
        <v>2</v>
      </c>
      <c r="B4" s="4" t="s">
        <v>3</v>
      </c>
      <c r="C4" s="4" t="s">
        <v>4</v>
      </c>
    </row>
    <row r="5" spans="1:3" x14ac:dyDescent="0.35">
      <c r="A5" t="s">
        <v>5</v>
      </c>
      <c r="B5" s="6">
        <f>DATE(2025,12,31)</f>
        <v>46022</v>
      </c>
      <c r="C5" t="s">
        <v>6</v>
      </c>
    </row>
    <row r="6" spans="1:3" x14ac:dyDescent="0.35">
      <c r="A6" t="s">
        <v>7</v>
      </c>
      <c r="B6" s="8" t="str">
        <f ca="1">IF(OR(CELL("filename")="",LEFT(CELL("filename"),4)="http"),"Set this cell to the full path of the erp_extracts folder, then Data &gt; Refresh All",LEFT(CELL("filename"),FIND("[",CELL("filename"))-1)&amp;"..\erp_extracts")</f>
        <v>Set this cell to the full path of the erp_extracts folder, then Data &gt; Refresh All</v>
      </c>
      <c r="C6" t="s">
        <v>8</v>
      </c>
    </row>
    <row r="7" spans="1:3" x14ac:dyDescent="0.35">
      <c r="A7" t="s">
        <v>9</v>
      </c>
      <c r="B7" s="8">
        <v>8</v>
      </c>
      <c r="C7" t="s">
        <v>10</v>
      </c>
    </row>
    <row r="8" spans="1:3" x14ac:dyDescent="0.35">
      <c r="A8" t="s">
        <v>11</v>
      </c>
      <c r="B8" s="8">
        <v>25</v>
      </c>
      <c r="C8" t="s">
        <v>12</v>
      </c>
    </row>
    <row r="9" spans="1:3" x14ac:dyDescent="0.35">
      <c r="A9" t="s">
        <v>13</v>
      </c>
      <c r="B9" s="8">
        <v>100000</v>
      </c>
      <c r="C9" t="s">
        <v>14</v>
      </c>
    </row>
    <row r="12" spans="1:3" x14ac:dyDescent="0.35">
      <c r="A12" s="9" t="s">
        <v>15</v>
      </c>
    </row>
    <row r="13" spans="1:3" x14ac:dyDescent="0.35">
      <c r="A13" s="11" t="s">
        <v>16</v>
      </c>
      <c r="B13" s="11"/>
      <c r="C13" s="11"/>
    </row>
    <row r="14" spans="1:3" x14ac:dyDescent="0.35">
      <c r="A14" s="11"/>
      <c r="B14" s="11"/>
      <c r="C14" s="11"/>
    </row>
    <row r="15" spans="1:3" x14ac:dyDescent="0.35">
      <c r="A15" s="11"/>
      <c r="B15" s="11"/>
      <c r="C15" s="11"/>
    </row>
  </sheetData>
  <mergeCells count="1">
    <mergeCell ref="A13:C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B5C3B-B9F0-434B-8BBB-562926ADB5B4}">
  <dimension ref="A1:AR6328"/>
  <sheetViews>
    <sheetView workbookViewId="0"/>
  </sheetViews>
  <sheetFormatPr defaultRowHeight="14.5" x14ac:dyDescent="0.35"/>
  <cols>
    <col min="1" max="1" width="12.1796875" bestFit="1" customWidth="1"/>
    <col min="2" max="2" width="13.1796875" bestFit="1" customWidth="1"/>
    <col min="3" max="3" width="28.36328125" bestFit="1" customWidth="1"/>
    <col min="4" max="4" width="13.90625" bestFit="1" customWidth="1"/>
    <col min="5" max="5" width="11.36328125" bestFit="1" customWidth="1"/>
    <col min="6" max="6" width="23.1796875" bestFit="1" customWidth="1"/>
    <col min="7" max="7" width="20.36328125" bestFit="1" customWidth="1"/>
    <col min="8" max="8" width="15.6328125" bestFit="1" customWidth="1"/>
    <col min="9" max="9" width="10.81640625" bestFit="1" customWidth="1"/>
    <col min="10" max="10" width="27.6328125" bestFit="1" customWidth="1"/>
    <col min="11" max="11" width="13.54296875" bestFit="1" customWidth="1"/>
    <col min="12" max="12" width="12.08984375" bestFit="1" customWidth="1"/>
    <col min="13" max="13" width="23.90625" bestFit="1" customWidth="1"/>
    <col min="14" max="14" width="9.6328125" bestFit="1" customWidth="1"/>
    <col min="15" max="15" width="15.90625" bestFit="1" customWidth="1"/>
    <col min="16" max="16" width="18.81640625" bestFit="1" customWidth="1"/>
    <col min="17" max="17" width="11.6328125" bestFit="1" customWidth="1"/>
    <col min="18" max="18" width="14.90625" bestFit="1" customWidth="1"/>
    <col min="19" max="19" width="11.453125" bestFit="1" customWidth="1"/>
    <col min="20" max="20" width="16.81640625" bestFit="1" customWidth="1"/>
    <col min="21" max="21" width="10.54296875" bestFit="1" customWidth="1"/>
    <col min="22" max="22" width="10.90625" bestFit="1" customWidth="1"/>
    <col min="23" max="23" width="15.54296875" bestFit="1" customWidth="1"/>
    <col min="24" max="24" width="13.36328125" bestFit="1" customWidth="1"/>
    <col min="25" max="25" width="12.90625" bestFit="1" customWidth="1"/>
    <col min="26" max="26" width="15.26953125" bestFit="1" customWidth="1"/>
    <col min="27" max="27" width="13.08984375" bestFit="1" customWidth="1"/>
    <col min="28" max="28" width="14.36328125" bestFit="1" customWidth="1"/>
    <col min="29" max="29" width="20.453125" bestFit="1" customWidth="1"/>
    <col min="30" max="30" width="19.453125" bestFit="1" customWidth="1"/>
    <col min="31" max="31" width="14.1796875" bestFit="1" customWidth="1"/>
    <col min="32" max="32" width="12.90625" bestFit="1" customWidth="1"/>
    <col min="33" max="33" width="20.453125" bestFit="1" customWidth="1"/>
    <col min="34" max="34" width="13.6328125" bestFit="1" customWidth="1"/>
    <col min="35" max="35" width="13.81640625" bestFit="1" customWidth="1"/>
    <col min="36" max="36" width="13.36328125" bestFit="1" customWidth="1"/>
    <col min="37" max="37" width="10.453125" bestFit="1" customWidth="1"/>
    <col min="38" max="38" width="12.26953125" bestFit="1" customWidth="1"/>
    <col min="39" max="39" width="19.7265625" bestFit="1" customWidth="1"/>
    <col min="40" max="40" width="21.26953125" bestFit="1" customWidth="1"/>
    <col min="41" max="41" width="15.36328125" bestFit="1" customWidth="1"/>
    <col min="42" max="42" width="17" bestFit="1" customWidth="1"/>
    <col min="43" max="43" width="10.7265625" bestFit="1" customWidth="1"/>
    <col min="44" max="44" width="11" bestFit="1" customWidth="1"/>
  </cols>
  <sheetData>
    <row r="1" spans="1:44" s="3" customFormat="1" x14ac:dyDescent="0.35">
      <c r="A1" s="3" t="s">
        <v>17</v>
      </c>
      <c r="B1" s="3" t="s">
        <v>18</v>
      </c>
      <c r="C1" s="3" t="s">
        <v>19</v>
      </c>
      <c r="D1" s="3" t="s">
        <v>20</v>
      </c>
      <c r="E1" s="3" t="s">
        <v>21</v>
      </c>
      <c r="F1" s="3" t="s">
        <v>22</v>
      </c>
      <c r="G1" s="3" t="s">
        <v>23</v>
      </c>
      <c r="H1" s="3" t="s">
        <v>24</v>
      </c>
      <c r="I1" s="3" t="s">
        <v>25</v>
      </c>
      <c r="J1" s="3" t="s">
        <v>26</v>
      </c>
      <c r="K1" s="3" t="s">
        <v>27</v>
      </c>
      <c r="L1" s="3" t="s">
        <v>28</v>
      </c>
      <c r="M1" s="3" t="s">
        <v>29</v>
      </c>
      <c r="N1" s="3" t="s">
        <v>30</v>
      </c>
      <c r="O1" s="3" t="s">
        <v>31</v>
      </c>
      <c r="P1" s="3" t="s">
        <v>32</v>
      </c>
      <c r="Q1" s="3" t="s">
        <v>33</v>
      </c>
      <c r="R1" s="3" t="s">
        <v>34</v>
      </c>
      <c r="S1" s="3" t="s">
        <v>35</v>
      </c>
      <c r="T1" s="3" t="s">
        <v>36</v>
      </c>
      <c r="U1" s="3" t="s">
        <v>37</v>
      </c>
      <c r="V1" s="3" t="s">
        <v>38</v>
      </c>
      <c r="W1" s="3" t="s">
        <v>39</v>
      </c>
      <c r="X1" s="3" t="s">
        <v>40</v>
      </c>
      <c r="Y1" s="3" t="s">
        <v>41</v>
      </c>
      <c r="Z1" s="3" t="s">
        <v>42</v>
      </c>
      <c r="AA1" s="3" t="s">
        <v>43</v>
      </c>
      <c r="AB1" s="3" t="s">
        <v>44</v>
      </c>
      <c r="AC1" s="3" t="s">
        <v>45</v>
      </c>
      <c r="AD1" s="3" t="s">
        <v>46</v>
      </c>
      <c r="AE1" s="3" t="s">
        <v>47</v>
      </c>
      <c r="AF1" s="3" t="s">
        <v>48</v>
      </c>
      <c r="AG1" s="3" t="s">
        <v>49</v>
      </c>
      <c r="AH1" s="3" t="s">
        <v>50</v>
      </c>
      <c r="AI1" s="3" t="s">
        <v>51</v>
      </c>
      <c r="AJ1" s="3" t="s">
        <v>52</v>
      </c>
      <c r="AK1" s="3" t="s">
        <v>53</v>
      </c>
      <c r="AL1" s="3" t="s">
        <v>54</v>
      </c>
      <c r="AM1" s="3" t="s">
        <v>55</v>
      </c>
      <c r="AN1" s="3" t="s">
        <v>56</v>
      </c>
      <c r="AO1" s="3" t="s">
        <v>57</v>
      </c>
      <c r="AP1" s="3" t="s">
        <v>58</v>
      </c>
      <c r="AQ1" s="3" t="s">
        <v>59</v>
      </c>
      <c r="AR1" s="3" t="s">
        <v>60</v>
      </c>
    </row>
    <row r="2" spans="1:44" x14ac:dyDescent="0.35">
      <c r="A2" s="12" t="s">
        <v>61</v>
      </c>
      <c r="B2" s="12" t="s">
        <v>62</v>
      </c>
      <c r="C2" s="12" t="s">
        <v>63</v>
      </c>
      <c r="D2" s="12" t="s">
        <v>64</v>
      </c>
      <c r="E2" s="12" t="s">
        <v>65</v>
      </c>
      <c r="F2">
        <v>1</v>
      </c>
      <c r="G2">
        <v>2</v>
      </c>
      <c r="H2">
        <v>1</v>
      </c>
      <c r="I2" s="12" t="s">
        <v>66</v>
      </c>
      <c r="J2" s="12" t="s">
        <v>67</v>
      </c>
      <c r="K2" s="12" t="s">
        <v>68</v>
      </c>
      <c r="L2" s="12" t="s">
        <v>69</v>
      </c>
      <c r="M2">
        <v>17.66</v>
      </c>
      <c r="N2" s="12" t="s">
        <v>70</v>
      </c>
      <c r="O2" s="12" t="s">
        <v>71</v>
      </c>
      <c r="P2" s="12" t="s">
        <v>72</v>
      </c>
      <c r="Q2" s="13">
        <v>44935</v>
      </c>
      <c r="R2" s="13">
        <v>44961</v>
      </c>
      <c r="S2">
        <v>2023</v>
      </c>
      <c r="T2" s="12" t="s">
        <v>73</v>
      </c>
      <c r="U2">
        <v>396</v>
      </c>
      <c r="V2">
        <v>24.687000000000001</v>
      </c>
      <c r="W2">
        <v>135.81</v>
      </c>
      <c r="X2">
        <v>0</v>
      </c>
      <c r="Y2">
        <v>0</v>
      </c>
      <c r="Z2">
        <v>9776.0499999999993</v>
      </c>
      <c r="AA2">
        <v>9911.86</v>
      </c>
      <c r="AB2" s="12" t="s">
        <v>74</v>
      </c>
      <c r="AC2">
        <v>24.687000000000001</v>
      </c>
      <c r="AD2">
        <v>1</v>
      </c>
      <c r="AE2">
        <v>1</v>
      </c>
      <c r="AF2">
        <v>0</v>
      </c>
      <c r="AG2">
        <v>9776.0499999999993</v>
      </c>
      <c r="AH2">
        <v>396</v>
      </c>
      <c r="AI2">
        <v>394</v>
      </c>
      <c r="AJ2">
        <v>2</v>
      </c>
      <c r="AK2">
        <v>1</v>
      </c>
      <c r="AL2">
        <v>1</v>
      </c>
      <c r="AM2">
        <v>99.49</v>
      </c>
      <c r="AN2">
        <v>25.157</v>
      </c>
      <c r="AO2">
        <v>49.37</v>
      </c>
      <c r="AP2" s="13">
        <v>44967</v>
      </c>
      <c r="AQ2">
        <v>6</v>
      </c>
      <c r="AR2">
        <v>0</v>
      </c>
    </row>
    <row r="3" spans="1:44" x14ac:dyDescent="0.35">
      <c r="A3" s="12" t="s">
        <v>75</v>
      </c>
      <c r="B3" s="12" t="s">
        <v>76</v>
      </c>
      <c r="C3" s="12" t="s">
        <v>77</v>
      </c>
      <c r="D3" s="12" t="s">
        <v>78</v>
      </c>
      <c r="E3" s="12" t="s">
        <v>65</v>
      </c>
      <c r="F3">
        <v>2</v>
      </c>
      <c r="G3">
        <v>4</v>
      </c>
      <c r="H3">
        <v>0</v>
      </c>
      <c r="I3" s="12" t="s">
        <v>79</v>
      </c>
      <c r="J3" s="12" t="s">
        <v>80</v>
      </c>
      <c r="K3" s="12" t="s">
        <v>81</v>
      </c>
      <c r="L3" s="12" t="s">
        <v>82</v>
      </c>
      <c r="M3">
        <v>12.07</v>
      </c>
      <c r="N3" s="12" t="s">
        <v>70</v>
      </c>
      <c r="O3" s="12" t="s">
        <v>71</v>
      </c>
      <c r="P3" s="12" t="s">
        <v>72</v>
      </c>
      <c r="Q3" s="13">
        <v>44937</v>
      </c>
      <c r="R3" s="13">
        <v>44964</v>
      </c>
      <c r="S3">
        <v>2023</v>
      </c>
      <c r="T3" s="12" t="s">
        <v>73</v>
      </c>
      <c r="U3">
        <v>138</v>
      </c>
      <c r="V3">
        <v>45.991</v>
      </c>
      <c r="W3">
        <v>115.1</v>
      </c>
      <c r="X3">
        <v>0</v>
      </c>
      <c r="Y3">
        <v>0</v>
      </c>
      <c r="Z3">
        <v>6346.76</v>
      </c>
      <c r="AA3">
        <v>6461.86</v>
      </c>
      <c r="AB3" s="12" t="s">
        <v>83</v>
      </c>
      <c r="AC3">
        <v>45.991</v>
      </c>
      <c r="AD3">
        <v>1</v>
      </c>
      <c r="AE3">
        <v>1</v>
      </c>
      <c r="AF3">
        <v>0</v>
      </c>
      <c r="AG3">
        <v>6346.76</v>
      </c>
      <c r="AH3">
        <v>138</v>
      </c>
      <c r="AI3">
        <v>136</v>
      </c>
      <c r="AJ3">
        <v>2</v>
      </c>
      <c r="AK3">
        <v>1</v>
      </c>
      <c r="AL3">
        <v>1</v>
      </c>
      <c r="AM3">
        <v>98.55</v>
      </c>
      <c r="AN3">
        <v>47.5137</v>
      </c>
      <c r="AO3">
        <v>91.98</v>
      </c>
      <c r="AP3" s="13">
        <v>44971</v>
      </c>
      <c r="AQ3">
        <v>7</v>
      </c>
      <c r="AR3">
        <v>0</v>
      </c>
    </row>
    <row r="4" spans="1:44" x14ac:dyDescent="0.35">
      <c r="A4" s="12" t="s">
        <v>84</v>
      </c>
      <c r="B4" s="12" t="s">
        <v>85</v>
      </c>
      <c r="C4" s="12" t="s">
        <v>86</v>
      </c>
      <c r="D4" s="12" t="s">
        <v>78</v>
      </c>
      <c r="E4" s="12" t="s">
        <v>65</v>
      </c>
      <c r="F4">
        <v>3</v>
      </c>
      <c r="G4">
        <v>5</v>
      </c>
      <c r="H4">
        <v>0</v>
      </c>
      <c r="I4" s="12" t="s">
        <v>87</v>
      </c>
      <c r="J4" s="12" t="s">
        <v>88</v>
      </c>
      <c r="K4" s="12" t="s">
        <v>89</v>
      </c>
      <c r="L4" s="12" t="s">
        <v>69</v>
      </c>
      <c r="M4">
        <v>14.93</v>
      </c>
      <c r="N4" s="12" t="s">
        <v>70</v>
      </c>
      <c r="O4" s="12" t="s">
        <v>71</v>
      </c>
      <c r="P4" s="12" t="s">
        <v>72</v>
      </c>
      <c r="Q4" s="13">
        <v>44937</v>
      </c>
      <c r="R4" s="13">
        <v>44963</v>
      </c>
      <c r="S4">
        <v>2023</v>
      </c>
      <c r="T4" s="12" t="s">
        <v>73</v>
      </c>
      <c r="U4">
        <v>122</v>
      </c>
      <c r="V4">
        <v>147.55000000000001</v>
      </c>
      <c r="W4">
        <v>228.24</v>
      </c>
      <c r="X4">
        <v>0</v>
      </c>
      <c r="Y4">
        <v>0</v>
      </c>
      <c r="Z4">
        <v>18001.099999999999</v>
      </c>
      <c r="AA4">
        <v>18229.34</v>
      </c>
      <c r="AB4" s="12" t="s">
        <v>90</v>
      </c>
      <c r="AC4">
        <v>147.55000000000001</v>
      </c>
      <c r="AD4">
        <v>1</v>
      </c>
      <c r="AE4">
        <v>1</v>
      </c>
      <c r="AF4">
        <v>0</v>
      </c>
      <c r="AG4">
        <v>18001.099999999999</v>
      </c>
      <c r="AH4">
        <v>122</v>
      </c>
      <c r="AI4">
        <v>121</v>
      </c>
      <c r="AJ4">
        <v>1</v>
      </c>
      <c r="AK4">
        <v>1</v>
      </c>
      <c r="AL4">
        <v>1</v>
      </c>
      <c r="AM4">
        <v>99.18</v>
      </c>
      <c r="AN4">
        <v>150.6557</v>
      </c>
      <c r="AO4">
        <v>147.55000000000001</v>
      </c>
      <c r="AP4" s="13">
        <v>44961</v>
      </c>
      <c r="AQ4">
        <v>-2</v>
      </c>
      <c r="AR4">
        <v>1</v>
      </c>
    </row>
    <row r="5" spans="1:44" x14ac:dyDescent="0.35">
      <c r="A5" s="12" t="s">
        <v>91</v>
      </c>
      <c r="B5" s="12" t="s">
        <v>92</v>
      </c>
      <c r="C5" s="12" t="s">
        <v>93</v>
      </c>
      <c r="D5" s="12" t="s">
        <v>64</v>
      </c>
      <c r="E5" s="12" t="s">
        <v>65</v>
      </c>
      <c r="F5">
        <v>3</v>
      </c>
      <c r="G5">
        <v>5</v>
      </c>
      <c r="H5">
        <v>0</v>
      </c>
      <c r="I5" s="12" t="s">
        <v>94</v>
      </c>
      <c r="J5" s="12" t="s">
        <v>95</v>
      </c>
      <c r="K5" s="12" t="s">
        <v>81</v>
      </c>
      <c r="L5" s="12" t="s">
        <v>96</v>
      </c>
      <c r="M5">
        <v>4.8099999999999996</v>
      </c>
      <c r="N5" s="12" t="s">
        <v>97</v>
      </c>
      <c r="O5" s="12" t="s">
        <v>98</v>
      </c>
      <c r="P5" s="12" t="s">
        <v>72</v>
      </c>
      <c r="Q5" s="13">
        <v>44938</v>
      </c>
      <c r="R5" s="13">
        <v>44964</v>
      </c>
      <c r="S5">
        <v>2023</v>
      </c>
      <c r="T5" s="12" t="s">
        <v>73</v>
      </c>
      <c r="U5">
        <v>380</v>
      </c>
      <c r="V5">
        <v>24.617899999999999</v>
      </c>
      <c r="W5">
        <v>121.33</v>
      </c>
      <c r="X5">
        <v>0</v>
      </c>
      <c r="Y5">
        <v>0</v>
      </c>
      <c r="Z5">
        <v>9354.7999999999993</v>
      </c>
      <c r="AA5">
        <v>9476.1299999999992</v>
      </c>
      <c r="AB5" s="12" t="s">
        <v>99</v>
      </c>
      <c r="AC5">
        <v>24.617899999999999</v>
      </c>
      <c r="AD5">
        <v>1</v>
      </c>
      <c r="AE5">
        <v>1</v>
      </c>
      <c r="AF5">
        <v>0</v>
      </c>
      <c r="AG5">
        <v>9354.7999999999993</v>
      </c>
      <c r="AH5">
        <v>380</v>
      </c>
      <c r="AI5">
        <v>375</v>
      </c>
      <c r="AJ5">
        <v>5</v>
      </c>
      <c r="AK5">
        <v>1</v>
      </c>
      <c r="AL5">
        <v>1</v>
      </c>
      <c r="AM5">
        <v>98.68</v>
      </c>
      <c r="AN5">
        <v>25.2697</v>
      </c>
      <c r="AO5">
        <v>123.09</v>
      </c>
      <c r="AP5" s="13">
        <v>44969</v>
      </c>
      <c r="AQ5">
        <v>5</v>
      </c>
      <c r="AR5">
        <v>0</v>
      </c>
    </row>
    <row r="6" spans="1:44" x14ac:dyDescent="0.35">
      <c r="A6" s="12" t="s">
        <v>100</v>
      </c>
      <c r="B6" s="12" t="s">
        <v>101</v>
      </c>
      <c r="C6" s="12" t="s">
        <v>102</v>
      </c>
      <c r="D6" s="12" t="s">
        <v>103</v>
      </c>
      <c r="E6" s="12" t="s">
        <v>104</v>
      </c>
      <c r="F6">
        <v>1</v>
      </c>
      <c r="G6">
        <v>0</v>
      </c>
      <c r="H6">
        <v>1</v>
      </c>
      <c r="I6" s="12" t="s">
        <v>105</v>
      </c>
      <c r="J6" s="12" t="s">
        <v>106</v>
      </c>
      <c r="K6" s="12" t="s">
        <v>81</v>
      </c>
      <c r="L6" s="12" t="s">
        <v>96</v>
      </c>
      <c r="M6">
        <v>5.01</v>
      </c>
      <c r="N6" s="12" t="s">
        <v>107</v>
      </c>
      <c r="O6" s="12" t="s">
        <v>108</v>
      </c>
      <c r="P6" s="12" t="s">
        <v>109</v>
      </c>
      <c r="Q6" s="13">
        <v>44942</v>
      </c>
      <c r="R6" s="13">
        <v>44954</v>
      </c>
      <c r="S6">
        <v>2023</v>
      </c>
      <c r="T6" s="12" t="s">
        <v>73</v>
      </c>
      <c r="U6">
        <v>14</v>
      </c>
      <c r="V6">
        <v>207.4813</v>
      </c>
      <c r="W6">
        <v>42.4</v>
      </c>
      <c r="X6">
        <v>93.94</v>
      </c>
      <c r="Y6">
        <v>1</v>
      </c>
      <c r="Z6">
        <v>2904.74</v>
      </c>
      <c r="AA6">
        <v>3041.08</v>
      </c>
      <c r="AB6" s="12" t="s">
        <v>110</v>
      </c>
      <c r="AC6">
        <v>207.4813</v>
      </c>
      <c r="AD6">
        <v>1</v>
      </c>
      <c r="AE6">
        <v>1</v>
      </c>
      <c r="AF6">
        <v>0</v>
      </c>
      <c r="AG6">
        <v>2904.74</v>
      </c>
      <c r="AH6">
        <v>14</v>
      </c>
      <c r="AI6">
        <v>14</v>
      </c>
      <c r="AJ6">
        <v>0</v>
      </c>
      <c r="AK6">
        <v>1</v>
      </c>
      <c r="AL6">
        <v>1</v>
      </c>
      <c r="AM6">
        <v>100</v>
      </c>
      <c r="AN6">
        <v>217.2199</v>
      </c>
      <c r="AO6">
        <v>0</v>
      </c>
      <c r="AP6" s="13">
        <v>44956</v>
      </c>
      <c r="AQ6">
        <v>2</v>
      </c>
      <c r="AR6">
        <v>0</v>
      </c>
    </row>
    <row r="7" spans="1:44" x14ac:dyDescent="0.35">
      <c r="A7" s="12" t="s">
        <v>111</v>
      </c>
      <c r="B7" s="12" t="s">
        <v>112</v>
      </c>
      <c r="C7" s="12" t="s">
        <v>113</v>
      </c>
      <c r="D7" s="12" t="s">
        <v>114</v>
      </c>
      <c r="E7" s="12" t="s">
        <v>104</v>
      </c>
      <c r="F7">
        <v>3</v>
      </c>
      <c r="G7">
        <v>1</v>
      </c>
      <c r="H7">
        <v>0</v>
      </c>
      <c r="I7" s="12" t="s">
        <v>115</v>
      </c>
      <c r="J7" s="12" t="s">
        <v>116</v>
      </c>
      <c r="K7" s="12" t="s">
        <v>117</v>
      </c>
      <c r="L7" s="12" t="s">
        <v>82</v>
      </c>
      <c r="M7">
        <v>17.170000000000002</v>
      </c>
      <c r="N7" s="12" t="s">
        <v>97</v>
      </c>
      <c r="O7" s="12" t="s">
        <v>98</v>
      </c>
      <c r="P7" s="12" t="s">
        <v>72</v>
      </c>
      <c r="Q7" s="13">
        <v>44942</v>
      </c>
      <c r="R7" s="13">
        <v>44958</v>
      </c>
      <c r="S7">
        <v>2023</v>
      </c>
      <c r="T7" s="12" t="s">
        <v>73</v>
      </c>
      <c r="U7">
        <v>47</v>
      </c>
      <c r="V7">
        <v>264.17590000000001</v>
      </c>
      <c r="W7">
        <v>287.11</v>
      </c>
      <c r="X7">
        <v>0</v>
      </c>
      <c r="Y7">
        <v>0</v>
      </c>
      <c r="Z7">
        <v>12416.27</v>
      </c>
      <c r="AA7">
        <v>12703.38</v>
      </c>
      <c r="AB7" s="12" t="s">
        <v>118</v>
      </c>
      <c r="AC7">
        <v>264.17590000000001</v>
      </c>
      <c r="AD7">
        <v>1</v>
      </c>
      <c r="AE7">
        <v>1</v>
      </c>
      <c r="AF7">
        <v>0</v>
      </c>
      <c r="AG7">
        <v>12416.27</v>
      </c>
      <c r="AH7">
        <v>47</v>
      </c>
      <c r="AI7">
        <v>46</v>
      </c>
      <c r="AJ7">
        <v>1</v>
      </c>
      <c r="AK7">
        <v>1</v>
      </c>
      <c r="AL7">
        <v>1</v>
      </c>
      <c r="AM7">
        <v>97.87</v>
      </c>
      <c r="AN7">
        <v>276.16039999999998</v>
      </c>
      <c r="AO7">
        <v>264.18</v>
      </c>
      <c r="AP7" s="13">
        <v>44955</v>
      </c>
      <c r="AQ7">
        <v>-3</v>
      </c>
      <c r="AR7">
        <v>1</v>
      </c>
    </row>
    <row r="8" spans="1:44" x14ac:dyDescent="0.35">
      <c r="A8" s="12" t="s">
        <v>119</v>
      </c>
      <c r="B8" s="12" t="s">
        <v>120</v>
      </c>
      <c r="C8" s="12" t="s">
        <v>121</v>
      </c>
      <c r="D8" s="12" t="s">
        <v>122</v>
      </c>
      <c r="E8" s="12" t="s">
        <v>65</v>
      </c>
      <c r="F8">
        <v>3</v>
      </c>
      <c r="G8">
        <v>4</v>
      </c>
      <c r="H8">
        <v>0</v>
      </c>
      <c r="I8" s="12" t="s">
        <v>123</v>
      </c>
      <c r="J8" s="12" t="s">
        <v>124</v>
      </c>
      <c r="K8" s="12" t="s">
        <v>125</v>
      </c>
      <c r="L8" s="12" t="s">
        <v>82</v>
      </c>
      <c r="M8">
        <v>6.75</v>
      </c>
      <c r="N8" s="12" t="s">
        <v>70</v>
      </c>
      <c r="O8" s="12" t="s">
        <v>71</v>
      </c>
      <c r="P8" s="12" t="s">
        <v>72</v>
      </c>
      <c r="Q8" s="13">
        <v>44942</v>
      </c>
      <c r="R8" s="13">
        <v>44964</v>
      </c>
      <c r="S8">
        <v>2023</v>
      </c>
      <c r="T8" s="12" t="s">
        <v>73</v>
      </c>
      <c r="U8">
        <v>360</v>
      </c>
      <c r="V8">
        <v>55.544699999999999</v>
      </c>
      <c r="W8">
        <v>189.52</v>
      </c>
      <c r="X8">
        <v>0</v>
      </c>
      <c r="Y8">
        <v>0</v>
      </c>
      <c r="Z8">
        <v>19996.09</v>
      </c>
      <c r="AA8">
        <v>20185.61</v>
      </c>
      <c r="AB8" s="12" t="s">
        <v>126</v>
      </c>
      <c r="AC8">
        <v>55.544699999999999</v>
      </c>
      <c r="AD8">
        <v>1</v>
      </c>
      <c r="AE8">
        <v>1</v>
      </c>
      <c r="AF8">
        <v>0</v>
      </c>
      <c r="AG8">
        <v>19996.09</v>
      </c>
      <c r="AH8">
        <v>360</v>
      </c>
      <c r="AI8">
        <v>358</v>
      </c>
      <c r="AJ8">
        <v>2</v>
      </c>
      <c r="AK8">
        <v>1</v>
      </c>
      <c r="AL8">
        <v>1</v>
      </c>
      <c r="AM8">
        <v>99.44</v>
      </c>
      <c r="AN8">
        <v>56.384399999999999</v>
      </c>
      <c r="AO8">
        <v>111.09</v>
      </c>
      <c r="AP8" s="13">
        <v>44972</v>
      </c>
      <c r="AQ8">
        <v>8</v>
      </c>
      <c r="AR8">
        <v>0</v>
      </c>
    </row>
    <row r="9" spans="1:44" x14ac:dyDescent="0.35">
      <c r="A9" s="12" t="s">
        <v>127</v>
      </c>
      <c r="B9" s="12" t="s">
        <v>128</v>
      </c>
      <c r="C9" s="12" t="s">
        <v>129</v>
      </c>
      <c r="D9" s="12" t="s">
        <v>130</v>
      </c>
      <c r="E9" s="12" t="s">
        <v>65</v>
      </c>
      <c r="F9">
        <v>3</v>
      </c>
      <c r="G9">
        <v>5</v>
      </c>
      <c r="H9">
        <v>0</v>
      </c>
      <c r="I9" s="12" t="s">
        <v>131</v>
      </c>
      <c r="J9" s="12" t="s">
        <v>132</v>
      </c>
      <c r="K9" s="12" t="s">
        <v>133</v>
      </c>
      <c r="L9" s="12" t="s">
        <v>134</v>
      </c>
      <c r="M9">
        <v>1.51</v>
      </c>
      <c r="N9" s="12" t="s">
        <v>135</v>
      </c>
      <c r="O9" s="12" t="s">
        <v>136</v>
      </c>
      <c r="P9" s="12" t="s">
        <v>137</v>
      </c>
      <c r="Q9" s="13">
        <v>44942</v>
      </c>
      <c r="R9" s="13">
        <v>44978</v>
      </c>
      <c r="S9">
        <v>2023</v>
      </c>
      <c r="T9" s="12" t="s">
        <v>73</v>
      </c>
      <c r="U9">
        <v>130</v>
      </c>
      <c r="V9">
        <v>501.92320000000001</v>
      </c>
      <c r="W9">
        <v>525.42999999999995</v>
      </c>
      <c r="X9">
        <v>0</v>
      </c>
      <c r="Y9">
        <v>0</v>
      </c>
      <c r="Z9">
        <v>65250.02</v>
      </c>
      <c r="AA9">
        <v>65775.45</v>
      </c>
      <c r="AB9" s="12" t="s">
        <v>138</v>
      </c>
      <c r="AC9">
        <v>501.92320000000001</v>
      </c>
      <c r="AD9">
        <v>1</v>
      </c>
      <c r="AE9">
        <v>1</v>
      </c>
      <c r="AF9">
        <v>0</v>
      </c>
      <c r="AG9">
        <v>65250.02</v>
      </c>
      <c r="AH9">
        <v>130</v>
      </c>
      <c r="AI9">
        <v>117</v>
      </c>
      <c r="AJ9">
        <v>13</v>
      </c>
      <c r="AK9">
        <v>1</v>
      </c>
      <c r="AL9">
        <v>1</v>
      </c>
      <c r="AM9">
        <v>90</v>
      </c>
      <c r="AN9">
        <v>562.18330000000003</v>
      </c>
      <c r="AO9">
        <v>6525</v>
      </c>
      <c r="AP9" s="13">
        <v>44978</v>
      </c>
      <c r="AQ9">
        <v>0</v>
      </c>
      <c r="AR9">
        <v>1</v>
      </c>
    </row>
    <row r="10" spans="1:44" x14ac:dyDescent="0.35">
      <c r="A10" s="12" t="s">
        <v>139</v>
      </c>
      <c r="B10" s="12" t="s">
        <v>140</v>
      </c>
      <c r="C10" s="12" t="s">
        <v>141</v>
      </c>
      <c r="D10" s="12" t="s">
        <v>103</v>
      </c>
      <c r="E10" s="12" t="s">
        <v>142</v>
      </c>
      <c r="F10">
        <v>1</v>
      </c>
      <c r="G10">
        <v>7</v>
      </c>
      <c r="H10">
        <v>1</v>
      </c>
      <c r="I10" s="12" t="s">
        <v>143</v>
      </c>
      <c r="J10" s="12" t="s">
        <v>144</v>
      </c>
      <c r="K10" s="12" t="s">
        <v>133</v>
      </c>
      <c r="L10" s="12" t="s">
        <v>96</v>
      </c>
      <c r="M10">
        <v>5.43</v>
      </c>
      <c r="N10" s="12" t="s">
        <v>145</v>
      </c>
      <c r="O10" s="12" t="s">
        <v>146</v>
      </c>
      <c r="P10" s="12" t="s">
        <v>109</v>
      </c>
      <c r="Q10" s="13">
        <v>44942</v>
      </c>
      <c r="R10" s="13">
        <v>44984</v>
      </c>
      <c r="S10">
        <v>2023</v>
      </c>
      <c r="T10" s="12" t="s">
        <v>73</v>
      </c>
      <c r="U10">
        <v>71</v>
      </c>
      <c r="V10">
        <v>211.78559999999999</v>
      </c>
      <c r="W10">
        <v>103.99</v>
      </c>
      <c r="X10">
        <v>0</v>
      </c>
      <c r="Y10">
        <v>0</v>
      </c>
      <c r="Z10">
        <v>15036.78</v>
      </c>
      <c r="AA10">
        <v>15140.77</v>
      </c>
      <c r="AB10" s="12" t="s">
        <v>147</v>
      </c>
      <c r="AC10">
        <v>211.78559999999999</v>
      </c>
      <c r="AD10">
        <v>1</v>
      </c>
      <c r="AE10">
        <v>1</v>
      </c>
      <c r="AF10">
        <v>0</v>
      </c>
      <c r="AG10">
        <v>15036.78</v>
      </c>
      <c r="AH10">
        <v>71</v>
      </c>
      <c r="AI10">
        <v>70</v>
      </c>
      <c r="AJ10">
        <v>1</v>
      </c>
      <c r="AK10">
        <v>1</v>
      </c>
      <c r="AL10">
        <v>1</v>
      </c>
      <c r="AM10">
        <v>98.59</v>
      </c>
      <c r="AN10">
        <v>216.29669999999999</v>
      </c>
      <c r="AO10">
        <v>211.79</v>
      </c>
      <c r="AP10" s="13">
        <v>44985</v>
      </c>
      <c r="AQ10">
        <v>1</v>
      </c>
      <c r="AR10">
        <v>0</v>
      </c>
    </row>
    <row r="11" spans="1:44" x14ac:dyDescent="0.35">
      <c r="A11" s="12" t="s">
        <v>148</v>
      </c>
      <c r="B11" s="12" t="s">
        <v>149</v>
      </c>
      <c r="C11" s="12" t="s">
        <v>150</v>
      </c>
      <c r="D11" s="12" t="s">
        <v>78</v>
      </c>
      <c r="E11" s="12" t="s">
        <v>65</v>
      </c>
      <c r="F11">
        <v>2</v>
      </c>
      <c r="G11">
        <v>2</v>
      </c>
      <c r="H11">
        <v>0</v>
      </c>
      <c r="I11" s="12" t="s">
        <v>151</v>
      </c>
      <c r="J11" s="12" t="s">
        <v>152</v>
      </c>
      <c r="K11" s="12" t="s">
        <v>125</v>
      </c>
      <c r="L11" s="12" t="s">
        <v>69</v>
      </c>
      <c r="M11">
        <v>36.479999999999997</v>
      </c>
      <c r="N11" s="12" t="s">
        <v>70</v>
      </c>
      <c r="O11" s="12" t="s">
        <v>71</v>
      </c>
      <c r="P11" s="12" t="s">
        <v>72</v>
      </c>
      <c r="Q11" s="13">
        <v>44946</v>
      </c>
      <c r="R11" s="13">
        <v>44968</v>
      </c>
      <c r="S11">
        <v>2023</v>
      </c>
      <c r="T11" s="12" t="s">
        <v>73</v>
      </c>
      <c r="U11">
        <v>61</v>
      </c>
      <c r="V11">
        <v>76.092399999999998</v>
      </c>
      <c r="W11">
        <v>57.39</v>
      </c>
      <c r="X11">
        <v>0</v>
      </c>
      <c r="Y11">
        <v>0</v>
      </c>
      <c r="Z11">
        <v>4641.6400000000003</v>
      </c>
      <c r="AA11">
        <v>4699.03</v>
      </c>
      <c r="AB11" s="12" t="s">
        <v>153</v>
      </c>
      <c r="AC11">
        <v>76.092399999999998</v>
      </c>
      <c r="AD11">
        <v>1</v>
      </c>
      <c r="AE11">
        <v>1</v>
      </c>
      <c r="AF11">
        <v>0</v>
      </c>
      <c r="AG11">
        <v>4641.6400000000003</v>
      </c>
      <c r="AH11">
        <v>61</v>
      </c>
      <c r="AI11">
        <v>60</v>
      </c>
      <c r="AJ11">
        <v>1</v>
      </c>
      <c r="AK11">
        <v>1</v>
      </c>
      <c r="AL11">
        <v>1</v>
      </c>
      <c r="AM11">
        <v>98.36</v>
      </c>
      <c r="AN11">
        <v>78.317099999999996</v>
      </c>
      <c r="AO11">
        <v>76.09</v>
      </c>
      <c r="AP11" s="13">
        <v>44965</v>
      </c>
      <c r="AQ11">
        <v>-3</v>
      </c>
      <c r="AR11">
        <v>1</v>
      </c>
    </row>
    <row r="12" spans="1:44" x14ac:dyDescent="0.35">
      <c r="A12" s="12" t="s">
        <v>154</v>
      </c>
      <c r="B12" s="12" t="s">
        <v>155</v>
      </c>
      <c r="C12" s="12" t="s">
        <v>156</v>
      </c>
      <c r="D12" s="12" t="s">
        <v>130</v>
      </c>
      <c r="E12" s="12" t="s">
        <v>104</v>
      </c>
      <c r="F12">
        <v>3</v>
      </c>
      <c r="G12">
        <v>1</v>
      </c>
      <c r="H12">
        <v>0</v>
      </c>
      <c r="I12" s="12" t="s">
        <v>157</v>
      </c>
      <c r="J12" s="12" t="s">
        <v>158</v>
      </c>
      <c r="K12" s="12" t="s">
        <v>117</v>
      </c>
      <c r="L12" s="12" t="s">
        <v>96</v>
      </c>
      <c r="M12">
        <v>4.72</v>
      </c>
      <c r="N12" s="12" t="s">
        <v>159</v>
      </c>
      <c r="O12" s="12" t="s">
        <v>160</v>
      </c>
      <c r="P12" s="12" t="s">
        <v>137</v>
      </c>
      <c r="Q12" s="13">
        <v>44946</v>
      </c>
      <c r="R12" s="13">
        <v>44974</v>
      </c>
      <c r="S12">
        <v>2023</v>
      </c>
      <c r="T12" s="12" t="s">
        <v>73</v>
      </c>
      <c r="U12">
        <v>137</v>
      </c>
      <c r="V12">
        <v>206.28880000000001</v>
      </c>
      <c r="W12">
        <v>658.96</v>
      </c>
      <c r="X12">
        <v>0</v>
      </c>
      <c r="Y12">
        <v>0</v>
      </c>
      <c r="Z12">
        <v>28261.57</v>
      </c>
      <c r="AA12">
        <v>28920.53</v>
      </c>
      <c r="AB12" s="12" t="s">
        <v>161</v>
      </c>
      <c r="AC12">
        <v>206.28880000000001</v>
      </c>
      <c r="AD12">
        <v>1</v>
      </c>
      <c r="AE12">
        <v>1</v>
      </c>
      <c r="AF12">
        <v>0</v>
      </c>
      <c r="AG12">
        <v>28261.57</v>
      </c>
      <c r="AH12">
        <v>137</v>
      </c>
      <c r="AI12">
        <v>135</v>
      </c>
      <c r="AJ12">
        <v>2</v>
      </c>
      <c r="AK12">
        <v>1</v>
      </c>
      <c r="AL12">
        <v>1</v>
      </c>
      <c r="AM12">
        <v>98.54</v>
      </c>
      <c r="AN12">
        <v>214.2261</v>
      </c>
      <c r="AO12">
        <v>412.58</v>
      </c>
      <c r="AP12" s="13">
        <v>44974</v>
      </c>
      <c r="AQ12">
        <v>0</v>
      </c>
      <c r="AR12">
        <v>1</v>
      </c>
    </row>
    <row r="13" spans="1:44" x14ac:dyDescent="0.35">
      <c r="A13" s="12" t="s">
        <v>162</v>
      </c>
      <c r="B13" s="12" t="s">
        <v>163</v>
      </c>
      <c r="C13" s="12" t="s">
        <v>164</v>
      </c>
      <c r="D13" s="12" t="s">
        <v>64</v>
      </c>
      <c r="E13" s="12" t="s">
        <v>104</v>
      </c>
      <c r="F13">
        <v>2</v>
      </c>
      <c r="G13">
        <v>0</v>
      </c>
      <c r="H13">
        <v>0</v>
      </c>
      <c r="I13" s="12" t="s">
        <v>79</v>
      </c>
      <c r="J13" s="12" t="s">
        <v>80</v>
      </c>
      <c r="K13" s="12" t="s">
        <v>81</v>
      </c>
      <c r="L13" s="12" t="s">
        <v>82</v>
      </c>
      <c r="M13">
        <v>12.07</v>
      </c>
      <c r="N13" s="12" t="s">
        <v>70</v>
      </c>
      <c r="O13" s="12" t="s">
        <v>71</v>
      </c>
      <c r="P13" s="12" t="s">
        <v>72</v>
      </c>
      <c r="Q13" s="13">
        <v>44949</v>
      </c>
      <c r="R13" s="13">
        <v>44969</v>
      </c>
      <c r="S13">
        <v>2023</v>
      </c>
      <c r="T13" s="12" t="s">
        <v>73</v>
      </c>
      <c r="U13">
        <v>544</v>
      </c>
      <c r="V13">
        <v>12.8643</v>
      </c>
      <c r="W13">
        <v>60.85</v>
      </c>
      <c r="X13">
        <v>0</v>
      </c>
      <c r="Y13">
        <v>0</v>
      </c>
      <c r="Z13">
        <v>6998.18</v>
      </c>
      <c r="AA13">
        <v>7059.03</v>
      </c>
      <c r="AB13" s="12" t="s">
        <v>165</v>
      </c>
      <c r="AC13">
        <v>12.8643</v>
      </c>
      <c r="AD13">
        <v>1</v>
      </c>
      <c r="AE13">
        <v>1</v>
      </c>
      <c r="AF13">
        <v>0</v>
      </c>
      <c r="AG13">
        <v>6998.18</v>
      </c>
      <c r="AH13">
        <v>544</v>
      </c>
      <c r="AI13">
        <v>542</v>
      </c>
      <c r="AJ13">
        <v>2</v>
      </c>
      <c r="AK13">
        <v>1</v>
      </c>
      <c r="AL13">
        <v>1</v>
      </c>
      <c r="AM13">
        <v>99.63</v>
      </c>
      <c r="AN13">
        <v>13.023999999999999</v>
      </c>
      <c r="AO13">
        <v>25.73</v>
      </c>
      <c r="AP13" s="13">
        <v>44968</v>
      </c>
      <c r="AQ13">
        <v>-1</v>
      </c>
      <c r="AR13">
        <v>1</v>
      </c>
    </row>
    <row r="14" spans="1:44" x14ac:dyDescent="0.35">
      <c r="A14" s="12" t="s">
        <v>166</v>
      </c>
      <c r="B14" s="12" t="s">
        <v>167</v>
      </c>
      <c r="C14" s="12" t="s">
        <v>168</v>
      </c>
      <c r="D14" s="12" t="s">
        <v>64</v>
      </c>
      <c r="E14" s="12" t="s">
        <v>104</v>
      </c>
      <c r="F14">
        <v>3</v>
      </c>
      <c r="G14">
        <v>1</v>
      </c>
      <c r="H14">
        <v>0</v>
      </c>
      <c r="I14" s="12" t="s">
        <v>169</v>
      </c>
      <c r="J14" s="12" t="s">
        <v>170</v>
      </c>
      <c r="K14" s="12" t="s">
        <v>89</v>
      </c>
      <c r="L14" s="12" t="s">
        <v>134</v>
      </c>
      <c r="M14">
        <v>1.37</v>
      </c>
      <c r="N14" s="12" t="s">
        <v>97</v>
      </c>
      <c r="O14" s="12" t="s">
        <v>98</v>
      </c>
      <c r="P14" s="12" t="s">
        <v>72</v>
      </c>
      <c r="Q14" s="13">
        <v>44949</v>
      </c>
      <c r="R14" s="13">
        <v>44963</v>
      </c>
      <c r="S14">
        <v>2023</v>
      </c>
      <c r="T14" s="12" t="s">
        <v>73</v>
      </c>
      <c r="U14">
        <v>216</v>
      </c>
      <c r="V14">
        <v>28.7181</v>
      </c>
      <c r="W14">
        <v>37.54</v>
      </c>
      <c r="X14">
        <v>0</v>
      </c>
      <c r="Y14">
        <v>0</v>
      </c>
      <c r="Z14">
        <v>6203.11</v>
      </c>
      <c r="AA14">
        <v>6240.65</v>
      </c>
      <c r="AB14" s="12" t="s">
        <v>171</v>
      </c>
      <c r="AC14">
        <v>28.7181</v>
      </c>
      <c r="AD14">
        <v>1</v>
      </c>
      <c r="AE14">
        <v>1</v>
      </c>
      <c r="AF14">
        <v>0</v>
      </c>
      <c r="AG14">
        <v>6203.11</v>
      </c>
      <c r="AH14">
        <v>216</v>
      </c>
      <c r="AI14">
        <v>213</v>
      </c>
      <c r="AJ14">
        <v>3</v>
      </c>
      <c r="AK14">
        <v>1</v>
      </c>
      <c r="AL14">
        <v>1</v>
      </c>
      <c r="AM14">
        <v>98.61</v>
      </c>
      <c r="AN14">
        <v>29.2988</v>
      </c>
      <c r="AO14">
        <v>86.15</v>
      </c>
      <c r="AP14" s="13">
        <v>44962</v>
      </c>
      <c r="AQ14">
        <v>-1</v>
      </c>
      <c r="AR14">
        <v>1</v>
      </c>
    </row>
    <row r="15" spans="1:44" x14ac:dyDescent="0.35">
      <c r="A15" s="12" t="s">
        <v>172</v>
      </c>
      <c r="B15" s="12" t="s">
        <v>173</v>
      </c>
      <c r="C15" s="12" t="s">
        <v>174</v>
      </c>
      <c r="D15" s="12" t="s">
        <v>175</v>
      </c>
      <c r="E15" s="12" t="s">
        <v>104</v>
      </c>
      <c r="F15">
        <v>3</v>
      </c>
      <c r="G15">
        <v>1</v>
      </c>
      <c r="H15">
        <v>0</v>
      </c>
      <c r="I15" s="12" t="s">
        <v>176</v>
      </c>
      <c r="J15" s="12" t="s">
        <v>177</v>
      </c>
      <c r="K15" s="12" t="s">
        <v>125</v>
      </c>
      <c r="L15" s="12" t="s">
        <v>134</v>
      </c>
      <c r="M15">
        <v>1.75</v>
      </c>
      <c r="N15" s="12" t="s">
        <v>145</v>
      </c>
      <c r="O15" s="12" t="s">
        <v>146</v>
      </c>
      <c r="P15" s="12" t="s">
        <v>109</v>
      </c>
      <c r="Q15" s="13">
        <v>44950</v>
      </c>
      <c r="R15" s="13">
        <v>44964</v>
      </c>
      <c r="S15">
        <v>2023</v>
      </c>
      <c r="T15" s="12" t="s">
        <v>73</v>
      </c>
      <c r="U15">
        <v>33</v>
      </c>
      <c r="V15">
        <v>83.815600000000003</v>
      </c>
      <c r="W15">
        <v>28.7</v>
      </c>
      <c r="X15">
        <v>0</v>
      </c>
      <c r="Y15">
        <v>0</v>
      </c>
      <c r="Z15">
        <v>2765.91</v>
      </c>
      <c r="AA15">
        <v>2794.61</v>
      </c>
      <c r="AB15" s="12" t="s">
        <v>178</v>
      </c>
      <c r="AC15">
        <v>79.9559</v>
      </c>
      <c r="AD15">
        <v>1</v>
      </c>
      <c r="AE15">
        <v>1</v>
      </c>
      <c r="AF15">
        <v>127.37</v>
      </c>
      <c r="AG15">
        <v>2638.54</v>
      </c>
      <c r="AH15">
        <v>33</v>
      </c>
      <c r="AI15">
        <v>33</v>
      </c>
      <c r="AJ15">
        <v>0</v>
      </c>
      <c r="AK15">
        <v>1</v>
      </c>
      <c r="AL15">
        <v>1</v>
      </c>
      <c r="AM15">
        <v>100</v>
      </c>
      <c r="AN15">
        <v>84.685299999999998</v>
      </c>
      <c r="AO15">
        <v>0</v>
      </c>
      <c r="AP15" s="13">
        <v>44963</v>
      </c>
      <c r="AQ15">
        <v>-1</v>
      </c>
      <c r="AR15">
        <v>1</v>
      </c>
    </row>
    <row r="16" spans="1:44" x14ac:dyDescent="0.35">
      <c r="A16" s="12" t="s">
        <v>179</v>
      </c>
      <c r="B16" s="12" t="s">
        <v>140</v>
      </c>
      <c r="C16" s="12" t="s">
        <v>141</v>
      </c>
      <c r="D16" s="12" t="s">
        <v>103</v>
      </c>
      <c r="E16" s="12" t="s">
        <v>142</v>
      </c>
      <c r="F16">
        <v>1</v>
      </c>
      <c r="G16">
        <v>7</v>
      </c>
      <c r="H16">
        <v>1</v>
      </c>
      <c r="I16" s="12" t="s">
        <v>143</v>
      </c>
      <c r="J16" s="12" t="s">
        <v>144</v>
      </c>
      <c r="K16" s="12" t="s">
        <v>133</v>
      </c>
      <c r="L16" s="12" t="s">
        <v>96</v>
      </c>
      <c r="M16">
        <v>5.43</v>
      </c>
      <c r="N16" s="12" t="s">
        <v>107</v>
      </c>
      <c r="O16" s="12" t="s">
        <v>108</v>
      </c>
      <c r="P16" s="12" t="s">
        <v>109</v>
      </c>
      <c r="Q16" s="13">
        <v>44950</v>
      </c>
      <c r="R16" s="13">
        <v>45001</v>
      </c>
      <c r="S16">
        <v>2023</v>
      </c>
      <c r="T16" s="12" t="s">
        <v>73</v>
      </c>
      <c r="U16">
        <v>137</v>
      </c>
      <c r="V16">
        <v>211.78559999999999</v>
      </c>
      <c r="W16">
        <v>196.35</v>
      </c>
      <c r="X16">
        <v>0</v>
      </c>
      <c r="Y16">
        <v>0</v>
      </c>
      <c r="Z16">
        <v>29014.63</v>
      </c>
      <c r="AA16">
        <v>29210.98</v>
      </c>
      <c r="AB16" s="12" t="s">
        <v>147</v>
      </c>
      <c r="AC16">
        <v>211.78559999999999</v>
      </c>
      <c r="AD16">
        <v>1</v>
      </c>
      <c r="AE16">
        <v>1</v>
      </c>
      <c r="AF16">
        <v>0</v>
      </c>
      <c r="AG16">
        <v>29014.63</v>
      </c>
      <c r="AH16">
        <v>137</v>
      </c>
      <c r="AI16">
        <v>136</v>
      </c>
      <c r="AJ16">
        <v>1</v>
      </c>
      <c r="AK16">
        <v>1</v>
      </c>
      <c r="AL16">
        <v>1</v>
      </c>
      <c r="AM16">
        <v>99.27</v>
      </c>
      <c r="AN16">
        <v>214.78659999999999</v>
      </c>
      <c r="AO16">
        <v>211.79</v>
      </c>
      <c r="AP16" s="13">
        <v>45001</v>
      </c>
      <c r="AQ16">
        <v>0</v>
      </c>
      <c r="AR16">
        <v>1</v>
      </c>
    </row>
    <row r="17" spans="1:44" x14ac:dyDescent="0.35">
      <c r="A17" s="12" t="s">
        <v>180</v>
      </c>
      <c r="B17" s="12" t="s">
        <v>149</v>
      </c>
      <c r="C17" s="12" t="s">
        <v>150</v>
      </c>
      <c r="D17" s="12" t="s">
        <v>78</v>
      </c>
      <c r="E17" s="12" t="s">
        <v>65</v>
      </c>
      <c r="F17">
        <v>2</v>
      </c>
      <c r="G17">
        <v>2</v>
      </c>
      <c r="H17">
        <v>0</v>
      </c>
      <c r="I17" s="12" t="s">
        <v>151</v>
      </c>
      <c r="J17" s="12" t="s">
        <v>152</v>
      </c>
      <c r="K17" s="12" t="s">
        <v>125</v>
      </c>
      <c r="L17" s="12" t="s">
        <v>69</v>
      </c>
      <c r="M17">
        <v>36.479999999999997</v>
      </c>
      <c r="N17" s="12" t="s">
        <v>97</v>
      </c>
      <c r="O17" s="12" t="s">
        <v>98</v>
      </c>
      <c r="P17" s="12" t="s">
        <v>72</v>
      </c>
      <c r="Q17" s="13">
        <v>44951</v>
      </c>
      <c r="R17" s="13">
        <v>44976</v>
      </c>
      <c r="S17">
        <v>2023</v>
      </c>
      <c r="T17" s="12" t="s">
        <v>73</v>
      </c>
      <c r="U17">
        <v>111</v>
      </c>
      <c r="V17">
        <v>76.092399999999998</v>
      </c>
      <c r="W17">
        <v>154.46</v>
      </c>
      <c r="X17">
        <v>0</v>
      </c>
      <c r="Y17">
        <v>0</v>
      </c>
      <c r="Z17">
        <v>8446.26</v>
      </c>
      <c r="AA17">
        <v>8600.7199999999993</v>
      </c>
      <c r="AB17" s="12" t="s">
        <v>153</v>
      </c>
      <c r="AC17">
        <v>76.092399999999998</v>
      </c>
      <c r="AD17">
        <v>1</v>
      </c>
      <c r="AE17">
        <v>1</v>
      </c>
      <c r="AF17">
        <v>0</v>
      </c>
      <c r="AG17">
        <v>8446.26</v>
      </c>
      <c r="AH17">
        <v>111</v>
      </c>
      <c r="AI17">
        <v>110</v>
      </c>
      <c r="AJ17">
        <v>1</v>
      </c>
      <c r="AK17">
        <v>1</v>
      </c>
      <c r="AL17">
        <v>1</v>
      </c>
      <c r="AM17">
        <v>99.1</v>
      </c>
      <c r="AN17">
        <v>78.188299999999998</v>
      </c>
      <c r="AO17">
        <v>76.09</v>
      </c>
      <c r="AP17" s="13">
        <v>44975</v>
      </c>
      <c r="AQ17">
        <v>-1</v>
      </c>
      <c r="AR17">
        <v>1</v>
      </c>
    </row>
    <row r="18" spans="1:44" x14ac:dyDescent="0.35">
      <c r="A18" s="12" t="s">
        <v>181</v>
      </c>
      <c r="B18" s="12" t="s">
        <v>76</v>
      </c>
      <c r="C18" s="12" t="s">
        <v>77</v>
      </c>
      <c r="D18" s="12" t="s">
        <v>78</v>
      </c>
      <c r="E18" s="12" t="s">
        <v>65</v>
      </c>
      <c r="F18">
        <v>2</v>
      </c>
      <c r="G18">
        <v>4</v>
      </c>
      <c r="H18">
        <v>0</v>
      </c>
      <c r="I18" s="12" t="s">
        <v>79</v>
      </c>
      <c r="J18" s="12" t="s">
        <v>80</v>
      </c>
      <c r="K18" s="12" t="s">
        <v>81</v>
      </c>
      <c r="L18" s="12" t="s">
        <v>82</v>
      </c>
      <c r="M18">
        <v>12.07</v>
      </c>
      <c r="N18" s="12" t="s">
        <v>70</v>
      </c>
      <c r="O18" s="12" t="s">
        <v>71</v>
      </c>
      <c r="P18" s="12" t="s">
        <v>72</v>
      </c>
      <c r="Q18" s="13">
        <v>44951</v>
      </c>
      <c r="R18" s="13">
        <v>44977</v>
      </c>
      <c r="S18">
        <v>2023</v>
      </c>
      <c r="T18" s="12" t="s">
        <v>73</v>
      </c>
      <c r="U18">
        <v>123</v>
      </c>
      <c r="V18">
        <v>45.991</v>
      </c>
      <c r="W18">
        <v>103.25</v>
      </c>
      <c r="X18">
        <v>0</v>
      </c>
      <c r="Y18">
        <v>0</v>
      </c>
      <c r="Z18">
        <v>5656.89</v>
      </c>
      <c r="AA18">
        <v>5760.14</v>
      </c>
      <c r="AB18" s="12" t="s">
        <v>83</v>
      </c>
      <c r="AC18">
        <v>45.991</v>
      </c>
      <c r="AD18">
        <v>1</v>
      </c>
      <c r="AE18">
        <v>1</v>
      </c>
      <c r="AF18">
        <v>0</v>
      </c>
      <c r="AG18">
        <v>5656.89</v>
      </c>
      <c r="AH18">
        <v>123</v>
      </c>
      <c r="AI18">
        <v>122</v>
      </c>
      <c r="AJ18">
        <v>1</v>
      </c>
      <c r="AK18">
        <v>1</v>
      </c>
      <c r="AL18">
        <v>1</v>
      </c>
      <c r="AM18">
        <v>99.19</v>
      </c>
      <c r="AN18">
        <v>47.214300000000001</v>
      </c>
      <c r="AO18">
        <v>45.99</v>
      </c>
      <c r="AP18" s="13">
        <v>44974</v>
      </c>
      <c r="AQ18">
        <v>-3</v>
      </c>
      <c r="AR18">
        <v>1</v>
      </c>
    </row>
    <row r="19" spans="1:44" x14ac:dyDescent="0.35">
      <c r="A19" s="12" t="s">
        <v>182</v>
      </c>
      <c r="B19" s="12" t="s">
        <v>163</v>
      </c>
      <c r="C19" s="12" t="s">
        <v>164</v>
      </c>
      <c r="D19" s="12" t="s">
        <v>64</v>
      </c>
      <c r="E19" s="12" t="s">
        <v>104</v>
      </c>
      <c r="F19">
        <v>2</v>
      </c>
      <c r="G19">
        <v>0</v>
      </c>
      <c r="H19">
        <v>0</v>
      </c>
      <c r="I19" s="12" t="s">
        <v>183</v>
      </c>
      <c r="J19" s="12" t="s">
        <v>184</v>
      </c>
      <c r="K19" s="12" t="s">
        <v>133</v>
      </c>
      <c r="L19" s="12" t="s">
        <v>82</v>
      </c>
      <c r="M19">
        <v>8.6199999999999992</v>
      </c>
      <c r="N19" s="12" t="s">
        <v>97</v>
      </c>
      <c r="O19" s="12" t="s">
        <v>98</v>
      </c>
      <c r="P19" s="12" t="s">
        <v>72</v>
      </c>
      <c r="Q19" s="13">
        <v>44952</v>
      </c>
      <c r="R19" s="13">
        <v>44979</v>
      </c>
      <c r="S19">
        <v>2023</v>
      </c>
      <c r="T19" s="12" t="s">
        <v>73</v>
      </c>
      <c r="U19">
        <v>858</v>
      </c>
      <c r="V19">
        <v>12.8643</v>
      </c>
      <c r="W19">
        <v>285.85000000000002</v>
      </c>
      <c r="X19">
        <v>0</v>
      </c>
      <c r="Y19">
        <v>0</v>
      </c>
      <c r="Z19">
        <v>11037.57</v>
      </c>
      <c r="AA19">
        <v>11323.42</v>
      </c>
      <c r="AB19" s="12" t="s">
        <v>185</v>
      </c>
      <c r="AC19">
        <v>12.8643</v>
      </c>
      <c r="AD19">
        <v>1</v>
      </c>
      <c r="AE19">
        <v>1</v>
      </c>
      <c r="AF19">
        <v>0</v>
      </c>
      <c r="AG19">
        <v>11037.57</v>
      </c>
      <c r="AH19">
        <v>858</v>
      </c>
      <c r="AI19">
        <v>855</v>
      </c>
      <c r="AJ19">
        <v>3</v>
      </c>
      <c r="AK19">
        <v>1</v>
      </c>
      <c r="AL19">
        <v>1</v>
      </c>
      <c r="AM19">
        <v>99.65</v>
      </c>
      <c r="AN19">
        <v>13.2438</v>
      </c>
      <c r="AO19">
        <v>38.590000000000003</v>
      </c>
      <c r="AP19" s="13">
        <v>44977</v>
      </c>
      <c r="AQ19">
        <v>-2</v>
      </c>
      <c r="AR19">
        <v>1</v>
      </c>
    </row>
    <row r="20" spans="1:44" x14ac:dyDescent="0.35">
      <c r="A20" s="12" t="s">
        <v>186</v>
      </c>
      <c r="B20" s="12" t="s">
        <v>101</v>
      </c>
      <c r="C20" s="12" t="s">
        <v>102</v>
      </c>
      <c r="D20" s="12" t="s">
        <v>103</v>
      </c>
      <c r="E20" s="12" t="s">
        <v>104</v>
      </c>
      <c r="F20">
        <v>1</v>
      </c>
      <c r="G20">
        <v>0</v>
      </c>
      <c r="H20">
        <v>1</v>
      </c>
      <c r="I20" s="12" t="s">
        <v>105</v>
      </c>
      <c r="J20" s="12" t="s">
        <v>106</v>
      </c>
      <c r="K20" s="12" t="s">
        <v>81</v>
      </c>
      <c r="L20" s="12" t="s">
        <v>96</v>
      </c>
      <c r="M20">
        <v>5.01</v>
      </c>
      <c r="N20" s="12" t="s">
        <v>145</v>
      </c>
      <c r="O20" s="12" t="s">
        <v>146</v>
      </c>
      <c r="P20" s="12" t="s">
        <v>109</v>
      </c>
      <c r="Q20" s="13">
        <v>44953</v>
      </c>
      <c r="R20" s="13">
        <v>44970</v>
      </c>
      <c r="S20">
        <v>2023</v>
      </c>
      <c r="T20" s="12" t="s">
        <v>73</v>
      </c>
      <c r="U20">
        <v>52</v>
      </c>
      <c r="V20">
        <v>207.4813</v>
      </c>
      <c r="W20">
        <v>270.33</v>
      </c>
      <c r="X20">
        <v>0</v>
      </c>
      <c r="Y20">
        <v>0</v>
      </c>
      <c r="Z20">
        <v>10789.03</v>
      </c>
      <c r="AA20">
        <v>11059.36</v>
      </c>
      <c r="AB20" s="12" t="s">
        <v>110</v>
      </c>
      <c r="AC20">
        <v>207.4813</v>
      </c>
      <c r="AD20">
        <v>1</v>
      </c>
      <c r="AE20">
        <v>1</v>
      </c>
      <c r="AF20">
        <v>0</v>
      </c>
      <c r="AG20">
        <v>10789.03</v>
      </c>
      <c r="AH20">
        <v>52</v>
      </c>
      <c r="AI20">
        <v>52</v>
      </c>
      <c r="AJ20">
        <v>0</v>
      </c>
      <c r="AK20">
        <v>1</v>
      </c>
      <c r="AL20">
        <v>1</v>
      </c>
      <c r="AM20">
        <v>100</v>
      </c>
      <c r="AN20">
        <v>212.68</v>
      </c>
      <c r="AO20">
        <v>0</v>
      </c>
      <c r="AP20" s="13">
        <v>44967</v>
      </c>
      <c r="AQ20">
        <v>-3</v>
      </c>
      <c r="AR20">
        <v>1</v>
      </c>
    </row>
    <row r="21" spans="1:44" x14ac:dyDescent="0.35">
      <c r="A21" s="12" t="s">
        <v>187</v>
      </c>
      <c r="B21" s="12" t="s">
        <v>163</v>
      </c>
      <c r="C21" s="12" t="s">
        <v>164</v>
      </c>
      <c r="D21" s="12" t="s">
        <v>64</v>
      </c>
      <c r="E21" s="12" t="s">
        <v>104</v>
      </c>
      <c r="F21">
        <v>2</v>
      </c>
      <c r="G21">
        <v>0</v>
      </c>
      <c r="H21">
        <v>0</v>
      </c>
      <c r="I21" s="12" t="s">
        <v>79</v>
      </c>
      <c r="J21" s="12" t="s">
        <v>80</v>
      </c>
      <c r="K21" s="12" t="s">
        <v>81</v>
      </c>
      <c r="L21" s="12" t="s">
        <v>82</v>
      </c>
      <c r="M21">
        <v>12.07</v>
      </c>
      <c r="N21" s="12" t="s">
        <v>70</v>
      </c>
      <c r="O21" s="12" t="s">
        <v>71</v>
      </c>
      <c r="P21" s="12" t="s">
        <v>72</v>
      </c>
      <c r="Q21" s="13">
        <v>44953</v>
      </c>
      <c r="R21" s="13">
        <v>44969</v>
      </c>
      <c r="S21">
        <v>2023</v>
      </c>
      <c r="T21" s="12" t="s">
        <v>73</v>
      </c>
      <c r="U21">
        <v>308</v>
      </c>
      <c r="V21">
        <v>12.8643</v>
      </c>
      <c r="W21">
        <v>36.39</v>
      </c>
      <c r="X21">
        <v>0</v>
      </c>
      <c r="Y21">
        <v>0</v>
      </c>
      <c r="Z21">
        <v>3962.2</v>
      </c>
      <c r="AA21">
        <v>3998.59</v>
      </c>
      <c r="AB21" s="12" t="s">
        <v>165</v>
      </c>
      <c r="AC21">
        <v>12.8643</v>
      </c>
      <c r="AD21">
        <v>1</v>
      </c>
      <c r="AE21">
        <v>1</v>
      </c>
      <c r="AF21">
        <v>0</v>
      </c>
      <c r="AG21">
        <v>3962.2</v>
      </c>
      <c r="AH21">
        <v>308</v>
      </c>
      <c r="AI21">
        <v>305</v>
      </c>
      <c r="AJ21">
        <v>3</v>
      </c>
      <c r="AK21">
        <v>1</v>
      </c>
      <c r="AL21">
        <v>1</v>
      </c>
      <c r="AM21">
        <v>99.03</v>
      </c>
      <c r="AN21">
        <v>13.110099999999999</v>
      </c>
      <c r="AO21">
        <v>38.590000000000003</v>
      </c>
      <c r="AP21" s="13">
        <v>44968</v>
      </c>
      <c r="AQ21">
        <v>-1</v>
      </c>
      <c r="AR21">
        <v>1</v>
      </c>
    </row>
    <row r="22" spans="1:44" x14ac:dyDescent="0.35">
      <c r="A22" s="12" t="s">
        <v>188</v>
      </c>
      <c r="B22" s="12" t="s">
        <v>167</v>
      </c>
      <c r="C22" s="12" t="s">
        <v>168</v>
      </c>
      <c r="D22" s="12" t="s">
        <v>64</v>
      </c>
      <c r="E22" s="12" t="s">
        <v>104</v>
      </c>
      <c r="F22">
        <v>3</v>
      </c>
      <c r="G22">
        <v>1</v>
      </c>
      <c r="H22">
        <v>0</v>
      </c>
      <c r="I22" s="12" t="s">
        <v>169</v>
      </c>
      <c r="J22" s="12" t="s">
        <v>170</v>
      </c>
      <c r="K22" s="12" t="s">
        <v>89</v>
      </c>
      <c r="L22" s="12" t="s">
        <v>134</v>
      </c>
      <c r="M22">
        <v>1.37</v>
      </c>
      <c r="N22" s="12" t="s">
        <v>70</v>
      </c>
      <c r="O22" s="12" t="s">
        <v>71</v>
      </c>
      <c r="P22" s="12" t="s">
        <v>72</v>
      </c>
      <c r="Q22" s="13">
        <v>44956</v>
      </c>
      <c r="R22" s="13">
        <v>44977</v>
      </c>
      <c r="S22">
        <v>2023</v>
      </c>
      <c r="T22" s="12" t="s">
        <v>73</v>
      </c>
      <c r="U22">
        <v>581</v>
      </c>
      <c r="V22">
        <v>28.7181</v>
      </c>
      <c r="W22">
        <v>123.91</v>
      </c>
      <c r="X22">
        <v>0</v>
      </c>
      <c r="Y22">
        <v>0</v>
      </c>
      <c r="Z22">
        <v>16685.22</v>
      </c>
      <c r="AA22">
        <v>16809.13</v>
      </c>
      <c r="AB22" s="12" t="s">
        <v>171</v>
      </c>
      <c r="AC22">
        <v>28.7181</v>
      </c>
      <c r="AD22">
        <v>1</v>
      </c>
      <c r="AE22">
        <v>1</v>
      </c>
      <c r="AF22">
        <v>0</v>
      </c>
      <c r="AG22">
        <v>16685.22</v>
      </c>
      <c r="AH22">
        <v>581</v>
      </c>
      <c r="AI22">
        <v>574</v>
      </c>
      <c r="AJ22">
        <v>7</v>
      </c>
      <c r="AK22">
        <v>1</v>
      </c>
      <c r="AL22">
        <v>1</v>
      </c>
      <c r="AM22">
        <v>98.8</v>
      </c>
      <c r="AN22">
        <v>29.284199999999998</v>
      </c>
      <c r="AO22">
        <v>201.03</v>
      </c>
      <c r="AP22" s="13">
        <v>44978</v>
      </c>
      <c r="AQ22">
        <v>1</v>
      </c>
      <c r="AR22">
        <v>0</v>
      </c>
    </row>
    <row r="23" spans="1:44" x14ac:dyDescent="0.35">
      <c r="A23" s="12" t="s">
        <v>189</v>
      </c>
      <c r="B23" s="12" t="s">
        <v>167</v>
      </c>
      <c r="C23" s="12" t="s">
        <v>168</v>
      </c>
      <c r="D23" s="12" t="s">
        <v>64</v>
      </c>
      <c r="E23" s="12" t="s">
        <v>104</v>
      </c>
      <c r="F23">
        <v>3</v>
      </c>
      <c r="G23">
        <v>1</v>
      </c>
      <c r="H23">
        <v>0</v>
      </c>
      <c r="I23" s="12" t="s">
        <v>169</v>
      </c>
      <c r="J23" s="12" t="s">
        <v>170</v>
      </c>
      <c r="K23" s="12" t="s">
        <v>89</v>
      </c>
      <c r="L23" s="12" t="s">
        <v>134</v>
      </c>
      <c r="M23">
        <v>1.37</v>
      </c>
      <c r="N23" s="12" t="s">
        <v>70</v>
      </c>
      <c r="O23" s="12" t="s">
        <v>71</v>
      </c>
      <c r="P23" s="12" t="s">
        <v>72</v>
      </c>
      <c r="Q23" s="13">
        <v>44956</v>
      </c>
      <c r="R23" s="13">
        <v>44979</v>
      </c>
      <c r="S23">
        <v>2023</v>
      </c>
      <c r="T23" s="12" t="s">
        <v>73</v>
      </c>
      <c r="U23">
        <v>673</v>
      </c>
      <c r="V23">
        <v>28.7181</v>
      </c>
      <c r="W23">
        <v>165.02</v>
      </c>
      <c r="X23">
        <v>0</v>
      </c>
      <c r="Y23">
        <v>0</v>
      </c>
      <c r="Z23">
        <v>19327.28</v>
      </c>
      <c r="AA23">
        <v>19492.3</v>
      </c>
      <c r="AB23" s="12" t="s">
        <v>171</v>
      </c>
      <c r="AC23">
        <v>28.7181</v>
      </c>
      <c r="AD23">
        <v>1</v>
      </c>
      <c r="AE23">
        <v>1</v>
      </c>
      <c r="AF23">
        <v>0</v>
      </c>
      <c r="AG23">
        <v>19327.28</v>
      </c>
      <c r="AH23">
        <v>673</v>
      </c>
      <c r="AI23">
        <v>665</v>
      </c>
      <c r="AJ23">
        <v>8</v>
      </c>
      <c r="AK23">
        <v>1</v>
      </c>
      <c r="AL23">
        <v>1</v>
      </c>
      <c r="AM23">
        <v>98.81</v>
      </c>
      <c r="AN23">
        <v>29.311699999999998</v>
      </c>
      <c r="AO23">
        <v>229.74</v>
      </c>
      <c r="AP23" s="13">
        <v>44976</v>
      </c>
      <c r="AQ23">
        <v>-3</v>
      </c>
      <c r="AR23">
        <v>1</v>
      </c>
    </row>
    <row r="24" spans="1:44" x14ac:dyDescent="0.35">
      <c r="A24" s="12" t="s">
        <v>190</v>
      </c>
      <c r="B24" s="12" t="s">
        <v>92</v>
      </c>
      <c r="C24" s="12" t="s">
        <v>93</v>
      </c>
      <c r="D24" s="12" t="s">
        <v>64</v>
      </c>
      <c r="E24" s="12" t="s">
        <v>65</v>
      </c>
      <c r="F24">
        <v>3</v>
      </c>
      <c r="G24">
        <v>5</v>
      </c>
      <c r="H24">
        <v>0</v>
      </c>
      <c r="I24" s="12" t="s">
        <v>176</v>
      </c>
      <c r="J24" s="12" t="s">
        <v>177</v>
      </c>
      <c r="K24" s="12" t="s">
        <v>125</v>
      </c>
      <c r="L24" s="12" t="s">
        <v>134</v>
      </c>
      <c r="M24">
        <v>1.75</v>
      </c>
      <c r="N24" s="12" t="s">
        <v>97</v>
      </c>
      <c r="O24" s="12" t="s">
        <v>98</v>
      </c>
      <c r="P24" s="12" t="s">
        <v>72</v>
      </c>
      <c r="Q24" s="13">
        <v>44956</v>
      </c>
      <c r="R24" s="13">
        <v>44985</v>
      </c>
      <c r="S24">
        <v>2023</v>
      </c>
      <c r="T24" s="12" t="s">
        <v>73</v>
      </c>
      <c r="U24">
        <v>544</v>
      </c>
      <c r="V24">
        <v>24.617899999999999</v>
      </c>
      <c r="W24">
        <v>98.73</v>
      </c>
      <c r="X24">
        <v>0</v>
      </c>
      <c r="Y24">
        <v>0</v>
      </c>
      <c r="Z24">
        <v>13392.14</v>
      </c>
      <c r="AA24">
        <v>13490.87</v>
      </c>
      <c r="AB24" s="12" t="s">
        <v>191</v>
      </c>
      <c r="AC24">
        <v>24.617899999999999</v>
      </c>
      <c r="AD24">
        <v>1</v>
      </c>
      <c r="AE24">
        <v>1</v>
      </c>
      <c r="AF24">
        <v>0</v>
      </c>
      <c r="AG24">
        <v>13392.14</v>
      </c>
      <c r="AH24">
        <v>544</v>
      </c>
      <c r="AI24">
        <v>538</v>
      </c>
      <c r="AJ24">
        <v>6</v>
      </c>
      <c r="AK24">
        <v>1</v>
      </c>
      <c r="AL24">
        <v>1</v>
      </c>
      <c r="AM24">
        <v>98.9</v>
      </c>
      <c r="AN24">
        <v>25.076000000000001</v>
      </c>
      <c r="AO24">
        <v>147.71</v>
      </c>
      <c r="AP24" s="13">
        <v>44983</v>
      </c>
      <c r="AQ24">
        <v>-2</v>
      </c>
      <c r="AR24">
        <v>1</v>
      </c>
    </row>
    <row r="25" spans="1:44" x14ac:dyDescent="0.35">
      <c r="A25" s="12" t="s">
        <v>192</v>
      </c>
      <c r="B25" s="12" t="s">
        <v>193</v>
      </c>
      <c r="C25" s="12" t="s">
        <v>194</v>
      </c>
      <c r="D25" s="12" t="s">
        <v>114</v>
      </c>
      <c r="E25" s="12" t="s">
        <v>65</v>
      </c>
      <c r="F25">
        <v>3</v>
      </c>
      <c r="G25">
        <v>4</v>
      </c>
      <c r="H25">
        <v>0</v>
      </c>
      <c r="I25" s="12" t="s">
        <v>195</v>
      </c>
      <c r="J25" s="12" t="s">
        <v>196</v>
      </c>
      <c r="K25" s="12" t="s">
        <v>117</v>
      </c>
      <c r="L25" s="12" t="s">
        <v>134</v>
      </c>
      <c r="M25">
        <v>4.7699999999999996</v>
      </c>
      <c r="N25" s="12" t="s">
        <v>97</v>
      </c>
      <c r="O25" s="12" t="s">
        <v>98</v>
      </c>
      <c r="P25" s="12" t="s">
        <v>72</v>
      </c>
      <c r="Q25" s="13">
        <v>44956</v>
      </c>
      <c r="R25" s="13">
        <v>44993</v>
      </c>
      <c r="S25">
        <v>2023</v>
      </c>
      <c r="T25" s="12" t="s">
        <v>73</v>
      </c>
      <c r="U25">
        <v>136</v>
      </c>
      <c r="V25">
        <v>107.28270000000001</v>
      </c>
      <c r="W25">
        <v>256.07</v>
      </c>
      <c r="X25">
        <v>458.05</v>
      </c>
      <c r="Y25">
        <v>1</v>
      </c>
      <c r="Z25">
        <v>14590.45</v>
      </c>
      <c r="AA25">
        <v>15304.57</v>
      </c>
      <c r="AB25" s="12" t="s">
        <v>197</v>
      </c>
      <c r="AC25">
        <v>107.28270000000001</v>
      </c>
      <c r="AD25">
        <v>1</v>
      </c>
      <c r="AE25">
        <v>1</v>
      </c>
      <c r="AF25">
        <v>0</v>
      </c>
      <c r="AG25">
        <v>14590.45</v>
      </c>
      <c r="AH25">
        <v>136</v>
      </c>
      <c r="AI25">
        <v>135</v>
      </c>
      <c r="AJ25">
        <v>1</v>
      </c>
      <c r="AK25">
        <v>1</v>
      </c>
      <c r="AL25">
        <v>1</v>
      </c>
      <c r="AM25">
        <v>99.26</v>
      </c>
      <c r="AN25">
        <v>113.3672</v>
      </c>
      <c r="AO25">
        <v>107.28</v>
      </c>
      <c r="AP25" s="13">
        <v>44993</v>
      </c>
      <c r="AQ25">
        <v>0</v>
      </c>
      <c r="AR25">
        <v>1</v>
      </c>
    </row>
    <row r="26" spans="1:44" x14ac:dyDescent="0.35">
      <c r="A26" s="12" t="s">
        <v>198</v>
      </c>
      <c r="B26" s="12" t="s">
        <v>155</v>
      </c>
      <c r="C26" s="12" t="s">
        <v>156</v>
      </c>
      <c r="D26" s="12" t="s">
        <v>130</v>
      </c>
      <c r="E26" s="12" t="s">
        <v>104</v>
      </c>
      <c r="F26">
        <v>3</v>
      </c>
      <c r="G26">
        <v>1</v>
      </c>
      <c r="H26">
        <v>0</v>
      </c>
      <c r="I26" s="12" t="s">
        <v>199</v>
      </c>
      <c r="J26" s="12" t="s">
        <v>200</v>
      </c>
      <c r="K26" s="12" t="s">
        <v>68</v>
      </c>
      <c r="L26" s="12" t="s">
        <v>96</v>
      </c>
      <c r="M26">
        <v>9.4700000000000006</v>
      </c>
      <c r="N26" s="12" t="s">
        <v>159</v>
      </c>
      <c r="O26" s="12" t="s">
        <v>160</v>
      </c>
      <c r="P26" s="12" t="s">
        <v>137</v>
      </c>
      <c r="Q26" s="13">
        <v>44957</v>
      </c>
      <c r="R26" s="13">
        <v>44979</v>
      </c>
      <c r="S26">
        <v>2023</v>
      </c>
      <c r="T26" s="12" t="s">
        <v>73</v>
      </c>
      <c r="U26">
        <v>91</v>
      </c>
      <c r="V26">
        <v>214.74289999999999</v>
      </c>
      <c r="W26">
        <v>125.99</v>
      </c>
      <c r="X26">
        <v>0</v>
      </c>
      <c r="Y26">
        <v>0</v>
      </c>
      <c r="Z26">
        <v>19541.599999999999</v>
      </c>
      <c r="AA26">
        <v>19667.59</v>
      </c>
      <c r="AB26" s="12" t="s">
        <v>201</v>
      </c>
      <c r="AD26">
        <v>0</v>
      </c>
      <c r="AE26">
        <v>0</v>
      </c>
      <c r="AH26">
        <v>91</v>
      </c>
      <c r="AI26">
        <v>90</v>
      </c>
      <c r="AJ26">
        <v>1</v>
      </c>
      <c r="AK26">
        <v>1</v>
      </c>
      <c r="AL26">
        <v>1</v>
      </c>
      <c r="AM26">
        <v>98.9</v>
      </c>
      <c r="AN26">
        <v>218.52879999999999</v>
      </c>
      <c r="AO26">
        <v>214.74</v>
      </c>
      <c r="AP26" s="13">
        <v>44979</v>
      </c>
      <c r="AQ26">
        <v>0</v>
      </c>
      <c r="AR26">
        <v>1</v>
      </c>
    </row>
    <row r="27" spans="1:44" x14ac:dyDescent="0.35">
      <c r="A27" s="12" t="s">
        <v>202</v>
      </c>
      <c r="B27" s="12" t="s">
        <v>62</v>
      </c>
      <c r="C27" s="12" t="s">
        <v>63</v>
      </c>
      <c r="D27" s="12" t="s">
        <v>64</v>
      </c>
      <c r="E27" s="12" t="s">
        <v>65</v>
      </c>
      <c r="F27">
        <v>1</v>
      </c>
      <c r="G27">
        <v>2</v>
      </c>
      <c r="H27">
        <v>1</v>
      </c>
      <c r="I27" s="12" t="s">
        <v>66</v>
      </c>
      <c r="J27" s="12" t="s">
        <v>67</v>
      </c>
      <c r="K27" s="12" t="s">
        <v>68</v>
      </c>
      <c r="L27" s="12" t="s">
        <v>69</v>
      </c>
      <c r="M27">
        <v>17.66</v>
      </c>
      <c r="N27" s="12" t="s">
        <v>97</v>
      </c>
      <c r="O27" s="12" t="s">
        <v>98</v>
      </c>
      <c r="P27" s="12" t="s">
        <v>72</v>
      </c>
      <c r="Q27" s="13">
        <v>44959</v>
      </c>
      <c r="R27" s="13">
        <v>44994</v>
      </c>
      <c r="S27">
        <v>2023</v>
      </c>
      <c r="T27" s="12" t="s">
        <v>203</v>
      </c>
      <c r="U27">
        <v>844</v>
      </c>
      <c r="V27">
        <v>24.687000000000001</v>
      </c>
      <c r="W27">
        <v>208.81</v>
      </c>
      <c r="X27">
        <v>0</v>
      </c>
      <c r="Y27">
        <v>0</v>
      </c>
      <c r="Z27">
        <v>20835.830000000002</v>
      </c>
      <c r="AA27">
        <v>21044.639999999999</v>
      </c>
      <c r="AB27" s="12" t="s">
        <v>74</v>
      </c>
      <c r="AC27">
        <v>24.687000000000001</v>
      </c>
      <c r="AD27">
        <v>1</v>
      </c>
      <c r="AE27">
        <v>1</v>
      </c>
      <c r="AF27">
        <v>0</v>
      </c>
      <c r="AG27">
        <v>20835.830000000002</v>
      </c>
      <c r="AH27">
        <v>844</v>
      </c>
      <c r="AI27">
        <v>832</v>
      </c>
      <c r="AJ27">
        <v>12</v>
      </c>
      <c r="AK27">
        <v>1</v>
      </c>
      <c r="AL27">
        <v>1</v>
      </c>
      <c r="AM27">
        <v>98.58</v>
      </c>
      <c r="AN27">
        <v>25.294</v>
      </c>
      <c r="AO27">
        <v>296.24</v>
      </c>
      <c r="AP27" s="13">
        <v>44994</v>
      </c>
      <c r="AQ27">
        <v>0</v>
      </c>
      <c r="AR27">
        <v>1</v>
      </c>
    </row>
    <row r="28" spans="1:44" x14ac:dyDescent="0.35">
      <c r="A28" s="12" t="s">
        <v>204</v>
      </c>
      <c r="B28" s="12" t="s">
        <v>155</v>
      </c>
      <c r="C28" s="12" t="s">
        <v>156</v>
      </c>
      <c r="D28" s="12" t="s">
        <v>130</v>
      </c>
      <c r="E28" s="12" t="s">
        <v>104</v>
      </c>
      <c r="F28">
        <v>3</v>
      </c>
      <c r="G28">
        <v>1</v>
      </c>
      <c r="H28">
        <v>0</v>
      </c>
      <c r="I28" s="12" t="s">
        <v>131</v>
      </c>
      <c r="J28" s="12" t="s">
        <v>132</v>
      </c>
      <c r="K28" s="12" t="s">
        <v>133</v>
      </c>
      <c r="L28" s="12" t="s">
        <v>134</v>
      </c>
      <c r="M28">
        <v>1.51</v>
      </c>
      <c r="N28" s="12" t="s">
        <v>159</v>
      </c>
      <c r="O28" s="12" t="s">
        <v>160</v>
      </c>
      <c r="P28" s="12" t="s">
        <v>137</v>
      </c>
      <c r="Q28" s="13">
        <v>44959</v>
      </c>
      <c r="R28" s="13">
        <v>44988</v>
      </c>
      <c r="S28">
        <v>2023</v>
      </c>
      <c r="T28" s="12" t="s">
        <v>203</v>
      </c>
      <c r="U28">
        <v>146</v>
      </c>
      <c r="V28">
        <v>206.28880000000001</v>
      </c>
      <c r="W28">
        <v>395.36</v>
      </c>
      <c r="X28">
        <v>0</v>
      </c>
      <c r="Y28">
        <v>0</v>
      </c>
      <c r="Z28">
        <v>30118.16</v>
      </c>
      <c r="AA28">
        <v>30513.52</v>
      </c>
      <c r="AB28" s="12" t="s">
        <v>205</v>
      </c>
      <c r="AC28">
        <v>206.28880000000001</v>
      </c>
      <c r="AD28">
        <v>1</v>
      </c>
      <c r="AE28">
        <v>1</v>
      </c>
      <c r="AF28">
        <v>0</v>
      </c>
      <c r="AG28">
        <v>30118.16</v>
      </c>
      <c r="AH28">
        <v>146</v>
      </c>
      <c r="AI28">
        <v>133</v>
      </c>
      <c r="AJ28">
        <v>13</v>
      </c>
      <c r="AK28">
        <v>1</v>
      </c>
      <c r="AL28">
        <v>1</v>
      </c>
      <c r="AM28">
        <v>91.1</v>
      </c>
      <c r="AN28">
        <v>229.42500000000001</v>
      </c>
      <c r="AO28">
        <v>2681.75</v>
      </c>
      <c r="AP28" s="13">
        <v>44994</v>
      </c>
      <c r="AQ28">
        <v>6</v>
      </c>
      <c r="AR28">
        <v>0</v>
      </c>
    </row>
    <row r="29" spans="1:44" x14ac:dyDescent="0.35">
      <c r="A29" s="12" t="s">
        <v>206</v>
      </c>
      <c r="B29" s="12" t="s">
        <v>207</v>
      </c>
      <c r="C29" s="12" t="s">
        <v>208</v>
      </c>
      <c r="D29" s="12" t="s">
        <v>78</v>
      </c>
      <c r="E29" s="12" t="s">
        <v>65</v>
      </c>
      <c r="F29">
        <v>2</v>
      </c>
      <c r="G29">
        <v>3</v>
      </c>
      <c r="H29">
        <v>0</v>
      </c>
      <c r="I29" s="12" t="s">
        <v>209</v>
      </c>
      <c r="J29" s="12" t="s">
        <v>210</v>
      </c>
      <c r="K29" s="12" t="s">
        <v>133</v>
      </c>
      <c r="L29" s="12" t="s">
        <v>96</v>
      </c>
      <c r="M29">
        <v>7.82</v>
      </c>
      <c r="N29" s="12" t="s">
        <v>70</v>
      </c>
      <c r="O29" s="12" t="s">
        <v>71</v>
      </c>
      <c r="P29" s="12" t="s">
        <v>72</v>
      </c>
      <c r="Q29" s="13">
        <v>44959</v>
      </c>
      <c r="R29" s="13">
        <v>44997</v>
      </c>
      <c r="S29">
        <v>2023</v>
      </c>
      <c r="T29" s="12" t="s">
        <v>203</v>
      </c>
      <c r="U29">
        <v>286</v>
      </c>
      <c r="V29">
        <v>152.13079999999999</v>
      </c>
      <c r="W29">
        <v>278.33</v>
      </c>
      <c r="X29">
        <v>0</v>
      </c>
      <c r="Y29">
        <v>0</v>
      </c>
      <c r="Z29">
        <v>43509.41</v>
      </c>
      <c r="AA29">
        <v>43787.74</v>
      </c>
      <c r="AB29" s="12" t="s">
        <v>211</v>
      </c>
      <c r="AC29">
        <v>152.13079999999999</v>
      </c>
      <c r="AD29">
        <v>1</v>
      </c>
      <c r="AE29">
        <v>1</v>
      </c>
      <c r="AF29">
        <v>0</v>
      </c>
      <c r="AG29">
        <v>43509.41</v>
      </c>
      <c r="AH29">
        <v>286</v>
      </c>
      <c r="AI29">
        <v>285</v>
      </c>
      <c r="AJ29">
        <v>1</v>
      </c>
      <c r="AK29">
        <v>1</v>
      </c>
      <c r="AL29">
        <v>1</v>
      </c>
      <c r="AM29">
        <v>99.65</v>
      </c>
      <c r="AN29">
        <v>153.6412</v>
      </c>
      <c r="AO29">
        <v>152.13</v>
      </c>
      <c r="AP29" s="13">
        <v>45004</v>
      </c>
      <c r="AQ29">
        <v>7</v>
      </c>
      <c r="AR29">
        <v>0</v>
      </c>
    </row>
    <row r="30" spans="1:44" x14ac:dyDescent="0.35">
      <c r="A30" s="12" t="s">
        <v>212</v>
      </c>
      <c r="B30" s="12" t="s">
        <v>193</v>
      </c>
      <c r="C30" s="12" t="s">
        <v>194</v>
      </c>
      <c r="D30" s="12" t="s">
        <v>114</v>
      </c>
      <c r="E30" s="12" t="s">
        <v>65</v>
      </c>
      <c r="F30">
        <v>3</v>
      </c>
      <c r="G30">
        <v>4</v>
      </c>
      <c r="H30">
        <v>0</v>
      </c>
      <c r="I30" s="12" t="s">
        <v>143</v>
      </c>
      <c r="J30" s="12" t="s">
        <v>144</v>
      </c>
      <c r="K30" s="12" t="s">
        <v>133</v>
      </c>
      <c r="L30" s="12" t="s">
        <v>96</v>
      </c>
      <c r="M30">
        <v>5.43</v>
      </c>
      <c r="N30" s="12" t="s">
        <v>97</v>
      </c>
      <c r="O30" s="12" t="s">
        <v>98</v>
      </c>
      <c r="P30" s="12" t="s">
        <v>72</v>
      </c>
      <c r="Q30" s="13">
        <v>44959</v>
      </c>
      <c r="R30" s="13">
        <v>44995</v>
      </c>
      <c r="S30">
        <v>2023</v>
      </c>
      <c r="T30" s="12" t="s">
        <v>203</v>
      </c>
      <c r="U30">
        <v>129</v>
      </c>
      <c r="V30">
        <v>107.28270000000001</v>
      </c>
      <c r="W30">
        <v>247.86</v>
      </c>
      <c r="X30">
        <v>0</v>
      </c>
      <c r="Y30">
        <v>0</v>
      </c>
      <c r="Z30">
        <v>13839.47</v>
      </c>
      <c r="AA30">
        <v>14087.33</v>
      </c>
      <c r="AB30" s="12" t="s">
        <v>213</v>
      </c>
      <c r="AC30">
        <v>107.28270000000001</v>
      </c>
      <c r="AD30">
        <v>1</v>
      </c>
      <c r="AE30">
        <v>1</v>
      </c>
      <c r="AF30">
        <v>0</v>
      </c>
      <c r="AG30">
        <v>13839.47</v>
      </c>
      <c r="AH30">
        <v>129</v>
      </c>
      <c r="AI30">
        <v>128</v>
      </c>
      <c r="AJ30">
        <v>1</v>
      </c>
      <c r="AK30">
        <v>1</v>
      </c>
      <c r="AL30">
        <v>1</v>
      </c>
      <c r="AM30">
        <v>99.22</v>
      </c>
      <c r="AN30">
        <v>110.0573</v>
      </c>
      <c r="AO30">
        <v>107.28</v>
      </c>
      <c r="AP30" s="13">
        <v>44995</v>
      </c>
      <c r="AQ30">
        <v>0</v>
      </c>
      <c r="AR30">
        <v>1</v>
      </c>
    </row>
    <row r="31" spans="1:44" x14ac:dyDescent="0.35">
      <c r="A31" s="12" t="s">
        <v>214</v>
      </c>
      <c r="B31" s="12" t="s">
        <v>215</v>
      </c>
      <c r="C31" s="12" t="s">
        <v>216</v>
      </c>
      <c r="D31" s="12" t="s">
        <v>122</v>
      </c>
      <c r="E31" s="12" t="s">
        <v>142</v>
      </c>
      <c r="F31">
        <v>3</v>
      </c>
      <c r="G31">
        <v>11</v>
      </c>
      <c r="H31">
        <v>0</v>
      </c>
      <c r="I31" s="12" t="s">
        <v>217</v>
      </c>
      <c r="J31" s="12" t="s">
        <v>218</v>
      </c>
      <c r="K31" s="12" t="s">
        <v>68</v>
      </c>
      <c r="L31" s="12" t="s">
        <v>82</v>
      </c>
      <c r="M31">
        <v>14.24</v>
      </c>
      <c r="N31" s="12" t="s">
        <v>70</v>
      </c>
      <c r="O31" s="12" t="s">
        <v>71</v>
      </c>
      <c r="P31" s="12" t="s">
        <v>72</v>
      </c>
      <c r="Q31" s="13">
        <v>44959</v>
      </c>
      <c r="R31" s="13">
        <v>45002</v>
      </c>
      <c r="S31">
        <v>2023</v>
      </c>
      <c r="T31" s="12" t="s">
        <v>203</v>
      </c>
      <c r="U31">
        <v>1082</v>
      </c>
      <c r="V31">
        <v>15.462199999999999</v>
      </c>
      <c r="W31">
        <v>188.33</v>
      </c>
      <c r="X31">
        <v>0</v>
      </c>
      <c r="Y31">
        <v>0</v>
      </c>
      <c r="Z31">
        <v>16730.099999999999</v>
      </c>
      <c r="AA31">
        <v>16918.43</v>
      </c>
      <c r="AB31" s="12" t="s">
        <v>219</v>
      </c>
      <c r="AC31">
        <v>15.462199999999999</v>
      </c>
      <c r="AD31">
        <v>1</v>
      </c>
      <c r="AE31">
        <v>1</v>
      </c>
      <c r="AF31">
        <v>0</v>
      </c>
      <c r="AG31">
        <v>16730.099999999999</v>
      </c>
      <c r="AH31">
        <v>1082</v>
      </c>
      <c r="AI31">
        <v>1076</v>
      </c>
      <c r="AJ31">
        <v>6</v>
      </c>
      <c r="AK31">
        <v>1</v>
      </c>
      <c r="AL31">
        <v>1</v>
      </c>
      <c r="AM31">
        <v>99.45</v>
      </c>
      <c r="AN31">
        <v>15.7234</v>
      </c>
      <c r="AO31">
        <v>92.77</v>
      </c>
      <c r="AP31" s="13">
        <v>44999</v>
      </c>
      <c r="AQ31">
        <v>-3</v>
      </c>
      <c r="AR31">
        <v>1</v>
      </c>
    </row>
    <row r="32" spans="1:44" x14ac:dyDescent="0.35">
      <c r="A32" s="12" t="s">
        <v>220</v>
      </c>
      <c r="B32" s="12" t="s">
        <v>221</v>
      </c>
      <c r="C32" s="12" t="s">
        <v>222</v>
      </c>
      <c r="D32" s="12" t="s">
        <v>114</v>
      </c>
      <c r="E32" s="12" t="s">
        <v>142</v>
      </c>
      <c r="F32">
        <v>3</v>
      </c>
      <c r="G32">
        <v>11</v>
      </c>
      <c r="H32">
        <v>0</v>
      </c>
      <c r="I32" s="12" t="s">
        <v>223</v>
      </c>
      <c r="J32" s="12" t="s">
        <v>224</v>
      </c>
      <c r="K32" s="12" t="s">
        <v>81</v>
      </c>
      <c r="L32" s="12" t="s">
        <v>134</v>
      </c>
      <c r="M32">
        <v>2.4900000000000002</v>
      </c>
      <c r="N32" s="12" t="s">
        <v>97</v>
      </c>
      <c r="O32" s="12" t="s">
        <v>98</v>
      </c>
      <c r="P32" s="12" t="s">
        <v>72</v>
      </c>
      <c r="Q32" s="13">
        <v>44959</v>
      </c>
      <c r="R32" s="13">
        <v>45009</v>
      </c>
      <c r="S32">
        <v>2023</v>
      </c>
      <c r="T32" s="12" t="s">
        <v>203</v>
      </c>
      <c r="U32">
        <v>126</v>
      </c>
      <c r="V32">
        <v>239.12739999999999</v>
      </c>
      <c r="W32">
        <v>597.51</v>
      </c>
      <c r="X32">
        <v>972.12</v>
      </c>
      <c r="Y32">
        <v>1</v>
      </c>
      <c r="Z32">
        <v>30130.05</v>
      </c>
      <c r="AA32">
        <v>31699.68</v>
      </c>
      <c r="AB32" s="12" t="s">
        <v>225</v>
      </c>
      <c r="AC32">
        <v>239.12739999999999</v>
      </c>
      <c r="AD32">
        <v>1</v>
      </c>
      <c r="AE32">
        <v>1</v>
      </c>
      <c r="AF32">
        <v>0</v>
      </c>
      <c r="AG32">
        <v>30130.05</v>
      </c>
      <c r="AH32">
        <v>126</v>
      </c>
      <c r="AI32">
        <v>123</v>
      </c>
      <c r="AJ32">
        <v>3</v>
      </c>
      <c r="AK32">
        <v>1</v>
      </c>
      <c r="AL32">
        <v>1</v>
      </c>
      <c r="AM32">
        <v>97.62</v>
      </c>
      <c r="AN32">
        <v>257.721</v>
      </c>
      <c r="AO32">
        <v>717.38</v>
      </c>
      <c r="AP32" s="13">
        <v>45006</v>
      </c>
      <c r="AQ32">
        <v>-3</v>
      </c>
      <c r="AR32">
        <v>1</v>
      </c>
    </row>
    <row r="33" spans="1:44" x14ac:dyDescent="0.35">
      <c r="A33" s="12" t="s">
        <v>226</v>
      </c>
      <c r="B33" s="12" t="s">
        <v>173</v>
      </c>
      <c r="C33" s="12" t="s">
        <v>174</v>
      </c>
      <c r="D33" s="12" t="s">
        <v>175</v>
      </c>
      <c r="E33" s="12" t="s">
        <v>104</v>
      </c>
      <c r="F33">
        <v>3</v>
      </c>
      <c r="G33">
        <v>1</v>
      </c>
      <c r="H33">
        <v>0</v>
      </c>
      <c r="I33" s="12" t="s">
        <v>227</v>
      </c>
      <c r="J33" s="12" t="s">
        <v>228</v>
      </c>
      <c r="K33" s="12" t="s">
        <v>89</v>
      </c>
      <c r="L33" s="12" t="s">
        <v>96</v>
      </c>
      <c r="M33">
        <v>9.15</v>
      </c>
      <c r="N33" s="12" t="s">
        <v>145</v>
      </c>
      <c r="O33" s="12" t="s">
        <v>146</v>
      </c>
      <c r="P33" s="12" t="s">
        <v>109</v>
      </c>
      <c r="Q33" s="13">
        <v>44960</v>
      </c>
      <c r="R33" s="13">
        <v>44974</v>
      </c>
      <c r="S33">
        <v>2023</v>
      </c>
      <c r="T33" s="12" t="s">
        <v>203</v>
      </c>
      <c r="U33">
        <v>30</v>
      </c>
      <c r="V33">
        <v>79.9559</v>
      </c>
      <c r="W33">
        <v>60.46</v>
      </c>
      <c r="X33">
        <v>0</v>
      </c>
      <c r="Y33">
        <v>0</v>
      </c>
      <c r="Z33">
        <v>2398.6799999999998</v>
      </c>
      <c r="AA33">
        <v>2459.14</v>
      </c>
      <c r="AB33" s="12" t="s">
        <v>229</v>
      </c>
      <c r="AC33">
        <v>79.9559</v>
      </c>
      <c r="AD33">
        <v>1</v>
      </c>
      <c r="AE33">
        <v>1</v>
      </c>
      <c r="AF33">
        <v>0</v>
      </c>
      <c r="AG33">
        <v>2398.6799999999998</v>
      </c>
      <c r="AH33">
        <v>30</v>
      </c>
      <c r="AI33">
        <v>30</v>
      </c>
      <c r="AJ33">
        <v>0</v>
      </c>
      <c r="AK33">
        <v>1</v>
      </c>
      <c r="AL33">
        <v>1</v>
      </c>
      <c r="AM33">
        <v>100</v>
      </c>
      <c r="AN33">
        <v>81.971199999999996</v>
      </c>
      <c r="AO33">
        <v>0</v>
      </c>
      <c r="AP33" s="13">
        <v>44974</v>
      </c>
      <c r="AQ33">
        <v>0</v>
      </c>
      <c r="AR33">
        <v>1</v>
      </c>
    </row>
    <row r="34" spans="1:44" x14ac:dyDescent="0.35">
      <c r="A34" s="12" t="s">
        <v>230</v>
      </c>
      <c r="B34" s="12" t="s">
        <v>231</v>
      </c>
      <c r="C34" s="12" t="s">
        <v>232</v>
      </c>
      <c r="D34" s="12" t="s">
        <v>130</v>
      </c>
      <c r="E34" s="12" t="s">
        <v>65</v>
      </c>
      <c r="F34">
        <v>1</v>
      </c>
      <c r="G34">
        <v>2</v>
      </c>
      <c r="H34">
        <v>1</v>
      </c>
      <c r="I34" s="12" t="s">
        <v>233</v>
      </c>
      <c r="J34" s="12" t="s">
        <v>234</v>
      </c>
      <c r="K34" s="12" t="s">
        <v>125</v>
      </c>
      <c r="L34" s="12" t="s">
        <v>96</v>
      </c>
      <c r="M34">
        <v>3.73</v>
      </c>
      <c r="N34" s="12" t="s">
        <v>135</v>
      </c>
      <c r="O34" s="12" t="s">
        <v>136</v>
      </c>
      <c r="P34" s="12" t="s">
        <v>137</v>
      </c>
      <c r="Q34" s="13">
        <v>44960</v>
      </c>
      <c r="R34" s="13">
        <v>44993</v>
      </c>
      <c r="S34">
        <v>2023</v>
      </c>
      <c r="T34" s="12" t="s">
        <v>203</v>
      </c>
      <c r="U34">
        <v>105</v>
      </c>
      <c r="V34">
        <v>416.40039999999999</v>
      </c>
      <c r="W34">
        <v>652.65</v>
      </c>
      <c r="X34">
        <v>0</v>
      </c>
      <c r="Y34">
        <v>0</v>
      </c>
      <c r="Z34">
        <v>43722.04</v>
      </c>
      <c r="AA34">
        <v>44374.69</v>
      </c>
      <c r="AB34" s="12" t="s">
        <v>235</v>
      </c>
      <c r="AC34">
        <v>416.40039999999999</v>
      </c>
      <c r="AD34">
        <v>1</v>
      </c>
      <c r="AE34">
        <v>1</v>
      </c>
      <c r="AF34">
        <v>0</v>
      </c>
      <c r="AG34">
        <v>43722.04</v>
      </c>
      <c r="AH34">
        <v>105</v>
      </c>
      <c r="AI34">
        <v>104</v>
      </c>
      <c r="AJ34">
        <v>1</v>
      </c>
      <c r="AK34">
        <v>1</v>
      </c>
      <c r="AL34">
        <v>1</v>
      </c>
      <c r="AM34">
        <v>99.05</v>
      </c>
      <c r="AN34">
        <v>426.67970000000003</v>
      </c>
      <c r="AO34">
        <v>416.4</v>
      </c>
      <c r="AP34" s="13">
        <v>44991</v>
      </c>
      <c r="AQ34">
        <v>-2</v>
      </c>
      <c r="AR34">
        <v>1</v>
      </c>
    </row>
    <row r="35" spans="1:44" x14ac:dyDescent="0.35">
      <c r="A35" s="12" t="s">
        <v>236</v>
      </c>
      <c r="B35" s="12" t="s">
        <v>85</v>
      </c>
      <c r="C35" s="12" t="s">
        <v>86</v>
      </c>
      <c r="D35" s="12" t="s">
        <v>78</v>
      </c>
      <c r="E35" s="12" t="s">
        <v>65</v>
      </c>
      <c r="F35">
        <v>3</v>
      </c>
      <c r="G35">
        <v>5</v>
      </c>
      <c r="H35">
        <v>0</v>
      </c>
      <c r="I35" s="12" t="s">
        <v>87</v>
      </c>
      <c r="J35" s="12" t="s">
        <v>88</v>
      </c>
      <c r="K35" s="12" t="s">
        <v>89</v>
      </c>
      <c r="L35" s="12" t="s">
        <v>69</v>
      </c>
      <c r="M35">
        <v>14.93</v>
      </c>
      <c r="N35" s="12" t="s">
        <v>70</v>
      </c>
      <c r="O35" s="12" t="s">
        <v>71</v>
      </c>
      <c r="P35" s="12" t="s">
        <v>72</v>
      </c>
      <c r="Q35" s="13">
        <v>44960</v>
      </c>
      <c r="R35" s="13">
        <v>44998</v>
      </c>
      <c r="S35">
        <v>2023</v>
      </c>
      <c r="T35" s="12" t="s">
        <v>203</v>
      </c>
      <c r="U35">
        <v>294</v>
      </c>
      <c r="V35">
        <v>147.55000000000001</v>
      </c>
      <c r="W35">
        <v>588.22</v>
      </c>
      <c r="X35">
        <v>0</v>
      </c>
      <c r="Y35">
        <v>0</v>
      </c>
      <c r="Z35">
        <v>43379.7</v>
      </c>
      <c r="AA35">
        <v>43967.92</v>
      </c>
      <c r="AB35" s="12" t="s">
        <v>90</v>
      </c>
      <c r="AC35">
        <v>147.55000000000001</v>
      </c>
      <c r="AD35">
        <v>1</v>
      </c>
      <c r="AE35">
        <v>1</v>
      </c>
      <c r="AF35">
        <v>0</v>
      </c>
      <c r="AG35">
        <v>43379.7</v>
      </c>
      <c r="AH35">
        <v>294</v>
      </c>
      <c r="AI35">
        <v>292</v>
      </c>
      <c r="AJ35">
        <v>2</v>
      </c>
      <c r="AK35">
        <v>1</v>
      </c>
      <c r="AL35">
        <v>1</v>
      </c>
      <c r="AM35">
        <v>99.32</v>
      </c>
      <c r="AN35">
        <v>150.57509999999999</v>
      </c>
      <c r="AO35">
        <v>295.10000000000002</v>
      </c>
      <c r="AP35" s="13">
        <v>44995</v>
      </c>
      <c r="AQ35">
        <v>-3</v>
      </c>
      <c r="AR35">
        <v>1</v>
      </c>
    </row>
    <row r="36" spans="1:44" x14ac:dyDescent="0.35">
      <c r="A36" s="12" t="s">
        <v>237</v>
      </c>
      <c r="B36" s="12" t="s">
        <v>238</v>
      </c>
      <c r="C36" s="12" t="s">
        <v>239</v>
      </c>
      <c r="D36" s="12" t="s">
        <v>122</v>
      </c>
      <c r="E36" s="12" t="s">
        <v>65</v>
      </c>
      <c r="F36">
        <v>3</v>
      </c>
      <c r="G36">
        <v>4</v>
      </c>
      <c r="H36">
        <v>0</v>
      </c>
      <c r="I36" s="12" t="s">
        <v>143</v>
      </c>
      <c r="J36" s="12" t="s">
        <v>144</v>
      </c>
      <c r="K36" s="12" t="s">
        <v>133</v>
      </c>
      <c r="L36" s="12" t="s">
        <v>96</v>
      </c>
      <c r="M36">
        <v>5.43</v>
      </c>
      <c r="N36" s="12" t="s">
        <v>97</v>
      </c>
      <c r="O36" s="12" t="s">
        <v>98</v>
      </c>
      <c r="P36" s="12" t="s">
        <v>72</v>
      </c>
      <c r="Q36" s="13">
        <v>44960</v>
      </c>
      <c r="R36" s="13">
        <v>44983</v>
      </c>
      <c r="S36">
        <v>2023</v>
      </c>
      <c r="T36" s="12" t="s">
        <v>203</v>
      </c>
      <c r="U36">
        <v>432</v>
      </c>
      <c r="V36">
        <v>39.8613</v>
      </c>
      <c r="W36">
        <v>369.88</v>
      </c>
      <c r="X36">
        <v>0</v>
      </c>
      <c r="Y36">
        <v>0</v>
      </c>
      <c r="Z36">
        <v>17220.080000000002</v>
      </c>
      <c r="AA36">
        <v>17589.96</v>
      </c>
      <c r="AB36" s="12" t="s">
        <v>201</v>
      </c>
      <c r="AD36">
        <v>0</v>
      </c>
      <c r="AE36">
        <v>0</v>
      </c>
      <c r="AH36">
        <v>432</v>
      </c>
      <c r="AI36">
        <v>427</v>
      </c>
      <c r="AJ36">
        <v>5</v>
      </c>
      <c r="AK36">
        <v>1</v>
      </c>
      <c r="AL36">
        <v>1</v>
      </c>
      <c r="AM36">
        <v>98.84</v>
      </c>
      <c r="AN36">
        <v>41.194299999999998</v>
      </c>
      <c r="AO36">
        <v>199.31</v>
      </c>
      <c r="AP36" s="13">
        <v>44982</v>
      </c>
      <c r="AQ36">
        <v>-1</v>
      </c>
      <c r="AR36">
        <v>1</v>
      </c>
    </row>
    <row r="37" spans="1:44" x14ac:dyDescent="0.35">
      <c r="A37" s="12" t="s">
        <v>240</v>
      </c>
      <c r="B37" s="12" t="s">
        <v>241</v>
      </c>
      <c r="C37" s="12" t="s">
        <v>242</v>
      </c>
      <c r="D37" s="12" t="s">
        <v>103</v>
      </c>
      <c r="E37" s="12" t="s">
        <v>142</v>
      </c>
      <c r="F37">
        <v>3</v>
      </c>
      <c r="G37">
        <v>11</v>
      </c>
      <c r="H37">
        <v>0</v>
      </c>
      <c r="I37" s="12" t="s">
        <v>243</v>
      </c>
      <c r="J37" s="12" t="s">
        <v>244</v>
      </c>
      <c r="K37" s="12" t="s">
        <v>81</v>
      </c>
      <c r="L37" s="12" t="s">
        <v>82</v>
      </c>
      <c r="M37">
        <v>9.2200000000000006</v>
      </c>
      <c r="N37" s="12" t="s">
        <v>145</v>
      </c>
      <c r="O37" s="12" t="s">
        <v>146</v>
      </c>
      <c r="P37" s="12" t="s">
        <v>109</v>
      </c>
      <c r="Q37" s="13">
        <v>44963</v>
      </c>
      <c r="R37" s="13">
        <v>45004</v>
      </c>
      <c r="S37">
        <v>2023</v>
      </c>
      <c r="T37" s="12" t="s">
        <v>203</v>
      </c>
      <c r="U37">
        <v>58</v>
      </c>
      <c r="V37">
        <v>164.8845</v>
      </c>
      <c r="W37">
        <v>111.48</v>
      </c>
      <c r="X37">
        <v>0</v>
      </c>
      <c r="Y37">
        <v>0</v>
      </c>
      <c r="Z37">
        <v>9563.2999999999993</v>
      </c>
      <c r="AA37">
        <v>9674.7800000000007</v>
      </c>
      <c r="AB37" s="12" t="s">
        <v>245</v>
      </c>
      <c r="AC37">
        <v>164.8845</v>
      </c>
      <c r="AD37">
        <v>1</v>
      </c>
      <c r="AE37">
        <v>1</v>
      </c>
      <c r="AF37">
        <v>0</v>
      </c>
      <c r="AG37">
        <v>9563.2999999999993</v>
      </c>
      <c r="AH37">
        <v>58</v>
      </c>
      <c r="AI37">
        <v>57</v>
      </c>
      <c r="AJ37">
        <v>1</v>
      </c>
      <c r="AK37">
        <v>1</v>
      </c>
      <c r="AL37">
        <v>1</v>
      </c>
      <c r="AM37">
        <v>98.28</v>
      </c>
      <c r="AN37">
        <v>169.733</v>
      </c>
      <c r="AO37">
        <v>164.88</v>
      </c>
      <c r="AP37" s="13">
        <v>45004</v>
      </c>
      <c r="AQ37">
        <v>0</v>
      </c>
      <c r="AR37">
        <v>1</v>
      </c>
    </row>
    <row r="38" spans="1:44" x14ac:dyDescent="0.35">
      <c r="A38" s="12" t="s">
        <v>246</v>
      </c>
      <c r="B38" s="12" t="s">
        <v>128</v>
      </c>
      <c r="C38" s="12" t="s">
        <v>129</v>
      </c>
      <c r="D38" s="12" t="s">
        <v>130</v>
      </c>
      <c r="E38" s="12" t="s">
        <v>65</v>
      </c>
      <c r="F38">
        <v>3</v>
      </c>
      <c r="G38">
        <v>5</v>
      </c>
      <c r="H38">
        <v>0</v>
      </c>
      <c r="I38" s="12" t="s">
        <v>131</v>
      </c>
      <c r="J38" s="12" t="s">
        <v>132</v>
      </c>
      <c r="K38" s="12" t="s">
        <v>133</v>
      </c>
      <c r="L38" s="12" t="s">
        <v>134</v>
      </c>
      <c r="M38">
        <v>1.51</v>
      </c>
      <c r="N38" s="12" t="s">
        <v>135</v>
      </c>
      <c r="O38" s="12" t="s">
        <v>136</v>
      </c>
      <c r="P38" s="12" t="s">
        <v>137</v>
      </c>
      <c r="Q38" s="13">
        <v>44963</v>
      </c>
      <c r="R38" s="13">
        <v>44987</v>
      </c>
      <c r="S38">
        <v>2023</v>
      </c>
      <c r="T38" s="12" t="s">
        <v>203</v>
      </c>
      <c r="U38">
        <v>35</v>
      </c>
      <c r="V38">
        <v>501.92320000000001</v>
      </c>
      <c r="W38">
        <v>285.32</v>
      </c>
      <c r="X38">
        <v>0</v>
      </c>
      <c r="Y38">
        <v>0</v>
      </c>
      <c r="Z38">
        <v>17567.310000000001</v>
      </c>
      <c r="AA38">
        <v>17852.63</v>
      </c>
      <c r="AB38" s="12" t="s">
        <v>138</v>
      </c>
      <c r="AC38">
        <v>501.92320000000001</v>
      </c>
      <c r="AD38">
        <v>1</v>
      </c>
      <c r="AE38">
        <v>1</v>
      </c>
      <c r="AF38">
        <v>0</v>
      </c>
      <c r="AG38">
        <v>17567.310000000001</v>
      </c>
      <c r="AH38">
        <v>35</v>
      </c>
      <c r="AI38">
        <v>32</v>
      </c>
      <c r="AJ38">
        <v>3</v>
      </c>
      <c r="AK38">
        <v>1</v>
      </c>
      <c r="AL38">
        <v>1</v>
      </c>
      <c r="AM38">
        <v>91.43</v>
      </c>
      <c r="AN38">
        <v>557.89480000000003</v>
      </c>
      <c r="AO38">
        <v>1505.77</v>
      </c>
      <c r="AP38" s="13">
        <v>44983</v>
      </c>
      <c r="AQ38">
        <v>-4</v>
      </c>
      <c r="AR38">
        <v>1</v>
      </c>
    </row>
    <row r="39" spans="1:44" x14ac:dyDescent="0.35">
      <c r="A39" s="12" t="s">
        <v>247</v>
      </c>
      <c r="B39" s="12" t="s">
        <v>112</v>
      </c>
      <c r="C39" s="12" t="s">
        <v>113</v>
      </c>
      <c r="D39" s="12" t="s">
        <v>114</v>
      </c>
      <c r="E39" s="12" t="s">
        <v>104</v>
      </c>
      <c r="F39">
        <v>3</v>
      </c>
      <c r="G39">
        <v>1</v>
      </c>
      <c r="H39">
        <v>0</v>
      </c>
      <c r="I39" s="12" t="s">
        <v>233</v>
      </c>
      <c r="J39" s="12" t="s">
        <v>234</v>
      </c>
      <c r="K39" s="12" t="s">
        <v>125</v>
      </c>
      <c r="L39" s="12" t="s">
        <v>96</v>
      </c>
      <c r="M39">
        <v>3.73</v>
      </c>
      <c r="N39" s="12" t="s">
        <v>97</v>
      </c>
      <c r="O39" s="12" t="s">
        <v>98</v>
      </c>
      <c r="P39" s="12" t="s">
        <v>72</v>
      </c>
      <c r="Q39" s="13">
        <v>44964</v>
      </c>
      <c r="R39" s="13">
        <v>44986</v>
      </c>
      <c r="S39">
        <v>2023</v>
      </c>
      <c r="T39" s="12" t="s">
        <v>203</v>
      </c>
      <c r="U39">
        <v>88</v>
      </c>
      <c r="V39">
        <v>303.34890000000001</v>
      </c>
      <c r="W39">
        <v>558.13</v>
      </c>
      <c r="X39">
        <v>814.89</v>
      </c>
      <c r="Y39">
        <v>1</v>
      </c>
      <c r="Z39">
        <v>26694.7</v>
      </c>
      <c r="AA39">
        <v>28067.72</v>
      </c>
      <c r="AB39" s="12" t="s">
        <v>201</v>
      </c>
      <c r="AD39">
        <v>0</v>
      </c>
      <c r="AE39">
        <v>0</v>
      </c>
      <c r="AH39">
        <v>88</v>
      </c>
      <c r="AI39">
        <v>87</v>
      </c>
      <c r="AJ39">
        <v>1</v>
      </c>
      <c r="AK39">
        <v>1</v>
      </c>
      <c r="AL39">
        <v>1</v>
      </c>
      <c r="AM39">
        <v>98.86</v>
      </c>
      <c r="AN39">
        <v>322.61750000000001</v>
      </c>
      <c r="AO39">
        <v>303.35000000000002</v>
      </c>
      <c r="AP39" s="13">
        <v>44991</v>
      </c>
      <c r="AQ39">
        <v>5</v>
      </c>
      <c r="AR39">
        <v>0</v>
      </c>
    </row>
    <row r="40" spans="1:44" x14ac:dyDescent="0.35">
      <c r="A40" s="12" t="s">
        <v>248</v>
      </c>
      <c r="B40" s="12" t="s">
        <v>249</v>
      </c>
      <c r="C40" s="12" t="s">
        <v>250</v>
      </c>
      <c r="D40" s="12" t="s">
        <v>64</v>
      </c>
      <c r="E40" s="12" t="s">
        <v>65</v>
      </c>
      <c r="F40">
        <v>2</v>
      </c>
      <c r="G40">
        <v>3</v>
      </c>
      <c r="H40">
        <v>0</v>
      </c>
      <c r="I40" s="12" t="s">
        <v>251</v>
      </c>
      <c r="J40" s="12" t="s">
        <v>252</v>
      </c>
      <c r="K40" s="12" t="s">
        <v>133</v>
      </c>
      <c r="L40" s="12" t="s">
        <v>69</v>
      </c>
      <c r="M40">
        <v>34.49</v>
      </c>
      <c r="N40" s="12" t="s">
        <v>70</v>
      </c>
      <c r="O40" s="12" t="s">
        <v>71</v>
      </c>
      <c r="P40" s="12" t="s">
        <v>72</v>
      </c>
      <c r="Q40" s="13">
        <v>44964</v>
      </c>
      <c r="R40" s="13">
        <v>44995</v>
      </c>
      <c r="S40">
        <v>2023</v>
      </c>
      <c r="T40" s="12" t="s">
        <v>203</v>
      </c>
      <c r="U40">
        <v>605</v>
      </c>
      <c r="V40">
        <v>10.6486</v>
      </c>
      <c r="W40">
        <v>130.97999999999999</v>
      </c>
      <c r="X40">
        <v>0</v>
      </c>
      <c r="Y40">
        <v>0</v>
      </c>
      <c r="Z40">
        <v>6442.4</v>
      </c>
      <c r="AA40">
        <v>6573.38</v>
      </c>
      <c r="AB40" s="12" t="s">
        <v>253</v>
      </c>
      <c r="AC40">
        <v>10.6486</v>
      </c>
      <c r="AD40">
        <v>1</v>
      </c>
      <c r="AE40">
        <v>1</v>
      </c>
      <c r="AF40">
        <v>0</v>
      </c>
      <c r="AG40">
        <v>6442.4</v>
      </c>
      <c r="AH40">
        <v>605</v>
      </c>
      <c r="AI40">
        <v>601</v>
      </c>
      <c r="AJ40">
        <v>4</v>
      </c>
      <c r="AK40">
        <v>1</v>
      </c>
      <c r="AL40">
        <v>1</v>
      </c>
      <c r="AM40">
        <v>99.34</v>
      </c>
      <c r="AN40">
        <v>10.9374</v>
      </c>
      <c r="AO40">
        <v>42.59</v>
      </c>
      <c r="AP40" s="13">
        <v>44996</v>
      </c>
      <c r="AQ40">
        <v>1</v>
      </c>
      <c r="AR40">
        <v>0</v>
      </c>
    </row>
    <row r="41" spans="1:44" x14ac:dyDescent="0.35">
      <c r="A41" s="12" t="s">
        <v>254</v>
      </c>
      <c r="B41" s="12" t="s">
        <v>255</v>
      </c>
      <c r="C41" s="12" t="s">
        <v>256</v>
      </c>
      <c r="D41" s="12" t="s">
        <v>103</v>
      </c>
      <c r="E41" s="12" t="s">
        <v>65</v>
      </c>
      <c r="F41">
        <v>2</v>
      </c>
      <c r="G41">
        <v>4</v>
      </c>
      <c r="H41">
        <v>0</v>
      </c>
      <c r="I41" s="12" t="s">
        <v>251</v>
      </c>
      <c r="J41" s="12" t="s">
        <v>252</v>
      </c>
      <c r="K41" s="12" t="s">
        <v>133</v>
      </c>
      <c r="L41" s="12" t="s">
        <v>69</v>
      </c>
      <c r="M41">
        <v>34.49</v>
      </c>
      <c r="N41" s="12" t="s">
        <v>145</v>
      </c>
      <c r="O41" s="12" t="s">
        <v>146</v>
      </c>
      <c r="P41" s="12" t="s">
        <v>109</v>
      </c>
      <c r="Q41" s="13">
        <v>44965</v>
      </c>
      <c r="R41" s="13">
        <v>44986</v>
      </c>
      <c r="S41">
        <v>2023</v>
      </c>
      <c r="T41" s="12" t="s">
        <v>203</v>
      </c>
      <c r="U41">
        <v>12</v>
      </c>
      <c r="V41">
        <v>89.549700000000001</v>
      </c>
      <c r="W41">
        <v>17.64</v>
      </c>
      <c r="X41">
        <v>0</v>
      </c>
      <c r="Y41">
        <v>0</v>
      </c>
      <c r="Z41">
        <v>1074.5999999999999</v>
      </c>
      <c r="AA41">
        <v>1092.24</v>
      </c>
      <c r="AB41" s="12" t="s">
        <v>257</v>
      </c>
      <c r="AC41">
        <v>95.085700000000003</v>
      </c>
      <c r="AD41">
        <v>1</v>
      </c>
      <c r="AE41">
        <v>1</v>
      </c>
      <c r="AF41">
        <v>-66.430000000000007</v>
      </c>
      <c r="AG41">
        <v>1141.03</v>
      </c>
      <c r="AH41">
        <v>12</v>
      </c>
      <c r="AI41">
        <v>12</v>
      </c>
      <c r="AJ41">
        <v>0</v>
      </c>
      <c r="AK41">
        <v>1</v>
      </c>
      <c r="AL41">
        <v>1</v>
      </c>
      <c r="AM41">
        <v>100</v>
      </c>
      <c r="AN41">
        <v>91.0197</v>
      </c>
      <c r="AO41">
        <v>0</v>
      </c>
      <c r="AP41" s="13">
        <v>44985</v>
      </c>
      <c r="AQ41">
        <v>-1</v>
      </c>
      <c r="AR41">
        <v>1</v>
      </c>
    </row>
    <row r="42" spans="1:44" x14ac:dyDescent="0.35">
      <c r="A42" s="12" t="s">
        <v>258</v>
      </c>
      <c r="B42" s="12" t="s">
        <v>215</v>
      </c>
      <c r="C42" s="12" t="s">
        <v>216</v>
      </c>
      <c r="D42" s="12" t="s">
        <v>122</v>
      </c>
      <c r="E42" s="12" t="s">
        <v>142</v>
      </c>
      <c r="F42">
        <v>3</v>
      </c>
      <c r="G42">
        <v>11</v>
      </c>
      <c r="H42">
        <v>0</v>
      </c>
      <c r="I42" s="12" t="s">
        <v>217</v>
      </c>
      <c r="J42" s="12" t="s">
        <v>218</v>
      </c>
      <c r="K42" s="12" t="s">
        <v>68</v>
      </c>
      <c r="L42" s="12" t="s">
        <v>82</v>
      </c>
      <c r="M42">
        <v>14.24</v>
      </c>
      <c r="N42" s="12" t="s">
        <v>70</v>
      </c>
      <c r="O42" s="12" t="s">
        <v>71</v>
      </c>
      <c r="P42" s="12" t="s">
        <v>72</v>
      </c>
      <c r="Q42" s="13">
        <v>44965</v>
      </c>
      <c r="R42" s="13">
        <v>45001</v>
      </c>
      <c r="S42">
        <v>2023</v>
      </c>
      <c r="T42" s="12" t="s">
        <v>203</v>
      </c>
      <c r="U42">
        <v>392</v>
      </c>
      <c r="V42">
        <v>15.462199999999999</v>
      </c>
      <c r="W42">
        <v>135.13999999999999</v>
      </c>
      <c r="X42">
        <v>0</v>
      </c>
      <c r="Y42">
        <v>0</v>
      </c>
      <c r="Z42">
        <v>6061.18</v>
      </c>
      <c r="AA42">
        <v>6196.32</v>
      </c>
      <c r="AB42" s="12" t="s">
        <v>219</v>
      </c>
      <c r="AC42">
        <v>15.462199999999999</v>
      </c>
      <c r="AD42">
        <v>1</v>
      </c>
      <c r="AE42">
        <v>1</v>
      </c>
      <c r="AF42">
        <v>0</v>
      </c>
      <c r="AG42">
        <v>6061.18</v>
      </c>
      <c r="AH42">
        <v>392</v>
      </c>
      <c r="AI42">
        <v>388</v>
      </c>
      <c r="AJ42">
        <v>4</v>
      </c>
      <c r="AK42">
        <v>1</v>
      </c>
      <c r="AL42">
        <v>1</v>
      </c>
      <c r="AM42">
        <v>98.98</v>
      </c>
      <c r="AN42">
        <v>15.969900000000001</v>
      </c>
      <c r="AO42">
        <v>61.85</v>
      </c>
      <c r="AP42" s="13">
        <v>45001</v>
      </c>
      <c r="AQ42">
        <v>0</v>
      </c>
      <c r="AR42">
        <v>1</v>
      </c>
    </row>
    <row r="43" spans="1:44" x14ac:dyDescent="0.35">
      <c r="A43" s="12" t="s">
        <v>259</v>
      </c>
      <c r="B43" s="12" t="s">
        <v>215</v>
      </c>
      <c r="C43" s="12" t="s">
        <v>216</v>
      </c>
      <c r="D43" s="12" t="s">
        <v>122</v>
      </c>
      <c r="E43" s="12" t="s">
        <v>142</v>
      </c>
      <c r="F43">
        <v>3</v>
      </c>
      <c r="G43">
        <v>11</v>
      </c>
      <c r="H43">
        <v>0</v>
      </c>
      <c r="I43" s="12" t="s">
        <v>217</v>
      </c>
      <c r="J43" s="12" t="s">
        <v>218</v>
      </c>
      <c r="K43" s="12" t="s">
        <v>68</v>
      </c>
      <c r="L43" s="12" t="s">
        <v>82</v>
      </c>
      <c r="M43">
        <v>14.24</v>
      </c>
      <c r="N43" s="12" t="s">
        <v>97</v>
      </c>
      <c r="O43" s="12" t="s">
        <v>98</v>
      </c>
      <c r="P43" s="12" t="s">
        <v>72</v>
      </c>
      <c r="Q43" s="13">
        <v>44965</v>
      </c>
      <c r="R43" s="13">
        <v>45006</v>
      </c>
      <c r="S43">
        <v>2023</v>
      </c>
      <c r="T43" s="12" t="s">
        <v>203</v>
      </c>
      <c r="U43">
        <v>815</v>
      </c>
      <c r="V43">
        <v>15.462199999999999</v>
      </c>
      <c r="W43">
        <v>196.86</v>
      </c>
      <c r="X43">
        <v>0</v>
      </c>
      <c r="Y43">
        <v>0</v>
      </c>
      <c r="Z43">
        <v>12601.69</v>
      </c>
      <c r="AA43">
        <v>12798.55</v>
      </c>
      <c r="AB43" s="12" t="s">
        <v>219</v>
      </c>
      <c r="AC43">
        <v>15.462199999999999</v>
      </c>
      <c r="AD43">
        <v>1</v>
      </c>
      <c r="AE43">
        <v>1</v>
      </c>
      <c r="AF43">
        <v>0</v>
      </c>
      <c r="AG43">
        <v>12601.69</v>
      </c>
      <c r="AH43">
        <v>815</v>
      </c>
      <c r="AI43">
        <v>812</v>
      </c>
      <c r="AJ43">
        <v>3</v>
      </c>
      <c r="AK43">
        <v>1</v>
      </c>
      <c r="AL43">
        <v>1</v>
      </c>
      <c r="AM43">
        <v>99.63</v>
      </c>
      <c r="AN43">
        <v>15.761799999999999</v>
      </c>
      <c r="AO43">
        <v>46.39</v>
      </c>
      <c r="AP43" s="13">
        <v>45004</v>
      </c>
      <c r="AQ43">
        <v>-2</v>
      </c>
      <c r="AR43">
        <v>1</v>
      </c>
    </row>
    <row r="44" spans="1:44" x14ac:dyDescent="0.35">
      <c r="A44" s="12" t="s">
        <v>260</v>
      </c>
      <c r="B44" s="12" t="s">
        <v>261</v>
      </c>
      <c r="C44" s="12" t="s">
        <v>262</v>
      </c>
      <c r="D44" s="12" t="s">
        <v>114</v>
      </c>
      <c r="E44" s="12" t="s">
        <v>142</v>
      </c>
      <c r="F44">
        <v>1</v>
      </c>
      <c r="G44">
        <v>8</v>
      </c>
      <c r="H44">
        <v>1</v>
      </c>
      <c r="I44" s="12" t="s">
        <v>263</v>
      </c>
      <c r="J44" s="12" t="s">
        <v>264</v>
      </c>
      <c r="K44" s="12" t="s">
        <v>125</v>
      </c>
      <c r="L44" s="12" t="s">
        <v>82</v>
      </c>
      <c r="M44">
        <v>10.210000000000001</v>
      </c>
      <c r="N44" s="12" t="s">
        <v>70</v>
      </c>
      <c r="O44" s="12" t="s">
        <v>71</v>
      </c>
      <c r="P44" s="12" t="s">
        <v>72</v>
      </c>
      <c r="Q44" s="13">
        <v>44967</v>
      </c>
      <c r="R44" s="13">
        <v>45004</v>
      </c>
      <c r="S44">
        <v>2023</v>
      </c>
      <c r="T44" s="12" t="s">
        <v>203</v>
      </c>
      <c r="U44">
        <v>28</v>
      </c>
      <c r="V44">
        <v>138.256</v>
      </c>
      <c r="W44">
        <v>62.24</v>
      </c>
      <c r="X44">
        <v>0</v>
      </c>
      <c r="Y44">
        <v>0</v>
      </c>
      <c r="Z44">
        <v>3871.17</v>
      </c>
      <c r="AA44">
        <v>3933.41</v>
      </c>
      <c r="AB44" s="12" t="s">
        <v>265</v>
      </c>
      <c r="AC44">
        <v>138.256</v>
      </c>
      <c r="AD44">
        <v>1</v>
      </c>
      <c r="AE44">
        <v>1</v>
      </c>
      <c r="AF44">
        <v>0</v>
      </c>
      <c r="AG44">
        <v>3871.17</v>
      </c>
      <c r="AH44">
        <v>28</v>
      </c>
      <c r="AI44">
        <v>28</v>
      </c>
      <c r="AJ44">
        <v>0</v>
      </c>
      <c r="AK44">
        <v>1</v>
      </c>
      <c r="AL44">
        <v>1</v>
      </c>
      <c r="AM44">
        <v>100</v>
      </c>
      <c r="AN44">
        <v>140.47890000000001</v>
      </c>
      <c r="AO44">
        <v>0</v>
      </c>
      <c r="AP44" s="13">
        <v>45004</v>
      </c>
      <c r="AQ44">
        <v>0</v>
      </c>
      <c r="AR44">
        <v>1</v>
      </c>
    </row>
    <row r="45" spans="1:44" x14ac:dyDescent="0.35">
      <c r="A45" s="12" t="s">
        <v>266</v>
      </c>
      <c r="B45" s="12" t="s">
        <v>267</v>
      </c>
      <c r="C45" s="12" t="s">
        <v>268</v>
      </c>
      <c r="D45" s="12" t="s">
        <v>269</v>
      </c>
      <c r="E45" s="12" t="s">
        <v>142</v>
      </c>
      <c r="F45">
        <v>1</v>
      </c>
      <c r="G45">
        <v>8</v>
      </c>
      <c r="H45">
        <v>1</v>
      </c>
      <c r="I45" s="12" t="s">
        <v>94</v>
      </c>
      <c r="J45" s="12" t="s">
        <v>95</v>
      </c>
      <c r="K45" s="12" t="s">
        <v>81</v>
      </c>
      <c r="L45" s="12" t="s">
        <v>96</v>
      </c>
      <c r="M45">
        <v>4.8099999999999996</v>
      </c>
      <c r="N45" s="12" t="s">
        <v>159</v>
      </c>
      <c r="O45" s="12" t="s">
        <v>160</v>
      </c>
      <c r="P45" s="12" t="s">
        <v>137</v>
      </c>
      <c r="Q45" s="13">
        <v>44967</v>
      </c>
      <c r="R45" s="13">
        <v>45003</v>
      </c>
      <c r="S45">
        <v>2023</v>
      </c>
      <c r="T45" s="12" t="s">
        <v>203</v>
      </c>
      <c r="U45">
        <v>22</v>
      </c>
      <c r="V45">
        <v>247.31829999999999</v>
      </c>
      <c r="W45">
        <v>53.57</v>
      </c>
      <c r="X45">
        <v>0</v>
      </c>
      <c r="Y45">
        <v>0</v>
      </c>
      <c r="Z45">
        <v>5441</v>
      </c>
      <c r="AA45">
        <v>5494.57</v>
      </c>
      <c r="AB45" s="12" t="s">
        <v>270</v>
      </c>
      <c r="AC45">
        <v>247.31829999999999</v>
      </c>
      <c r="AD45">
        <v>1</v>
      </c>
      <c r="AE45">
        <v>1</v>
      </c>
      <c r="AF45">
        <v>0</v>
      </c>
      <c r="AG45">
        <v>5441</v>
      </c>
      <c r="AH45">
        <v>22</v>
      </c>
      <c r="AI45">
        <v>22</v>
      </c>
      <c r="AJ45">
        <v>0</v>
      </c>
      <c r="AK45">
        <v>1</v>
      </c>
      <c r="AL45">
        <v>1</v>
      </c>
      <c r="AM45">
        <v>100</v>
      </c>
      <c r="AN45">
        <v>249.7533</v>
      </c>
      <c r="AO45">
        <v>0</v>
      </c>
      <c r="AP45" s="13">
        <v>45003</v>
      </c>
      <c r="AQ45">
        <v>0</v>
      </c>
      <c r="AR45">
        <v>1</v>
      </c>
    </row>
    <row r="46" spans="1:44" x14ac:dyDescent="0.35">
      <c r="A46" s="12" t="s">
        <v>271</v>
      </c>
      <c r="B46" s="12" t="s">
        <v>261</v>
      </c>
      <c r="C46" s="12" t="s">
        <v>262</v>
      </c>
      <c r="D46" s="12" t="s">
        <v>114</v>
      </c>
      <c r="E46" s="12" t="s">
        <v>142</v>
      </c>
      <c r="F46">
        <v>1</v>
      </c>
      <c r="G46">
        <v>8</v>
      </c>
      <c r="H46">
        <v>1</v>
      </c>
      <c r="I46" s="12" t="s">
        <v>263</v>
      </c>
      <c r="J46" s="12" t="s">
        <v>264</v>
      </c>
      <c r="K46" s="12" t="s">
        <v>125</v>
      </c>
      <c r="L46" s="12" t="s">
        <v>82</v>
      </c>
      <c r="M46">
        <v>10.210000000000001</v>
      </c>
      <c r="N46" s="12" t="s">
        <v>97</v>
      </c>
      <c r="O46" s="12" t="s">
        <v>98</v>
      </c>
      <c r="P46" s="12" t="s">
        <v>72</v>
      </c>
      <c r="Q46" s="13">
        <v>44970</v>
      </c>
      <c r="R46" s="13">
        <v>45010</v>
      </c>
      <c r="S46">
        <v>2023</v>
      </c>
      <c r="T46" s="12" t="s">
        <v>203</v>
      </c>
      <c r="U46">
        <v>50</v>
      </c>
      <c r="V46">
        <v>138.256</v>
      </c>
      <c r="W46">
        <v>152.97</v>
      </c>
      <c r="X46">
        <v>0</v>
      </c>
      <c r="Y46">
        <v>0</v>
      </c>
      <c r="Z46">
        <v>6912.8</v>
      </c>
      <c r="AA46">
        <v>7065.77</v>
      </c>
      <c r="AB46" s="12" t="s">
        <v>265</v>
      </c>
      <c r="AC46">
        <v>138.256</v>
      </c>
      <c r="AD46">
        <v>1</v>
      </c>
      <c r="AE46">
        <v>1</v>
      </c>
      <c r="AF46">
        <v>0</v>
      </c>
      <c r="AG46">
        <v>6912.8</v>
      </c>
      <c r="AH46">
        <v>50</v>
      </c>
      <c r="AI46">
        <v>49</v>
      </c>
      <c r="AJ46">
        <v>1</v>
      </c>
      <c r="AK46">
        <v>1</v>
      </c>
      <c r="AL46">
        <v>1</v>
      </c>
      <c r="AM46">
        <v>98</v>
      </c>
      <c r="AN46">
        <v>144.1994</v>
      </c>
      <c r="AO46">
        <v>138.26</v>
      </c>
      <c r="AP46" s="13">
        <v>45010</v>
      </c>
      <c r="AQ46">
        <v>0</v>
      </c>
      <c r="AR46">
        <v>1</v>
      </c>
    </row>
    <row r="47" spans="1:44" x14ac:dyDescent="0.35">
      <c r="A47" s="12" t="s">
        <v>272</v>
      </c>
      <c r="B47" s="12" t="s">
        <v>273</v>
      </c>
      <c r="C47" s="12" t="s">
        <v>274</v>
      </c>
      <c r="D47" s="12" t="s">
        <v>175</v>
      </c>
      <c r="E47" s="12" t="s">
        <v>104</v>
      </c>
      <c r="F47">
        <v>3</v>
      </c>
      <c r="G47">
        <v>1</v>
      </c>
      <c r="H47">
        <v>0</v>
      </c>
      <c r="I47" s="12" t="s">
        <v>275</v>
      </c>
      <c r="J47" s="12" t="s">
        <v>276</v>
      </c>
      <c r="K47" s="12" t="s">
        <v>89</v>
      </c>
      <c r="L47" s="12" t="s">
        <v>82</v>
      </c>
      <c r="M47">
        <v>14.26</v>
      </c>
      <c r="N47" s="12" t="s">
        <v>107</v>
      </c>
      <c r="O47" s="12" t="s">
        <v>108</v>
      </c>
      <c r="P47" s="12" t="s">
        <v>109</v>
      </c>
      <c r="Q47" s="13">
        <v>44970</v>
      </c>
      <c r="R47" s="13">
        <v>44998</v>
      </c>
      <c r="S47">
        <v>2023</v>
      </c>
      <c r="T47" s="12" t="s">
        <v>203</v>
      </c>
      <c r="U47">
        <v>138</v>
      </c>
      <c r="V47">
        <v>113.5119</v>
      </c>
      <c r="W47">
        <v>395.35</v>
      </c>
      <c r="X47">
        <v>0</v>
      </c>
      <c r="Y47">
        <v>0</v>
      </c>
      <c r="Z47">
        <v>15664.64</v>
      </c>
      <c r="AA47">
        <v>16059.99</v>
      </c>
      <c r="AB47" s="12" t="s">
        <v>277</v>
      </c>
      <c r="AC47">
        <v>117.48480000000001</v>
      </c>
      <c r="AD47">
        <v>2</v>
      </c>
      <c r="AE47">
        <v>1</v>
      </c>
      <c r="AF47">
        <v>-548.26</v>
      </c>
      <c r="AG47">
        <v>16212.9</v>
      </c>
      <c r="AH47">
        <v>138</v>
      </c>
      <c r="AI47">
        <v>136</v>
      </c>
      <c r="AJ47">
        <v>2</v>
      </c>
      <c r="AK47">
        <v>1</v>
      </c>
      <c r="AL47">
        <v>1</v>
      </c>
      <c r="AM47">
        <v>98.55</v>
      </c>
      <c r="AN47">
        <v>118.0882</v>
      </c>
      <c r="AO47">
        <v>227.02</v>
      </c>
      <c r="AP47" s="13">
        <v>44998</v>
      </c>
      <c r="AQ47">
        <v>0</v>
      </c>
      <c r="AR47">
        <v>1</v>
      </c>
    </row>
    <row r="48" spans="1:44" x14ac:dyDescent="0.35">
      <c r="A48" s="12" t="s">
        <v>278</v>
      </c>
      <c r="B48" s="12" t="s">
        <v>207</v>
      </c>
      <c r="C48" s="12" t="s">
        <v>208</v>
      </c>
      <c r="D48" s="12" t="s">
        <v>78</v>
      </c>
      <c r="E48" s="12" t="s">
        <v>65</v>
      </c>
      <c r="F48">
        <v>2</v>
      </c>
      <c r="G48">
        <v>3</v>
      </c>
      <c r="H48">
        <v>0</v>
      </c>
      <c r="I48" s="12" t="s">
        <v>209</v>
      </c>
      <c r="J48" s="12" t="s">
        <v>210</v>
      </c>
      <c r="K48" s="12" t="s">
        <v>133</v>
      </c>
      <c r="L48" s="12" t="s">
        <v>96</v>
      </c>
      <c r="M48">
        <v>7.82</v>
      </c>
      <c r="N48" s="12" t="s">
        <v>70</v>
      </c>
      <c r="O48" s="12" t="s">
        <v>71</v>
      </c>
      <c r="P48" s="12" t="s">
        <v>72</v>
      </c>
      <c r="Q48" s="13">
        <v>44970</v>
      </c>
      <c r="R48" s="13">
        <v>44997</v>
      </c>
      <c r="S48">
        <v>2023</v>
      </c>
      <c r="T48" s="12" t="s">
        <v>203</v>
      </c>
      <c r="U48">
        <v>127</v>
      </c>
      <c r="V48">
        <v>152.13079999999999</v>
      </c>
      <c r="W48">
        <v>373.86</v>
      </c>
      <c r="X48">
        <v>0</v>
      </c>
      <c r="Y48">
        <v>0</v>
      </c>
      <c r="Z48">
        <v>19320.61</v>
      </c>
      <c r="AA48">
        <v>19694.47</v>
      </c>
      <c r="AB48" s="12" t="s">
        <v>211</v>
      </c>
      <c r="AC48">
        <v>152.13079999999999</v>
      </c>
      <c r="AD48">
        <v>1</v>
      </c>
      <c r="AE48">
        <v>1</v>
      </c>
      <c r="AF48">
        <v>0</v>
      </c>
      <c r="AG48">
        <v>19320.61</v>
      </c>
      <c r="AH48">
        <v>127</v>
      </c>
      <c r="AI48">
        <v>126</v>
      </c>
      <c r="AJ48">
        <v>1</v>
      </c>
      <c r="AK48">
        <v>1</v>
      </c>
      <c r="AL48">
        <v>1</v>
      </c>
      <c r="AM48">
        <v>99.21</v>
      </c>
      <c r="AN48">
        <v>156.30529999999999</v>
      </c>
      <c r="AO48">
        <v>152.13</v>
      </c>
      <c r="AP48" s="13">
        <v>44996</v>
      </c>
      <c r="AQ48">
        <v>-1</v>
      </c>
      <c r="AR48">
        <v>1</v>
      </c>
    </row>
    <row r="49" spans="1:44" x14ac:dyDescent="0.35">
      <c r="A49" s="12" t="s">
        <v>279</v>
      </c>
      <c r="B49" s="12" t="s">
        <v>255</v>
      </c>
      <c r="C49" s="12" t="s">
        <v>256</v>
      </c>
      <c r="D49" s="12" t="s">
        <v>103</v>
      </c>
      <c r="E49" s="12" t="s">
        <v>65</v>
      </c>
      <c r="F49">
        <v>2</v>
      </c>
      <c r="G49">
        <v>4</v>
      </c>
      <c r="H49">
        <v>0</v>
      </c>
      <c r="I49" s="12" t="s">
        <v>251</v>
      </c>
      <c r="J49" s="12" t="s">
        <v>252</v>
      </c>
      <c r="K49" s="12" t="s">
        <v>133</v>
      </c>
      <c r="L49" s="12" t="s">
        <v>69</v>
      </c>
      <c r="M49">
        <v>34.49</v>
      </c>
      <c r="N49" s="12" t="s">
        <v>145</v>
      </c>
      <c r="O49" s="12" t="s">
        <v>146</v>
      </c>
      <c r="P49" s="12" t="s">
        <v>109</v>
      </c>
      <c r="Q49" s="13">
        <v>44970</v>
      </c>
      <c r="R49" s="13">
        <v>45007</v>
      </c>
      <c r="S49">
        <v>2023</v>
      </c>
      <c r="T49" s="12" t="s">
        <v>203</v>
      </c>
      <c r="U49">
        <v>140</v>
      </c>
      <c r="V49">
        <v>99.611900000000006</v>
      </c>
      <c r="W49">
        <v>324.85000000000002</v>
      </c>
      <c r="X49">
        <v>0</v>
      </c>
      <c r="Y49">
        <v>0</v>
      </c>
      <c r="Z49">
        <v>13945.67</v>
      </c>
      <c r="AA49">
        <v>14270.52</v>
      </c>
      <c r="AB49" s="12" t="s">
        <v>257</v>
      </c>
      <c r="AC49">
        <v>95.085700000000003</v>
      </c>
      <c r="AD49">
        <v>1</v>
      </c>
      <c r="AE49">
        <v>1</v>
      </c>
      <c r="AF49">
        <v>633.66999999999996</v>
      </c>
      <c r="AG49">
        <v>13312</v>
      </c>
      <c r="AH49">
        <v>140</v>
      </c>
      <c r="AI49">
        <v>139</v>
      </c>
      <c r="AJ49">
        <v>1</v>
      </c>
      <c r="AK49">
        <v>1</v>
      </c>
      <c r="AL49">
        <v>1</v>
      </c>
      <c r="AM49">
        <v>99.29</v>
      </c>
      <c r="AN49">
        <v>102.6656</v>
      </c>
      <c r="AO49">
        <v>99.61</v>
      </c>
      <c r="AP49" s="13">
        <v>45005</v>
      </c>
      <c r="AQ49">
        <v>-2</v>
      </c>
      <c r="AR49">
        <v>1</v>
      </c>
    </row>
    <row r="50" spans="1:44" x14ac:dyDescent="0.35">
      <c r="A50" s="12" t="s">
        <v>280</v>
      </c>
      <c r="B50" s="12" t="s">
        <v>101</v>
      </c>
      <c r="C50" s="12" t="s">
        <v>102</v>
      </c>
      <c r="D50" s="12" t="s">
        <v>103</v>
      </c>
      <c r="E50" s="12" t="s">
        <v>104</v>
      </c>
      <c r="F50">
        <v>1</v>
      </c>
      <c r="G50">
        <v>0</v>
      </c>
      <c r="H50">
        <v>1</v>
      </c>
      <c r="I50" s="12" t="s">
        <v>105</v>
      </c>
      <c r="J50" s="12" t="s">
        <v>106</v>
      </c>
      <c r="K50" s="12" t="s">
        <v>81</v>
      </c>
      <c r="L50" s="12" t="s">
        <v>96</v>
      </c>
      <c r="M50">
        <v>5.01</v>
      </c>
      <c r="N50" s="12" t="s">
        <v>107</v>
      </c>
      <c r="O50" s="12" t="s">
        <v>108</v>
      </c>
      <c r="P50" s="12" t="s">
        <v>109</v>
      </c>
      <c r="Q50" s="13">
        <v>44971</v>
      </c>
      <c r="R50" s="13">
        <v>44994</v>
      </c>
      <c r="S50">
        <v>2023</v>
      </c>
      <c r="T50" s="12" t="s">
        <v>203</v>
      </c>
      <c r="U50">
        <v>103</v>
      </c>
      <c r="V50">
        <v>207.4813</v>
      </c>
      <c r="W50">
        <v>476.48</v>
      </c>
      <c r="X50">
        <v>0</v>
      </c>
      <c r="Y50">
        <v>0</v>
      </c>
      <c r="Z50">
        <v>21370.57</v>
      </c>
      <c r="AA50">
        <v>21847.05</v>
      </c>
      <c r="AB50" s="12" t="s">
        <v>110</v>
      </c>
      <c r="AC50">
        <v>207.4813</v>
      </c>
      <c r="AD50">
        <v>1</v>
      </c>
      <c r="AE50">
        <v>1</v>
      </c>
      <c r="AF50">
        <v>0</v>
      </c>
      <c r="AG50">
        <v>21370.57</v>
      </c>
      <c r="AH50">
        <v>103</v>
      </c>
      <c r="AI50">
        <v>103</v>
      </c>
      <c r="AJ50">
        <v>0</v>
      </c>
      <c r="AK50">
        <v>1</v>
      </c>
      <c r="AL50">
        <v>1</v>
      </c>
      <c r="AM50">
        <v>100</v>
      </c>
      <c r="AN50">
        <v>212.10730000000001</v>
      </c>
      <c r="AO50">
        <v>0</v>
      </c>
      <c r="AP50" s="13">
        <v>44993</v>
      </c>
      <c r="AQ50">
        <v>-1</v>
      </c>
      <c r="AR50">
        <v>1</v>
      </c>
    </row>
    <row r="51" spans="1:44" x14ac:dyDescent="0.35">
      <c r="A51" s="12" t="s">
        <v>281</v>
      </c>
      <c r="B51" s="12" t="s">
        <v>112</v>
      </c>
      <c r="C51" s="12" t="s">
        <v>113</v>
      </c>
      <c r="D51" s="12" t="s">
        <v>114</v>
      </c>
      <c r="E51" s="12" t="s">
        <v>104</v>
      </c>
      <c r="F51">
        <v>3</v>
      </c>
      <c r="G51">
        <v>1</v>
      </c>
      <c r="H51">
        <v>0</v>
      </c>
      <c r="I51" s="12" t="s">
        <v>227</v>
      </c>
      <c r="J51" s="12" t="s">
        <v>228</v>
      </c>
      <c r="K51" s="12" t="s">
        <v>89</v>
      </c>
      <c r="L51" s="12" t="s">
        <v>96</v>
      </c>
      <c r="M51">
        <v>9.15</v>
      </c>
      <c r="N51" s="12" t="s">
        <v>70</v>
      </c>
      <c r="O51" s="12" t="s">
        <v>71</v>
      </c>
      <c r="P51" s="12" t="s">
        <v>72</v>
      </c>
      <c r="Q51" s="13">
        <v>44971</v>
      </c>
      <c r="R51" s="13">
        <v>44995</v>
      </c>
      <c r="S51">
        <v>2023</v>
      </c>
      <c r="T51" s="12" t="s">
        <v>203</v>
      </c>
      <c r="U51">
        <v>107</v>
      </c>
      <c r="V51">
        <v>264.17590000000001</v>
      </c>
      <c r="W51">
        <v>521.08000000000004</v>
      </c>
      <c r="X51">
        <v>886.53</v>
      </c>
      <c r="Y51">
        <v>1</v>
      </c>
      <c r="Z51">
        <v>28266.82</v>
      </c>
      <c r="AA51">
        <v>29674.43</v>
      </c>
      <c r="AB51" s="12" t="s">
        <v>282</v>
      </c>
      <c r="AC51">
        <v>264.17590000000001</v>
      </c>
      <c r="AD51">
        <v>1</v>
      </c>
      <c r="AE51">
        <v>1</v>
      </c>
      <c r="AF51">
        <v>0</v>
      </c>
      <c r="AG51">
        <v>28266.82</v>
      </c>
      <c r="AH51">
        <v>107</v>
      </c>
      <c r="AI51">
        <v>106</v>
      </c>
      <c r="AJ51">
        <v>1</v>
      </c>
      <c r="AK51">
        <v>1</v>
      </c>
      <c r="AL51">
        <v>1</v>
      </c>
      <c r="AM51">
        <v>99.07</v>
      </c>
      <c r="AN51">
        <v>279.94749999999999</v>
      </c>
      <c r="AO51">
        <v>264.18</v>
      </c>
      <c r="AP51" s="13">
        <v>45005</v>
      </c>
      <c r="AQ51">
        <v>10</v>
      </c>
      <c r="AR51">
        <v>0</v>
      </c>
    </row>
    <row r="52" spans="1:44" x14ac:dyDescent="0.35">
      <c r="A52" s="12" t="s">
        <v>283</v>
      </c>
      <c r="B52" s="12" t="s">
        <v>284</v>
      </c>
      <c r="C52" s="12" t="s">
        <v>285</v>
      </c>
      <c r="D52" s="12" t="s">
        <v>269</v>
      </c>
      <c r="E52" s="12" t="s">
        <v>104</v>
      </c>
      <c r="F52">
        <v>3</v>
      </c>
      <c r="G52">
        <v>1</v>
      </c>
      <c r="H52">
        <v>0</v>
      </c>
      <c r="I52" s="12" t="s">
        <v>199</v>
      </c>
      <c r="J52" s="12" t="s">
        <v>200</v>
      </c>
      <c r="K52" s="12" t="s">
        <v>68</v>
      </c>
      <c r="L52" s="12" t="s">
        <v>96</v>
      </c>
      <c r="M52">
        <v>9.4700000000000006</v>
      </c>
      <c r="N52" s="12" t="s">
        <v>135</v>
      </c>
      <c r="O52" s="12" t="s">
        <v>136</v>
      </c>
      <c r="P52" s="12" t="s">
        <v>137</v>
      </c>
      <c r="Q52" s="13">
        <v>44971</v>
      </c>
      <c r="R52" s="13">
        <v>44987</v>
      </c>
      <c r="S52">
        <v>2023</v>
      </c>
      <c r="T52" s="12" t="s">
        <v>203</v>
      </c>
      <c r="U52">
        <v>45</v>
      </c>
      <c r="V52">
        <v>397.87</v>
      </c>
      <c r="W52">
        <v>156.71</v>
      </c>
      <c r="X52">
        <v>0</v>
      </c>
      <c r="Y52">
        <v>0</v>
      </c>
      <c r="Z52">
        <v>17904.150000000001</v>
      </c>
      <c r="AA52">
        <v>18060.86</v>
      </c>
      <c r="AB52" s="12" t="s">
        <v>286</v>
      </c>
      <c r="AC52">
        <v>397.87</v>
      </c>
      <c r="AD52">
        <v>1</v>
      </c>
      <c r="AE52">
        <v>1</v>
      </c>
      <c r="AF52">
        <v>0</v>
      </c>
      <c r="AG52">
        <v>17904.150000000001</v>
      </c>
      <c r="AH52">
        <v>45</v>
      </c>
      <c r="AI52">
        <v>44</v>
      </c>
      <c r="AJ52">
        <v>1</v>
      </c>
      <c r="AK52">
        <v>1</v>
      </c>
      <c r="AL52">
        <v>1</v>
      </c>
      <c r="AM52">
        <v>97.78</v>
      </c>
      <c r="AN52">
        <v>410.47410000000002</v>
      </c>
      <c r="AO52">
        <v>397.87</v>
      </c>
      <c r="AP52" s="13">
        <v>44987</v>
      </c>
      <c r="AQ52">
        <v>0</v>
      </c>
      <c r="AR52">
        <v>1</v>
      </c>
    </row>
    <row r="53" spans="1:44" x14ac:dyDescent="0.35">
      <c r="A53" s="12" t="s">
        <v>287</v>
      </c>
      <c r="B53" s="12" t="s">
        <v>273</v>
      </c>
      <c r="C53" s="12" t="s">
        <v>274</v>
      </c>
      <c r="D53" s="12" t="s">
        <v>175</v>
      </c>
      <c r="E53" s="12" t="s">
        <v>104</v>
      </c>
      <c r="F53">
        <v>3</v>
      </c>
      <c r="G53">
        <v>1</v>
      </c>
      <c r="H53">
        <v>0</v>
      </c>
      <c r="I53" s="12" t="s">
        <v>275</v>
      </c>
      <c r="J53" s="12" t="s">
        <v>276</v>
      </c>
      <c r="K53" s="12" t="s">
        <v>89</v>
      </c>
      <c r="L53" s="12" t="s">
        <v>82</v>
      </c>
      <c r="M53">
        <v>14.26</v>
      </c>
      <c r="N53" s="12" t="s">
        <v>107</v>
      </c>
      <c r="O53" s="12" t="s">
        <v>108</v>
      </c>
      <c r="P53" s="12" t="s">
        <v>109</v>
      </c>
      <c r="Q53" s="13">
        <v>44971</v>
      </c>
      <c r="R53" s="13">
        <v>44999</v>
      </c>
      <c r="S53">
        <v>2023</v>
      </c>
      <c r="T53" s="12" t="s">
        <v>203</v>
      </c>
      <c r="U53">
        <v>138</v>
      </c>
      <c r="V53">
        <v>113.5119</v>
      </c>
      <c r="W53">
        <v>231.23</v>
      </c>
      <c r="X53">
        <v>0</v>
      </c>
      <c r="Y53">
        <v>0</v>
      </c>
      <c r="Z53">
        <v>15664.64</v>
      </c>
      <c r="AA53">
        <v>15895.87</v>
      </c>
      <c r="AB53" s="12" t="s">
        <v>277</v>
      </c>
      <c r="AC53">
        <v>117.48480000000001</v>
      </c>
      <c r="AD53">
        <v>2</v>
      </c>
      <c r="AE53">
        <v>1</v>
      </c>
      <c r="AF53">
        <v>-548.26</v>
      </c>
      <c r="AG53">
        <v>16212.9</v>
      </c>
      <c r="AH53">
        <v>138</v>
      </c>
      <c r="AI53">
        <v>137</v>
      </c>
      <c r="AJ53">
        <v>1</v>
      </c>
      <c r="AK53">
        <v>1</v>
      </c>
      <c r="AL53">
        <v>1</v>
      </c>
      <c r="AM53">
        <v>99.28</v>
      </c>
      <c r="AN53">
        <v>116.0283</v>
      </c>
      <c r="AO53">
        <v>113.51</v>
      </c>
      <c r="AP53" s="13">
        <v>44996</v>
      </c>
      <c r="AQ53">
        <v>-3</v>
      </c>
      <c r="AR53">
        <v>1</v>
      </c>
    </row>
    <row r="54" spans="1:44" x14ac:dyDescent="0.35">
      <c r="A54" s="12" t="s">
        <v>288</v>
      </c>
      <c r="B54" s="12" t="s">
        <v>289</v>
      </c>
      <c r="C54" s="12" t="s">
        <v>290</v>
      </c>
      <c r="D54" s="12" t="s">
        <v>175</v>
      </c>
      <c r="E54" s="12" t="s">
        <v>104</v>
      </c>
      <c r="F54">
        <v>3</v>
      </c>
      <c r="G54">
        <v>1</v>
      </c>
      <c r="H54">
        <v>0</v>
      </c>
      <c r="I54" s="12" t="s">
        <v>157</v>
      </c>
      <c r="J54" s="12" t="s">
        <v>158</v>
      </c>
      <c r="K54" s="12" t="s">
        <v>117</v>
      </c>
      <c r="L54" s="12" t="s">
        <v>96</v>
      </c>
      <c r="M54">
        <v>4.72</v>
      </c>
      <c r="N54" s="12" t="s">
        <v>145</v>
      </c>
      <c r="O54" s="12" t="s">
        <v>146</v>
      </c>
      <c r="P54" s="12" t="s">
        <v>109</v>
      </c>
      <c r="Q54" s="13">
        <v>44971</v>
      </c>
      <c r="R54" s="13">
        <v>44983</v>
      </c>
      <c r="S54">
        <v>2023</v>
      </c>
      <c r="T54" s="12" t="s">
        <v>203</v>
      </c>
      <c r="U54">
        <v>13</v>
      </c>
      <c r="V54">
        <v>194.9136</v>
      </c>
      <c r="W54">
        <v>42.98</v>
      </c>
      <c r="X54">
        <v>0</v>
      </c>
      <c r="Y54">
        <v>0</v>
      </c>
      <c r="Z54">
        <v>2533.88</v>
      </c>
      <c r="AA54">
        <v>2576.86</v>
      </c>
      <c r="AB54" s="12" t="s">
        <v>291</v>
      </c>
      <c r="AC54">
        <v>194.9136</v>
      </c>
      <c r="AD54">
        <v>1</v>
      </c>
      <c r="AE54">
        <v>1</v>
      </c>
      <c r="AF54">
        <v>0</v>
      </c>
      <c r="AG54">
        <v>2533.88</v>
      </c>
      <c r="AH54">
        <v>13</v>
      </c>
      <c r="AI54">
        <v>13</v>
      </c>
      <c r="AJ54">
        <v>0</v>
      </c>
      <c r="AK54">
        <v>1</v>
      </c>
      <c r="AL54">
        <v>1</v>
      </c>
      <c r="AM54">
        <v>100</v>
      </c>
      <c r="AN54">
        <v>198.21979999999999</v>
      </c>
      <c r="AO54">
        <v>0</v>
      </c>
      <c r="AP54" s="13">
        <v>44993</v>
      </c>
      <c r="AQ54">
        <v>10</v>
      </c>
      <c r="AR54">
        <v>0</v>
      </c>
    </row>
    <row r="55" spans="1:44" x14ac:dyDescent="0.35">
      <c r="A55" s="12" t="s">
        <v>292</v>
      </c>
      <c r="B55" s="12" t="s">
        <v>293</v>
      </c>
      <c r="C55" s="12" t="s">
        <v>294</v>
      </c>
      <c r="D55" s="12" t="s">
        <v>114</v>
      </c>
      <c r="E55" s="12" t="s">
        <v>142</v>
      </c>
      <c r="F55">
        <v>1</v>
      </c>
      <c r="G55">
        <v>6</v>
      </c>
      <c r="H55">
        <v>1</v>
      </c>
      <c r="I55" s="12" t="s">
        <v>195</v>
      </c>
      <c r="J55" s="12" t="s">
        <v>196</v>
      </c>
      <c r="K55" s="12" t="s">
        <v>117</v>
      </c>
      <c r="L55" s="12" t="s">
        <v>134</v>
      </c>
      <c r="M55">
        <v>4.7699999999999996</v>
      </c>
      <c r="N55" s="12" t="s">
        <v>70</v>
      </c>
      <c r="O55" s="12" t="s">
        <v>71</v>
      </c>
      <c r="P55" s="12" t="s">
        <v>72</v>
      </c>
      <c r="Q55" s="13">
        <v>44971</v>
      </c>
      <c r="R55" s="13">
        <v>45017</v>
      </c>
      <c r="S55">
        <v>2023</v>
      </c>
      <c r="T55" s="12" t="s">
        <v>203</v>
      </c>
      <c r="U55">
        <v>100</v>
      </c>
      <c r="V55">
        <v>206.0489</v>
      </c>
      <c r="W55">
        <v>364.78</v>
      </c>
      <c r="X55">
        <v>0</v>
      </c>
      <c r="Y55">
        <v>0</v>
      </c>
      <c r="Z55">
        <v>20604.89</v>
      </c>
      <c r="AA55">
        <v>20969.669999999998</v>
      </c>
      <c r="AB55" s="12" t="s">
        <v>295</v>
      </c>
      <c r="AC55">
        <v>206.0489</v>
      </c>
      <c r="AD55">
        <v>1</v>
      </c>
      <c r="AE55">
        <v>1</v>
      </c>
      <c r="AF55">
        <v>0</v>
      </c>
      <c r="AG55">
        <v>20604.89</v>
      </c>
      <c r="AH55">
        <v>100</v>
      </c>
      <c r="AI55">
        <v>98</v>
      </c>
      <c r="AJ55">
        <v>2</v>
      </c>
      <c r="AK55">
        <v>1</v>
      </c>
      <c r="AL55">
        <v>1</v>
      </c>
      <c r="AM55">
        <v>98</v>
      </c>
      <c r="AN55">
        <v>213.97620000000001</v>
      </c>
      <c r="AO55">
        <v>412.1</v>
      </c>
      <c r="AP55" s="13">
        <v>45027</v>
      </c>
      <c r="AQ55">
        <v>10</v>
      </c>
      <c r="AR55">
        <v>0</v>
      </c>
    </row>
    <row r="56" spans="1:44" x14ac:dyDescent="0.35">
      <c r="A56" s="12" t="s">
        <v>296</v>
      </c>
      <c r="B56" s="12" t="s">
        <v>238</v>
      </c>
      <c r="C56" s="12" t="s">
        <v>239</v>
      </c>
      <c r="D56" s="12" t="s">
        <v>122</v>
      </c>
      <c r="E56" s="12" t="s">
        <v>65</v>
      </c>
      <c r="F56">
        <v>3</v>
      </c>
      <c r="G56">
        <v>4</v>
      </c>
      <c r="H56">
        <v>0</v>
      </c>
      <c r="I56" s="12" t="s">
        <v>79</v>
      </c>
      <c r="J56" s="12" t="s">
        <v>80</v>
      </c>
      <c r="K56" s="12" t="s">
        <v>81</v>
      </c>
      <c r="L56" s="12" t="s">
        <v>82</v>
      </c>
      <c r="M56">
        <v>12.07</v>
      </c>
      <c r="N56" s="12" t="s">
        <v>97</v>
      </c>
      <c r="O56" s="12" t="s">
        <v>98</v>
      </c>
      <c r="P56" s="12" t="s">
        <v>72</v>
      </c>
      <c r="Q56" s="13">
        <v>44972</v>
      </c>
      <c r="R56" s="13">
        <v>44994</v>
      </c>
      <c r="S56">
        <v>2023</v>
      </c>
      <c r="T56" s="12" t="s">
        <v>203</v>
      </c>
      <c r="U56">
        <v>302</v>
      </c>
      <c r="V56">
        <v>37.143599999999999</v>
      </c>
      <c r="W56">
        <v>119.22</v>
      </c>
      <c r="X56">
        <v>0</v>
      </c>
      <c r="Y56">
        <v>0</v>
      </c>
      <c r="Z56">
        <v>11217.37</v>
      </c>
      <c r="AA56">
        <v>11336.59</v>
      </c>
      <c r="AB56" s="12" t="s">
        <v>297</v>
      </c>
      <c r="AC56">
        <v>37.143599999999999</v>
      </c>
      <c r="AD56">
        <v>1</v>
      </c>
      <c r="AE56">
        <v>1</v>
      </c>
      <c r="AF56">
        <v>0</v>
      </c>
      <c r="AG56">
        <v>11217.37</v>
      </c>
      <c r="AH56">
        <v>302</v>
      </c>
      <c r="AI56">
        <v>299</v>
      </c>
      <c r="AJ56">
        <v>3</v>
      </c>
      <c r="AK56">
        <v>1</v>
      </c>
      <c r="AL56">
        <v>1</v>
      </c>
      <c r="AM56">
        <v>99.01</v>
      </c>
      <c r="AN56">
        <v>37.914999999999999</v>
      </c>
      <c r="AO56">
        <v>111.43</v>
      </c>
      <c r="AP56" s="13">
        <v>44998</v>
      </c>
      <c r="AQ56">
        <v>4</v>
      </c>
      <c r="AR56">
        <v>0</v>
      </c>
    </row>
    <row r="57" spans="1:44" x14ac:dyDescent="0.35">
      <c r="A57" s="12" t="s">
        <v>298</v>
      </c>
      <c r="B57" s="12" t="s">
        <v>112</v>
      </c>
      <c r="C57" s="12" t="s">
        <v>113</v>
      </c>
      <c r="D57" s="12" t="s">
        <v>114</v>
      </c>
      <c r="E57" s="12" t="s">
        <v>104</v>
      </c>
      <c r="F57">
        <v>3</v>
      </c>
      <c r="G57">
        <v>1</v>
      </c>
      <c r="H57">
        <v>0</v>
      </c>
      <c r="I57" s="12" t="s">
        <v>227</v>
      </c>
      <c r="J57" s="12" t="s">
        <v>228</v>
      </c>
      <c r="K57" s="12" t="s">
        <v>89</v>
      </c>
      <c r="L57" s="12" t="s">
        <v>96</v>
      </c>
      <c r="M57">
        <v>9.15</v>
      </c>
      <c r="N57" s="12" t="s">
        <v>97</v>
      </c>
      <c r="O57" s="12" t="s">
        <v>98</v>
      </c>
      <c r="P57" s="12" t="s">
        <v>72</v>
      </c>
      <c r="Q57" s="13">
        <v>44973</v>
      </c>
      <c r="R57" s="13">
        <v>44996</v>
      </c>
      <c r="S57">
        <v>2023</v>
      </c>
      <c r="T57" s="12" t="s">
        <v>203</v>
      </c>
      <c r="U57">
        <v>100</v>
      </c>
      <c r="V57">
        <v>264.17590000000001</v>
      </c>
      <c r="W57">
        <v>417.3</v>
      </c>
      <c r="X57">
        <v>0</v>
      </c>
      <c r="Y57">
        <v>0</v>
      </c>
      <c r="Z57">
        <v>26417.59</v>
      </c>
      <c r="AA57">
        <v>26834.89</v>
      </c>
      <c r="AB57" s="12" t="s">
        <v>282</v>
      </c>
      <c r="AC57">
        <v>264.17590000000001</v>
      </c>
      <c r="AD57">
        <v>1</v>
      </c>
      <c r="AE57">
        <v>1</v>
      </c>
      <c r="AF57">
        <v>0</v>
      </c>
      <c r="AG57">
        <v>26417.59</v>
      </c>
      <c r="AH57">
        <v>100</v>
      </c>
      <c r="AI57">
        <v>99</v>
      </c>
      <c r="AJ57">
        <v>1</v>
      </c>
      <c r="AK57">
        <v>1</v>
      </c>
      <c r="AL57">
        <v>1</v>
      </c>
      <c r="AM57">
        <v>99</v>
      </c>
      <c r="AN57">
        <v>271.05950000000001</v>
      </c>
      <c r="AO57">
        <v>264.18</v>
      </c>
      <c r="AP57" s="13">
        <v>44993</v>
      </c>
      <c r="AQ57">
        <v>-3</v>
      </c>
      <c r="AR57">
        <v>1</v>
      </c>
    </row>
    <row r="58" spans="1:44" x14ac:dyDescent="0.35">
      <c r="A58" s="12" t="s">
        <v>299</v>
      </c>
      <c r="B58" s="12" t="s">
        <v>128</v>
      </c>
      <c r="C58" s="12" t="s">
        <v>129</v>
      </c>
      <c r="D58" s="12" t="s">
        <v>130</v>
      </c>
      <c r="E58" s="12" t="s">
        <v>65</v>
      </c>
      <c r="F58">
        <v>3</v>
      </c>
      <c r="G58">
        <v>5</v>
      </c>
      <c r="H58">
        <v>0</v>
      </c>
      <c r="I58" s="12" t="s">
        <v>131</v>
      </c>
      <c r="J58" s="12" t="s">
        <v>132</v>
      </c>
      <c r="K58" s="12" t="s">
        <v>133</v>
      </c>
      <c r="L58" s="12" t="s">
        <v>134</v>
      </c>
      <c r="M58">
        <v>1.51</v>
      </c>
      <c r="N58" s="12" t="s">
        <v>135</v>
      </c>
      <c r="O58" s="12" t="s">
        <v>136</v>
      </c>
      <c r="P58" s="12" t="s">
        <v>137</v>
      </c>
      <c r="Q58" s="13">
        <v>44973</v>
      </c>
      <c r="R58" s="13">
        <v>45002</v>
      </c>
      <c r="S58">
        <v>2023</v>
      </c>
      <c r="T58" s="12" t="s">
        <v>203</v>
      </c>
      <c r="U58">
        <v>77</v>
      </c>
      <c r="V58">
        <v>501.92320000000001</v>
      </c>
      <c r="W58">
        <v>432.73</v>
      </c>
      <c r="X58">
        <v>1232.21</v>
      </c>
      <c r="Y58">
        <v>1</v>
      </c>
      <c r="Z58">
        <v>38648.089999999997</v>
      </c>
      <c r="AA58">
        <v>40313.03</v>
      </c>
      <c r="AB58" s="12" t="s">
        <v>138</v>
      </c>
      <c r="AC58">
        <v>501.92320000000001</v>
      </c>
      <c r="AD58">
        <v>1</v>
      </c>
      <c r="AE58">
        <v>1</v>
      </c>
      <c r="AF58">
        <v>0</v>
      </c>
      <c r="AG58">
        <v>38648.089999999997</v>
      </c>
      <c r="AH58">
        <v>77</v>
      </c>
      <c r="AI58">
        <v>71</v>
      </c>
      <c r="AJ58">
        <v>6</v>
      </c>
      <c r="AK58">
        <v>1</v>
      </c>
      <c r="AL58">
        <v>1</v>
      </c>
      <c r="AM58">
        <v>92.21</v>
      </c>
      <c r="AN58">
        <v>567.78909999999996</v>
      </c>
      <c r="AO58">
        <v>3011.54</v>
      </c>
      <c r="AP58" s="13">
        <v>44999</v>
      </c>
      <c r="AQ58">
        <v>-3</v>
      </c>
      <c r="AR58">
        <v>1</v>
      </c>
    </row>
    <row r="59" spans="1:44" x14ac:dyDescent="0.35">
      <c r="A59" s="12" t="s">
        <v>300</v>
      </c>
      <c r="B59" s="12" t="s">
        <v>92</v>
      </c>
      <c r="C59" s="12" t="s">
        <v>93</v>
      </c>
      <c r="D59" s="12" t="s">
        <v>64</v>
      </c>
      <c r="E59" s="12" t="s">
        <v>65</v>
      </c>
      <c r="F59">
        <v>3</v>
      </c>
      <c r="G59">
        <v>5</v>
      </c>
      <c r="H59">
        <v>0</v>
      </c>
      <c r="I59" s="12" t="s">
        <v>94</v>
      </c>
      <c r="J59" s="12" t="s">
        <v>95</v>
      </c>
      <c r="K59" s="12" t="s">
        <v>81</v>
      </c>
      <c r="L59" s="12" t="s">
        <v>96</v>
      </c>
      <c r="M59">
        <v>4.8099999999999996</v>
      </c>
      <c r="N59" s="12" t="s">
        <v>70</v>
      </c>
      <c r="O59" s="12" t="s">
        <v>71</v>
      </c>
      <c r="P59" s="12" t="s">
        <v>72</v>
      </c>
      <c r="Q59" s="13">
        <v>44973</v>
      </c>
      <c r="R59" s="13">
        <v>45003</v>
      </c>
      <c r="S59">
        <v>2023</v>
      </c>
      <c r="T59" s="12" t="s">
        <v>203</v>
      </c>
      <c r="U59">
        <v>571</v>
      </c>
      <c r="V59">
        <v>24.617899999999999</v>
      </c>
      <c r="W59">
        <v>110.77</v>
      </c>
      <c r="X59">
        <v>0</v>
      </c>
      <c r="Y59">
        <v>0</v>
      </c>
      <c r="Z59">
        <v>14056.82</v>
      </c>
      <c r="AA59">
        <v>14167.59</v>
      </c>
      <c r="AB59" s="12" t="s">
        <v>99</v>
      </c>
      <c r="AC59">
        <v>24.617899999999999</v>
      </c>
      <c r="AD59">
        <v>1</v>
      </c>
      <c r="AE59">
        <v>1</v>
      </c>
      <c r="AF59">
        <v>0</v>
      </c>
      <c r="AG59">
        <v>14056.82</v>
      </c>
      <c r="AH59">
        <v>571</v>
      </c>
      <c r="AI59">
        <v>563</v>
      </c>
      <c r="AJ59">
        <v>8</v>
      </c>
      <c r="AK59">
        <v>1</v>
      </c>
      <c r="AL59">
        <v>1</v>
      </c>
      <c r="AM59">
        <v>98.6</v>
      </c>
      <c r="AN59">
        <v>25.1645</v>
      </c>
      <c r="AO59">
        <v>196.94</v>
      </c>
      <c r="AP59" s="13">
        <v>45002</v>
      </c>
      <c r="AQ59">
        <v>-1</v>
      </c>
      <c r="AR59">
        <v>1</v>
      </c>
    </row>
    <row r="60" spans="1:44" x14ac:dyDescent="0.35">
      <c r="A60" s="12" t="s">
        <v>301</v>
      </c>
      <c r="B60" s="12" t="s">
        <v>302</v>
      </c>
      <c r="C60" s="12" t="s">
        <v>303</v>
      </c>
      <c r="D60" s="12" t="s">
        <v>78</v>
      </c>
      <c r="E60" s="12" t="s">
        <v>65</v>
      </c>
      <c r="F60">
        <v>2</v>
      </c>
      <c r="G60">
        <v>3</v>
      </c>
      <c r="H60">
        <v>0</v>
      </c>
      <c r="I60" s="12" t="s">
        <v>243</v>
      </c>
      <c r="J60" s="12" t="s">
        <v>244</v>
      </c>
      <c r="K60" s="12" t="s">
        <v>81</v>
      </c>
      <c r="L60" s="12" t="s">
        <v>82</v>
      </c>
      <c r="M60">
        <v>9.2200000000000006</v>
      </c>
      <c r="N60" s="12" t="s">
        <v>97</v>
      </c>
      <c r="O60" s="12" t="s">
        <v>98</v>
      </c>
      <c r="P60" s="12" t="s">
        <v>72</v>
      </c>
      <c r="Q60" s="13">
        <v>44973</v>
      </c>
      <c r="R60" s="13">
        <v>44995</v>
      </c>
      <c r="S60">
        <v>2023</v>
      </c>
      <c r="T60" s="12" t="s">
        <v>203</v>
      </c>
      <c r="U60">
        <v>65</v>
      </c>
      <c r="V60">
        <v>144.41300000000001</v>
      </c>
      <c r="W60">
        <v>123.76</v>
      </c>
      <c r="X60">
        <v>0</v>
      </c>
      <c r="Y60">
        <v>0</v>
      </c>
      <c r="Z60">
        <v>9386.85</v>
      </c>
      <c r="AA60">
        <v>9510.61</v>
      </c>
      <c r="AB60" s="12" t="s">
        <v>304</v>
      </c>
      <c r="AC60">
        <v>144.41300000000001</v>
      </c>
      <c r="AD60">
        <v>1</v>
      </c>
      <c r="AE60">
        <v>1</v>
      </c>
      <c r="AF60">
        <v>0</v>
      </c>
      <c r="AG60">
        <v>9386.85</v>
      </c>
      <c r="AH60">
        <v>65</v>
      </c>
      <c r="AI60">
        <v>64</v>
      </c>
      <c r="AJ60">
        <v>1</v>
      </c>
      <c r="AK60">
        <v>1</v>
      </c>
      <c r="AL60">
        <v>1</v>
      </c>
      <c r="AM60">
        <v>98.46</v>
      </c>
      <c r="AN60">
        <v>148.60319999999999</v>
      </c>
      <c r="AO60">
        <v>144.41</v>
      </c>
      <c r="AP60" s="13">
        <v>44992</v>
      </c>
      <c r="AQ60">
        <v>-3</v>
      </c>
      <c r="AR60">
        <v>1</v>
      </c>
    </row>
    <row r="61" spans="1:44" x14ac:dyDescent="0.35">
      <c r="A61" s="12" t="s">
        <v>305</v>
      </c>
      <c r="B61" s="12" t="s">
        <v>289</v>
      </c>
      <c r="C61" s="12" t="s">
        <v>290</v>
      </c>
      <c r="D61" s="12" t="s">
        <v>175</v>
      </c>
      <c r="E61" s="12" t="s">
        <v>104</v>
      </c>
      <c r="F61">
        <v>3</v>
      </c>
      <c r="G61">
        <v>1</v>
      </c>
      <c r="H61">
        <v>0</v>
      </c>
      <c r="I61" s="12" t="s">
        <v>157</v>
      </c>
      <c r="J61" s="12" t="s">
        <v>158</v>
      </c>
      <c r="K61" s="12" t="s">
        <v>117</v>
      </c>
      <c r="L61" s="12" t="s">
        <v>96</v>
      </c>
      <c r="M61">
        <v>4.72</v>
      </c>
      <c r="N61" s="12" t="s">
        <v>145</v>
      </c>
      <c r="O61" s="12" t="s">
        <v>146</v>
      </c>
      <c r="P61" s="12" t="s">
        <v>109</v>
      </c>
      <c r="Q61" s="13">
        <v>44973</v>
      </c>
      <c r="R61" s="13">
        <v>44991</v>
      </c>
      <c r="S61">
        <v>2023</v>
      </c>
      <c r="T61" s="12" t="s">
        <v>203</v>
      </c>
      <c r="U61">
        <v>58</v>
      </c>
      <c r="V61">
        <v>194.9136</v>
      </c>
      <c r="W61">
        <v>189.76</v>
      </c>
      <c r="X61">
        <v>353.31</v>
      </c>
      <c r="Y61">
        <v>1</v>
      </c>
      <c r="Z61">
        <v>11304.99</v>
      </c>
      <c r="AA61">
        <v>11848.06</v>
      </c>
      <c r="AB61" s="12" t="s">
        <v>291</v>
      </c>
      <c r="AC61">
        <v>194.9136</v>
      </c>
      <c r="AD61">
        <v>1</v>
      </c>
      <c r="AE61">
        <v>1</v>
      </c>
      <c r="AF61">
        <v>0</v>
      </c>
      <c r="AG61">
        <v>11304.99</v>
      </c>
      <c r="AH61">
        <v>58</v>
      </c>
      <c r="AI61">
        <v>57</v>
      </c>
      <c r="AJ61">
        <v>1</v>
      </c>
      <c r="AK61">
        <v>1</v>
      </c>
      <c r="AL61">
        <v>1</v>
      </c>
      <c r="AM61">
        <v>98.28</v>
      </c>
      <c r="AN61">
        <v>207.86070000000001</v>
      </c>
      <c r="AO61">
        <v>194.91</v>
      </c>
      <c r="AP61" s="13">
        <v>44991</v>
      </c>
      <c r="AQ61">
        <v>0</v>
      </c>
      <c r="AR61">
        <v>1</v>
      </c>
    </row>
    <row r="62" spans="1:44" x14ac:dyDescent="0.35">
      <c r="A62" s="12" t="s">
        <v>306</v>
      </c>
      <c r="B62" s="12" t="s">
        <v>101</v>
      </c>
      <c r="C62" s="12" t="s">
        <v>102</v>
      </c>
      <c r="D62" s="12" t="s">
        <v>103</v>
      </c>
      <c r="E62" s="12" t="s">
        <v>104</v>
      </c>
      <c r="F62">
        <v>1</v>
      </c>
      <c r="G62">
        <v>0</v>
      </c>
      <c r="H62">
        <v>1</v>
      </c>
      <c r="I62" s="12" t="s">
        <v>105</v>
      </c>
      <c r="J62" s="12" t="s">
        <v>106</v>
      </c>
      <c r="K62" s="12" t="s">
        <v>81</v>
      </c>
      <c r="L62" s="12" t="s">
        <v>96</v>
      </c>
      <c r="M62">
        <v>5.01</v>
      </c>
      <c r="N62" s="12" t="s">
        <v>145</v>
      </c>
      <c r="O62" s="12" t="s">
        <v>146</v>
      </c>
      <c r="P62" s="12" t="s">
        <v>109</v>
      </c>
      <c r="Q62" s="13">
        <v>44974</v>
      </c>
      <c r="R62" s="13">
        <v>44994</v>
      </c>
      <c r="S62">
        <v>2023</v>
      </c>
      <c r="T62" s="12" t="s">
        <v>203</v>
      </c>
      <c r="U62">
        <v>79</v>
      </c>
      <c r="V62">
        <v>207.4813</v>
      </c>
      <c r="W62">
        <v>361</v>
      </c>
      <c r="X62">
        <v>524.29</v>
      </c>
      <c r="Y62">
        <v>1</v>
      </c>
      <c r="Z62">
        <v>16391.02</v>
      </c>
      <c r="AA62">
        <v>17276.310000000001</v>
      </c>
      <c r="AB62" s="12" t="s">
        <v>110</v>
      </c>
      <c r="AC62">
        <v>207.4813</v>
      </c>
      <c r="AD62">
        <v>1</v>
      </c>
      <c r="AE62">
        <v>1</v>
      </c>
      <c r="AF62">
        <v>0</v>
      </c>
      <c r="AG62">
        <v>16391.02</v>
      </c>
      <c r="AH62">
        <v>79</v>
      </c>
      <c r="AI62">
        <v>78</v>
      </c>
      <c r="AJ62">
        <v>1</v>
      </c>
      <c r="AK62">
        <v>1</v>
      </c>
      <c r="AL62">
        <v>1</v>
      </c>
      <c r="AM62">
        <v>98.73</v>
      </c>
      <c r="AN62">
        <v>221.49119999999999</v>
      </c>
      <c r="AO62">
        <v>207.48</v>
      </c>
      <c r="AP62" s="13">
        <v>44991</v>
      </c>
      <c r="AQ62">
        <v>-3</v>
      </c>
      <c r="AR62">
        <v>1</v>
      </c>
    </row>
    <row r="63" spans="1:44" x14ac:dyDescent="0.35">
      <c r="A63" s="12" t="s">
        <v>307</v>
      </c>
      <c r="B63" s="12" t="s">
        <v>308</v>
      </c>
      <c r="C63" s="12" t="s">
        <v>309</v>
      </c>
      <c r="D63" s="12" t="s">
        <v>122</v>
      </c>
      <c r="E63" s="12" t="s">
        <v>142</v>
      </c>
      <c r="F63">
        <v>1</v>
      </c>
      <c r="G63">
        <v>6</v>
      </c>
      <c r="H63">
        <v>1</v>
      </c>
      <c r="I63" s="12" t="s">
        <v>310</v>
      </c>
      <c r="J63" s="12" t="s">
        <v>311</v>
      </c>
      <c r="K63" s="12" t="s">
        <v>81</v>
      </c>
      <c r="L63" s="12" t="s">
        <v>69</v>
      </c>
      <c r="M63">
        <v>28.3</v>
      </c>
      <c r="N63" s="12" t="s">
        <v>97</v>
      </c>
      <c r="O63" s="12" t="s">
        <v>98</v>
      </c>
      <c r="P63" s="12" t="s">
        <v>72</v>
      </c>
      <c r="Q63" s="13">
        <v>44974</v>
      </c>
      <c r="R63" s="13">
        <v>45019</v>
      </c>
      <c r="S63">
        <v>2023</v>
      </c>
      <c r="T63" s="12" t="s">
        <v>203</v>
      </c>
      <c r="U63">
        <v>1256</v>
      </c>
      <c r="V63">
        <v>59.409700000000001</v>
      </c>
      <c r="W63">
        <v>765.53</v>
      </c>
      <c r="X63">
        <v>0</v>
      </c>
      <c r="Y63">
        <v>0</v>
      </c>
      <c r="Z63">
        <v>74618.58</v>
      </c>
      <c r="AA63">
        <v>75384.11</v>
      </c>
      <c r="AB63" s="12" t="s">
        <v>312</v>
      </c>
      <c r="AC63">
        <v>59.409700000000001</v>
      </c>
      <c r="AD63">
        <v>1</v>
      </c>
      <c r="AE63">
        <v>1</v>
      </c>
      <c r="AF63">
        <v>0</v>
      </c>
      <c r="AG63">
        <v>74618.58</v>
      </c>
      <c r="AH63">
        <v>1256</v>
      </c>
      <c r="AI63">
        <v>1242</v>
      </c>
      <c r="AJ63">
        <v>14</v>
      </c>
      <c r="AK63">
        <v>1</v>
      </c>
      <c r="AL63">
        <v>1</v>
      </c>
      <c r="AM63">
        <v>98.89</v>
      </c>
      <c r="AN63">
        <v>60.695700000000002</v>
      </c>
      <c r="AO63">
        <v>831.74</v>
      </c>
      <c r="AP63" s="13">
        <v>45018</v>
      </c>
      <c r="AQ63">
        <v>-1</v>
      </c>
      <c r="AR63">
        <v>1</v>
      </c>
    </row>
    <row r="64" spans="1:44" x14ac:dyDescent="0.35">
      <c r="A64" s="12" t="s">
        <v>313</v>
      </c>
      <c r="B64" s="12" t="s">
        <v>238</v>
      </c>
      <c r="C64" s="12" t="s">
        <v>239</v>
      </c>
      <c r="D64" s="12" t="s">
        <v>122</v>
      </c>
      <c r="E64" s="12" t="s">
        <v>65</v>
      </c>
      <c r="F64">
        <v>3</v>
      </c>
      <c r="G64">
        <v>4</v>
      </c>
      <c r="H64">
        <v>0</v>
      </c>
      <c r="I64" s="12" t="s">
        <v>79</v>
      </c>
      <c r="J64" s="12" t="s">
        <v>80</v>
      </c>
      <c r="K64" s="12" t="s">
        <v>81</v>
      </c>
      <c r="L64" s="12" t="s">
        <v>82</v>
      </c>
      <c r="M64">
        <v>12.07</v>
      </c>
      <c r="N64" s="12" t="s">
        <v>97</v>
      </c>
      <c r="O64" s="12" t="s">
        <v>98</v>
      </c>
      <c r="P64" s="12" t="s">
        <v>72</v>
      </c>
      <c r="Q64" s="13">
        <v>44974</v>
      </c>
      <c r="R64" s="13">
        <v>45004</v>
      </c>
      <c r="S64">
        <v>2023</v>
      </c>
      <c r="T64" s="12" t="s">
        <v>203</v>
      </c>
      <c r="U64">
        <v>1149</v>
      </c>
      <c r="V64">
        <v>37.143599999999999</v>
      </c>
      <c r="W64">
        <v>645.66</v>
      </c>
      <c r="X64">
        <v>0</v>
      </c>
      <c r="Y64">
        <v>0</v>
      </c>
      <c r="Z64">
        <v>42678</v>
      </c>
      <c r="AA64">
        <v>43323.66</v>
      </c>
      <c r="AB64" s="12" t="s">
        <v>297</v>
      </c>
      <c r="AC64">
        <v>37.143599999999999</v>
      </c>
      <c r="AD64">
        <v>1</v>
      </c>
      <c r="AE64">
        <v>1</v>
      </c>
      <c r="AF64">
        <v>0</v>
      </c>
      <c r="AG64">
        <v>42678</v>
      </c>
      <c r="AH64">
        <v>1149</v>
      </c>
      <c r="AI64">
        <v>1137</v>
      </c>
      <c r="AJ64">
        <v>12</v>
      </c>
      <c r="AK64">
        <v>1</v>
      </c>
      <c r="AL64">
        <v>1</v>
      </c>
      <c r="AM64">
        <v>98.96</v>
      </c>
      <c r="AN64">
        <v>38.103499999999997</v>
      </c>
      <c r="AO64">
        <v>445.72</v>
      </c>
      <c r="AP64" s="13">
        <v>45005</v>
      </c>
      <c r="AQ64">
        <v>1</v>
      </c>
      <c r="AR64">
        <v>0</v>
      </c>
    </row>
    <row r="65" spans="1:44" x14ac:dyDescent="0.35">
      <c r="A65" s="12" t="s">
        <v>314</v>
      </c>
      <c r="B65" s="12" t="s">
        <v>149</v>
      </c>
      <c r="C65" s="12" t="s">
        <v>150</v>
      </c>
      <c r="D65" s="12" t="s">
        <v>78</v>
      </c>
      <c r="E65" s="12" t="s">
        <v>65</v>
      </c>
      <c r="F65">
        <v>2</v>
      </c>
      <c r="G65">
        <v>2</v>
      </c>
      <c r="H65">
        <v>0</v>
      </c>
      <c r="I65" s="12" t="s">
        <v>169</v>
      </c>
      <c r="J65" s="12" t="s">
        <v>170</v>
      </c>
      <c r="K65" s="12" t="s">
        <v>89</v>
      </c>
      <c r="L65" s="12" t="s">
        <v>134</v>
      </c>
      <c r="M65">
        <v>1.37</v>
      </c>
      <c r="N65" s="12" t="s">
        <v>97</v>
      </c>
      <c r="O65" s="12" t="s">
        <v>98</v>
      </c>
      <c r="P65" s="12" t="s">
        <v>72</v>
      </c>
      <c r="Q65" s="13">
        <v>44977</v>
      </c>
      <c r="R65" s="13">
        <v>44999</v>
      </c>
      <c r="S65">
        <v>2023</v>
      </c>
      <c r="T65" s="12" t="s">
        <v>203</v>
      </c>
      <c r="U65">
        <v>64</v>
      </c>
      <c r="V65">
        <v>76.092399999999998</v>
      </c>
      <c r="W65">
        <v>124.68</v>
      </c>
      <c r="X65">
        <v>0</v>
      </c>
      <c r="Y65">
        <v>0</v>
      </c>
      <c r="Z65">
        <v>4869.91</v>
      </c>
      <c r="AA65">
        <v>4994.59</v>
      </c>
      <c r="AB65" s="12" t="s">
        <v>315</v>
      </c>
      <c r="AC65">
        <v>76.092399999999998</v>
      </c>
      <c r="AD65">
        <v>1</v>
      </c>
      <c r="AE65">
        <v>1</v>
      </c>
      <c r="AF65">
        <v>0</v>
      </c>
      <c r="AG65">
        <v>4869.91</v>
      </c>
      <c r="AH65">
        <v>64</v>
      </c>
      <c r="AI65">
        <v>63</v>
      </c>
      <c r="AJ65">
        <v>1</v>
      </c>
      <c r="AK65">
        <v>1</v>
      </c>
      <c r="AL65">
        <v>1</v>
      </c>
      <c r="AM65">
        <v>98.44</v>
      </c>
      <c r="AN65">
        <v>79.279300000000006</v>
      </c>
      <c r="AO65">
        <v>76.09</v>
      </c>
      <c r="AP65" s="13">
        <v>44998</v>
      </c>
      <c r="AQ65">
        <v>-1</v>
      </c>
      <c r="AR65">
        <v>1</v>
      </c>
    </row>
    <row r="66" spans="1:44" x14ac:dyDescent="0.35">
      <c r="A66" s="12" t="s">
        <v>316</v>
      </c>
      <c r="B66" s="12" t="s">
        <v>317</v>
      </c>
      <c r="C66" s="12" t="s">
        <v>318</v>
      </c>
      <c r="D66" s="12" t="s">
        <v>64</v>
      </c>
      <c r="E66" s="12" t="s">
        <v>104</v>
      </c>
      <c r="F66">
        <v>2</v>
      </c>
      <c r="G66">
        <v>0</v>
      </c>
      <c r="H66">
        <v>0</v>
      </c>
      <c r="I66" s="12" t="s">
        <v>169</v>
      </c>
      <c r="J66" s="12" t="s">
        <v>170</v>
      </c>
      <c r="K66" s="12" t="s">
        <v>89</v>
      </c>
      <c r="L66" s="12" t="s">
        <v>134</v>
      </c>
      <c r="M66">
        <v>1.37</v>
      </c>
      <c r="N66" s="12" t="s">
        <v>97</v>
      </c>
      <c r="O66" s="12" t="s">
        <v>98</v>
      </c>
      <c r="P66" s="12" t="s">
        <v>72</v>
      </c>
      <c r="Q66" s="13">
        <v>44977</v>
      </c>
      <c r="R66" s="13">
        <v>44993</v>
      </c>
      <c r="S66">
        <v>2023</v>
      </c>
      <c r="T66" s="12" t="s">
        <v>203</v>
      </c>
      <c r="U66">
        <v>321</v>
      </c>
      <c r="V66">
        <v>14.8986</v>
      </c>
      <c r="W66">
        <v>33.04</v>
      </c>
      <c r="X66">
        <v>0</v>
      </c>
      <c r="Y66">
        <v>0</v>
      </c>
      <c r="Z66">
        <v>4782.45</v>
      </c>
      <c r="AA66">
        <v>4815.49</v>
      </c>
      <c r="AB66" s="12" t="s">
        <v>319</v>
      </c>
      <c r="AC66">
        <v>15.848100000000001</v>
      </c>
      <c r="AD66">
        <v>1</v>
      </c>
      <c r="AE66">
        <v>1</v>
      </c>
      <c r="AF66">
        <v>-304.79000000000002</v>
      </c>
      <c r="AG66">
        <v>5087.24</v>
      </c>
      <c r="AH66">
        <v>321</v>
      </c>
      <c r="AI66">
        <v>320</v>
      </c>
      <c r="AJ66">
        <v>1</v>
      </c>
      <c r="AK66">
        <v>1</v>
      </c>
      <c r="AL66">
        <v>1</v>
      </c>
      <c r="AM66">
        <v>99.69</v>
      </c>
      <c r="AN66">
        <v>15.048400000000001</v>
      </c>
      <c r="AO66">
        <v>14.9</v>
      </c>
      <c r="AP66" s="13">
        <v>44993</v>
      </c>
      <c r="AQ66">
        <v>0</v>
      </c>
      <c r="AR66">
        <v>1</v>
      </c>
    </row>
    <row r="67" spans="1:44" x14ac:dyDescent="0.35">
      <c r="A67" s="12" t="s">
        <v>320</v>
      </c>
      <c r="B67" s="12" t="s">
        <v>241</v>
      </c>
      <c r="C67" s="12" t="s">
        <v>242</v>
      </c>
      <c r="D67" s="12" t="s">
        <v>103</v>
      </c>
      <c r="E67" s="12" t="s">
        <v>142</v>
      </c>
      <c r="F67">
        <v>3</v>
      </c>
      <c r="G67">
        <v>11</v>
      </c>
      <c r="H67">
        <v>0</v>
      </c>
      <c r="I67" s="12" t="s">
        <v>243</v>
      </c>
      <c r="J67" s="12" t="s">
        <v>244</v>
      </c>
      <c r="K67" s="12" t="s">
        <v>81</v>
      </c>
      <c r="L67" s="12" t="s">
        <v>82</v>
      </c>
      <c r="M67">
        <v>9.2200000000000006</v>
      </c>
      <c r="N67" s="12" t="s">
        <v>107</v>
      </c>
      <c r="O67" s="12" t="s">
        <v>108</v>
      </c>
      <c r="P67" s="12" t="s">
        <v>109</v>
      </c>
      <c r="Q67" s="13">
        <v>44977</v>
      </c>
      <c r="R67" s="13">
        <v>45018</v>
      </c>
      <c r="S67">
        <v>2023</v>
      </c>
      <c r="T67" s="12" t="s">
        <v>203</v>
      </c>
      <c r="U67">
        <v>63</v>
      </c>
      <c r="V67">
        <v>164.8845</v>
      </c>
      <c r="W67">
        <v>253.82</v>
      </c>
      <c r="X67">
        <v>0</v>
      </c>
      <c r="Y67">
        <v>0</v>
      </c>
      <c r="Z67">
        <v>10387.719999999999</v>
      </c>
      <c r="AA67">
        <v>10641.54</v>
      </c>
      <c r="AB67" s="12" t="s">
        <v>245</v>
      </c>
      <c r="AC67">
        <v>164.8845</v>
      </c>
      <c r="AD67">
        <v>1</v>
      </c>
      <c r="AE67">
        <v>1</v>
      </c>
      <c r="AF67">
        <v>0</v>
      </c>
      <c r="AG67">
        <v>10387.719999999999</v>
      </c>
      <c r="AH67">
        <v>63</v>
      </c>
      <c r="AI67">
        <v>62</v>
      </c>
      <c r="AJ67">
        <v>1</v>
      </c>
      <c r="AK67">
        <v>1</v>
      </c>
      <c r="AL67">
        <v>1</v>
      </c>
      <c r="AM67">
        <v>98.41</v>
      </c>
      <c r="AN67">
        <v>171.6378</v>
      </c>
      <c r="AO67">
        <v>164.88</v>
      </c>
      <c r="AP67" s="13">
        <v>45014</v>
      </c>
      <c r="AQ67">
        <v>-4</v>
      </c>
      <c r="AR67">
        <v>1</v>
      </c>
    </row>
    <row r="68" spans="1:44" x14ac:dyDescent="0.35">
      <c r="A68" s="12" t="s">
        <v>321</v>
      </c>
      <c r="B68" s="12" t="s">
        <v>173</v>
      </c>
      <c r="C68" s="12" t="s">
        <v>174</v>
      </c>
      <c r="D68" s="12" t="s">
        <v>175</v>
      </c>
      <c r="E68" s="12" t="s">
        <v>104</v>
      </c>
      <c r="F68">
        <v>3</v>
      </c>
      <c r="G68">
        <v>1</v>
      </c>
      <c r="H68">
        <v>0</v>
      </c>
      <c r="I68" s="12" t="s">
        <v>176</v>
      </c>
      <c r="J68" s="12" t="s">
        <v>177</v>
      </c>
      <c r="K68" s="12" t="s">
        <v>125</v>
      </c>
      <c r="L68" s="12" t="s">
        <v>134</v>
      </c>
      <c r="M68">
        <v>1.75</v>
      </c>
      <c r="N68" s="12" t="s">
        <v>107</v>
      </c>
      <c r="O68" s="12" t="s">
        <v>108</v>
      </c>
      <c r="P68" s="12" t="s">
        <v>109</v>
      </c>
      <c r="Q68" s="13">
        <v>44977</v>
      </c>
      <c r="R68" s="13">
        <v>44991</v>
      </c>
      <c r="S68">
        <v>2023</v>
      </c>
      <c r="T68" s="12" t="s">
        <v>203</v>
      </c>
      <c r="U68">
        <v>26</v>
      </c>
      <c r="V68">
        <v>75.275700000000001</v>
      </c>
      <c r="W68">
        <v>43.14</v>
      </c>
      <c r="X68">
        <v>62.08</v>
      </c>
      <c r="Y68">
        <v>1</v>
      </c>
      <c r="Z68">
        <v>1957.17</v>
      </c>
      <c r="AA68">
        <v>2062.39</v>
      </c>
      <c r="AB68" s="12" t="s">
        <v>178</v>
      </c>
      <c r="AC68">
        <v>79.9559</v>
      </c>
      <c r="AD68">
        <v>1</v>
      </c>
      <c r="AE68">
        <v>1</v>
      </c>
      <c r="AF68">
        <v>-121.69</v>
      </c>
      <c r="AG68">
        <v>2078.85</v>
      </c>
      <c r="AH68">
        <v>26</v>
      </c>
      <c r="AI68">
        <v>26</v>
      </c>
      <c r="AJ68">
        <v>0</v>
      </c>
      <c r="AK68">
        <v>1</v>
      </c>
      <c r="AL68">
        <v>1</v>
      </c>
      <c r="AM68">
        <v>100</v>
      </c>
      <c r="AN68">
        <v>79.322599999999994</v>
      </c>
      <c r="AO68">
        <v>0</v>
      </c>
      <c r="AP68" s="13">
        <v>44988</v>
      </c>
      <c r="AQ68">
        <v>-3</v>
      </c>
      <c r="AR68">
        <v>1</v>
      </c>
    </row>
    <row r="69" spans="1:44" x14ac:dyDescent="0.35">
      <c r="A69" s="12" t="s">
        <v>322</v>
      </c>
      <c r="B69" s="12" t="s">
        <v>323</v>
      </c>
      <c r="C69" s="12" t="s">
        <v>324</v>
      </c>
      <c r="D69" s="12" t="s">
        <v>64</v>
      </c>
      <c r="E69" s="12" t="s">
        <v>142</v>
      </c>
      <c r="F69">
        <v>1</v>
      </c>
      <c r="G69">
        <v>7</v>
      </c>
      <c r="H69">
        <v>1</v>
      </c>
      <c r="I69" s="12" t="s">
        <v>143</v>
      </c>
      <c r="J69" s="12" t="s">
        <v>144</v>
      </c>
      <c r="K69" s="12" t="s">
        <v>133</v>
      </c>
      <c r="L69" s="12" t="s">
        <v>96</v>
      </c>
      <c r="M69">
        <v>5.43</v>
      </c>
      <c r="N69" s="12" t="s">
        <v>97</v>
      </c>
      <c r="O69" s="12" t="s">
        <v>98</v>
      </c>
      <c r="P69" s="12" t="s">
        <v>72</v>
      </c>
      <c r="Q69" s="13">
        <v>44977</v>
      </c>
      <c r="R69" s="13">
        <v>45021</v>
      </c>
      <c r="S69">
        <v>2023</v>
      </c>
      <c r="T69" s="12" t="s">
        <v>203</v>
      </c>
      <c r="U69">
        <v>594</v>
      </c>
      <c r="V69">
        <v>39.503399999999999</v>
      </c>
      <c r="W69">
        <v>212.8</v>
      </c>
      <c r="X69">
        <v>0</v>
      </c>
      <c r="Y69">
        <v>0</v>
      </c>
      <c r="Z69">
        <v>23465.02</v>
      </c>
      <c r="AA69">
        <v>23677.82</v>
      </c>
      <c r="AB69" s="12" t="s">
        <v>325</v>
      </c>
      <c r="AC69">
        <v>39.503399999999999</v>
      </c>
      <c r="AD69">
        <v>1</v>
      </c>
      <c r="AE69">
        <v>1</v>
      </c>
      <c r="AF69">
        <v>0</v>
      </c>
      <c r="AG69">
        <v>23465.02</v>
      </c>
      <c r="AH69">
        <v>594</v>
      </c>
      <c r="AI69">
        <v>592</v>
      </c>
      <c r="AJ69">
        <v>2</v>
      </c>
      <c r="AK69">
        <v>1</v>
      </c>
      <c r="AL69">
        <v>1</v>
      </c>
      <c r="AM69">
        <v>99.66</v>
      </c>
      <c r="AN69">
        <v>39.996299999999998</v>
      </c>
      <c r="AO69">
        <v>79.010000000000005</v>
      </c>
      <c r="AP69" s="13">
        <v>45019</v>
      </c>
      <c r="AQ69">
        <v>-2</v>
      </c>
      <c r="AR69">
        <v>1</v>
      </c>
    </row>
    <row r="70" spans="1:44" x14ac:dyDescent="0.35">
      <c r="A70" s="12" t="s">
        <v>326</v>
      </c>
      <c r="B70" s="12" t="s">
        <v>327</v>
      </c>
      <c r="C70" s="12" t="s">
        <v>328</v>
      </c>
      <c r="D70" s="12" t="s">
        <v>130</v>
      </c>
      <c r="E70" s="12" t="s">
        <v>104</v>
      </c>
      <c r="F70">
        <v>2</v>
      </c>
      <c r="G70">
        <v>0</v>
      </c>
      <c r="H70">
        <v>0</v>
      </c>
      <c r="I70" s="12" t="s">
        <v>94</v>
      </c>
      <c r="J70" s="12" t="s">
        <v>95</v>
      </c>
      <c r="K70" s="12" t="s">
        <v>81</v>
      </c>
      <c r="L70" s="12" t="s">
        <v>96</v>
      </c>
      <c r="M70">
        <v>4.8099999999999996</v>
      </c>
      <c r="N70" s="12" t="s">
        <v>135</v>
      </c>
      <c r="O70" s="12" t="s">
        <v>136</v>
      </c>
      <c r="P70" s="12" t="s">
        <v>137</v>
      </c>
      <c r="Q70" s="13">
        <v>44978</v>
      </c>
      <c r="R70" s="13">
        <v>45002</v>
      </c>
      <c r="S70">
        <v>2023</v>
      </c>
      <c r="T70" s="12" t="s">
        <v>203</v>
      </c>
      <c r="U70">
        <v>110</v>
      </c>
      <c r="V70">
        <v>762.93029999999999</v>
      </c>
      <c r="W70">
        <v>803.47</v>
      </c>
      <c r="X70">
        <v>0</v>
      </c>
      <c r="Y70">
        <v>0</v>
      </c>
      <c r="Z70">
        <v>83922.33</v>
      </c>
      <c r="AA70">
        <v>84725.8</v>
      </c>
      <c r="AB70" s="12" t="s">
        <v>329</v>
      </c>
      <c r="AC70">
        <v>762.93029999999999</v>
      </c>
      <c r="AD70">
        <v>1</v>
      </c>
      <c r="AE70">
        <v>1</v>
      </c>
      <c r="AF70">
        <v>0</v>
      </c>
      <c r="AG70">
        <v>83922.33</v>
      </c>
      <c r="AH70">
        <v>110</v>
      </c>
      <c r="AI70">
        <v>109</v>
      </c>
      <c r="AJ70">
        <v>1</v>
      </c>
      <c r="AK70">
        <v>1</v>
      </c>
      <c r="AL70">
        <v>1</v>
      </c>
      <c r="AM70">
        <v>99.09</v>
      </c>
      <c r="AN70">
        <v>777.30089999999996</v>
      </c>
      <c r="AO70">
        <v>762.93</v>
      </c>
      <c r="AP70" s="13">
        <v>45002</v>
      </c>
      <c r="AQ70">
        <v>0</v>
      </c>
      <c r="AR70">
        <v>1</v>
      </c>
    </row>
    <row r="71" spans="1:44" x14ac:dyDescent="0.35">
      <c r="A71" s="12" t="s">
        <v>330</v>
      </c>
      <c r="B71" s="12" t="s">
        <v>331</v>
      </c>
      <c r="C71" s="12" t="s">
        <v>332</v>
      </c>
      <c r="D71" s="12" t="s">
        <v>122</v>
      </c>
      <c r="E71" s="12" t="s">
        <v>142</v>
      </c>
      <c r="F71">
        <v>3</v>
      </c>
      <c r="G71">
        <v>11</v>
      </c>
      <c r="H71">
        <v>0</v>
      </c>
      <c r="I71" s="12" t="s">
        <v>263</v>
      </c>
      <c r="J71" s="12" t="s">
        <v>264</v>
      </c>
      <c r="K71" s="12" t="s">
        <v>125</v>
      </c>
      <c r="L71" s="12" t="s">
        <v>82</v>
      </c>
      <c r="M71">
        <v>10.210000000000001</v>
      </c>
      <c r="N71" s="12" t="s">
        <v>70</v>
      </c>
      <c r="O71" s="12" t="s">
        <v>71</v>
      </c>
      <c r="P71" s="12" t="s">
        <v>72</v>
      </c>
      <c r="Q71" s="13">
        <v>44978</v>
      </c>
      <c r="R71" s="13">
        <v>45019</v>
      </c>
      <c r="S71">
        <v>2023</v>
      </c>
      <c r="T71" s="12" t="s">
        <v>203</v>
      </c>
      <c r="U71">
        <v>867</v>
      </c>
      <c r="V71">
        <v>25.052199999999999</v>
      </c>
      <c r="W71">
        <v>392.02</v>
      </c>
      <c r="X71">
        <v>0</v>
      </c>
      <c r="Y71">
        <v>0</v>
      </c>
      <c r="Z71">
        <v>21720.26</v>
      </c>
      <c r="AA71">
        <v>22112.28</v>
      </c>
      <c r="AB71" s="12" t="s">
        <v>333</v>
      </c>
      <c r="AC71">
        <v>25.052199999999999</v>
      </c>
      <c r="AD71">
        <v>1</v>
      </c>
      <c r="AE71">
        <v>1</v>
      </c>
      <c r="AF71">
        <v>0</v>
      </c>
      <c r="AG71">
        <v>21720.26</v>
      </c>
      <c r="AH71">
        <v>867</v>
      </c>
      <c r="AI71">
        <v>857</v>
      </c>
      <c r="AJ71">
        <v>10</v>
      </c>
      <c r="AK71">
        <v>1</v>
      </c>
      <c r="AL71">
        <v>1</v>
      </c>
      <c r="AM71">
        <v>98.85</v>
      </c>
      <c r="AN71">
        <v>25.802</v>
      </c>
      <c r="AO71">
        <v>250.52</v>
      </c>
      <c r="AP71" s="13">
        <v>45019</v>
      </c>
      <c r="AQ71">
        <v>0</v>
      </c>
      <c r="AR71">
        <v>1</v>
      </c>
    </row>
    <row r="72" spans="1:44" x14ac:dyDescent="0.35">
      <c r="A72" s="12" t="s">
        <v>334</v>
      </c>
      <c r="B72" s="12" t="s">
        <v>302</v>
      </c>
      <c r="C72" s="12" t="s">
        <v>303</v>
      </c>
      <c r="D72" s="12" t="s">
        <v>78</v>
      </c>
      <c r="E72" s="12" t="s">
        <v>65</v>
      </c>
      <c r="F72">
        <v>2</v>
      </c>
      <c r="G72">
        <v>3</v>
      </c>
      <c r="H72">
        <v>0</v>
      </c>
      <c r="I72" s="12" t="s">
        <v>335</v>
      </c>
      <c r="J72" s="12" t="s">
        <v>336</v>
      </c>
      <c r="K72" s="12" t="s">
        <v>89</v>
      </c>
      <c r="L72" s="12" t="s">
        <v>82</v>
      </c>
      <c r="M72">
        <v>16</v>
      </c>
      <c r="N72" s="12" t="s">
        <v>70</v>
      </c>
      <c r="O72" s="12" t="s">
        <v>71</v>
      </c>
      <c r="P72" s="12" t="s">
        <v>72</v>
      </c>
      <c r="Q72" s="13">
        <v>44978</v>
      </c>
      <c r="R72" s="13">
        <v>45016</v>
      </c>
      <c r="S72">
        <v>2023</v>
      </c>
      <c r="T72" s="12" t="s">
        <v>203</v>
      </c>
      <c r="U72">
        <v>287</v>
      </c>
      <c r="V72">
        <v>144.41300000000001</v>
      </c>
      <c r="W72">
        <v>387.44</v>
      </c>
      <c r="X72">
        <v>0</v>
      </c>
      <c r="Y72">
        <v>0</v>
      </c>
      <c r="Z72">
        <v>41446.53</v>
      </c>
      <c r="AA72">
        <v>41833.97</v>
      </c>
      <c r="AB72" s="12" t="s">
        <v>337</v>
      </c>
      <c r="AC72">
        <v>144.41300000000001</v>
      </c>
      <c r="AD72">
        <v>1</v>
      </c>
      <c r="AE72">
        <v>1</v>
      </c>
      <c r="AF72">
        <v>0</v>
      </c>
      <c r="AG72">
        <v>41446.53</v>
      </c>
      <c r="AH72">
        <v>287</v>
      </c>
      <c r="AI72">
        <v>286</v>
      </c>
      <c r="AJ72">
        <v>1</v>
      </c>
      <c r="AK72">
        <v>1</v>
      </c>
      <c r="AL72">
        <v>1</v>
      </c>
      <c r="AM72">
        <v>99.65</v>
      </c>
      <c r="AN72">
        <v>146.27260000000001</v>
      </c>
      <c r="AO72">
        <v>144.41</v>
      </c>
      <c r="AP72" s="13">
        <v>45016</v>
      </c>
      <c r="AQ72">
        <v>0</v>
      </c>
      <c r="AR72">
        <v>1</v>
      </c>
    </row>
    <row r="73" spans="1:44" x14ac:dyDescent="0.35">
      <c r="A73" s="12" t="s">
        <v>338</v>
      </c>
      <c r="B73" s="12" t="s">
        <v>339</v>
      </c>
      <c r="C73" s="12" t="s">
        <v>340</v>
      </c>
      <c r="D73" s="12" t="s">
        <v>103</v>
      </c>
      <c r="E73" s="12" t="s">
        <v>142</v>
      </c>
      <c r="F73">
        <v>2</v>
      </c>
      <c r="G73">
        <v>9</v>
      </c>
      <c r="H73">
        <v>0</v>
      </c>
      <c r="I73" s="12" t="s">
        <v>341</v>
      </c>
      <c r="J73" s="12" t="s">
        <v>342</v>
      </c>
      <c r="K73" s="12" t="s">
        <v>117</v>
      </c>
      <c r="L73" s="12" t="s">
        <v>82</v>
      </c>
      <c r="M73">
        <v>18.36</v>
      </c>
      <c r="N73" s="12" t="s">
        <v>145</v>
      </c>
      <c r="O73" s="12" t="s">
        <v>146</v>
      </c>
      <c r="P73" s="12" t="s">
        <v>109</v>
      </c>
      <c r="Q73" s="13">
        <v>44979</v>
      </c>
      <c r="R73" s="13">
        <v>45018</v>
      </c>
      <c r="S73">
        <v>2023</v>
      </c>
      <c r="T73" s="12" t="s">
        <v>203</v>
      </c>
      <c r="U73">
        <v>46</v>
      </c>
      <c r="V73">
        <v>249.9879</v>
      </c>
      <c r="W73">
        <v>228.3</v>
      </c>
      <c r="X73">
        <v>0</v>
      </c>
      <c r="Y73">
        <v>0</v>
      </c>
      <c r="Z73">
        <v>11499.44</v>
      </c>
      <c r="AA73">
        <v>11727.74</v>
      </c>
      <c r="AB73" s="12" t="s">
        <v>343</v>
      </c>
      <c r="AC73">
        <v>249.9879</v>
      </c>
      <c r="AD73">
        <v>1</v>
      </c>
      <c r="AE73">
        <v>1</v>
      </c>
      <c r="AF73">
        <v>0</v>
      </c>
      <c r="AG73">
        <v>11499.44</v>
      </c>
      <c r="AH73">
        <v>46</v>
      </c>
      <c r="AI73">
        <v>46</v>
      </c>
      <c r="AJ73">
        <v>0</v>
      </c>
      <c r="AK73">
        <v>1</v>
      </c>
      <c r="AL73">
        <v>1</v>
      </c>
      <c r="AM73">
        <v>100</v>
      </c>
      <c r="AN73">
        <v>254.95089999999999</v>
      </c>
      <c r="AO73">
        <v>0</v>
      </c>
      <c r="AP73" s="13">
        <v>45018</v>
      </c>
      <c r="AQ73">
        <v>0</v>
      </c>
      <c r="AR73">
        <v>1</v>
      </c>
    </row>
    <row r="74" spans="1:44" x14ac:dyDescent="0.35">
      <c r="A74" s="12" t="s">
        <v>344</v>
      </c>
      <c r="B74" s="12" t="s">
        <v>339</v>
      </c>
      <c r="C74" s="12" t="s">
        <v>340</v>
      </c>
      <c r="D74" s="12" t="s">
        <v>103</v>
      </c>
      <c r="E74" s="12" t="s">
        <v>142</v>
      </c>
      <c r="F74">
        <v>2</v>
      </c>
      <c r="G74">
        <v>9</v>
      </c>
      <c r="H74">
        <v>0</v>
      </c>
      <c r="I74" s="12" t="s">
        <v>169</v>
      </c>
      <c r="J74" s="12" t="s">
        <v>170</v>
      </c>
      <c r="K74" s="12" t="s">
        <v>89</v>
      </c>
      <c r="L74" s="12" t="s">
        <v>134</v>
      </c>
      <c r="M74">
        <v>1.37</v>
      </c>
      <c r="N74" s="12" t="s">
        <v>107</v>
      </c>
      <c r="O74" s="12" t="s">
        <v>108</v>
      </c>
      <c r="P74" s="12" t="s">
        <v>109</v>
      </c>
      <c r="Q74" s="13">
        <v>44979</v>
      </c>
      <c r="R74" s="13">
        <v>45023</v>
      </c>
      <c r="S74">
        <v>2023</v>
      </c>
      <c r="T74" s="12" t="s">
        <v>203</v>
      </c>
      <c r="U74">
        <v>84</v>
      </c>
      <c r="V74">
        <v>249.9879</v>
      </c>
      <c r="W74">
        <v>280.02999999999997</v>
      </c>
      <c r="X74">
        <v>0</v>
      </c>
      <c r="Y74">
        <v>0</v>
      </c>
      <c r="Z74">
        <v>20998.98</v>
      </c>
      <c r="AA74">
        <v>21279.01</v>
      </c>
      <c r="AB74" s="12" t="s">
        <v>345</v>
      </c>
      <c r="AC74">
        <v>249.9879</v>
      </c>
      <c r="AD74">
        <v>1</v>
      </c>
      <c r="AE74">
        <v>1</v>
      </c>
      <c r="AF74">
        <v>0</v>
      </c>
      <c r="AG74">
        <v>20998.98</v>
      </c>
      <c r="AH74">
        <v>84</v>
      </c>
      <c r="AI74">
        <v>83</v>
      </c>
      <c r="AJ74">
        <v>1</v>
      </c>
      <c r="AK74">
        <v>1</v>
      </c>
      <c r="AL74">
        <v>1</v>
      </c>
      <c r="AM74">
        <v>98.81</v>
      </c>
      <c r="AN74">
        <v>256.37369999999999</v>
      </c>
      <c r="AO74">
        <v>249.99</v>
      </c>
      <c r="AP74" s="13">
        <v>45022</v>
      </c>
      <c r="AQ74">
        <v>-1</v>
      </c>
      <c r="AR74">
        <v>1</v>
      </c>
    </row>
    <row r="75" spans="1:44" x14ac:dyDescent="0.35">
      <c r="A75" s="12" t="s">
        <v>346</v>
      </c>
      <c r="B75" s="12" t="s">
        <v>347</v>
      </c>
      <c r="C75" s="12" t="s">
        <v>348</v>
      </c>
      <c r="D75" s="12" t="s">
        <v>78</v>
      </c>
      <c r="E75" s="12" t="s">
        <v>104</v>
      </c>
      <c r="F75">
        <v>3</v>
      </c>
      <c r="G75">
        <v>1</v>
      </c>
      <c r="H75">
        <v>0</v>
      </c>
      <c r="I75" s="12" t="s">
        <v>87</v>
      </c>
      <c r="J75" s="12" t="s">
        <v>88</v>
      </c>
      <c r="K75" s="12" t="s">
        <v>89</v>
      </c>
      <c r="L75" s="12" t="s">
        <v>69</v>
      </c>
      <c r="M75">
        <v>14.93</v>
      </c>
      <c r="N75" s="12" t="s">
        <v>97</v>
      </c>
      <c r="O75" s="12" t="s">
        <v>98</v>
      </c>
      <c r="P75" s="12" t="s">
        <v>72</v>
      </c>
      <c r="Q75" s="13">
        <v>44980</v>
      </c>
      <c r="R75" s="13">
        <v>44994</v>
      </c>
      <c r="S75">
        <v>2023</v>
      </c>
      <c r="T75" s="12" t="s">
        <v>203</v>
      </c>
      <c r="U75">
        <v>73</v>
      </c>
      <c r="V75">
        <v>109.1384</v>
      </c>
      <c r="W75">
        <v>152.28</v>
      </c>
      <c r="X75">
        <v>0</v>
      </c>
      <c r="Y75">
        <v>0</v>
      </c>
      <c r="Z75">
        <v>7967.1</v>
      </c>
      <c r="AA75">
        <v>8119.38</v>
      </c>
      <c r="AB75" s="12" t="s">
        <v>201</v>
      </c>
      <c r="AD75">
        <v>0</v>
      </c>
      <c r="AE75">
        <v>0</v>
      </c>
      <c r="AH75">
        <v>73</v>
      </c>
      <c r="AI75">
        <v>72</v>
      </c>
      <c r="AJ75">
        <v>1</v>
      </c>
      <c r="AK75">
        <v>1</v>
      </c>
      <c r="AL75">
        <v>1</v>
      </c>
      <c r="AM75">
        <v>98.63</v>
      </c>
      <c r="AN75">
        <v>112.7692</v>
      </c>
      <c r="AO75">
        <v>109.14</v>
      </c>
      <c r="AP75" s="13">
        <v>44991</v>
      </c>
      <c r="AQ75">
        <v>-3</v>
      </c>
      <c r="AR75">
        <v>1</v>
      </c>
    </row>
    <row r="76" spans="1:44" x14ac:dyDescent="0.35">
      <c r="A76" s="12" t="s">
        <v>349</v>
      </c>
      <c r="B76" s="12" t="s">
        <v>350</v>
      </c>
      <c r="C76" s="12" t="s">
        <v>351</v>
      </c>
      <c r="D76" s="12" t="s">
        <v>64</v>
      </c>
      <c r="E76" s="12" t="s">
        <v>104</v>
      </c>
      <c r="F76">
        <v>3</v>
      </c>
      <c r="G76">
        <v>1</v>
      </c>
      <c r="H76">
        <v>0</v>
      </c>
      <c r="I76" s="12" t="s">
        <v>227</v>
      </c>
      <c r="J76" s="12" t="s">
        <v>228</v>
      </c>
      <c r="K76" s="12" t="s">
        <v>89</v>
      </c>
      <c r="L76" s="12" t="s">
        <v>96</v>
      </c>
      <c r="M76">
        <v>9.15</v>
      </c>
      <c r="N76" s="12" t="s">
        <v>97</v>
      </c>
      <c r="O76" s="12" t="s">
        <v>98</v>
      </c>
      <c r="P76" s="12" t="s">
        <v>72</v>
      </c>
      <c r="Q76" s="13">
        <v>44980</v>
      </c>
      <c r="R76" s="13">
        <v>45006</v>
      </c>
      <c r="S76">
        <v>2023</v>
      </c>
      <c r="T76" s="12" t="s">
        <v>203</v>
      </c>
      <c r="U76">
        <v>823</v>
      </c>
      <c r="V76">
        <v>8.7273999999999994</v>
      </c>
      <c r="W76">
        <v>169.58</v>
      </c>
      <c r="X76">
        <v>0</v>
      </c>
      <c r="Y76">
        <v>0</v>
      </c>
      <c r="Z76">
        <v>7182.65</v>
      </c>
      <c r="AA76">
        <v>7352.23</v>
      </c>
      <c r="AB76" s="12" t="s">
        <v>352</v>
      </c>
      <c r="AC76">
        <v>8.7273999999999994</v>
      </c>
      <c r="AD76">
        <v>1</v>
      </c>
      <c r="AE76">
        <v>1</v>
      </c>
      <c r="AF76">
        <v>0</v>
      </c>
      <c r="AG76">
        <v>7182.65</v>
      </c>
      <c r="AH76">
        <v>823</v>
      </c>
      <c r="AI76">
        <v>820</v>
      </c>
      <c r="AJ76">
        <v>3</v>
      </c>
      <c r="AK76">
        <v>1</v>
      </c>
      <c r="AL76">
        <v>1</v>
      </c>
      <c r="AM76">
        <v>99.64</v>
      </c>
      <c r="AN76">
        <v>8.9661000000000008</v>
      </c>
      <c r="AO76">
        <v>26.18</v>
      </c>
      <c r="AP76" s="13">
        <v>45003</v>
      </c>
      <c r="AQ76">
        <v>-3</v>
      </c>
      <c r="AR76">
        <v>1</v>
      </c>
    </row>
    <row r="77" spans="1:44" x14ac:dyDescent="0.35">
      <c r="A77" s="12" t="s">
        <v>353</v>
      </c>
      <c r="B77" s="12" t="s">
        <v>241</v>
      </c>
      <c r="C77" s="12" t="s">
        <v>242</v>
      </c>
      <c r="D77" s="12" t="s">
        <v>103</v>
      </c>
      <c r="E77" s="12" t="s">
        <v>142</v>
      </c>
      <c r="F77">
        <v>3</v>
      </c>
      <c r="G77">
        <v>11</v>
      </c>
      <c r="H77">
        <v>0</v>
      </c>
      <c r="I77" s="12" t="s">
        <v>243</v>
      </c>
      <c r="J77" s="12" t="s">
        <v>244</v>
      </c>
      <c r="K77" s="12" t="s">
        <v>81</v>
      </c>
      <c r="L77" s="12" t="s">
        <v>82</v>
      </c>
      <c r="M77">
        <v>9.2200000000000006</v>
      </c>
      <c r="N77" s="12" t="s">
        <v>107</v>
      </c>
      <c r="O77" s="12" t="s">
        <v>108</v>
      </c>
      <c r="P77" s="12" t="s">
        <v>109</v>
      </c>
      <c r="Q77" s="13">
        <v>44980</v>
      </c>
      <c r="R77" s="13">
        <v>45016</v>
      </c>
      <c r="S77">
        <v>2023</v>
      </c>
      <c r="T77" s="12" t="s">
        <v>203</v>
      </c>
      <c r="U77">
        <v>22</v>
      </c>
      <c r="V77">
        <v>164.8845</v>
      </c>
      <c r="W77">
        <v>54.55</v>
      </c>
      <c r="X77">
        <v>0</v>
      </c>
      <c r="Y77">
        <v>0</v>
      </c>
      <c r="Z77">
        <v>3627.46</v>
      </c>
      <c r="AA77">
        <v>3682.01</v>
      </c>
      <c r="AB77" s="12" t="s">
        <v>245</v>
      </c>
      <c r="AC77">
        <v>164.8845</v>
      </c>
      <c r="AD77">
        <v>1</v>
      </c>
      <c r="AE77">
        <v>1</v>
      </c>
      <c r="AF77">
        <v>0</v>
      </c>
      <c r="AG77">
        <v>3627.46</v>
      </c>
      <c r="AH77">
        <v>22</v>
      </c>
      <c r="AI77">
        <v>22</v>
      </c>
      <c r="AJ77">
        <v>0</v>
      </c>
      <c r="AK77">
        <v>1</v>
      </c>
      <c r="AL77">
        <v>1</v>
      </c>
      <c r="AM77">
        <v>100</v>
      </c>
      <c r="AN77">
        <v>167.364</v>
      </c>
      <c r="AO77">
        <v>0</v>
      </c>
      <c r="AP77" s="13">
        <v>45025</v>
      </c>
      <c r="AQ77">
        <v>9</v>
      </c>
      <c r="AR77">
        <v>0</v>
      </c>
    </row>
    <row r="78" spans="1:44" x14ac:dyDescent="0.35">
      <c r="A78" s="12" t="s">
        <v>354</v>
      </c>
      <c r="B78" s="12" t="s">
        <v>155</v>
      </c>
      <c r="C78" s="12" t="s">
        <v>156</v>
      </c>
      <c r="D78" s="12" t="s">
        <v>130</v>
      </c>
      <c r="E78" s="12" t="s">
        <v>104</v>
      </c>
      <c r="F78">
        <v>3</v>
      </c>
      <c r="G78">
        <v>1</v>
      </c>
      <c r="H78">
        <v>0</v>
      </c>
      <c r="I78" s="12" t="s">
        <v>157</v>
      </c>
      <c r="J78" s="12" t="s">
        <v>158</v>
      </c>
      <c r="K78" s="12" t="s">
        <v>117</v>
      </c>
      <c r="L78" s="12" t="s">
        <v>96</v>
      </c>
      <c r="M78">
        <v>4.72</v>
      </c>
      <c r="N78" s="12" t="s">
        <v>135</v>
      </c>
      <c r="O78" s="12" t="s">
        <v>136</v>
      </c>
      <c r="P78" s="12" t="s">
        <v>137</v>
      </c>
      <c r="Q78" s="13">
        <v>44980</v>
      </c>
      <c r="R78" s="13">
        <v>44997</v>
      </c>
      <c r="S78">
        <v>2023</v>
      </c>
      <c r="T78" s="12" t="s">
        <v>203</v>
      </c>
      <c r="U78">
        <v>54</v>
      </c>
      <c r="V78">
        <v>206.28880000000001</v>
      </c>
      <c r="W78">
        <v>205.43</v>
      </c>
      <c r="X78">
        <v>0</v>
      </c>
      <c r="Y78">
        <v>0</v>
      </c>
      <c r="Z78">
        <v>11139.6</v>
      </c>
      <c r="AA78">
        <v>11345.03</v>
      </c>
      <c r="AB78" s="12" t="s">
        <v>161</v>
      </c>
      <c r="AC78">
        <v>206.28880000000001</v>
      </c>
      <c r="AD78">
        <v>1</v>
      </c>
      <c r="AE78">
        <v>1</v>
      </c>
      <c r="AF78">
        <v>0</v>
      </c>
      <c r="AG78">
        <v>11139.6</v>
      </c>
      <c r="AH78">
        <v>54</v>
      </c>
      <c r="AI78">
        <v>54</v>
      </c>
      <c r="AJ78">
        <v>0</v>
      </c>
      <c r="AK78">
        <v>1</v>
      </c>
      <c r="AL78">
        <v>1</v>
      </c>
      <c r="AM78">
        <v>100</v>
      </c>
      <c r="AN78">
        <v>210.09309999999999</v>
      </c>
      <c r="AO78">
        <v>0</v>
      </c>
      <c r="AP78" s="13">
        <v>44994</v>
      </c>
      <c r="AQ78">
        <v>-3</v>
      </c>
      <c r="AR78">
        <v>1</v>
      </c>
    </row>
    <row r="79" spans="1:44" x14ac:dyDescent="0.35">
      <c r="A79" s="12" t="s">
        <v>355</v>
      </c>
      <c r="B79" s="12" t="s">
        <v>207</v>
      </c>
      <c r="C79" s="12" t="s">
        <v>208</v>
      </c>
      <c r="D79" s="12" t="s">
        <v>78</v>
      </c>
      <c r="E79" s="12" t="s">
        <v>65</v>
      </c>
      <c r="F79">
        <v>2</v>
      </c>
      <c r="G79">
        <v>3</v>
      </c>
      <c r="H79">
        <v>0</v>
      </c>
      <c r="I79" s="12" t="s">
        <v>209</v>
      </c>
      <c r="J79" s="12" t="s">
        <v>210</v>
      </c>
      <c r="K79" s="12" t="s">
        <v>133</v>
      </c>
      <c r="L79" s="12" t="s">
        <v>96</v>
      </c>
      <c r="M79">
        <v>7.82</v>
      </c>
      <c r="N79" s="12" t="s">
        <v>70</v>
      </c>
      <c r="O79" s="12" t="s">
        <v>71</v>
      </c>
      <c r="P79" s="12" t="s">
        <v>72</v>
      </c>
      <c r="Q79" s="13">
        <v>44980</v>
      </c>
      <c r="R79" s="13">
        <v>45002</v>
      </c>
      <c r="S79">
        <v>2023</v>
      </c>
      <c r="T79" s="12" t="s">
        <v>203</v>
      </c>
      <c r="U79">
        <v>59</v>
      </c>
      <c r="V79">
        <v>152.13079999999999</v>
      </c>
      <c r="W79">
        <v>94.97</v>
      </c>
      <c r="X79">
        <v>0</v>
      </c>
      <c r="Y79">
        <v>0</v>
      </c>
      <c r="Z79">
        <v>8975.7199999999993</v>
      </c>
      <c r="AA79">
        <v>9070.69</v>
      </c>
      <c r="AB79" s="12" t="s">
        <v>211</v>
      </c>
      <c r="AC79">
        <v>152.13079999999999</v>
      </c>
      <c r="AD79">
        <v>1</v>
      </c>
      <c r="AE79">
        <v>1</v>
      </c>
      <c r="AF79">
        <v>0</v>
      </c>
      <c r="AG79">
        <v>8975.7199999999993</v>
      </c>
      <c r="AH79">
        <v>59</v>
      </c>
      <c r="AI79">
        <v>58</v>
      </c>
      <c r="AJ79">
        <v>1</v>
      </c>
      <c r="AK79">
        <v>1</v>
      </c>
      <c r="AL79">
        <v>1</v>
      </c>
      <c r="AM79">
        <v>98.31</v>
      </c>
      <c r="AN79">
        <v>156.3912</v>
      </c>
      <c r="AO79">
        <v>152.13</v>
      </c>
      <c r="AP79" s="13">
        <v>44999</v>
      </c>
      <c r="AQ79">
        <v>-3</v>
      </c>
      <c r="AR79">
        <v>1</v>
      </c>
    </row>
    <row r="80" spans="1:44" x14ac:dyDescent="0.35">
      <c r="A80" s="12" t="s">
        <v>356</v>
      </c>
      <c r="B80" s="12" t="s">
        <v>357</v>
      </c>
      <c r="C80" s="12" t="s">
        <v>358</v>
      </c>
      <c r="D80" s="12" t="s">
        <v>103</v>
      </c>
      <c r="E80" s="12" t="s">
        <v>104</v>
      </c>
      <c r="F80">
        <v>3</v>
      </c>
      <c r="G80">
        <v>1</v>
      </c>
      <c r="H80">
        <v>0</v>
      </c>
      <c r="I80" s="12" t="s">
        <v>359</v>
      </c>
      <c r="J80" s="12" t="s">
        <v>360</v>
      </c>
      <c r="K80" s="12" t="s">
        <v>133</v>
      </c>
      <c r="L80" s="12" t="s">
        <v>82</v>
      </c>
      <c r="M80">
        <v>12.65</v>
      </c>
      <c r="N80" s="12" t="s">
        <v>145</v>
      </c>
      <c r="O80" s="12" t="s">
        <v>146</v>
      </c>
      <c r="P80" s="12" t="s">
        <v>109</v>
      </c>
      <c r="Q80" s="13">
        <v>44980</v>
      </c>
      <c r="R80" s="13">
        <v>44999</v>
      </c>
      <c r="S80">
        <v>2023</v>
      </c>
      <c r="T80" s="12" t="s">
        <v>203</v>
      </c>
      <c r="U80">
        <v>65</v>
      </c>
      <c r="V80">
        <v>116.7718</v>
      </c>
      <c r="W80">
        <v>175.84</v>
      </c>
      <c r="X80">
        <v>0</v>
      </c>
      <c r="Y80">
        <v>0</v>
      </c>
      <c r="Z80">
        <v>7590.17</v>
      </c>
      <c r="AA80">
        <v>7766.01</v>
      </c>
      <c r="AB80" s="12" t="s">
        <v>201</v>
      </c>
      <c r="AD80">
        <v>0</v>
      </c>
      <c r="AE80">
        <v>0</v>
      </c>
      <c r="AH80">
        <v>65</v>
      </c>
      <c r="AI80">
        <v>64</v>
      </c>
      <c r="AJ80">
        <v>1</v>
      </c>
      <c r="AK80">
        <v>1</v>
      </c>
      <c r="AL80">
        <v>1</v>
      </c>
      <c r="AM80">
        <v>98.46</v>
      </c>
      <c r="AN80">
        <v>121.3439</v>
      </c>
      <c r="AO80">
        <v>116.77</v>
      </c>
      <c r="AP80" s="13">
        <v>44998</v>
      </c>
      <c r="AQ80">
        <v>-1</v>
      </c>
      <c r="AR80">
        <v>1</v>
      </c>
    </row>
    <row r="81" spans="1:44" x14ac:dyDescent="0.35">
      <c r="A81" s="12" t="s">
        <v>361</v>
      </c>
      <c r="B81" s="12" t="s">
        <v>362</v>
      </c>
      <c r="C81" s="12" t="s">
        <v>363</v>
      </c>
      <c r="D81" s="12" t="s">
        <v>78</v>
      </c>
      <c r="E81" s="12" t="s">
        <v>104</v>
      </c>
      <c r="F81">
        <v>3</v>
      </c>
      <c r="G81">
        <v>0</v>
      </c>
      <c r="H81">
        <v>0</v>
      </c>
      <c r="I81" s="12" t="s">
        <v>157</v>
      </c>
      <c r="J81" s="12" t="s">
        <v>158</v>
      </c>
      <c r="K81" s="12" t="s">
        <v>117</v>
      </c>
      <c r="L81" s="12" t="s">
        <v>96</v>
      </c>
      <c r="M81">
        <v>4.72</v>
      </c>
      <c r="N81" s="12" t="s">
        <v>70</v>
      </c>
      <c r="O81" s="12" t="s">
        <v>71</v>
      </c>
      <c r="P81" s="12" t="s">
        <v>72</v>
      </c>
      <c r="Q81" s="13">
        <v>44981</v>
      </c>
      <c r="R81" s="13">
        <v>44993</v>
      </c>
      <c r="S81">
        <v>2023</v>
      </c>
      <c r="T81" s="12" t="s">
        <v>203</v>
      </c>
      <c r="U81">
        <v>52</v>
      </c>
      <c r="V81">
        <v>63.140599999999999</v>
      </c>
      <c r="W81">
        <v>48.89</v>
      </c>
      <c r="X81">
        <v>0</v>
      </c>
      <c r="Y81">
        <v>0</v>
      </c>
      <c r="Z81">
        <v>3283.31</v>
      </c>
      <c r="AA81">
        <v>3332.2</v>
      </c>
      <c r="AB81" s="12" t="s">
        <v>364</v>
      </c>
      <c r="AC81">
        <v>63.140599999999999</v>
      </c>
      <c r="AD81">
        <v>1</v>
      </c>
      <c r="AE81">
        <v>1</v>
      </c>
      <c r="AF81">
        <v>0</v>
      </c>
      <c r="AG81">
        <v>3283.31</v>
      </c>
      <c r="AH81">
        <v>52</v>
      </c>
      <c r="AI81">
        <v>51</v>
      </c>
      <c r="AJ81">
        <v>1</v>
      </c>
      <c r="AK81">
        <v>1</v>
      </c>
      <c r="AL81">
        <v>1</v>
      </c>
      <c r="AM81">
        <v>98.08</v>
      </c>
      <c r="AN81">
        <v>65.337299999999999</v>
      </c>
      <c r="AO81">
        <v>63.14</v>
      </c>
      <c r="AP81" s="13">
        <v>44992</v>
      </c>
      <c r="AQ81">
        <v>-1</v>
      </c>
      <c r="AR81">
        <v>1</v>
      </c>
    </row>
    <row r="82" spans="1:44" x14ac:dyDescent="0.35">
      <c r="A82" s="12" t="s">
        <v>365</v>
      </c>
      <c r="B82" s="12" t="s">
        <v>255</v>
      </c>
      <c r="C82" s="12" t="s">
        <v>256</v>
      </c>
      <c r="D82" s="12" t="s">
        <v>103</v>
      </c>
      <c r="E82" s="12" t="s">
        <v>65</v>
      </c>
      <c r="F82">
        <v>2</v>
      </c>
      <c r="G82">
        <v>4</v>
      </c>
      <c r="H82">
        <v>0</v>
      </c>
      <c r="I82" s="12" t="s">
        <v>143</v>
      </c>
      <c r="J82" s="12" t="s">
        <v>144</v>
      </c>
      <c r="K82" s="12" t="s">
        <v>133</v>
      </c>
      <c r="L82" s="12" t="s">
        <v>96</v>
      </c>
      <c r="M82">
        <v>5.43</v>
      </c>
      <c r="N82" s="12" t="s">
        <v>107</v>
      </c>
      <c r="O82" s="12" t="s">
        <v>108</v>
      </c>
      <c r="P82" s="12" t="s">
        <v>109</v>
      </c>
      <c r="Q82" s="13">
        <v>44981</v>
      </c>
      <c r="R82" s="13">
        <v>45003</v>
      </c>
      <c r="S82">
        <v>2023</v>
      </c>
      <c r="T82" s="12" t="s">
        <v>203</v>
      </c>
      <c r="U82">
        <v>18</v>
      </c>
      <c r="V82">
        <v>89.481099999999998</v>
      </c>
      <c r="W82">
        <v>25.75</v>
      </c>
      <c r="X82">
        <v>0</v>
      </c>
      <c r="Y82">
        <v>0</v>
      </c>
      <c r="Z82">
        <v>1610.66</v>
      </c>
      <c r="AA82">
        <v>1636.41</v>
      </c>
      <c r="AB82" s="12" t="s">
        <v>366</v>
      </c>
      <c r="AC82">
        <v>95.085700000000003</v>
      </c>
      <c r="AD82">
        <v>1</v>
      </c>
      <c r="AE82">
        <v>1</v>
      </c>
      <c r="AF82">
        <v>-100.88</v>
      </c>
      <c r="AG82">
        <v>1711.54</v>
      </c>
      <c r="AH82">
        <v>18</v>
      </c>
      <c r="AI82">
        <v>18</v>
      </c>
      <c r="AJ82">
        <v>0</v>
      </c>
      <c r="AK82">
        <v>1</v>
      </c>
      <c r="AL82">
        <v>1</v>
      </c>
      <c r="AM82">
        <v>100</v>
      </c>
      <c r="AN82">
        <v>90.911699999999996</v>
      </c>
      <c r="AO82">
        <v>0</v>
      </c>
      <c r="AP82" s="13">
        <v>45002</v>
      </c>
      <c r="AQ82">
        <v>-1</v>
      </c>
      <c r="AR82">
        <v>1</v>
      </c>
    </row>
    <row r="83" spans="1:44" x14ac:dyDescent="0.35">
      <c r="A83" s="12" t="s">
        <v>367</v>
      </c>
      <c r="B83" s="12" t="s">
        <v>231</v>
      </c>
      <c r="C83" s="12" t="s">
        <v>232</v>
      </c>
      <c r="D83" s="12" t="s">
        <v>130</v>
      </c>
      <c r="E83" s="12" t="s">
        <v>65</v>
      </c>
      <c r="F83">
        <v>1</v>
      </c>
      <c r="G83">
        <v>2</v>
      </c>
      <c r="H83">
        <v>1</v>
      </c>
      <c r="I83" s="12" t="s">
        <v>233</v>
      </c>
      <c r="J83" s="12" t="s">
        <v>234</v>
      </c>
      <c r="K83" s="12" t="s">
        <v>125</v>
      </c>
      <c r="L83" s="12" t="s">
        <v>96</v>
      </c>
      <c r="M83">
        <v>3.73</v>
      </c>
      <c r="N83" s="12" t="s">
        <v>135</v>
      </c>
      <c r="O83" s="12" t="s">
        <v>136</v>
      </c>
      <c r="P83" s="12" t="s">
        <v>137</v>
      </c>
      <c r="Q83" s="13">
        <v>44981</v>
      </c>
      <c r="R83" s="13">
        <v>45012</v>
      </c>
      <c r="S83">
        <v>2023</v>
      </c>
      <c r="T83" s="12" t="s">
        <v>203</v>
      </c>
      <c r="U83">
        <v>88</v>
      </c>
      <c r="V83">
        <v>416.40039999999999</v>
      </c>
      <c r="W83">
        <v>739.74</v>
      </c>
      <c r="X83">
        <v>0</v>
      </c>
      <c r="Y83">
        <v>0</v>
      </c>
      <c r="Z83">
        <v>36643.24</v>
      </c>
      <c r="AA83">
        <v>37382.980000000003</v>
      </c>
      <c r="AB83" s="12" t="s">
        <v>235</v>
      </c>
      <c r="AC83">
        <v>416.40039999999999</v>
      </c>
      <c r="AD83">
        <v>1</v>
      </c>
      <c r="AE83">
        <v>1</v>
      </c>
      <c r="AF83">
        <v>0</v>
      </c>
      <c r="AG83">
        <v>36643.24</v>
      </c>
      <c r="AH83">
        <v>88</v>
      </c>
      <c r="AI83">
        <v>87</v>
      </c>
      <c r="AJ83">
        <v>1</v>
      </c>
      <c r="AK83">
        <v>1</v>
      </c>
      <c r="AL83">
        <v>1</v>
      </c>
      <c r="AM83">
        <v>98.86</v>
      </c>
      <c r="AN83">
        <v>429.68939999999998</v>
      </c>
      <c r="AO83">
        <v>416.4</v>
      </c>
      <c r="AP83" s="13">
        <v>45012</v>
      </c>
      <c r="AQ83">
        <v>0</v>
      </c>
      <c r="AR83">
        <v>1</v>
      </c>
    </row>
    <row r="84" spans="1:44" x14ac:dyDescent="0.35">
      <c r="A84" s="12" t="s">
        <v>368</v>
      </c>
      <c r="B84" s="12" t="s">
        <v>289</v>
      </c>
      <c r="C84" s="12" t="s">
        <v>290</v>
      </c>
      <c r="D84" s="12" t="s">
        <v>175</v>
      </c>
      <c r="E84" s="12" t="s">
        <v>104</v>
      </c>
      <c r="F84">
        <v>3</v>
      </c>
      <c r="G84">
        <v>1</v>
      </c>
      <c r="H84">
        <v>0</v>
      </c>
      <c r="I84" s="12" t="s">
        <v>359</v>
      </c>
      <c r="J84" s="12" t="s">
        <v>360</v>
      </c>
      <c r="K84" s="12" t="s">
        <v>133</v>
      </c>
      <c r="L84" s="12" t="s">
        <v>82</v>
      </c>
      <c r="M84">
        <v>12.65</v>
      </c>
      <c r="N84" s="12" t="s">
        <v>145</v>
      </c>
      <c r="O84" s="12" t="s">
        <v>146</v>
      </c>
      <c r="P84" s="12" t="s">
        <v>109</v>
      </c>
      <c r="Q84" s="13">
        <v>44981</v>
      </c>
      <c r="R84" s="13">
        <v>45010</v>
      </c>
      <c r="S84">
        <v>2023</v>
      </c>
      <c r="T84" s="12" t="s">
        <v>203</v>
      </c>
      <c r="U84">
        <v>144</v>
      </c>
      <c r="V84">
        <v>183.36199999999999</v>
      </c>
      <c r="W84">
        <v>257.52</v>
      </c>
      <c r="X84">
        <v>0</v>
      </c>
      <c r="Y84">
        <v>0</v>
      </c>
      <c r="Z84">
        <v>26404.13</v>
      </c>
      <c r="AA84">
        <v>26661.65</v>
      </c>
      <c r="AB84" s="12" t="s">
        <v>369</v>
      </c>
      <c r="AC84">
        <v>194.9136</v>
      </c>
      <c r="AD84">
        <v>1</v>
      </c>
      <c r="AE84">
        <v>1</v>
      </c>
      <c r="AF84">
        <v>-1663.43</v>
      </c>
      <c r="AG84">
        <v>28067.56</v>
      </c>
      <c r="AH84">
        <v>144</v>
      </c>
      <c r="AI84">
        <v>143</v>
      </c>
      <c r="AJ84">
        <v>1</v>
      </c>
      <c r="AK84">
        <v>1</v>
      </c>
      <c r="AL84">
        <v>1</v>
      </c>
      <c r="AM84">
        <v>99.31</v>
      </c>
      <c r="AN84">
        <v>186.4451</v>
      </c>
      <c r="AO84">
        <v>183.36</v>
      </c>
      <c r="AP84" s="13">
        <v>45008</v>
      </c>
      <c r="AQ84">
        <v>-2</v>
      </c>
      <c r="AR84">
        <v>1</v>
      </c>
    </row>
    <row r="85" spans="1:44" x14ac:dyDescent="0.35">
      <c r="A85" s="12" t="s">
        <v>370</v>
      </c>
      <c r="B85" s="12" t="s">
        <v>317</v>
      </c>
      <c r="C85" s="12" t="s">
        <v>318</v>
      </c>
      <c r="D85" s="12" t="s">
        <v>64</v>
      </c>
      <c r="E85" s="12" t="s">
        <v>104</v>
      </c>
      <c r="F85">
        <v>2</v>
      </c>
      <c r="G85">
        <v>0</v>
      </c>
      <c r="H85">
        <v>0</v>
      </c>
      <c r="I85" s="12" t="s">
        <v>169</v>
      </c>
      <c r="J85" s="12" t="s">
        <v>170</v>
      </c>
      <c r="K85" s="12" t="s">
        <v>89</v>
      </c>
      <c r="L85" s="12" t="s">
        <v>134</v>
      </c>
      <c r="M85">
        <v>1.37</v>
      </c>
      <c r="N85" s="12" t="s">
        <v>70</v>
      </c>
      <c r="O85" s="12" t="s">
        <v>71</v>
      </c>
      <c r="P85" s="12" t="s">
        <v>72</v>
      </c>
      <c r="Q85" s="13">
        <v>44984</v>
      </c>
      <c r="R85" s="13">
        <v>44996</v>
      </c>
      <c r="S85">
        <v>2023</v>
      </c>
      <c r="T85" s="12" t="s">
        <v>203</v>
      </c>
      <c r="U85">
        <v>106</v>
      </c>
      <c r="V85">
        <v>15.848100000000001</v>
      </c>
      <c r="W85">
        <v>33.07</v>
      </c>
      <c r="X85">
        <v>0</v>
      </c>
      <c r="Y85">
        <v>0</v>
      </c>
      <c r="Z85">
        <v>1679.9</v>
      </c>
      <c r="AA85">
        <v>1712.97</v>
      </c>
      <c r="AB85" s="12" t="s">
        <v>319</v>
      </c>
      <c r="AC85">
        <v>15.848100000000001</v>
      </c>
      <c r="AD85">
        <v>1</v>
      </c>
      <c r="AE85">
        <v>1</v>
      </c>
      <c r="AF85">
        <v>0</v>
      </c>
      <c r="AG85">
        <v>1679.9</v>
      </c>
      <c r="AH85">
        <v>106</v>
      </c>
      <c r="AI85">
        <v>105</v>
      </c>
      <c r="AJ85">
        <v>1</v>
      </c>
      <c r="AK85">
        <v>1</v>
      </c>
      <c r="AL85">
        <v>1</v>
      </c>
      <c r="AM85">
        <v>99.06</v>
      </c>
      <c r="AN85">
        <v>16.314</v>
      </c>
      <c r="AO85">
        <v>15.85</v>
      </c>
      <c r="AP85" s="13">
        <v>44996</v>
      </c>
      <c r="AQ85">
        <v>0</v>
      </c>
      <c r="AR85">
        <v>1</v>
      </c>
    </row>
    <row r="86" spans="1:44" x14ac:dyDescent="0.35">
      <c r="A86" s="12" t="s">
        <v>371</v>
      </c>
      <c r="B86" s="12" t="s">
        <v>101</v>
      </c>
      <c r="C86" s="12" t="s">
        <v>102</v>
      </c>
      <c r="D86" s="12" t="s">
        <v>103</v>
      </c>
      <c r="E86" s="12" t="s">
        <v>104</v>
      </c>
      <c r="F86">
        <v>1</v>
      </c>
      <c r="G86">
        <v>0</v>
      </c>
      <c r="H86">
        <v>1</v>
      </c>
      <c r="I86" s="12" t="s">
        <v>105</v>
      </c>
      <c r="J86" s="12" t="s">
        <v>106</v>
      </c>
      <c r="K86" s="12" t="s">
        <v>81</v>
      </c>
      <c r="L86" s="12" t="s">
        <v>96</v>
      </c>
      <c r="M86">
        <v>5.01</v>
      </c>
      <c r="N86" s="12" t="s">
        <v>145</v>
      </c>
      <c r="O86" s="12" t="s">
        <v>146</v>
      </c>
      <c r="P86" s="12" t="s">
        <v>109</v>
      </c>
      <c r="Q86" s="13">
        <v>44984</v>
      </c>
      <c r="R86" s="13">
        <v>45005</v>
      </c>
      <c r="S86">
        <v>2023</v>
      </c>
      <c r="T86" s="12" t="s">
        <v>203</v>
      </c>
      <c r="U86">
        <v>84</v>
      </c>
      <c r="V86">
        <v>195.11699999999999</v>
      </c>
      <c r="W86">
        <v>398.92</v>
      </c>
      <c r="X86">
        <v>0</v>
      </c>
      <c r="Y86">
        <v>0</v>
      </c>
      <c r="Z86">
        <v>16389.830000000002</v>
      </c>
      <c r="AA86">
        <v>16788.75</v>
      </c>
      <c r="AB86" s="12" t="s">
        <v>110</v>
      </c>
      <c r="AC86">
        <v>207.4813</v>
      </c>
      <c r="AD86">
        <v>1</v>
      </c>
      <c r="AE86">
        <v>1</v>
      </c>
      <c r="AF86">
        <v>-1038.5999999999999</v>
      </c>
      <c r="AG86">
        <v>17428.43</v>
      </c>
      <c r="AH86">
        <v>84</v>
      </c>
      <c r="AI86">
        <v>83</v>
      </c>
      <c r="AJ86">
        <v>1</v>
      </c>
      <c r="AK86">
        <v>1</v>
      </c>
      <c r="AL86">
        <v>1</v>
      </c>
      <c r="AM86">
        <v>98.81</v>
      </c>
      <c r="AN86">
        <v>202.2741</v>
      </c>
      <c r="AO86">
        <v>195.12</v>
      </c>
      <c r="AP86" s="13">
        <v>45004</v>
      </c>
      <c r="AQ86">
        <v>-1</v>
      </c>
      <c r="AR86">
        <v>1</v>
      </c>
    </row>
    <row r="87" spans="1:44" x14ac:dyDescent="0.35">
      <c r="A87" s="12" t="s">
        <v>372</v>
      </c>
      <c r="B87" s="12" t="s">
        <v>76</v>
      </c>
      <c r="C87" s="12" t="s">
        <v>77</v>
      </c>
      <c r="D87" s="12" t="s">
        <v>78</v>
      </c>
      <c r="E87" s="12" t="s">
        <v>65</v>
      </c>
      <c r="F87">
        <v>2</v>
      </c>
      <c r="G87">
        <v>4</v>
      </c>
      <c r="H87">
        <v>0</v>
      </c>
      <c r="I87" s="12" t="s">
        <v>79</v>
      </c>
      <c r="J87" s="12" t="s">
        <v>80</v>
      </c>
      <c r="K87" s="12" t="s">
        <v>81</v>
      </c>
      <c r="L87" s="12" t="s">
        <v>82</v>
      </c>
      <c r="M87">
        <v>12.07</v>
      </c>
      <c r="N87" s="12" t="s">
        <v>70</v>
      </c>
      <c r="O87" s="12" t="s">
        <v>71</v>
      </c>
      <c r="P87" s="12" t="s">
        <v>72</v>
      </c>
      <c r="Q87" s="13">
        <v>44984</v>
      </c>
      <c r="R87" s="13">
        <v>45017</v>
      </c>
      <c r="S87">
        <v>2023</v>
      </c>
      <c r="T87" s="12" t="s">
        <v>203</v>
      </c>
      <c r="U87">
        <v>218</v>
      </c>
      <c r="V87">
        <v>45.991</v>
      </c>
      <c r="W87">
        <v>122.84</v>
      </c>
      <c r="X87">
        <v>308.61</v>
      </c>
      <c r="Y87">
        <v>1</v>
      </c>
      <c r="Z87">
        <v>10026.040000000001</v>
      </c>
      <c r="AA87">
        <v>10457.49</v>
      </c>
      <c r="AB87" s="12" t="s">
        <v>83</v>
      </c>
      <c r="AC87">
        <v>45.991</v>
      </c>
      <c r="AD87">
        <v>1</v>
      </c>
      <c r="AE87">
        <v>1</v>
      </c>
      <c r="AF87">
        <v>0</v>
      </c>
      <c r="AG87">
        <v>10026.040000000001</v>
      </c>
      <c r="AH87">
        <v>218</v>
      </c>
      <c r="AI87">
        <v>214</v>
      </c>
      <c r="AJ87">
        <v>4</v>
      </c>
      <c r="AK87">
        <v>1</v>
      </c>
      <c r="AL87">
        <v>1</v>
      </c>
      <c r="AM87">
        <v>98.17</v>
      </c>
      <c r="AN87">
        <v>48.866799999999998</v>
      </c>
      <c r="AO87">
        <v>183.96</v>
      </c>
      <c r="AP87" s="13">
        <v>45017</v>
      </c>
      <c r="AQ87">
        <v>0</v>
      </c>
      <c r="AR87">
        <v>1</v>
      </c>
    </row>
    <row r="88" spans="1:44" x14ac:dyDescent="0.35">
      <c r="A88" s="12" t="s">
        <v>373</v>
      </c>
      <c r="B88" s="12" t="s">
        <v>62</v>
      </c>
      <c r="C88" s="12" t="s">
        <v>63</v>
      </c>
      <c r="D88" s="12" t="s">
        <v>64</v>
      </c>
      <c r="E88" s="12" t="s">
        <v>65</v>
      </c>
      <c r="F88">
        <v>1</v>
      </c>
      <c r="G88">
        <v>2</v>
      </c>
      <c r="H88">
        <v>1</v>
      </c>
      <c r="I88" s="12" t="s">
        <v>66</v>
      </c>
      <c r="J88" s="12" t="s">
        <v>67</v>
      </c>
      <c r="K88" s="12" t="s">
        <v>68</v>
      </c>
      <c r="L88" s="12" t="s">
        <v>69</v>
      </c>
      <c r="M88">
        <v>17.66</v>
      </c>
      <c r="N88" s="12" t="s">
        <v>70</v>
      </c>
      <c r="O88" s="12" t="s">
        <v>71</v>
      </c>
      <c r="P88" s="12" t="s">
        <v>72</v>
      </c>
      <c r="Q88" s="13">
        <v>44984</v>
      </c>
      <c r="R88" s="13">
        <v>45010</v>
      </c>
      <c r="S88">
        <v>2023</v>
      </c>
      <c r="T88" s="12" t="s">
        <v>203</v>
      </c>
      <c r="U88">
        <v>363</v>
      </c>
      <c r="V88">
        <v>24.687000000000001</v>
      </c>
      <c r="W88">
        <v>156.22999999999999</v>
      </c>
      <c r="X88">
        <v>0</v>
      </c>
      <c r="Y88">
        <v>0</v>
      </c>
      <c r="Z88">
        <v>8961.3799999999992</v>
      </c>
      <c r="AA88">
        <v>9117.61</v>
      </c>
      <c r="AB88" s="12" t="s">
        <v>74</v>
      </c>
      <c r="AC88">
        <v>24.687000000000001</v>
      </c>
      <c r="AD88">
        <v>1</v>
      </c>
      <c r="AE88">
        <v>1</v>
      </c>
      <c r="AF88">
        <v>0</v>
      </c>
      <c r="AG88">
        <v>8961.3799999999992</v>
      </c>
      <c r="AH88">
        <v>363</v>
      </c>
      <c r="AI88">
        <v>362</v>
      </c>
      <c r="AJ88">
        <v>1</v>
      </c>
      <c r="AK88">
        <v>1</v>
      </c>
      <c r="AL88">
        <v>1</v>
      </c>
      <c r="AM88">
        <v>99.72</v>
      </c>
      <c r="AN88">
        <v>25.186800000000002</v>
      </c>
      <c r="AO88">
        <v>24.69</v>
      </c>
      <c r="AP88" s="13">
        <v>45019</v>
      </c>
      <c r="AQ88">
        <v>9</v>
      </c>
      <c r="AR88">
        <v>0</v>
      </c>
    </row>
    <row r="89" spans="1:44" x14ac:dyDescent="0.35">
      <c r="A89" s="12" t="s">
        <v>374</v>
      </c>
      <c r="B89" s="12" t="s">
        <v>362</v>
      </c>
      <c r="C89" s="12" t="s">
        <v>363</v>
      </c>
      <c r="D89" s="12" t="s">
        <v>78</v>
      </c>
      <c r="E89" s="12" t="s">
        <v>104</v>
      </c>
      <c r="F89">
        <v>3</v>
      </c>
      <c r="G89">
        <v>0</v>
      </c>
      <c r="H89">
        <v>0</v>
      </c>
      <c r="I89" s="12" t="s">
        <v>157</v>
      </c>
      <c r="J89" s="12" t="s">
        <v>158</v>
      </c>
      <c r="K89" s="12" t="s">
        <v>117</v>
      </c>
      <c r="L89" s="12" t="s">
        <v>96</v>
      </c>
      <c r="M89">
        <v>4.72</v>
      </c>
      <c r="N89" s="12" t="s">
        <v>70</v>
      </c>
      <c r="O89" s="12" t="s">
        <v>71</v>
      </c>
      <c r="P89" s="12" t="s">
        <v>72</v>
      </c>
      <c r="Q89" s="13">
        <v>44985</v>
      </c>
      <c r="R89" s="13">
        <v>45005</v>
      </c>
      <c r="S89">
        <v>2023</v>
      </c>
      <c r="T89" s="12" t="s">
        <v>203</v>
      </c>
      <c r="U89">
        <v>164</v>
      </c>
      <c r="V89">
        <v>63.140599999999999</v>
      </c>
      <c r="W89">
        <v>249.16</v>
      </c>
      <c r="X89">
        <v>0</v>
      </c>
      <c r="Y89">
        <v>0</v>
      </c>
      <c r="Z89">
        <v>10355.06</v>
      </c>
      <c r="AA89">
        <v>10604.22</v>
      </c>
      <c r="AB89" s="12" t="s">
        <v>364</v>
      </c>
      <c r="AC89">
        <v>63.140599999999999</v>
      </c>
      <c r="AD89">
        <v>1</v>
      </c>
      <c r="AE89">
        <v>1</v>
      </c>
      <c r="AF89">
        <v>0</v>
      </c>
      <c r="AG89">
        <v>10355.06</v>
      </c>
      <c r="AH89">
        <v>164</v>
      </c>
      <c r="AI89">
        <v>163</v>
      </c>
      <c r="AJ89">
        <v>1</v>
      </c>
      <c r="AK89">
        <v>1</v>
      </c>
      <c r="AL89">
        <v>1</v>
      </c>
      <c r="AM89">
        <v>99.39</v>
      </c>
      <c r="AN89">
        <v>65.056600000000003</v>
      </c>
      <c r="AO89">
        <v>63.14</v>
      </c>
      <c r="AP89" s="13">
        <v>45004</v>
      </c>
      <c r="AQ89">
        <v>-1</v>
      </c>
      <c r="AR89">
        <v>1</v>
      </c>
    </row>
    <row r="90" spans="1:44" x14ac:dyDescent="0.35">
      <c r="A90" s="12" t="s">
        <v>375</v>
      </c>
      <c r="B90" s="12" t="s">
        <v>120</v>
      </c>
      <c r="C90" s="12" t="s">
        <v>121</v>
      </c>
      <c r="D90" s="12" t="s">
        <v>122</v>
      </c>
      <c r="E90" s="12" t="s">
        <v>65</v>
      </c>
      <c r="F90">
        <v>3</v>
      </c>
      <c r="G90">
        <v>4</v>
      </c>
      <c r="H90">
        <v>0</v>
      </c>
      <c r="I90" s="12" t="s">
        <v>123</v>
      </c>
      <c r="J90" s="12" t="s">
        <v>124</v>
      </c>
      <c r="K90" s="12" t="s">
        <v>125</v>
      </c>
      <c r="L90" s="12" t="s">
        <v>82</v>
      </c>
      <c r="M90">
        <v>6.75</v>
      </c>
      <c r="N90" s="12" t="s">
        <v>70</v>
      </c>
      <c r="O90" s="12" t="s">
        <v>71</v>
      </c>
      <c r="P90" s="12" t="s">
        <v>72</v>
      </c>
      <c r="Q90" s="13">
        <v>44986</v>
      </c>
      <c r="R90" s="13">
        <v>45012</v>
      </c>
      <c r="S90">
        <v>2023</v>
      </c>
      <c r="T90" s="12" t="s">
        <v>376</v>
      </c>
      <c r="U90">
        <v>702</v>
      </c>
      <c r="V90">
        <v>55.544699999999999</v>
      </c>
      <c r="W90">
        <v>709.91</v>
      </c>
      <c r="X90">
        <v>0</v>
      </c>
      <c r="Y90">
        <v>0</v>
      </c>
      <c r="Z90">
        <v>38992.379999999997</v>
      </c>
      <c r="AA90">
        <v>39702.29</v>
      </c>
      <c r="AB90" s="12" t="s">
        <v>126</v>
      </c>
      <c r="AC90">
        <v>55.544699999999999</v>
      </c>
      <c r="AD90">
        <v>1</v>
      </c>
      <c r="AE90">
        <v>1</v>
      </c>
      <c r="AF90">
        <v>0</v>
      </c>
      <c r="AG90">
        <v>38992.379999999997</v>
      </c>
      <c r="AH90">
        <v>702</v>
      </c>
      <c r="AI90">
        <v>700</v>
      </c>
      <c r="AJ90">
        <v>2</v>
      </c>
      <c r="AK90">
        <v>1</v>
      </c>
      <c r="AL90">
        <v>1</v>
      </c>
      <c r="AM90">
        <v>99.72</v>
      </c>
      <c r="AN90">
        <v>56.717599999999997</v>
      </c>
      <c r="AO90">
        <v>111.09</v>
      </c>
      <c r="AP90" s="13">
        <v>45009</v>
      </c>
      <c r="AQ90">
        <v>-3</v>
      </c>
      <c r="AR90">
        <v>1</v>
      </c>
    </row>
    <row r="91" spans="1:44" x14ac:dyDescent="0.35">
      <c r="A91" s="12" t="s">
        <v>377</v>
      </c>
      <c r="B91" s="12" t="s">
        <v>378</v>
      </c>
      <c r="C91" s="12" t="s">
        <v>379</v>
      </c>
      <c r="D91" s="12" t="s">
        <v>64</v>
      </c>
      <c r="E91" s="12" t="s">
        <v>104</v>
      </c>
      <c r="F91">
        <v>3</v>
      </c>
      <c r="G91">
        <v>1</v>
      </c>
      <c r="H91">
        <v>0</v>
      </c>
      <c r="I91" s="12" t="s">
        <v>380</v>
      </c>
      <c r="J91" s="12" t="s">
        <v>381</v>
      </c>
      <c r="K91" s="12" t="s">
        <v>89</v>
      </c>
      <c r="L91" s="12" t="s">
        <v>96</v>
      </c>
      <c r="M91">
        <v>10.210000000000001</v>
      </c>
      <c r="N91" s="12" t="s">
        <v>70</v>
      </c>
      <c r="O91" s="12" t="s">
        <v>71</v>
      </c>
      <c r="P91" s="12" t="s">
        <v>72</v>
      </c>
      <c r="Q91" s="13">
        <v>44986</v>
      </c>
      <c r="R91" s="13">
        <v>45011</v>
      </c>
      <c r="S91">
        <v>2023</v>
      </c>
      <c r="T91" s="12" t="s">
        <v>376</v>
      </c>
      <c r="U91">
        <v>791</v>
      </c>
      <c r="V91">
        <v>16.864899999999999</v>
      </c>
      <c r="W91">
        <v>178.88</v>
      </c>
      <c r="X91">
        <v>0</v>
      </c>
      <c r="Y91">
        <v>0</v>
      </c>
      <c r="Z91">
        <v>13340.14</v>
      </c>
      <c r="AA91">
        <v>13519.02</v>
      </c>
      <c r="AB91" s="12" t="s">
        <v>382</v>
      </c>
      <c r="AC91">
        <v>16.160900000000002</v>
      </c>
      <c r="AD91">
        <v>1</v>
      </c>
      <c r="AE91">
        <v>1</v>
      </c>
      <c r="AF91">
        <v>556.86</v>
      </c>
      <c r="AG91">
        <v>12783.27</v>
      </c>
      <c r="AH91">
        <v>791</v>
      </c>
      <c r="AI91">
        <v>781</v>
      </c>
      <c r="AJ91">
        <v>10</v>
      </c>
      <c r="AK91">
        <v>1</v>
      </c>
      <c r="AL91">
        <v>1</v>
      </c>
      <c r="AM91">
        <v>98.74</v>
      </c>
      <c r="AN91">
        <v>17.309899999999999</v>
      </c>
      <c r="AO91">
        <v>168.65</v>
      </c>
      <c r="AP91" s="13">
        <v>45009</v>
      </c>
      <c r="AQ91">
        <v>-2</v>
      </c>
      <c r="AR91">
        <v>1</v>
      </c>
    </row>
    <row r="92" spans="1:44" x14ac:dyDescent="0.35">
      <c r="A92" s="12" t="s">
        <v>383</v>
      </c>
      <c r="B92" s="12" t="s">
        <v>215</v>
      </c>
      <c r="C92" s="12" t="s">
        <v>216</v>
      </c>
      <c r="D92" s="12" t="s">
        <v>122</v>
      </c>
      <c r="E92" s="12" t="s">
        <v>142</v>
      </c>
      <c r="F92">
        <v>3</v>
      </c>
      <c r="G92">
        <v>11</v>
      </c>
      <c r="H92">
        <v>0</v>
      </c>
      <c r="I92" s="12" t="s">
        <v>217</v>
      </c>
      <c r="J92" s="12" t="s">
        <v>218</v>
      </c>
      <c r="K92" s="12" t="s">
        <v>68</v>
      </c>
      <c r="L92" s="12" t="s">
        <v>82</v>
      </c>
      <c r="M92">
        <v>14.24</v>
      </c>
      <c r="N92" s="12" t="s">
        <v>97</v>
      </c>
      <c r="O92" s="12" t="s">
        <v>98</v>
      </c>
      <c r="P92" s="12" t="s">
        <v>72</v>
      </c>
      <c r="Q92" s="13">
        <v>44986</v>
      </c>
      <c r="R92" s="13">
        <v>45036</v>
      </c>
      <c r="S92">
        <v>2023</v>
      </c>
      <c r="T92" s="12" t="s">
        <v>376</v>
      </c>
      <c r="U92">
        <v>1790</v>
      </c>
      <c r="V92">
        <v>15.462199999999999</v>
      </c>
      <c r="W92">
        <v>478.91</v>
      </c>
      <c r="X92">
        <v>0</v>
      </c>
      <c r="Y92">
        <v>0</v>
      </c>
      <c r="Z92">
        <v>27677.34</v>
      </c>
      <c r="AA92">
        <v>28156.25</v>
      </c>
      <c r="AB92" s="12" t="s">
        <v>219</v>
      </c>
      <c r="AC92">
        <v>15.462199999999999</v>
      </c>
      <c r="AD92">
        <v>1</v>
      </c>
      <c r="AE92">
        <v>1</v>
      </c>
      <c r="AF92">
        <v>0</v>
      </c>
      <c r="AG92">
        <v>27677.34</v>
      </c>
      <c r="AH92">
        <v>1790</v>
      </c>
      <c r="AI92">
        <v>1778</v>
      </c>
      <c r="AJ92">
        <v>12</v>
      </c>
      <c r="AK92">
        <v>1</v>
      </c>
      <c r="AL92">
        <v>1</v>
      </c>
      <c r="AM92">
        <v>99.33</v>
      </c>
      <c r="AN92">
        <v>15.835900000000001</v>
      </c>
      <c r="AO92">
        <v>185.55</v>
      </c>
      <c r="AP92" s="13">
        <v>45033</v>
      </c>
      <c r="AQ92">
        <v>-3</v>
      </c>
      <c r="AR92">
        <v>1</v>
      </c>
    </row>
    <row r="93" spans="1:44" x14ac:dyDescent="0.35">
      <c r="A93" s="12" t="s">
        <v>384</v>
      </c>
      <c r="B93" s="12" t="s">
        <v>293</v>
      </c>
      <c r="C93" s="12" t="s">
        <v>294</v>
      </c>
      <c r="D93" s="12" t="s">
        <v>114</v>
      </c>
      <c r="E93" s="12" t="s">
        <v>142</v>
      </c>
      <c r="F93">
        <v>1</v>
      </c>
      <c r="G93">
        <v>6</v>
      </c>
      <c r="H93">
        <v>1</v>
      </c>
      <c r="I93" s="12" t="s">
        <v>195</v>
      </c>
      <c r="J93" s="12" t="s">
        <v>196</v>
      </c>
      <c r="K93" s="12" t="s">
        <v>117</v>
      </c>
      <c r="L93" s="12" t="s">
        <v>134</v>
      </c>
      <c r="M93">
        <v>4.7699999999999996</v>
      </c>
      <c r="N93" s="12" t="s">
        <v>97</v>
      </c>
      <c r="O93" s="12" t="s">
        <v>98</v>
      </c>
      <c r="P93" s="12" t="s">
        <v>72</v>
      </c>
      <c r="Q93" s="13">
        <v>44986</v>
      </c>
      <c r="R93" s="13">
        <v>45024</v>
      </c>
      <c r="S93">
        <v>2023</v>
      </c>
      <c r="T93" s="12" t="s">
        <v>376</v>
      </c>
      <c r="U93">
        <v>35</v>
      </c>
      <c r="V93">
        <v>206.0489</v>
      </c>
      <c r="W93">
        <v>163.49</v>
      </c>
      <c r="X93">
        <v>0</v>
      </c>
      <c r="Y93">
        <v>0</v>
      </c>
      <c r="Z93">
        <v>7211.71</v>
      </c>
      <c r="AA93">
        <v>7375.2</v>
      </c>
      <c r="AB93" s="12" t="s">
        <v>295</v>
      </c>
      <c r="AC93">
        <v>206.0489</v>
      </c>
      <c r="AD93">
        <v>1</v>
      </c>
      <c r="AE93">
        <v>1</v>
      </c>
      <c r="AF93">
        <v>0</v>
      </c>
      <c r="AG93">
        <v>7211.71</v>
      </c>
      <c r="AH93">
        <v>35</v>
      </c>
      <c r="AI93">
        <v>35</v>
      </c>
      <c r="AJ93">
        <v>0</v>
      </c>
      <c r="AK93">
        <v>1</v>
      </c>
      <c r="AL93">
        <v>1</v>
      </c>
      <c r="AM93">
        <v>100</v>
      </c>
      <c r="AN93">
        <v>210.72</v>
      </c>
      <c r="AO93">
        <v>0</v>
      </c>
      <c r="AP93" s="13">
        <v>45023</v>
      </c>
      <c r="AQ93">
        <v>-1</v>
      </c>
      <c r="AR93">
        <v>1</v>
      </c>
    </row>
    <row r="94" spans="1:44" x14ac:dyDescent="0.35">
      <c r="A94" s="12" t="s">
        <v>385</v>
      </c>
      <c r="B94" s="12" t="s">
        <v>238</v>
      </c>
      <c r="C94" s="12" t="s">
        <v>239</v>
      </c>
      <c r="D94" s="12" t="s">
        <v>122</v>
      </c>
      <c r="E94" s="12" t="s">
        <v>65</v>
      </c>
      <c r="F94">
        <v>3</v>
      </c>
      <c r="G94">
        <v>4</v>
      </c>
      <c r="H94">
        <v>0</v>
      </c>
      <c r="I94" s="12" t="s">
        <v>79</v>
      </c>
      <c r="J94" s="12" t="s">
        <v>80</v>
      </c>
      <c r="K94" s="12" t="s">
        <v>81</v>
      </c>
      <c r="L94" s="12" t="s">
        <v>82</v>
      </c>
      <c r="M94">
        <v>12.07</v>
      </c>
      <c r="N94" s="12" t="s">
        <v>97</v>
      </c>
      <c r="O94" s="12" t="s">
        <v>98</v>
      </c>
      <c r="P94" s="12" t="s">
        <v>72</v>
      </c>
      <c r="Q94" s="13">
        <v>44986</v>
      </c>
      <c r="R94" s="13">
        <v>45019</v>
      </c>
      <c r="S94">
        <v>2023</v>
      </c>
      <c r="T94" s="12" t="s">
        <v>376</v>
      </c>
      <c r="U94">
        <v>1452</v>
      </c>
      <c r="V94">
        <v>37.143599999999999</v>
      </c>
      <c r="W94">
        <v>1029.5</v>
      </c>
      <c r="X94">
        <v>0</v>
      </c>
      <c r="Y94">
        <v>0</v>
      </c>
      <c r="Z94">
        <v>53932.51</v>
      </c>
      <c r="AA94">
        <v>54962.01</v>
      </c>
      <c r="AB94" s="12" t="s">
        <v>297</v>
      </c>
      <c r="AC94">
        <v>37.143599999999999</v>
      </c>
      <c r="AD94">
        <v>1</v>
      </c>
      <c r="AE94">
        <v>1</v>
      </c>
      <c r="AF94">
        <v>0</v>
      </c>
      <c r="AG94">
        <v>53932.51</v>
      </c>
      <c r="AH94">
        <v>1452</v>
      </c>
      <c r="AI94">
        <v>1440</v>
      </c>
      <c r="AJ94">
        <v>12</v>
      </c>
      <c r="AK94">
        <v>1</v>
      </c>
      <c r="AL94">
        <v>1</v>
      </c>
      <c r="AM94">
        <v>99.17</v>
      </c>
      <c r="AN94">
        <v>38.168100000000003</v>
      </c>
      <c r="AO94">
        <v>445.72</v>
      </c>
      <c r="AP94" s="13">
        <v>45027</v>
      </c>
      <c r="AQ94">
        <v>8</v>
      </c>
      <c r="AR94">
        <v>0</v>
      </c>
    </row>
    <row r="95" spans="1:44" x14ac:dyDescent="0.35">
      <c r="A95" s="12" t="s">
        <v>386</v>
      </c>
      <c r="B95" s="12" t="s">
        <v>238</v>
      </c>
      <c r="C95" s="12" t="s">
        <v>239</v>
      </c>
      <c r="D95" s="12" t="s">
        <v>122</v>
      </c>
      <c r="E95" s="12" t="s">
        <v>65</v>
      </c>
      <c r="F95">
        <v>3</v>
      </c>
      <c r="G95">
        <v>4</v>
      </c>
      <c r="H95">
        <v>0</v>
      </c>
      <c r="I95" s="12" t="s">
        <v>79</v>
      </c>
      <c r="J95" s="12" t="s">
        <v>80</v>
      </c>
      <c r="K95" s="12" t="s">
        <v>81</v>
      </c>
      <c r="L95" s="12" t="s">
        <v>82</v>
      </c>
      <c r="M95">
        <v>12.07</v>
      </c>
      <c r="N95" s="12" t="s">
        <v>97</v>
      </c>
      <c r="O95" s="12" t="s">
        <v>98</v>
      </c>
      <c r="P95" s="12" t="s">
        <v>72</v>
      </c>
      <c r="Q95" s="13">
        <v>44986</v>
      </c>
      <c r="R95" s="13">
        <v>45023</v>
      </c>
      <c r="S95">
        <v>2023</v>
      </c>
      <c r="T95" s="12" t="s">
        <v>376</v>
      </c>
      <c r="U95">
        <v>1818</v>
      </c>
      <c r="V95">
        <v>38.912599999999998</v>
      </c>
      <c r="W95">
        <v>434.33</v>
      </c>
      <c r="X95">
        <v>0</v>
      </c>
      <c r="Y95">
        <v>0</v>
      </c>
      <c r="Z95">
        <v>70743.11</v>
      </c>
      <c r="AA95">
        <v>71177.440000000002</v>
      </c>
      <c r="AB95" s="12" t="s">
        <v>297</v>
      </c>
      <c r="AC95">
        <v>37.143599999999999</v>
      </c>
      <c r="AD95">
        <v>1</v>
      </c>
      <c r="AE95">
        <v>1</v>
      </c>
      <c r="AF95">
        <v>3216.04</v>
      </c>
      <c r="AG95">
        <v>67527.06</v>
      </c>
      <c r="AH95">
        <v>1818</v>
      </c>
      <c r="AI95">
        <v>1806</v>
      </c>
      <c r="AJ95">
        <v>12</v>
      </c>
      <c r="AK95">
        <v>1</v>
      </c>
      <c r="AL95">
        <v>1</v>
      </c>
      <c r="AM95">
        <v>99.34</v>
      </c>
      <c r="AN95">
        <v>39.4116</v>
      </c>
      <c r="AO95">
        <v>466.95</v>
      </c>
      <c r="AP95" s="13">
        <v>45026</v>
      </c>
      <c r="AQ95">
        <v>3</v>
      </c>
      <c r="AR95">
        <v>0</v>
      </c>
    </row>
    <row r="96" spans="1:44" x14ac:dyDescent="0.35">
      <c r="A96" s="12" t="s">
        <v>387</v>
      </c>
      <c r="B96" s="12" t="s">
        <v>327</v>
      </c>
      <c r="C96" s="12" t="s">
        <v>328</v>
      </c>
      <c r="D96" s="12" t="s">
        <v>130</v>
      </c>
      <c r="E96" s="12" t="s">
        <v>104</v>
      </c>
      <c r="F96">
        <v>2</v>
      </c>
      <c r="G96">
        <v>0</v>
      </c>
      <c r="H96">
        <v>0</v>
      </c>
      <c r="I96" s="12" t="s">
        <v>123</v>
      </c>
      <c r="J96" s="12" t="s">
        <v>124</v>
      </c>
      <c r="K96" s="12" t="s">
        <v>125</v>
      </c>
      <c r="L96" s="12" t="s">
        <v>82</v>
      </c>
      <c r="M96">
        <v>6.75</v>
      </c>
      <c r="N96" s="12" t="s">
        <v>159</v>
      </c>
      <c r="O96" s="12" t="s">
        <v>160</v>
      </c>
      <c r="P96" s="12" t="s">
        <v>137</v>
      </c>
      <c r="Q96" s="13">
        <v>44987</v>
      </c>
      <c r="R96" s="13">
        <v>45001</v>
      </c>
      <c r="S96">
        <v>2023</v>
      </c>
      <c r="T96" s="12" t="s">
        <v>376</v>
      </c>
      <c r="U96">
        <v>27</v>
      </c>
      <c r="V96">
        <v>762.93029999999999</v>
      </c>
      <c r="W96">
        <v>382.99</v>
      </c>
      <c r="X96">
        <v>0</v>
      </c>
      <c r="Y96">
        <v>0</v>
      </c>
      <c r="Z96">
        <v>20599.12</v>
      </c>
      <c r="AA96">
        <v>20982.11</v>
      </c>
      <c r="AB96" s="12" t="s">
        <v>388</v>
      </c>
      <c r="AC96">
        <v>762.93029999999999</v>
      </c>
      <c r="AD96">
        <v>1</v>
      </c>
      <c r="AE96">
        <v>1</v>
      </c>
      <c r="AF96">
        <v>0</v>
      </c>
      <c r="AG96">
        <v>20599.12</v>
      </c>
      <c r="AH96">
        <v>27</v>
      </c>
      <c r="AI96">
        <v>27</v>
      </c>
      <c r="AJ96">
        <v>0</v>
      </c>
      <c r="AK96">
        <v>1</v>
      </c>
      <c r="AL96">
        <v>1</v>
      </c>
      <c r="AM96">
        <v>100</v>
      </c>
      <c r="AN96">
        <v>777.11509999999998</v>
      </c>
      <c r="AO96">
        <v>0</v>
      </c>
      <c r="AP96" s="13">
        <v>45000</v>
      </c>
      <c r="AQ96">
        <v>-1</v>
      </c>
      <c r="AR96">
        <v>1</v>
      </c>
    </row>
    <row r="97" spans="1:44" x14ac:dyDescent="0.35">
      <c r="A97" s="12" t="s">
        <v>389</v>
      </c>
      <c r="B97" s="12" t="s">
        <v>362</v>
      </c>
      <c r="C97" s="12" t="s">
        <v>363</v>
      </c>
      <c r="D97" s="12" t="s">
        <v>78</v>
      </c>
      <c r="E97" s="12" t="s">
        <v>104</v>
      </c>
      <c r="F97">
        <v>3</v>
      </c>
      <c r="G97">
        <v>0</v>
      </c>
      <c r="H97">
        <v>0</v>
      </c>
      <c r="I97" s="12" t="s">
        <v>157</v>
      </c>
      <c r="J97" s="12" t="s">
        <v>158</v>
      </c>
      <c r="K97" s="12" t="s">
        <v>117</v>
      </c>
      <c r="L97" s="12" t="s">
        <v>96</v>
      </c>
      <c r="M97">
        <v>4.72</v>
      </c>
      <c r="N97" s="12" t="s">
        <v>70</v>
      </c>
      <c r="O97" s="12" t="s">
        <v>71</v>
      </c>
      <c r="P97" s="12" t="s">
        <v>72</v>
      </c>
      <c r="Q97" s="13">
        <v>44987</v>
      </c>
      <c r="R97" s="13">
        <v>45008</v>
      </c>
      <c r="S97">
        <v>2023</v>
      </c>
      <c r="T97" s="12" t="s">
        <v>376</v>
      </c>
      <c r="U97">
        <v>178</v>
      </c>
      <c r="V97">
        <v>63.140599999999999</v>
      </c>
      <c r="W97">
        <v>250.7</v>
      </c>
      <c r="X97">
        <v>0</v>
      </c>
      <c r="Y97">
        <v>0</v>
      </c>
      <c r="Z97">
        <v>11239.03</v>
      </c>
      <c r="AA97">
        <v>11489.73</v>
      </c>
      <c r="AB97" s="12" t="s">
        <v>364</v>
      </c>
      <c r="AC97">
        <v>63.140599999999999</v>
      </c>
      <c r="AD97">
        <v>1</v>
      </c>
      <c r="AE97">
        <v>1</v>
      </c>
      <c r="AF97">
        <v>0</v>
      </c>
      <c r="AG97">
        <v>11239.03</v>
      </c>
      <c r="AH97">
        <v>178</v>
      </c>
      <c r="AI97">
        <v>177</v>
      </c>
      <c r="AJ97">
        <v>1</v>
      </c>
      <c r="AK97">
        <v>1</v>
      </c>
      <c r="AL97">
        <v>1</v>
      </c>
      <c r="AM97">
        <v>99.44</v>
      </c>
      <c r="AN97">
        <v>64.913700000000006</v>
      </c>
      <c r="AO97">
        <v>63.14</v>
      </c>
      <c r="AP97" s="13">
        <v>45005</v>
      </c>
      <c r="AQ97">
        <v>-3</v>
      </c>
      <c r="AR97">
        <v>1</v>
      </c>
    </row>
    <row r="98" spans="1:44" x14ac:dyDescent="0.35">
      <c r="A98" s="12" t="s">
        <v>390</v>
      </c>
      <c r="B98" s="12" t="s">
        <v>391</v>
      </c>
      <c r="C98" s="12" t="s">
        <v>392</v>
      </c>
      <c r="D98" s="12" t="s">
        <v>114</v>
      </c>
      <c r="E98" s="12" t="s">
        <v>65</v>
      </c>
      <c r="F98">
        <v>2</v>
      </c>
      <c r="G98">
        <v>2</v>
      </c>
      <c r="H98">
        <v>0</v>
      </c>
      <c r="I98" s="12" t="s">
        <v>310</v>
      </c>
      <c r="J98" s="12" t="s">
        <v>311</v>
      </c>
      <c r="K98" s="12" t="s">
        <v>81</v>
      </c>
      <c r="L98" s="12" t="s">
        <v>69</v>
      </c>
      <c r="M98">
        <v>28.3</v>
      </c>
      <c r="N98" s="12" t="s">
        <v>97</v>
      </c>
      <c r="O98" s="12" t="s">
        <v>98</v>
      </c>
      <c r="P98" s="12" t="s">
        <v>72</v>
      </c>
      <c r="Q98" s="13">
        <v>44987</v>
      </c>
      <c r="R98" s="13">
        <v>45010</v>
      </c>
      <c r="S98">
        <v>2023</v>
      </c>
      <c r="T98" s="12" t="s">
        <v>376</v>
      </c>
      <c r="U98">
        <v>26</v>
      </c>
      <c r="V98">
        <v>223.56530000000001</v>
      </c>
      <c r="W98">
        <v>53.35</v>
      </c>
      <c r="X98">
        <v>0</v>
      </c>
      <c r="Y98">
        <v>0</v>
      </c>
      <c r="Z98">
        <v>5812.7</v>
      </c>
      <c r="AA98">
        <v>5866.05</v>
      </c>
      <c r="AB98" s="12" t="s">
        <v>393</v>
      </c>
      <c r="AC98">
        <v>223.56530000000001</v>
      </c>
      <c r="AD98">
        <v>1</v>
      </c>
      <c r="AE98">
        <v>1</v>
      </c>
      <c r="AF98">
        <v>0</v>
      </c>
      <c r="AG98">
        <v>5812.7</v>
      </c>
      <c r="AH98">
        <v>26</v>
      </c>
      <c r="AI98">
        <v>26</v>
      </c>
      <c r="AJ98">
        <v>0</v>
      </c>
      <c r="AK98">
        <v>1</v>
      </c>
      <c r="AL98">
        <v>1</v>
      </c>
      <c r="AM98">
        <v>100</v>
      </c>
      <c r="AN98">
        <v>225.6172</v>
      </c>
      <c r="AO98">
        <v>0</v>
      </c>
      <c r="AP98" s="13">
        <v>45008</v>
      </c>
      <c r="AQ98">
        <v>-2</v>
      </c>
      <c r="AR98">
        <v>1</v>
      </c>
    </row>
    <row r="99" spans="1:44" x14ac:dyDescent="0.35">
      <c r="A99" s="12" t="s">
        <v>394</v>
      </c>
      <c r="B99" s="12" t="s">
        <v>395</v>
      </c>
      <c r="C99" s="12" t="s">
        <v>396</v>
      </c>
      <c r="D99" s="12" t="s">
        <v>130</v>
      </c>
      <c r="E99" s="12" t="s">
        <v>104</v>
      </c>
      <c r="F99">
        <v>3</v>
      </c>
      <c r="G99">
        <v>1</v>
      </c>
      <c r="H99">
        <v>0</v>
      </c>
      <c r="I99" s="12" t="s">
        <v>341</v>
      </c>
      <c r="J99" s="12" t="s">
        <v>342</v>
      </c>
      <c r="K99" s="12" t="s">
        <v>117</v>
      </c>
      <c r="L99" s="12" t="s">
        <v>82</v>
      </c>
      <c r="M99">
        <v>18.36</v>
      </c>
      <c r="N99" s="12" t="s">
        <v>135</v>
      </c>
      <c r="O99" s="12" t="s">
        <v>136</v>
      </c>
      <c r="P99" s="12" t="s">
        <v>137</v>
      </c>
      <c r="Q99" s="13">
        <v>44988</v>
      </c>
      <c r="R99" s="13">
        <v>45009</v>
      </c>
      <c r="S99">
        <v>2023</v>
      </c>
      <c r="T99" s="12" t="s">
        <v>376</v>
      </c>
      <c r="U99">
        <v>80</v>
      </c>
      <c r="V99">
        <v>190.43799999999999</v>
      </c>
      <c r="W99">
        <v>328.21</v>
      </c>
      <c r="X99">
        <v>0</v>
      </c>
      <c r="Y99">
        <v>0</v>
      </c>
      <c r="Z99">
        <v>15235.04</v>
      </c>
      <c r="AA99">
        <v>15563.25</v>
      </c>
      <c r="AB99" s="12" t="s">
        <v>397</v>
      </c>
      <c r="AC99">
        <v>190.43799999999999</v>
      </c>
      <c r="AD99">
        <v>1</v>
      </c>
      <c r="AE99">
        <v>1</v>
      </c>
      <c r="AF99">
        <v>0</v>
      </c>
      <c r="AG99">
        <v>15235.04</v>
      </c>
      <c r="AH99">
        <v>80</v>
      </c>
      <c r="AI99">
        <v>79</v>
      </c>
      <c r="AJ99">
        <v>1</v>
      </c>
      <c r="AK99">
        <v>1</v>
      </c>
      <c r="AL99">
        <v>1</v>
      </c>
      <c r="AM99">
        <v>98.75</v>
      </c>
      <c r="AN99">
        <v>197.00319999999999</v>
      </c>
      <c r="AO99">
        <v>190.44</v>
      </c>
      <c r="AP99" s="13">
        <v>45009</v>
      </c>
      <c r="AQ99">
        <v>0</v>
      </c>
      <c r="AR99">
        <v>1</v>
      </c>
    </row>
    <row r="100" spans="1:44" x14ac:dyDescent="0.35">
      <c r="A100" s="12" t="s">
        <v>398</v>
      </c>
      <c r="B100" s="12" t="s">
        <v>399</v>
      </c>
      <c r="C100" s="12" t="s">
        <v>400</v>
      </c>
      <c r="D100" s="12" t="s">
        <v>114</v>
      </c>
      <c r="E100" s="12" t="s">
        <v>65</v>
      </c>
      <c r="F100">
        <v>1</v>
      </c>
      <c r="G100">
        <v>2</v>
      </c>
      <c r="H100">
        <v>1</v>
      </c>
      <c r="I100" s="12" t="s">
        <v>151</v>
      </c>
      <c r="J100" s="12" t="s">
        <v>152</v>
      </c>
      <c r="K100" s="12" t="s">
        <v>125</v>
      </c>
      <c r="L100" s="12" t="s">
        <v>69</v>
      </c>
      <c r="M100">
        <v>36.479999999999997</v>
      </c>
      <c r="N100" s="12" t="s">
        <v>97</v>
      </c>
      <c r="O100" s="12" t="s">
        <v>98</v>
      </c>
      <c r="P100" s="12" t="s">
        <v>72</v>
      </c>
      <c r="Q100" s="13">
        <v>44988</v>
      </c>
      <c r="R100" s="13">
        <v>45024</v>
      </c>
      <c r="S100">
        <v>2023</v>
      </c>
      <c r="T100" s="12" t="s">
        <v>376</v>
      </c>
      <c r="U100">
        <v>134</v>
      </c>
      <c r="V100">
        <v>279.70429999999999</v>
      </c>
      <c r="W100">
        <v>813.28</v>
      </c>
      <c r="X100">
        <v>0</v>
      </c>
      <c r="Y100">
        <v>0</v>
      </c>
      <c r="Z100">
        <v>37480.379999999997</v>
      </c>
      <c r="AA100">
        <v>38293.660000000003</v>
      </c>
      <c r="AB100" s="12" t="s">
        <v>401</v>
      </c>
      <c r="AC100">
        <v>296.81490000000002</v>
      </c>
      <c r="AD100">
        <v>1</v>
      </c>
      <c r="AE100">
        <v>1</v>
      </c>
      <c r="AF100">
        <v>-2292.8200000000002</v>
      </c>
      <c r="AG100">
        <v>39773.199999999997</v>
      </c>
      <c r="AH100">
        <v>134</v>
      </c>
      <c r="AI100">
        <v>131</v>
      </c>
      <c r="AJ100">
        <v>3</v>
      </c>
      <c r="AK100">
        <v>1</v>
      </c>
      <c r="AL100">
        <v>1</v>
      </c>
      <c r="AM100">
        <v>97.76</v>
      </c>
      <c r="AN100">
        <v>292.31799999999998</v>
      </c>
      <c r="AO100">
        <v>839.11</v>
      </c>
      <c r="AP100" s="13">
        <v>45022</v>
      </c>
      <c r="AQ100">
        <v>-2</v>
      </c>
      <c r="AR100">
        <v>1</v>
      </c>
    </row>
    <row r="101" spans="1:44" x14ac:dyDescent="0.35">
      <c r="A101" s="12" t="s">
        <v>402</v>
      </c>
      <c r="B101" s="12" t="s">
        <v>339</v>
      </c>
      <c r="C101" s="12" t="s">
        <v>340</v>
      </c>
      <c r="D101" s="12" t="s">
        <v>103</v>
      </c>
      <c r="E101" s="12" t="s">
        <v>142</v>
      </c>
      <c r="F101">
        <v>2</v>
      </c>
      <c r="G101">
        <v>9</v>
      </c>
      <c r="H101">
        <v>0</v>
      </c>
      <c r="I101" s="12" t="s">
        <v>169</v>
      </c>
      <c r="J101" s="12" t="s">
        <v>170</v>
      </c>
      <c r="K101" s="12" t="s">
        <v>89</v>
      </c>
      <c r="L101" s="12" t="s">
        <v>134</v>
      </c>
      <c r="M101">
        <v>1.37</v>
      </c>
      <c r="N101" s="12" t="s">
        <v>107</v>
      </c>
      <c r="O101" s="12" t="s">
        <v>108</v>
      </c>
      <c r="P101" s="12" t="s">
        <v>109</v>
      </c>
      <c r="Q101" s="13">
        <v>44988</v>
      </c>
      <c r="R101" s="13">
        <v>45039</v>
      </c>
      <c r="S101">
        <v>2023</v>
      </c>
      <c r="T101" s="12" t="s">
        <v>376</v>
      </c>
      <c r="U101">
        <v>136</v>
      </c>
      <c r="V101">
        <v>249.9879</v>
      </c>
      <c r="W101">
        <v>732.01</v>
      </c>
      <c r="X101">
        <v>0</v>
      </c>
      <c r="Y101">
        <v>0</v>
      </c>
      <c r="Z101">
        <v>33998.35</v>
      </c>
      <c r="AA101">
        <v>34730.36</v>
      </c>
      <c r="AB101" s="12" t="s">
        <v>345</v>
      </c>
      <c r="AC101">
        <v>249.9879</v>
      </c>
      <c r="AD101">
        <v>1</v>
      </c>
      <c r="AE101">
        <v>1</v>
      </c>
      <c r="AF101">
        <v>0</v>
      </c>
      <c r="AG101">
        <v>33998.35</v>
      </c>
      <c r="AH101">
        <v>136</v>
      </c>
      <c r="AI101">
        <v>136</v>
      </c>
      <c r="AJ101">
        <v>0</v>
      </c>
      <c r="AK101">
        <v>1</v>
      </c>
      <c r="AL101">
        <v>1</v>
      </c>
      <c r="AM101">
        <v>100</v>
      </c>
      <c r="AN101">
        <v>255.37029999999999</v>
      </c>
      <c r="AO101">
        <v>0</v>
      </c>
      <c r="AP101" s="13">
        <v>45041</v>
      </c>
      <c r="AQ101">
        <v>2</v>
      </c>
      <c r="AR101">
        <v>0</v>
      </c>
    </row>
    <row r="102" spans="1:44" x14ac:dyDescent="0.35">
      <c r="A102" s="12" t="s">
        <v>403</v>
      </c>
      <c r="B102" s="12" t="s">
        <v>404</v>
      </c>
      <c r="C102" s="12" t="s">
        <v>405</v>
      </c>
      <c r="D102" s="12" t="s">
        <v>269</v>
      </c>
      <c r="E102" s="12" t="s">
        <v>65</v>
      </c>
      <c r="F102">
        <v>3</v>
      </c>
      <c r="G102">
        <v>5</v>
      </c>
      <c r="H102">
        <v>0</v>
      </c>
      <c r="I102" s="12" t="s">
        <v>79</v>
      </c>
      <c r="J102" s="12" t="s">
        <v>80</v>
      </c>
      <c r="K102" s="12" t="s">
        <v>81</v>
      </c>
      <c r="L102" s="12" t="s">
        <v>82</v>
      </c>
      <c r="M102">
        <v>12.07</v>
      </c>
      <c r="N102" s="12" t="s">
        <v>135</v>
      </c>
      <c r="O102" s="12" t="s">
        <v>136</v>
      </c>
      <c r="P102" s="12" t="s">
        <v>137</v>
      </c>
      <c r="Q102" s="13">
        <v>44991</v>
      </c>
      <c r="R102" s="13">
        <v>45029</v>
      </c>
      <c r="S102">
        <v>2023</v>
      </c>
      <c r="T102" s="12" t="s">
        <v>376</v>
      </c>
      <c r="U102">
        <v>146</v>
      </c>
      <c r="V102">
        <v>430.41070000000002</v>
      </c>
      <c r="W102">
        <v>483.55</v>
      </c>
      <c r="X102">
        <v>0</v>
      </c>
      <c r="Y102">
        <v>0</v>
      </c>
      <c r="Z102">
        <v>62839.96</v>
      </c>
      <c r="AA102">
        <v>63323.51</v>
      </c>
      <c r="AB102" s="12" t="s">
        <v>406</v>
      </c>
      <c r="AC102">
        <v>430.41070000000002</v>
      </c>
      <c r="AD102">
        <v>1</v>
      </c>
      <c r="AE102">
        <v>1</v>
      </c>
      <c r="AF102">
        <v>0</v>
      </c>
      <c r="AG102">
        <v>62839.96</v>
      </c>
      <c r="AH102">
        <v>146</v>
      </c>
      <c r="AI102">
        <v>144</v>
      </c>
      <c r="AJ102">
        <v>2</v>
      </c>
      <c r="AK102">
        <v>1</v>
      </c>
      <c r="AL102">
        <v>1</v>
      </c>
      <c r="AM102">
        <v>98.63</v>
      </c>
      <c r="AN102">
        <v>439.7466</v>
      </c>
      <c r="AO102">
        <v>860.82</v>
      </c>
      <c r="AP102" s="13">
        <v>45029</v>
      </c>
      <c r="AQ102">
        <v>0</v>
      </c>
      <c r="AR102">
        <v>1</v>
      </c>
    </row>
    <row r="103" spans="1:44" x14ac:dyDescent="0.35">
      <c r="A103" s="12" t="s">
        <v>407</v>
      </c>
      <c r="B103" s="12" t="s">
        <v>408</v>
      </c>
      <c r="C103" s="12" t="s">
        <v>409</v>
      </c>
      <c r="D103" s="12" t="s">
        <v>130</v>
      </c>
      <c r="E103" s="12" t="s">
        <v>65</v>
      </c>
      <c r="F103">
        <v>3</v>
      </c>
      <c r="G103">
        <v>5</v>
      </c>
      <c r="H103">
        <v>0</v>
      </c>
      <c r="I103" s="12" t="s">
        <v>105</v>
      </c>
      <c r="J103" s="12" t="s">
        <v>106</v>
      </c>
      <c r="K103" s="12" t="s">
        <v>81</v>
      </c>
      <c r="L103" s="12" t="s">
        <v>96</v>
      </c>
      <c r="M103">
        <v>5.01</v>
      </c>
      <c r="N103" s="12" t="s">
        <v>135</v>
      </c>
      <c r="O103" s="12" t="s">
        <v>136</v>
      </c>
      <c r="P103" s="12" t="s">
        <v>137</v>
      </c>
      <c r="Q103" s="13">
        <v>44991</v>
      </c>
      <c r="R103" s="13">
        <v>45025</v>
      </c>
      <c r="S103">
        <v>2023</v>
      </c>
      <c r="T103" s="12" t="s">
        <v>376</v>
      </c>
      <c r="U103">
        <v>114</v>
      </c>
      <c r="V103">
        <v>770.47230000000002</v>
      </c>
      <c r="W103">
        <v>1617.04</v>
      </c>
      <c r="X103">
        <v>0</v>
      </c>
      <c r="Y103">
        <v>0</v>
      </c>
      <c r="Z103">
        <v>87833.84</v>
      </c>
      <c r="AA103">
        <v>89450.880000000005</v>
      </c>
      <c r="AB103" s="12" t="s">
        <v>410</v>
      </c>
      <c r="AC103">
        <v>770.47230000000002</v>
      </c>
      <c r="AD103">
        <v>1</v>
      </c>
      <c r="AE103">
        <v>1</v>
      </c>
      <c r="AF103">
        <v>0</v>
      </c>
      <c r="AG103">
        <v>87833.84</v>
      </c>
      <c r="AH103">
        <v>114</v>
      </c>
      <c r="AI103">
        <v>112</v>
      </c>
      <c r="AJ103">
        <v>2</v>
      </c>
      <c r="AK103">
        <v>1</v>
      </c>
      <c r="AL103">
        <v>1</v>
      </c>
      <c r="AM103">
        <v>98.25</v>
      </c>
      <c r="AN103">
        <v>798.66859999999997</v>
      </c>
      <c r="AO103">
        <v>1540.94</v>
      </c>
      <c r="AP103" s="13">
        <v>45023</v>
      </c>
      <c r="AQ103">
        <v>-2</v>
      </c>
      <c r="AR103">
        <v>1</v>
      </c>
    </row>
    <row r="104" spans="1:44" x14ac:dyDescent="0.35">
      <c r="A104" s="12" t="s">
        <v>411</v>
      </c>
      <c r="B104" s="12" t="s">
        <v>412</v>
      </c>
      <c r="C104" s="12" t="s">
        <v>413</v>
      </c>
      <c r="D104" s="12" t="s">
        <v>269</v>
      </c>
      <c r="E104" s="12" t="s">
        <v>65</v>
      </c>
      <c r="F104">
        <v>1</v>
      </c>
      <c r="G104">
        <v>2</v>
      </c>
      <c r="H104">
        <v>1</v>
      </c>
      <c r="I104" s="12" t="s">
        <v>233</v>
      </c>
      <c r="J104" s="12" t="s">
        <v>234</v>
      </c>
      <c r="K104" s="12" t="s">
        <v>125</v>
      </c>
      <c r="L104" s="12" t="s">
        <v>96</v>
      </c>
      <c r="M104">
        <v>3.73</v>
      </c>
      <c r="N104" s="12" t="s">
        <v>135</v>
      </c>
      <c r="O104" s="12" t="s">
        <v>136</v>
      </c>
      <c r="P104" s="12" t="s">
        <v>137</v>
      </c>
      <c r="Q104" s="13">
        <v>44992</v>
      </c>
      <c r="R104" s="13">
        <v>45013</v>
      </c>
      <c r="S104">
        <v>2023</v>
      </c>
      <c r="T104" s="12" t="s">
        <v>376</v>
      </c>
      <c r="U104">
        <v>11</v>
      </c>
      <c r="V104">
        <v>104.4832</v>
      </c>
      <c r="W104">
        <v>12.09</v>
      </c>
      <c r="X104">
        <v>0</v>
      </c>
      <c r="Y104">
        <v>0</v>
      </c>
      <c r="Z104">
        <v>1149.32</v>
      </c>
      <c r="AA104">
        <v>1161.4100000000001</v>
      </c>
      <c r="AB104" s="12" t="s">
        <v>414</v>
      </c>
      <c r="AC104">
        <v>104.4832</v>
      </c>
      <c r="AD104">
        <v>1</v>
      </c>
      <c r="AE104">
        <v>1</v>
      </c>
      <c r="AF104">
        <v>0</v>
      </c>
      <c r="AG104">
        <v>1149.32</v>
      </c>
      <c r="AH104">
        <v>11</v>
      </c>
      <c r="AI104">
        <v>11</v>
      </c>
      <c r="AJ104">
        <v>0</v>
      </c>
      <c r="AK104">
        <v>1</v>
      </c>
      <c r="AL104">
        <v>1</v>
      </c>
      <c r="AM104">
        <v>100</v>
      </c>
      <c r="AN104">
        <v>105.5823</v>
      </c>
      <c r="AO104">
        <v>0</v>
      </c>
      <c r="AP104" s="13">
        <v>45013</v>
      </c>
      <c r="AQ104">
        <v>0</v>
      </c>
      <c r="AR104">
        <v>1</v>
      </c>
    </row>
    <row r="105" spans="1:44" x14ac:dyDescent="0.35">
      <c r="A105" s="12" t="s">
        <v>415</v>
      </c>
      <c r="B105" s="12" t="s">
        <v>416</v>
      </c>
      <c r="C105" s="12" t="s">
        <v>417</v>
      </c>
      <c r="D105" s="12" t="s">
        <v>78</v>
      </c>
      <c r="E105" s="12" t="s">
        <v>65</v>
      </c>
      <c r="F105">
        <v>3</v>
      </c>
      <c r="G105">
        <v>5</v>
      </c>
      <c r="H105">
        <v>0</v>
      </c>
      <c r="I105" s="12" t="s">
        <v>169</v>
      </c>
      <c r="J105" s="12" t="s">
        <v>170</v>
      </c>
      <c r="K105" s="12" t="s">
        <v>89</v>
      </c>
      <c r="L105" s="12" t="s">
        <v>134</v>
      </c>
      <c r="M105">
        <v>1.37</v>
      </c>
      <c r="N105" s="12" t="s">
        <v>97</v>
      </c>
      <c r="O105" s="12" t="s">
        <v>98</v>
      </c>
      <c r="P105" s="12" t="s">
        <v>72</v>
      </c>
      <c r="Q105" s="13">
        <v>44992</v>
      </c>
      <c r="R105" s="13">
        <v>45019</v>
      </c>
      <c r="S105">
        <v>2023</v>
      </c>
      <c r="T105" s="12" t="s">
        <v>376</v>
      </c>
      <c r="U105">
        <v>132</v>
      </c>
      <c r="V105">
        <v>144.15710000000001</v>
      </c>
      <c r="W105">
        <v>477.42</v>
      </c>
      <c r="X105">
        <v>0</v>
      </c>
      <c r="Y105">
        <v>0</v>
      </c>
      <c r="Z105">
        <v>19028.740000000002</v>
      </c>
      <c r="AA105">
        <v>19506.16</v>
      </c>
      <c r="AB105" s="12" t="s">
        <v>418</v>
      </c>
      <c r="AC105">
        <v>144.15710000000001</v>
      </c>
      <c r="AD105">
        <v>1</v>
      </c>
      <c r="AE105">
        <v>1</v>
      </c>
      <c r="AF105">
        <v>0</v>
      </c>
      <c r="AG105">
        <v>19028.740000000002</v>
      </c>
      <c r="AH105">
        <v>132</v>
      </c>
      <c r="AI105">
        <v>129</v>
      </c>
      <c r="AJ105">
        <v>3</v>
      </c>
      <c r="AK105">
        <v>1</v>
      </c>
      <c r="AL105">
        <v>1</v>
      </c>
      <c r="AM105">
        <v>97.73</v>
      </c>
      <c r="AN105">
        <v>151.2105</v>
      </c>
      <c r="AO105">
        <v>432.47</v>
      </c>
      <c r="AP105" s="13">
        <v>45017</v>
      </c>
      <c r="AQ105">
        <v>-2</v>
      </c>
      <c r="AR105">
        <v>1</v>
      </c>
    </row>
    <row r="106" spans="1:44" x14ac:dyDescent="0.35">
      <c r="A106" s="12" t="s">
        <v>419</v>
      </c>
      <c r="B106" s="12" t="s">
        <v>420</v>
      </c>
      <c r="C106" s="12" t="s">
        <v>421</v>
      </c>
      <c r="D106" s="12" t="s">
        <v>269</v>
      </c>
      <c r="E106" s="12" t="s">
        <v>104</v>
      </c>
      <c r="F106">
        <v>2</v>
      </c>
      <c r="G106">
        <v>0</v>
      </c>
      <c r="H106">
        <v>0</v>
      </c>
      <c r="I106" s="12" t="s">
        <v>380</v>
      </c>
      <c r="J106" s="12" t="s">
        <v>381</v>
      </c>
      <c r="K106" s="12" t="s">
        <v>89</v>
      </c>
      <c r="L106" s="12" t="s">
        <v>96</v>
      </c>
      <c r="M106">
        <v>10.210000000000001</v>
      </c>
      <c r="N106" s="12" t="s">
        <v>159</v>
      </c>
      <c r="O106" s="12" t="s">
        <v>160</v>
      </c>
      <c r="P106" s="12" t="s">
        <v>137</v>
      </c>
      <c r="Q106" s="13">
        <v>44992</v>
      </c>
      <c r="R106" s="13">
        <v>45005</v>
      </c>
      <c r="S106">
        <v>2023</v>
      </c>
      <c r="T106" s="12" t="s">
        <v>376</v>
      </c>
      <c r="U106">
        <v>18</v>
      </c>
      <c r="V106">
        <v>146.53960000000001</v>
      </c>
      <c r="W106">
        <v>37.64</v>
      </c>
      <c r="X106">
        <v>0</v>
      </c>
      <c r="Y106">
        <v>0</v>
      </c>
      <c r="Z106">
        <v>2637.71</v>
      </c>
      <c r="AA106">
        <v>2675.35</v>
      </c>
      <c r="AB106" s="12" t="s">
        <v>422</v>
      </c>
      <c r="AC106">
        <v>146.53960000000001</v>
      </c>
      <c r="AD106">
        <v>1</v>
      </c>
      <c r="AE106">
        <v>1</v>
      </c>
      <c r="AF106">
        <v>0</v>
      </c>
      <c r="AG106">
        <v>2637.71</v>
      </c>
      <c r="AH106">
        <v>18</v>
      </c>
      <c r="AI106">
        <v>18</v>
      </c>
      <c r="AJ106">
        <v>0</v>
      </c>
      <c r="AK106">
        <v>1</v>
      </c>
      <c r="AL106">
        <v>1</v>
      </c>
      <c r="AM106">
        <v>100</v>
      </c>
      <c r="AN106">
        <v>148.63069999999999</v>
      </c>
      <c r="AO106">
        <v>0</v>
      </c>
      <c r="AP106" s="13">
        <v>45005</v>
      </c>
      <c r="AQ106">
        <v>0</v>
      </c>
      <c r="AR106">
        <v>1</v>
      </c>
    </row>
    <row r="107" spans="1:44" x14ac:dyDescent="0.35">
      <c r="A107" s="12" t="s">
        <v>423</v>
      </c>
      <c r="B107" s="12" t="s">
        <v>215</v>
      </c>
      <c r="C107" s="12" t="s">
        <v>216</v>
      </c>
      <c r="D107" s="12" t="s">
        <v>122</v>
      </c>
      <c r="E107" s="12" t="s">
        <v>142</v>
      </c>
      <c r="F107">
        <v>3</v>
      </c>
      <c r="G107">
        <v>11</v>
      </c>
      <c r="H107">
        <v>0</v>
      </c>
      <c r="I107" s="12" t="s">
        <v>217</v>
      </c>
      <c r="J107" s="12" t="s">
        <v>218</v>
      </c>
      <c r="K107" s="12" t="s">
        <v>68</v>
      </c>
      <c r="L107" s="12" t="s">
        <v>82</v>
      </c>
      <c r="M107">
        <v>14.24</v>
      </c>
      <c r="N107" s="12" t="s">
        <v>70</v>
      </c>
      <c r="O107" s="12" t="s">
        <v>71</v>
      </c>
      <c r="P107" s="12" t="s">
        <v>72</v>
      </c>
      <c r="Q107" s="13">
        <v>44992</v>
      </c>
      <c r="R107" s="13">
        <v>45033</v>
      </c>
      <c r="S107">
        <v>2023</v>
      </c>
      <c r="T107" s="12" t="s">
        <v>376</v>
      </c>
      <c r="U107">
        <v>855</v>
      </c>
      <c r="V107">
        <v>14.5808</v>
      </c>
      <c r="W107">
        <v>121.85</v>
      </c>
      <c r="X107">
        <v>0</v>
      </c>
      <c r="Y107">
        <v>0</v>
      </c>
      <c r="Z107">
        <v>12466.58</v>
      </c>
      <c r="AA107">
        <v>12588.43</v>
      </c>
      <c r="AB107" s="12" t="s">
        <v>219</v>
      </c>
      <c r="AC107">
        <v>15.462199999999999</v>
      </c>
      <c r="AD107">
        <v>1</v>
      </c>
      <c r="AE107">
        <v>1</v>
      </c>
      <c r="AF107">
        <v>-753.6</v>
      </c>
      <c r="AG107">
        <v>13220.18</v>
      </c>
      <c r="AH107">
        <v>855</v>
      </c>
      <c r="AI107">
        <v>845</v>
      </c>
      <c r="AJ107">
        <v>10</v>
      </c>
      <c r="AK107">
        <v>1</v>
      </c>
      <c r="AL107">
        <v>1</v>
      </c>
      <c r="AM107">
        <v>98.83</v>
      </c>
      <c r="AN107">
        <v>14.897600000000001</v>
      </c>
      <c r="AO107">
        <v>145.81</v>
      </c>
      <c r="AP107" s="13">
        <v>45030</v>
      </c>
      <c r="AQ107">
        <v>-3</v>
      </c>
      <c r="AR107">
        <v>1</v>
      </c>
    </row>
    <row r="108" spans="1:44" x14ac:dyDescent="0.35">
      <c r="A108" s="12" t="s">
        <v>424</v>
      </c>
      <c r="B108" s="12" t="s">
        <v>323</v>
      </c>
      <c r="C108" s="12" t="s">
        <v>324</v>
      </c>
      <c r="D108" s="12" t="s">
        <v>64</v>
      </c>
      <c r="E108" s="12" t="s">
        <v>142</v>
      </c>
      <c r="F108">
        <v>1</v>
      </c>
      <c r="G108">
        <v>7</v>
      </c>
      <c r="H108">
        <v>1</v>
      </c>
      <c r="I108" s="12" t="s">
        <v>143</v>
      </c>
      <c r="J108" s="12" t="s">
        <v>144</v>
      </c>
      <c r="K108" s="12" t="s">
        <v>133</v>
      </c>
      <c r="L108" s="12" t="s">
        <v>96</v>
      </c>
      <c r="M108">
        <v>5.43</v>
      </c>
      <c r="N108" s="12" t="s">
        <v>70</v>
      </c>
      <c r="O108" s="12" t="s">
        <v>71</v>
      </c>
      <c r="P108" s="12" t="s">
        <v>72</v>
      </c>
      <c r="Q108" s="13">
        <v>44992</v>
      </c>
      <c r="R108" s="13">
        <v>45031</v>
      </c>
      <c r="S108">
        <v>2023</v>
      </c>
      <c r="T108" s="12" t="s">
        <v>376</v>
      </c>
      <c r="U108">
        <v>332</v>
      </c>
      <c r="V108">
        <v>39.503399999999999</v>
      </c>
      <c r="W108">
        <v>167.65</v>
      </c>
      <c r="X108">
        <v>0</v>
      </c>
      <c r="Y108">
        <v>0</v>
      </c>
      <c r="Z108">
        <v>13115.13</v>
      </c>
      <c r="AA108">
        <v>13282.78</v>
      </c>
      <c r="AB108" s="12" t="s">
        <v>325</v>
      </c>
      <c r="AC108">
        <v>39.503399999999999</v>
      </c>
      <c r="AD108">
        <v>1</v>
      </c>
      <c r="AE108">
        <v>1</v>
      </c>
      <c r="AF108">
        <v>0</v>
      </c>
      <c r="AG108">
        <v>13115.13</v>
      </c>
      <c r="AH108">
        <v>332</v>
      </c>
      <c r="AI108">
        <v>330</v>
      </c>
      <c r="AJ108">
        <v>2</v>
      </c>
      <c r="AK108">
        <v>1</v>
      </c>
      <c r="AL108">
        <v>1</v>
      </c>
      <c r="AM108">
        <v>99.4</v>
      </c>
      <c r="AN108">
        <v>40.250799999999998</v>
      </c>
      <c r="AO108">
        <v>79.010000000000005</v>
      </c>
      <c r="AP108" s="13">
        <v>45028</v>
      </c>
      <c r="AQ108">
        <v>-3</v>
      </c>
      <c r="AR108">
        <v>1</v>
      </c>
    </row>
    <row r="109" spans="1:44" x14ac:dyDescent="0.35">
      <c r="A109" s="12" t="s">
        <v>425</v>
      </c>
      <c r="B109" s="12" t="s">
        <v>412</v>
      </c>
      <c r="C109" s="12" t="s">
        <v>413</v>
      </c>
      <c r="D109" s="12" t="s">
        <v>269</v>
      </c>
      <c r="E109" s="12" t="s">
        <v>65</v>
      </c>
      <c r="F109">
        <v>1</v>
      </c>
      <c r="G109">
        <v>2</v>
      </c>
      <c r="H109">
        <v>1</v>
      </c>
      <c r="I109" s="12" t="s">
        <v>233</v>
      </c>
      <c r="J109" s="12" t="s">
        <v>234</v>
      </c>
      <c r="K109" s="12" t="s">
        <v>125</v>
      </c>
      <c r="L109" s="12" t="s">
        <v>96</v>
      </c>
      <c r="M109">
        <v>3.73</v>
      </c>
      <c r="N109" s="12" t="s">
        <v>159</v>
      </c>
      <c r="O109" s="12" t="s">
        <v>160</v>
      </c>
      <c r="P109" s="12" t="s">
        <v>137</v>
      </c>
      <c r="Q109" s="13">
        <v>44993</v>
      </c>
      <c r="R109" s="13">
        <v>45029</v>
      </c>
      <c r="S109">
        <v>2023</v>
      </c>
      <c r="T109" s="12" t="s">
        <v>376</v>
      </c>
      <c r="U109">
        <v>133</v>
      </c>
      <c r="V109">
        <v>104.4832</v>
      </c>
      <c r="W109">
        <v>219.18</v>
      </c>
      <c r="X109">
        <v>0</v>
      </c>
      <c r="Y109">
        <v>0</v>
      </c>
      <c r="Z109">
        <v>13896.27</v>
      </c>
      <c r="AA109">
        <v>14115.45</v>
      </c>
      <c r="AB109" s="12" t="s">
        <v>414</v>
      </c>
      <c r="AC109">
        <v>104.4832</v>
      </c>
      <c r="AD109">
        <v>1</v>
      </c>
      <c r="AE109">
        <v>1</v>
      </c>
      <c r="AF109">
        <v>0</v>
      </c>
      <c r="AG109">
        <v>13896.27</v>
      </c>
      <c r="AH109">
        <v>133</v>
      </c>
      <c r="AI109">
        <v>132</v>
      </c>
      <c r="AJ109">
        <v>1</v>
      </c>
      <c r="AK109">
        <v>1</v>
      </c>
      <c r="AL109">
        <v>1</v>
      </c>
      <c r="AM109">
        <v>99.25</v>
      </c>
      <c r="AN109">
        <v>106.93519999999999</v>
      </c>
      <c r="AO109">
        <v>104.48</v>
      </c>
      <c r="AP109" s="13">
        <v>45030</v>
      </c>
      <c r="AQ109">
        <v>1</v>
      </c>
      <c r="AR109">
        <v>0</v>
      </c>
    </row>
    <row r="110" spans="1:44" x14ac:dyDescent="0.35">
      <c r="A110" s="12" t="s">
        <v>426</v>
      </c>
      <c r="B110" s="12" t="s">
        <v>231</v>
      </c>
      <c r="C110" s="12" t="s">
        <v>232</v>
      </c>
      <c r="D110" s="12" t="s">
        <v>130</v>
      </c>
      <c r="E110" s="12" t="s">
        <v>65</v>
      </c>
      <c r="F110">
        <v>1</v>
      </c>
      <c r="G110">
        <v>2</v>
      </c>
      <c r="H110">
        <v>1</v>
      </c>
      <c r="I110" s="12" t="s">
        <v>233</v>
      </c>
      <c r="J110" s="12" t="s">
        <v>234</v>
      </c>
      <c r="K110" s="12" t="s">
        <v>125</v>
      </c>
      <c r="L110" s="12" t="s">
        <v>96</v>
      </c>
      <c r="M110">
        <v>3.73</v>
      </c>
      <c r="N110" s="12" t="s">
        <v>135</v>
      </c>
      <c r="O110" s="12" t="s">
        <v>136</v>
      </c>
      <c r="P110" s="12" t="s">
        <v>137</v>
      </c>
      <c r="Q110" s="13">
        <v>44993</v>
      </c>
      <c r="R110" s="13">
        <v>45026</v>
      </c>
      <c r="S110">
        <v>2023</v>
      </c>
      <c r="T110" s="12" t="s">
        <v>376</v>
      </c>
      <c r="U110">
        <v>104</v>
      </c>
      <c r="V110">
        <v>416.40039999999999</v>
      </c>
      <c r="W110">
        <v>337.94</v>
      </c>
      <c r="X110">
        <v>0</v>
      </c>
      <c r="Y110">
        <v>0</v>
      </c>
      <c r="Z110">
        <v>43305.64</v>
      </c>
      <c r="AA110">
        <v>43643.58</v>
      </c>
      <c r="AB110" s="12" t="s">
        <v>235</v>
      </c>
      <c r="AC110">
        <v>416.40039999999999</v>
      </c>
      <c r="AD110">
        <v>1</v>
      </c>
      <c r="AE110">
        <v>1</v>
      </c>
      <c r="AF110">
        <v>0</v>
      </c>
      <c r="AG110">
        <v>43305.64</v>
      </c>
      <c r="AH110">
        <v>104</v>
      </c>
      <c r="AI110">
        <v>103</v>
      </c>
      <c r="AJ110">
        <v>1</v>
      </c>
      <c r="AK110">
        <v>1</v>
      </c>
      <c r="AL110">
        <v>1</v>
      </c>
      <c r="AM110">
        <v>99.04</v>
      </c>
      <c r="AN110">
        <v>423.72410000000002</v>
      </c>
      <c r="AO110">
        <v>416.4</v>
      </c>
      <c r="AP110" s="13">
        <v>45023</v>
      </c>
      <c r="AQ110">
        <v>-3</v>
      </c>
      <c r="AR110">
        <v>1</v>
      </c>
    </row>
    <row r="111" spans="1:44" x14ac:dyDescent="0.35">
      <c r="A111" s="12" t="s">
        <v>427</v>
      </c>
      <c r="B111" s="12" t="s">
        <v>428</v>
      </c>
      <c r="C111" s="12" t="s">
        <v>429</v>
      </c>
      <c r="D111" s="12" t="s">
        <v>64</v>
      </c>
      <c r="E111" s="12" t="s">
        <v>65</v>
      </c>
      <c r="F111">
        <v>3</v>
      </c>
      <c r="G111">
        <v>4</v>
      </c>
      <c r="H111">
        <v>0</v>
      </c>
      <c r="I111" s="12" t="s">
        <v>380</v>
      </c>
      <c r="J111" s="12" t="s">
        <v>381</v>
      </c>
      <c r="K111" s="12" t="s">
        <v>89</v>
      </c>
      <c r="L111" s="12" t="s">
        <v>96</v>
      </c>
      <c r="M111">
        <v>10.210000000000001</v>
      </c>
      <c r="N111" s="12" t="s">
        <v>70</v>
      </c>
      <c r="O111" s="12" t="s">
        <v>71</v>
      </c>
      <c r="P111" s="12" t="s">
        <v>72</v>
      </c>
      <c r="Q111" s="13">
        <v>44993</v>
      </c>
      <c r="R111" s="13">
        <v>45019</v>
      </c>
      <c r="S111">
        <v>2023</v>
      </c>
      <c r="T111" s="12" t="s">
        <v>376</v>
      </c>
      <c r="U111">
        <v>373</v>
      </c>
      <c r="V111">
        <v>15.0402</v>
      </c>
      <c r="W111">
        <v>112.56</v>
      </c>
      <c r="X111">
        <v>0</v>
      </c>
      <c r="Y111">
        <v>0</v>
      </c>
      <c r="Z111">
        <v>5609.99</v>
      </c>
      <c r="AA111">
        <v>5722.55</v>
      </c>
      <c r="AB111" s="12" t="s">
        <v>430</v>
      </c>
      <c r="AC111">
        <v>15.0402</v>
      </c>
      <c r="AD111">
        <v>1</v>
      </c>
      <c r="AE111">
        <v>1</v>
      </c>
      <c r="AF111">
        <v>0</v>
      </c>
      <c r="AG111">
        <v>5609.99</v>
      </c>
      <c r="AH111">
        <v>373</v>
      </c>
      <c r="AI111">
        <v>372</v>
      </c>
      <c r="AJ111">
        <v>1</v>
      </c>
      <c r="AK111">
        <v>1</v>
      </c>
      <c r="AL111">
        <v>1</v>
      </c>
      <c r="AM111">
        <v>99.73</v>
      </c>
      <c r="AN111">
        <v>15.3832</v>
      </c>
      <c r="AO111">
        <v>15.04</v>
      </c>
      <c r="AP111" s="13">
        <v>45029</v>
      </c>
      <c r="AQ111">
        <v>10</v>
      </c>
      <c r="AR111">
        <v>0</v>
      </c>
    </row>
    <row r="112" spans="1:44" x14ac:dyDescent="0.35">
      <c r="A112" s="12" t="s">
        <v>431</v>
      </c>
      <c r="B112" s="12" t="s">
        <v>238</v>
      </c>
      <c r="C112" s="12" t="s">
        <v>239</v>
      </c>
      <c r="D112" s="12" t="s">
        <v>122</v>
      </c>
      <c r="E112" s="12" t="s">
        <v>65</v>
      </c>
      <c r="F112">
        <v>3</v>
      </c>
      <c r="G112">
        <v>4</v>
      </c>
      <c r="H112">
        <v>0</v>
      </c>
      <c r="I112" s="12" t="s">
        <v>79</v>
      </c>
      <c r="J112" s="12" t="s">
        <v>80</v>
      </c>
      <c r="K112" s="12" t="s">
        <v>81</v>
      </c>
      <c r="L112" s="12" t="s">
        <v>82</v>
      </c>
      <c r="M112">
        <v>12.07</v>
      </c>
      <c r="N112" s="12" t="s">
        <v>70</v>
      </c>
      <c r="O112" s="12" t="s">
        <v>71</v>
      </c>
      <c r="P112" s="12" t="s">
        <v>72</v>
      </c>
      <c r="Q112" s="13">
        <v>44993</v>
      </c>
      <c r="R112" s="13">
        <v>45024</v>
      </c>
      <c r="S112">
        <v>2023</v>
      </c>
      <c r="T112" s="12" t="s">
        <v>376</v>
      </c>
      <c r="U112">
        <v>1258</v>
      </c>
      <c r="V112">
        <v>37.143599999999999</v>
      </c>
      <c r="W112">
        <v>509.02</v>
      </c>
      <c r="X112">
        <v>0</v>
      </c>
      <c r="Y112">
        <v>0</v>
      </c>
      <c r="Z112">
        <v>46726.65</v>
      </c>
      <c r="AA112">
        <v>47235.67</v>
      </c>
      <c r="AB112" s="12" t="s">
        <v>297</v>
      </c>
      <c r="AC112">
        <v>37.143599999999999</v>
      </c>
      <c r="AD112">
        <v>1</v>
      </c>
      <c r="AE112">
        <v>1</v>
      </c>
      <c r="AF112">
        <v>0</v>
      </c>
      <c r="AG112">
        <v>46726.65</v>
      </c>
      <c r="AH112">
        <v>1258</v>
      </c>
      <c r="AI112">
        <v>1248</v>
      </c>
      <c r="AJ112">
        <v>10</v>
      </c>
      <c r="AK112">
        <v>1</v>
      </c>
      <c r="AL112">
        <v>1</v>
      </c>
      <c r="AM112">
        <v>99.21</v>
      </c>
      <c r="AN112">
        <v>37.8491</v>
      </c>
      <c r="AO112">
        <v>371.44</v>
      </c>
      <c r="AP112" s="13">
        <v>45021</v>
      </c>
      <c r="AQ112">
        <v>-3</v>
      </c>
      <c r="AR112">
        <v>1</v>
      </c>
    </row>
    <row r="113" spans="1:44" x14ac:dyDescent="0.35">
      <c r="A113" s="12" t="s">
        <v>432</v>
      </c>
      <c r="B113" s="12" t="s">
        <v>433</v>
      </c>
      <c r="C113" s="12" t="s">
        <v>434</v>
      </c>
      <c r="D113" s="12" t="s">
        <v>78</v>
      </c>
      <c r="E113" s="12" t="s">
        <v>65</v>
      </c>
      <c r="F113">
        <v>2</v>
      </c>
      <c r="G113">
        <v>4</v>
      </c>
      <c r="H113">
        <v>0</v>
      </c>
      <c r="I113" s="12" t="s">
        <v>243</v>
      </c>
      <c r="J113" s="12" t="s">
        <v>244</v>
      </c>
      <c r="K113" s="12" t="s">
        <v>81</v>
      </c>
      <c r="L113" s="12" t="s">
        <v>82</v>
      </c>
      <c r="M113">
        <v>9.2200000000000006</v>
      </c>
      <c r="N113" s="12" t="s">
        <v>97</v>
      </c>
      <c r="O113" s="12" t="s">
        <v>98</v>
      </c>
      <c r="P113" s="12" t="s">
        <v>72</v>
      </c>
      <c r="Q113" s="13">
        <v>44993</v>
      </c>
      <c r="R113" s="13">
        <v>45015</v>
      </c>
      <c r="S113">
        <v>2023</v>
      </c>
      <c r="T113" s="12" t="s">
        <v>376</v>
      </c>
      <c r="U113">
        <v>58</v>
      </c>
      <c r="V113">
        <v>80.636700000000005</v>
      </c>
      <c r="W113">
        <v>42.05</v>
      </c>
      <c r="X113">
        <v>0</v>
      </c>
      <c r="Y113">
        <v>0</v>
      </c>
      <c r="Z113">
        <v>4676.93</v>
      </c>
      <c r="AA113">
        <v>4718.9799999999996</v>
      </c>
      <c r="AB113" s="12" t="s">
        <v>435</v>
      </c>
      <c r="AC113">
        <v>76.331100000000006</v>
      </c>
      <c r="AD113">
        <v>1</v>
      </c>
      <c r="AE113">
        <v>1</v>
      </c>
      <c r="AF113">
        <v>249.72</v>
      </c>
      <c r="AG113">
        <v>4427.2</v>
      </c>
      <c r="AH113">
        <v>58</v>
      </c>
      <c r="AI113">
        <v>57</v>
      </c>
      <c r="AJ113">
        <v>1</v>
      </c>
      <c r="AK113">
        <v>1</v>
      </c>
      <c r="AL113">
        <v>1</v>
      </c>
      <c r="AM113">
        <v>98.28</v>
      </c>
      <c r="AN113">
        <v>82.789100000000005</v>
      </c>
      <c r="AO113">
        <v>80.64</v>
      </c>
      <c r="AP113" s="13">
        <v>45014</v>
      </c>
      <c r="AQ113">
        <v>-1</v>
      </c>
      <c r="AR113">
        <v>1</v>
      </c>
    </row>
    <row r="114" spans="1:44" x14ac:dyDescent="0.35">
      <c r="A114" s="12" t="s">
        <v>436</v>
      </c>
      <c r="B114" s="12" t="s">
        <v>437</v>
      </c>
      <c r="C114" s="12" t="s">
        <v>438</v>
      </c>
      <c r="D114" s="12" t="s">
        <v>269</v>
      </c>
      <c r="E114" s="12" t="s">
        <v>65</v>
      </c>
      <c r="F114">
        <v>2</v>
      </c>
      <c r="G114">
        <v>4</v>
      </c>
      <c r="H114">
        <v>0</v>
      </c>
      <c r="I114" s="12" t="s">
        <v>115</v>
      </c>
      <c r="J114" s="12" t="s">
        <v>116</v>
      </c>
      <c r="K114" s="12" t="s">
        <v>117</v>
      </c>
      <c r="L114" s="12" t="s">
        <v>82</v>
      </c>
      <c r="M114">
        <v>17.170000000000002</v>
      </c>
      <c r="N114" s="12" t="s">
        <v>135</v>
      </c>
      <c r="O114" s="12" t="s">
        <v>136</v>
      </c>
      <c r="P114" s="12" t="s">
        <v>137</v>
      </c>
      <c r="Q114" s="13">
        <v>44994</v>
      </c>
      <c r="R114" s="13">
        <v>45019</v>
      </c>
      <c r="S114">
        <v>2023</v>
      </c>
      <c r="T114" s="12" t="s">
        <v>376</v>
      </c>
      <c r="U114">
        <v>47</v>
      </c>
      <c r="V114">
        <v>498.89980000000003</v>
      </c>
      <c r="W114">
        <v>215.41</v>
      </c>
      <c r="X114">
        <v>0</v>
      </c>
      <c r="Y114">
        <v>0</v>
      </c>
      <c r="Z114">
        <v>23448.29</v>
      </c>
      <c r="AA114">
        <v>23663.7</v>
      </c>
      <c r="AB114" s="12" t="s">
        <v>439</v>
      </c>
      <c r="AC114">
        <v>473.21539999999999</v>
      </c>
      <c r="AD114">
        <v>1</v>
      </c>
      <c r="AE114">
        <v>1</v>
      </c>
      <c r="AF114">
        <v>1207.17</v>
      </c>
      <c r="AG114">
        <v>22241.119999999999</v>
      </c>
      <c r="AH114">
        <v>47</v>
      </c>
      <c r="AI114">
        <v>47</v>
      </c>
      <c r="AJ114">
        <v>0</v>
      </c>
      <c r="AK114">
        <v>1</v>
      </c>
      <c r="AL114">
        <v>1</v>
      </c>
      <c r="AM114">
        <v>100</v>
      </c>
      <c r="AN114">
        <v>503.483</v>
      </c>
      <c r="AO114">
        <v>0</v>
      </c>
      <c r="AP114" s="13">
        <v>45026</v>
      </c>
      <c r="AQ114">
        <v>7</v>
      </c>
      <c r="AR114">
        <v>0</v>
      </c>
    </row>
    <row r="115" spans="1:44" x14ac:dyDescent="0.35">
      <c r="A115" s="12" t="s">
        <v>440</v>
      </c>
      <c r="B115" s="12" t="s">
        <v>261</v>
      </c>
      <c r="C115" s="12" t="s">
        <v>262</v>
      </c>
      <c r="D115" s="12" t="s">
        <v>114</v>
      </c>
      <c r="E115" s="12" t="s">
        <v>142</v>
      </c>
      <c r="F115">
        <v>1</v>
      </c>
      <c r="G115">
        <v>8</v>
      </c>
      <c r="H115">
        <v>1</v>
      </c>
      <c r="I115" s="12" t="s">
        <v>263</v>
      </c>
      <c r="J115" s="12" t="s">
        <v>264</v>
      </c>
      <c r="K115" s="12" t="s">
        <v>125</v>
      </c>
      <c r="L115" s="12" t="s">
        <v>82</v>
      </c>
      <c r="M115">
        <v>10.210000000000001</v>
      </c>
      <c r="N115" s="12" t="s">
        <v>97</v>
      </c>
      <c r="O115" s="12" t="s">
        <v>98</v>
      </c>
      <c r="P115" s="12" t="s">
        <v>72</v>
      </c>
      <c r="Q115" s="13">
        <v>44994</v>
      </c>
      <c r="R115" s="13">
        <v>45033</v>
      </c>
      <c r="S115">
        <v>2023</v>
      </c>
      <c r="T115" s="12" t="s">
        <v>376</v>
      </c>
      <c r="U115">
        <v>46</v>
      </c>
      <c r="V115">
        <v>138.256</v>
      </c>
      <c r="W115">
        <v>69.58</v>
      </c>
      <c r="X115">
        <v>0</v>
      </c>
      <c r="Y115">
        <v>0</v>
      </c>
      <c r="Z115">
        <v>6359.78</v>
      </c>
      <c r="AA115">
        <v>6429.36</v>
      </c>
      <c r="AB115" s="12" t="s">
        <v>265</v>
      </c>
      <c r="AC115">
        <v>138.256</v>
      </c>
      <c r="AD115">
        <v>1</v>
      </c>
      <c r="AE115">
        <v>1</v>
      </c>
      <c r="AF115">
        <v>0</v>
      </c>
      <c r="AG115">
        <v>6359.78</v>
      </c>
      <c r="AH115">
        <v>46</v>
      </c>
      <c r="AI115">
        <v>46</v>
      </c>
      <c r="AJ115">
        <v>0</v>
      </c>
      <c r="AK115">
        <v>1</v>
      </c>
      <c r="AL115">
        <v>1</v>
      </c>
      <c r="AM115">
        <v>100</v>
      </c>
      <c r="AN115">
        <v>139.76859999999999</v>
      </c>
      <c r="AO115">
        <v>0</v>
      </c>
      <c r="AP115" s="13">
        <v>45030</v>
      </c>
      <c r="AQ115">
        <v>-3</v>
      </c>
      <c r="AR115">
        <v>1</v>
      </c>
    </row>
    <row r="116" spans="1:44" x14ac:dyDescent="0.35">
      <c r="A116" s="12" t="s">
        <v>441</v>
      </c>
      <c r="B116" s="12" t="s">
        <v>442</v>
      </c>
      <c r="C116" s="12" t="s">
        <v>443</v>
      </c>
      <c r="D116" s="12" t="s">
        <v>130</v>
      </c>
      <c r="E116" s="12" t="s">
        <v>65</v>
      </c>
      <c r="F116">
        <v>3</v>
      </c>
      <c r="G116">
        <v>4</v>
      </c>
      <c r="H116">
        <v>0</v>
      </c>
      <c r="I116" s="12" t="s">
        <v>251</v>
      </c>
      <c r="J116" s="12" t="s">
        <v>252</v>
      </c>
      <c r="K116" s="12" t="s">
        <v>133</v>
      </c>
      <c r="L116" s="12" t="s">
        <v>69</v>
      </c>
      <c r="M116">
        <v>34.49</v>
      </c>
      <c r="N116" s="12" t="s">
        <v>135</v>
      </c>
      <c r="O116" s="12" t="s">
        <v>136</v>
      </c>
      <c r="P116" s="12" t="s">
        <v>137</v>
      </c>
      <c r="Q116" s="13">
        <v>44994</v>
      </c>
      <c r="R116" s="13">
        <v>45015</v>
      </c>
      <c r="S116">
        <v>2023</v>
      </c>
      <c r="T116" s="12" t="s">
        <v>376</v>
      </c>
      <c r="U116">
        <v>16</v>
      </c>
      <c r="V116">
        <v>610.72789999999998</v>
      </c>
      <c r="W116">
        <v>103.42</v>
      </c>
      <c r="X116">
        <v>0</v>
      </c>
      <c r="Y116">
        <v>0</v>
      </c>
      <c r="Z116">
        <v>9771.65</v>
      </c>
      <c r="AA116">
        <v>9875.07</v>
      </c>
      <c r="AB116" s="12" t="s">
        <v>444</v>
      </c>
      <c r="AC116">
        <v>610.72789999999998</v>
      </c>
      <c r="AD116">
        <v>1</v>
      </c>
      <c r="AE116">
        <v>1</v>
      </c>
      <c r="AF116">
        <v>0</v>
      </c>
      <c r="AG116">
        <v>9771.65</v>
      </c>
      <c r="AH116">
        <v>16</v>
      </c>
      <c r="AI116">
        <v>16</v>
      </c>
      <c r="AJ116">
        <v>0</v>
      </c>
      <c r="AK116">
        <v>1</v>
      </c>
      <c r="AL116">
        <v>1</v>
      </c>
      <c r="AM116">
        <v>100</v>
      </c>
      <c r="AN116">
        <v>617.19169999999997</v>
      </c>
      <c r="AO116">
        <v>0</v>
      </c>
      <c r="AP116" s="13">
        <v>45020</v>
      </c>
      <c r="AQ116">
        <v>5</v>
      </c>
      <c r="AR116">
        <v>0</v>
      </c>
    </row>
    <row r="117" spans="1:44" x14ac:dyDescent="0.35">
      <c r="A117" s="12" t="s">
        <v>445</v>
      </c>
      <c r="B117" s="12" t="s">
        <v>207</v>
      </c>
      <c r="C117" s="12" t="s">
        <v>208</v>
      </c>
      <c r="D117" s="12" t="s">
        <v>78</v>
      </c>
      <c r="E117" s="12" t="s">
        <v>65</v>
      </c>
      <c r="F117">
        <v>2</v>
      </c>
      <c r="G117">
        <v>3</v>
      </c>
      <c r="H117">
        <v>0</v>
      </c>
      <c r="I117" s="12" t="s">
        <v>209</v>
      </c>
      <c r="J117" s="12" t="s">
        <v>210</v>
      </c>
      <c r="K117" s="12" t="s">
        <v>133</v>
      </c>
      <c r="L117" s="12" t="s">
        <v>96</v>
      </c>
      <c r="M117">
        <v>7.82</v>
      </c>
      <c r="N117" s="12" t="s">
        <v>97</v>
      </c>
      <c r="O117" s="12" t="s">
        <v>98</v>
      </c>
      <c r="P117" s="12" t="s">
        <v>72</v>
      </c>
      <c r="Q117" s="13">
        <v>44994</v>
      </c>
      <c r="R117" s="13">
        <v>45019</v>
      </c>
      <c r="S117">
        <v>2023</v>
      </c>
      <c r="T117" s="12" t="s">
        <v>376</v>
      </c>
      <c r="U117">
        <v>101</v>
      </c>
      <c r="V117">
        <v>152.13079999999999</v>
      </c>
      <c r="W117">
        <v>230.4</v>
      </c>
      <c r="X117">
        <v>0</v>
      </c>
      <c r="Y117">
        <v>0</v>
      </c>
      <c r="Z117">
        <v>15365.21</v>
      </c>
      <c r="AA117">
        <v>15595.61</v>
      </c>
      <c r="AB117" s="12" t="s">
        <v>211</v>
      </c>
      <c r="AC117">
        <v>152.13079999999999</v>
      </c>
      <c r="AD117">
        <v>1</v>
      </c>
      <c r="AE117">
        <v>1</v>
      </c>
      <c r="AF117">
        <v>0</v>
      </c>
      <c r="AG117">
        <v>15365.21</v>
      </c>
      <c r="AH117">
        <v>101</v>
      </c>
      <c r="AI117">
        <v>100</v>
      </c>
      <c r="AJ117">
        <v>1</v>
      </c>
      <c r="AK117">
        <v>1</v>
      </c>
      <c r="AL117">
        <v>1</v>
      </c>
      <c r="AM117">
        <v>99.01</v>
      </c>
      <c r="AN117">
        <v>155.95609999999999</v>
      </c>
      <c r="AO117">
        <v>152.13</v>
      </c>
      <c r="AP117" s="13">
        <v>45018</v>
      </c>
      <c r="AQ117">
        <v>-1</v>
      </c>
      <c r="AR117">
        <v>1</v>
      </c>
    </row>
    <row r="118" spans="1:44" x14ac:dyDescent="0.35">
      <c r="A118" s="12" t="s">
        <v>446</v>
      </c>
      <c r="B118" s="12" t="s">
        <v>447</v>
      </c>
      <c r="C118" s="12" t="s">
        <v>448</v>
      </c>
      <c r="D118" s="12" t="s">
        <v>269</v>
      </c>
      <c r="E118" s="12" t="s">
        <v>65</v>
      </c>
      <c r="F118">
        <v>2</v>
      </c>
      <c r="G118">
        <v>2</v>
      </c>
      <c r="H118">
        <v>0</v>
      </c>
      <c r="I118" s="12" t="s">
        <v>94</v>
      </c>
      <c r="J118" s="12" t="s">
        <v>95</v>
      </c>
      <c r="K118" s="12" t="s">
        <v>81</v>
      </c>
      <c r="L118" s="12" t="s">
        <v>96</v>
      </c>
      <c r="M118">
        <v>4.8099999999999996</v>
      </c>
      <c r="N118" s="12" t="s">
        <v>135</v>
      </c>
      <c r="O118" s="12" t="s">
        <v>136</v>
      </c>
      <c r="P118" s="12" t="s">
        <v>137</v>
      </c>
      <c r="Q118" s="13">
        <v>44994</v>
      </c>
      <c r="R118" s="13">
        <v>45031</v>
      </c>
      <c r="S118">
        <v>2023</v>
      </c>
      <c r="T118" s="12" t="s">
        <v>376</v>
      </c>
      <c r="U118">
        <v>138</v>
      </c>
      <c r="V118">
        <v>388.54930000000002</v>
      </c>
      <c r="W118">
        <v>925.39</v>
      </c>
      <c r="X118">
        <v>0</v>
      </c>
      <c r="Y118">
        <v>0</v>
      </c>
      <c r="Z118">
        <v>53619.8</v>
      </c>
      <c r="AA118">
        <v>54545.19</v>
      </c>
      <c r="AB118" s="12" t="s">
        <v>449</v>
      </c>
      <c r="AC118">
        <v>388.54930000000002</v>
      </c>
      <c r="AD118">
        <v>1</v>
      </c>
      <c r="AE118">
        <v>1</v>
      </c>
      <c r="AF118">
        <v>0</v>
      </c>
      <c r="AG118">
        <v>53619.8</v>
      </c>
      <c r="AH118">
        <v>138</v>
      </c>
      <c r="AI118">
        <v>136</v>
      </c>
      <c r="AJ118">
        <v>2</v>
      </c>
      <c r="AK118">
        <v>1</v>
      </c>
      <c r="AL118">
        <v>1</v>
      </c>
      <c r="AM118">
        <v>98.55</v>
      </c>
      <c r="AN118">
        <v>401.06760000000003</v>
      </c>
      <c r="AO118">
        <v>777.1</v>
      </c>
      <c r="AP118" s="13">
        <v>45041</v>
      </c>
      <c r="AQ118">
        <v>10</v>
      </c>
      <c r="AR118">
        <v>0</v>
      </c>
    </row>
    <row r="119" spans="1:44" x14ac:dyDescent="0.35">
      <c r="A119" s="12" t="s">
        <v>450</v>
      </c>
      <c r="B119" s="12" t="s">
        <v>451</v>
      </c>
      <c r="C119" s="12" t="s">
        <v>452</v>
      </c>
      <c r="D119" s="12" t="s">
        <v>175</v>
      </c>
      <c r="E119" s="12" t="s">
        <v>104</v>
      </c>
      <c r="F119">
        <v>3</v>
      </c>
      <c r="G119">
        <v>1</v>
      </c>
      <c r="H119">
        <v>0</v>
      </c>
      <c r="I119" s="12" t="s">
        <v>157</v>
      </c>
      <c r="J119" s="12" t="s">
        <v>158</v>
      </c>
      <c r="K119" s="12" t="s">
        <v>117</v>
      </c>
      <c r="L119" s="12" t="s">
        <v>96</v>
      </c>
      <c r="M119">
        <v>4.72</v>
      </c>
      <c r="N119" s="12" t="s">
        <v>145</v>
      </c>
      <c r="O119" s="12" t="s">
        <v>146</v>
      </c>
      <c r="P119" s="12" t="s">
        <v>109</v>
      </c>
      <c r="Q119" s="13">
        <v>44995</v>
      </c>
      <c r="R119" s="13">
        <v>45007</v>
      </c>
      <c r="S119">
        <v>2023</v>
      </c>
      <c r="T119" s="12" t="s">
        <v>376</v>
      </c>
      <c r="U119">
        <v>14</v>
      </c>
      <c r="V119">
        <v>283.67660000000001</v>
      </c>
      <c r="W119">
        <v>50.01</v>
      </c>
      <c r="X119">
        <v>0</v>
      </c>
      <c r="Y119">
        <v>0</v>
      </c>
      <c r="Z119">
        <v>3971.47</v>
      </c>
      <c r="AA119">
        <v>4021.48</v>
      </c>
      <c r="AB119" s="12" t="s">
        <v>201</v>
      </c>
      <c r="AD119">
        <v>0</v>
      </c>
      <c r="AE119">
        <v>0</v>
      </c>
      <c r="AH119">
        <v>14</v>
      </c>
      <c r="AI119">
        <v>14</v>
      </c>
      <c r="AJ119">
        <v>0</v>
      </c>
      <c r="AK119">
        <v>1</v>
      </c>
      <c r="AL119">
        <v>1</v>
      </c>
      <c r="AM119">
        <v>100</v>
      </c>
      <c r="AN119">
        <v>287.24869999999999</v>
      </c>
      <c r="AO119">
        <v>0</v>
      </c>
      <c r="AP119" s="13">
        <v>45005</v>
      </c>
      <c r="AQ119">
        <v>-2</v>
      </c>
      <c r="AR119">
        <v>1</v>
      </c>
    </row>
    <row r="120" spans="1:44" x14ac:dyDescent="0.35">
      <c r="A120" s="12" t="s">
        <v>453</v>
      </c>
      <c r="B120" s="12" t="s">
        <v>454</v>
      </c>
      <c r="C120" s="12" t="s">
        <v>455</v>
      </c>
      <c r="D120" s="12" t="s">
        <v>122</v>
      </c>
      <c r="E120" s="12" t="s">
        <v>104</v>
      </c>
      <c r="F120">
        <v>3</v>
      </c>
      <c r="G120">
        <v>1</v>
      </c>
      <c r="H120">
        <v>0</v>
      </c>
      <c r="I120" s="12" t="s">
        <v>87</v>
      </c>
      <c r="J120" s="12" t="s">
        <v>88</v>
      </c>
      <c r="K120" s="12" t="s">
        <v>89</v>
      </c>
      <c r="L120" s="12" t="s">
        <v>69</v>
      </c>
      <c r="M120">
        <v>14.93</v>
      </c>
      <c r="N120" s="12" t="s">
        <v>97</v>
      </c>
      <c r="O120" s="12" t="s">
        <v>98</v>
      </c>
      <c r="P120" s="12" t="s">
        <v>72</v>
      </c>
      <c r="Q120" s="13">
        <v>44995</v>
      </c>
      <c r="R120" s="13">
        <v>45013</v>
      </c>
      <c r="S120">
        <v>2023</v>
      </c>
      <c r="T120" s="12" t="s">
        <v>376</v>
      </c>
      <c r="U120">
        <v>813</v>
      </c>
      <c r="V120">
        <v>21.796199999999999</v>
      </c>
      <c r="W120">
        <v>430.16</v>
      </c>
      <c r="X120">
        <v>0</v>
      </c>
      <c r="Y120">
        <v>0</v>
      </c>
      <c r="Z120">
        <v>17720.310000000001</v>
      </c>
      <c r="AA120">
        <v>18150.47</v>
      </c>
      <c r="AB120" s="12" t="s">
        <v>456</v>
      </c>
      <c r="AC120">
        <v>21.796199999999999</v>
      </c>
      <c r="AD120">
        <v>1</v>
      </c>
      <c r="AE120">
        <v>1</v>
      </c>
      <c r="AF120">
        <v>0</v>
      </c>
      <c r="AG120">
        <v>17720.310000000001</v>
      </c>
      <c r="AH120">
        <v>813</v>
      </c>
      <c r="AI120">
        <v>803</v>
      </c>
      <c r="AJ120">
        <v>10</v>
      </c>
      <c r="AK120">
        <v>1</v>
      </c>
      <c r="AL120">
        <v>1</v>
      </c>
      <c r="AM120">
        <v>98.77</v>
      </c>
      <c r="AN120">
        <v>22.603300000000001</v>
      </c>
      <c r="AO120">
        <v>217.96</v>
      </c>
      <c r="AP120" s="13">
        <v>45012</v>
      </c>
      <c r="AQ120">
        <v>-1</v>
      </c>
      <c r="AR120">
        <v>1</v>
      </c>
    </row>
    <row r="121" spans="1:44" x14ac:dyDescent="0.35">
      <c r="A121" s="12" t="s">
        <v>457</v>
      </c>
      <c r="B121" s="12" t="s">
        <v>458</v>
      </c>
      <c r="C121" s="12" t="s">
        <v>459</v>
      </c>
      <c r="D121" s="12" t="s">
        <v>64</v>
      </c>
      <c r="E121" s="12" t="s">
        <v>104</v>
      </c>
      <c r="F121">
        <v>2</v>
      </c>
      <c r="G121">
        <v>0</v>
      </c>
      <c r="H121">
        <v>0</v>
      </c>
      <c r="I121" s="12" t="s">
        <v>199</v>
      </c>
      <c r="J121" s="12" t="s">
        <v>200</v>
      </c>
      <c r="K121" s="12" t="s">
        <v>68</v>
      </c>
      <c r="L121" s="12" t="s">
        <v>96</v>
      </c>
      <c r="M121">
        <v>9.4700000000000006</v>
      </c>
      <c r="N121" s="12" t="s">
        <v>97</v>
      </c>
      <c r="O121" s="12" t="s">
        <v>98</v>
      </c>
      <c r="P121" s="12" t="s">
        <v>72</v>
      </c>
      <c r="Q121" s="13">
        <v>44995</v>
      </c>
      <c r="R121" s="13">
        <v>45023</v>
      </c>
      <c r="S121">
        <v>2023</v>
      </c>
      <c r="T121" s="12" t="s">
        <v>376</v>
      </c>
      <c r="U121">
        <v>942</v>
      </c>
      <c r="V121">
        <v>24.782299999999999</v>
      </c>
      <c r="W121">
        <v>383.68</v>
      </c>
      <c r="X121">
        <v>0</v>
      </c>
      <c r="Y121">
        <v>0</v>
      </c>
      <c r="Z121">
        <v>23344.93</v>
      </c>
      <c r="AA121">
        <v>23728.61</v>
      </c>
      <c r="AB121" s="12" t="s">
        <v>460</v>
      </c>
      <c r="AC121">
        <v>24.782299999999999</v>
      </c>
      <c r="AD121">
        <v>1</v>
      </c>
      <c r="AE121">
        <v>1</v>
      </c>
      <c r="AF121">
        <v>0</v>
      </c>
      <c r="AG121">
        <v>23344.93</v>
      </c>
      <c r="AH121">
        <v>942</v>
      </c>
      <c r="AI121">
        <v>936</v>
      </c>
      <c r="AJ121">
        <v>6</v>
      </c>
      <c r="AK121">
        <v>1</v>
      </c>
      <c r="AL121">
        <v>1</v>
      </c>
      <c r="AM121">
        <v>99.36</v>
      </c>
      <c r="AN121">
        <v>25.351099999999999</v>
      </c>
      <c r="AO121">
        <v>148.69</v>
      </c>
      <c r="AP121" s="13">
        <v>45029</v>
      </c>
      <c r="AQ121">
        <v>6</v>
      </c>
      <c r="AR121">
        <v>0</v>
      </c>
    </row>
    <row r="122" spans="1:44" x14ac:dyDescent="0.35">
      <c r="A122" s="12" t="s">
        <v>461</v>
      </c>
      <c r="B122" s="12" t="s">
        <v>458</v>
      </c>
      <c r="C122" s="12" t="s">
        <v>459</v>
      </c>
      <c r="D122" s="12" t="s">
        <v>64</v>
      </c>
      <c r="E122" s="12" t="s">
        <v>104</v>
      </c>
      <c r="F122">
        <v>2</v>
      </c>
      <c r="G122">
        <v>0</v>
      </c>
      <c r="H122">
        <v>0</v>
      </c>
      <c r="I122" s="12" t="s">
        <v>199</v>
      </c>
      <c r="J122" s="12" t="s">
        <v>200</v>
      </c>
      <c r="K122" s="12" t="s">
        <v>68</v>
      </c>
      <c r="L122" s="12" t="s">
        <v>96</v>
      </c>
      <c r="M122">
        <v>9.4700000000000006</v>
      </c>
      <c r="N122" s="12" t="s">
        <v>70</v>
      </c>
      <c r="O122" s="12" t="s">
        <v>71</v>
      </c>
      <c r="P122" s="12" t="s">
        <v>72</v>
      </c>
      <c r="Q122" s="13">
        <v>44995</v>
      </c>
      <c r="R122" s="13">
        <v>45023</v>
      </c>
      <c r="S122">
        <v>2023</v>
      </c>
      <c r="T122" s="12" t="s">
        <v>376</v>
      </c>
      <c r="U122">
        <v>920</v>
      </c>
      <c r="V122">
        <v>24.782299999999999</v>
      </c>
      <c r="W122">
        <v>190.9</v>
      </c>
      <c r="X122">
        <v>0</v>
      </c>
      <c r="Y122">
        <v>0</v>
      </c>
      <c r="Z122">
        <v>22799.72</v>
      </c>
      <c r="AA122">
        <v>22990.62</v>
      </c>
      <c r="AB122" s="12" t="s">
        <v>460</v>
      </c>
      <c r="AC122">
        <v>24.782299999999999</v>
      </c>
      <c r="AD122">
        <v>1</v>
      </c>
      <c r="AE122">
        <v>1</v>
      </c>
      <c r="AF122">
        <v>0</v>
      </c>
      <c r="AG122">
        <v>22799.72</v>
      </c>
      <c r="AH122">
        <v>920</v>
      </c>
      <c r="AI122">
        <v>914</v>
      </c>
      <c r="AJ122">
        <v>6</v>
      </c>
      <c r="AK122">
        <v>1</v>
      </c>
      <c r="AL122">
        <v>1</v>
      </c>
      <c r="AM122">
        <v>99.35</v>
      </c>
      <c r="AN122">
        <v>25.1538</v>
      </c>
      <c r="AO122">
        <v>148.69</v>
      </c>
      <c r="AP122" s="13">
        <v>45022</v>
      </c>
      <c r="AQ122">
        <v>-1</v>
      </c>
      <c r="AR122">
        <v>1</v>
      </c>
    </row>
    <row r="123" spans="1:44" x14ac:dyDescent="0.35">
      <c r="A123" s="12" t="s">
        <v>462</v>
      </c>
      <c r="B123" s="12" t="s">
        <v>433</v>
      </c>
      <c r="C123" s="12" t="s">
        <v>434</v>
      </c>
      <c r="D123" s="12" t="s">
        <v>78</v>
      </c>
      <c r="E123" s="12" t="s">
        <v>65</v>
      </c>
      <c r="F123">
        <v>2</v>
      </c>
      <c r="G123">
        <v>4</v>
      </c>
      <c r="H123">
        <v>0</v>
      </c>
      <c r="I123" s="12" t="s">
        <v>105</v>
      </c>
      <c r="J123" s="12" t="s">
        <v>106</v>
      </c>
      <c r="K123" s="12" t="s">
        <v>81</v>
      </c>
      <c r="L123" s="12" t="s">
        <v>96</v>
      </c>
      <c r="M123">
        <v>5.01</v>
      </c>
      <c r="N123" s="12" t="s">
        <v>97</v>
      </c>
      <c r="O123" s="12" t="s">
        <v>98</v>
      </c>
      <c r="P123" s="12" t="s">
        <v>72</v>
      </c>
      <c r="Q123" s="13">
        <v>44995</v>
      </c>
      <c r="R123" s="13">
        <v>45019</v>
      </c>
      <c r="S123">
        <v>2023</v>
      </c>
      <c r="T123" s="12" t="s">
        <v>376</v>
      </c>
      <c r="U123">
        <v>87</v>
      </c>
      <c r="V123">
        <v>76.331100000000006</v>
      </c>
      <c r="W123">
        <v>161.78</v>
      </c>
      <c r="X123">
        <v>0</v>
      </c>
      <c r="Y123">
        <v>0</v>
      </c>
      <c r="Z123">
        <v>6640.81</v>
      </c>
      <c r="AA123">
        <v>6802.59</v>
      </c>
      <c r="AB123" s="12" t="s">
        <v>463</v>
      </c>
      <c r="AC123">
        <v>76.331100000000006</v>
      </c>
      <c r="AD123">
        <v>1</v>
      </c>
      <c r="AE123">
        <v>1</v>
      </c>
      <c r="AF123">
        <v>0</v>
      </c>
      <c r="AG123">
        <v>6640.81</v>
      </c>
      <c r="AH123">
        <v>87</v>
      </c>
      <c r="AI123">
        <v>86</v>
      </c>
      <c r="AJ123">
        <v>1</v>
      </c>
      <c r="AK123">
        <v>1</v>
      </c>
      <c r="AL123">
        <v>1</v>
      </c>
      <c r="AM123">
        <v>98.85</v>
      </c>
      <c r="AN123">
        <v>79.099800000000002</v>
      </c>
      <c r="AO123">
        <v>76.33</v>
      </c>
      <c r="AP123" s="13">
        <v>45016</v>
      </c>
      <c r="AQ123">
        <v>-3</v>
      </c>
      <c r="AR123">
        <v>1</v>
      </c>
    </row>
    <row r="124" spans="1:44" x14ac:dyDescent="0.35">
      <c r="A124" s="12" t="s">
        <v>464</v>
      </c>
      <c r="B124" s="12" t="s">
        <v>465</v>
      </c>
      <c r="C124" s="12" t="s">
        <v>466</v>
      </c>
      <c r="D124" s="12" t="s">
        <v>78</v>
      </c>
      <c r="E124" s="12" t="s">
        <v>142</v>
      </c>
      <c r="F124">
        <v>3</v>
      </c>
      <c r="G124">
        <v>11</v>
      </c>
      <c r="H124">
        <v>0</v>
      </c>
      <c r="I124" s="12" t="s">
        <v>195</v>
      </c>
      <c r="J124" s="12" t="s">
        <v>196</v>
      </c>
      <c r="K124" s="12" t="s">
        <v>117</v>
      </c>
      <c r="L124" s="12" t="s">
        <v>134</v>
      </c>
      <c r="M124">
        <v>4.7699999999999996</v>
      </c>
      <c r="N124" s="12" t="s">
        <v>70</v>
      </c>
      <c r="O124" s="12" t="s">
        <v>71</v>
      </c>
      <c r="P124" s="12" t="s">
        <v>72</v>
      </c>
      <c r="Q124" s="13">
        <v>44998</v>
      </c>
      <c r="R124" s="13">
        <v>45050</v>
      </c>
      <c r="S124">
        <v>2023</v>
      </c>
      <c r="T124" s="12" t="s">
        <v>376</v>
      </c>
      <c r="U124">
        <v>287</v>
      </c>
      <c r="V124">
        <v>103.5621</v>
      </c>
      <c r="W124">
        <v>647.58000000000004</v>
      </c>
      <c r="X124">
        <v>0</v>
      </c>
      <c r="Y124">
        <v>0</v>
      </c>
      <c r="Z124">
        <v>29722.32</v>
      </c>
      <c r="AA124">
        <v>30369.9</v>
      </c>
      <c r="AB124" s="12" t="s">
        <v>467</v>
      </c>
      <c r="AC124">
        <v>110.11579999999999</v>
      </c>
      <c r="AD124">
        <v>1</v>
      </c>
      <c r="AE124">
        <v>1</v>
      </c>
      <c r="AF124">
        <v>-1880.91</v>
      </c>
      <c r="AG124">
        <v>31603.23</v>
      </c>
      <c r="AH124">
        <v>287</v>
      </c>
      <c r="AI124">
        <v>280</v>
      </c>
      <c r="AJ124">
        <v>7</v>
      </c>
      <c r="AK124">
        <v>1</v>
      </c>
      <c r="AL124">
        <v>1</v>
      </c>
      <c r="AM124">
        <v>97.56</v>
      </c>
      <c r="AN124">
        <v>108.4639</v>
      </c>
      <c r="AO124">
        <v>724.93</v>
      </c>
      <c r="AP124" s="13">
        <v>45057</v>
      </c>
      <c r="AQ124">
        <v>7</v>
      </c>
      <c r="AR124">
        <v>0</v>
      </c>
    </row>
    <row r="125" spans="1:44" x14ac:dyDescent="0.35">
      <c r="A125" s="12" t="s">
        <v>468</v>
      </c>
      <c r="B125" s="12" t="s">
        <v>155</v>
      </c>
      <c r="C125" s="12" t="s">
        <v>156</v>
      </c>
      <c r="D125" s="12" t="s">
        <v>130</v>
      </c>
      <c r="E125" s="12" t="s">
        <v>104</v>
      </c>
      <c r="F125">
        <v>3</v>
      </c>
      <c r="G125">
        <v>1</v>
      </c>
      <c r="H125">
        <v>0</v>
      </c>
      <c r="I125" s="12" t="s">
        <v>157</v>
      </c>
      <c r="J125" s="12" t="s">
        <v>158</v>
      </c>
      <c r="K125" s="12" t="s">
        <v>117</v>
      </c>
      <c r="L125" s="12" t="s">
        <v>96</v>
      </c>
      <c r="M125">
        <v>4.72</v>
      </c>
      <c r="N125" s="12" t="s">
        <v>159</v>
      </c>
      <c r="O125" s="12" t="s">
        <v>160</v>
      </c>
      <c r="P125" s="12" t="s">
        <v>137</v>
      </c>
      <c r="Q125" s="13">
        <v>44998</v>
      </c>
      <c r="R125" s="13">
        <v>45015</v>
      </c>
      <c r="S125">
        <v>2023</v>
      </c>
      <c r="T125" s="12" t="s">
        <v>376</v>
      </c>
      <c r="U125">
        <v>51</v>
      </c>
      <c r="V125">
        <v>206.28880000000001</v>
      </c>
      <c r="W125">
        <v>96.15</v>
      </c>
      <c r="X125">
        <v>0</v>
      </c>
      <c r="Y125">
        <v>0</v>
      </c>
      <c r="Z125">
        <v>10520.73</v>
      </c>
      <c r="AA125">
        <v>10616.88</v>
      </c>
      <c r="AB125" s="12" t="s">
        <v>161</v>
      </c>
      <c r="AC125">
        <v>206.28880000000001</v>
      </c>
      <c r="AD125">
        <v>1</v>
      </c>
      <c r="AE125">
        <v>1</v>
      </c>
      <c r="AF125">
        <v>0</v>
      </c>
      <c r="AG125">
        <v>10520.73</v>
      </c>
      <c r="AH125">
        <v>51</v>
      </c>
      <c r="AI125">
        <v>50</v>
      </c>
      <c r="AJ125">
        <v>1</v>
      </c>
      <c r="AK125">
        <v>1</v>
      </c>
      <c r="AL125">
        <v>1</v>
      </c>
      <c r="AM125">
        <v>98.04</v>
      </c>
      <c r="AN125">
        <v>212.33760000000001</v>
      </c>
      <c r="AO125">
        <v>206.29</v>
      </c>
      <c r="AP125" s="13">
        <v>45020</v>
      </c>
      <c r="AQ125">
        <v>5</v>
      </c>
      <c r="AR125">
        <v>0</v>
      </c>
    </row>
    <row r="126" spans="1:44" x14ac:dyDescent="0.35">
      <c r="A126" s="12" t="s">
        <v>469</v>
      </c>
      <c r="B126" s="12" t="s">
        <v>128</v>
      </c>
      <c r="C126" s="12" t="s">
        <v>129</v>
      </c>
      <c r="D126" s="12" t="s">
        <v>130</v>
      </c>
      <c r="E126" s="12" t="s">
        <v>65</v>
      </c>
      <c r="F126">
        <v>3</v>
      </c>
      <c r="G126">
        <v>5</v>
      </c>
      <c r="H126">
        <v>0</v>
      </c>
      <c r="I126" s="12" t="s">
        <v>131</v>
      </c>
      <c r="J126" s="12" t="s">
        <v>132</v>
      </c>
      <c r="K126" s="12" t="s">
        <v>133</v>
      </c>
      <c r="L126" s="12" t="s">
        <v>134</v>
      </c>
      <c r="M126">
        <v>1.51</v>
      </c>
      <c r="N126" s="12" t="s">
        <v>135</v>
      </c>
      <c r="O126" s="12" t="s">
        <v>136</v>
      </c>
      <c r="P126" s="12" t="s">
        <v>137</v>
      </c>
      <c r="Q126" s="13">
        <v>44998</v>
      </c>
      <c r="R126" s="13">
        <v>45030</v>
      </c>
      <c r="S126">
        <v>2023</v>
      </c>
      <c r="T126" s="12" t="s">
        <v>376</v>
      </c>
      <c r="U126">
        <v>103</v>
      </c>
      <c r="V126">
        <v>501.92320000000001</v>
      </c>
      <c r="W126">
        <v>1296.79</v>
      </c>
      <c r="X126">
        <v>0</v>
      </c>
      <c r="Y126">
        <v>0</v>
      </c>
      <c r="Z126">
        <v>51698.09</v>
      </c>
      <c r="AA126">
        <v>52994.879999999997</v>
      </c>
      <c r="AB126" s="12" t="s">
        <v>138</v>
      </c>
      <c r="AC126">
        <v>501.92320000000001</v>
      </c>
      <c r="AD126">
        <v>1</v>
      </c>
      <c r="AE126">
        <v>1</v>
      </c>
      <c r="AF126">
        <v>0</v>
      </c>
      <c r="AG126">
        <v>51698.09</v>
      </c>
      <c r="AH126">
        <v>103</v>
      </c>
      <c r="AI126">
        <v>92</v>
      </c>
      <c r="AJ126">
        <v>11</v>
      </c>
      <c r="AK126">
        <v>1</v>
      </c>
      <c r="AL126">
        <v>1</v>
      </c>
      <c r="AM126">
        <v>89.32</v>
      </c>
      <c r="AN126">
        <v>576.03129999999999</v>
      </c>
      <c r="AO126">
        <v>5521.16</v>
      </c>
      <c r="AP126" s="13">
        <v>45030</v>
      </c>
      <c r="AQ126">
        <v>0</v>
      </c>
      <c r="AR126">
        <v>1</v>
      </c>
    </row>
    <row r="127" spans="1:44" x14ac:dyDescent="0.35">
      <c r="A127" s="12" t="s">
        <v>470</v>
      </c>
      <c r="B127" s="12" t="s">
        <v>92</v>
      </c>
      <c r="C127" s="12" t="s">
        <v>93</v>
      </c>
      <c r="D127" s="12" t="s">
        <v>64</v>
      </c>
      <c r="E127" s="12" t="s">
        <v>65</v>
      </c>
      <c r="F127">
        <v>3</v>
      </c>
      <c r="G127">
        <v>5</v>
      </c>
      <c r="H127">
        <v>0</v>
      </c>
      <c r="I127" s="12" t="s">
        <v>94</v>
      </c>
      <c r="J127" s="12" t="s">
        <v>95</v>
      </c>
      <c r="K127" s="12" t="s">
        <v>81</v>
      </c>
      <c r="L127" s="12" t="s">
        <v>96</v>
      </c>
      <c r="M127">
        <v>4.8099999999999996</v>
      </c>
      <c r="N127" s="12" t="s">
        <v>70</v>
      </c>
      <c r="O127" s="12" t="s">
        <v>71</v>
      </c>
      <c r="P127" s="12" t="s">
        <v>72</v>
      </c>
      <c r="Q127" s="13">
        <v>44998</v>
      </c>
      <c r="R127" s="13">
        <v>45028</v>
      </c>
      <c r="S127">
        <v>2023</v>
      </c>
      <c r="T127" s="12" t="s">
        <v>376</v>
      </c>
      <c r="U127">
        <v>577</v>
      </c>
      <c r="V127">
        <v>24.617899999999999</v>
      </c>
      <c r="W127">
        <v>239.76</v>
      </c>
      <c r="X127">
        <v>0</v>
      </c>
      <c r="Y127">
        <v>0</v>
      </c>
      <c r="Z127">
        <v>14204.53</v>
      </c>
      <c r="AA127">
        <v>14444.29</v>
      </c>
      <c r="AB127" s="12" t="s">
        <v>99</v>
      </c>
      <c r="AC127">
        <v>24.617899999999999</v>
      </c>
      <c r="AD127">
        <v>1</v>
      </c>
      <c r="AE127">
        <v>1</v>
      </c>
      <c r="AF127">
        <v>0</v>
      </c>
      <c r="AG127">
        <v>14204.53</v>
      </c>
      <c r="AH127">
        <v>577</v>
      </c>
      <c r="AI127">
        <v>570</v>
      </c>
      <c r="AJ127">
        <v>7</v>
      </c>
      <c r="AK127">
        <v>1</v>
      </c>
      <c r="AL127">
        <v>1</v>
      </c>
      <c r="AM127">
        <v>98.79</v>
      </c>
      <c r="AN127">
        <v>25.340900000000001</v>
      </c>
      <c r="AO127">
        <v>172.33</v>
      </c>
      <c r="AP127" s="13">
        <v>45028</v>
      </c>
      <c r="AQ127">
        <v>0</v>
      </c>
      <c r="AR127">
        <v>1</v>
      </c>
    </row>
    <row r="128" spans="1:44" x14ac:dyDescent="0.35">
      <c r="A128" s="12" t="s">
        <v>471</v>
      </c>
      <c r="B128" s="12" t="s">
        <v>472</v>
      </c>
      <c r="C128" s="12" t="s">
        <v>473</v>
      </c>
      <c r="D128" s="12" t="s">
        <v>122</v>
      </c>
      <c r="E128" s="12" t="s">
        <v>142</v>
      </c>
      <c r="F128">
        <v>2</v>
      </c>
      <c r="G128">
        <v>9</v>
      </c>
      <c r="H128">
        <v>0</v>
      </c>
      <c r="I128" s="12" t="s">
        <v>209</v>
      </c>
      <c r="J128" s="12" t="s">
        <v>210</v>
      </c>
      <c r="K128" s="12" t="s">
        <v>133</v>
      </c>
      <c r="L128" s="12" t="s">
        <v>96</v>
      </c>
      <c r="M128">
        <v>7.82</v>
      </c>
      <c r="N128" s="12" t="s">
        <v>70</v>
      </c>
      <c r="O128" s="12" t="s">
        <v>71</v>
      </c>
      <c r="P128" s="12" t="s">
        <v>72</v>
      </c>
      <c r="Q128" s="13">
        <v>44999</v>
      </c>
      <c r="R128" s="13">
        <v>45038</v>
      </c>
      <c r="S128">
        <v>2023</v>
      </c>
      <c r="T128" s="12" t="s">
        <v>376</v>
      </c>
      <c r="U128">
        <v>658</v>
      </c>
      <c r="V128">
        <v>48.7896</v>
      </c>
      <c r="W128">
        <v>325.63</v>
      </c>
      <c r="X128">
        <v>0</v>
      </c>
      <c r="Y128">
        <v>0</v>
      </c>
      <c r="Z128">
        <v>32103.56</v>
      </c>
      <c r="AA128">
        <v>32429.19</v>
      </c>
      <c r="AB128" s="12" t="s">
        <v>474</v>
      </c>
      <c r="AC128">
        <v>48.7896</v>
      </c>
      <c r="AD128">
        <v>1</v>
      </c>
      <c r="AE128">
        <v>1</v>
      </c>
      <c r="AF128">
        <v>0</v>
      </c>
      <c r="AG128">
        <v>32103.56</v>
      </c>
      <c r="AH128">
        <v>658</v>
      </c>
      <c r="AI128">
        <v>655</v>
      </c>
      <c r="AJ128">
        <v>3</v>
      </c>
      <c r="AK128">
        <v>1</v>
      </c>
      <c r="AL128">
        <v>1</v>
      </c>
      <c r="AM128">
        <v>99.54</v>
      </c>
      <c r="AN128">
        <v>49.510199999999998</v>
      </c>
      <c r="AO128">
        <v>146.37</v>
      </c>
      <c r="AP128" s="13">
        <v>45035</v>
      </c>
      <c r="AQ128">
        <v>-3</v>
      </c>
      <c r="AR128">
        <v>1</v>
      </c>
    </row>
    <row r="129" spans="1:44" x14ac:dyDescent="0.35">
      <c r="A129" s="12" t="s">
        <v>475</v>
      </c>
      <c r="B129" s="12" t="s">
        <v>120</v>
      </c>
      <c r="C129" s="12" t="s">
        <v>121</v>
      </c>
      <c r="D129" s="12" t="s">
        <v>122</v>
      </c>
      <c r="E129" s="12" t="s">
        <v>65</v>
      </c>
      <c r="F129">
        <v>3</v>
      </c>
      <c r="G129">
        <v>4</v>
      </c>
      <c r="H129">
        <v>0</v>
      </c>
      <c r="I129" s="12" t="s">
        <v>123</v>
      </c>
      <c r="J129" s="12" t="s">
        <v>124</v>
      </c>
      <c r="K129" s="12" t="s">
        <v>125</v>
      </c>
      <c r="L129" s="12" t="s">
        <v>82</v>
      </c>
      <c r="M129">
        <v>6.75</v>
      </c>
      <c r="N129" s="12" t="s">
        <v>70</v>
      </c>
      <c r="O129" s="12" t="s">
        <v>71</v>
      </c>
      <c r="P129" s="12" t="s">
        <v>72</v>
      </c>
      <c r="Q129" s="13">
        <v>44999</v>
      </c>
      <c r="R129" s="13">
        <v>45037</v>
      </c>
      <c r="S129">
        <v>2023</v>
      </c>
      <c r="T129" s="12" t="s">
        <v>376</v>
      </c>
      <c r="U129">
        <v>1913</v>
      </c>
      <c r="V129">
        <v>55.544699999999999</v>
      </c>
      <c r="W129">
        <v>991.35</v>
      </c>
      <c r="X129">
        <v>0</v>
      </c>
      <c r="Y129">
        <v>0</v>
      </c>
      <c r="Z129">
        <v>106257.01</v>
      </c>
      <c r="AA129">
        <v>107248.36</v>
      </c>
      <c r="AB129" s="12" t="s">
        <v>126</v>
      </c>
      <c r="AC129">
        <v>55.544699999999999</v>
      </c>
      <c r="AD129">
        <v>1</v>
      </c>
      <c r="AE129">
        <v>1</v>
      </c>
      <c r="AF129">
        <v>0</v>
      </c>
      <c r="AG129">
        <v>106257.01</v>
      </c>
      <c r="AH129">
        <v>1913</v>
      </c>
      <c r="AI129">
        <v>1896</v>
      </c>
      <c r="AJ129">
        <v>17</v>
      </c>
      <c r="AK129">
        <v>1</v>
      </c>
      <c r="AL129">
        <v>1</v>
      </c>
      <c r="AM129">
        <v>99.11</v>
      </c>
      <c r="AN129">
        <v>56.565600000000003</v>
      </c>
      <c r="AO129">
        <v>944.26</v>
      </c>
      <c r="AP129" s="13">
        <v>45044</v>
      </c>
      <c r="AQ129">
        <v>7</v>
      </c>
      <c r="AR129">
        <v>0</v>
      </c>
    </row>
    <row r="130" spans="1:44" x14ac:dyDescent="0.35">
      <c r="A130" s="12" t="s">
        <v>476</v>
      </c>
      <c r="B130" s="12" t="s">
        <v>477</v>
      </c>
      <c r="C130" s="12" t="s">
        <v>478</v>
      </c>
      <c r="D130" s="12" t="s">
        <v>130</v>
      </c>
      <c r="E130" s="12" t="s">
        <v>104</v>
      </c>
      <c r="F130">
        <v>3</v>
      </c>
      <c r="G130">
        <v>1</v>
      </c>
      <c r="H130">
        <v>0</v>
      </c>
      <c r="I130" s="12" t="s">
        <v>87</v>
      </c>
      <c r="J130" s="12" t="s">
        <v>88</v>
      </c>
      <c r="K130" s="12" t="s">
        <v>89</v>
      </c>
      <c r="L130" s="12" t="s">
        <v>69</v>
      </c>
      <c r="M130">
        <v>14.93</v>
      </c>
      <c r="N130" s="12" t="s">
        <v>159</v>
      </c>
      <c r="O130" s="12" t="s">
        <v>160</v>
      </c>
      <c r="P130" s="12" t="s">
        <v>137</v>
      </c>
      <c r="Q130" s="13">
        <v>44999</v>
      </c>
      <c r="R130" s="13">
        <v>45024</v>
      </c>
      <c r="S130">
        <v>2023</v>
      </c>
      <c r="T130" s="12" t="s">
        <v>376</v>
      </c>
      <c r="U130">
        <v>116</v>
      </c>
      <c r="V130">
        <v>810.57730000000004</v>
      </c>
      <c r="W130">
        <v>981.89</v>
      </c>
      <c r="X130">
        <v>0</v>
      </c>
      <c r="Y130">
        <v>0</v>
      </c>
      <c r="Z130">
        <v>94026.97</v>
      </c>
      <c r="AA130">
        <v>95008.86</v>
      </c>
      <c r="AB130" s="12" t="s">
        <v>201</v>
      </c>
      <c r="AD130">
        <v>0</v>
      </c>
      <c r="AE130">
        <v>0</v>
      </c>
      <c r="AH130">
        <v>116</v>
      </c>
      <c r="AI130">
        <v>116</v>
      </c>
      <c r="AJ130">
        <v>0</v>
      </c>
      <c r="AK130">
        <v>1</v>
      </c>
      <c r="AL130">
        <v>1</v>
      </c>
      <c r="AM130">
        <v>100</v>
      </c>
      <c r="AN130">
        <v>819.04190000000006</v>
      </c>
      <c r="AO130">
        <v>0</v>
      </c>
      <c r="AP130" s="13">
        <v>45022</v>
      </c>
      <c r="AQ130">
        <v>-2</v>
      </c>
      <c r="AR130">
        <v>1</v>
      </c>
    </row>
    <row r="131" spans="1:44" x14ac:dyDescent="0.35">
      <c r="A131" s="12" t="s">
        <v>479</v>
      </c>
      <c r="B131" s="12" t="s">
        <v>458</v>
      </c>
      <c r="C131" s="12" t="s">
        <v>459</v>
      </c>
      <c r="D131" s="12" t="s">
        <v>64</v>
      </c>
      <c r="E131" s="12" t="s">
        <v>104</v>
      </c>
      <c r="F131">
        <v>2</v>
      </c>
      <c r="G131">
        <v>0</v>
      </c>
      <c r="H131">
        <v>0</v>
      </c>
      <c r="I131" s="12" t="s">
        <v>143</v>
      </c>
      <c r="J131" s="12" t="s">
        <v>144</v>
      </c>
      <c r="K131" s="12" t="s">
        <v>133</v>
      </c>
      <c r="L131" s="12" t="s">
        <v>96</v>
      </c>
      <c r="M131">
        <v>5.43</v>
      </c>
      <c r="N131" s="12" t="s">
        <v>97</v>
      </c>
      <c r="O131" s="12" t="s">
        <v>98</v>
      </c>
      <c r="P131" s="12" t="s">
        <v>72</v>
      </c>
      <c r="Q131" s="13">
        <v>44999</v>
      </c>
      <c r="R131" s="13">
        <v>45017</v>
      </c>
      <c r="S131">
        <v>2023</v>
      </c>
      <c r="T131" s="12" t="s">
        <v>376</v>
      </c>
      <c r="U131">
        <v>425</v>
      </c>
      <c r="V131">
        <v>24.782299999999999</v>
      </c>
      <c r="W131">
        <v>240.26</v>
      </c>
      <c r="X131">
        <v>0</v>
      </c>
      <c r="Y131">
        <v>0</v>
      </c>
      <c r="Z131">
        <v>10532.48</v>
      </c>
      <c r="AA131">
        <v>10772.74</v>
      </c>
      <c r="AB131" s="12" t="s">
        <v>480</v>
      </c>
      <c r="AC131">
        <v>24.782299999999999</v>
      </c>
      <c r="AD131">
        <v>1</v>
      </c>
      <c r="AE131">
        <v>1</v>
      </c>
      <c r="AF131">
        <v>0</v>
      </c>
      <c r="AG131">
        <v>10532.48</v>
      </c>
      <c r="AH131">
        <v>425</v>
      </c>
      <c r="AI131">
        <v>419</v>
      </c>
      <c r="AJ131">
        <v>6</v>
      </c>
      <c r="AK131">
        <v>1</v>
      </c>
      <c r="AL131">
        <v>1</v>
      </c>
      <c r="AM131">
        <v>98.59</v>
      </c>
      <c r="AN131">
        <v>25.710599999999999</v>
      </c>
      <c r="AO131">
        <v>148.69</v>
      </c>
      <c r="AP131" s="13">
        <v>45021</v>
      </c>
      <c r="AQ131">
        <v>4</v>
      </c>
      <c r="AR131">
        <v>0</v>
      </c>
    </row>
    <row r="132" spans="1:44" x14ac:dyDescent="0.35">
      <c r="A132" s="12" t="s">
        <v>481</v>
      </c>
      <c r="B132" s="12" t="s">
        <v>482</v>
      </c>
      <c r="C132" s="12" t="s">
        <v>483</v>
      </c>
      <c r="D132" s="12" t="s">
        <v>78</v>
      </c>
      <c r="E132" s="12" t="s">
        <v>142</v>
      </c>
      <c r="F132">
        <v>2</v>
      </c>
      <c r="G132">
        <v>9</v>
      </c>
      <c r="H132">
        <v>0</v>
      </c>
      <c r="I132" s="12" t="s">
        <v>87</v>
      </c>
      <c r="J132" s="12" t="s">
        <v>88</v>
      </c>
      <c r="K132" s="12" t="s">
        <v>89</v>
      </c>
      <c r="L132" s="12" t="s">
        <v>69</v>
      </c>
      <c r="M132">
        <v>14.93</v>
      </c>
      <c r="N132" s="12" t="s">
        <v>97</v>
      </c>
      <c r="O132" s="12" t="s">
        <v>98</v>
      </c>
      <c r="P132" s="12" t="s">
        <v>72</v>
      </c>
      <c r="Q132" s="13">
        <v>44999</v>
      </c>
      <c r="R132" s="13">
        <v>45049</v>
      </c>
      <c r="S132">
        <v>2023</v>
      </c>
      <c r="T132" s="12" t="s">
        <v>376</v>
      </c>
      <c r="U132">
        <v>259</v>
      </c>
      <c r="V132">
        <v>49.685899999999997</v>
      </c>
      <c r="W132">
        <v>155.72</v>
      </c>
      <c r="X132">
        <v>0</v>
      </c>
      <c r="Y132">
        <v>0</v>
      </c>
      <c r="Z132">
        <v>12868.65</v>
      </c>
      <c r="AA132">
        <v>13024.37</v>
      </c>
      <c r="AB132" s="12" t="s">
        <v>484</v>
      </c>
      <c r="AC132">
        <v>49.685899999999997</v>
      </c>
      <c r="AD132">
        <v>1</v>
      </c>
      <c r="AE132">
        <v>1</v>
      </c>
      <c r="AF132">
        <v>0</v>
      </c>
      <c r="AG132">
        <v>12868.65</v>
      </c>
      <c r="AH132">
        <v>259</v>
      </c>
      <c r="AI132">
        <v>255</v>
      </c>
      <c r="AJ132">
        <v>4</v>
      </c>
      <c r="AK132">
        <v>1</v>
      </c>
      <c r="AL132">
        <v>1</v>
      </c>
      <c r="AM132">
        <v>98.46</v>
      </c>
      <c r="AN132">
        <v>51.076000000000001</v>
      </c>
      <c r="AO132">
        <v>198.74</v>
      </c>
      <c r="AP132" s="13">
        <v>45057</v>
      </c>
      <c r="AQ132">
        <v>8</v>
      </c>
      <c r="AR132">
        <v>0</v>
      </c>
    </row>
    <row r="133" spans="1:44" x14ac:dyDescent="0.35">
      <c r="A133" s="12" t="s">
        <v>485</v>
      </c>
      <c r="B133" s="12" t="s">
        <v>350</v>
      </c>
      <c r="C133" s="12" t="s">
        <v>351</v>
      </c>
      <c r="D133" s="12" t="s">
        <v>64</v>
      </c>
      <c r="E133" s="12" t="s">
        <v>104</v>
      </c>
      <c r="F133">
        <v>3</v>
      </c>
      <c r="G133">
        <v>1</v>
      </c>
      <c r="H133">
        <v>0</v>
      </c>
      <c r="I133" s="12" t="s">
        <v>486</v>
      </c>
      <c r="J133" s="12" t="s">
        <v>487</v>
      </c>
      <c r="K133" s="12" t="s">
        <v>125</v>
      </c>
      <c r="L133" s="12" t="s">
        <v>69</v>
      </c>
      <c r="M133">
        <v>36.86</v>
      </c>
      <c r="N133" s="12" t="s">
        <v>70</v>
      </c>
      <c r="O133" s="12" t="s">
        <v>71</v>
      </c>
      <c r="P133" s="12" t="s">
        <v>72</v>
      </c>
      <c r="Q133" s="13">
        <v>45000</v>
      </c>
      <c r="R133" s="13">
        <v>45020</v>
      </c>
      <c r="S133">
        <v>2023</v>
      </c>
      <c r="T133" s="12" t="s">
        <v>376</v>
      </c>
      <c r="U133">
        <v>526</v>
      </c>
      <c r="V133">
        <v>8.7273999999999994</v>
      </c>
      <c r="W133">
        <v>108.42</v>
      </c>
      <c r="X133">
        <v>0</v>
      </c>
      <c r="Y133">
        <v>0</v>
      </c>
      <c r="Z133">
        <v>4590.6099999999997</v>
      </c>
      <c r="AA133">
        <v>4699.03</v>
      </c>
      <c r="AB133" s="12" t="s">
        <v>488</v>
      </c>
      <c r="AC133">
        <v>8.7273999999999994</v>
      </c>
      <c r="AD133">
        <v>1</v>
      </c>
      <c r="AE133">
        <v>1</v>
      </c>
      <c r="AF133">
        <v>0</v>
      </c>
      <c r="AG133">
        <v>4590.6099999999997</v>
      </c>
      <c r="AH133">
        <v>526</v>
      </c>
      <c r="AI133">
        <v>520</v>
      </c>
      <c r="AJ133">
        <v>6</v>
      </c>
      <c r="AK133">
        <v>1</v>
      </c>
      <c r="AL133">
        <v>1</v>
      </c>
      <c r="AM133">
        <v>98.86</v>
      </c>
      <c r="AN133">
        <v>9.0366</v>
      </c>
      <c r="AO133">
        <v>52.36</v>
      </c>
      <c r="AP133" s="13">
        <v>45020</v>
      </c>
      <c r="AQ133">
        <v>0</v>
      </c>
      <c r="AR133">
        <v>1</v>
      </c>
    </row>
    <row r="134" spans="1:44" x14ac:dyDescent="0.35">
      <c r="A134" s="12" t="s">
        <v>489</v>
      </c>
      <c r="B134" s="12" t="s">
        <v>490</v>
      </c>
      <c r="C134" s="12" t="s">
        <v>491</v>
      </c>
      <c r="D134" s="12" t="s">
        <v>130</v>
      </c>
      <c r="E134" s="12" t="s">
        <v>104</v>
      </c>
      <c r="F134">
        <v>3</v>
      </c>
      <c r="G134">
        <v>1</v>
      </c>
      <c r="H134">
        <v>0</v>
      </c>
      <c r="I134" s="12" t="s">
        <v>176</v>
      </c>
      <c r="J134" s="12" t="s">
        <v>177</v>
      </c>
      <c r="K134" s="12" t="s">
        <v>125</v>
      </c>
      <c r="L134" s="12" t="s">
        <v>134</v>
      </c>
      <c r="M134">
        <v>1.75</v>
      </c>
      <c r="N134" s="12" t="s">
        <v>135</v>
      </c>
      <c r="O134" s="12" t="s">
        <v>136</v>
      </c>
      <c r="P134" s="12" t="s">
        <v>137</v>
      </c>
      <c r="Q134" s="13">
        <v>45000</v>
      </c>
      <c r="R134" s="13">
        <v>45022</v>
      </c>
      <c r="S134">
        <v>2023</v>
      </c>
      <c r="T134" s="12" t="s">
        <v>376</v>
      </c>
      <c r="U134">
        <v>88</v>
      </c>
      <c r="V134">
        <v>297.19900000000001</v>
      </c>
      <c r="W134">
        <v>247.41</v>
      </c>
      <c r="X134">
        <v>0</v>
      </c>
      <c r="Y134">
        <v>0</v>
      </c>
      <c r="Z134">
        <v>26153.51</v>
      </c>
      <c r="AA134">
        <v>26400.92</v>
      </c>
      <c r="AB134" s="12" t="s">
        <v>492</v>
      </c>
      <c r="AC134">
        <v>297.19900000000001</v>
      </c>
      <c r="AD134">
        <v>1</v>
      </c>
      <c r="AE134">
        <v>1</v>
      </c>
      <c r="AF134">
        <v>0</v>
      </c>
      <c r="AG134">
        <v>26153.51</v>
      </c>
      <c r="AH134">
        <v>88</v>
      </c>
      <c r="AI134">
        <v>88</v>
      </c>
      <c r="AJ134">
        <v>0</v>
      </c>
      <c r="AK134">
        <v>1</v>
      </c>
      <c r="AL134">
        <v>1</v>
      </c>
      <c r="AM134">
        <v>100</v>
      </c>
      <c r="AN134">
        <v>300.01049999999998</v>
      </c>
      <c r="AO134">
        <v>0</v>
      </c>
      <c r="AP134" s="13">
        <v>45022</v>
      </c>
      <c r="AQ134">
        <v>0</v>
      </c>
      <c r="AR134">
        <v>1</v>
      </c>
    </row>
    <row r="135" spans="1:44" x14ac:dyDescent="0.35">
      <c r="A135" s="12" t="s">
        <v>493</v>
      </c>
      <c r="B135" s="12" t="s">
        <v>494</v>
      </c>
      <c r="C135" s="12" t="s">
        <v>495</v>
      </c>
      <c r="D135" s="12" t="s">
        <v>175</v>
      </c>
      <c r="E135" s="12" t="s">
        <v>65</v>
      </c>
      <c r="F135">
        <v>2</v>
      </c>
      <c r="G135">
        <v>3</v>
      </c>
      <c r="H135">
        <v>0</v>
      </c>
      <c r="I135" s="12" t="s">
        <v>275</v>
      </c>
      <c r="J135" s="12" t="s">
        <v>276</v>
      </c>
      <c r="K135" s="12" t="s">
        <v>89</v>
      </c>
      <c r="L135" s="12" t="s">
        <v>82</v>
      </c>
      <c r="M135">
        <v>14.26</v>
      </c>
      <c r="N135" s="12" t="s">
        <v>145</v>
      </c>
      <c r="O135" s="12" t="s">
        <v>146</v>
      </c>
      <c r="P135" s="12" t="s">
        <v>109</v>
      </c>
      <c r="Q135" s="13">
        <v>45000</v>
      </c>
      <c r="R135" s="13">
        <v>45031</v>
      </c>
      <c r="S135">
        <v>2023</v>
      </c>
      <c r="T135" s="12" t="s">
        <v>376</v>
      </c>
      <c r="U135">
        <v>93</v>
      </c>
      <c r="V135">
        <v>161.94200000000001</v>
      </c>
      <c r="W135">
        <v>279.05</v>
      </c>
      <c r="X135">
        <v>0</v>
      </c>
      <c r="Y135">
        <v>0</v>
      </c>
      <c r="Z135">
        <v>15060.61</v>
      </c>
      <c r="AA135">
        <v>15339.66</v>
      </c>
      <c r="AB135" s="12" t="s">
        <v>496</v>
      </c>
      <c r="AC135">
        <v>161.94200000000001</v>
      </c>
      <c r="AD135">
        <v>1</v>
      </c>
      <c r="AE135">
        <v>1</v>
      </c>
      <c r="AF135">
        <v>0</v>
      </c>
      <c r="AG135">
        <v>15060.61</v>
      </c>
      <c r="AH135">
        <v>93</v>
      </c>
      <c r="AI135">
        <v>93</v>
      </c>
      <c r="AJ135">
        <v>0</v>
      </c>
      <c r="AK135">
        <v>1</v>
      </c>
      <c r="AL135">
        <v>1</v>
      </c>
      <c r="AM135">
        <v>100</v>
      </c>
      <c r="AN135">
        <v>164.9425</v>
      </c>
      <c r="AO135">
        <v>0</v>
      </c>
      <c r="AP135" s="13">
        <v>45028</v>
      </c>
      <c r="AQ135">
        <v>-3</v>
      </c>
      <c r="AR135">
        <v>1</v>
      </c>
    </row>
    <row r="136" spans="1:44" x14ac:dyDescent="0.35">
      <c r="A136" s="12" t="s">
        <v>497</v>
      </c>
      <c r="B136" s="12" t="s">
        <v>498</v>
      </c>
      <c r="C136" s="12" t="s">
        <v>499</v>
      </c>
      <c r="D136" s="12" t="s">
        <v>175</v>
      </c>
      <c r="E136" s="12" t="s">
        <v>104</v>
      </c>
      <c r="F136">
        <v>3</v>
      </c>
      <c r="G136">
        <v>1</v>
      </c>
      <c r="H136">
        <v>0</v>
      </c>
      <c r="I136" s="12" t="s">
        <v>233</v>
      </c>
      <c r="J136" s="12" t="s">
        <v>234</v>
      </c>
      <c r="K136" s="12" t="s">
        <v>125</v>
      </c>
      <c r="L136" s="12" t="s">
        <v>96</v>
      </c>
      <c r="M136">
        <v>3.73</v>
      </c>
      <c r="N136" s="12" t="s">
        <v>107</v>
      </c>
      <c r="O136" s="12" t="s">
        <v>108</v>
      </c>
      <c r="P136" s="12" t="s">
        <v>109</v>
      </c>
      <c r="Q136" s="13">
        <v>45000</v>
      </c>
      <c r="R136" s="13">
        <v>45026</v>
      </c>
      <c r="S136">
        <v>2023</v>
      </c>
      <c r="T136" s="12" t="s">
        <v>376</v>
      </c>
      <c r="U136">
        <v>119</v>
      </c>
      <c r="V136">
        <v>275.12700000000001</v>
      </c>
      <c r="W136">
        <v>358.46</v>
      </c>
      <c r="X136">
        <v>0</v>
      </c>
      <c r="Y136">
        <v>0</v>
      </c>
      <c r="Z136">
        <v>32740.11</v>
      </c>
      <c r="AA136">
        <v>33098.57</v>
      </c>
      <c r="AB136" s="12" t="s">
        <v>500</v>
      </c>
      <c r="AC136">
        <v>284.75639999999999</v>
      </c>
      <c r="AD136">
        <v>2</v>
      </c>
      <c r="AE136">
        <v>1</v>
      </c>
      <c r="AF136">
        <v>-1145.9000000000001</v>
      </c>
      <c r="AG136">
        <v>33886.01</v>
      </c>
      <c r="AH136">
        <v>119</v>
      </c>
      <c r="AI136">
        <v>118</v>
      </c>
      <c r="AJ136">
        <v>1</v>
      </c>
      <c r="AK136">
        <v>1</v>
      </c>
      <c r="AL136">
        <v>1</v>
      </c>
      <c r="AM136">
        <v>99.16</v>
      </c>
      <c r="AN136">
        <v>280.49639999999999</v>
      </c>
      <c r="AO136">
        <v>275.13</v>
      </c>
      <c r="AP136" s="13">
        <v>45032</v>
      </c>
      <c r="AQ136">
        <v>6</v>
      </c>
      <c r="AR136">
        <v>0</v>
      </c>
    </row>
    <row r="137" spans="1:44" x14ac:dyDescent="0.35">
      <c r="A137" s="12" t="s">
        <v>501</v>
      </c>
      <c r="B137" s="12" t="s">
        <v>404</v>
      </c>
      <c r="C137" s="12" t="s">
        <v>405</v>
      </c>
      <c r="D137" s="12" t="s">
        <v>269</v>
      </c>
      <c r="E137" s="12" t="s">
        <v>65</v>
      </c>
      <c r="F137">
        <v>3</v>
      </c>
      <c r="G137">
        <v>5</v>
      </c>
      <c r="H137">
        <v>0</v>
      </c>
      <c r="I137" s="12" t="s">
        <v>94</v>
      </c>
      <c r="J137" s="12" t="s">
        <v>95</v>
      </c>
      <c r="K137" s="12" t="s">
        <v>81</v>
      </c>
      <c r="L137" s="12" t="s">
        <v>96</v>
      </c>
      <c r="M137">
        <v>4.8099999999999996</v>
      </c>
      <c r="N137" s="12" t="s">
        <v>159</v>
      </c>
      <c r="O137" s="12" t="s">
        <v>160</v>
      </c>
      <c r="P137" s="12" t="s">
        <v>137</v>
      </c>
      <c r="Q137" s="13">
        <v>45001</v>
      </c>
      <c r="R137" s="13">
        <v>45022</v>
      </c>
      <c r="S137">
        <v>2023</v>
      </c>
      <c r="T137" s="12" t="s">
        <v>376</v>
      </c>
      <c r="U137">
        <v>14</v>
      </c>
      <c r="V137">
        <v>481.4753</v>
      </c>
      <c r="W137">
        <v>98.49</v>
      </c>
      <c r="X137">
        <v>0</v>
      </c>
      <c r="Y137">
        <v>0</v>
      </c>
      <c r="Z137">
        <v>6740.65</v>
      </c>
      <c r="AA137">
        <v>6839.14</v>
      </c>
      <c r="AB137" s="12" t="s">
        <v>201</v>
      </c>
      <c r="AD137">
        <v>0</v>
      </c>
      <c r="AE137">
        <v>0</v>
      </c>
      <c r="AH137">
        <v>14</v>
      </c>
      <c r="AI137">
        <v>14</v>
      </c>
      <c r="AJ137">
        <v>0</v>
      </c>
      <c r="AK137">
        <v>1</v>
      </c>
      <c r="AL137">
        <v>1</v>
      </c>
      <c r="AM137">
        <v>100</v>
      </c>
      <c r="AN137">
        <v>488.51029999999997</v>
      </c>
      <c r="AO137">
        <v>0</v>
      </c>
      <c r="AP137" s="13">
        <v>45020</v>
      </c>
      <c r="AQ137">
        <v>-2</v>
      </c>
      <c r="AR137">
        <v>1</v>
      </c>
    </row>
    <row r="138" spans="1:44" x14ac:dyDescent="0.35">
      <c r="A138" s="12" t="s">
        <v>502</v>
      </c>
      <c r="B138" s="12" t="s">
        <v>503</v>
      </c>
      <c r="C138" s="12" t="s">
        <v>504</v>
      </c>
      <c r="D138" s="12" t="s">
        <v>103</v>
      </c>
      <c r="E138" s="12" t="s">
        <v>104</v>
      </c>
      <c r="F138">
        <v>3</v>
      </c>
      <c r="G138">
        <v>1</v>
      </c>
      <c r="H138">
        <v>0</v>
      </c>
      <c r="I138" s="12" t="s">
        <v>209</v>
      </c>
      <c r="J138" s="12" t="s">
        <v>210</v>
      </c>
      <c r="K138" s="12" t="s">
        <v>133</v>
      </c>
      <c r="L138" s="12" t="s">
        <v>96</v>
      </c>
      <c r="M138">
        <v>7.82</v>
      </c>
      <c r="N138" s="12" t="s">
        <v>107</v>
      </c>
      <c r="O138" s="12" t="s">
        <v>108</v>
      </c>
      <c r="P138" s="12" t="s">
        <v>109</v>
      </c>
      <c r="Q138" s="13">
        <v>45001</v>
      </c>
      <c r="R138" s="13">
        <v>45029</v>
      </c>
      <c r="S138">
        <v>2023</v>
      </c>
      <c r="T138" s="12" t="s">
        <v>376</v>
      </c>
      <c r="U138">
        <v>137</v>
      </c>
      <c r="V138">
        <v>158.00909999999999</v>
      </c>
      <c r="W138">
        <v>429.13</v>
      </c>
      <c r="X138">
        <v>0</v>
      </c>
      <c r="Y138">
        <v>0</v>
      </c>
      <c r="Z138">
        <v>21647.25</v>
      </c>
      <c r="AA138">
        <v>22076.38</v>
      </c>
      <c r="AB138" s="12" t="s">
        <v>505</v>
      </c>
      <c r="AC138">
        <v>158.00909999999999</v>
      </c>
      <c r="AD138">
        <v>1</v>
      </c>
      <c r="AE138">
        <v>1</v>
      </c>
      <c r="AF138">
        <v>0</v>
      </c>
      <c r="AG138">
        <v>21647.25</v>
      </c>
      <c r="AH138">
        <v>137</v>
      </c>
      <c r="AI138">
        <v>135</v>
      </c>
      <c r="AJ138">
        <v>2</v>
      </c>
      <c r="AK138">
        <v>1</v>
      </c>
      <c r="AL138">
        <v>1</v>
      </c>
      <c r="AM138">
        <v>98.54</v>
      </c>
      <c r="AN138">
        <v>163.52869999999999</v>
      </c>
      <c r="AO138">
        <v>316.02</v>
      </c>
      <c r="AP138" s="13">
        <v>45027</v>
      </c>
      <c r="AQ138">
        <v>-2</v>
      </c>
      <c r="AR138">
        <v>1</v>
      </c>
    </row>
    <row r="139" spans="1:44" x14ac:dyDescent="0.35">
      <c r="A139" s="12" t="s">
        <v>506</v>
      </c>
      <c r="B139" s="12" t="s">
        <v>442</v>
      </c>
      <c r="C139" s="12" t="s">
        <v>443</v>
      </c>
      <c r="D139" s="12" t="s">
        <v>130</v>
      </c>
      <c r="E139" s="12" t="s">
        <v>65</v>
      </c>
      <c r="F139">
        <v>3</v>
      </c>
      <c r="G139">
        <v>4</v>
      </c>
      <c r="H139">
        <v>0</v>
      </c>
      <c r="I139" s="12" t="s">
        <v>251</v>
      </c>
      <c r="J139" s="12" t="s">
        <v>252</v>
      </c>
      <c r="K139" s="12" t="s">
        <v>133</v>
      </c>
      <c r="L139" s="12" t="s">
        <v>69</v>
      </c>
      <c r="M139">
        <v>34.49</v>
      </c>
      <c r="N139" s="12" t="s">
        <v>135</v>
      </c>
      <c r="O139" s="12" t="s">
        <v>136</v>
      </c>
      <c r="P139" s="12" t="s">
        <v>137</v>
      </c>
      <c r="Q139" s="13">
        <v>45001</v>
      </c>
      <c r="R139" s="13">
        <v>45034</v>
      </c>
      <c r="S139">
        <v>2023</v>
      </c>
      <c r="T139" s="12" t="s">
        <v>376</v>
      </c>
      <c r="U139">
        <v>110</v>
      </c>
      <c r="V139">
        <v>632.36919999999998</v>
      </c>
      <c r="W139">
        <v>1784.17</v>
      </c>
      <c r="X139">
        <v>0</v>
      </c>
      <c r="Y139">
        <v>0</v>
      </c>
      <c r="Z139">
        <v>69560.61</v>
      </c>
      <c r="AA139">
        <v>71344.78</v>
      </c>
      <c r="AB139" s="12" t="s">
        <v>444</v>
      </c>
      <c r="AC139">
        <v>610.72789999999998</v>
      </c>
      <c r="AD139">
        <v>1</v>
      </c>
      <c r="AE139">
        <v>1</v>
      </c>
      <c r="AF139">
        <v>2380.54</v>
      </c>
      <c r="AG139">
        <v>67180.070000000007</v>
      </c>
      <c r="AH139">
        <v>110</v>
      </c>
      <c r="AI139">
        <v>108</v>
      </c>
      <c r="AJ139">
        <v>2</v>
      </c>
      <c r="AK139">
        <v>1</v>
      </c>
      <c r="AL139">
        <v>1</v>
      </c>
      <c r="AM139">
        <v>98.18</v>
      </c>
      <c r="AN139">
        <v>660.59979999999996</v>
      </c>
      <c r="AO139">
        <v>1264.74</v>
      </c>
      <c r="AP139" s="13">
        <v>45031</v>
      </c>
      <c r="AQ139">
        <v>-3</v>
      </c>
      <c r="AR139">
        <v>1</v>
      </c>
    </row>
    <row r="140" spans="1:44" x14ac:dyDescent="0.35">
      <c r="A140" s="12" t="s">
        <v>507</v>
      </c>
      <c r="B140" s="12" t="s">
        <v>378</v>
      </c>
      <c r="C140" s="12" t="s">
        <v>379</v>
      </c>
      <c r="D140" s="12" t="s">
        <v>64</v>
      </c>
      <c r="E140" s="12" t="s">
        <v>104</v>
      </c>
      <c r="F140">
        <v>3</v>
      </c>
      <c r="G140">
        <v>1</v>
      </c>
      <c r="H140">
        <v>0</v>
      </c>
      <c r="I140" s="12" t="s">
        <v>380</v>
      </c>
      <c r="J140" s="12" t="s">
        <v>381</v>
      </c>
      <c r="K140" s="12" t="s">
        <v>89</v>
      </c>
      <c r="L140" s="12" t="s">
        <v>96</v>
      </c>
      <c r="M140">
        <v>10.210000000000001</v>
      </c>
      <c r="N140" s="12" t="s">
        <v>70</v>
      </c>
      <c r="O140" s="12" t="s">
        <v>71</v>
      </c>
      <c r="P140" s="12" t="s">
        <v>72</v>
      </c>
      <c r="Q140" s="13">
        <v>45001</v>
      </c>
      <c r="R140" s="13">
        <v>45023</v>
      </c>
      <c r="S140">
        <v>2023</v>
      </c>
      <c r="T140" s="12" t="s">
        <v>376</v>
      </c>
      <c r="U140">
        <v>602</v>
      </c>
      <c r="V140">
        <v>17.028500000000001</v>
      </c>
      <c r="W140">
        <v>243.31</v>
      </c>
      <c r="X140">
        <v>0</v>
      </c>
      <c r="Y140">
        <v>0</v>
      </c>
      <c r="Z140">
        <v>10251.16</v>
      </c>
      <c r="AA140">
        <v>10494.47</v>
      </c>
      <c r="AB140" s="12" t="s">
        <v>382</v>
      </c>
      <c r="AC140">
        <v>16.160900000000002</v>
      </c>
      <c r="AD140">
        <v>1</v>
      </c>
      <c r="AE140">
        <v>1</v>
      </c>
      <c r="AF140">
        <v>522.29999999999995</v>
      </c>
      <c r="AG140">
        <v>9728.86</v>
      </c>
      <c r="AH140">
        <v>602</v>
      </c>
      <c r="AI140">
        <v>594</v>
      </c>
      <c r="AJ140">
        <v>8</v>
      </c>
      <c r="AK140">
        <v>1</v>
      </c>
      <c r="AL140">
        <v>1</v>
      </c>
      <c r="AM140">
        <v>98.67</v>
      </c>
      <c r="AN140">
        <v>17.6675</v>
      </c>
      <c r="AO140">
        <v>136.22999999999999</v>
      </c>
      <c r="AP140" s="13">
        <v>45023</v>
      </c>
      <c r="AQ140">
        <v>0</v>
      </c>
      <c r="AR140">
        <v>1</v>
      </c>
    </row>
    <row r="141" spans="1:44" x14ac:dyDescent="0.35">
      <c r="A141" s="12" t="s">
        <v>508</v>
      </c>
      <c r="B141" s="12" t="s">
        <v>509</v>
      </c>
      <c r="C141" s="12" t="s">
        <v>510</v>
      </c>
      <c r="D141" s="12" t="s">
        <v>78</v>
      </c>
      <c r="E141" s="12" t="s">
        <v>142</v>
      </c>
      <c r="F141">
        <v>3</v>
      </c>
      <c r="G141">
        <v>11</v>
      </c>
      <c r="H141">
        <v>0</v>
      </c>
      <c r="I141" s="12" t="s">
        <v>176</v>
      </c>
      <c r="J141" s="12" t="s">
        <v>177</v>
      </c>
      <c r="K141" s="12" t="s">
        <v>125</v>
      </c>
      <c r="L141" s="12" t="s">
        <v>134</v>
      </c>
      <c r="M141">
        <v>1.75</v>
      </c>
      <c r="N141" s="12" t="s">
        <v>70</v>
      </c>
      <c r="O141" s="12" t="s">
        <v>71</v>
      </c>
      <c r="P141" s="12" t="s">
        <v>72</v>
      </c>
      <c r="Q141" s="13">
        <v>45001</v>
      </c>
      <c r="R141" s="13">
        <v>45042</v>
      </c>
      <c r="S141">
        <v>2023</v>
      </c>
      <c r="T141" s="12" t="s">
        <v>376</v>
      </c>
      <c r="U141">
        <v>130</v>
      </c>
      <c r="V141">
        <v>148.1114</v>
      </c>
      <c r="W141">
        <v>411.19</v>
      </c>
      <c r="X141">
        <v>0</v>
      </c>
      <c r="Y141">
        <v>0</v>
      </c>
      <c r="Z141">
        <v>19254.48</v>
      </c>
      <c r="AA141">
        <v>19665.669999999998</v>
      </c>
      <c r="AB141" s="12" t="s">
        <v>511</v>
      </c>
      <c r="AC141">
        <v>144.51259999999999</v>
      </c>
      <c r="AD141">
        <v>1</v>
      </c>
      <c r="AE141">
        <v>1</v>
      </c>
      <c r="AF141">
        <v>467.84</v>
      </c>
      <c r="AG141">
        <v>18786.64</v>
      </c>
      <c r="AH141">
        <v>130</v>
      </c>
      <c r="AI141">
        <v>129</v>
      </c>
      <c r="AJ141">
        <v>1</v>
      </c>
      <c r="AK141">
        <v>1</v>
      </c>
      <c r="AL141">
        <v>1</v>
      </c>
      <c r="AM141">
        <v>99.23</v>
      </c>
      <c r="AN141">
        <v>152.44710000000001</v>
      </c>
      <c r="AO141">
        <v>148.11000000000001</v>
      </c>
      <c r="AP141" s="13">
        <v>45039</v>
      </c>
      <c r="AQ141">
        <v>-3</v>
      </c>
      <c r="AR141">
        <v>1</v>
      </c>
    </row>
    <row r="142" spans="1:44" x14ac:dyDescent="0.35">
      <c r="A142" s="12" t="s">
        <v>512</v>
      </c>
      <c r="B142" s="12" t="s">
        <v>513</v>
      </c>
      <c r="C142" s="12" t="s">
        <v>514</v>
      </c>
      <c r="D142" s="12" t="s">
        <v>269</v>
      </c>
      <c r="E142" s="12" t="s">
        <v>65</v>
      </c>
      <c r="F142">
        <v>1</v>
      </c>
      <c r="G142">
        <v>2</v>
      </c>
      <c r="H142">
        <v>1</v>
      </c>
      <c r="I142" s="12" t="s">
        <v>515</v>
      </c>
      <c r="J142" s="12" t="s">
        <v>516</v>
      </c>
      <c r="K142" s="12" t="s">
        <v>68</v>
      </c>
      <c r="L142" s="12" t="s">
        <v>134</v>
      </c>
      <c r="M142">
        <v>3.69</v>
      </c>
      <c r="N142" s="12" t="s">
        <v>135</v>
      </c>
      <c r="O142" s="12" t="s">
        <v>136</v>
      </c>
      <c r="P142" s="12" t="s">
        <v>137</v>
      </c>
      <c r="Q142" s="13">
        <v>45002</v>
      </c>
      <c r="R142" s="13">
        <v>45035</v>
      </c>
      <c r="S142">
        <v>2023</v>
      </c>
      <c r="T142" s="12" t="s">
        <v>376</v>
      </c>
      <c r="U142">
        <v>110</v>
      </c>
      <c r="V142">
        <v>229.3486</v>
      </c>
      <c r="W142">
        <v>242.16</v>
      </c>
      <c r="X142">
        <v>0</v>
      </c>
      <c r="Y142">
        <v>0</v>
      </c>
      <c r="Z142">
        <v>25228.35</v>
      </c>
      <c r="AA142">
        <v>25470.51</v>
      </c>
      <c r="AB142" s="12" t="s">
        <v>517</v>
      </c>
      <c r="AC142">
        <v>229.3486</v>
      </c>
      <c r="AD142">
        <v>1</v>
      </c>
      <c r="AE142">
        <v>1</v>
      </c>
      <c r="AF142">
        <v>0</v>
      </c>
      <c r="AG142">
        <v>25228.35</v>
      </c>
      <c r="AH142">
        <v>110</v>
      </c>
      <c r="AI142">
        <v>109</v>
      </c>
      <c r="AJ142">
        <v>1</v>
      </c>
      <c r="AK142">
        <v>1</v>
      </c>
      <c r="AL142">
        <v>1</v>
      </c>
      <c r="AM142">
        <v>99.09</v>
      </c>
      <c r="AN142">
        <v>233.67439999999999</v>
      </c>
      <c r="AO142">
        <v>229.35</v>
      </c>
      <c r="AP142" s="13">
        <v>45033</v>
      </c>
      <c r="AQ142">
        <v>-2</v>
      </c>
      <c r="AR142">
        <v>1</v>
      </c>
    </row>
    <row r="143" spans="1:44" x14ac:dyDescent="0.35">
      <c r="A143" s="12" t="s">
        <v>518</v>
      </c>
      <c r="B143" s="12" t="s">
        <v>519</v>
      </c>
      <c r="C143" s="12" t="s">
        <v>520</v>
      </c>
      <c r="D143" s="12" t="s">
        <v>78</v>
      </c>
      <c r="E143" s="12" t="s">
        <v>65</v>
      </c>
      <c r="F143">
        <v>2</v>
      </c>
      <c r="G143">
        <v>3</v>
      </c>
      <c r="H143">
        <v>0</v>
      </c>
      <c r="I143" s="12" t="s">
        <v>66</v>
      </c>
      <c r="J143" s="12" t="s">
        <v>67</v>
      </c>
      <c r="K143" s="12" t="s">
        <v>68</v>
      </c>
      <c r="L143" s="12" t="s">
        <v>69</v>
      </c>
      <c r="M143">
        <v>17.66</v>
      </c>
      <c r="N143" s="12" t="s">
        <v>97</v>
      </c>
      <c r="O143" s="12" t="s">
        <v>98</v>
      </c>
      <c r="P143" s="12" t="s">
        <v>72</v>
      </c>
      <c r="Q143" s="13">
        <v>45002</v>
      </c>
      <c r="R143" s="13">
        <v>45025</v>
      </c>
      <c r="S143">
        <v>2023</v>
      </c>
      <c r="T143" s="12" t="s">
        <v>376</v>
      </c>
      <c r="U143">
        <v>79</v>
      </c>
      <c r="V143">
        <v>31.7883</v>
      </c>
      <c r="W143">
        <v>46.36</v>
      </c>
      <c r="X143">
        <v>0</v>
      </c>
      <c r="Y143">
        <v>0</v>
      </c>
      <c r="Z143">
        <v>2511.2800000000002</v>
      </c>
      <c r="AA143">
        <v>2557.64</v>
      </c>
      <c r="AB143" s="12" t="s">
        <v>521</v>
      </c>
      <c r="AC143">
        <v>31.7883</v>
      </c>
      <c r="AD143">
        <v>1</v>
      </c>
      <c r="AE143">
        <v>1</v>
      </c>
      <c r="AF143">
        <v>0</v>
      </c>
      <c r="AG143">
        <v>2511.2800000000002</v>
      </c>
      <c r="AH143">
        <v>79</v>
      </c>
      <c r="AI143">
        <v>78</v>
      </c>
      <c r="AJ143">
        <v>1</v>
      </c>
      <c r="AK143">
        <v>1</v>
      </c>
      <c r="AL143">
        <v>1</v>
      </c>
      <c r="AM143">
        <v>98.73</v>
      </c>
      <c r="AN143">
        <v>32.790199999999999</v>
      </c>
      <c r="AO143">
        <v>31.79</v>
      </c>
      <c r="AP143" s="13">
        <v>45022</v>
      </c>
      <c r="AQ143">
        <v>-3</v>
      </c>
      <c r="AR143">
        <v>1</v>
      </c>
    </row>
    <row r="144" spans="1:44" x14ac:dyDescent="0.35">
      <c r="A144" s="12" t="s">
        <v>522</v>
      </c>
      <c r="B144" s="12" t="s">
        <v>128</v>
      </c>
      <c r="C144" s="12" t="s">
        <v>129</v>
      </c>
      <c r="D144" s="12" t="s">
        <v>130</v>
      </c>
      <c r="E144" s="12" t="s">
        <v>65</v>
      </c>
      <c r="F144">
        <v>3</v>
      </c>
      <c r="G144">
        <v>5</v>
      </c>
      <c r="H144">
        <v>0</v>
      </c>
      <c r="I144" s="12" t="s">
        <v>66</v>
      </c>
      <c r="J144" s="12" t="s">
        <v>67</v>
      </c>
      <c r="K144" s="12" t="s">
        <v>68</v>
      </c>
      <c r="L144" s="12" t="s">
        <v>69</v>
      </c>
      <c r="M144">
        <v>17.66</v>
      </c>
      <c r="N144" s="12" t="s">
        <v>159</v>
      </c>
      <c r="O144" s="12" t="s">
        <v>160</v>
      </c>
      <c r="P144" s="12" t="s">
        <v>137</v>
      </c>
      <c r="Q144" s="13">
        <v>45002</v>
      </c>
      <c r="R144" s="13">
        <v>45024</v>
      </c>
      <c r="S144">
        <v>2023</v>
      </c>
      <c r="T144" s="12" t="s">
        <v>376</v>
      </c>
      <c r="U144">
        <v>19</v>
      </c>
      <c r="V144">
        <v>529.51580000000001</v>
      </c>
      <c r="W144">
        <v>215.68</v>
      </c>
      <c r="X144">
        <v>0</v>
      </c>
      <c r="Y144">
        <v>0</v>
      </c>
      <c r="Z144">
        <v>10060.799999999999</v>
      </c>
      <c r="AA144">
        <v>10276.48</v>
      </c>
      <c r="AB144" s="12" t="s">
        <v>201</v>
      </c>
      <c r="AD144">
        <v>0</v>
      </c>
      <c r="AE144">
        <v>0</v>
      </c>
      <c r="AH144">
        <v>19</v>
      </c>
      <c r="AI144">
        <v>19</v>
      </c>
      <c r="AJ144">
        <v>0</v>
      </c>
      <c r="AK144">
        <v>1</v>
      </c>
      <c r="AL144">
        <v>1</v>
      </c>
      <c r="AM144">
        <v>100</v>
      </c>
      <c r="AN144">
        <v>540.86739999999998</v>
      </c>
      <c r="AO144">
        <v>0</v>
      </c>
      <c r="AP144" s="13">
        <v>45024</v>
      </c>
      <c r="AQ144">
        <v>0</v>
      </c>
      <c r="AR144">
        <v>1</v>
      </c>
    </row>
    <row r="145" spans="1:44" x14ac:dyDescent="0.35">
      <c r="A145" s="12" t="s">
        <v>523</v>
      </c>
      <c r="B145" s="12" t="s">
        <v>362</v>
      </c>
      <c r="C145" s="12" t="s">
        <v>363</v>
      </c>
      <c r="D145" s="12" t="s">
        <v>78</v>
      </c>
      <c r="E145" s="12" t="s">
        <v>104</v>
      </c>
      <c r="F145">
        <v>3</v>
      </c>
      <c r="G145">
        <v>0</v>
      </c>
      <c r="H145">
        <v>0</v>
      </c>
      <c r="I145" s="12" t="s">
        <v>157</v>
      </c>
      <c r="J145" s="12" t="s">
        <v>158</v>
      </c>
      <c r="K145" s="12" t="s">
        <v>117</v>
      </c>
      <c r="L145" s="12" t="s">
        <v>96</v>
      </c>
      <c r="M145">
        <v>4.72</v>
      </c>
      <c r="N145" s="12" t="s">
        <v>97</v>
      </c>
      <c r="O145" s="12" t="s">
        <v>98</v>
      </c>
      <c r="P145" s="12" t="s">
        <v>72</v>
      </c>
      <c r="Q145" s="13">
        <v>45002</v>
      </c>
      <c r="R145" s="13">
        <v>45029</v>
      </c>
      <c r="S145">
        <v>2023</v>
      </c>
      <c r="T145" s="12" t="s">
        <v>376</v>
      </c>
      <c r="U145">
        <v>266</v>
      </c>
      <c r="V145">
        <v>59.379800000000003</v>
      </c>
      <c r="W145">
        <v>370.01</v>
      </c>
      <c r="X145">
        <v>0</v>
      </c>
      <c r="Y145">
        <v>0</v>
      </c>
      <c r="Z145">
        <v>15795.03</v>
      </c>
      <c r="AA145">
        <v>16165.04</v>
      </c>
      <c r="AB145" s="12" t="s">
        <v>364</v>
      </c>
      <c r="AC145">
        <v>63.140599999999999</v>
      </c>
      <c r="AD145">
        <v>1</v>
      </c>
      <c r="AE145">
        <v>1</v>
      </c>
      <c r="AF145">
        <v>-1000.37</v>
      </c>
      <c r="AG145">
        <v>16795.400000000001</v>
      </c>
      <c r="AH145">
        <v>266</v>
      </c>
      <c r="AI145">
        <v>262</v>
      </c>
      <c r="AJ145">
        <v>4</v>
      </c>
      <c r="AK145">
        <v>1</v>
      </c>
      <c r="AL145">
        <v>1</v>
      </c>
      <c r="AM145">
        <v>98.5</v>
      </c>
      <c r="AN145">
        <v>61.698599999999999</v>
      </c>
      <c r="AO145">
        <v>237.52</v>
      </c>
      <c r="AP145" s="13">
        <v>45028</v>
      </c>
      <c r="AQ145">
        <v>-1</v>
      </c>
      <c r="AR145">
        <v>1</v>
      </c>
    </row>
    <row r="146" spans="1:44" x14ac:dyDescent="0.35">
      <c r="A146" s="12" t="s">
        <v>524</v>
      </c>
      <c r="B146" s="12" t="s">
        <v>458</v>
      </c>
      <c r="C146" s="12" t="s">
        <v>459</v>
      </c>
      <c r="D146" s="12" t="s">
        <v>64</v>
      </c>
      <c r="E146" s="12" t="s">
        <v>104</v>
      </c>
      <c r="F146">
        <v>2</v>
      </c>
      <c r="G146">
        <v>0</v>
      </c>
      <c r="H146">
        <v>0</v>
      </c>
      <c r="I146" s="12" t="s">
        <v>143</v>
      </c>
      <c r="J146" s="12" t="s">
        <v>144</v>
      </c>
      <c r="K146" s="12" t="s">
        <v>133</v>
      </c>
      <c r="L146" s="12" t="s">
        <v>96</v>
      </c>
      <c r="M146">
        <v>5.43</v>
      </c>
      <c r="N146" s="12" t="s">
        <v>97</v>
      </c>
      <c r="O146" s="12" t="s">
        <v>98</v>
      </c>
      <c r="P146" s="12" t="s">
        <v>72</v>
      </c>
      <c r="Q146" s="13">
        <v>45002</v>
      </c>
      <c r="R146" s="13">
        <v>45026</v>
      </c>
      <c r="S146">
        <v>2023</v>
      </c>
      <c r="T146" s="12" t="s">
        <v>376</v>
      </c>
      <c r="U146">
        <v>727</v>
      </c>
      <c r="V146">
        <v>24.782299999999999</v>
      </c>
      <c r="W146">
        <v>424.67</v>
      </c>
      <c r="X146">
        <v>0</v>
      </c>
      <c r="Y146">
        <v>0</v>
      </c>
      <c r="Z146">
        <v>18016.73</v>
      </c>
      <c r="AA146">
        <v>18441.400000000001</v>
      </c>
      <c r="AB146" s="12" t="s">
        <v>480</v>
      </c>
      <c r="AC146">
        <v>24.782299999999999</v>
      </c>
      <c r="AD146">
        <v>1</v>
      </c>
      <c r="AE146">
        <v>1</v>
      </c>
      <c r="AF146">
        <v>0</v>
      </c>
      <c r="AG146">
        <v>18016.73</v>
      </c>
      <c r="AH146">
        <v>727</v>
      </c>
      <c r="AI146">
        <v>717</v>
      </c>
      <c r="AJ146">
        <v>10</v>
      </c>
      <c r="AK146">
        <v>1</v>
      </c>
      <c r="AL146">
        <v>1</v>
      </c>
      <c r="AM146">
        <v>98.62</v>
      </c>
      <c r="AN146">
        <v>25.720199999999998</v>
      </c>
      <c r="AO146">
        <v>247.82</v>
      </c>
      <c r="AP146" s="13">
        <v>45028</v>
      </c>
      <c r="AQ146">
        <v>2</v>
      </c>
      <c r="AR146">
        <v>0</v>
      </c>
    </row>
    <row r="147" spans="1:44" x14ac:dyDescent="0.35">
      <c r="A147" s="12" t="s">
        <v>525</v>
      </c>
      <c r="B147" s="12" t="s">
        <v>447</v>
      </c>
      <c r="C147" s="12" t="s">
        <v>448</v>
      </c>
      <c r="D147" s="12" t="s">
        <v>269</v>
      </c>
      <c r="E147" s="12" t="s">
        <v>65</v>
      </c>
      <c r="F147">
        <v>2</v>
      </c>
      <c r="G147">
        <v>2</v>
      </c>
      <c r="H147">
        <v>0</v>
      </c>
      <c r="I147" s="12" t="s">
        <v>94</v>
      </c>
      <c r="J147" s="12" t="s">
        <v>95</v>
      </c>
      <c r="K147" s="12" t="s">
        <v>81</v>
      </c>
      <c r="L147" s="12" t="s">
        <v>96</v>
      </c>
      <c r="M147">
        <v>4.8099999999999996</v>
      </c>
      <c r="N147" s="12" t="s">
        <v>135</v>
      </c>
      <c r="O147" s="12" t="s">
        <v>136</v>
      </c>
      <c r="P147" s="12" t="s">
        <v>137</v>
      </c>
      <c r="Q147" s="13">
        <v>45002</v>
      </c>
      <c r="R147" s="13">
        <v>45035</v>
      </c>
      <c r="S147">
        <v>2023</v>
      </c>
      <c r="T147" s="12" t="s">
        <v>376</v>
      </c>
      <c r="U147">
        <v>105</v>
      </c>
      <c r="V147">
        <v>388.54930000000002</v>
      </c>
      <c r="W147">
        <v>670.42</v>
      </c>
      <c r="X147">
        <v>0</v>
      </c>
      <c r="Y147">
        <v>0</v>
      </c>
      <c r="Z147">
        <v>40797.68</v>
      </c>
      <c r="AA147">
        <v>41468.1</v>
      </c>
      <c r="AB147" s="12" t="s">
        <v>449</v>
      </c>
      <c r="AC147">
        <v>388.54930000000002</v>
      </c>
      <c r="AD147">
        <v>1</v>
      </c>
      <c r="AE147">
        <v>1</v>
      </c>
      <c r="AF147">
        <v>0</v>
      </c>
      <c r="AG147">
        <v>40797.68</v>
      </c>
      <c r="AH147">
        <v>105</v>
      </c>
      <c r="AI147">
        <v>104</v>
      </c>
      <c r="AJ147">
        <v>1</v>
      </c>
      <c r="AK147">
        <v>1</v>
      </c>
      <c r="AL147">
        <v>1</v>
      </c>
      <c r="AM147">
        <v>99.05</v>
      </c>
      <c r="AN147">
        <v>398.73169999999999</v>
      </c>
      <c r="AO147">
        <v>388.55</v>
      </c>
      <c r="AP147" s="13">
        <v>45033</v>
      </c>
      <c r="AQ147">
        <v>-2</v>
      </c>
      <c r="AR147">
        <v>1</v>
      </c>
    </row>
    <row r="148" spans="1:44" x14ac:dyDescent="0.35">
      <c r="A148" s="12" t="s">
        <v>526</v>
      </c>
      <c r="B148" s="12" t="s">
        <v>509</v>
      </c>
      <c r="C148" s="12" t="s">
        <v>510</v>
      </c>
      <c r="D148" s="12" t="s">
        <v>78</v>
      </c>
      <c r="E148" s="12" t="s">
        <v>142</v>
      </c>
      <c r="F148">
        <v>3</v>
      </c>
      <c r="G148">
        <v>11</v>
      </c>
      <c r="H148">
        <v>0</v>
      </c>
      <c r="I148" s="12" t="s">
        <v>251</v>
      </c>
      <c r="J148" s="12" t="s">
        <v>252</v>
      </c>
      <c r="K148" s="12" t="s">
        <v>133</v>
      </c>
      <c r="L148" s="12" t="s">
        <v>69</v>
      </c>
      <c r="M148">
        <v>34.49</v>
      </c>
      <c r="N148" s="12" t="s">
        <v>97</v>
      </c>
      <c r="O148" s="12" t="s">
        <v>98</v>
      </c>
      <c r="P148" s="12" t="s">
        <v>72</v>
      </c>
      <c r="Q148" s="13">
        <v>45002</v>
      </c>
      <c r="R148" s="13">
        <v>45040</v>
      </c>
      <c r="S148">
        <v>2023</v>
      </c>
      <c r="T148" s="12" t="s">
        <v>376</v>
      </c>
      <c r="U148">
        <v>94</v>
      </c>
      <c r="V148">
        <v>165.7534</v>
      </c>
      <c r="W148">
        <v>199.46</v>
      </c>
      <c r="X148">
        <v>0</v>
      </c>
      <c r="Y148">
        <v>0</v>
      </c>
      <c r="Z148">
        <v>15580.82</v>
      </c>
      <c r="AA148">
        <v>15780.28</v>
      </c>
      <c r="AB148" s="12" t="s">
        <v>201</v>
      </c>
      <c r="AD148">
        <v>0</v>
      </c>
      <c r="AE148">
        <v>0</v>
      </c>
      <c r="AH148">
        <v>94</v>
      </c>
      <c r="AI148">
        <v>92</v>
      </c>
      <c r="AJ148">
        <v>2</v>
      </c>
      <c r="AK148">
        <v>1</v>
      </c>
      <c r="AL148">
        <v>1</v>
      </c>
      <c r="AM148">
        <v>97.87</v>
      </c>
      <c r="AN148">
        <v>171.5248</v>
      </c>
      <c r="AO148">
        <v>331.51</v>
      </c>
      <c r="AP148" s="13">
        <v>45042</v>
      </c>
      <c r="AQ148">
        <v>2</v>
      </c>
      <c r="AR148">
        <v>0</v>
      </c>
    </row>
    <row r="149" spans="1:44" x14ac:dyDescent="0.35">
      <c r="A149" s="12" t="s">
        <v>527</v>
      </c>
      <c r="B149" s="12" t="s">
        <v>350</v>
      </c>
      <c r="C149" s="12" t="s">
        <v>351</v>
      </c>
      <c r="D149" s="12" t="s">
        <v>64</v>
      </c>
      <c r="E149" s="12" t="s">
        <v>104</v>
      </c>
      <c r="F149">
        <v>3</v>
      </c>
      <c r="G149">
        <v>1</v>
      </c>
      <c r="H149">
        <v>0</v>
      </c>
      <c r="I149" s="12" t="s">
        <v>223</v>
      </c>
      <c r="J149" s="12" t="s">
        <v>224</v>
      </c>
      <c r="K149" s="12" t="s">
        <v>81</v>
      </c>
      <c r="L149" s="12" t="s">
        <v>134</v>
      </c>
      <c r="M149">
        <v>2.4900000000000002</v>
      </c>
      <c r="N149" s="12" t="s">
        <v>97</v>
      </c>
      <c r="O149" s="12" t="s">
        <v>98</v>
      </c>
      <c r="P149" s="12" t="s">
        <v>72</v>
      </c>
      <c r="Q149" s="13">
        <v>45006</v>
      </c>
      <c r="R149" s="13">
        <v>45025</v>
      </c>
      <c r="S149">
        <v>2023</v>
      </c>
      <c r="T149" s="12" t="s">
        <v>376</v>
      </c>
      <c r="U149">
        <v>493</v>
      </c>
      <c r="V149">
        <v>9.5920000000000005</v>
      </c>
      <c r="W149">
        <v>41.45</v>
      </c>
      <c r="X149">
        <v>0</v>
      </c>
      <c r="Y149">
        <v>0</v>
      </c>
      <c r="Z149">
        <v>4728.8599999999997</v>
      </c>
      <c r="AA149">
        <v>4770.3100000000004</v>
      </c>
      <c r="AB149" s="12" t="s">
        <v>201</v>
      </c>
      <c r="AD149">
        <v>0</v>
      </c>
      <c r="AE149">
        <v>0</v>
      </c>
      <c r="AH149">
        <v>493</v>
      </c>
      <c r="AI149">
        <v>485</v>
      </c>
      <c r="AJ149">
        <v>8</v>
      </c>
      <c r="AK149">
        <v>1</v>
      </c>
      <c r="AL149">
        <v>1</v>
      </c>
      <c r="AM149">
        <v>98.38</v>
      </c>
      <c r="AN149">
        <v>9.8356999999999992</v>
      </c>
      <c r="AO149">
        <v>76.739999999999995</v>
      </c>
      <c r="AP149" s="13">
        <v>45027</v>
      </c>
      <c r="AQ149">
        <v>2</v>
      </c>
      <c r="AR149">
        <v>0</v>
      </c>
    </row>
    <row r="150" spans="1:44" x14ac:dyDescent="0.35">
      <c r="A150" s="12" t="s">
        <v>528</v>
      </c>
      <c r="B150" s="12" t="s">
        <v>62</v>
      </c>
      <c r="C150" s="12" t="s">
        <v>63</v>
      </c>
      <c r="D150" s="12" t="s">
        <v>64</v>
      </c>
      <c r="E150" s="12" t="s">
        <v>65</v>
      </c>
      <c r="F150">
        <v>1</v>
      </c>
      <c r="G150">
        <v>2</v>
      </c>
      <c r="H150">
        <v>1</v>
      </c>
      <c r="I150" s="12" t="s">
        <v>66</v>
      </c>
      <c r="J150" s="12" t="s">
        <v>67</v>
      </c>
      <c r="K150" s="12" t="s">
        <v>68</v>
      </c>
      <c r="L150" s="12" t="s">
        <v>69</v>
      </c>
      <c r="M150">
        <v>17.66</v>
      </c>
      <c r="N150" s="12" t="s">
        <v>97</v>
      </c>
      <c r="O150" s="12" t="s">
        <v>98</v>
      </c>
      <c r="P150" s="12" t="s">
        <v>72</v>
      </c>
      <c r="Q150" s="13">
        <v>45006</v>
      </c>
      <c r="R150" s="13">
        <v>45030</v>
      </c>
      <c r="S150">
        <v>2023</v>
      </c>
      <c r="T150" s="12" t="s">
        <v>376</v>
      </c>
      <c r="U150">
        <v>252</v>
      </c>
      <c r="V150">
        <v>24.687000000000001</v>
      </c>
      <c r="W150">
        <v>61.26</v>
      </c>
      <c r="X150">
        <v>0</v>
      </c>
      <c r="Y150">
        <v>0</v>
      </c>
      <c r="Z150">
        <v>6221.12</v>
      </c>
      <c r="AA150">
        <v>6282.38</v>
      </c>
      <c r="AB150" s="12" t="s">
        <v>74</v>
      </c>
      <c r="AC150">
        <v>24.687000000000001</v>
      </c>
      <c r="AD150">
        <v>1</v>
      </c>
      <c r="AE150">
        <v>1</v>
      </c>
      <c r="AF150">
        <v>0</v>
      </c>
      <c r="AG150">
        <v>6221.12</v>
      </c>
      <c r="AH150">
        <v>252</v>
      </c>
      <c r="AI150">
        <v>250</v>
      </c>
      <c r="AJ150">
        <v>2</v>
      </c>
      <c r="AK150">
        <v>1</v>
      </c>
      <c r="AL150">
        <v>1</v>
      </c>
      <c r="AM150">
        <v>99.21</v>
      </c>
      <c r="AN150">
        <v>25.1295</v>
      </c>
      <c r="AO150">
        <v>49.37</v>
      </c>
      <c r="AP150" s="13">
        <v>45027</v>
      </c>
      <c r="AQ150">
        <v>-3</v>
      </c>
      <c r="AR150">
        <v>1</v>
      </c>
    </row>
    <row r="151" spans="1:44" x14ac:dyDescent="0.35">
      <c r="A151" s="12" t="s">
        <v>529</v>
      </c>
      <c r="B151" s="12" t="s">
        <v>167</v>
      </c>
      <c r="C151" s="12" t="s">
        <v>168</v>
      </c>
      <c r="D151" s="12" t="s">
        <v>64</v>
      </c>
      <c r="E151" s="12" t="s">
        <v>104</v>
      </c>
      <c r="F151">
        <v>3</v>
      </c>
      <c r="G151">
        <v>1</v>
      </c>
      <c r="H151">
        <v>0</v>
      </c>
      <c r="I151" s="12" t="s">
        <v>243</v>
      </c>
      <c r="J151" s="12" t="s">
        <v>244</v>
      </c>
      <c r="K151" s="12" t="s">
        <v>81</v>
      </c>
      <c r="L151" s="12" t="s">
        <v>82</v>
      </c>
      <c r="M151">
        <v>9.2200000000000006</v>
      </c>
      <c r="N151" s="12" t="s">
        <v>97</v>
      </c>
      <c r="O151" s="12" t="s">
        <v>98</v>
      </c>
      <c r="P151" s="12" t="s">
        <v>72</v>
      </c>
      <c r="Q151" s="13">
        <v>45006</v>
      </c>
      <c r="R151" s="13">
        <v>45030</v>
      </c>
      <c r="S151">
        <v>2023</v>
      </c>
      <c r="T151" s="12" t="s">
        <v>376</v>
      </c>
      <c r="U151">
        <v>733</v>
      </c>
      <c r="V151">
        <v>28.7181</v>
      </c>
      <c r="W151">
        <v>370.41</v>
      </c>
      <c r="X151">
        <v>0</v>
      </c>
      <c r="Y151">
        <v>0</v>
      </c>
      <c r="Z151">
        <v>21050.37</v>
      </c>
      <c r="AA151">
        <v>21420.78</v>
      </c>
      <c r="AB151" s="12" t="s">
        <v>530</v>
      </c>
      <c r="AC151">
        <v>28.7181</v>
      </c>
      <c r="AD151">
        <v>1</v>
      </c>
      <c r="AE151">
        <v>1</v>
      </c>
      <c r="AF151">
        <v>0</v>
      </c>
      <c r="AG151">
        <v>21050.37</v>
      </c>
      <c r="AH151">
        <v>733</v>
      </c>
      <c r="AI151">
        <v>726</v>
      </c>
      <c r="AJ151">
        <v>7</v>
      </c>
      <c r="AK151">
        <v>1</v>
      </c>
      <c r="AL151">
        <v>1</v>
      </c>
      <c r="AM151">
        <v>99.05</v>
      </c>
      <c r="AN151">
        <v>29.505199999999999</v>
      </c>
      <c r="AO151">
        <v>201.03</v>
      </c>
      <c r="AP151" s="13">
        <v>45039</v>
      </c>
      <c r="AQ151">
        <v>9</v>
      </c>
      <c r="AR151">
        <v>0</v>
      </c>
    </row>
    <row r="152" spans="1:44" x14ac:dyDescent="0.35">
      <c r="A152" s="12" t="s">
        <v>531</v>
      </c>
      <c r="B152" s="12" t="s">
        <v>532</v>
      </c>
      <c r="C152" s="12" t="s">
        <v>533</v>
      </c>
      <c r="D152" s="12" t="s">
        <v>114</v>
      </c>
      <c r="E152" s="12" t="s">
        <v>65</v>
      </c>
      <c r="F152">
        <v>2</v>
      </c>
      <c r="G152">
        <v>3</v>
      </c>
      <c r="H152">
        <v>0</v>
      </c>
      <c r="I152" s="12" t="s">
        <v>105</v>
      </c>
      <c r="J152" s="12" t="s">
        <v>106</v>
      </c>
      <c r="K152" s="12" t="s">
        <v>81</v>
      </c>
      <c r="L152" s="12" t="s">
        <v>96</v>
      </c>
      <c r="M152">
        <v>5.01</v>
      </c>
      <c r="N152" s="12" t="s">
        <v>97</v>
      </c>
      <c r="O152" s="12" t="s">
        <v>98</v>
      </c>
      <c r="P152" s="12" t="s">
        <v>72</v>
      </c>
      <c r="Q152" s="13">
        <v>45006</v>
      </c>
      <c r="R152" s="13">
        <v>45034</v>
      </c>
      <c r="S152">
        <v>2023</v>
      </c>
      <c r="T152" s="12" t="s">
        <v>376</v>
      </c>
      <c r="U152">
        <v>65</v>
      </c>
      <c r="V152">
        <v>250.00970000000001</v>
      </c>
      <c r="W152">
        <v>163.38999999999999</v>
      </c>
      <c r="X152">
        <v>525.47</v>
      </c>
      <c r="Y152">
        <v>1</v>
      </c>
      <c r="Z152">
        <v>16250.63</v>
      </c>
      <c r="AA152">
        <v>16939.490000000002</v>
      </c>
      <c r="AB152" s="12" t="s">
        <v>534</v>
      </c>
      <c r="AC152">
        <v>250.00970000000001</v>
      </c>
      <c r="AD152">
        <v>1</v>
      </c>
      <c r="AE152">
        <v>1</v>
      </c>
      <c r="AF152">
        <v>0</v>
      </c>
      <c r="AG152">
        <v>16250.63</v>
      </c>
      <c r="AH152">
        <v>65</v>
      </c>
      <c r="AI152">
        <v>64</v>
      </c>
      <c r="AJ152">
        <v>1</v>
      </c>
      <c r="AK152">
        <v>1</v>
      </c>
      <c r="AL152">
        <v>1</v>
      </c>
      <c r="AM152">
        <v>98.46</v>
      </c>
      <c r="AN152">
        <v>264.67950000000002</v>
      </c>
      <c r="AO152">
        <v>250.01</v>
      </c>
      <c r="AP152" s="13">
        <v>45034</v>
      </c>
      <c r="AQ152">
        <v>0</v>
      </c>
      <c r="AR152">
        <v>1</v>
      </c>
    </row>
    <row r="153" spans="1:44" x14ac:dyDescent="0.35">
      <c r="A153" s="12" t="s">
        <v>535</v>
      </c>
      <c r="B153" s="12" t="s">
        <v>509</v>
      </c>
      <c r="C153" s="12" t="s">
        <v>510</v>
      </c>
      <c r="D153" s="12" t="s">
        <v>78</v>
      </c>
      <c r="E153" s="12" t="s">
        <v>142</v>
      </c>
      <c r="F153">
        <v>3</v>
      </c>
      <c r="G153">
        <v>11</v>
      </c>
      <c r="H153">
        <v>0</v>
      </c>
      <c r="I153" s="12" t="s">
        <v>176</v>
      </c>
      <c r="J153" s="12" t="s">
        <v>177</v>
      </c>
      <c r="K153" s="12" t="s">
        <v>125</v>
      </c>
      <c r="L153" s="12" t="s">
        <v>134</v>
      </c>
      <c r="M153">
        <v>1.75</v>
      </c>
      <c r="N153" s="12" t="s">
        <v>97</v>
      </c>
      <c r="O153" s="12" t="s">
        <v>98</v>
      </c>
      <c r="P153" s="12" t="s">
        <v>72</v>
      </c>
      <c r="Q153" s="13">
        <v>45006</v>
      </c>
      <c r="R153" s="13">
        <v>45055</v>
      </c>
      <c r="S153">
        <v>2023</v>
      </c>
      <c r="T153" s="12" t="s">
        <v>376</v>
      </c>
      <c r="U153">
        <v>251</v>
      </c>
      <c r="V153">
        <v>144.51259999999999</v>
      </c>
      <c r="W153">
        <v>511.8</v>
      </c>
      <c r="X153">
        <v>0</v>
      </c>
      <c r="Y153">
        <v>0</v>
      </c>
      <c r="Z153">
        <v>36272.660000000003</v>
      </c>
      <c r="AA153">
        <v>36784.46</v>
      </c>
      <c r="AB153" s="12" t="s">
        <v>511</v>
      </c>
      <c r="AC153">
        <v>144.51259999999999</v>
      </c>
      <c r="AD153">
        <v>1</v>
      </c>
      <c r="AE153">
        <v>1</v>
      </c>
      <c r="AF153">
        <v>0</v>
      </c>
      <c r="AG153">
        <v>36272.660000000003</v>
      </c>
      <c r="AH153">
        <v>251</v>
      </c>
      <c r="AI153">
        <v>245</v>
      </c>
      <c r="AJ153">
        <v>6</v>
      </c>
      <c r="AK153">
        <v>1</v>
      </c>
      <c r="AL153">
        <v>1</v>
      </c>
      <c r="AM153">
        <v>97.61</v>
      </c>
      <c r="AN153">
        <v>150.14070000000001</v>
      </c>
      <c r="AO153">
        <v>867.08</v>
      </c>
      <c r="AP153" s="13">
        <v>45052</v>
      </c>
      <c r="AQ153">
        <v>-3</v>
      </c>
      <c r="AR153">
        <v>1</v>
      </c>
    </row>
    <row r="154" spans="1:44" x14ac:dyDescent="0.35">
      <c r="A154" s="12" t="s">
        <v>536</v>
      </c>
      <c r="B154" s="12" t="s">
        <v>537</v>
      </c>
      <c r="C154" s="12" t="s">
        <v>538</v>
      </c>
      <c r="D154" s="12" t="s">
        <v>103</v>
      </c>
      <c r="E154" s="12" t="s">
        <v>104</v>
      </c>
      <c r="F154">
        <v>3</v>
      </c>
      <c r="G154">
        <v>0</v>
      </c>
      <c r="H154">
        <v>0</v>
      </c>
      <c r="I154" s="12" t="s">
        <v>380</v>
      </c>
      <c r="J154" s="12" t="s">
        <v>381</v>
      </c>
      <c r="K154" s="12" t="s">
        <v>89</v>
      </c>
      <c r="L154" s="12" t="s">
        <v>96</v>
      </c>
      <c r="M154">
        <v>10.210000000000001</v>
      </c>
      <c r="N154" s="12" t="s">
        <v>107</v>
      </c>
      <c r="O154" s="12" t="s">
        <v>108</v>
      </c>
      <c r="P154" s="12" t="s">
        <v>109</v>
      </c>
      <c r="Q154" s="13">
        <v>45007</v>
      </c>
      <c r="R154" s="13">
        <v>45021</v>
      </c>
      <c r="S154">
        <v>2023</v>
      </c>
      <c r="T154" s="12" t="s">
        <v>376</v>
      </c>
      <c r="U154">
        <v>32</v>
      </c>
      <c r="V154">
        <v>228.6361</v>
      </c>
      <c r="W154">
        <v>147.57</v>
      </c>
      <c r="X154">
        <v>0</v>
      </c>
      <c r="Y154">
        <v>0</v>
      </c>
      <c r="Z154">
        <v>7316.36</v>
      </c>
      <c r="AA154">
        <v>7463.93</v>
      </c>
      <c r="AB154" s="12" t="s">
        <v>539</v>
      </c>
      <c r="AC154">
        <v>242.5684</v>
      </c>
      <c r="AD154">
        <v>1</v>
      </c>
      <c r="AE154">
        <v>1</v>
      </c>
      <c r="AF154">
        <v>-445.83</v>
      </c>
      <c r="AG154">
        <v>7762.19</v>
      </c>
      <c r="AH154">
        <v>32</v>
      </c>
      <c r="AI154">
        <v>32</v>
      </c>
      <c r="AJ154">
        <v>0</v>
      </c>
      <c r="AK154">
        <v>1</v>
      </c>
      <c r="AL154">
        <v>1</v>
      </c>
      <c r="AM154">
        <v>100</v>
      </c>
      <c r="AN154">
        <v>233.24770000000001</v>
      </c>
      <c r="AO154">
        <v>0</v>
      </c>
      <c r="AP154" s="13">
        <v>45020</v>
      </c>
      <c r="AQ154">
        <v>-1</v>
      </c>
      <c r="AR154">
        <v>1</v>
      </c>
    </row>
    <row r="155" spans="1:44" x14ac:dyDescent="0.35">
      <c r="A155" s="12" t="s">
        <v>540</v>
      </c>
      <c r="B155" s="12" t="s">
        <v>416</v>
      </c>
      <c r="C155" s="12" t="s">
        <v>417</v>
      </c>
      <c r="D155" s="12" t="s">
        <v>78</v>
      </c>
      <c r="E155" s="12" t="s">
        <v>65</v>
      </c>
      <c r="F155">
        <v>3</v>
      </c>
      <c r="G155">
        <v>5</v>
      </c>
      <c r="H155">
        <v>0</v>
      </c>
      <c r="I155" s="12" t="s">
        <v>169</v>
      </c>
      <c r="J155" s="12" t="s">
        <v>170</v>
      </c>
      <c r="K155" s="12" t="s">
        <v>89</v>
      </c>
      <c r="L155" s="12" t="s">
        <v>134</v>
      </c>
      <c r="M155">
        <v>1.37</v>
      </c>
      <c r="N155" s="12" t="s">
        <v>97</v>
      </c>
      <c r="O155" s="12" t="s">
        <v>98</v>
      </c>
      <c r="P155" s="12" t="s">
        <v>72</v>
      </c>
      <c r="Q155" s="13">
        <v>45007</v>
      </c>
      <c r="R155" s="13">
        <v>45034</v>
      </c>
      <c r="S155">
        <v>2023</v>
      </c>
      <c r="T155" s="12" t="s">
        <v>376</v>
      </c>
      <c r="U155">
        <v>127</v>
      </c>
      <c r="V155">
        <v>144.15710000000001</v>
      </c>
      <c r="W155">
        <v>151.63999999999999</v>
      </c>
      <c r="X155">
        <v>0</v>
      </c>
      <c r="Y155">
        <v>0</v>
      </c>
      <c r="Z155">
        <v>18307.95</v>
      </c>
      <c r="AA155">
        <v>18459.59</v>
      </c>
      <c r="AB155" s="12" t="s">
        <v>418</v>
      </c>
      <c r="AC155">
        <v>144.15710000000001</v>
      </c>
      <c r="AD155">
        <v>1</v>
      </c>
      <c r="AE155">
        <v>1</v>
      </c>
      <c r="AF155">
        <v>0</v>
      </c>
      <c r="AG155">
        <v>18307.95</v>
      </c>
      <c r="AH155">
        <v>127</v>
      </c>
      <c r="AI155">
        <v>124</v>
      </c>
      <c r="AJ155">
        <v>3</v>
      </c>
      <c r="AK155">
        <v>1</v>
      </c>
      <c r="AL155">
        <v>1</v>
      </c>
      <c r="AM155">
        <v>97.64</v>
      </c>
      <c r="AN155">
        <v>148.86770000000001</v>
      </c>
      <c r="AO155">
        <v>432.47</v>
      </c>
      <c r="AP155" s="13">
        <v>45030</v>
      </c>
      <c r="AQ155">
        <v>-4</v>
      </c>
      <c r="AR155">
        <v>1</v>
      </c>
    </row>
    <row r="156" spans="1:44" x14ac:dyDescent="0.35">
      <c r="A156" s="12" t="s">
        <v>541</v>
      </c>
      <c r="B156" s="12" t="s">
        <v>284</v>
      </c>
      <c r="C156" s="12" t="s">
        <v>285</v>
      </c>
      <c r="D156" s="12" t="s">
        <v>269</v>
      </c>
      <c r="E156" s="12" t="s">
        <v>104</v>
      </c>
      <c r="F156">
        <v>3</v>
      </c>
      <c r="G156">
        <v>1</v>
      </c>
      <c r="H156">
        <v>0</v>
      </c>
      <c r="I156" s="12" t="s">
        <v>199</v>
      </c>
      <c r="J156" s="12" t="s">
        <v>200</v>
      </c>
      <c r="K156" s="12" t="s">
        <v>68</v>
      </c>
      <c r="L156" s="12" t="s">
        <v>96</v>
      </c>
      <c r="M156">
        <v>9.4700000000000006</v>
      </c>
      <c r="N156" s="12" t="s">
        <v>135</v>
      </c>
      <c r="O156" s="12" t="s">
        <v>136</v>
      </c>
      <c r="P156" s="12" t="s">
        <v>137</v>
      </c>
      <c r="Q156" s="13">
        <v>45007</v>
      </c>
      <c r="R156" s="13">
        <v>45035</v>
      </c>
      <c r="S156">
        <v>2023</v>
      </c>
      <c r="T156" s="12" t="s">
        <v>376</v>
      </c>
      <c r="U156">
        <v>138</v>
      </c>
      <c r="V156">
        <v>397.87</v>
      </c>
      <c r="W156">
        <v>561.04</v>
      </c>
      <c r="X156">
        <v>0</v>
      </c>
      <c r="Y156">
        <v>0</v>
      </c>
      <c r="Z156">
        <v>54906.06</v>
      </c>
      <c r="AA156">
        <v>55467.1</v>
      </c>
      <c r="AB156" s="12" t="s">
        <v>286</v>
      </c>
      <c r="AC156">
        <v>397.87</v>
      </c>
      <c r="AD156">
        <v>1</v>
      </c>
      <c r="AE156">
        <v>1</v>
      </c>
      <c r="AF156">
        <v>0</v>
      </c>
      <c r="AG156">
        <v>54906.06</v>
      </c>
      <c r="AH156">
        <v>138</v>
      </c>
      <c r="AI156">
        <v>137</v>
      </c>
      <c r="AJ156">
        <v>1</v>
      </c>
      <c r="AK156">
        <v>1</v>
      </c>
      <c r="AL156">
        <v>1</v>
      </c>
      <c r="AM156">
        <v>99.28</v>
      </c>
      <c r="AN156">
        <v>404.86930000000001</v>
      </c>
      <c r="AO156">
        <v>397.87</v>
      </c>
      <c r="AP156" s="13">
        <v>45035</v>
      </c>
      <c r="AQ156">
        <v>0</v>
      </c>
      <c r="AR156">
        <v>1</v>
      </c>
    </row>
    <row r="157" spans="1:44" x14ac:dyDescent="0.35">
      <c r="A157" s="12" t="s">
        <v>542</v>
      </c>
      <c r="B157" s="12" t="s">
        <v>238</v>
      </c>
      <c r="C157" s="12" t="s">
        <v>239</v>
      </c>
      <c r="D157" s="12" t="s">
        <v>122</v>
      </c>
      <c r="E157" s="12" t="s">
        <v>65</v>
      </c>
      <c r="F157">
        <v>3</v>
      </c>
      <c r="G157">
        <v>4</v>
      </c>
      <c r="H157">
        <v>0</v>
      </c>
      <c r="I157" s="12" t="s">
        <v>79</v>
      </c>
      <c r="J157" s="12" t="s">
        <v>80</v>
      </c>
      <c r="K157" s="12" t="s">
        <v>81</v>
      </c>
      <c r="L157" s="12" t="s">
        <v>82</v>
      </c>
      <c r="M157">
        <v>12.07</v>
      </c>
      <c r="N157" s="12" t="s">
        <v>70</v>
      </c>
      <c r="O157" s="12" t="s">
        <v>71</v>
      </c>
      <c r="P157" s="12" t="s">
        <v>72</v>
      </c>
      <c r="Q157" s="13">
        <v>45007</v>
      </c>
      <c r="R157" s="13">
        <v>45034</v>
      </c>
      <c r="S157">
        <v>2023</v>
      </c>
      <c r="T157" s="12" t="s">
        <v>376</v>
      </c>
      <c r="U157">
        <v>823</v>
      </c>
      <c r="V157">
        <v>37.143599999999999</v>
      </c>
      <c r="W157">
        <v>749.21</v>
      </c>
      <c r="X157">
        <v>0</v>
      </c>
      <c r="Y157">
        <v>0</v>
      </c>
      <c r="Z157">
        <v>30569.18</v>
      </c>
      <c r="AA157">
        <v>31318.39</v>
      </c>
      <c r="AB157" s="12" t="s">
        <v>297</v>
      </c>
      <c r="AC157">
        <v>37.143599999999999</v>
      </c>
      <c r="AD157">
        <v>1</v>
      </c>
      <c r="AE157">
        <v>1</v>
      </c>
      <c r="AF157">
        <v>0</v>
      </c>
      <c r="AG157">
        <v>30569.18</v>
      </c>
      <c r="AH157">
        <v>823</v>
      </c>
      <c r="AI157">
        <v>815</v>
      </c>
      <c r="AJ157">
        <v>8</v>
      </c>
      <c r="AK157">
        <v>1</v>
      </c>
      <c r="AL157">
        <v>1</v>
      </c>
      <c r="AM157">
        <v>99.03</v>
      </c>
      <c r="AN157">
        <v>38.427500000000002</v>
      </c>
      <c r="AO157">
        <v>297.14999999999998</v>
      </c>
      <c r="AP157" s="13">
        <v>45033</v>
      </c>
      <c r="AQ157">
        <v>-1</v>
      </c>
      <c r="AR157">
        <v>1</v>
      </c>
    </row>
    <row r="158" spans="1:44" x14ac:dyDescent="0.35">
      <c r="A158" s="12" t="s">
        <v>543</v>
      </c>
      <c r="B158" s="12" t="s">
        <v>544</v>
      </c>
      <c r="C158" s="12" t="s">
        <v>545</v>
      </c>
      <c r="D158" s="12" t="s">
        <v>175</v>
      </c>
      <c r="E158" s="12" t="s">
        <v>65</v>
      </c>
      <c r="F158">
        <v>3</v>
      </c>
      <c r="G158">
        <v>5</v>
      </c>
      <c r="H158">
        <v>0</v>
      </c>
      <c r="I158" s="12" t="s">
        <v>66</v>
      </c>
      <c r="J158" s="12" t="s">
        <v>67</v>
      </c>
      <c r="K158" s="12" t="s">
        <v>68</v>
      </c>
      <c r="L158" s="12" t="s">
        <v>69</v>
      </c>
      <c r="M158">
        <v>17.66</v>
      </c>
      <c r="N158" s="12" t="s">
        <v>107</v>
      </c>
      <c r="O158" s="12" t="s">
        <v>108</v>
      </c>
      <c r="P158" s="12" t="s">
        <v>109</v>
      </c>
      <c r="Q158" s="13">
        <v>45008</v>
      </c>
      <c r="R158" s="13">
        <v>45037</v>
      </c>
      <c r="S158">
        <v>2023</v>
      </c>
      <c r="T158" s="12" t="s">
        <v>376</v>
      </c>
      <c r="U158">
        <v>76</v>
      </c>
      <c r="V158">
        <v>155.36940000000001</v>
      </c>
      <c r="W158">
        <v>228.99</v>
      </c>
      <c r="X158">
        <v>0</v>
      </c>
      <c r="Y158">
        <v>0</v>
      </c>
      <c r="Z158">
        <v>11808.07</v>
      </c>
      <c r="AA158">
        <v>12037.06</v>
      </c>
      <c r="AB158" s="12" t="s">
        <v>546</v>
      </c>
      <c r="AC158">
        <v>155.36940000000001</v>
      </c>
      <c r="AD158">
        <v>1</v>
      </c>
      <c r="AE158">
        <v>1</v>
      </c>
      <c r="AF158">
        <v>0</v>
      </c>
      <c r="AG158">
        <v>11808.07</v>
      </c>
      <c r="AH158">
        <v>76</v>
      </c>
      <c r="AI158">
        <v>76</v>
      </c>
      <c r="AJ158">
        <v>0</v>
      </c>
      <c r="AK158">
        <v>1</v>
      </c>
      <c r="AL158">
        <v>1</v>
      </c>
      <c r="AM158">
        <v>100</v>
      </c>
      <c r="AN158">
        <v>158.38239999999999</v>
      </c>
      <c r="AO158">
        <v>0</v>
      </c>
      <c r="AP158" s="13">
        <v>45037</v>
      </c>
      <c r="AQ158">
        <v>0</v>
      </c>
      <c r="AR158">
        <v>1</v>
      </c>
    </row>
    <row r="159" spans="1:44" x14ac:dyDescent="0.35">
      <c r="A159" s="12" t="s">
        <v>547</v>
      </c>
      <c r="B159" s="12" t="s">
        <v>548</v>
      </c>
      <c r="C159" s="12" t="s">
        <v>549</v>
      </c>
      <c r="D159" s="12" t="s">
        <v>78</v>
      </c>
      <c r="E159" s="12" t="s">
        <v>104</v>
      </c>
      <c r="F159">
        <v>3</v>
      </c>
      <c r="G159">
        <v>1</v>
      </c>
      <c r="H159">
        <v>0</v>
      </c>
      <c r="I159" s="12" t="s">
        <v>223</v>
      </c>
      <c r="J159" s="12" t="s">
        <v>224</v>
      </c>
      <c r="K159" s="12" t="s">
        <v>81</v>
      </c>
      <c r="L159" s="12" t="s">
        <v>134</v>
      </c>
      <c r="M159">
        <v>2.4900000000000002</v>
      </c>
      <c r="N159" s="12" t="s">
        <v>97</v>
      </c>
      <c r="O159" s="12" t="s">
        <v>98</v>
      </c>
      <c r="P159" s="12" t="s">
        <v>72</v>
      </c>
      <c r="Q159" s="13">
        <v>45008</v>
      </c>
      <c r="R159" s="13">
        <v>45022</v>
      </c>
      <c r="S159">
        <v>2023</v>
      </c>
      <c r="T159" s="12" t="s">
        <v>376</v>
      </c>
      <c r="U159">
        <v>72</v>
      </c>
      <c r="V159">
        <v>62.471600000000002</v>
      </c>
      <c r="W159">
        <v>67.180000000000007</v>
      </c>
      <c r="X159">
        <v>0</v>
      </c>
      <c r="Y159">
        <v>0</v>
      </c>
      <c r="Z159">
        <v>4497.96</v>
      </c>
      <c r="AA159">
        <v>4565.1400000000003</v>
      </c>
      <c r="AB159" s="12" t="s">
        <v>550</v>
      </c>
      <c r="AC159">
        <v>62.471600000000002</v>
      </c>
      <c r="AD159">
        <v>1</v>
      </c>
      <c r="AE159">
        <v>1</v>
      </c>
      <c r="AF159">
        <v>0</v>
      </c>
      <c r="AG159">
        <v>4497.96</v>
      </c>
      <c r="AH159">
        <v>72</v>
      </c>
      <c r="AI159">
        <v>71</v>
      </c>
      <c r="AJ159">
        <v>1</v>
      </c>
      <c r="AK159">
        <v>1</v>
      </c>
      <c r="AL159">
        <v>1</v>
      </c>
      <c r="AM159">
        <v>98.61</v>
      </c>
      <c r="AN159">
        <v>64.297700000000006</v>
      </c>
      <c r="AO159">
        <v>62.47</v>
      </c>
      <c r="AP159" s="13">
        <v>45020</v>
      </c>
      <c r="AQ159">
        <v>-2</v>
      </c>
      <c r="AR159">
        <v>1</v>
      </c>
    </row>
    <row r="160" spans="1:44" x14ac:dyDescent="0.35">
      <c r="A160" s="12" t="s">
        <v>551</v>
      </c>
      <c r="B160" s="12" t="s">
        <v>302</v>
      </c>
      <c r="C160" s="12" t="s">
        <v>303</v>
      </c>
      <c r="D160" s="12" t="s">
        <v>78</v>
      </c>
      <c r="E160" s="12" t="s">
        <v>65</v>
      </c>
      <c r="F160">
        <v>2</v>
      </c>
      <c r="G160">
        <v>3</v>
      </c>
      <c r="H160">
        <v>0</v>
      </c>
      <c r="I160" s="12" t="s">
        <v>243</v>
      </c>
      <c r="J160" s="12" t="s">
        <v>244</v>
      </c>
      <c r="K160" s="12" t="s">
        <v>81</v>
      </c>
      <c r="L160" s="12" t="s">
        <v>82</v>
      </c>
      <c r="M160">
        <v>9.2200000000000006</v>
      </c>
      <c r="N160" s="12" t="s">
        <v>97</v>
      </c>
      <c r="O160" s="12" t="s">
        <v>98</v>
      </c>
      <c r="P160" s="12" t="s">
        <v>72</v>
      </c>
      <c r="Q160" s="13">
        <v>45008</v>
      </c>
      <c r="R160" s="13">
        <v>45044</v>
      </c>
      <c r="S160">
        <v>2023</v>
      </c>
      <c r="T160" s="12" t="s">
        <v>376</v>
      </c>
      <c r="U160">
        <v>262</v>
      </c>
      <c r="V160">
        <v>144.41300000000001</v>
      </c>
      <c r="W160">
        <v>363.89</v>
      </c>
      <c r="X160">
        <v>0</v>
      </c>
      <c r="Y160">
        <v>0</v>
      </c>
      <c r="Z160">
        <v>37836.21</v>
      </c>
      <c r="AA160">
        <v>38200.1</v>
      </c>
      <c r="AB160" s="12" t="s">
        <v>304</v>
      </c>
      <c r="AC160">
        <v>144.41300000000001</v>
      </c>
      <c r="AD160">
        <v>1</v>
      </c>
      <c r="AE160">
        <v>1</v>
      </c>
      <c r="AF160">
        <v>0</v>
      </c>
      <c r="AG160">
        <v>37836.21</v>
      </c>
      <c r="AH160">
        <v>262</v>
      </c>
      <c r="AI160">
        <v>256</v>
      </c>
      <c r="AJ160">
        <v>6</v>
      </c>
      <c r="AK160">
        <v>1</v>
      </c>
      <c r="AL160">
        <v>1</v>
      </c>
      <c r="AM160">
        <v>97.71</v>
      </c>
      <c r="AN160">
        <v>149.2191</v>
      </c>
      <c r="AO160">
        <v>866.48</v>
      </c>
      <c r="AP160" s="13">
        <v>45044</v>
      </c>
      <c r="AQ160">
        <v>0</v>
      </c>
      <c r="AR160">
        <v>1</v>
      </c>
    </row>
    <row r="161" spans="1:44" x14ac:dyDescent="0.35">
      <c r="A161" s="12" t="s">
        <v>552</v>
      </c>
      <c r="B161" s="12" t="s">
        <v>437</v>
      </c>
      <c r="C161" s="12" t="s">
        <v>438</v>
      </c>
      <c r="D161" s="12" t="s">
        <v>269</v>
      </c>
      <c r="E161" s="12" t="s">
        <v>65</v>
      </c>
      <c r="F161">
        <v>2</v>
      </c>
      <c r="G161">
        <v>4</v>
      </c>
      <c r="H161">
        <v>0</v>
      </c>
      <c r="I161" s="12" t="s">
        <v>115</v>
      </c>
      <c r="J161" s="12" t="s">
        <v>116</v>
      </c>
      <c r="K161" s="12" t="s">
        <v>117</v>
      </c>
      <c r="L161" s="12" t="s">
        <v>82</v>
      </c>
      <c r="M161">
        <v>17.170000000000002</v>
      </c>
      <c r="N161" s="12" t="s">
        <v>135</v>
      </c>
      <c r="O161" s="12" t="s">
        <v>136</v>
      </c>
      <c r="P161" s="12" t="s">
        <v>137</v>
      </c>
      <c r="Q161" s="13">
        <v>45009</v>
      </c>
      <c r="R161" s="13">
        <v>45036</v>
      </c>
      <c r="S161">
        <v>2023</v>
      </c>
      <c r="T161" s="12" t="s">
        <v>376</v>
      </c>
      <c r="U161">
        <v>62</v>
      </c>
      <c r="V161">
        <v>494.12580000000003</v>
      </c>
      <c r="W161">
        <v>637.17999999999995</v>
      </c>
      <c r="X161">
        <v>0</v>
      </c>
      <c r="Y161">
        <v>0</v>
      </c>
      <c r="Z161">
        <v>30635.8</v>
      </c>
      <c r="AA161">
        <v>31272.98</v>
      </c>
      <c r="AB161" s="12" t="s">
        <v>439</v>
      </c>
      <c r="AC161">
        <v>473.21539999999999</v>
      </c>
      <c r="AD161">
        <v>1</v>
      </c>
      <c r="AE161">
        <v>1</v>
      </c>
      <c r="AF161">
        <v>1296.44</v>
      </c>
      <c r="AG161">
        <v>29339.35</v>
      </c>
      <c r="AH161">
        <v>62</v>
      </c>
      <c r="AI161">
        <v>61</v>
      </c>
      <c r="AJ161">
        <v>1</v>
      </c>
      <c r="AK161">
        <v>1</v>
      </c>
      <c r="AL161">
        <v>1</v>
      </c>
      <c r="AM161">
        <v>98.39</v>
      </c>
      <c r="AN161">
        <v>512.67179999999996</v>
      </c>
      <c r="AO161">
        <v>494.13</v>
      </c>
      <c r="AP161" s="13">
        <v>45034</v>
      </c>
      <c r="AQ161">
        <v>-2</v>
      </c>
      <c r="AR161">
        <v>1</v>
      </c>
    </row>
    <row r="162" spans="1:44" x14ac:dyDescent="0.35">
      <c r="A162" s="12" t="s">
        <v>553</v>
      </c>
      <c r="B162" s="12" t="s">
        <v>465</v>
      </c>
      <c r="C162" s="12" t="s">
        <v>466</v>
      </c>
      <c r="D162" s="12" t="s">
        <v>78</v>
      </c>
      <c r="E162" s="12" t="s">
        <v>142</v>
      </c>
      <c r="F162">
        <v>3</v>
      </c>
      <c r="G162">
        <v>11</v>
      </c>
      <c r="H162">
        <v>0</v>
      </c>
      <c r="I162" s="12" t="s">
        <v>195</v>
      </c>
      <c r="J162" s="12" t="s">
        <v>196</v>
      </c>
      <c r="K162" s="12" t="s">
        <v>117</v>
      </c>
      <c r="L162" s="12" t="s">
        <v>134</v>
      </c>
      <c r="M162">
        <v>4.7699999999999996</v>
      </c>
      <c r="N162" s="12" t="s">
        <v>70</v>
      </c>
      <c r="O162" s="12" t="s">
        <v>71</v>
      </c>
      <c r="P162" s="12" t="s">
        <v>72</v>
      </c>
      <c r="Q162" s="13">
        <v>45009</v>
      </c>
      <c r="R162" s="13">
        <v>45060</v>
      </c>
      <c r="S162">
        <v>2023</v>
      </c>
      <c r="T162" s="12" t="s">
        <v>376</v>
      </c>
      <c r="U162">
        <v>274</v>
      </c>
      <c r="V162">
        <v>110.11579999999999</v>
      </c>
      <c r="W162">
        <v>403.2</v>
      </c>
      <c r="X162">
        <v>0</v>
      </c>
      <c r="Y162">
        <v>0</v>
      </c>
      <c r="Z162">
        <v>30171.73</v>
      </c>
      <c r="AA162">
        <v>30574.93</v>
      </c>
      <c r="AB162" s="12" t="s">
        <v>467</v>
      </c>
      <c r="AC162">
        <v>110.11579999999999</v>
      </c>
      <c r="AD162">
        <v>1</v>
      </c>
      <c r="AE162">
        <v>1</v>
      </c>
      <c r="AF162">
        <v>0</v>
      </c>
      <c r="AG162">
        <v>30171.73</v>
      </c>
      <c r="AH162">
        <v>274</v>
      </c>
      <c r="AI162">
        <v>273</v>
      </c>
      <c r="AJ162">
        <v>1</v>
      </c>
      <c r="AK162">
        <v>1</v>
      </c>
      <c r="AL162">
        <v>1</v>
      </c>
      <c r="AM162">
        <v>99.64</v>
      </c>
      <c r="AN162">
        <v>111.9961</v>
      </c>
      <c r="AO162">
        <v>110.12</v>
      </c>
      <c r="AP162" s="13">
        <v>45064</v>
      </c>
      <c r="AQ162">
        <v>4</v>
      </c>
      <c r="AR162">
        <v>0</v>
      </c>
    </row>
    <row r="163" spans="1:44" x14ac:dyDescent="0.35">
      <c r="A163" s="12" t="s">
        <v>554</v>
      </c>
      <c r="B163" s="12" t="s">
        <v>555</v>
      </c>
      <c r="C163" s="12" t="s">
        <v>556</v>
      </c>
      <c r="D163" s="12" t="s">
        <v>114</v>
      </c>
      <c r="E163" s="12" t="s">
        <v>142</v>
      </c>
      <c r="F163">
        <v>1</v>
      </c>
      <c r="G163">
        <v>6</v>
      </c>
      <c r="H163">
        <v>1</v>
      </c>
      <c r="I163" s="12" t="s">
        <v>151</v>
      </c>
      <c r="J163" s="12" t="s">
        <v>152</v>
      </c>
      <c r="K163" s="12" t="s">
        <v>125</v>
      </c>
      <c r="L163" s="12" t="s">
        <v>69</v>
      </c>
      <c r="M163">
        <v>36.479999999999997</v>
      </c>
      <c r="N163" s="12" t="s">
        <v>97</v>
      </c>
      <c r="O163" s="12" t="s">
        <v>98</v>
      </c>
      <c r="P163" s="12" t="s">
        <v>72</v>
      </c>
      <c r="Q163" s="13">
        <v>45009</v>
      </c>
      <c r="R163" s="13">
        <v>45047</v>
      </c>
      <c r="S163">
        <v>2023</v>
      </c>
      <c r="T163" s="12" t="s">
        <v>376</v>
      </c>
      <c r="U163">
        <v>37</v>
      </c>
      <c r="V163">
        <v>290.42770000000002</v>
      </c>
      <c r="W163">
        <v>122.49</v>
      </c>
      <c r="X163">
        <v>0</v>
      </c>
      <c r="Y163">
        <v>0</v>
      </c>
      <c r="Z163">
        <v>10745.82</v>
      </c>
      <c r="AA163">
        <v>10868.31</v>
      </c>
      <c r="AB163" s="12" t="s">
        <v>557</v>
      </c>
      <c r="AC163">
        <v>290.42770000000002</v>
      </c>
      <c r="AD163">
        <v>1</v>
      </c>
      <c r="AE163">
        <v>1</v>
      </c>
      <c r="AF163">
        <v>0</v>
      </c>
      <c r="AG163">
        <v>10745.82</v>
      </c>
      <c r="AH163">
        <v>37</v>
      </c>
      <c r="AI163">
        <v>36</v>
      </c>
      <c r="AJ163">
        <v>1</v>
      </c>
      <c r="AK163">
        <v>1</v>
      </c>
      <c r="AL163">
        <v>1</v>
      </c>
      <c r="AM163">
        <v>97.3</v>
      </c>
      <c r="AN163">
        <v>301.89760000000001</v>
      </c>
      <c r="AO163">
        <v>290.43</v>
      </c>
      <c r="AP163" s="13">
        <v>45047</v>
      </c>
      <c r="AQ163">
        <v>0</v>
      </c>
      <c r="AR163">
        <v>1</v>
      </c>
    </row>
    <row r="164" spans="1:44" x14ac:dyDescent="0.35">
      <c r="A164" s="12" t="s">
        <v>558</v>
      </c>
      <c r="B164" s="12" t="s">
        <v>454</v>
      </c>
      <c r="C164" s="12" t="s">
        <v>455</v>
      </c>
      <c r="D164" s="12" t="s">
        <v>122</v>
      </c>
      <c r="E164" s="12" t="s">
        <v>104</v>
      </c>
      <c r="F164">
        <v>3</v>
      </c>
      <c r="G164">
        <v>1</v>
      </c>
      <c r="H164">
        <v>0</v>
      </c>
      <c r="I164" s="12" t="s">
        <v>87</v>
      </c>
      <c r="J164" s="12" t="s">
        <v>88</v>
      </c>
      <c r="K164" s="12" t="s">
        <v>89</v>
      </c>
      <c r="L164" s="12" t="s">
        <v>69</v>
      </c>
      <c r="M164">
        <v>14.93</v>
      </c>
      <c r="N164" s="12" t="s">
        <v>70</v>
      </c>
      <c r="O164" s="12" t="s">
        <v>71</v>
      </c>
      <c r="P164" s="12" t="s">
        <v>72</v>
      </c>
      <c r="Q164" s="13">
        <v>45009</v>
      </c>
      <c r="R164" s="13">
        <v>45035</v>
      </c>
      <c r="S164">
        <v>2023</v>
      </c>
      <c r="T164" s="12" t="s">
        <v>376</v>
      </c>
      <c r="U164">
        <v>1636</v>
      </c>
      <c r="V164">
        <v>20.510899999999999</v>
      </c>
      <c r="W164">
        <v>491.54</v>
      </c>
      <c r="X164">
        <v>0</v>
      </c>
      <c r="Y164">
        <v>0</v>
      </c>
      <c r="Z164">
        <v>33555.83</v>
      </c>
      <c r="AA164">
        <v>34047.370000000003</v>
      </c>
      <c r="AB164" s="12" t="s">
        <v>456</v>
      </c>
      <c r="AC164">
        <v>21.796199999999999</v>
      </c>
      <c r="AD164">
        <v>1</v>
      </c>
      <c r="AE164">
        <v>1</v>
      </c>
      <c r="AF164">
        <v>-2102.75</v>
      </c>
      <c r="AG164">
        <v>35658.58</v>
      </c>
      <c r="AH164">
        <v>1636</v>
      </c>
      <c r="AI164">
        <v>1629</v>
      </c>
      <c r="AJ164">
        <v>7</v>
      </c>
      <c r="AK164">
        <v>1</v>
      </c>
      <c r="AL164">
        <v>1</v>
      </c>
      <c r="AM164">
        <v>99.57</v>
      </c>
      <c r="AN164">
        <v>20.9008</v>
      </c>
      <c r="AO164">
        <v>143.58000000000001</v>
      </c>
      <c r="AP164" s="13">
        <v>45033</v>
      </c>
      <c r="AQ164">
        <v>-2</v>
      </c>
      <c r="AR164">
        <v>1</v>
      </c>
    </row>
    <row r="165" spans="1:44" x14ac:dyDescent="0.35">
      <c r="A165" s="12" t="s">
        <v>559</v>
      </c>
      <c r="B165" s="12" t="s">
        <v>447</v>
      </c>
      <c r="C165" s="12" t="s">
        <v>448</v>
      </c>
      <c r="D165" s="12" t="s">
        <v>269</v>
      </c>
      <c r="E165" s="12" t="s">
        <v>65</v>
      </c>
      <c r="F165">
        <v>2</v>
      </c>
      <c r="G165">
        <v>2</v>
      </c>
      <c r="H165">
        <v>0</v>
      </c>
      <c r="I165" s="12" t="s">
        <v>94</v>
      </c>
      <c r="J165" s="12" t="s">
        <v>95</v>
      </c>
      <c r="K165" s="12" t="s">
        <v>81</v>
      </c>
      <c r="L165" s="12" t="s">
        <v>96</v>
      </c>
      <c r="M165">
        <v>4.8099999999999996</v>
      </c>
      <c r="N165" s="12" t="s">
        <v>159</v>
      </c>
      <c r="O165" s="12" t="s">
        <v>160</v>
      </c>
      <c r="P165" s="12" t="s">
        <v>137</v>
      </c>
      <c r="Q165" s="13">
        <v>45009</v>
      </c>
      <c r="R165" s="13">
        <v>45034</v>
      </c>
      <c r="S165">
        <v>2023</v>
      </c>
      <c r="T165" s="12" t="s">
        <v>376</v>
      </c>
      <c r="U165">
        <v>42</v>
      </c>
      <c r="V165">
        <v>388.54930000000002</v>
      </c>
      <c r="W165">
        <v>143.53</v>
      </c>
      <c r="X165">
        <v>0</v>
      </c>
      <c r="Y165">
        <v>0</v>
      </c>
      <c r="Z165">
        <v>16319.07</v>
      </c>
      <c r="AA165">
        <v>16462.599999999999</v>
      </c>
      <c r="AB165" s="12" t="s">
        <v>449</v>
      </c>
      <c r="AC165">
        <v>388.54930000000002</v>
      </c>
      <c r="AD165">
        <v>1</v>
      </c>
      <c r="AE165">
        <v>1</v>
      </c>
      <c r="AF165">
        <v>0</v>
      </c>
      <c r="AG165">
        <v>16319.07</v>
      </c>
      <c r="AH165">
        <v>42</v>
      </c>
      <c r="AI165">
        <v>42</v>
      </c>
      <c r="AJ165">
        <v>0</v>
      </c>
      <c r="AK165">
        <v>1</v>
      </c>
      <c r="AL165">
        <v>1</v>
      </c>
      <c r="AM165">
        <v>100</v>
      </c>
      <c r="AN165">
        <v>391.9667</v>
      </c>
      <c r="AO165">
        <v>0</v>
      </c>
      <c r="AP165" s="13">
        <v>45032</v>
      </c>
      <c r="AQ165">
        <v>-2</v>
      </c>
      <c r="AR165">
        <v>1</v>
      </c>
    </row>
    <row r="166" spans="1:44" x14ac:dyDescent="0.35">
      <c r="A166" s="12" t="s">
        <v>560</v>
      </c>
      <c r="B166" s="12" t="s">
        <v>561</v>
      </c>
      <c r="C166" s="12" t="s">
        <v>562</v>
      </c>
      <c r="D166" s="12" t="s">
        <v>130</v>
      </c>
      <c r="E166" s="12" t="s">
        <v>142</v>
      </c>
      <c r="F166">
        <v>1</v>
      </c>
      <c r="G166">
        <v>9</v>
      </c>
      <c r="H166">
        <v>1</v>
      </c>
      <c r="I166" s="12" t="s">
        <v>223</v>
      </c>
      <c r="J166" s="12" t="s">
        <v>224</v>
      </c>
      <c r="K166" s="12" t="s">
        <v>81</v>
      </c>
      <c r="L166" s="12" t="s">
        <v>134</v>
      </c>
      <c r="M166">
        <v>2.4900000000000002</v>
      </c>
      <c r="N166" s="12" t="s">
        <v>159</v>
      </c>
      <c r="O166" s="12" t="s">
        <v>160</v>
      </c>
      <c r="P166" s="12" t="s">
        <v>137</v>
      </c>
      <c r="Q166" s="13">
        <v>45009</v>
      </c>
      <c r="R166" s="13">
        <v>45048</v>
      </c>
      <c r="S166">
        <v>2023</v>
      </c>
      <c r="T166" s="12" t="s">
        <v>376</v>
      </c>
      <c r="U166">
        <v>41</v>
      </c>
      <c r="V166">
        <v>567.82550000000003</v>
      </c>
      <c r="W166">
        <v>313.26</v>
      </c>
      <c r="X166">
        <v>748.62</v>
      </c>
      <c r="Y166">
        <v>1</v>
      </c>
      <c r="Z166">
        <v>23280.85</v>
      </c>
      <c r="AA166">
        <v>24342.73</v>
      </c>
      <c r="AB166" s="12" t="s">
        <v>563</v>
      </c>
      <c r="AC166">
        <v>603.56020000000001</v>
      </c>
      <c r="AD166">
        <v>1</v>
      </c>
      <c r="AE166">
        <v>1</v>
      </c>
      <c r="AF166">
        <v>-1465.12</v>
      </c>
      <c r="AG166">
        <v>24745.97</v>
      </c>
      <c r="AH166">
        <v>41</v>
      </c>
      <c r="AI166">
        <v>40</v>
      </c>
      <c r="AJ166">
        <v>1</v>
      </c>
      <c r="AK166">
        <v>1</v>
      </c>
      <c r="AL166">
        <v>1</v>
      </c>
      <c r="AM166">
        <v>97.56</v>
      </c>
      <c r="AN166">
        <v>608.56809999999996</v>
      </c>
      <c r="AO166">
        <v>567.83000000000004</v>
      </c>
      <c r="AP166" s="13">
        <v>45048</v>
      </c>
      <c r="AQ166">
        <v>0</v>
      </c>
      <c r="AR166">
        <v>1</v>
      </c>
    </row>
    <row r="167" spans="1:44" x14ac:dyDescent="0.35">
      <c r="A167" s="12" t="s">
        <v>564</v>
      </c>
      <c r="B167" s="12" t="s">
        <v>565</v>
      </c>
      <c r="C167" s="12" t="s">
        <v>566</v>
      </c>
      <c r="D167" s="12" t="s">
        <v>122</v>
      </c>
      <c r="E167" s="12" t="s">
        <v>104</v>
      </c>
      <c r="F167">
        <v>3</v>
      </c>
      <c r="G167">
        <v>1</v>
      </c>
      <c r="H167">
        <v>0</v>
      </c>
      <c r="I167" s="12" t="s">
        <v>87</v>
      </c>
      <c r="J167" s="12" t="s">
        <v>88</v>
      </c>
      <c r="K167" s="12" t="s">
        <v>89</v>
      </c>
      <c r="L167" s="12" t="s">
        <v>69</v>
      </c>
      <c r="M167">
        <v>14.93</v>
      </c>
      <c r="N167" s="12" t="s">
        <v>97</v>
      </c>
      <c r="O167" s="12" t="s">
        <v>98</v>
      </c>
      <c r="P167" s="12" t="s">
        <v>72</v>
      </c>
      <c r="Q167" s="13">
        <v>45012</v>
      </c>
      <c r="R167" s="13">
        <v>45039</v>
      </c>
      <c r="S167">
        <v>2023</v>
      </c>
      <c r="T167" s="12" t="s">
        <v>376</v>
      </c>
      <c r="U167">
        <v>1717</v>
      </c>
      <c r="V167">
        <v>36.2883</v>
      </c>
      <c r="W167">
        <v>431.27</v>
      </c>
      <c r="X167">
        <v>0</v>
      </c>
      <c r="Y167">
        <v>0</v>
      </c>
      <c r="Z167">
        <v>62307.01</v>
      </c>
      <c r="AA167">
        <v>62738.28</v>
      </c>
      <c r="AB167" s="12" t="s">
        <v>567</v>
      </c>
      <c r="AC167">
        <v>36.2883</v>
      </c>
      <c r="AD167">
        <v>1</v>
      </c>
      <c r="AE167">
        <v>1</v>
      </c>
      <c r="AF167">
        <v>0</v>
      </c>
      <c r="AG167">
        <v>62307.01</v>
      </c>
      <c r="AH167">
        <v>1717</v>
      </c>
      <c r="AI167">
        <v>1709</v>
      </c>
      <c r="AJ167">
        <v>8</v>
      </c>
      <c r="AK167">
        <v>1</v>
      </c>
      <c r="AL167">
        <v>1</v>
      </c>
      <c r="AM167">
        <v>99.53</v>
      </c>
      <c r="AN167">
        <v>36.710500000000003</v>
      </c>
      <c r="AO167">
        <v>290.31</v>
      </c>
      <c r="AP167" s="13">
        <v>45037</v>
      </c>
      <c r="AQ167">
        <v>-2</v>
      </c>
      <c r="AR167">
        <v>1</v>
      </c>
    </row>
    <row r="168" spans="1:44" x14ac:dyDescent="0.35">
      <c r="A168" s="12" t="s">
        <v>568</v>
      </c>
      <c r="B168" s="12" t="s">
        <v>569</v>
      </c>
      <c r="C168" s="12" t="s">
        <v>570</v>
      </c>
      <c r="D168" s="12" t="s">
        <v>114</v>
      </c>
      <c r="E168" s="12" t="s">
        <v>142</v>
      </c>
      <c r="F168">
        <v>1</v>
      </c>
      <c r="G168">
        <v>6</v>
      </c>
      <c r="H168">
        <v>1</v>
      </c>
      <c r="I168" s="12" t="s">
        <v>123</v>
      </c>
      <c r="J168" s="12" t="s">
        <v>124</v>
      </c>
      <c r="K168" s="12" t="s">
        <v>125</v>
      </c>
      <c r="L168" s="12" t="s">
        <v>82</v>
      </c>
      <c r="M168">
        <v>6.75</v>
      </c>
      <c r="N168" s="12" t="s">
        <v>97</v>
      </c>
      <c r="O168" s="12" t="s">
        <v>98</v>
      </c>
      <c r="P168" s="12" t="s">
        <v>72</v>
      </c>
      <c r="Q168" s="13">
        <v>45012</v>
      </c>
      <c r="R168" s="13">
        <v>45051</v>
      </c>
      <c r="S168">
        <v>2023</v>
      </c>
      <c r="T168" s="12" t="s">
        <v>376</v>
      </c>
      <c r="U168">
        <v>42</v>
      </c>
      <c r="V168">
        <v>349.9393</v>
      </c>
      <c r="W168">
        <v>377.58</v>
      </c>
      <c r="X168">
        <v>464.23</v>
      </c>
      <c r="Y168">
        <v>1</v>
      </c>
      <c r="Z168">
        <v>14697.45</v>
      </c>
      <c r="AA168">
        <v>15539.26</v>
      </c>
      <c r="AB168" s="12" t="s">
        <v>571</v>
      </c>
      <c r="AC168">
        <v>349.9393</v>
      </c>
      <c r="AD168">
        <v>1</v>
      </c>
      <c r="AE168">
        <v>1</v>
      </c>
      <c r="AF168">
        <v>0</v>
      </c>
      <c r="AG168">
        <v>14697.45</v>
      </c>
      <c r="AH168">
        <v>42</v>
      </c>
      <c r="AI168">
        <v>41</v>
      </c>
      <c r="AJ168">
        <v>1</v>
      </c>
      <c r="AK168">
        <v>1</v>
      </c>
      <c r="AL168">
        <v>1</v>
      </c>
      <c r="AM168">
        <v>97.62</v>
      </c>
      <c r="AN168">
        <v>379.00639999999999</v>
      </c>
      <c r="AO168">
        <v>349.94</v>
      </c>
      <c r="AP168" s="13">
        <v>45056</v>
      </c>
      <c r="AQ168">
        <v>5</v>
      </c>
      <c r="AR168">
        <v>0</v>
      </c>
    </row>
    <row r="169" spans="1:44" x14ac:dyDescent="0.35">
      <c r="A169" s="12" t="s">
        <v>572</v>
      </c>
      <c r="B169" s="12" t="s">
        <v>289</v>
      </c>
      <c r="C169" s="12" t="s">
        <v>290</v>
      </c>
      <c r="D169" s="12" t="s">
        <v>175</v>
      </c>
      <c r="E169" s="12" t="s">
        <v>104</v>
      </c>
      <c r="F169">
        <v>3</v>
      </c>
      <c r="G169">
        <v>1</v>
      </c>
      <c r="H169">
        <v>0</v>
      </c>
      <c r="I169" s="12" t="s">
        <v>157</v>
      </c>
      <c r="J169" s="12" t="s">
        <v>158</v>
      </c>
      <c r="K169" s="12" t="s">
        <v>117</v>
      </c>
      <c r="L169" s="12" t="s">
        <v>96</v>
      </c>
      <c r="M169">
        <v>4.72</v>
      </c>
      <c r="N169" s="12" t="s">
        <v>145</v>
      </c>
      <c r="O169" s="12" t="s">
        <v>146</v>
      </c>
      <c r="P169" s="12" t="s">
        <v>109</v>
      </c>
      <c r="Q169" s="13">
        <v>45012</v>
      </c>
      <c r="R169" s="13">
        <v>45038</v>
      </c>
      <c r="S169">
        <v>2023</v>
      </c>
      <c r="T169" s="12" t="s">
        <v>376</v>
      </c>
      <c r="U169">
        <v>121</v>
      </c>
      <c r="V169">
        <v>194.9136</v>
      </c>
      <c r="W169">
        <v>332.96</v>
      </c>
      <c r="X169">
        <v>0</v>
      </c>
      <c r="Y169">
        <v>0</v>
      </c>
      <c r="Z169">
        <v>23584.55</v>
      </c>
      <c r="AA169">
        <v>23917.51</v>
      </c>
      <c r="AB169" s="12" t="s">
        <v>291</v>
      </c>
      <c r="AC169">
        <v>194.9136</v>
      </c>
      <c r="AD169">
        <v>1</v>
      </c>
      <c r="AE169">
        <v>1</v>
      </c>
      <c r="AF169">
        <v>0</v>
      </c>
      <c r="AG169">
        <v>23584.55</v>
      </c>
      <c r="AH169">
        <v>121</v>
      </c>
      <c r="AI169">
        <v>119</v>
      </c>
      <c r="AJ169">
        <v>2</v>
      </c>
      <c r="AK169">
        <v>1</v>
      </c>
      <c r="AL169">
        <v>1</v>
      </c>
      <c r="AM169">
        <v>98.35</v>
      </c>
      <c r="AN169">
        <v>200.98740000000001</v>
      </c>
      <c r="AO169">
        <v>389.83</v>
      </c>
      <c r="AP169" s="13">
        <v>45038</v>
      </c>
      <c r="AQ169">
        <v>0</v>
      </c>
      <c r="AR169">
        <v>1</v>
      </c>
    </row>
    <row r="170" spans="1:44" x14ac:dyDescent="0.35">
      <c r="A170" s="12" t="s">
        <v>573</v>
      </c>
      <c r="B170" s="12" t="s">
        <v>447</v>
      </c>
      <c r="C170" s="12" t="s">
        <v>448</v>
      </c>
      <c r="D170" s="12" t="s">
        <v>269</v>
      </c>
      <c r="E170" s="12" t="s">
        <v>65</v>
      </c>
      <c r="F170">
        <v>2</v>
      </c>
      <c r="G170">
        <v>2</v>
      </c>
      <c r="H170">
        <v>0</v>
      </c>
      <c r="I170" s="12" t="s">
        <v>94</v>
      </c>
      <c r="J170" s="12" t="s">
        <v>95</v>
      </c>
      <c r="K170" s="12" t="s">
        <v>81</v>
      </c>
      <c r="L170" s="12" t="s">
        <v>96</v>
      </c>
      <c r="M170">
        <v>4.8099999999999996</v>
      </c>
      <c r="N170" s="12" t="s">
        <v>135</v>
      </c>
      <c r="O170" s="12" t="s">
        <v>136</v>
      </c>
      <c r="P170" s="12" t="s">
        <v>137</v>
      </c>
      <c r="Q170" s="13">
        <v>45012</v>
      </c>
      <c r="R170" s="13">
        <v>45033</v>
      </c>
      <c r="S170">
        <v>2023</v>
      </c>
      <c r="T170" s="12" t="s">
        <v>376</v>
      </c>
      <c r="U170">
        <v>14</v>
      </c>
      <c r="V170">
        <v>388.54930000000002</v>
      </c>
      <c r="W170">
        <v>54.78</v>
      </c>
      <c r="X170">
        <v>0</v>
      </c>
      <c r="Y170">
        <v>0</v>
      </c>
      <c r="Z170">
        <v>5439.69</v>
      </c>
      <c r="AA170">
        <v>5494.47</v>
      </c>
      <c r="AB170" s="12" t="s">
        <v>449</v>
      </c>
      <c r="AC170">
        <v>388.54930000000002</v>
      </c>
      <c r="AD170">
        <v>1</v>
      </c>
      <c r="AE170">
        <v>1</v>
      </c>
      <c r="AF170">
        <v>0</v>
      </c>
      <c r="AG170">
        <v>5439.69</v>
      </c>
      <c r="AH170">
        <v>14</v>
      </c>
      <c r="AI170">
        <v>14</v>
      </c>
      <c r="AJ170">
        <v>0</v>
      </c>
      <c r="AK170">
        <v>1</v>
      </c>
      <c r="AL170">
        <v>1</v>
      </c>
      <c r="AM170">
        <v>100</v>
      </c>
      <c r="AN170">
        <v>392.4622</v>
      </c>
      <c r="AO170">
        <v>0</v>
      </c>
      <c r="AP170" s="13">
        <v>45031</v>
      </c>
      <c r="AQ170">
        <v>-2</v>
      </c>
      <c r="AR170">
        <v>1</v>
      </c>
    </row>
    <row r="171" spans="1:44" x14ac:dyDescent="0.35">
      <c r="A171" s="12" t="s">
        <v>574</v>
      </c>
      <c r="B171" s="12" t="s">
        <v>433</v>
      </c>
      <c r="C171" s="12" t="s">
        <v>434</v>
      </c>
      <c r="D171" s="12" t="s">
        <v>78</v>
      </c>
      <c r="E171" s="12" t="s">
        <v>65</v>
      </c>
      <c r="F171">
        <v>2</v>
      </c>
      <c r="G171">
        <v>4</v>
      </c>
      <c r="H171">
        <v>0</v>
      </c>
      <c r="I171" s="12" t="s">
        <v>105</v>
      </c>
      <c r="J171" s="12" t="s">
        <v>106</v>
      </c>
      <c r="K171" s="12" t="s">
        <v>81</v>
      </c>
      <c r="L171" s="12" t="s">
        <v>96</v>
      </c>
      <c r="M171">
        <v>5.01</v>
      </c>
      <c r="N171" s="12" t="s">
        <v>70</v>
      </c>
      <c r="O171" s="12" t="s">
        <v>71</v>
      </c>
      <c r="P171" s="12" t="s">
        <v>72</v>
      </c>
      <c r="Q171" s="13">
        <v>45012</v>
      </c>
      <c r="R171" s="13">
        <v>45034</v>
      </c>
      <c r="S171">
        <v>2023</v>
      </c>
      <c r="T171" s="12" t="s">
        <v>376</v>
      </c>
      <c r="U171">
        <v>63</v>
      </c>
      <c r="V171">
        <v>76.331100000000006</v>
      </c>
      <c r="W171">
        <v>88.19</v>
      </c>
      <c r="X171">
        <v>0</v>
      </c>
      <c r="Y171">
        <v>0</v>
      </c>
      <c r="Z171">
        <v>4808.8599999999997</v>
      </c>
      <c r="AA171">
        <v>4897.05</v>
      </c>
      <c r="AB171" s="12" t="s">
        <v>463</v>
      </c>
      <c r="AC171">
        <v>76.331100000000006</v>
      </c>
      <c r="AD171">
        <v>1</v>
      </c>
      <c r="AE171">
        <v>1</v>
      </c>
      <c r="AF171">
        <v>0</v>
      </c>
      <c r="AG171">
        <v>4808.8599999999997</v>
      </c>
      <c r="AH171">
        <v>63</v>
      </c>
      <c r="AI171">
        <v>63</v>
      </c>
      <c r="AJ171">
        <v>0</v>
      </c>
      <c r="AK171">
        <v>1</v>
      </c>
      <c r="AL171">
        <v>1</v>
      </c>
      <c r="AM171">
        <v>100</v>
      </c>
      <c r="AN171">
        <v>77.730900000000005</v>
      </c>
      <c r="AO171">
        <v>0</v>
      </c>
      <c r="AP171" s="13">
        <v>45031</v>
      </c>
      <c r="AQ171">
        <v>-3</v>
      </c>
      <c r="AR171">
        <v>1</v>
      </c>
    </row>
    <row r="172" spans="1:44" x14ac:dyDescent="0.35">
      <c r="A172" s="12" t="s">
        <v>575</v>
      </c>
      <c r="B172" s="12" t="s">
        <v>513</v>
      </c>
      <c r="C172" s="12" t="s">
        <v>514</v>
      </c>
      <c r="D172" s="12" t="s">
        <v>269</v>
      </c>
      <c r="E172" s="12" t="s">
        <v>65</v>
      </c>
      <c r="F172">
        <v>1</v>
      </c>
      <c r="G172">
        <v>2</v>
      </c>
      <c r="H172">
        <v>1</v>
      </c>
      <c r="I172" s="12" t="s">
        <v>515</v>
      </c>
      <c r="J172" s="12" t="s">
        <v>516</v>
      </c>
      <c r="K172" s="12" t="s">
        <v>68</v>
      </c>
      <c r="L172" s="12" t="s">
        <v>134</v>
      </c>
      <c r="M172">
        <v>3.69</v>
      </c>
      <c r="N172" s="12" t="s">
        <v>159</v>
      </c>
      <c r="O172" s="12" t="s">
        <v>160</v>
      </c>
      <c r="P172" s="12" t="s">
        <v>137</v>
      </c>
      <c r="Q172" s="13">
        <v>45013</v>
      </c>
      <c r="R172" s="13">
        <v>45035</v>
      </c>
      <c r="S172">
        <v>2023</v>
      </c>
      <c r="T172" s="12" t="s">
        <v>376</v>
      </c>
      <c r="U172">
        <v>25</v>
      </c>
      <c r="V172">
        <v>229.3486</v>
      </c>
      <c r="W172">
        <v>94.86</v>
      </c>
      <c r="X172">
        <v>0</v>
      </c>
      <c r="Y172">
        <v>0</v>
      </c>
      <c r="Z172">
        <v>5733.72</v>
      </c>
      <c r="AA172">
        <v>5828.58</v>
      </c>
      <c r="AB172" s="12" t="s">
        <v>517</v>
      </c>
      <c r="AC172">
        <v>229.3486</v>
      </c>
      <c r="AD172">
        <v>1</v>
      </c>
      <c r="AE172">
        <v>1</v>
      </c>
      <c r="AF172">
        <v>0</v>
      </c>
      <c r="AG172">
        <v>5733.72</v>
      </c>
      <c r="AH172">
        <v>25</v>
      </c>
      <c r="AI172">
        <v>25</v>
      </c>
      <c r="AJ172">
        <v>0</v>
      </c>
      <c r="AK172">
        <v>1</v>
      </c>
      <c r="AL172">
        <v>1</v>
      </c>
      <c r="AM172">
        <v>100</v>
      </c>
      <c r="AN172">
        <v>233.143</v>
      </c>
      <c r="AO172">
        <v>0</v>
      </c>
      <c r="AP172" s="13">
        <v>45035</v>
      </c>
      <c r="AQ172">
        <v>0</v>
      </c>
      <c r="AR172">
        <v>1</v>
      </c>
    </row>
    <row r="173" spans="1:44" x14ac:dyDescent="0.35">
      <c r="A173" s="12" t="s">
        <v>576</v>
      </c>
      <c r="B173" s="12" t="s">
        <v>408</v>
      </c>
      <c r="C173" s="12" t="s">
        <v>409</v>
      </c>
      <c r="D173" s="12" t="s">
        <v>130</v>
      </c>
      <c r="E173" s="12" t="s">
        <v>65</v>
      </c>
      <c r="F173">
        <v>3</v>
      </c>
      <c r="G173">
        <v>5</v>
      </c>
      <c r="H173">
        <v>0</v>
      </c>
      <c r="I173" s="12" t="s">
        <v>94</v>
      </c>
      <c r="J173" s="12" t="s">
        <v>95</v>
      </c>
      <c r="K173" s="12" t="s">
        <v>81</v>
      </c>
      <c r="L173" s="12" t="s">
        <v>96</v>
      </c>
      <c r="M173">
        <v>4.8099999999999996</v>
      </c>
      <c r="N173" s="12" t="s">
        <v>159</v>
      </c>
      <c r="O173" s="12" t="s">
        <v>160</v>
      </c>
      <c r="P173" s="12" t="s">
        <v>137</v>
      </c>
      <c r="Q173" s="13">
        <v>45013</v>
      </c>
      <c r="R173" s="13">
        <v>45046</v>
      </c>
      <c r="S173">
        <v>2023</v>
      </c>
      <c r="T173" s="12" t="s">
        <v>376</v>
      </c>
      <c r="U173">
        <v>105</v>
      </c>
      <c r="V173">
        <v>770.47230000000002</v>
      </c>
      <c r="W173">
        <v>789.34</v>
      </c>
      <c r="X173">
        <v>0</v>
      </c>
      <c r="Y173">
        <v>0</v>
      </c>
      <c r="Z173">
        <v>80899.59</v>
      </c>
      <c r="AA173">
        <v>81688.929999999993</v>
      </c>
      <c r="AB173" s="12" t="s">
        <v>577</v>
      </c>
      <c r="AC173">
        <v>770.47230000000002</v>
      </c>
      <c r="AD173">
        <v>1</v>
      </c>
      <c r="AE173">
        <v>1</v>
      </c>
      <c r="AF173">
        <v>0</v>
      </c>
      <c r="AG173">
        <v>80899.59</v>
      </c>
      <c r="AH173">
        <v>105</v>
      </c>
      <c r="AI173">
        <v>104</v>
      </c>
      <c r="AJ173">
        <v>1</v>
      </c>
      <c r="AK173">
        <v>1</v>
      </c>
      <c r="AL173">
        <v>1</v>
      </c>
      <c r="AM173">
        <v>99.05</v>
      </c>
      <c r="AN173">
        <v>785.47050000000002</v>
      </c>
      <c r="AO173">
        <v>770.47</v>
      </c>
      <c r="AP173" s="13">
        <v>45046</v>
      </c>
      <c r="AQ173">
        <v>0</v>
      </c>
      <c r="AR173">
        <v>1</v>
      </c>
    </row>
    <row r="174" spans="1:44" x14ac:dyDescent="0.35">
      <c r="A174" s="12" t="s">
        <v>578</v>
      </c>
      <c r="B174" s="12" t="s">
        <v>544</v>
      </c>
      <c r="C174" s="12" t="s">
        <v>545</v>
      </c>
      <c r="D174" s="12" t="s">
        <v>175</v>
      </c>
      <c r="E174" s="12" t="s">
        <v>65</v>
      </c>
      <c r="F174">
        <v>3</v>
      </c>
      <c r="G174">
        <v>5</v>
      </c>
      <c r="H174">
        <v>0</v>
      </c>
      <c r="I174" s="12" t="s">
        <v>66</v>
      </c>
      <c r="J174" s="12" t="s">
        <v>67</v>
      </c>
      <c r="K174" s="12" t="s">
        <v>68</v>
      </c>
      <c r="L174" s="12" t="s">
        <v>69</v>
      </c>
      <c r="M174">
        <v>17.66</v>
      </c>
      <c r="N174" s="12" t="s">
        <v>145</v>
      </c>
      <c r="O174" s="12" t="s">
        <v>146</v>
      </c>
      <c r="P174" s="12" t="s">
        <v>109</v>
      </c>
      <c r="Q174" s="13">
        <v>45014</v>
      </c>
      <c r="R174" s="13">
        <v>45039</v>
      </c>
      <c r="S174">
        <v>2023</v>
      </c>
      <c r="T174" s="12" t="s">
        <v>376</v>
      </c>
      <c r="U174">
        <v>44</v>
      </c>
      <c r="V174">
        <v>160.53620000000001</v>
      </c>
      <c r="W174">
        <v>138.47999999999999</v>
      </c>
      <c r="X174">
        <v>0</v>
      </c>
      <c r="Y174">
        <v>0</v>
      </c>
      <c r="Z174">
        <v>7063.59</v>
      </c>
      <c r="AA174">
        <v>7202.07</v>
      </c>
      <c r="AB174" s="12" t="s">
        <v>546</v>
      </c>
      <c r="AC174">
        <v>155.36940000000001</v>
      </c>
      <c r="AD174">
        <v>1</v>
      </c>
      <c r="AE174">
        <v>1</v>
      </c>
      <c r="AF174">
        <v>227.34</v>
      </c>
      <c r="AG174">
        <v>6836.25</v>
      </c>
      <c r="AH174">
        <v>44</v>
      </c>
      <c r="AI174">
        <v>44</v>
      </c>
      <c r="AJ174">
        <v>0</v>
      </c>
      <c r="AK174">
        <v>1</v>
      </c>
      <c r="AL174">
        <v>1</v>
      </c>
      <c r="AM174">
        <v>100</v>
      </c>
      <c r="AN174">
        <v>163.68350000000001</v>
      </c>
      <c r="AO174">
        <v>0</v>
      </c>
      <c r="AP174" s="13">
        <v>45039</v>
      </c>
      <c r="AQ174">
        <v>0</v>
      </c>
      <c r="AR174">
        <v>1</v>
      </c>
    </row>
    <row r="175" spans="1:44" x14ac:dyDescent="0.35">
      <c r="A175" s="12" t="s">
        <v>579</v>
      </c>
      <c r="B175" s="12" t="s">
        <v>555</v>
      </c>
      <c r="C175" s="12" t="s">
        <v>556</v>
      </c>
      <c r="D175" s="12" t="s">
        <v>114</v>
      </c>
      <c r="E175" s="12" t="s">
        <v>142</v>
      </c>
      <c r="F175">
        <v>1</v>
      </c>
      <c r="G175">
        <v>6</v>
      </c>
      <c r="H175">
        <v>1</v>
      </c>
      <c r="I175" s="12" t="s">
        <v>151</v>
      </c>
      <c r="J175" s="12" t="s">
        <v>152</v>
      </c>
      <c r="K175" s="12" t="s">
        <v>125</v>
      </c>
      <c r="L175" s="12" t="s">
        <v>69</v>
      </c>
      <c r="M175">
        <v>36.479999999999997</v>
      </c>
      <c r="N175" s="12" t="s">
        <v>97</v>
      </c>
      <c r="O175" s="12" t="s">
        <v>98</v>
      </c>
      <c r="P175" s="12" t="s">
        <v>72</v>
      </c>
      <c r="Q175" s="13">
        <v>45014</v>
      </c>
      <c r="R175" s="13">
        <v>45052</v>
      </c>
      <c r="S175">
        <v>2023</v>
      </c>
      <c r="T175" s="12" t="s">
        <v>376</v>
      </c>
      <c r="U175">
        <v>40</v>
      </c>
      <c r="V175">
        <v>290.42770000000002</v>
      </c>
      <c r="W175">
        <v>283.95</v>
      </c>
      <c r="X175">
        <v>0</v>
      </c>
      <c r="Y175">
        <v>0</v>
      </c>
      <c r="Z175">
        <v>11617.11</v>
      </c>
      <c r="AA175">
        <v>11901.06</v>
      </c>
      <c r="AB175" s="12" t="s">
        <v>557</v>
      </c>
      <c r="AC175">
        <v>290.42770000000002</v>
      </c>
      <c r="AD175">
        <v>1</v>
      </c>
      <c r="AE175">
        <v>1</v>
      </c>
      <c r="AF175">
        <v>0</v>
      </c>
      <c r="AG175">
        <v>11617.11</v>
      </c>
      <c r="AH175">
        <v>40</v>
      </c>
      <c r="AI175">
        <v>40</v>
      </c>
      <c r="AJ175">
        <v>0</v>
      </c>
      <c r="AK175">
        <v>1</v>
      </c>
      <c r="AL175">
        <v>1</v>
      </c>
      <c r="AM175">
        <v>100</v>
      </c>
      <c r="AN175">
        <v>297.5265</v>
      </c>
      <c r="AO175">
        <v>0</v>
      </c>
      <c r="AP175" s="13">
        <v>45062</v>
      </c>
      <c r="AQ175">
        <v>10</v>
      </c>
      <c r="AR175">
        <v>0</v>
      </c>
    </row>
    <row r="176" spans="1:44" x14ac:dyDescent="0.35">
      <c r="A176" s="12" t="s">
        <v>580</v>
      </c>
      <c r="B176" s="12" t="s">
        <v>442</v>
      </c>
      <c r="C176" s="12" t="s">
        <v>443</v>
      </c>
      <c r="D176" s="12" t="s">
        <v>130</v>
      </c>
      <c r="E176" s="12" t="s">
        <v>65</v>
      </c>
      <c r="F176">
        <v>3</v>
      </c>
      <c r="G176">
        <v>4</v>
      </c>
      <c r="H176">
        <v>0</v>
      </c>
      <c r="I176" s="12" t="s">
        <v>115</v>
      </c>
      <c r="J176" s="12" t="s">
        <v>116</v>
      </c>
      <c r="K176" s="12" t="s">
        <v>117</v>
      </c>
      <c r="L176" s="12" t="s">
        <v>82</v>
      </c>
      <c r="M176">
        <v>17.170000000000002</v>
      </c>
      <c r="N176" s="12" t="s">
        <v>159</v>
      </c>
      <c r="O176" s="12" t="s">
        <v>160</v>
      </c>
      <c r="P176" s="12" t="s">
        <v>137</v>
      </c>
      <c r="Q176" s="13">
        <v>45014</v>
      </c>
      <c r="R176" s="13">
        <v>45051</v>
      </c>
      <c r="S176">
        <v>2023</v>
      </c>
      <c r="T176" s="12" t="s">
        <v>376</v>
      </c>
      <c r="U176">
        <v>134</v>
      </c>
      <c r="V176">
        <v>610.72789999999998</v>
      </c>
      <c r="W176">
        <v>785.98</v>
      </c>
      <c r="X176">
        <v>0</v>
      </c>
      <c r="Y176">
        <v>0</v>
      </c>
      <c r="Z176">
        <v>81837.539999999994</v>
      </c>
      <c r="AA176">
        <v>82623.520000000004</v>
      </c>
      <c r="AB176" s="12" t="s">
        <v>581</v>
      </c>
      <c r="AC176">
        <v>610.72789999999998</v>
      </c>
      <c r="AD176">
        <v>1</v>
      </c>
      <c r="AE176">
        <v>1</v>
      </c>
      <c r="AF176">
        <v>0</v>
      </c>
      <c r="AG176">
        <v>81837.539999999994</v>
      </c>
      <c r="AH176">
        <v>134</v>
      </c>
      <c r="AI176">
        <v>132</v>
      </c>
      <c r="AJ176">
        <v>2</v>
      </c>
      <c r="AK176">
        <v>1</v>
      </c>
      <c r="AL176">
        <v>1</v>
      </c>
      <c r="AM176">
        <v>98.51</v>
      </c>
      <c r="AN176">
        <v>625.9357</v>
      </c>
      <c r="AO176">
        <v>1221.46</v>
      </c>
      <c r="AP176" s="13">
        <v>45051</v>
      </c>
      <c r="AQ176">
        <v>0</v>
      </c>
      <c r="AR176">
        <v>1</v>
      </c>
    </row>
    <row r="177" spans="1:44" x14ac:dyDescent="0.35">
      <c r="A177" s="12" t="s">
        <v>582</v>
      </c>
      <c r="B177" s="12" t="s">
        <v>331</v>
      </c>
      <c r="C177" s="12" t="s">
        <v>332</v>
      </c>
      <c r="D177" s="12" t="s">
        <v>122</v>
      </c>
      <c r="E177" s="12" t="s">
        <v>142</v>
      </c>
      <c r="F177">
        <v>3</v>
      </c>
      <c r="G177">
        <v>11</v>
      </c>
      <c r="H177">
        <v>0</v>
      </c>
      <c r="I177" s="12" t="s">
        <v>263</v>
      </c>
      <c r="J177" s="12" t="s">
        <v>264</v>
      </c>
      <c r="K177" s="12" t="s">
        <v>125</v>
      </c>
      <c r="L177" s="12" t="s">
        <v>82</v>
      </c>
      <c r="M177">
        <v>10.210000000000001</v>
      </c>
      <c r="N177" s="12" t="s">
        <v>97</v>
      </c>
      <c r="O177" s="12" t="s">
        <v>98</v>
      </c>
      <c r="P177" s="12" t="s">
        <v>72</v>
      </c>
      <c r="Q177" s="13">
        <v>45014</v>
      </c>
      <c r="R177" s="13">
        <v>45049</v>
      </c>
      <c r="S177">
        <v>2023</v>
      </c>
      <c r="T177" s="12" t="s">
        <v>376</v>
      </c>
      <c r="U177">
        <v>211</v>
      </c>
      <c r="V177">
        <v>25.052199999999999</v>
      </c>
      <c r="W177">
        <v>135.15</v>
      </c>
      <c r="X177">
        <v>0</v>
      </c>
      <c r="Y177">
        <v>0</v>
      </c>
      <c r="Z177">
        <v>5286.01</v>
      </c>
      <c r="AA177">
        <v>5421.16</v>
      </c>
      <c r="AB177" s="12" t="s">
        <v>333</v>
      </c>
      <c r="AC177">
        <v>25.052199999999999</v>
      </c>
      <c r="AD177">
        <v>1</v>
      </c>
      <c r="AE177">
        <v>1</v>
      </c>
      <c r="AF177">
        <v>0</v>
      </c>
      <c r="AG177">
        <v>5286.01</v>
      </c>
      <c r="AH177">
        <v>211</v>
      </c>
      <c r="AI177">
        <v>210</v>
      </c>
      <c r="AJ177">
        <v>1</v>
      </c>
      <c r="AK177">
        <v>1</v>
      </c>
      <c r="AL177">
        <v>1</v>
      </c>
      <c r="AM177">
        <v>99.53</v>
      </c>
      <c r="AN177">
        <v>25.815100000000001</v>
      </c>
      <c r="AO177">
        <v>25.05</v>
      </c>
      <c r="AP177" s="13">
        <v>45048</v>
      </c>
      <c r="AQ177">
        <v>-1</v>
      </c>
      <c r="AR177">
        <v>1</v>
      </c>
    </row>
    <row r="178" spans="1:44" x14ac:dyDescent="0.35">
      <c r="A178" s="12" t="s">
        <v>583</v>
      </c>
      <c r="B178" s="12" t="s">
        <v>357</v>
      </c>
      <c r="C178" s="12" t="s">
        <v>358</v>
      </c>
      <c r="D178" s="12" t="s">
        <v>103</v>
      </c>
      <c r="E178" s="12" t="s">
        <v>104</v>
      </c>
      <c r="F178">
        <v>3</v>
      </c>
      <c r="G178">
        <v>1</v>
      </c>
      <c r="H178">
        <v>0</v>
      </c>
      <c r="I178" s="12" t="s">
        <v>151</v>
      </c>
      <c r="J178" s="12" t="s">
        <v>152</v>
      </c>
      <c r="K178" s="12" t="s">
        <v>125</v>
      </c>
      <c r="L178" s="12" t="s">
        <v>69</v>
      </c>
      <c r="M178">
        <v>36.479999999999997</v>
      </c>
      <c r="N178" s="12" t="s">
        <v>145</v>
      </c>
      <c r="O178" s="12" t="s">
        <v>146</v>
      </c>
      <c r="P178" s="12" t="s">
        <v>109</v>
      </c>
      <c r="Q178" s="13">
        <v>45014</v>
      </c>
      <c r="R178" s="13">
        <v>45030</v>
      </c>
      <c r="S178">
        <v>2023</v>
      </c>
      <c r="T178" s="12" t="s">
        <v>376</v>
      </c>
      <c r="U178">
        <v>41</v>
      </c>
      <c r="V178">
        <v>106.6914</v>
      </c>
      <c r="W178">
        <v>31.24</v>
      </c>
      <c r="X178">
        <v>0</v>
      </c>
      <c r="Y178">
        <v>0</v>
      </c>
      <c r="Z178">
        <v>4374.3500000000004</v>
      </c>
      <c r="AA178">
        <v>4405.59</v>
      </c>
      <c r="AB178" s="12" t="s">
        <v>584</v>
      </c>
      <c r="AC178">
        <v>106.6914</v>
      </c>
      <c r="AD178">
        <v>1</v>
      </c>
      <c r="AE178">
        <v>1</v>
      </c>
      <c r="AF178">
        <v>0</v>
      </c>
      <c r="AG178">
        <v>4374.3500000000004</v>
      </c>
      <c r="AH178">
        <v>41</v>
      </c>
      <c r="AI178">
        <v>41</v>
      </c>
      <c r="AJ178">
        <v>0</v>
      </c>
      <c r="AK178">
        <v>1</v>
      </c>
      <c r="AL178">
        <v>1</v>
      </c>
      <c r="AM178">
        <v>100</v>
      </c>
      <c r="AN178">
        <v>107.4534</v>
      </c>
      <c r="AO178">
        <v>0</v>
      </c>
      <c r="AP178" s="13">
        <v>45033</v>
      </c>
      <c r="AQ178">
        <v>3</v>
      </c>
      <c r="AR178">
        <v>0</v>
      </c>
    </row>
    <row r="179" spans="1:44" x14ac:dyDescent="0.35">
      <c r="A179" s="12" t="s">
        <v>585</v>
      </c>
      <c r="B179" s="12" t="s">
        <v>231</v>
      </c>
      <c r="C179" s="12" t="s">
        <v>232</v>
      </c>
      <c r="D179" s="12" t="s">
        <v>130</v>
      </c>
      <c r="E179" s="12" t="s">
        <v>65</v>
      </c>
      <c r="F179">
        <v>1</v>
      </c>
      <c r="G179">
        <v>2</v>
      </c>
      <c r="H179">
        <v>1</v>
      </c>
      <c r="I179" s="12" t="s">
        <v>233</v>
      </c>
      <c r="J179" s="12" t="s">
        <v>234</v>
      </c>
      <c r="K179" s="12" t="s">
        <v>125</v>
      </c>
      <c r="L179" s="12" t="s">
        <v>96</v>
      </c>
      <c r="M179">
        <v>3.73</v>
      </c>
      <c r="N179" s="12" t="s">
        <v>159</v>
      </c>
      <c r="O179" s="12" t="s">
        <v>160</v>
      </c>
      <c r="P179" s="12" t="s">
        <v>137</v>
      </c>
      <c r="Q179" s="13">
        <v>45014</v>
      </c>
      <c r="R179" s="13">
        <v>45052</v>
      </c>
      <c r="S179">
        <v>2023</v>
      </c>
      <c r="T179" s="12" t="s">
        <v>376</v>
      </c>
      <c r="U179">
        <v>143</v>
      </c>
      <c r="V179">
        <v>416.40039999999999</v>
      </c>
      <c r="W179">
        <v>979.34</v>
      </c>
      <c r="X179">
        <v>0</v>
      </c>
      <c r="Y179">
        <v>0</v>
      </c>
      <c r="Z179">
        <v>59545.26</v>
      </c>
      <c r="AA179">
        <v>60524.6</v>
      </c>
      <c r="AB179" s="12" t="s">
        <v>235</v>
      </c>
      <c r="AC179">
        <v>416.40039999999999</v>
      </c>
      <c r="AD179">
        <v>1</v>
      </c>
      <c r="AE179">
        <v>1</v>
      </c>
      <c r="AF179">
        <v>0</v>
      </c>
      <c r="AG179">
        <v>59545.26</v>
      </c>
      <c r="AH179">
        <v>143</v>
      </c>
      <c r="AI179">
        <v>142</v>
      </c>
      <c r="AJ179">
        <v>1</v>
      </c>
      <c r="AK179">
        <v>1</v>
      </c>
      <c r="AL179">
        <v>1</v>
      </c>
      <c r="AM179">
        <v>99.3</v>
      </c>
      <c r="AN179">
        <v>426.2296</v>
      </c>
      <c r="AO179">
        <v>416.4</v>
      </c>
      <c r="AP179" s="13">
        <v>45051</v>
      </c>
      <c r="AQ179">
        <v>-1</v>
      </c>
      <c r="AR179">
        <v>1</v>
      </c>
    </row>
    <row r="180" spans="1:44" x14ac:dyDescent="0.35">
      <c r="A180" s="12" t="s">
        <v>586</v>
      </c>
      <c r="B180" s="12" t="s">
        <v>587</v>
      </c>
      <c r="C180" s="12" t="s">
        <v>588</v>
      </c>
      <c r="D180" s="12" t="s">
        <v>122</v>
      </c>
      <c r="E180" s="12" t="s">
        <v>104</v>
      </c>
      <c r="F180">
        <v>2</v>
      </c>
      <c r="G180">
        <v>0</v>
      </c>
      <c r="H180">
        <v>0</v>
      </c>
      <c r="I180" s="12" t="s">
        <v>94</v>
      </c>
      <c r="J180" s="12" t="s">
        <v>95</v>
      </c>
      <c r="K180" s="12" t="s">
        <v>81</v>
      </c>
      <c r="L180" s="12" t="s">
        <v>96</v>
      </c>
      <c r="M180">
        <v>4.8099999999999996</v>
      </c>
      <c r="N180" s="12" t="s">
        <v>97</v>
      </c>
      <c r="O180" s="12" t="s">
        <v>98</v>
      </c>
      <c r="P180" s="12" t="s">
        <v>72</v>
      </c>
      <c r="Q180" s="13">
        <v>45014</v>
      </c>
      <c r="R180" s="13">
        <v>45036</v>
      </c>
      <c r="S180">
        <v>2023</v>
      </c>
      <c r="T180" s="12" t="s">
        <v>376</v>
      </c>
      <c r="U180">
        <v>1248</v>
      </c>
      <c r="V180">
        <v>12.517899999999999</v>
      </c>
      <c r="W180">
        <v>394.54</v>
      </c>
      <c r="X180">
        <v>0</v>
      </c>
      <c r="Y180">
        <v>0</v>
      </c>
      <c r="Z180">
        <v>15622.34</v>
      </c>
      <c r="AA180">
        <v>16016.88</v>
      </c>
      <c r="AB180" s="12" t="s">
        <v>589</v>
      </c>
      <c r="AC180">
        <v>12.517899999999999</v>
      </c>
      <c r="AD180">
        <v>1</v>
      </c>
      <c r="AE180">
        <v>1</v>
      </c>
      <c r="AF180">
        <v>0</v>
      </c>
      <c r="AG180">
        <v>15622.34</v>
      </c>
      <c r="AH180">
        <v>1248</v>
      </c>
      <c r="AI180">
        <v>1242</v>
      </c>
      <c r="AJ180">
        <v>6</v>
      </c>
      <c r="AK180">
        <v>1</v>
      </c>
      <c r="AL180">
        <v>1</v>
      </c>
      <c r="AM180">
        <v>99.52</v>
      </c>
      <c r="AN180">
        <v>12.896000000000001</v>
      </c>
      <c r="AO180">
        <v>75.11</v>
      </c>
      <c r="AP180" s="13">
        <v>45036</v>
      </c>
      <c r="AQ180">
        <v>0</v>
      </c>
      <c r="AR180">
        <v>1</v>
      </c>
    </row>
    <row r="181" spans="1:44" x14ac:dyDescent="0.35">
      <c r="A181" s="12" t="s">
        <v>590</v>
      </c>
      <c r="B181" s="12" t="s">
        <v>149</v>
      </c>
      <c r="C181" s="12" t="s">
        <v>150</v>
      </c>
      <c r="D181" s="12" t="s">
        <v>78</v>
      </c>
      <c r="E181" s="12" t="s">
        <v>65</v>
      </c>
      <c r="F181">
        <v>2</v>
      </c>
      <c r="G181">
        <v>2</v>
      </c>
      <c r="H181">
        <v>0</v>
      </c>
      <c r="I181" s="12" t="s">
        <v>151</v>
      </c>
      <c r="J181" s="12" t="s">
        <v>152</v>
      </c>
      <c r="K181" s="12" t="s">
        <v>125</v>
      </c>
      <c r="L181" s="12" t="s">
        <v>69</v>
      </c>
      <c r="M181">
        <v>36.479999999999997</v>
      </c>
      <c r="N181" s="12" t="s">
        <v>70</v>
      </c>
      <c r="O181" s="12" t="s">
        <v>71</v>
      </c>
      <c r="P181" s="12" t="s">
        <v>72</v>
      </c>
      <c r="Q181" s="13">
        <v>45015</v>
      </c>
      <c r="R181" s="13">
        <v>45053</v>
      </c>
      <c r="S181">
        <v>2023</v>
      </c>
      <c r="T181" s="12" t="s">
        <v>376</v>
      </c>
      <c r="U181">
        <v>299</v>
      </c>
      <c r="V181">
        <v>76.092399999999998</v>
      </c>
      <c r="W181">
        <v>365.97</v>
      </c>
      <c r="X181">
        <v>0</v>
      </c>
      <c r="Y181">
        <v>0</v>
      </c>
      <c r="Z181">
        <v>22751.63</v>
      </c>
      <c r="AA181">
        <v>23117.599999999999</v>
      </c>
      <c r="AB181" s="12" t="s">
        <v>153</v>
      </c>
      <c r="AC181">
        <v>76.092399999999998</v>
      </c>
      <c r="AD181">
        <v>1</v>
      </c>
      <c r="AE181">
        <v>1</v>
      </c>
      <c r="AF181">
        <v>0</v>
      </c>
      <c r="AG181">
        <v>22751.63</v>
      </c>
      <c r="AH181">
        <v>299</v>
      </c>
      <c r="AI181">
        <v>294</v>
      </c>
      <c r="AJ181">
        <v>5</v>
      </c>
      <c r="AK181">
        <v>1</v>
      </c>
      <c r="AL181">
        <v>1</v>
      </c>
      <c r="AM181">
        <v>98.33</v>
      </c>
      <c r="AN181">
        <v>78.631299999999996</v>
      </c>
      <c r="AO181">
        <v>380.46</v>
      </c>
      <c r="AP181" s="13">
        <v>45052</v>
      </c>
      <c r="AQ181">
        <v>-1</v>
      </c>
      <c r="AR181">
        <v>1</v>
      </c>
    </row>
    <row r="182" spans="1:44" x14ac:dyDescent="0.35">
      <c r="A182" s="12" t="s">
        <v>591</v>
      </c>
      <c r="B182" s="12" t="s">
        <v>317</v>
      </c>
      <c r="C182" s="12" t="s">
        <v>318</v>
      </c>
      <c r="D182" s="12" t="s">
        <v>64</v>
      </c>
      <c r="E182" s="12" t="s">
        <v>104</v>
      </c>
      <c r="F182">
        <v>2</v>
      </c>
      <c r="G182">
        <v>0</v>
      </c>
      <c r="H182">
        <v>0</v>
      </c>
      <c r="I182" s="12" t="s">
        <v>169</v>
      </c>
      <c r="J182" s="12" t="s">
        <v>170</v>
      </c>
      <c r="K182" s="12" t="s">
        <v>89</v>
      </c>
      <c r="L182" s="12" t="s">
        <v>134</v>
      </c>
      <c r="M182">
        <v>1.37</v>
      </c>
      <c r="N182" s="12" t="s">
        <v>97</v>
      </c>
      <c r="O182" s="12" t="s">
        <v>98</v>
      </c>
      <c r="P182" s="12" t="s">
        <v>72</v>
      </c>
      <c r="Q182" s="13">
        <v>45015</v>
      </c>
      <c r="R182" s="13">
        <v>45043</v>
      </c>
      <c r="S182">
        <v>2023</v>
      </c>
      <c r="T182" s="12" t="s">
        <v>376</v>
      </c>
      <c r="U182">
        <v>912</v>
      </c>
      <c r="V182">
        <v>15.848100000000001</v>
      </c>
      <c r="W182">
        <v>255.58</v>
      </c>
      <c r="X182">
        <v>0</v>
      </c>
      <c r="Y182">
        <v>0</v>
      </c>
      <c r="Z182">
        <v>14453.47</v>
      </c>
      <c r="AA182">
        <v>14709.05</v>
      </c>
      <c r="AB182" s="12" t="s">
        <v>319</v>
      </c>
      <c r="AC182">
        <v>15.848100000000001</v>
      </c>
      <c r="AD182">
        <v>1</v>
      </c>
      <c r="AE182">
        <v>1</v>
      </c>
      <c r="AF182">
        <v>0</v>
      </c>
      <c r="AG182">
        <v>14453.47</v>
      </c>
      <c r="AH182">
        <v>912</v>
      </c>
      <c r="AI182">
        <v>899</v>
      </c>
      <c r="AJ182">
        <v>13</v>
      </c>
      <c r="AK182">
        <v>1</v>
      </c>
      <c r="AL182">
        <v>1</v>
      </c>
      <c r="AM182">
        <v>98.57</v>
      </c>
      <c r="AN182">
        <v>16.361599999999999</v>
      </c>
      <c r="AO182">
        <v>206.03</v>
      </c>
      <c r="AP182" s="13">
        <v>45042</v>
      </c>
      <c r="AQ182">
        <v>-1</v>
      </c>
      <c r="AR182">
        <v>1</v>
      </c>
    </row>
    <row r="183" spans="1:44" x14ac:dyDescent="0.35">
      <c r="A183" s="12" t="s">
        <v>592</v>
      </c>
      <c r="B183" s="12" t="s">
        <v>347</v>
      </c>
      <c r="C183" s="12" t="s">
        <v>348</v>
      </c>
      <c r="D183" s="12" t="s">
        <v>78</v>
      </c>
      <c r="E183" s="12" t="s">
        <v>104</v>
      </c>
      <c r="F183">
        <v>3</v>
      </c>
      <c r="G183">
        <v>1</v>
      </c>
      <c r="H183">
        <v>0</v>
      </c>
      <c r="I183" s="12" t="s">
        <v>209</v>
      </c>
      <c r="J183" s="12" t="s">
        <v>210</v>
      </c>
      <c r="K183" s="12" t="s">
        <v>133</v>
      </c>
      <c r="L183" s="12" t="s">
        <v>96</v>
      </c>
      <c r="M183">
        <v>7.82</v>
      </c>
      <c r="N183" s="12" t="s">
        <v>97</v>
      </c>
      <c r="O183" s="12" t="s">
        <v>98</v>
      </c>
      <c r="P183" s="12" t="s">
        <v>72</v>
      </c>
      <c r="Q183" s="13">
        <v>45015</v>
      </c>
      <c r="R183" s="13">
        <v>45039</v>
      </c>
      <c r="S183">
        <v>2023</v>
      </c>
      <c r="T183" s="12" t="s">
        <v>376</v>
      </c>
      <c r="U183">
        <v>214</v>
      </c>
      <c r="V183">
        <v>94.528300000000002</v>
      </c>
      <c r="W183">
        <v>393.73</v>
      </c>
      <c r="X183">
        <v>0</v>
      </c>
      <c r="Y183">
        <v>0</v>
      </c>
      <c r="Z183">
        <v>20229.060000000001</v>
      </c>
      <c r="AA183">
        <v>20622.79</v>
      </c>
      <c r="AB183" s="12" t="s">
        <v>593</v>
      </c>
      <c r="AC183">
        <v>100.34050000000001</v>
      </c>
      <c r="AD183">
        <v>1</v>
      </c>
      <c r="AE183">
        <v>1</v>
      </c>
      <c r="AF183">
        <v>-1243.81</v>
      </c>
      <c r="AG183">
        <v>21472.87</v>
      </c>
      <c r="AH183">
        <v>214</v>
      </c>
      <c r="AI183">
        <v>211</v>
      </c>
      <c r="AJ183">
        <v>3</v>
      </c>
      <c r="AK183">
        <v>1</v>
      </c>
      <c r="AL183">
        <v>1</v>
      </c>
      <c r="AM183">
        <v>98.6</v>
      </c>
      <c r="AN183">
        <v>97.738299999999995</v>
      </c>
      <c r="AO183">
        <v>283.58</v>
      </c>
      <c r="AP183" s="13">
        <v>45037</v>
      </c>
      <c r="AQ183">
        <v>-2</v>
      </c>
      <c r="AR183">
        <v>1</v>
      </c>
    </row>
    <row r="184" spans="1:44" x14ac:dyDescent="0.35">
      <c r="A184" s="12" t="s">
        <v>594</v>
      </c>
      <c r="B184" s="12" t="s">
        <v>416</v>
      </c>
      <c r="C184" s="12" t="s">
        <v>417</v>
      </c>
      <c r="D184" s="12" t="s">
        <v>78</v>
      </c>
      <c r="E184" s="12" t="s">
        <v>65</v>
      </c>
      <c r="F184">
        <v>3</v>
      </c>
      <c r="G184">
        <v>5</v>
      </c>
      <c r="H184">
        <v>0</v>
      </c>
      <c r="I184" s="12" t="s">
        <v>87</v>
      </c>
      <c r="J184" s="12" t="s">
        <v>88</v>
      </c>
      <c r="K184" s="12" t="s">
        <v>89</v>
      </c>
      <c r="L184" s="12" t="s">
        <v>69</v>
      </c>
      <c r="M184">
        <v>14.93</v>
      </c>
      <c r="N184" s="12" t="s">
        <v>97</v>
      </c>
      <c r="O184" s="12" t="s">
        <v>98</v>
      </c>
      <c r="P184" s="12" t="s">
        <v>72</v>
      </c>
      <c r="Q184" s="13">
        <v>45015</v>
      </c>
      <c r="R184" s="13">
        <v>45041</v>
      </c>
      <c r="S184">
        <v>2023</v>
      </c>
      <c r="T184" s="12" t="s">
        <v>376</v>
      </c>
      <c r="U184">
        <v>124</v>
      </c>
      <c r="V184">
        <v>144.15710000000001</v>
      </c>
      <c r="W184">
        <v>458.63</v>
      </c>
      <c r="X184">
        <v>0</v>
      </c>
      <c r="Y184">
        <v>0</v>
      </c>
      <c r="Z184">
        <v>17875.48</v>
      </c>
      <c r="AA184">
        <v>18334.11</v>
      </c>
      <c r="AB184" s="12" t="s">
        <v>595</v>
      </c>
      <c r="AC184">
        <v>144.15710000000001</v>
      </c>
      <c r="AD184">
        <v>1</v>
      </c>
      <c r="AE184">
        <v>1</v>
      </c>
      <c r="AF184">
        <v>0</v>
      </c>
      <c r="AG184">
        <v>17875.48</v>
      </c>
      <c r="AH184">
        <v>124</v>
      </c>
      <c r="AI184">
        <v>122</v>
      </c>
      <c r="AJ184">
        <v>2</v>
      </c>
      <c r="AK184">
        <v>1</v>
      </c>
      <c r="AL184">
        <v>1</v>
      </c>
      <c r="AM184">
        <v>98.39</v>
      </c>
      <c r="AN184">
        <v>150.27959999999999</v>
      </c>
      <c r="AO184">
        <v>288.31</v>
      </c>
      <c r="AP184" s="13">
        <v>45038</v>
      </c>
      <c r="AQ184">
        <v>-3</v>
      </c>
      <c r="AR184">
        <v>1</v>
      </c>
    </row>
    <row r="185" spans="1:44" x14ac:dyDescent="0.35">
      <c r="A185" s="12" t="s">
        <v>596</v>
      </c>
      <c r="B185" s="12" t="s">
        <v>503</v>
      </c>
      <c r="C185" s="12" t="s">
        <v>504</v>
      </c>
      <c r="D185" s="12" t="s">
        <v>103</v>
      </c>
      <c r="E185" s="12" t="s">
        <v>104</v>
      </c>
      <c r="F185">
        <v>3</v>
      </c>
      <c r="G185">
        <v>1</v>
      </c>
      <c r="H185">
        <v>0</v>
      </c>
      <c r="I185" s="12" t="s">
        <v>209</v>
      </c>
      <c r="J185" s="12" t="s">
        <v>210</v>
      </c>
      <c r="K185" s="12" t="s">
        <v>133</v>
      </c>
      <c r="L185" s="12" t="s">
        <v>96</v>
      </c>
      <c r="M185">
        <v>7.82</v>
      </c>
      <c r="N185" s="12" t="s">
        <v>107</v>
      </c>
      <c r="O185" s="12" t="s">
        <v>108</v>
      </c>
      <c r="P185" s="12" t="s">
        <v>109</v>
      </c>
      <c r="Q185" s="13">
        <v>45015</v>
      </c>
      <c r="R185" s="13">
        <v>45035</v>
      </c>
      <c r="S185">
        <v>2023</v>
      </c>
      <c r="T185" s="12" t="s">
        <v>376</v>
      </c>
      <c r="U185">
        <v>77</v>
      </c>
      <c r="V185">
        <v>158.00909999999999</v>
      </c>
      <c r="W185">
        <v>81.63</v>
      </c>
      <c r="X185">
        <v>0</v>
      </c>
      <c r="Y185">
        <v>0</v>
      </c>
      <c r="Z185">
        <v>12166.7</v>
      </c>
      <c r="AA185">
        <v>12248.33</v>
      </c>
      <c r="AB185" s="12" t="s">
        <v>505</v>
      </c>
      <c r="AC185">
        <v>158.00909999999999</v>
      </c>
      <c r="AD185">
        <v>1</v>
      </c>
      <c r="AE185">
        <v>1</v>
      </c>
      <c r="AF185">
        <v>0</v>
      </c>
      <c r="AG185">
        <v>12166.7</v>
      </c>
      <c r="AH185">
        <v>77</v>
      </c>
      <c r="AI185">
        <v>76</v>
      </c>
      <c r="AJ185">
        <v>1</v>
      </c>
      <c r="AK185">
        <v>1</v>
      </c>
      <c r="AL185">
        <v>1</v>
      </c>
      <c r="AM185">
        <v>98.7</v>
      </c>
      <c r="AN185">
        <v>161.16220000000001</v>
      </c>
      <c r="AO185">
        <v>158.01</v>
      </c>
      <c r="AP185" s="13">
        <v>45034</v>
      </c>
      <c r="AQ185">
        <v>-1</v>
      </c>
      <c r="AR185">
        <v>1</v>
      </c>
    </row>
    <row r="186" spans="1:44" x14ac:dyDescent="0.35">
      <c r="A186" s="12" t="s">
        <v>597</v>
      </c>
      <c r="B186" s="12" t="s">
        <v>598</v>
      </c>
      <c r="C186" s="12" t="s">
        <v>599</v>
      </c>
      <c r="D186" s="12" t="s">
        <v>269</v>
      </c>
      <c r="E186" s="12" t="s">
        <v>65</v>
      </c>
      <c r="F186">
        <v>1</v>
      </c>
      <c r="G186">
        <v>2</v>
      </c>
      <c r="H186">
        <v>1</v>
      </c>
      <c r="I186" s="12" t="s">
        <v>176</v>
      </c>
      <c r="J186" s="12" t="s">
        <v>177</v>
      </c>
      <c r="K186" s="12" t="s">
        <v>125</v>
      </c>
      <c r="L186" s="12" t="s">
        <v>134</v>
      </c>
      <c r="M186">
        <v>1.75</v>
      </c>
      <c r="N186" s="12" t="s">
        <v>135</v>
      </c>
      <c r="O186" s="12" t="s">
        <v>136</v>
      </c>
      <c r="P186" s="12" t="s">
        <v>137</v>
      </c>
      <c r="Q186" s="13">
        <v>45015</v>
      </c>
      <c r="R186" s="13">
        <v>45042</v>
      </c>
      <c r="S186">
        <v>2023</v>
      </c>
      <c r="T186" s="12" t="s">
        <v>376</v>
      </c>
      <c r="U186">
        <v>58</v>
      </c>
      <c r="V186">
        <v>454.90469999999999</v>
      </c>
      <c r="W186">
        <v>566.05999999999995</v>
      </c>
      <c r="X186">
        <v>0</v>
      </c>
      <c r="Y186">
        <v>0</v>
      </c>
      <c r="Z186">
        <v>26384.47</v>
      </c>
      <c r="AA186">
        <v>26950.53</v>
      </c>
      <c r="AB186" s="12" t="s">
        <v>600</v>
      </c>
      <c r="AC186">
        <v>454.90469999999999</v>
      </c>
      <c r="AD186">
        <v>1</v>
      </c>
      <c r="AE186">
        <v>1</v>
      </c>
      <c r="AF186">
        <v>0</v>
      </c>
      <c r="AG186">
        <v>26384.47</v>
      </c>
      <c r="AH186">
        <v>58</v>
      </c>
      <c r="AI186">
        <v>57</v>
      </c>
      <c r="AJ186">
        <v>1</v>
      </c>
      <c r="AK186">
        <v>1</v>
      </c>
      <c r="AL186">
        <v>1</v>
      </c>
      <c r="AM186">
        <v>98.28</v>
      </c>
      <c r="AN186">
        <v>472.81639999999999</v>
      </c>
      <c r="AO186">
        <v>454.9</v>
      </c>
      <c r="AP186" s="13">
        <v>45039</v>
      </c>
      <c r="AQ186">
        <v>-3</v>
      </c>
      <c r="AR186">
        <v>1</v>
      </c>
    </row>
    <row r="187" spans="1:44" x14ac:dyDescent="0.35">
      <c r="A187" s="12" t="s">
        <v>601</v>
      </c>
      <c r="B187" s="12" t="s">
        <v>602</v>
      </c>
      <c r="C187" s="12" t="s">
        <v>603</v>
      </c>
      <c r="D187" s="12" t="s">
        <v>114</v>
      </c>
      <c r="E187" s="12" t="s">
        <v>142</v>
      </c>
      <c r="F187">
        <v>2</v>
      </c>
      <c r="G187">
        <v>10</v>
      </c>
      <c r="H187">
        <v>0</v>
      </c>
      <c r="I187" s="12" t="s">
        <v>604</v>
      </c>
      <c r="J187" s="12" t="s">
        <v>605</v>
      </c>
      <c r="K187" s="12" t="s">
        <v>68</v>
      </c>
      <c r="L187" s="12" t="s">
        <v>82</v>
      </c>
      <c r="M187">
        <v>7.24</v>
      </c>
      <c r="N187" s="12" t="s">
        <v>97</v>
      </c>
      <c r="O187" s="12" t="s">
        <v>98</v>
      </c>
      <c r="P187" s="12" t="s">
        <v>72</v>
      </c>
      <c r="Q187" s="13">
        <v>45015</v>
      </c>
      <c r="R187" s="13">
        <v>45055</v>
      </c>
      <c r="S187">
        <v>2023</v>
      </c>
      <c r="T187" s="12" t="s">
        <v>376</v>
      </c>
      <c r="U187">
        <v>52</v>
      </c>
      <c r="V187">
        <v>213.4624</v>
      </c>
      <c r="W187">
        <v>252.01</v>
      </c>
      <c r="X187">
        <v>0</v>
      </c>
      <c r="Y187">
        <v>0</v>
      </c>
      <c r="Z187">
        <v>11100.04</v>
      </c>
      <c r="AA187">
        <v>11352.05</v>
      </c>
      <c r="AB187" s="12" t="s">
        <v>606</v>
      </c>
      <c r="AC187">
        <v>213.4624</v>
      </c>
      <c r="AD187">
        <v>1</v>
      </c>
      <c r="AE187">
        <v>1</v>
      </c>
      <c r="AF187">
        <v>0</v>
      </c>
      <c r="AG187">
        <v>11100.04</v>
      </c>
      <c r="AH187">
        <v>52</v>
      </c>
      <c r="AI187">
        <v>51</v>
      </c>
      <c r="AJ187">
        <v>1</v>
      </c>
      <c r="AK187">
        <v>1</v>
      </c>
      <c r="AL187">
        <v>1</v>
      </c>
      <c r="AM187">
        <v>98.08</v>
      </c>
      <c r="AN187">
        <v>222.58930000000001</v>
      </c>
      <c r="AO187">
        <v>213.46</v>
      </c>
      <c r="AP187" s="13">
        <v>45055</v>
      </c>
      <c r="AQ187">
        <v>0</v>
      </c>
      <c r="AR187">
        <v>1</v>
      </c>
    </row>
    <row r="188" spans="1:44" x14ac:dyDescent="0.35">
      <c r="A188" s="12" t="s">
        <v>607</v>
      </c>
      <c r="B188" s="12" t="s">
        <v>149</v>
      </c>
      <c r="C188" s="12" t="s">
        <v>150</v>
      </c>
      <c r="D188" s="12" t="s">
        <v>78</v>
      </c>
      <c r="E188" s="12" t="s">
        <v>65</v>
      </c>
      <c r="F188">
        <v>2</v>
      </c>
      <c r="G188">
        <v>2</v>
      </c>
      <c r="H188">
        <v>0</v>
      </c>
      <c r="I188" s="12" t="s">
        <v>151</v>
      </c>
      <c r="J188" s="12" t="s">
        <v>152</v>
      </c>
      <c r="K188" s="12" t="s">
        <v>125</v>
      </c>
      <c r="L188" s="12" t="s">
        <v>69</v>
      </c>
      <c r="M188">
        <v>36.479999999999997</v>
      </c>
      <c r="N188" s="12" t="s">
        <v>97</v>
      </c>
      <c r="O188" s="12" t="s">
        <v>98</v>
      </c>
      <c r="P188" s="12" t="s">
        <v>72</v>
      </c>
      <c r="Q188" s="13">
        <v>45016</v>
      </c>
      <c r="R188" s="13">
        <v>45046</v>
      </c>
      <c r="S188">
        <v>2023</v>
      </c>
      <c r="T188" s="12" t="s">
        <v>376</v>
      </c>
      <c r="U188">
        <v>184</v>
      </c>
      <c r="V188">
        <v>76.092399999999998</v>
      </c>
      <c r="W188">
        <v>203.93</v>
      </c>
      <c r="X188">
        <v>0</v>
      </c>
      <c r="Y188">
        <v>0</v>
      </c>
      <c r="Z188">
        <v>14001</v>
      </c>
      <c r="AA188">
        <v>14204.93</v>
      </c>
      <c r="AB188" s="12" t="s">
        <v>153</v>
      </c>
      <c r="AC188">
        <v>76.092399999999998</v>
      </c>
      <c r="AD188">
        <v>1</v>
      </c>
      <c r="AE188">
        <v>1</v>
      </c>
      <c r="AF188">
        <v>0</v>
      </c>
      <c r="AG188">
        <v>14001</v>
      </c>
      <c r="AH188">
        <v>184</v>
      </c>
      <c r="AI188">
        <v>183</v>
      </c>
      <c r="AJ188">
        <v>1</v>
      </c>
      <c r="AK188">
        <v>1</v>
      </c>
      <c r="AL188">
        <v>1</v>
      </c>
      <c r="AM188">
        <v>99.46</v>
      </c>
      <c r="AN188">
        <v>77.622600000000006</v>
      </c>
      <c r="AO188">
        <v>76.09</v>
      </c>
      <c r="AP188" s="13">
        <v>45046</v>
      </c>
      <c r="AQ188">
        <v>0</v>
      </c>
      <c r="AR188">
        <v>1</v>
      </c>
    </row>
    <row r="189" spans="1:44" x14ac:dyDescent="0.35">
      <c r="A189" s="12" t="s">
        <v>608</v>
      </c>
      <c r="B189" s="12" t="s">
        <v>609</v>
      </c>
      <c r="C189" s="12" t="s">
        <v>610</v>
      </c>
      <c r="D189" s="12" t="s">
        <v>64</v>
      </c>
      <c r="E189" s="12" t="s">
        <v>104</v>
      </c>
      <c r="F189">
        <v>1</v>
      </c>
      <c r="G189">
        <v>0</v>
      </c>
      <c r="H189">
        <v>1</v>
      </c>
      <c r="I189" s="12" t="s">
        <v>227</v>
      </c>
      <c r="J189" s="12" t="s">
        <v>228</v>
      </c>
      <c r="K189" s="12" t="s">
        <v>89</v>
      </c>
      <c r="L189" s="12" t="s">
        <v>96</v>
      </c>
      <c r="M189">
        <v>9.15</v>
      </c>
      <c r="N189" s="12" t="s">
        <v>70</v>
      </c>
      <c r="O189" s="12" t="s">
        <v>71</v>
      </c>
      <c r="P189" s="12" t="s">
        <v>72</v>
      </c>
      <c r="Q189" s="13">
        <v>45016</v>
      </c>
      <c r="R189" s="13">
        <v>45033</v>
      </c>
      <c r="S189">
        <v>2023</v>
      </c>
      <c r="T189" s="12" t="s">
        <v>376</v>
      </c>
      <c r="U189">
        <v>362</v>
      </c>
      <c r="V189">
        <v>19.489699999999999</v>
      </c>
      <c r="W189">
        <v>180.54</v>
      </c>
      <c r="X189">
        <v>0</v>
      </c>
      <c r="Y189">
        <v>0</v>
      </c>
      <c r="Z189">
        <v>7055.27</v>
      </c>
      <c r="AA189">
        <v>7235.81</v>
      </c>
      <c r="AB189" s="12" t="s">
        <v>611</v>
      </c>
      <c r="AC189">
        <v>20.713699999999999</v>
      </c>
      <c r="AD189">
        <v>1</v>
      </c>
      <c r="AE189">
        <v>1</v>
      </c>
      <c r="AF189">
        <v>-443.09</v>
      </c>
      <c r="AG189">
        <v>7498.36</v>
      </c>
      <c r="AH189">
        <v>362</v>
      </c>
      <c r="AI189">
        <v>358</v>
      </c>
      <c r="AJ189">
        <v>4</v>
      </c>
      <c r="AK189">
        <v>1</v>
      </c>
      <c r="AL189">
        <v>1</v>
      </c>
      <c r="AM189">
        <v>98.9</v>
      </c>
      <c r="AN189">
        <v>20.2118</v>
      </c>
      <c r="AO189">
        <v>77.959999999999994</v>
      </c>
      <c r="AP189" s="13">
        <v>45031</v>
      </c>
      <c r="AQ189">
        <v>-2</v>
      </c>
      <c r="AR189">
        <v>1</v>
      </c>
    </row>
    <row r="190" spans="1:44" x14ac:dyDescent="0.35">
      <c r="A190" s="12" t="s">
        <v>612</v>
      </c>
      <c r="B190" s="12" t="s">
        <v>613</v>
      </c>
      <c r="C190" s="12" t="s">
        <v>614</v>
      </c>
      <c r="D190" s="12" t="s">
        <v>130</v>
      </c>
      <c r="E190" s="12" t="s">
        <v>104</v>
      </c>
      <c r="F190">
        <v>3</v>
      </c>
      <c r="G190">
        <v>1</v>
      </c>
      <c r="H190">
        <v>0</v>
      </c>
      <c r="I190" s="12" t="s">
        <v>66</v>
      </c>
      <c r="J190" s="12" t="s">
        <v>67</v>
      </c>
      <c r="K190" s="12" t="s">
        <v>68</v>
      </c>
      <c r="L190" s="12" t="s">
        <v>69</v>
      </c>
      <c r="M190">
        <v>17.66</v>
      </c>
      <c r="N190" s="12" t="s">
        <v>135</v>
      </c>
      <c r="O190" s="12" t="s">
        <v>136</v>
      </c>
      <c r="P190" s="12" t="s">
        <v>137</v>
      </c>
      <c r="Q190" s="13">
        <v>45016</v>
      </c>
      <c r="R190" s="13">
        <v>45035</v>
      </c>
      <c r="S190">
        <v>2023</v>
      </c>
      <c r="T190" s="12" t="s">
        <v>376</v>
      </c>
      <c r="U190">
        <v>71</v>
      </c>
      <c r="V190">
        <v>195.35140000000001</v>
      </c>
      <c r="W190">
        <v>215.86</v>
      </c>
      <c r="X190">
        <v>0</v>
      </c>
      <c r="Y190">
        <v>0</v>
      </c>
      <c r="Z190">
        <v>13869.95</v>
      </c>
      <c r="AA190">
        <v>14085.81</v>
      </c>
      <c r="AB190" s="12" t="s">
        <v>615</v>
      </c>
      <c r="AC190">
        <v>195.35140000000001</v>
      </c>
      <c r="AD190">
        <v>1</v>
      </c>
      <c r="AE190">
        <v>1</v>
      </c>
      <c r="AF190">
        <v>0</v>
      </c>
      <c r="AG190">
        <v>13869.95</v>
      </c>
      <c r="AH190">
        <v>71</v>
      </c>
      <c r="AI190">
        <v>70</v>
      </c>
      <c r="AJ190">
        <v>1</v>
      </c>
      <c r="AK190">
        <v>1</v>
      </c>
      <c r="AL190">
        <v>1</v>
      </c>
      <c r="AM190">
        <v>98.59</v>
      </c>
      <c r="AN190">
        <v>201.22579999999999</v>
      </c>
      <c r="AO190">
        <v>195.35</v>
      </c>
      <c r="AP190" s="13">
        <v>45035</v>
      </c>
      <c r="AQ190">
        <v>0</v>
      </c>
      <c r="AR190">
        <v>1</v>
      </c>
    </row>
    <row r="191" spans="1:44" x14ac:dyDescent="0.35">
      <c r="A191" s="12" t="s">
        <v>616</v>
      </c>
      <c r="B191" s="12" t="s">
        <v>617</v>
      </c>
      <c r="C191" s="12" t="s">
        <v>618</v>
      </c>
      <c r="D191" s="12" t="s">
        <v>78</v>
      </c>
      <c r="E191" s="12" t="s">
        <v>65</v>
      </c>
      <c r="F191">
        <v>2</v>
      </c>
      <c r="G191">
        <v>4</v>
      </c>
      <c r="H191">
        <v>0</v>
      </c>
      <c r="I191" s="12" t="s">
        <v>341</v>
      </c>
      <c r="J191" s="12" t="s">
        <v>342</v>
      </c>
      <c r="K191" s="12" t="s">
        <v>117</v>
      </c>
      <c r="L191" s="12" t="s">
        <v>82</v>
      </c>
      <c r="M191">
        <v>18.36</v>
      </c>
      <c r="N191" s="12" t="s">
        <v>97</v>
      </c>
      <c r="O191" s="12" t="s">
        <v>98</v>
      </c>
      <c r="P191" s="12" t="s">
        <v>72</v>
      </c>
      <c r="Q191" s="13">
        <v>45016</v>
      </c>
      <c r="R191" s="13">
        <v>45046</v>
      </c>
      <c r="S191">
        <v>2023</v>
      </c>
      <c r="T191" s="12" t="s">
        <v>376</v>
      </c>
      <c r="U191">
        <v>179</v>
      </c>
      <c r="V191">
        <v>108.2711</v>
      </c>
      <c r="W191">
        <v>191.09</v>
      </c>
      <c r="X191">
        <v>0</v>
      </c>
      <c r="Y191">
        <v>0</v>
      </c>
      <c r="Z191">
        <v>19380.53</v>
      </c>
      <c r="AA191">
        <v>19571.62</v>
      </c>
      <c r="AB191" s="12" t="s">
        <v>619</v>
      </c>
      <c r="AC191">
        <v>108.2711</v>
      </c>
      <c r="AD191">
        <v>1</v>
      </c>
      <c r="AE191">
        <v>1</v>
      </c>
      <c r="AF191">
        <v>0</v>
      </c>
      <c r="AG191">
        <v>19380.53</v>
      </c>
      <c r="AH191">
        <v>179</v>
      </c>
      <c r="AI191">
        <v>178</v>
      </c>
      <c r="AJ191">
        <v>1</v>
      </c>
      <c r="AK191">
        <v>1</v>
      </c>
      <c r="AL191">
        <v>1</v>
      </c>
      <c r="AM191">
        <v>99.44</v>
      </c>
      <c r="AN191">
        <v>109.9529</v>
      </c>
      <c r="AO191">
        <v>108.27</v>
      </c>
      <c r="AP191" s="13">
        <v>45043</v>
      </c>
      <c r="AQ191">
        <v>-3</v>
      </c>
      <c r="AR191">
        <v>1</v>
      </c>
    </row>
    <row r="192" spans="1:44" x14ac:dyDescent="0.35">
      <c r="A192" s="12" t="s">
        <v>620</v>
      </c>
      <c r="B192" s="12" t="s">
        <v>621</v>
      </c>
      <c r="C192" s="12" t="s">
        <v>622</v>
      </c>
      <c r="D192" s="12" t="s">
        <v>103</v>
      </c>
      <c r="E192" s="12" t="s">
        <v>65</v>
      </c>
      <c r="F192">
        <v>1</v>
      </c>
      <c r="G192">
        <v>2</v>
      </c>
      <c r="H192">
        <v>1</v>
      </c>
      <c r="I192" s="12" t="s">
        <v>486</v>
      </c>
      <c r="J192" s="12" t="s">
        <v>487</v>
      </c>
      <c r="K192" s="12" t="s">
        <v>125</v>
      </c>
      <c r="L192" s="12" t="s">
        <v>69</v>
      </c>
      <c r="M192">
        <v>36.86</v>
      </c>
      <c r="N192" s="12" t="s">
        <v>145</v>
      </c>
      <c r="O192" s="12" t="s">
        <v>146</v>
      </c>
      <c r="P192" s="12" t="s">
        <v>109</v>
      </c>
      <c r="Q192" s="13">
        <v>45016</v>
      </c>
      <c r="R192" s="13">
        <v>45040</v>
      </c>
      <c r="S192">
        <v>2023</v>
      </c>
      <c r="T192" s="12" t="s">
        <v>376</v>
      </c>
      <c r="U192">
        <v>34</v>
      </c>
      <c r="V192">
        <v>208.80109999999999</v>
      </c>
      <c r="W192">
        <v>108.29</v>
      </c>
      <c r="X192">
        <v>0</v>
      </c>
      <c r="Y192">
        <v>0</v>
      </c>
      <c r="Z192">
        <v>7099.24</v>
      </c>
      <c r="AA192">
        <v>7207.53</v>
      </c>
      <c r="AB192" s="12" t="s">
        <v>623</v>
      </c>
      <c r="AC192">
        <v>201.42019999999999</v>
      </c>
      <c r="AD192">
        <v>1</v>
      </c>
      <c r="AE192">
        <v>1</v>
      </c>
      <c r="AF192">
        <v>250.95</v>
      </c>
      <c r="AG192">
        <v>6848.29</v>
      </c>
      <c r="AH192">
        <v>34</v>
      </c>
      <c r="AI192">
        <v>34</v>
      </c>
      <c r="AJ192">
        <v>0</v>
      </c>
      <c r="AK192">
        <v>1</v>
      </c>
      <c r="AL192">
        <v>1</v>
      </c>
      <c r="AM192">
        <v>100</v>
      </c>
      <c r="AN192">
        <v>211.98609999999999</v>
      </c>
      <c r="AO192">
        <v>0</v>
      </c>
      <c r="AP192" s="13">
        <v>45039</v>
      </c>
      <c r="AQ192">
        <v>-1</v>
      </c>
      <c r="AR192">
        <v>1</v>
      </c>
    </row>
    <row r="193" spans="1:44" x14ac:dyDescent="0.35">
      <c r="A193" s="12" t="s">
        <v>624</v>
      </c>
      <c r="B193" s="12" t="s">
        <v>391</v>
      </c>
      <c r="C193" s="12" t="s">
        <v>392</v>
      </c>
      <c r="D193" s="12" t="s">
        <v>114</v>
      </c>
      <c r="E193" s="12" t="s">
        <v>65</v>
      </c>
      <c r="F193">
        <v>2</v>
      </c>
      <c r="G193">
        <v>2</v>
      </c>
      <c r="H193">
        <v>0</v>
      </c>
      <c r="I193" s="12" t="s">
        <v>310</v>
      </c>
      <c r="J193" s="12" t="s">
        <v>311</v>
      </c>
      <c r="K193" s="12" t="s">
        <v>81</v>
      </c>
      <c r="L193" s="12" t="s">
        <v>69</v>
      </c>
      <c r="M193">
        <v>28.3</v>
      </c>
      <c r="N193" s="12" t="s">
        <v>70</v>
      </c>
      <c r="O193" s="12" t="s">
        <v>71</v>
      </c>
      <c r="P193" s="12" t="s">
        <v>72</v>
      </c>
      <c r="Q193" s="13">
        <v>45016</v>
      </c>
      <c r="R193" s="13">
        <v>45048</v>
      </c>
      <c r="S193">
        <v>2023</v>
      </c>
      <c r="T193" s="12" t="s">
        <v>376</v>
      </c>
      <c r="U193">
        <v>103</v>
      </c>
      <c r="V193">
        <v>223.56530000000001</v>
      </c>
      <c r="W193">
        <v>282.11</v>
      </c>
      <c r="X193">
        <v>0</v>
      </c>
      <c r="Y193">
        <v>0</v>
      </c>
      <c r="Z193">
        <v>23027.23</v>
      </c>
      <c r="AA193">
        <v>23309.34</v>
      </c>
      <c r="AB193" s="12" t="s">
        <v>393</v>
      </c>
      <c r="AC193">
        <v>223.56530000000001</v>
      </c>
      <c r="AD193">
        <v>1</v>
      </c>
      <c r="AE193">
        <v>1</v>
      </c>
      <c r="AF193">
        <v>0</v>
      </c>
      <c r="AG193">
        <v>23027.23</v>
      </c>
      <c r="AH193">
        <v>103</v>
      </c>
      <c r="AI193">
        <v>102</v>
      </c>
      <c r="AJ193">
        <v>1</v>
      </c>
      <c r="AK193">
        <v>1</v>
      </c>
      <c r="AL193">
        <v>1</v>
      </c>
      <c r="AM193">
        <v>99.03</v>
      </c>
      <c r="AN193">
        <v>228.52289999999999</v>
      </c>
      <c r="AO193">
        <v>223.57</v>
      </c>
      <c r="AP193" s="13">
        <v>45050</v>
      </c>
      <c r="AQ193">
        <v>2</v>
      </c>
      <c r="AR193">
        <v>0</v>
      </c>
    </row>
    <row r="194" spans="1:44" x14ac:dyDescent="0.35">
      <c r="A194" s="12" t="s">
        <v>625</v>
      </c>
      <c r="B194" s="12" t="s">
        <v>451</v>
      </c>
      <c r="C194" s="12" t="s">
        <v>452</v>
      </c>
      <c r="D194" s="12" t="s">
        <v>175</v>
      </c>
      <c r="E194" s="12" t="s">
        <v>104</v>
      </c>
      <c r="F194">
        <v>3</v>
      </c>
      <c r="G194">
        <v>1</v>
      </c>
      <c r="H194">
        <v>0</v>
      </c>
      <c r="I194" s="12" t="s">
        <v>359</v>
      </c>
      <c r="J194" s="12" t="s">
        <v>360</v>
      </c>
      <c r="K194" s="12" t="s">
        <v>133</v>
      </c>
      <c r="L194" s="12" t="s">
        <v>82</v>
      </c>
      <c r="M194">
        <v>12.65</v>
      </c>
      <c r="N194" s="12" t="s">
        <v>107</v>
      </c>
      <c r="O194" s="12" t="s">
        <v>108</v>
      </c>
      <c r="P194" s="12" t="s">
        <v>109</v>
      </c>
      <c r="Q194" s="13">
        <v>45019</v>
      </c>
      <c r="R194" s="13">
        <v>45046</v>
      </c>
      <c r="S194">
        <v>2023</v>
      </c>
      <c r="T194" s="12" t="s">
        <v>626</v>
      </c>
      <c r="U194">
        <v>133</v>
      </c>
      <c r="V194">
        <v>254.15530000000001</v>
      </c>
      <c r="W194">
        <v>302.14999999999998</v>
      </c>
      <c r="X194">
        <v>0</v>
      </c>
      <c r="Y194">
        <v>0</v>
      </c>
      <c r="Z194">
        <v>33802.65</v>
      </c>
      <c r="AA194">
        <v>34104.800000000003</v>
      </c>
      <c r="AB194" s="12" t="s">
        <v>627</v>
      </c>
      <c r="AC194">
        <v>254.15530000000001</v>
      </c>
      <c r="AD194">
        <v>1</v>
      </c>
      <c r="AE194">
        <v>1</v>
      </c>
      <c r="AF194">
        <v>0</v>
      </c>
      <c r="AG194">
        <v>33802.65</v>
      </c>
      <c r="AH194">
        <v>133</v>
      </c>
      <c r="AI194">
        <v>132</v>
      </c>
      <c r="AJ194">
        <v>1</v>
      </c>
      <c r="AK194">
        <v>1</v>
      </c>
      <c r="AL194">
        <v>1</v>
      </c>
      <c r="AM194">
        <v>99.25</v>
      </c>
      <c r="AN194">
        <v>258.36970000000002</v>
      </c>
      <c r="AO194">
        <v>254.16</v>
      </c>
      <c r="AP194" s="13">
        <v>45043</v>
      </c>
      <c r="AQ194">
        <v>-3</v>
      </c>
      <c r="AR194">
        <v>1</v>
      </c>
    </row>
    <row r="195" spans="1:44" x14ac:dyDescent="0.35">
      <c r="A195" s="12" t="s">
        <v>628</v>
      </c>
      <c r="B195" s="12" t="s">
        <v>404</v>
      </c>
      <c r="C195" s="12" t="s">
        <v>405</v>
      </c>
      <c r="D195" s="12" t="s">
        <v>269</v>
      </c>
      <c r="E195" s="12" t="s">
        <v>65</v>
      </c>
      <c r="F195">
        <v>3</v>
      </c>
      <c r="G195">
        <v>5</v>
      </c>
      <c r="H195">
        <v>0</v>
      </c>
      <c r="I195" s="12" t="s">
        <v>79</v>
      </c>
      <c r="J195" s="12" t="s">
        <v>80</v>
      </c>
      <c r="K195" s="12" t="s">
        <v>81</v>
      </c>
      <c r="L195" s="12" t="s">
        <v>82</v>
      </c>
      <c r="M195">
        <v>12.07</v>
      </c>
      <c r="N195" s="12" t="s">
        <v>159</v>
      </c>
      <c r="O195" s="12" t="s">
        <v>160</v>
      </c>
      <c r="P195" s="12" t="s">
        <v>137</v>
      </c>
      <c r="Q195" s="13">
        <v>45020</v>
      </c>
      <c r="R195" s="13">
        <v>45051</v>
      </c>
      <c r="S195">
        <v>2023</v>
      </c>
      <c r="T195" s="12" t="s">
        <v>626</v>
      </c>
      <c r="U195">
        <v>89</v>
      </c>
      <c r="V195">
        <v>430.41070000000002</v>
      </c>
      <c r="W195">
        <v>414.02</v>
      </c>
      <c r="X195">
        <v>0</v>
      </c>
      <c r="Y195">
        <v>0</v>
      </c>
      <c r="Z195">
        <v>38306.550000000003</v>
      </c>
      <c r="AA195">
        <v>38720.57</v>
      </c>
      <c r="AB195" s="12" t="s">
        <v>406</v>
      </c>
      <c r="AC195">
        <v>430.41070000000002</v>
      </c>
      <c r="AD195">
        <v>1</v>
      </c>
      <c r="AE195">
        <v>1</v>
      </c>
      <c r="AF195">
        <v>0</v>
      </c>
      <c r="AG195">
        <v>38306.550000000003</v>
      </c>
      <c r="AH195">
        <v>89</v>
      </c>
      <c r="AI195">
        <v>89</v>
      </c>
      <c r="AJ195">
        <v>0</v>
      </c>
      <c r="AK195">
        <v>1</v>
      </c>
      <c r="AL195">
        <v>1</v>
      </c>
      <c r="AM195">
        <v>100</v>
      </c>
      <c r="AN195">
        <v>435.06259999999997</v>
      </c>
      <c r="AO195">
        <v>0</v>
      </c>
      <c r="AP195" s="13">
        <v>45049</v>
      </c>
      <c r="AQ195">
        <v>-2</v>
      </c>
      <c r="AR195">
        <v>1</v>
      </c>
    </row>
    <row r="196" spans="1:44" x14ac:dyDescent="0.35">
      <c r="A196" s="12" t="s">
        <v>629</v>
      </c>
      <c r="B196" s="12" t="s">
        <v>630</v>
      </c>
      <c r="C196" s="12" t="s">
        <v>631</v>
      </c>
      <c r="D196" s="12" t="s">
        <v>130</v>
      </c>
      <c r="E196" s="12" t="s">
        <v>65</v>
      </c>
      <c r="F196">
        <v>1</v>
      </c>
      <c r="G196">
        <v>2</v>
      </c>
      <c r="H196">
        <v>1</v>
      </c>
      <c r="I196" s="12" t="s">
        <v>335</v>
      </c>
      <c r="J196" s="12" t="s">
        <v>336</v>
      </c>
      <c r="K196" s="12" t="s">
        <v>89</v>
      </c>
      <c r="L196" s="12" t="s">
        <v>82</v>
      </c>
      <c r="M196">
        <v>16</v>
      </c>
      <c r="N196" s="12" t="s">
        <v>135</v>
      </c>
      <c r="O196" s="12" t="s">
        <v>136</v>
      </c>
      <c r="P196" s="12" t="s">
        <v>137</v>
      </c>
      <c r="Q196" s="13">
        <v>45020</v>
      </c>
      <c r="R196" s="13">
        <v>45058</v>
      </c>
      <c r="S196">
        <v>2023</v>
      </c>
      <c r="T196" s="12" t="s">
        <v>626</v>
      </c>
      <c r="U196">
        <v>149</v>
      </c>
      <c r="V196">
        <v>422.39569999999998</v>
      </c>
      <c r="W196">
        <v>1577.68</v>
      </c>
      <c r="X196">
        <v>0</v>
      </c>
      <c r="Y196">
        <v>0</v>
      </c>
      <c r="Z196">
        <v>62936.959999999999</v>
      </c>
      <c r="AA196">
        <v>64514.64</v>
      </c>
      <c r="AB196" s="12" t="s">
        <v>632</v>
      </c>
      <c r="AC196">
        <v>448.44209999999998</v>
      </c>
      <c r="AD196">
        <v>1</v>
      </c>
      <c r="AE196">
        <v>1</v>
      </c>
      <c r="AF196">
        <v>-3880.91</v>
      </c>
      <c r="AG196">
        <v>66817.87</v>
      </c>
      <c r="AH196">
        <v>149</v>
      </c>
      <c r="AI196">
        <v>147</v>
      </c>
      <c r="AJ196">
        <v>2</v>
      </c>
      <c r="AK196">
        <v>1</v>
      </c>
      <c r="AL196">
        <v>1</v>
      </c>
      <c r="AM196">
        <v>98.66</v>
      </c>
      <c r="AN196">
        <v>438.87509999999997</v>
      </c>
      <c r="AO196">
        <v>844.79</v>
      </c>
      <c r="AP196" s="13">
        <v>45055</v>
      </c>
      <c r="AQ196">
        <v>-3</v>
      </c>
      <c r="AR196">
        <v>1</v>
      </c>
    </row>
    <row r="197" spans="1:44" x14ac:dyDescent="0.35">
      <c r="A197" s="12" t="s">
        <v>633</v>
      </c>
      <c r="B197" s="12" t="s">
        <v>412</v>
      </c>
      <c r="C197" s="12" t="s">
        <v>413</v>
      </c>
      <c r="D197" s="12" t="s">
        <v>269</v>
      </c>
      <c r="E197" s="12" t="s">
        <v>65</v>
      </c>
      <c r="F197">
        <v>1</v>
      </c>
      <c r="G197">
        <v>2</v>
      </c>
      <c r="H197">
        <v>1</v>
      </c>
      <c r="I197" s="12" t="s">
        <v>233</v>
      </c>
      <c r="J197" s="12" t="s">
        <v>234</v>
      </c>
      <c r="K197" s="12" t="s">
        <v>125</v>
      </c>
      <c r="L197" s="12" t="s">
        <v>96</v>
      </c>
      <c r="M197">
        <v>3.73</v>
      </c>
      <c r="N197" s="12" t="s">
        <v>159</v>
      </c>
      <c r="O197" s="12" t="s">
        <v>160</v>
      </c>
      <c r="P197" s="12" t="s">
        <v>137</v>
      </c>
      <c r="Q197" s="13">
        <v>45020</v>
      </c>
      <c r="R197" s="13">
        <v>45054</v>
      </c>
      <c r="S197">
        <v>2023</v>
      </c>
      <c r="T197" s="12" t="s">
        <v>626</v>
      </c>
      <c r="U197">
        <v>114</v>
      </c>
      <c r="V197">
        <v>104.4832</v>
      </c>
      <c r="W197">
        <v>142.66999999999999</v>
      </c>
      <c r="X197">
        <v>0</v>
      </c>
      <c r="Y197">
        <v>0</v>
      </c>
      <c r="Z197">
        <v>11911.08</v>
      </c>
      <c r="AA197">
        <v>12053.75</v>
      </c>
      <c r="AB197" s="12" t="s">
        <v>414</v>
      </c>
      <c r="AC197">
        <v>104.4832</v>
      </c>
      <c r="AD197">
        <v>1</v>
      </c>
      <c r="AE197">
        <v>1</v>
      </c>
      <c r="AF197">
        <v>0</v>
      </c>
      <c r="AG197">
        <v>11911.08</v>
      </c>
      <c r="AH197">
        <v>114</v>
      </c>
      <c r="AI197">
        <v>113</v>
      </c>
      <c r="AJ197">
        <v>1</v>
      </c>
      <c r="AK197">
        <v>1</v>
      </c>
      <c r="AL197">
        <v>1</v>
      </c>
      <c r="AM197">
        <v>99.12</v>
      </c>
      <c r="AN197">
        <v>106.6704</v>
      </c>
      <c r="AO197">
        <v>104.48</v>
      </c>
      <c r="AP197" s="13">
        <v>45054</v>
      </c>
      <c r="AQ197">
        <v>0</v>
      </c>
      <c r="AR197">
        <v>1</v>
      </c>
    </row>
    <row r="198" spans="1:44" x14ac:dyDescent="0.35">
      <c r="A198" s="12" t="s">
        <v>634</v>
      </c>
      <c r="B198" s="12" t="s">
        <v>167</v>
      </c>
      <c r="C198" s="12" t="s">
        <v>168</v>
      </c>
      <c r="D198" s="12" t="s">
        <v>64</v>
      </c>
      <c r="E198" s="12" t="s">
        <v>104</v>
      </c>
      <c r="F198">
        <v>3</v>
      </c>
      <c r="G198">
        <v>1</v>
      </c>
      <c r="H198">
        <v>0</v>
      </c>
      <c r="I198" s="12" t="s">
        <v>243</v>
      </c>
      <c r="J198" s="12" t="s">
        <v>244</v>
      </c>
      <c r="K198" s="12" t="s">
        <v>81</v>
      </c>
      <c r="L198" s="12" t="s">
        <v>82</v>
      </c>
      <c r="M198">
        <v>9.2200000000000006</v>
      </c>
      <c r="N198" s="12" t="s">
        <v>97</v>
      </c>
      <c r="O198" s="12" t="s">
        <v>98</v>
      </c>
      <c r="P198" s="12" t="s">
        <v>72</v>
      </c>
      <c r="Q198" s="13">
        <v>45020</v>
      </c>
      <c r="R198" s="13">
        <v>45045</v>
      </c>
      <c r="S198">
        <v>2023</v>
      </c>
      <c r="T198" s="12" t="s">
        <v>626</v>
      </c>
      <c r="U198">
        <v>793</v>
      </c>
      <c r="V198">
        <v>28.7181</v>
      </c>
      <c r="W198">
        <v>283.73</v>
      </c>
      <c r="X198">
        <v>0</v>
      </c>
      <c r="Y198">
        <v>0</v>
      </c>
      <c r="Z198">
        <v>22773.45</v>
      </c>
      <c r="AA198">
        <v>23057.18</v>
      </c>
      <c r="AB198" s="12" t="s">
        <v>530</v>
      </c>
      <c r="AC198">
        <v>28.7181</v>
      </c>
      <c r="AD198">
        <v>1</v>
      </c>
      <c r="AE198">
        <v>1</v>
      </c>
      <c r="AF198">
        <v>0</v>
      </c>
      <c r="AG198">
        <v>22773.45</v>
      </c>
      <c r="AH198">
        <v>793</v>
      </c>
      <c r="AI198">
        <v>786</v>
      </c>
      <c r="AJ198">
        <v>7</v>
      </c>
      <c r="AK198">
        <v>1</v>
      </c>
      <c r="AL198">
        <v>1</v>
      </c>
      <c r="AM198">
        <v>99.12</v>
      </c>
      <c r="AN198">
        <v>29.334800000000001</v>
      </c>
      <c r="AO198">
        <v>201.03</v>
      </c>
      <c r="AP198" s="13">
        <v>45054</v>
      </c>
      <c r="AQ198">
        <v>9</v>
      </c>
      <c r="AR198">
        <v>0</v>
      </c>
    </row>
    <row r="199" spans="1:44" x14ac:dyDescent="0.35">
      <c r="A199" s="12" t="s">
        <v>635</v>
      </c>
      <c r="B199" s="12" t="s">
        <v>420</v>
      </c>
      <c r="C199" s="12" t="s">
        <v>421</v>
      </c>
      <c r="D199" s="12" t="s">
        <v>269</v>
      </c>
      <c r="E199" s="12" t="s">
        <v>104</v>
      </c>
      <c r="F199">
        <v>2</v>
      </c>
      <c r="G199">
        <v>0</v>
      </c>
      <c r="H199">
        <v>0</v>
      </c>
      <c r="I199" s="12" t="s">
        <v>335</v>
      </c>
      <c r="J199" s="12" t="s">
        <v>336</v>
      </c>
      <c r="K199" s="12" t="s">
        <v>89</v>
      </c>
      <c r="L199" s="12" t="s">
        <v>82</v>
      </c>
      <c r="M199">
        <v>16</v>
      </c>
      <c r="N199" s="12" t="s">
        <v>159</v>
      </c>
      <c r="O199" s="12" t="s">
        <v>160</v>
      </c>
      <c r="P199" s="12" t="s">
        <v>137</v>
      </c>
      <c r="Q199" s="13">
        <v>45020</v>
      </c>
      <c r="R199" s="13">
        <v>45043</v>
      </c>
      <c r="S199">
        <v>2023</v>
      </c>
      <c r="T199" s="12" t="s">
        <v>626</v>
      </c>
      <c r="U199">
        <v>101</v>
      </c>
      <c r="V199">
        <v>146.53960000000001</v>
      </c>
      <c r="W199">
        <v>338.59</v>
      </c>
      <c r="X199">
        <v>0</v>
      </c>
      <c r="Y199">
        <v>0</v>
      </c>
      <c r="Z199">
        <v>14800.5</v>
      </c>
      <c r="AA199">
        <v>15139.09</v>
      </c>
      <c r="AB199" s="12" t="s">
        <v>636</v>
      </c>
      <c r="AC199">
        <v>146.53960000000001</v>
      </c>
      <c r="AD199">
        <v>1</v>
      </c>
      <c r="AE199">
        <v>1</v>
      </c>
      <c r="AF199">
        <v>0</v>
      </c>
      <c r="AG199">
        <v>14800.5</v>
      </c>
      <c r="AH199">
        <v>101</v>
      </c>
      <c r="AI199">
        <v>101</v>
      </c>
      <c r="AJ199">
        <v>0</v>
      </c>
      <c r="AK199">
        <v>1</v>
      </c>
      <c r="AL199">
        <v>1</v>
      </c>
      <c r="AM199">
        <v>100</v>
      </c>
      <c r="AN199">
        <v>149.892</v>
      </c>
      <c r="AO199">
        <v>0</v>
      </c>
      <c r="AP199" s="13">
        <v>45047</v>
      </c>
      <c r="AQ199">
        <v>4</v>
      </c>
      <c r="AR199">
        <v>0</v>
      </c>
    </row>
    <row r="200" spans="1:44" x14ac:dyDescent="0.35">
      <c r="A200" s="12" t="s">
        <v>637</v>
      </c>
      <c r="B200" s="12" t="s">
        <v>92</v>
      </c>
      <c r="C200" s="12" t="s">
        <v>93</v>
      </c>
      <c r="D200" s="12" t="s">
        <v>64</v>
      </c>
      <c r="E200" s="12" t="s">
        <v>65</v>
      </c>
      <c r="F200">
        <v>3</v>
      </c>
      <c r="G200">
        <v>5</v>
      </c>
      <c r="H200">
        <v>0</v>
      </c>
      <c r="I200" s="12" t="s">
        <v>94</v>
      </c>
      <c r="J200" s="12" t="s">
        <v>95</v>
      </c>
      <c r="K200" s="12" t="s">
        <v>81</v>
      </c>
      <c r="L200" s="12" t="s">
        <v>96</v>
      </c>
      <c r="M200">
        <v>4.8099999999999996</v>
      </c>
      <c r="N200" s="12" t="s">
        <v>70</v>
      </c>
      <c r="O200" s="12" t="s">
        <v>71</v>
      </c>
      <c r="P200" s="12" t="s">
        <v>72</v>
      </c>
      <c r="Q200" s="13">
        <v>45020</v>
      </c>
      <c r="R200" s="13">
        <v>45053</v>
      </c>
      <c r="S200">
        <v>2023</v>
      </c>
      <c r="T200" s="12" t="s">
        <v>626</v>
      </c>
      <c r="U200">
        <v>719</v>
      </c>
      <c r="V200">
        <v>24.617899999999999</v>
      </c>
      <c r="W200">
        <v>350.87</v>
      </c>
      <c r="X200">
        <v>0</v>
      </c>
      <c r="Y200">
        <v>0</v>
      </c>
      <c r="Z200">
        <v>17700.27</v>
      </c>
      <c r="AA200">
        <v>18051.14</v>
      </c>
      <c r="AB200" s="12" t="s">
        <v>99</v>
      </c>
      <c r="AC200">
        <v>24.617899999999999</v>
      </c>
      <c r="AD200">
        <v>1</v>
      </c>
      <c r="AE200">
        <v>1</v>
      </c>
      <c r="AF200">
        <v>0</v>
      </c>
      <c r="AG200">
        <v>17700.27</v>
      </c>
      <c r="AH200">
        <v>719</v>
      </c>
      <c r="AI200">
        <v>708</v>
      </c>
      <c r="AJ200">
        <v>11</v>
      </c>
      <c r="AK200">
        <v>1</v>
      </c>
      <c r="AL200">
        <v>1</v>
      </c>
      <c r="AM200">
        <v>98.47</v>
      </c>
      <c r="AN200">
        <v>25.495999999999999</v>
      </c>
      <c r="AO200">
        <v>270.8</v>
      </c>
      <c r="AP200" s="13">
        <v>45053</v>
      </c>
      <c r="AQ200">
        <v>0</v>
      </c>
      <c r="AR200">
        <v>1</v>
      </c>
    </row>
    <row r="201" spans="1:44" x14ac:dyDescent="0.35">
      <c r="A201" s="12" t="s">
        <v>638</v>
      </c>
      <c r="B201" s="12" t="s">
        <v>193</v>
      </c>
      <c r="C201" s="12" t="s">
        <v>194</v>
      </c>
      <c r="D201" s="12" t="s">
        <v>114</v>
      </c>
      <c r="E201" s="12" t="s">
        <v>65</v>
      </c>
      <c r="F201">
        <v>3</v>
      </c>
      <c r="G201">
        <v>4</v>
      </c>
      <c r="H201">
        <v>0</v>
      </c>
      <c r="I201" s="12" t="s">
        <v>195</v>
      </c>
      <c r="J201" s="12" t="s">
        <v>196</v>
      </c>
      <c r="K201" s="12" t="s">
        <v>117</v>
      </c>
      <c r="L201" s="12" t="s">
        <v>134</v>
      </c>
      <c r="M201">
        <v>4.7699999999999996</v>
      </c>
      <c r="N201" s="12" t="s">
        <v>70</v>
      </c>
      <c r="O201" s="12" t="s">
        <v>71</v>
      </c>
      <c r="P201" s="12" t="s">
        <v>72</v>
      </c>
      <c r="Q201" s="13">
        <v>45020</v>
      </c>
      <c r="R201" s="13">
        <v>45049</v>
      </c>
      <c r="S201">
        <v>2023</v>
      </c>
      <c r="T201" s="12" t="s">
        <v>626</v>
      </c>
      <c r="U201">
        <v>74</v>
      </c>
      <c r="V201">
        <v>107.28270000000001</v>
      </c>
      <c r="W201">
        <v>94.63</v>
      </c>
      <c r="X201">
        <v>0</v>
      </c>
      <c r="Y201">
        <v>0</v>
      </c>
      <c r="Z201">
        <v>7938.92</v>
      </c>
      <c r="AA201">
        <v>8033.55</v>
      </c>
      <c r="AB201" s="12" t="s">
        <v>197</v>
      </c>
      <c r="AC201">
        <v>107.28270000000001</v>
      </c>
      <c r="AD201">
        <v>1</v>
      </c>
      <c r="AE201">
        <v>1</v>
      </c>
      <c r="AF201">
        <v>0</v>
      </c>
      <c r="AG201">
        <v>7938.92</v>
      </c>
      <c r="AH201">
        <v>74</v>
      </c>
      <c r="AI201">
        <v>73</v>
      </c>
      <c r="AJ201">
        <v>1</v>
      </c>
      <c r="AK201">
        <v>1</v>
      </c>
      <c r="AL201">
        <v>1</v>
      </c>
      <c r="AM201">
        <v>98.65</v>
      </c>
      <c r="AN201">
        <v>110.04859999999999</v>
      </c>
      <c r="AO201">
        <v>107.28</v>
      </c>
      <c r="AP201" s="13">
        <v>45048</v>
      </c>
      <c r="AQ201">
        <v>-1</v>
      </c>
      <c r="AR201">
        <v>1</v>
      </c>
    </row>
    <row r="202" spans="1:44" x14ac:dyDescent="0.35">
      <c r="A202" s="12" t="s">
        <v>639</v>
      </c>
      <c r="B202" s="12" t="s">
        <v>640</v>
      </c>
      <c r="C202" s="12" t="s">
        <v>641</v>
      </c>
      <c r="D202" s="12" t="s">
        <v>130</v>
      </c>
      <c r="E202" s="12" t="s">
        <v>104</v>
      </c>
      <c r="F202">
        <v>3</v>
      </c>
      <c r="G202">
        <v>0</v>
      </c>
      <c r="H202">
        <v>0</v>
      </c>
      <c r="I202" s="12" t="s">
        <v>209</v>
      </c>
      <c r="J202" s="12" t="s">
        <v>210</v>
      </c>
      <c r="K202" s="12" t="s">
        <v>133</v>
      </c>
      <c r="L202" s="12" t="s">
        <v>96</v>
      </c>
      <c r="M202">
        <v>7.82</v>
      </c>
      <c r="N202" s="12" t="s">
        <v>159</v>
      </c>
      <c r="O202" s="12" t="s">
        <v>160</v>
      </c>
      <c r="P202" s="12" t="s">
        <v>137</v>
      </c>
      <c r="Q202" s="13">
        <v>45020</v>
      </c>
      <c r="R202" s="13">
        <v>45046</v>
      </c>
      <c r="S202">
        <v>2023</v>
      </c>
      <c r="T202" s="12" t="s">
        <v>626</v>
      </c>
      <c r="U202">
        <v>121</v>
      </c>
      <c r="V202">
        <v>1008.4116</v>
      </c>
      <c r="W202">
        <v>875.52</v>
      </c>
      <c r="X202">
        <v>0</v>
      </c>
      <c r="Y202">
        <v>0</v>
      </c>
      <c r="Z202">
        <v>122017.8</v>
      </c>
      <c r="AA202">
        <v>122893.32</v>
      </c>
      <c r="AB202" s="12" t="s">
        <v>642</v>
      </c>
      <c r="AC202">
        <v>1008.4116</v>
      </c>
      <c r="AD202">
        <v>1</v>
      </c>
      <c r="AE202">
        <v>1</v>
      </c>
      <c r="AF202">
        <v>0</v>
      </c>
      <c r="AG202">
        <v>122017.8</v>
      </c>
      <c r="AH202">
        <v>121</v>
      </c>
      <c r="AI202">
        <v>120</v>
      </c>
      <c r="AJ202">
        <v>1</v>
      </c>
      <c r="AK202">
        <v>1</v>
      </c>
      <c r="AL202">
        <v>1</v>
      </c>
      <c r="AM202">
        <v>99.17</v>
      </c>
      <c r="AN202">
        <v>1024.1110000000001</v>
      </c>
      <c r="AO202">
        <v>1008.41</v>
      </c>
      <c r="AP202" s="13">
        <v>45043</v>
      </c>
      <c r="AQ202">
        <v>-3</v>
      </c>
      <c r="AR202">
        <v>1</v>
      </c>
    </row>
    <row r="203" spans="1:44" x14ac:dyDescent="0.35">
      <c r="A203" s="12" t="s">
        <v>643</v>
      </c>
      <c r="B203" s="12" t="s">
        <v>317</v>
      </c>
      <c r="C203" s="12" t="s">
        <v>318</v>
      </c>
      <c r="D203" s="12" t="s">
        <v>64</v>
      </c>
      <c r="E203" s="12" t="s">
        <v>104</v>
      </c>
      <c r="F203">
        <v>2</v>
      </c>
      <c r="G203">
        <v>0</v>
      </c>
      <c r="H203">
        <v>0</v>
      </c>
      <c r="I203" s="12" t="s">
        <v>169</v>
      </c>
      <c r="J203" s="12" t="s">
        <v>170</v>
      </c>
      <c r="K203" s="12" t="s">
        <v>89</v>
      </c>
      <c r="L203" s="12" t="s">
        <v>134</v>
      </c>
      <c r="M203">
        <v>1.37</v>
      </c>
      <c r="N203" s="12" t="s">
        <v>70</v>
      </c>
      <c r="O203" s="12" t="s">
        <v>71</v>
      </c>
      <c r="P203" s="12" t="s">
        <v>72</v>
      </c>
      <c r="Q203" s="13">
        <v>45021</v>
      </c>
      <c r="R203" s="13">
        <v>45049</v>
      </c>
      <c r="S203">
        <v>2023</v>
      </c>
      <c r="T203" s="12" t="s">
        <v>626</v>
      </c>
      <c r="U203">
        <v>908</v>
      </c>
      <c r="V203">
        <v>15.848100000000001</v>
      </c>
      <c r="W203">
        <v>134.21</v>
      </c>
      <c r="X203">
        <v>0</v>
      </c>
      <c r="Y203">
        <v>0</v>
      </c>
      <c r="Z203">
        <v>14390.07</v>
      </c>
      <c r="AA203">
        <v>14524.28</v>
      </c>
      <c r="AB203" s="12" t="s">
        <v>319</v>
      </c>
      <c r="AC203">
        <v>15.848100000000001</v>
      </c>
      <c r="AD203">
        <v>1</v>
      </c>
      <c r="AE203">
        <v>1</v>
      </c>
      <c r="AF203">
        <v>0</v>
      </c>
      <c r="AG203">
        <v>14390.07</v>
      </c>
      <c r="AH203">
        <v>908</v>
      </c>
      <c r="AI203">
        <v>902</v>
      </c>
      <c r="AJ203">
        <v>6</v>
      </c>
      <c r="AK203">
        <v>1</v>
      </c>
      <c r="AL203">
        <v>1</v>
      </c>
      <c r="AM203">
        <v>99.34</v>
      </c>
      <c r="AN203">
        <v>16.1023</v>
      </c>
      <c r="AO203">
        <v>95.09</v>
      </c>
      <c r="AP203" s="13">
        <v>45049</v>
      </c>
      <c r="AQ203">
        <v>0</v>
      </c>
      <c r="AR203">
        <v>1</v>
      </c>
    </row>
    <row r="204" spans="1:44" x14ac:dyDescent="0.35">
      <c r="A204" s="12" t="s">
        <v>644</v>
      </c>
      <c r="B204" s="12" t="s">
        <v>350</v>
      </c>
      <c r="C204" s="12" t="s">
        <v>351</v>
      </c>
      <c r="D204" s="12" t="s">
        <v>64</v>
      </c>
      <c r="E204" s="12" t="s">
        <v>104</v>
      </c>
      <c r="F204">
        <v>3</v>
      </c>
      <c r="G204">
        <v>1</v>
      </c>
      <c r="H204">
        <v>0</v>
      </c>
      <c r="I204" s="12" t="s">
        <v>227</v>
      </c>
      <c r="J204" s="12" t="s">
        <v>228</v>
      </c>
      <c r="K204" s="12" t="s">
        <v>89</v>
      </c>
      <c r="L204" s="12" t="s">
        <v>96</v>
      </c>
      <c r="M204">
        <v>9.15</v>
      </c>
      <c r="N204" s="12" t="s">
        <v>97</v>
      </c>
      <c r="O204" s="12" t="s">
        <v>98</v>
      </c>
      <c r="P204" s="12" t="s">
        <v>72</v>
      </c>
      <c r="Q204" s="13">
        <v>45021</v>
      </c>
      <c r="R204" s="13">
        <v>45048</v>
      </c>
      <c r="S204">
        <v>2023</v>
      </c>
      <c r="T204" s="12" t="s">
        <v>626</v>
      </c>
      <c r="U204">
        <v>888</v>
      </c>
      <c r="V204">
        <v>8.7273999999999994</v>
      </c>
      <c r="W204">
        <v>129.97</v>
      </c>
      <c r="X204">
        <v>0</v>
      </c>
      <c r="Y204">
        <v>0</v>
      </c>
      <c r="Z204">
        <v>7749.93</v>
      </c>
      <c r="AA204">
        <v>7879.9</v>
      </c>
      <c r="AB204" s="12" t="s">
        <v>352</v>
      </c>
      <c r="AC204">
        <v>8.7273999999999994</v>
      </c>
      <c r="AD204">
        <v>1</v>
      </c>
      <c r="AE204">
        <v>1</v>
      </c>
      <c r="AF204">
        <v>0</v>
      </c>
      <c r="AG204">
        <v>7749.93</v>
      </c>
      <c r="AH204">
        <v>888</v>
      </c>
      <c r="AI204">
        <v>885</v>
      </c>
      <c r="AJ204">
        <v>3</v>
      </c>
      <c r="AK204">
        <v>1</v>
      </c>
      <c r="AL204">
        <v>1</v>
      </c>
      <c r="AM204">
        <v>99.66</v>
      </c>
      <c r="AN204">
        <v>8.9038000000000004</v>
      </c>
      <c r="AO204">
        <v>26.18</v>
      </c>
      <c r="AP204" s="13">
        <v>45047</v>
      </c>
      <c r="AQ204">
        <v>-1</v>
      </c>
      <c r="AR204">
        <v>1</v>
      </c>
    </row>
    <row r="205" spans="1:44" x14ac:dyDescent="0.35">
      <c r="A205" s="12" t="s">
        <v>645</v>
      </c>
      <c r="B205" s="12" t="s">
        <v>646</v>
      </c>
      <c r="C205" s="12" t="s">
        <v>647</v>
      </c>
      <c r="D205" s="12" t="s">
        <v>175</v>
      </c>
      <c r="E205" s="12" t="s">
        <v>104</v>
      </c>
      <c r="F205">
        <v>3</v>
      </c>
      <c r="G205">
        <v>1</v>
      </c>
      <c r="H205">
        <v>0</v>
      </c>
      <c r="I205" s="12" t="s">
        <v>209</v>
      </c>
      <c r="J205" s="12" t="s">
        <v>210</v>
      </c>
      <c r="K205" s="12" t="s">
        <v>133</v>
      </c>
      <c r="L205" s="12" t="s">
        <v>96</v>
      </c>
      <c r="M205">
        <v>7.82</v>
      </c>
      <c r="N205" s="12" t="s">
        <v>145</v>
      </c>
      <c r="O205" s="12" t="s">
        <v>146</v>
      </c>
      <c r="P205" s="12" t="s">
        <v>109</v>
      </c>
      <c r="Q205" s="13">
        <v>45021</v>
      </c>
      <c r="R205" s="13">
        <v>45038</v>
      </c>
      <c r="S205">
        <v>2023</v>
      </c>
      <c r="T205" s="12" t="s">
        <v>626</v>
      </c>
      <c r="U205">
        <v>53</v>
      </c>
      <c r="V205">
        <v>233.55160000000001</v>
      </c>
      <c r="W205">
        <v>163.08000000000001</v>
      </c>
      <c r="X205">
        <v>0</v>
      </c>
      <c r="Y205">
        <v>0</v>
      </c>
      <c r="Z205">
        <v>12378.23</v>
      </c>
      <c r="AA205">
        <v>12541.31</v>
      </c>
      <c r="AB205" s="12" t="s">
        <v>201</v>
      </c>
      <c r="AD205">
        <v>0</v>
      </c>
      <c r="AE205">
        <v>0</v>
      </c>
      <c r="AH205">
        <v>53</v>
      </c>
      <c r="AI205">
        <v>53</v>
      </c>
      <c r="AJ205">
        <v>0</v>
      </c>
      <c r="AK205">
        <v>1</v>
      </c>
      <c r="AL205">
        <v>1</v>
      </c>
      <c r="AM205">
        <v>100</v>
      </c>
      <c r="AN205">
        <v>236.62860000000001</v>
      </c>
      <c r="AO205">
        <v>0</v>
      </c>
      <c r="AP205" s="13">
        <v>45035</v>
      </c>
      <c r="AQ205">
        <v>-3</v>
      </c>
      <c r="AR205">
        <v>1</v>
      </c>
    </row>
    <row r="206" spans="1:44" x14ac:dyDescent="0.35">
      <c r="A206" s="12" t="s">
        <v>648</v>
      </c>
      <c r="B206" s="12" t="s">
        <v>465</v>
      </c>
      <c r="C206" s="12" t="s">
        <v>466</v>
      </c>
      <c r="D206" s="12" t="s">
        <v>78</v>
      </c>
      <c r="E206" s="12" t="s">
        <v>142</v>
      </c>
      <c r="F206">
        <v>3</v>
      </c>
      <c r="G206">
        <v>11</v>
      </c>
      <c r="H206">
        <v>0</v>
      </c>
      <c r="I206" s="12" t="s">
        <v>195</v>
      </c>
      <c r="J206" s="12" t="s">
        <v>196</v>
      </c>
      <c r="K206" s="12" t="s">
        <v>117</v>
      </c>
      <c r="L206" s="12" t="s">
        <v>134</v>
      </c>
      <c r="M206">
        <v>4.7699999999999996</v>
      </c>
      <c r="N206" s="12" t="s">
        <v>70</v>
      </c>
      <c r="O206" s="12" t="s">
        <v>71</v>
      </c>
      <c r="P206" s="12" t="s">
        <v>72</v>
      </c>
      <c r="Q206" s="13">
        <v>45021</v>
      </c>
      <c r="R206" s="13">
        <v>45071</v>
      </c>
      <c r="S206">
        <v>2023</v>
      </c>
      <c r="T206" s="12" t="s">
        <v>626</v>
      </c>
      <c r="U206">
        <v>259</v>
      </c>
      <c r="V206">
        <v>110.11579999999999</v>
      </c>
      <c r="W206">
        <v>526.70000000000005</v>
      </c>
      <c r="X206">
        <v>0</v>
      </c>
      <c r="Y206">
        <v>0</v>
      </c>
      <c r="Z206">
        <v>28519.99</v>
      </c>
      <c r="AA206">
        <v>29046.69</v>
      </c>
      <c r="AB206" s="12" t="s">
        <v>467</v>
      </c>
      <c r="AC206">
        <v>110.11579999999999</v>
      </c>
      <c r="AD206">
        <v>1</v>
      </c>
      <c r="AE206">
        <v>1</v>
      </c>
      <c r="AF206">
        <v>0</v>
      </c>
      <c r="AG206">
        <v>28519.99</v>
      </c>
      <c r="AH206">
        <v>259</v>
      </c>
      <c r="AI206">
        <v>256</v>
      </c>
      <c r="AJ206">
        <v>3</v>
      </c>
      <c r="AK206">
        <v>1</v>
      </c>
      <c r="AL206">
        <v>1</v>
      </c>
      <c r="AM206">
        <v>98.84</v>
      </c>
      <c r="AN206">
        <v>113.4636</v>
      </c>
      <c r="AO206">
        <v>330.35</v>
      </c>
      <c r="AP206" s="13">
        <v>45071</v>
      </c>
      <c r="AQ206">
        <v>0</v>
      </c>
      <c r="AR206">
        <v>1</v>
      </c>
    </row>
    <row r="207" spans="1:44" x14ac:dyDescent="0.35">
      <c r="A207" s="12" t="s">
        <v>649</v>
      </c>
      <c r="B207" s="12" t="s">
        <v>331</v>
      </c>
      <c r="C207" s="12" t="s">
        <v>332</v>
      </c>
      <c r="D207" s="12" t="s">
        <v>122</v>
      </c>
      <c r="E207" s="12" t="s">
        <v>142</v>
      </c>
      <c r="F207">
        <v>3</v>
      </c>
      <c r="G207">
        <v>11</v>
      </c>
      <c r="H207">
        <v>0</v>
      </c>
      <c r="I207" s="12" t="s">
        <v>263</v>
      </c>
      <c r="J207" s="12" t="s">
        <v>264</v>
      </c>
      <c r="K207" s="12" t="s">
        <v>125</v>
      </c>
      <c r="L207" s="12" t="s">
        <v>82</v>
      </c>
      <c r="M207">
        <v>10.210000000000001</v>
      </c>
      <c r="N207" s="12" t="s">
        <v>97</v>
      </c>
      <c r="O207" s="12" t="s">
        <v>98</v>
      </c>
      <c r="P207" s="12" t="s">
        <v>72</v>
      </c>
      <c r="Q207" s="13">
        <v>45021</v>
      </c>
      <c r="R207" s="13">
        <v>45071</v>
      </c>
      <c r="S207">
        <v>2023</v>
      </c>
      <c r="T207" s="12" t="s">
        <v>626</v>
      </c>
      <c r="U207">
        <v>1711</v>
      </c>
      <c r="V207">
        <v>25.052199999999999</v>
      </c>
      <c r="W207">
        <v>554.02</v>
      </c>
      <c r="X207">
        <v>0</v>
      </c>
      <c r="Y207">
        <v>0</v>
      </c>
      <c r="Z207">
        <v>42864.31</v>
      </c>
      <c r="AA207">
        <v>43418.33</v>
      </c>
      <c r="AB207" s="12" t="s">
        <v>333</v>
      </c>
      <c r="AC207">
        <v>25.052199999999999</v>
      </c>
      <c r="AD207">
        <v>1</v>
      </c>
      <c r="AE207">
        <v>1</v>
      </c>
      <c r="AF207">
        <v>0</v>
      </c>
      <c r="AG207">
        <v>42864.31</v>
      </c>
      <c r="AH207">
        <v>1711</v>
      </c>
      <c r="AI207">
        <v>1693</v>
      </c>
      <c r="AJ207">
        <v>18</v>
      </c>
      <c r="AK207">
        <v>1</v>
      </c>
      <c r="AL207">
        <v>1</v>
      </c>
      <c r="AM207">
        <v>98.95</v>
      </c>
      <c r="AN207">
        <v>25.645800000000001</v>
      </c>
      <c r="AO207">
        <v>450.94</v>
      </c>
      <c r="AP207" s="13">
        <v>45071</v>
      </c>
      <c r="AQ207">
        <v>0</v>
      </c>
      <c r="AR207">
        <v>1</v>
      </c>
    </row>
    <row r="208" spans="1:44" x14ac:dyDescent="0.35">
      <c r="A208" s="12" t="s">
        <v>650</v>
      </c>
      <c r="B208" s="12" t="s">
        <v>173</v>
      </c>
      <c r="C208" s="12" t="s">
        <v>174</v>
      </c>
      <c r="D208" s="12" t="s">
        <v>175</v>
      </c>
      <c r="E208" s="12" t="s">
        <v>104</v>
      </c>
      <c r="F208">
        <v>3</v>
      </c>
      <c r="G208">
        <v>1</v>
      </c>
      <c r="H208">
        <v>0</v>
      </c>
      <c r="I208" s="12" t="s">
        <v>176</v>
      </c>
      <c r="J208" s="12" t="s">
        <v>177</v>
      </c>
      <c r="K208" s="12" t="s">
        <v>125</v>
      </c>
      <c r="L208" s="12" t="s">
        <v>134</v>
      </c>
      <c r="M208">
        <v>1.75</v>
      </c>
      <c r="N208" s="12" t="s">
        <v>107</v>
      </c>
      <c r="O208" s="12" t="s">
        <v>108</v>
      </c>
      <c r="P208" s="12" t="s">
        <v>109</v>
      </c>
      <c r="Q208" s="13">
        <v>45021</v>
      </c>
      <c r="R208" s="13">
        <v>45043</v>
      </c>
      <c r="S208">
        <v>2023</v>
      </c>
      <c r="T208" s="12" t="s">
        <v>626</v>
      </c>
      <c r="U208">
        <v>88</v>
      </c>
      <c r="V208">
        <v>79.9559</v>
      </c>
      <c r="W208">
        <v>51.35</v>
      </c>
      <c r="X208">
        <v>0</v>
      </c>
      <c r="Y208">
        <v>0</v>
      </c>
      <c r="Z208">
        <v>7036.12</v>
      </c>
      <c r="AA208">
        <v>7087.47</v>
      </c>
      <c r="AB208" s="12" t="s">
        <v>178</v>
      </c>
      <c r="AC208">
        <v>79.9559</v>
      </c>
      <c r="AD208">
        <v>1</v>
      </c>
      <c r="AE208">
        <v>1</v>
      </c>
      <c r="AF208">
        <v>0</v>
      </c>
      <c r="AG208">
        <v>7036.12</v>
      </c>
      <c r="AH208">
        <v>88</v>
      </c>
      <c r="AI208">
        <v>87</v>
      </c>
      <c r="AJ208">
        <v>1</v>
      </c>
      <c r="AK208">
        <v>1</v>
      </c>
      <c r="AL208">
        <v>1</v>
      </c>
      <c r="AM208">
        <v>98.86</v>
      </c>
      <c r="AN208">
        <v>81.465199999999996</v>
      </c>
      <c r="AO208">
        <v>79.959999999999994</v>
      </c>
      <c r="AP208" s="13">
        <v>45042</v>
      </c>
      <c r="AQ208">
        <v>-1</v>
      </c>
      <c r="AR208">
        <v>1</v>
      </c>
    </row>
    <row r="209" spans="1:44" x14ac:dyDescent="0.35">
      <c r="A209" s="12" t="s">
        <v>651</v>
      </c>
      <c r="B209" s="12" t="s">
        <v>362</v>
      </c>
      <c r="C209" s="12" t="s">
        <v>363</v>
      </c>
      <c r="D209" s="12" t="s">
        <v>78</v>
      </c>
      <c r="E209" s="12" t="s">
        <v>104</v>
      </c>
      <c r="F209">
        <v>3</v>
      </c>
      <c r="G209">
        <v>0</v>
      </c>
      <c r="H209">
        <v>0</v>
      </c>
      <c r="I209" s="12" t="s">
        <v>105</v>
      </c>
      <c r="J209" s="12" t="s">
        <v>106</v>
      </c>
      <c r="K209" s="12" t="s">
        <v>81</v>
      </c>
      <c r="L209" s="12" t="s">
        <v>96</v>
      </c>
      <c r="M209">
        <v>5.01</v>
      </c>
      <c r="N209" s="12" t="s">
        <v>97</v>
      </c>
      <c r="O209" s="12" t="s">
        <v>98</v>
      </c>
      <c r="P209" s="12" t="s">
        <v>72</v>
      </c>
      <c r="Q209" s="13">
        <v>45021</v>
      </c>
      <c r="R209" s="13">
        <v>45035</v>
      </c>
      <c r="S209">
        <v>2023</v>
      </c>
      <c r="T209" s="12" t="s">
        <v>626</v>
      </c>
      <c r="U209">
        <v>82</v>
      </c>
      <c r="V209">
        <v>63.140599999999999</v>
      </c>
      <c r="W209">
        <v>51.75</v>
      </c>
      <c r="X209">
        <v>0</v>
      </c>
      <c r="Y209">
        <v>0</v>
      </c>
      <c r="Z209">
        <v>5177.53</v>
      </c>
      <c r="AA209">
        <v>5229.28</v>
      </c>
      <c r="AB209" s="12" t="s">
        <v>652</v>
      </c>
      <c r="AC209">
        <v>63.140599999999999</v>
      </c>
      <c r="AD209">
        <v>1</v>
      </c>
      <c r="AE209">
        <v>1</v>
      </c>
      <c r="AF209">
        <v>0</v>
      </c>
      <c r="AG209">
        <v>5177.53</v>
      </c>
      <c r="AH209">
        <v>82</v>
      </c>
      <c r="AI209">
        <v>80</v>
      </c>
      <c r="AJ209">
        <v>2</v>
      </c>
      <c r="AK209">
        <v>1</v>
      </c>
      <c r="AL209">
        <v>1</v>
      </c>
      <c r="AM209">
        <v>97.56</v>
      </c>
      <c r="AN209">
        <v>65.366</v>
      </c>
      <c r="AO209">
        <v>126.28</v>
      </c>
      <c r="AP209" s="13">
        <v>45032</v>
      </c>
      <c r="AQ209">
        <v>-3</v>
      </c>
      <c r="AR209">
        <v>1</v>
      </c>
    </row>
    <row r="210" spans="1:44" x14ac:dyDescent="0.35">
      <c r="A210" s="12" t="s">
        <v>653</v>
      </c>
      <c r="B210" s="12" t="s">
        <v>412</v>
      </c>
      <c r="C210" s="12" t="s">
        <v>413</v>
      </c>
      <c r="D210" s="12" t="s">
        <v>269</v>
      </c>
      <c r="E210" s="12" t="s">
        <v>65</v>
      </c>
      <c r="F210">
        <v>1</v>
      </c>
      <c r="G210">
        <v>2</v>
      </c>
      <c r="H210">
        <v>1</v>
      </c>
      <c r="I210" s="12" t="s">
        <v>233</v>
      </c>
      <c r="J210" s="12" t="s">
        <v>234</v>
      </c>
      <c r="K210" s="12" t="s">
        <v>125</v>
      </c>
      <c r="L210" s="12" t="s">
        <v>96</v>
      </c>
      <c r="M210">
        <v>3.73</v>
      </c>
      <c r="N210" s="12" t="s">
        <v>135</v>
      </c>
      <c r="O210" s="12" t="s">
        <v>136</v>
      </c>
      <c r="P210" s="12" t="s">
        <v>137</v>
      </c>
      <c r="Q210" s="13">
        <v>45022</v>
      </c>
      <c r="R210" s="13">
        <v>45052</v>
      </c>
      <c r="S210">
        <v>2023</v>
      </c>
      <c r="T210" s="12" t="s">
        <v>626</v>
      </c>
      <c r="U210">
        <v>87</v>
      </c>
      <c r="V210">
        <v>104.4832</v>
      </c>
      <c r="W210">
        <v>87.96</v>
      </c>
      <c r="X210">
        <v>0</v>
      </c>
      <c r="Y210">
        <v>0</v>
      </c>
      <c r="Z210">
        <v>9090.0400000000009</v>
      </c>
      <c r="AA210">
        <v>9178</v>
      </c>
      <c r="AB210" s="12" t="s">
        <v>414</v>
      </c>
      <c r="AC210">
        <v>104.4832</v>
      </c>
      <c r="AD210">
        <v>1</v>
      </c>
      <c r="AE210">
        <v>1</v>
      </c>
      <c r="AF210">
        <v>0</v>
      </c>
      <c r="AG210">
        <v>9090.0400000000009</v>
      </c>
      <c r="AH210">
        <v>87</v>
      </c>
      <c r="AI210">
        <v>87</v>
      </c>
      <c r="AJ210">
        <v>0</v>
      </c>
      <c r="AK210">
        <v>1</v>
      </c>
      <c r="AL210">
        <v>1</v>
      </c>
      <c r="AM210">
        <v>100</v>
      </c>
      <c r="AN210">
        <v>105.49420000000001</v>
      </c>
      <c r="AO210">
        <v>0</v>
      </c>
      <c r="AP210" s="13">
        <v>45052</v>
      </c>
      <c r="AQ210">
        <v>0</v>
      </c>
      <c r="AR210">
        <v>1</v>
      </c>
    </row>
    <row r="211" spans="1:44" x14ac:dyDescent="0.35">
      <c r="A211" s="12" t="s">
        <v>654</v>
      </c>
      <c r="B211" s="12" t="s">
        <v>120</v>
      </c>
      <c r="C211" s="12" t="s">
        <v>121</v>
      </c>
      <c r="D211" s="12" t="s">
        <v>122</v>
      </c>
      <c r="E211" s="12" t="s">
        <v>65</v>
      </c>
      <c r="F211">
        <v>3</v>
      </c>
      <c r="G211">
        <v>4</v>
      </c>
      <c r="H211">
        <v>0</v>
      </c>
      <c r="I211" s="12" t="s">
        <v>123</v>
      </c>
      <c r="J211" s="12" t="s">
        <v>124</v>
      </c>
      <c r="K211" s="12" t="s">
        <v>125</v>
      </c>
      <c r="L211" s="12" t="s">
        <v>82</v>
      </c>
      <c r="M211">
        <v>6.75</v>
      </c>
      <c r="N211" s="12" t="s">
        <v>70</v>
      </c>
      <c r="O211" s="12" t="s">
        <v>71</v>
      </c>
      <c r="P211" s="12" t="s">
        <v>72</v>
      </c>
      <c r="Q211" s="13">
        <v>45022</v>
      </c>
      <c r="R211" s="13">
        <v>45048</v>
      </c>
      <c r="S211">
        <v>2023</v>
      </c>
      <c r="T211" s="12" t="s">
        <v>626</v>
      </c>
      <c r="U211">
        <v>778</v>
      </c>
      <c r="V211">
        <v>55.544699999999999</v>
      </c>
      <c r="W211">
        <v>290.5</v>
      </c>
      <c r="X211">
        <v>0</v>
      </c>
      <c r="Y211">
        <v>0</v>
      </c>
      <c r="Z211">
        <v>43213.78</v>
      </c>
      <c r="AA211">
        <v>43504.28</v>
      </c>
      <c r="AB211" s="12" t="s">
        <v>126</v>
      </c>
      <c r="AC211">
        <v>55.544699999999999</v>
      </c>
      <c r="AD211">
        <v>1</v>
      </c>
      <c r="AE211">
        <v>1</v>
      </c>
      <c r="AF211">
        <v>0</v>
      </c>
      <c r="AG211">
        <v>43213.78</v>
      </c>
      <c r="AH211">
        <v>778</v>
      </c>
      <c r="AI211">
        <v>772</v>
      </c>
      <c r="AJ211">
        <v>6</v>
      </c>
      <c r="AK211">
        <v>1</v>
      </c>
      <c r="AL211">
        <v>1</v>
      </c>
      <c r="AM211">
        <v>99.23</v>
      </c>
      <c r="AN211">
        <v>56.352699999999999</v>
      </c>
      <c r="AO211">
        <v>333.27</v>
      </c>
      <c r="AP211" s="13">
        <v>45048</v>
      </c>
      <c r="AQ211">
        <v>0</v>
      </c>
      <c r="AR211">
        <v>1</v>
      </c>
    </row>
    <row r="212" spans="1:44" x14ac:dyDescent="0.35">
      <c r="A212" s="12" t="s">
        <v>655</v>
      </c>
      <c r="B212" s="12" t="s">
        <v>249</v>
      </c>
      <c r="C212" s="12" t="s">
        <v>250</v>
      </c>
      <c r="D212" s="12" t="s">
        <v>64</v>
      </c>
      <c r="E212" s="12" t="s">
        <v>65</v>
      </c>
      <c r="F212">
        <v>2</v>
      </c>
      <c r="G212">
        <v>3</v>
      </c>
      <c r="H212">
        <v>0</v>
      </c>
      <c r="I212" s="12" t="s">
        <v>251</v>
      </c>
      <c r="J212" s="12" t="s">
        <v>252</v>
      </c>
      <c r="K212" s="12" t="s">
        <v>133</v>
      </c>
      <c r="L212" s="12" t="s">
        <v>69</v>
      </c>
      <c r="M212">
        <v>34.49</v>
      </c>
      <c r="N212" s="12" t="s">
        <v>70</v>
      </c>
      <c r="O212" s="12" t="s">
        <v>71</v>
      </c>
      <c r="P212" s="12" t="s">
        <v>72</v>
      </c>
      <c r="Q212" s="13">
        <v>45022</v>
      </c>
      <c r="R212" s="13">
        <v>45046</v>
      </c>
      <c r="S212">
        <v>2023</v>
      </c>
      <c r="T212" s="12" t="s">
        <v>626</v>
      </c>
      <c r="U212">
        <v>252</v>
      </c>
      <c r="V212">
        <v>10.6486</v>
      </c>
      <c r="W212">
        <v>64.16</v>
      </c>
      <c r="X212">
        <v>0</v>
      </c>
      <c r="Y212">
        <v>0</v>
      </c>
      <c r="Z212">
        <v>2683.45</v>
      </c>
      <c r="AA212">
        <v>2747.61</v>
      </c>
      <c r="AB212" s="12" t="s">
        <v>253</v>
      </c>
      <c r="AC212">
        <v>10.6486</v>
      </c>
      <c r="AD212">
        <v>1</v>
      </c>
      <c r="AE212">
        <v>1</v>
      </c>
      <c r="AF212">
        <v>0</v>
      </c>
      <c r="AG212">
        <v>2683.45</v>
      </c>
      <c r="AH212">
        <v>252</v>
      </c>
      <c r="AI212">
        <v>251</v>
      </c>
      <c r="AJ212">
        <v>1</v>
      </c>
      <c r="AK212">
        <v>1</v>
      </c>
      <c r="AL212">
        <v>1</v>
      </c>
      <c r="AM212">
        <v>99.6</v>
      </c>
      <c r="AN212">
        <v>10.9466</v>
      </c>
      <c r="AO212">
        <v>10.65</v>
      </c>
      <c r="AP212" s="13">
        <v>45050</v>
      </c>
      <c r="AQ212">
        <v>4</v>
      </c>
      <c r="AR212">
        <v>0</v>
      </c>
    </row>
    <row r="213" spans="1:44" x14ac:dyDescent="0.35">
      <c r="A213" s="12" t="s">
        <v>656</v>
      </c>
      <c r="B213" s="12" t="s">
        <v>657</v>
      </c>
      <c r="C213" s="12" t="s">
        <v>658</v>
      </c>
      <c r="D213" s="12" t="s">
        <v>175</v>
      </c>
      <c r="E213" s="12" t="s">
        <v>65</v>
      </c>
      <c r="F213">
        <v>1</v>
      </c>
      <c r="G213">
        <v>2</v>
      </c>
      <c r="H213">
        <v>1</v>
      </c>
      <c r="I213" s="12" t="s">
        <v>183</v>
      </c>
      <c r="J213" s="12" t="s">
        <v>184</v>
      </c>
      <c r="K213" s="12" t="s">
        <v>133</v>
      </c>
      <c r="L213" s="12" t="s">
        <v>82</v>
      </c>
      <c r="M213">
        <v>8.6199999999999992</v>
      </c>
      <c r="N213" s="12" t="s">
        <v>145</v>
      </c>
      <c r="O213" s="12" t="s">
        <v>146</v>
      </c>
      <c r="P213" s="12" t="s">
        <v>109</v>
      </c>
      <c r="Q213" s="13">
        <v>45022</v>
      </c>
      <c r="R213" s="13">
        <v>45057</v>
      </c>
      <c r="S213">
        <v>2023</v>
      </c>
      <c r="T213" s="12" t="s">
        <v>626</v>
      </c>
      <c r="U213">
        <v>126</v>
      </c>
      <c r="V213">
        <v>153.8561</v>
      </c>
      <c r="W213">
        <v>237.4</v>
      </c>
      <c r="X213">
        <v>0</v>
      </c>
      <c r="Y213">
        <v>0</v>
      </c>
      <c r="Z213">
        <v>19385.87</v>
      </c>
      <c r="AA213">
        <v>19623.27</v>
      </c>
      <c r="AB213" s="12" t="s">
        <v>659</v>
      </c>
      <c r="AC213">
        <v>153.8561</v>
      </c>
      <c r="AD213">
        <v>1</v>
      </c>
      <c r="AE213">
        <v>1</v>
      </c>
      <c r="AF213">
        <v>0</v>
      </c>
      <c r="AG213">
        <v>19385.87</v>
      </c>
      <c r="AH213">
        <v>126</v>
      </c>
      <c r="AI213">
        <v>126</v>
      </c>
      <c r="AJ213">
        <v>0</v>
      </c>
      <c r="AK213">
        <v>1</v>
      </c>
      <c r="AL213">
        <v>1</v>
      </c>
      <c r="AM213">
        <v>100</v>
      </c>
      <c r="AN213">
        <v>155.74019999999999</v>
      </c>
      <c r="AO213">
        <v>0</v>
      </c>
      <c r="AP213" s="13">
        <v>45057</v>
      </c>
      <c r="AQ213">
        <v>0</v>
      </c>
      <c r="AR213">
        <v>1</v>
      </c>
    </row>
    <row r="214" spans="1:44" x14ac:dyDescent="0.35">
      <c r="A214" s="12" t="s">
        <v>660</v>
      </c>
      <c r="B214" s="12" t="s">
        <v>661</v>
      </c>
      <c r="C214" s="12" t="s">
        <v>662</v>
      </c>
      <c r="D214" s="12" t="s">
        <v>175</v>
      </c>
      <c r="E214" s="12" t="s">
        <v>104</v>
      </c>
      <c r="F214">
        <v>1</v>
      </c>
      <c r="G214">
        <v>0</v>
      </c>
      <c r="H214">
        <v>1</v>
      </c>
      <c r="I214" s="12" t="s">
        <v>183</v>
      </c>
      <c r="J214" s="12" t="s">
        <v>184</v>
      </c>
      <c r="K214" s="12" t="s">
        <v>133</v>
      </c>
      <c r="L214" s="12" t="s">
        <v>82</v>
      </c>
      <c r="M214">
        <v>8.6199999999999992</v>
      </c>
      <c r="N214" s="12" t="s">
        <v>107</v>
      </c>
      <c r="O214" s="12" t="s">
        <v>108</v>
      </c>
      <c r="P214" s="12" t="s">
        <v>109</v>
      </c>
      <c r="Q214" s="13">
        <v>45022</v>
      </c>
      <c r="R214" s="13">
        <v>45044</v>
      </c>
      <c r="S214">
        <v>2023</v>
      </c>
      <c r="T214" s="12" t="s">
        <v>626</v>
      </c>
      <c r="U214">
        <v>89</v>
      </c>
      <c r="V214">
        <v>194.86689999999999</v>
      </c>
      <c r="W214">
        <v>310.89999999999998</v>
      </c>
      <c r="X214">
        <v>0</v>
      </c>
      <c r="Y214">
        <v>0</v>
      </c>
      <c r="Z214">
        <v>17343.150000000001</v>
      </c>
      <c r="AA214">
        <v>17654.05</v>
      </c>
      <c r="AB214" s="12" t="s">
        <v>663</v>
      </c>
      <c r="AC214">
        <v>201.68719999999999</v>
      </c>
      <c r="AD214">
        <v>2</v>
      </c>
      <c r="AE214">
        <v>1</v>
      </c>
      <c r="AF214">
        <v>-607.01</v>
      </c>
      <c r="AG214">
        <v>17950.16</v>
      </c>
      <c r="AH214">
        <v>89</v>
      </c>
      <c r="AI214">
        <v>88</v>
      </c>
      <c r="AJ214">
        <v>1</v>
      </c>
      <c r="AK214">
        <v>1</v>
      </c>
      <c r="AL214">
        <v>1</v>
      </c>
      <c r="AM214">
        <v>98.88</v>
      </c>
      <c r="AN214">
        <v>200.61429999999999</v>
      </c>
      <c r="AO214">
        <v>194.87</v>
      </c>
      <c r="AP214" s="13">
        <v>45043</v>
      </c>
      <c r="AQ214">
        <v>-1</v>
      </c>
      <c r="AR214">
        <v>1</v>
      </c>
    </row>
    <row r="215" spans="1:44" x14ac:dyDescent="0.35">
      <c r="A215" s="12" t="s">
        <v>664</v>
      </c>
      <c r="B215" s="12" t="s">
        <v>399</v>
      </c>
      <c r="C215" s="12" t="s">
        <v>400</v>
      </c>
      <c r="D215" s="12" t="s">
        <v>114</v>
      </c>
      <c r="E215" s="12" t="s">
        <v>65</v>
      </c>
      <c r="F215">
        <v>1</v>
      </c>
      <c r="G215">
        <v>2</v>
      </c>
      <c r="H215">
        <v>1</v>
      </c>
      <c r="I215" s="12" t="s">
        <v>151</v>
      </c>
      <c r="J215" s="12" t="s">
        <v>152</v>
      </c>
      <c r="K215" s="12" t="s">
        <v>125</v>
      </c>
      <c r="L215" s="12" t="s">
        <v>69</v>
      </c>
      <c r="M215">
        <v>36.479999999999997</v>
      </c>
      <c r="N215" s="12" t="s">
        <v>70</v>
      </c>
      <c r="O215" s="12" t="s">
        <v>71</v>
      </c>
      <c r="P215" s="12" t="s">
        <v>72</v>
      </c>
      <c r="Q215" s="13">
        <v>45023</v>
      </c>
      <c r="R215" s="13">
        <v>45053</v>
      </c>
      <c r="S215">
        <v>2023</v>
      </c>
      <c r="T215" s="12" t="s">
        <v>626</v>
      </c>
      <c r="U215">
        <v>83</v>
      </c>
      <c r="V215">
        <v>296.81490000000002</v>
      </c>
      <c r="W215">
        <v>176.42</v>
      </c>
      <c r="X215">
        <v>0</v>
      </c>
      <c r="Y215">
        <v>0</v>
      </c>
      <c r="Z215">
        <v>24635.64</v>
      </c>
      <c r="AA215">
        <v>24812.06</v>
      </c>
      <c r="AB215" s="12" t="s">
        <v>401</v>
      </c>
      <c r="AC215">
        <v>296.81490000000002</v>
      </c>
      <c r="AD215">
        <v>1</v>
      </c>
      <c r="AE215">
        <v>1</v>
      </c>
      <c r="AF215">
        <v>0</v>
      </c>
      <c r="AG215">
        <v>24635.64</v>
      </c>
      <c r="AH215">
        <v>83</v>
      </c>
      <c r="AI215">
        <v>82</v>
      </c>
      <c r="AJ215">
        <v>1</v>
      </c>
      <c r="AK215">
        <v>1</v>
      </c>
      <c r="AL215">
        <v>1</v>
      </c>
      <c r="AM215">
        <v>98.8</v>
      </c>
      <c r="AN215">
        <v>302.58609999999999</v>
      </c>
      <c r="AO215">
        <v>296.81</v>
      </c>
      <c r="AP215" s="13">
        <v>45054</v>
      </c>
      <c r="AQ215">
        <v>1</v>
      </c>
      <c r="AR215">
        <v>0</v>
      </c>
    </row>
    <row r="216" spans="1:44" x14ac:dyDescent="0.35">
      <c r="A216" s="12" t="s">
        <v>665</v>
      </c>
      <c r="B216" s="12" t="s">
        <v>378</v>
      </c>
      <c r="C216" s="12" t="s">
        <v>379</v>
      </c>
      <c r="D216" s="12" t="s">
        <v>64</v>
      </c>
      <c r="E216" s="12" t="s">
        <v>104</v>
      </c>
      <c r="F216">
        <v>3</v>
      </c>
      <c r="G216">
        <v>1</v>
      </c>
      <c r="H216">
        <v>0</v>
      </c>
      <c r="I216" s="12" t="s">
        <v>380</v>
      </c>
      <c r="J216" s="12" t="s">
        <v>381</v>
      </c>
      <c r="K216" s="12" t="s">
        <v>89</v>
      </c>
      <c r="L216" s="12" t="s">
        <v>96</v>
      </c>
      <c r="M216">
        <v>10.210000000000001</v>
      </c>
      <c r="N216" s="12" t="s">
        <v>70</v>
      </c>
      <c r="O216" s="12" t="s">
        <v>71</v>
      </c>
      <c r="P216" s="12" t="s">
        <v>72</v>
      </c>
      <c r="Q216" s="13">
        <v>45023</v>
      </c>
      <c r="R216" s="13">
        <v>45037</v>
      </c>
      <c r="S216">
        <v>2023</v>
      </c>
      <c r="T216" s="12" t="s">
        <v>626</v>
      </c>
      <c r="U216">
        <v>239</v>
      </c>
      <c r="V216">
        <v>16.160900000000002</v>
      </c>
      <c r="W216">
        <v>65.52</v>
      </c>
      <c r="X216">
        <v>0</v>
      </c>
      <c r="Y216">
        <v>0</v>
      </c>
      <c r="Z216">
        <v>3862.46</v>
      </c>
      <c r="AA216">
        <v>3927.98</v>
      </c>
      <c r="AB216" s="12" t="s">
        <v>382</v>
      </c>
      <c r="AC216">
        <v>16.160900000000002</v>
      </c>
      <c r="AD216">
        <v>1</v>
      </c>
      <c r="AE216">
        <v>1</v>
      </c>
      <c r="AF216">
        <v>0</v>
      </c>
      <c r="AG216">
        <v>3862.46</v>
      </c>
      <c r="AH216">
        <v>239</v>
      </c>
      <c r="AI216">
        <v>237</v>
      </c>
      <c r="AJ216">
        <v>2</v>
      </c>
      <c r="AK216">
        <v>1</v>
      </c>
      <c r="AL216">
        <v>1</v>
      </c>
      <c r="AM216">
        <v>99.16</v>
      </c>
      <c r="AN216">
        <v>16.573699999999999</v>
      </c>
      <c r="AO216">
        <v>32.32</v>
      </c>
      <c r="AP216" s="13">
        <v>45035</v>
      </c>
      <c r="AQ216">
        <v>-2</v>
      </c>
      <c r="AR216">
        <v>1</v>
      </c>
    </row>
    <row r="217" spans="1:44" x14ac:dyDescent="0.35">
      <c r="A217" s="12" t="s">
        <v>666</v>
      </c>
      <c r="B217" s="12" t="s">
        <v>267</v>
      </c>
      <c r="C217" s="12" t="s">
        <v>268</v>
      </c>
      <c r="D217" s="12" t="s">
        <v>269</v>
      </c>
      <c r="E217" s="12" t="s">
        <v>142</v>
      </c>
      <c r="F217">
        <v>1</v>
      </c>
      <c r="G217">
        <v>8</v>
      </c>
      <c r="H217">
        <v>1</v>
      </c>
      <c r="I217" s="12" t="s">
        <v>94</v>
      </c>
      <c r="J217" s="12" t="s">
        <v>95</v>
      </c>
      <c r="K217" s="12" t="s">
        <v>81</v>
      </c>
      <c r="L217" s="12" t="s">
        <v>96</v>
      </c>
      <c r="M217">
        <v>4.8099999999999996</v>
      </c>
      <c r="N217" s="12" t="s">
        <v>135</v>
      </c>
      <c r="O217" s="12" t="s">
        <v>136</v>
      </c>
      <c r="P217" s="12" t="s">
        <v>137</v>
      </c>
      <c r="Q217" s="13">
        <v>45023</v>
      </c>
      <c r="R217" s="13">
        <v>45065</v>
      </c>
      <c r="S217">
        <v>2023</v>
      </c>
      <c r="T217" s="12" t="s">
        <v>626</v>
      </c>
      <c r="U217">
        <v>67</v>
      </c>
      <c r="V217">
        <v>247.31829999999999</v>
      </c>
      <c r="W217">
        <v>258.88</v>
      </c>
      <c r="X217">
        <v>0</v>
      </c>
      <c r="Y217">
        <v>0</v>
      </c>
      <c r="Z217">
        <v>16570.330000000002</v>
      </c>
      <c r="AA217">
        <v>16829.21</v>
      </c>
      <c r="AB217" s="12" t="s">
        <v>270</v>
      </c>
      <c r="AC217">
        <v>247.31829999999999</v>
      </c>
      <c r="AD217">
        <v>1</v>
      </c>
      <c r="AE217">
        <v>1</v>
      </c>
      <c r="AF217">
        <v>0</v>
      </c>
      <c r="AG217">
        <v>16570.330000000002</v>
      </c>
      <c r="AH217">
        <v>67</v>
      </c>
      <c r="AI217">
        <v>67</v>
      </c>
      <c r="AJ217">
        <v>0</v>
      </c>
      <c r="AK217">
        <v>1</v>
      </c>
      <c r="AL217">
        <v>1</v>
      </c>
      <c r="AM217">
        <v>100</v>
      </c>
      <c r="AN217">
        <v>251.18219999999999</v>
      </c>
      <c r="AO217">
        <v>0</v>
      </c>
      <c r="AP217" s="13">
        <v>45068</v>
      </c>
      <c r="AQ217">
        <v>3</v>
      </c>
      <c r="AR217">
        <v>0</v>
      </c>
    </row>
    <row r="218" spans="1:44" x14ac:dyDescent="0.35">
      <c r="A218" s="12" t="s">
        <v>667</v>
      </c>
      <c r="B218" s="12" t="s">
        <v>255</v>
      </c>
      <c r="C218" s="12" t="s">
        <v>256</v>
      </c>
      <c r="D218" s="12" t="s">
        <v>103</v>
      </c>
      <c r="E218" s="12" t="s">
        <v>65</v>
      </c>
      <c r="F218">
        <v>2</v>
      </c>
      <c r="G218">
        <v>4</v>
      </c>
      <c r="H218">
        <v>0</v>
      </c>
      <c r="I218" s="12" t="s">
        <v>143</v>
      </c>
      <c r="J218" s="12" t="s">
        <v>144</v>
      </c>
      <c r="K218" s="12" t="s">
        <v>133</v>
      </c>
      <c r="L218" s="12" t="s">
        <v>96</v>
      </c>
      <c r="M218">
        <v>5.43</v>
      </c>
      <c r="N218" s="12" t="s">
        <v>107</v>
      </c>
      <c r="O218" s="12" t="s">
        <v>108</v>
      </c>
      <c r="P218" s="12" t="s">
        <v>109</v>
      </c>
      <c r="Q218" s="13">
        <v>45023</v>
      </c>
      <c r="R218" s="13">
        <v>45048</v>
      </c>
      <c r="S218">
        <v>2023</v>
      </c>
      <c r="T218" s="12" t="s">
        <v>626</v>
      </c>
      <c r="U218">
        <v>41</v>
      </c>
      <c r="V218">
        <v>95.085700000000003</v>
      </c>
      <c r="W218">
        <v>74.5</v>
      </c>
      <c r="X218">
        <v>0</v>
      </c>
      <c r="Y218">
        <v>0</v>
      </c>
      <c r="Z218">
        <v>3898.51</v>
      </c>
      <c r="AA218">
        <v>3973.01</v>
      </c>
      <c r="AB218" s="12" t="s">
        <v>366</v>
      </c>
      <c r="AC218">
        <v>95.085700000000003</v>
      </c>
      <c r="AD218">
        <v>1</v>
      </c>
      <c r="AE218">
        <v>1</v>
      </c>
      <c r="AF218">
        <v>0</v>
      </c>
      <c r="AG218">
        <v>3898.51</v>
      </c>
      <c r="AH218">
        <v>41</v>
      </c>
      <c r="AI218">
        <v>40</v>
      </c>
      <c r="AJ218">
        <v>1</v>
      </c>
      <c r="AK218">
        <v>1</v>
      </c>
      <c r="AL218">
        <v>1</v>
      </c>
      <c r="AM218">
        <v>97.56</v>
      </c>
      <c r="AN218">
        <v>99.325299999999999</v>
      </c>
      <c r="AO218">
        <v>95.09</v>
      </c>
      <c r="AP218" s="13">
        <v>45047</v>
      </c>
      <c r="AQ218">
        <v>-1</v>
      </c>
      <c r="AR218">
        <v>1</v>
      </c>
    </row>
    <row r="219" spans="1:44" x14ac:dyDescent="0.35">
      <c r="A219" s="12" t="s">
        <v>668</v>
      </c>
      <c r="B219" s="12" t="s">
        <v>428</v>
      </c>
      <c r="C219" s="12" t="s">
        <v>429</v>
      </c>
      <c r="D219" s="12" t="s">
        <v>64</v>
      </c>
      <c r="E219" s="12" t="s">
        <v>65</v>
      </c>
      <c r="F219">
        <v>3</v>
      </c>
      <c r="G219">
        <v>4</v>
      </c>
      <c r="H219">
        <v>0</v>
      </c>
      <c r="I219" s="12" t="s">
        <v>380</v>
      </c>
      <c r="J219" s="12" t="s">
        <v>381</v>
      </c>
      <c r="K219" s="12" t="s">
        <v>89</v>
      </c>
      <c r="L219" s="12" t="s">
        <v>96</v>
      </c>
      <c r="M219">
        <v>10.210000000000001</v>
      </c>
      <c r="N219" s="12" t="s">
        <v>70</v>
      </c>
      <c r="O219" s="12" t="s">
        <v>71</v>
      </c>
      <c r="P219" s="12" t="s">
        <v>72</v>
      </c>
      <c r="Q219" s="13">
        <v>45023</v>
      </c>
      <c r="R219" s="13">
        <v>45057</v>
      </c>
      <c r="S219">
        <v>2023</v>
      </c>
      <c r="T219" s="12" t="s">
        <v>626</v>
      </c>
      <c r="U219">
        <v>780</v>
      </c>
      <c r="V219">
        <v>15.0402</v>
      </c>
      <c r="W219">
        <v>107.54</v>
      </c>
      <c r="X219">
        <v>0</v>
      </c>
      <c r="Y219">
        <v>0</v>
      </c>
      <c r="Z219">
        <v>11731.36</v>
      </c>
      <c r="AA219">
        <v>11838.9</v>
      </c>
      <c r="AB219" s="12" t="s">
        <v>430</v>
      </c>
      <c r="AC219">
        <v>15.0402</v>
      </c>
      <c r="AD219">
        <v>1</v>
      </c>
      <c r="AE219">
        <v>1</v>
      </c>
      <c r="AF219">
        <v>0</v>
      </c>
      <c r="AG219">
        <v>11731.36</v>
      </c>
      <c r="AH219">
        <v>780</v>
      </c>
      <c r="AI219">
        <v>777</v>
      </c>
      <c r="AJ219">
        <v>3</v>
      </c>
      <c r="AK219">
        <v>1</v>
      </c>
      <c r="AL219">
        <v>1</v>
      </c>
      <c r="AM219">
        <v>99.62</v>
      </c>
      <c r="AN219">
        <v>15.236700000000001</v>
      </c>
      <c r="AO219">
        <v>45.12</v>
      </c>
      <c r="AP219" s="13">
        <v>45057</v>
      </c>
      <c r="AQ219">
        <v>0</v>
      </c>
      <c r="AR219">
        <v>1</v>
      </c>
    </row>
    <row r="220" spans="1:44" x14ac:dyDescent="0.35">
      <c r="A220" s="12" t="s">
        <v>669</v>
      </c>
      <c r="B220" s="12" t="s">
        <v>670</v>
      </c>
      <c r="C220" s="12" t="s">
        <v>671</v>
      </c>
      <c r="D220" s="12" t="s">
        <v>175</v>
      </c>
      <c r="E220" s="12" t="s">
        <v>142</v>
      </c>
      <c r="F220">
        <v>2</v>
      </c>
      <c r="G220">
        <v>9</v>
      </c>
      <c r="H220">
        <v>0</v>
      </c>
      <c r="I220" s="12" t="s">
        <v>233</v>
      </c>
      <c r="J220" s="12" t="s">
        <v>234</v>
      </c>
      <c r="K220" s="12" t="s">
        <v>125</v>
      </c>
      <c r="L220" s="12" t="s">
        <v>96</v>
      </c>
      <c r="M220">
        <v>3.73</v>
      </c>
      <c r="N220" s="12" t="s">
        <v>145</v>
      </c>
      <c r="O220" s="12" t="s">
        <v>146</v>
      </c>
      <c r="P220" s="12" t="s">
        <v>109</v>
      </c>
      <c r="Q220" s="13">
        <v>45023</v>
      </c>
      <c r="R220" s="13">
        <v>45063</v>
      </c>
      <c r="S220">
        <v>2023</v>
      </c>
      <c r="T220" s="12" t="s">
        <v>626</v>
      </c>
      <c r="U220">
        <v>49</v>
      </c>
      <c r="V220">
        <v>151.31620000000001</v>
      </c>
      <c r="W220">
        <v>143.13999999999999</v>
      </c>
      <c r="X220">
        <v>0</v>
      </c>
      <c r="Y220">
        <v>0</v>
      </c>
      <c r="Z220">
        <v>7414.49</v>
      </c>
      <c r="AA220">
        <v>7557.63</v>
      </c>
      <c r="AB220" s="12" t="s">
        <v>672</v>
      </c>
      <c r="AC220">
        <v>151.31620000000001</v>
      </c>
      <c r="AD220">
        <v>1</v>
      </c>
      <c r="AE220">
        <v>1</v>
      </c>
      <c r="AF220">
        <v>0</v>
      </c>
      <c r="AG220">
        <v>7414.49</v>
      </c>
      <c r="AH220">
        <v>49</v>
      </c>
      <c r="AI220">
        <v>48</v>
      </c>
      <c r="AJ220">
        <v>1</v>
      </c>
      <c r="AK220">
        <v>1</v>
      </c>
      <c r="AL220">
        <v>1</v>
      </c>
      <c r="AM220">
        <v>97.96</v>
      </c>
      <c r="AN220">
        <v>157.45070000000001</v>
      </c>
      <c r="AO220">
        <v>151.32</v>
      </c>
      <c r="AP220" s="13">
        <v>45063</v>
      </c>
      <c r="AQ220">
        <v>0</v>
      </c>
      <c r="AR220">
        <v>1</v>
      </c>
    </row>
    <row r="221" spans="1:44" x14ac:dyDescent="0.35">
      <c r="A221" s="12" t="s">
        <v>673</v>
      </c>
      <c r="B221" s="12" t="s">
        <v>674</v>
      </c>
      <c r="C221" s="12" t="s">
        <v>675</v>
      </c>
      <c r="D221" s="12" t="s">
        <v>269</v>
      </c>
      <c r="E221" s="12" t="s">
        <v>142</v>
      </c>
      <c r="F221">
        <v>1</v>
      </c>
      <c r="G221">
        <v>7</v>
      </c>
      <c r="H221">
        <v>1</v>
      </c>
      <c r="I221" s="12" t="s">
        <v>676</v>
      </c>
      <c r="J221" s="12" t="s">
        <v>677</v>
      </c>
      <c r="K221" s="12" t="s">
        <v>68</v>
      </c>
      <c r="L221" s="12" t="s">
        <v>96</v>
      </c>
      <c r="M221">
        <v>3.57</v>
      </c>
      <c r="N221" s="12" t="s">
        <v>159</v>
      </c>
      <c r="O221" s="12" t="s">
        <v>160</v>
      </c>
      <c r="P221" s="12" t="s">
        <v>137</v>
      </c>
      <c r="Q221" s="13">
        <v>45026</v>
      </c>
      <c r="R221" s="13">
        <v>45070</v>
      </c>
      <c r="S221">
        <v>2023</v>
      </c>
      <c r="T221" s="12" t="s">
        <v>626</v>
      </c>
      <c r="U221">
        <v>87</v>
      </c>
      <c r="V221">
        <v>355.32960000000003</v>
      </c>
      <c r="W221">
        <v>413.57</v>
      </c>
      <c r="X221">
        <v>0</v>
      </c>
      <c r="Y221">
        <v>0</v>
      </c>
      <c r="Z221">
        <v>30913.68</v>
      </c>
      <c r="AA221">
        <v>31327.25</v>
      </c>
      <c r="AB221" s="12" t="s">
        <v>678</v>
      </c>
      <c r="AC221">
        <v>355.32960000000003</v>
      </c>
      <c r="AD221">
        <v>1</v>
      </c>
      <c r="AE221">
        <v>1</v>
      </c>
      <c r="AF221">
        <v>0</v>
      </c>
      <c r="AG221">
        <v>30913.68</v>
      </c>
      <c r="AH221">
        <v>87</v>
      </c>
      <c r="AI221">
        <v>86</v>
      </c>
      <c r="AJ221">
        <v>1</v>
      </c>
      <c r="AK221">
        <v>1</v>
      </c>
      <c r="AL221">
        <v>1</v>
      </c>
      <c r="AM221">
        <v>98.85</v>
      </c>
      <c r="AN221">
        <v>364.27030000000002</v>
      </c>
      <c r="AO221">
        <v>355.33</v>
      </c>
      <c r="AP221" s="13">
        <v>45070</v>
      </c>
      <c r="AQ221">
        <v>0</v>
      </c>
      <c r="AR221">
        <v>1</v>
      </c>
    </row>
    <row r="222" spans="1:44" x14ac:dyDescent="0.35">
      <c r="A222" s="12" t="s">
        <v>679</v>
      </c>
      <c r="B222" s="12" t="s">
        <v>680</v>
      </c>
      <c r="C222" s="12" t="s">
        <v>681</v>
      </c>
      <c r="D222" s="12" t="s">
        <v>122</v>
      </c>
      <c r="E222" s="12" t="s">
        <v>104</v>
      </c>
      <c r="F222">
        <v>3</v>
      </c>
      <c r="G222">
        <v>1</v>
      </c>
      <c r="H222">
        <v>0</v>
      </c>
      <c r="I222" s="12" t="s">
        <v>243</v>
      </c>
      <c r="J222" s="12" t="s">
        <v>244</v>
      </c>
      <c r="K222" s="12" t="s">
        <v>81</v>
      </c>
      <c r="L222" s="12" t="s">
        <v>82</v>
      </c>
      <c r="M222">
        <v>9.2200000000000006</v>
      </c>
      <c r="N222" s="12" t="s">
        <v>97</v>
      </c>
      <c r="O222" s="12" t="s">
        <v>98</v>
      </c>
      <c r="P222" s="12" t="s">
        <v>72</v>
      </c>
      <c r="Q222" s="13">
        <v>45026</v>
      </c>
      <c r="R222" s="13">
        <v>45049</v>
      </c>
      <c r="S222">
        <v>2023</v>
      </c>
      <c r="T222" s="12" t="s">
        <v>626</v>
      </c>
      <c r="U222">
        <v>1307</v>
      </c>
      <c r="V222">
        <v>23.246099999999998</v>
      </c>
      <c r="W222">
        <v>670.8</v>
      </c>
      <c r="X222">
        <v>0</v>
      </c>
      <c r="Y222">
        <v>0</v>
      </c>
      <c r="Z222">
        <v>30382.65</v>
      </c>
      <c r="AA222">
        <v>31053.45</v>
      </c>
      <c r="AB222" s="12" t="s">
        <v>682</v>
      </c>
      <c r="AC222">
        <v>23.246099999999998</v>
      </c>
      <c r="AD222">
        <v>1</v>
      </c>
      <c r="AE222">
        <v>1</v>
      </c>
      <c r="AF222">
        <v>0</v>
      </c>
      <c r="AG222">
        <v>30382.65</v>
      </c>
      <c r="AH222">
        <v>1307</v>
      </c>
      <c r="AI222">
        <v>1293</v>
      </c>
      <c r="AJ222">
        <v>14</v>
      </c>
      <c r="AK222">
        <v>1</v>
      </c>
      <c r="AL222">
        <v>1</v>
      </c>
      <c r="AM222">
        <v>98.93</v>
      </c>
      <c r="AN222">
        <v>24.0166</v>
      </c>
      <c r="AO222">
        <v>325.45</v>
      </c>
      <c r="AP222" s="13">
        <v>45048</v>
      </c>
      <c r="AQ222">
        <v>-1</v>
      </c>
      <c r="AR222">
        <v>1</v>
      </c>
    </row>
    <row r="223" spans="1:44" x14ac:dyDescent="0.35">
      <c r="A223" s="12" t="s">
        <v>683</v>
      </c>
      <c r="B223" s="12" t="s">
        <v>261</v>
      </c>
      <c r="C223" s="12" t="s">
        <v>262</v>
      </c>
      <c r="D223" s="12" t="s">
        <v>114</v>
      </c>
      <c r="E223" s="12" t="s">
        <v>142</v>
      </c>
      <c r="F223">
        <v>1</v>
      </c>
      <c r="G223">
        <v>8</v>
      </c>
      <c r="H223">
        <v>1</v>
      </c>
      <c r="I223" s="12" t="s">
        <v>263</v>
      </c>
      <c r="J223" s="12" t="s">
        <v>264</v>
      </c>
      <c r="K223" s="12" t="s">
        <v>125</v>
      </c>
      <c r="L223" s="12" t="s">
        <v>82</v>
      </c>
      <c r="M223">
        <v>10.210000000000001</v>
      </c>
      <c r="N223" s="12" t="s">
        <v>97</v>
      </c>
      <c r="O223" s="12" t="s">
        <v>98</v>
      </c>
      <c r="P223" s="12" t="s">
        <v>72</v>
      </c>
      <c r="Q223" s="13">
        <v>45026</v>
      </c>
      <c r="R223" s="13">
        <v>45078</v>
      </c>
      <c r="S223">
        <v>2023</v>
      </c>
      <c r="T223" s="12" t="s">
        <v>626</v>
      </c>
      <c r="U223">
        <v>143</v>
      </c>
      <c r="V223">
        <v>144.38679999999999</v>
      </c>
      <c r="W223">
        <v>338.42</v>
      </c>
      <c r="X223">
        <v>0</v>
      </c>
      <c r="Y223">
        <v>0</v>
      </c>
      <c r="Z223">
        <v>20647.310000000001</v>
      </c>
      <c r="AA223">
        <v>20985.73</v>
      </c>
      <c r="AB223" s="12" t="s">
        <v>265</v>
      </c>
      <c r="AC223">
        <v>138.256</v>
      </c>
      <c r="AD223">
        <v>1</v>
      </c>
      <c r="AE223">
        <v>1</v>
      </c>
      <c r="AF223">
        <v>876.7</v>
      </c>
      <c r="AG223">
        <v>19770.61</v>
      </c>
      <c r="AH223">
        <v>143</v>
      </c>
      <c r="AI223">
        <v>141</v>
      </c>
      <c r="AJ223">
        <v>2</v>
      </c>
      <c r="AK223">
        <v>1</v>
      </c>
      <c r="AL223">
        <v>1</v>
      </c>
      <c r="AM223">
        <v>98.6</v>
      </c>
      <c r="AN223">
        <v>148.83500000000001</v>
      </c>
      <c r="AO223">
        <v>288.77</v>
      </c>
      <c r="AP223" s="13">
        <v>45075</v>
      </c>
      <c r="AQ223">
        <v>-3</v>
      </c>
      <c r="AR223">
        <v>1</v>
      </c>
    </row>
    <row r="224" spans="1:44" x14ac:dyDescent="0.35">
      <c r="A224" s="12" t="s">
        <v>684</v>
      </c>
      <c r="B224" s="12" t="s">
        <v>685</v>
      </c>
      <c r="C224" s="12" t="s">
        <v>686</v>
      </c>
      <c r="D224" s="12" t="s">
        <v>175</v>
      </c>
      <c r="E224" s="12" t="s">
        <v>104</v>
      </c>
      <c r="F224">
        <v>2</v>
      </c>
      <c r="G224">
        <v>0</v>
      </c>
      <c r="H224">
        <v>0</v>
      </c>
      <c r="I224" s="12" t="s">
        <v>243</v>
      </c>
      <c r="J224" s="12" t="s">
        <v>244</v>
      </c>
      <c r="K224" s="12" t="s">
        <v>81</v>
      </c>
      <c r="L224" s="12" t="s">
        <v>82</v>
      </c>
      <c r="M224">
        <v>9.2200000000000006</v>
      </c>
      <c r="N224" s="12" t="s">
        <v>145</v>
      </c>
      <c r="O224" s="12" t="s">
        <v>146</v>
      </c>
      <c r="P224" s="12" t="s">
        <v>109</v>
      </c>
      <c r="Q224" s="13">
        <v>45026</v>
      </c>
      <c r="R224" s="13">
        <v>45054</v>
      </c>
      <c r="S224">
        <v>2023</v>
      </c>
      <c r="T224" s="12" t="s">
        <v>626</v>
      </c>
      <c r="U224">
        <v>134</v>
      </c>
      <c r="V224">
        <v>221.7389</v>
      </c>
      <c r="W224">
        <v>768.5</v>
      </c>
      <c r="X224">
        <v>0</v>
      </c>
      <c r="Y224">
        <v>0</v>
      </c>
      <c r="Z224">
        <v>29713.01</v>
      </c>
      <c r="AA224">
        <v>30481.51</v>
      </c>
      <c r="AB224" s="12" t="s">
        <v>687</v>
      </c>
      <c r="AC224">
        <v>221.7389</v>
      </c>
      <c r="AD224">
        <v>1</v>
      </c>
      <c r="AE224">
        <v>1</v>
      </c>
      <c r="AF224">
        <v>0</v>
      </c>
      <c r="AG224">
        <v>29713.01</v>
      </c>
      <c r="AH224">
        <v>134</v>
      </c>
      <c r="AI224">
        <v>132</v>
      </c>
      <c r="AJ224">
        <v>2</v>
      </c>
      <c r="AK224">
        <v>1</v>
      </c>
      <c r="AL224">
        <v>1</v>
      </c>
      <c r="AM224">
        <v>98.51</v>
      </c>
      <c r="AN224">
        <v>230.92060000000001</v>
      </c>
      <c r="AO224">
        <v>443.48</v>
      </c>
      <c r="AP224" s="13">
        <v>45053</v>
      </c>
      <c r="AQ224">
        <v>-1</v>
      </c>
      <c r="AR224">
        <v>1</v>
      </c>
    </row>
    <row r="225" spans="1:44" x14ac:dyDescent="0.35">
      <c r="A225" s="12" t="s">
        <v>688</v>
      </c>
      <c r="B225" s="12" t="s">
        <v>302</v>
      </c>
      <c r="C225" s="12" t="s">
        <v>303</v>
      </c>
      <c r="D225" s="12" t="s">
        <v>78</v>
      </c>
      <c r="E225" s="12" t="s">
        <v>65</v>
      </c>
      <c r="F225">
        <v>2</v>
      </c>
      <c r="G225">
        <v>3</v>
      </c>
      <c r="H225">
        <v>0</v>
      </c>
      <c r="I225" s="12" t="s">
        <v>335</v>
      </c>
      <c r="J225" s="12" t="s">
        <v>336</v>
      </c>
      <c r="K225" s="12" t="s">
        <v>89</v>
      </c>
      <c r="L225" s="12" t="s">
        <v>82</v>
      </c>
      <c r="M225">
        <v>16</v>
      </c>
      <c r="N225" s="12" t="s">
        <v>70</v>
      </c>
      <c r="O225" s="12" t="s">
        <v>71</v>
      </c>
      <c r="P225" s="12" t="s">
        <v>72</v>
      </c>
      <c r="Q225" s="13">
        <v>45026</v>
      </c>
      <c r="R225" s="13">
        <v>45053</v>
      </c>
      <c r="S225">
        <v>2023</v>
      </c>
      <c r="T225" s="12" t="s">
        <v>626</v>
      </c>
      <c r="U225">
        <v>136</v>
      </c>
      <c r="V225">
        <v>144.41300000000001</v>
      </c>
      <c r="W225">
        <v>503.72</v>
      </c>
      <c r="X225">
        <v>0</v>
      </c>
      <c r="Y225">
        <v>0</v>
      </c>
      <c r="Z225">
        <v>19640.169999999998</v>
      </c>
      <c r="AA225">
        <v>20143.89</v>
      </c>
      <c r="AB225" s="12" t="s">
        <v>337</v>
      </c>
      <c r="AC225">
        <v>144.41300000000001</v>
      </c>
      <c r="AD225">
        <v>1</v>
      </c>
      <c r="AE225">
        <v>1</v>
      </c>
      <c r="AF225">
        <v>0</v>
      </c>
      <c r="AG225">
        <v>19640.169999999998</v>
      </c>
      <c r="AH225">
        <v>136</v>
      </c>
      <c r="AI225">
        <v>135</v>
      </c>
      <c r="AJ225">
        <v>1</v>
      </c>
      <c r="AK225">
        <v>1</v>
      </c>
      <c r="AL225">
        <v>1</v>
      </c>
      <c r="AM225">
        <v>99.26</v>
      </c>
      <c r="AN225">
        <v>149.214</v>
      </c>
      <c r="AO225">
        <v>144.41</v>
      </c>
      <c r="AP225" s="13">
        <v>45053</v>
      </c>
      <c r="AQ225">
        <v>0</v>
      </c>
      <c r="AR225">
        <v>1</v>
      </c>
    </row>
    <row r="226" spans="1:44" x14ac:dyDescent="0.35">
      <c r="A226" s="12" t="s">
        <v>689</v>
      </c>
      <c r="B226" s="12" t="s">
        <v>532</v>
      </c>
      <c r="C226" s="12" t="s">
        <v>533</v>
      </c>
      <c r="D226" s="12" t="s">
        <v>114</v>
      </c>
      <c r="E226" s="12" t="s">
        <v>65</v>
      </c>
      <c r="F226">
        <v>2</v>
      </c>
      <c r="G226">
        <v>3</v>
      </c>
      <c r="H226">
        <v>0</v>
      </c>
      <c r="I226" s="12" t="s">
        <v>105</v>
      </c>
      <c r="J226" s="12" t="s">
        <v>106</v>
      </c>
      <c r="K226" s="12" t="s">
        <v>81</v>
      </c>
      <c r="L226" s="12" t="s">
        <v>96</v>
      </c>
      <c r="M226">
        <v>5.01</v>
      </c>
      <c r="N226" s="12" t="s">
        <v>70</v>
      </c>
      <c r="O226" s="12" t="s">
        <v>71</v>
      </c>
      <c r="P226" s="12" t="s">
        <v>72</v>
      </c>
      <c r="Q226" s="13">
        <v>45026</v>
      </c>
      <c r="R226" s="13">
        <v>45049</v>
      </c>
      <c r="S226">
        <v>2023</v>
      </c>
      <c r="T226" s="12" t="s">
        <v>626</v>
      </c>
      <c r="U226">
        <v>29</v>
      </c>
      <c r="V226">
        <v>264.62509999999997</v>
      </c>
      <c r="W226">
        <v>47.85</v>
      </c>
      <c r="X226">
        <v>0</v>
      </c>
      <c r="Y226">
        <v>0</v>
      </c>
      <c r="Z226">
        <v>7674.13</v>
      </c>
      <c r="AA226">
        <v>7721.98</v>
      </c>
      <c r="AB226" s="12" t="s">
        <v>534</v>
      </c>
      <c r="AC226">
        <v>250.00970000000001</v>
      </c>
      <c r="AD226">
        <v>1</v>
      </c>
      <c r="AE226">
        <v>1</v>
      </c>
      <c r="AF226">
        <v>423.85</v>
      </c>
      <c r="AG226">
        <v>7250.28</v>
      </c>
      <c r="AH226">
        <v>29</v>
      </c>
      <c r="AI226">
        <v>29</v>
      </c>
      <c r="AJ226">
        <v>0</v>
      </c>
      <c r="AK226">
        <v>1</v>
      </c>
      <c r="AL226">
        <v>1</v>
      </c>
      <c r="AM226">
        <v>100</v>
      </c>
      <c r="AN226">
        <v>266.27510000000001</v>
      </c>
      <c r="AO226">
        <v>0</v>
      </c>
      <c r="AP226" s="13">
        <v>45051</v>
      </c>
      <c r="AQ226">
        <v>2</v>
      </c>
      <c r="AR226">
        <v>0</v>
      </c>
    </row>
    <row r="227" spans="1:44" x14ac:dyDescent="0.35">
      <c r="A227" s="12" t="s">
        <v>690</v>
      </c>
      <c r="B227" s="12" t="s">
        <v>602</v>
      </c>
      <c r="C227" s="12" t="s">
        <v>603</v>
      </c>
      <c r="D227" s="12" t="s">
        <v>114</v>
      </c>
      <c r="E227" s="12" t="s">
        <v>142</v>
      </c>
      <c r="F227">
        <v>2</v>
      </c>
      <c r="G227">
        <v>10</v>
      </c>
      <c r="H227">
        <v>0</v>
      </c>
      <c r="I227" s="12" t="s">
        <v>263</v>
      </c>
      <c r="J227" s="12" t="s">
        <v>264</v>
      </c>
      <c r="K227" s="12" t="s">
        <v>125</v>
      </c>
      <c r="L227" s="12" t="s">
        <v>82</v>
      </c>
      <c r="M227">
        <v>10.210000000000001</v>
      </c>
      <c r="N227" s="12" t="s">
        <v>97</v>
      </c>
      <c r="O227" s="12" t="s">
        <v>98</v>
      </c>
      <c r="P227" s="12" t="s">
        <v>72</v>
      </c>
      <c r="Q227" s="13">
        <v>45026</v>
      </c>
      <c r="R227" s="13">
        <v>45068</v>
      </c>
      <c r="S227">
        <v>2023</v>
      </c>
      <c r="T227" s="12" t="s">
        <v>626</v>
      </c>
      <c r="U227">
        <v>68</v>
      </c>
      <c r="V227">
        <v>213.4624</v>
      </c>
      <c r="W227">
        <v>281.44</v>
      </c>
      <c r="X227">
        <v>0</v>
      </c>
      <c r="Y227">
        <v>0</v>
      </c>
      <c r="Z227">
        <v>14515.44</v>
      </c>
      <c r="AA227">
        <v>14796.88</v>
      </c>
      <c r="AB227" s="12" t="s">
        <v>691</v>
      </c>
      <c r="AC227">
        <v>213.4624</v>
      </c>
      <c r="AD227">
        <v>1</v>
      </c>
      <c r="AE227">
        <v>1</v>
      </c>
      <c r="AF227">
        <v>0</v>
      </c>
      <c r="AG227">
        <v>14515.44</v>
      </c>
      <c r="AH227">
        <v>68</v>
      </c>
      <c r="AI227">
        <v>67</v>
      </c>
      <c r="AJ227">
        <v>1</v>
      </c>
      <c r="AK227">
        <v>1</v>
      </c>
      <c r="AL227">
        <v>1</v>
      </c>
      <c r="AM227">
        <v>98.53</v>
      </c>
      <c r="AN227">
        <v>220.84899999999999</v>
      </c>
      <c r="AO227">
        <v>213.46</v>
      </c>
      <c r="AP227" s="13">
        <v>45066</v>
      </c>
      <c r="AQ227">
        <v>-2</v>
      </c>
      <c r="AR227">
        <v>1</v>
      </c>
    </row>
    <row r="228" spans="1:44" x14ac:dyDescent="0.35">
      <c r="A228" s="12" t="s">
        <v>692</v>
      </c>
      <c r="B228" s="12" t="s">
        <v>513</v>
      </c>
      <c r="C228" s="12" t="s">
        <v>514</v>
      </c>
      <c r="D228" s="12" t="s">
        <v>269</v>
      </c>
      <c r="E228" s="12" t="s">
        <v>65</v>
      </c>
      <c r="F228">
        <v>1</v>
      </c>
      <c r="G228">
        <v>2</v>
      </c>
      <c r="H228">
        <v>1</v>
      </c>
      <c r="I228" s="12" t="s">
        <v>515</v>
      </c>
      <c r="J228" s="12" t="s">
        <v>516</v>
      </c>
      <c r="K228" s="12" t="s">
        <v>68</v>
      </c>
      <c r="L228" s="12" t="s">
        <v>134</v>
      </c>
      <c r="M228">
        <v>3.69</v>
      </c>
      <c r="N228" s="12" t="s">
        <v>159</v>
      </c>
      <c r="O228" s="12" t="s">
        <v>160</v>
      </c>
      <c r="P228" s="12" t="s">
        <v>137</v>
      </c>
      <c r="Q228" s="13">
        <v>45027</v>
      </c>
      <c r="R228" s="13">
        <v>45052</v>
      </c>
      <c r="S228">
        <v>2023</v>
      </c>
      <c r="T228" s="12" t="s">
        <v>626</v>
      </c>
      <c r="U228">
        <v>44</v>
      </c>
      <c r="V228">
        <v>229.3486</v>
      </c>
      <c r="W228">
        <v>118.41</v>
      </c>
      <c r="X228">
        <v>0</v>
      </c>
      <c r="Y228">
        <v>0</v>
      </c>
      <c r="Z228">
        <v>10091.34</v>
      </c>
      <c r="AA228">
        <v>10209.75</v>
      </c>
      <c r="AB228" s="12" t="s">
        <v>517</v>
      </c>
      <c r="AC228">
        <v>229.3486</v>
      </c>
      <c r="AD228">
        <v>1</v>
      </c>
      <c r="AE228">
        <v>1</v>
      </c>
      <c r="AF228">
        <v>0</v>
      </c>
      <c r="AG228">
        <v>10091.34</v>
      </c>
      <c r="AH228">
        <v>44</v>
      </c>
      <c r="AI228">
        <v>44</v>
      </c>
      <c r="AJ228">
        <v>0</v>
      </c>
      <c r="AK228">
        <v>1</v>
      </c>
      <c r="AL228">
        <v>1</v>
      </c>
      <c r="AM228">
        <v>100</v>
      </c>
      <c r="AN228">
        <v>232.03970000000001</v>
      </c>
      <c r="AO228">
        <v>0</v>
      </c>
      <c r="AP228" s="13">
        <v>45049</v>
      </c>
      <c r="AQ228">
        <v>-3</v>
      </c>
      <c r="AR228">
        <v>1</v>
      </c>
    </row>
    <row r="229" spans="1:44" x14ac:dyDescent="0.35">
      <c r="A229" s="12" t="s">
        <v>693</v>
      </c>
      <c r="B229" s="12" t="s">
        <v>694</v>
      </c>
      <c r="C229" s="12" t="s">
        <v>695</v>
      </c>
      <c r="D229" s="12" t="s">
        <v>103</v>
      </c>
      <c r="E229" s="12" t="s">
        <v>65</v>
      </c>
      <c r="F229">
        <v>2</v>
      </c>
      <c r="G229">
        <v>3</v>
      </c>
      <c r="H229">
        <v>0</v>
      </c>
      <c r="I229" s="12" t="s">
        <v>263</v>
      </c>
      <c r="J229" s="12" t="s">
        <v>264</v>
      </c>
      <c r="K229" s="12" t="s">
        <v>125</v>
      </c>
      <c r="L229" s="12" t="s">
        <v>82</v>
      </c>
      <c r="M229">
        <v>10.210000000000001</v>
      </c>
      <c r="N229" s="12" t="s">
        <v>145</v>
      </c>
      <c r="O229" s="12" t="s">
        <v>146</v>
      </c>
      <c r="P229" s="12" t="s">
        <v>109</v>
      </c>
      <c r="Q229" s="13">
        <v>45027</v>
      </c>
      <c r="R229" s="13">
        <v>45060</v>
      </c>
      <c r="S229">
        <v>2023</v>
      </c>
      <c r="T229" s="12" t="s">
        <v>626</v>
      </c>
      <c r="U229">
        <v>110</v>
      </c>
      <c r="V229">
        <v>215.60980000000001</v>
      </c>
      <c r="W229">
        <v>269.38</v>
      </c>
      <c r="X229">
        <v>0</v>
      </c>
      <c r="Y229">
        <v>0</v>
      </c>
      <c r="Z229">
        <v>23717.08</v>
      </c>
      <c r="AA229">
        <v>23986.46</v>
      </c>
      <c r="AB229" s="12" t="s">
        <v>696</v>
      </c>
      <c r="AC229">
        <v>215.60980000000001</v>
      </c>
      <c r="AD229">
        <v>1</v>
      </c>
      <c r="AE229">
        <v>1</v>
      </c>
      <c r="AF229">
        <v>0</v>
      </c>
      <c r="AG229">
        <v>23717.08</v>
      </c>
      <c r="AH229">
        <v>110</v>
      </c>
      <c r="AI229">
        <v>109</v>
      </c>
      <c r="AJ229">
        <v>1</v>
      </c>
      <c r="AK229">
        <v>1</v>
      </c>
      <c r="AL229">
        <v>1</v>
      </c>
      <c r="AM229">
        <v>99.09</v>
      </c>
      <c r="AN229">
        <v>220.0592</v>
      </c>
      <c r="AO229">
        <v>215.61</v>
      </c>
      <c r="AP229" s="13">
        <v>45069</v>
      </c>
      <c r="AQ229">
        <v>9</v>
      </c>
      <c r="AR229">
        <v>0</v>
      </c>
    </row>
    <row r="230" spans="1:44" x14ac:dyDescent="0.35">
      <c r="A230" s="12" t="s">
        <v>697</v>
      </c>
      <c r="B230" s="12" t="s">
        <v>167</v>
      </c>
      <c r="C230" s="12" t="s">
        <v>168</v>
      </c>
      <c r="D230" s="12" t="s">
        <v>64</v>
      </c>
      <c r="E230" s="12" t="s">
        <v>104</v>
      </c>
      <c r="F230">
        <v>3</v>
      </c>
      <c r="G230">
        <v>1</v>
      </c>
      <c r="H230">
        <v>0</v>
      </c>
      <c r="I230" s="12" t="s">
        <v>169</v>
      </c>
      <c r="J230" s="12" t="s">
        <v>170</v>
      </c>
      <c r="K230" s="12" t="s">
        <v>89</v>
      </c>
      <c r="L230" s="12" t="s">
        <v>134</v>
      </c>
      <c r="M230">
        <v>1.37</v>
      </c>
      <c r="N230" s="12" t="s">
        <v>97</v>
      </c>
      <c r="O230" s="12" t="s">
        <v>98</v>
      </c>
      <c r="P230" s="12" t="s">
        <v>72</v>
      </c>
      <c r="Q230" s="13">
        <v>45027</v>
      </c>
      <c r="R230" s="13">
        <v>45045</v>
      </c>
      <c r="S230">
        <v>2023</v>
      </c>
      <c r="T230" s="12" t="s">
        <v>626</v>
      </c>
      <c r="U230">
        <v>432</v>
      </c>
      <c r="V230">
        <v>28.7181</v>
      </c>
      <c r="W230">
        <v>113.51</v>
      </c>
      <c r="X230">
        <v>376.08</v>
      </c>
      <c r="Y230">
        <v>1</v>
      </c>
      <c r="Z230">
        <v>12406.22</v>
      </c>
      <c r="AA230">
        <v>12895.81</v>
      </c>
      <c r="AB230" s="12" t="s">
        <v>171</v>
      </c>
      <c r="AC230">
        <v>28.7181</v>
      </c>
      <c r="AD230">
        <v>1</v>
      </c>
      <c r="AE230">
        <v>1</v>
      </c>
      <c r="AF230">
        <v>0</v>
      </c>
      <c r="AG230">
        <v>12406.22</v>
      </c>
      <c r="AH230">
        <v>432</v>
      </c>
      <c r="AI230">
        <v>430</v>
      </c>
      <c r="AJ230">
        <v>2</v>
      </c>
      <c r="AK230">
        <v>1</v>
      </c>
      <c r="AL230">
        <v>1</v>
      </c>
      <c r="AM230">
        <v>99.54</v>
      </c>
      <c r="AN230">
        <v>29.990300000000001</v>
      </c>
      <c r="AO230">
        <v>57.44</v>
      </c>
      <c r="AP230" s="13">
        <v>45043</v>
      </c>
      <c r="AQ230">
        <v>-2</v>
      </c>
      <c r="AR230">
        <v>1</v>
      </c>
    </row>
    <row r="231" spans="1:44" x14ac:dyDescent="0.35">
      <c r="A231" s="12" t="s">
        <v>698</v>
      </c>
      <c r="B231" s="12" t="s">
        <v>621</v>
      </c>
      <c r="C231" s="12" t="s">
        <v>622</v>
      </c>
      <c r="D231" s="12" t="s">
        <v>103</v>
      </c>
      <c r="E231" s="12" t="s">
        <v>65</v>
      </c>
      <c r="F231">
        <v>1</v>
      </c>
      <c r="G231">
        <v>2</v>
      </c>
      <c r="H231">
        <v>1</v>
      </c>
      <c r="I231" s="12" t="s">
        <v>486</v>
      </c>
      <c r="J231" s="12" t="s">
        <v>487</v>
      </c>
      <c r="K231" s="12" t="s">
        <v>125</v>
      </c>
      <c r="L231" s="12" t="s">
        <v>69</v>
      </c>
      <c r="M231">
        <v>36.86</v>
      </c>
      <c r="N231" s="12" t="s">
        <v>145</v>
      </c>
      <c r="O231" s="12" t="s">
        <v>146</v>
      </c>
      <c r="P231" s="12" t="s">
        <v>109</v>
      </c>
      <c r="Q231" s="13">
        <v>45027</v>
      </c>
      <c r="R231" s="13">
        <v>45055</v>
      </c>
      <c r="S231">
        <v>2023</v>
      </c>
      <c r="T231" s="12" t="s">
        <v>626</v>
      </c>
      <c r="U231">
        <v>70</v>
      </c>
      <c r="V231">
        <v>201.42019999999999</v>
      </c>
      <c r="W231">
        <v>338.22</v>
      </c>
      <c r="X231">
        <v>0</v>
      </c>
      <c r="Y231">
        <v>0</v>
      </c>
      <c r="Z231">
        <v>14099.41</v>
      </c>
      <c r="AA231">
        <v>14437.63</v>
      </c>
      <c r="AB231" s="12" t="s">
        <v>623</v>
      </c>
      <c r="AC231">
        <v>201.42019999999999</v>
      </c>
      <c r="AD231">
        <v>1</v>
      </c>
      <c r="AE231">
        <v>1</v>
      </c>
      <c r="AF231">
        <v>0</v>
      </c>
      <c r="AG231">
        <v>14099.41</v>
      </c>
      <c r="AH231">
        <v>70</v>
      </c>
      <c r="AI231">
        <v>69</v>
      </c>
      <c r="AJ231">
        <v>1</v>
      </c>
      <c r="AK231">
        <v>1</v>
      </c>
      <c r="AL231">
        <v>1</v>
      </c>
      <c r="AM231">
        <v>98.57</v>
      </c>
      <c r="AN231">
        <v>209.24109999999999</v>
      </c>
      <c r="AO231">
        <v>201.42</v>
      </c>
      <c r="AP231" s="13">
        <v>45055</v>
      </c>
      <c r="AQ231">
        <v>0</v>
      </c>
      <c r="AR231">
        <v>1</v>
      </c>
    </row>
    <row r="232" spans="1:44" x14ac:dyDescent="0.35">
      <c r="A232" s="12" t="s">
        <v>699</v>
      </c>
      <c r="B232" s="12" t="s">
        <v>267</v>
      </c>
      <c r="C232" s="12" t="s">
        <v>268</v>
      </c>
      <c r="D232" s="12" t="s">
        <v>269</v>
      </c>
      <c r="E232" s="12" t="s">
        <v>142</v>
      </c>
      <c r="F232">
        <v>1</v>
      </c>
      <c r="G232">
        <v>8</v>
      </c>
      <c r="H232">
        <v>1</v>
      </c>
      <c r="I232" s="12" t="s">
        <v>94</v>
      </c>
      <c r="J232" s="12" t="s">
        <v>95</v>
      </c>
      <c r="K232" s="12" t="s">
        <v>81</v>
      </c>
      <c r="L232" s="12" t="s">
        <v>96</v>
      </c>
      <c r="M232">
        <v>4.8099999999999996</v>
      </c>
      <c r="N232" s="12" t="s">
        <v>135</v>
      </c>
      <c r="O232" s="12" t="s">
        <v>136</v>
      </c>
      <c r="P232" s="12" t="s">
        <v>137</v>
      </c>
      <c r="Q232" s="13">
        <v>45027</v>
      </c>
      <c r="R232" s="13">
        <v>45063</v>
      </c>
      <c r="S232">
        <v>2023</v>
      </c>
      <c r="T232" s="12" t="s">
        <v>626</v>
      </c>
      <c r="U232">
        <v>23</v>
      </c>
      <c r="V232">
        <v>247.31829999999999</v>
      </c>
      <c r="W232">
        <v>36.01</v>
      </c>
      <c r="X232">
        <v>0</v>
      </c>
      <c r="Y232">
        <v>0</v>
      </c>
      <c r="Z232">
        <v>5688.32</v>
      </c>
      <c r="AA232">
        <v>5724.33</v>
      </c>
      <c r="AB232" s="12" t="s">
        <v>270</v>
      </c>
      <c r="AC232">
        <v>247.31829999999999</v>
      </c>
      <c r="AD232">
        <v>1</v>
      </c>
      <c r="AE232">
        <v>1</v>
      </c>
      <c r="AF232">
        <v>0</v>
      </c>
      <c r="AG232">
        <v>5688.32</v>
      </c>
      <c r="AH232">
        <v>23</v>
      </c>
      <c r="AI232">
        <v>23</v>
      </c>
      <c r="AJ232">
        <v>0</v>
      </c>
      <c r="AK232">
        <v>1</v>
      </c>
      <c r="AL232">
        <v>1</v>
      </c>
      <c r="AM232">
        <v>100</v>
      </c>
      <c r="AN232">
        <v>248.88399999999999</v>
      </c>
      <c r="AO232">
        <v>0</v>
      </c>
      <c r="AP232" s="13">
        <v>45060</v>
      </c>
      <c r="AQ232">
        <v>-3</v>
      </c>
      <c r="AR232">
        <v>1</v>
      </c>
    </row>
    <row r="233" spans="1:44" x14ac:dyDescent="0.35">
      <c r="A233" s="12" t="s">
        <v>700</v>
      </c>
      <c r="B233" s="12" t="s">
        <v>255</v>
      </c>
      <c r="C233" s="12" t="s">
        <v>256</v>
      </c>
      <c r="D233" s="12" t="s">
        <v>103</v>
      </c>
      <c r="E233" s="12" t="s">
        <v>65</v>
      </c>
      <c r="F233">
        <v>2</v>
      </c>
      <c r="G233">
        <v>4</v>
      </c>
      <c r="H233">
        <v>0</v>
      </c>
      <c r="I233" s="12" t="s">
        <v>251</v>
      </c>
      <c r="J233" s="12" t="s">
        <v>252</v>
      </c>
      <c r="K233" s="12" t="s">
        <v>133</v>
      </c>
      <c r="L233" s="12" t="s">
        <v>69</v>
      </c>
      <c r="M233">
        <v>34.49</v>
      </c>
      <c r="N233" s="12" t="s">
        <v>145</v>
      </c>
      <c r="O233" s="12" t="s">
        <v>146</v>
      </c>
      <c r="P233" s="12" t="s">
        <v>109</v>
      </c>
      <c r="Q233" s="13">
        <v>45027</v>
      </c>
      <c r="R233" s="13">
        <v>45055</v>
      </c>
      <c r="S233">
        <v>2023</v>
      </c>
      <c r="T233" s="12" t="s">
        <v>626</v>
      </c>
      <c r="U233">
        <v>68</v>
      </c>
      <c r="V233">
        <v>89.382000000000005</v>
      </c>
      <c r="W233">
        <v>148.9</v>
      </c>
      <c r="X233">
        <v>0</v>
      </c>
      <c r="Y233">
        <v>0</v>
      </c>
      <c r="Z233">
        <v>6077.98</v>
      </c>
      <c r="AA233">
        <v>6226.88</v>
      </c>
      <c r="AB233" s="12" t="s">
        <v>257</v>
      </c>
      <c r="AC233">
        <v>95.085700000000003</v>
      </c>
      <c r="AD233">
        <v>1</v>
      </c>
      <c r="AE233">
        <v>1</v>
      </c>
      <c r="AF233">
        <v>-387.85</v>
      </c>
      <c r="AG233">
        <v>6465.83</v>
      </c>
      <c r="AH233">
        <v>68</v>
      </c>
      <c r="AI233">
        <v>67</v>
      </c>
      <c r="AJ233">
        <v>1</v>
      </c>
      <c r="AK233">
        <v>1</v>
      </c>
      <c r="AL233">
        <v>1</v>
      </c>
      <c r="AM233">
        <v>98.53</v>
      </c>
      <c r="AN233">
        <v>92.938400000000001</v>
      </c>
      <c r="AO233">
        <v>89.38</v>
      </c>
      <c r="AP233" s="13">
        <v>45053</v>
      </c>
      <c r="AQ233">
        <v>-2</v>
      </c>
      <c r="AR233">
        <v>1</v>
      </c>
    </row>
    <row r="234" spans="1:44" x14ac:dyDescent="0.35">
      <c r="A234" s="12" t="s">
        <v>701</v>
      </c>
      <c r="B234" s="12" t="s">
        <v>661</v>
      </c>
      <c r="C234" s="12" t="s">
        <v>662</v>
      </c>
      <c r="D234" s="12" t="s">
        <v>175</v>
      </c>
      <c r="E234" s="12" t="s">
        <v>104</v>
      </c>
      <c r="F234">
        <v>1</v>
      </c>
      <c r="G234">
        <v>0</v>
      </c>
      <c r="H234">
        <v>1</v>
      </c>
      <c r="I234" s="12" t="s">
        <v>183</v>
      </c>
      <c r="J234" s="12" t="s">
        <v>184</v>
      </c>
      <c r="K234" s="12" t="s">
        <v>133</v>
      </c>
      <c r="L234" s="12" t="s">
        <v>82</v>
      </c>
      <c r="M234">
        <v>8.6199999999999992</v>
      </c>
      <c r="N234" s="12" t="s">
        <v>145</v>
      </c>
      <c r="O234" s="12" t="s">
        <v>146</v>
      </c>
      <c r="P234" s="12" t="s">
        <v>109</v>
      </c>
      <c r="Q234" s="13">
        <v>45027</v>
      </c>
      <c r="R234" s="13">
        <v>45045</v>
      </c>
      <c r="S234">
        <v>2023</v>
      </c>
      <c r="T234" s="12" t="s">
        <v>626</v>
      </c>
      <c r="U234">
        <v>59</v>
      </c>
      <c r="V234">
        <v>194.86689999999999</v>
      </c>
      <c r="W234">
        <v>292.47000000000003</v>
      </c>
      <c r="X234">
        <v>0</v>
      </c>
      <c r="Y234">
        <v>0</v>
      </c>
      <c r="Z234">
        <v>11497.15</v>
      </c>
      <c r="AA234">
        <v>11789.62</v>
      </c>
      <c r="AB234" s="12" t="s">
        <v>663</v>
      </c>
      <c r="AC234">
        <v>201.68719999999999</v>
      </c>
      <c r="AD234">
        <v>2</v>
      </c>
      <c r="AE234">
        <v>1</v>
      </c>
      <c r="AF234">
        <v>-402.4</v>
      </c>
      <c r="AG234">
        <v>11899.54</v>
      </c>
      <c r="AH234">
        <v>59</v>
      </c>
      <c r="AI234">
        <v>58</v>
      </c>
      <c r="AJ234">
        <v>1</v>
      </c>
      <c r="AK234">
        <v>1</v>
      </c>
      <c r="AL234">
        <v>1</v>
      </c>
      <c r="AM234">
        <v>98.31</v>
      </c>
      <c r="AN234">
        <v>203.26929999999999</v>
      </c>
      <c r="AO234">
        <v>194.87</v>
      </c>
      <c r="AP234" s="13">
        <v>45043</v>
      </c>
      <c r="AQ234">
        <v>-2</v>
      </c>
      <c r="AR234">
        <v>1</v>
      </c>
    </row>
    <row r="235" spans="1:44" x14ac:dyDescent="0.35">
      <c r="A235" s="12" t="s">
        <v>702</v>
      </c>
      <c r="B235" s="12" t="s">
        <v>302</v>
      </c>
      <c r="C235" s="12" t="s">
        <v>303</v>
      </c>
      <c r="D235" s="12" t="s">
        <v>78</v>
      </c>
      <c r="E235" s="12" t="s">
        <v>65</v>
      </c>
      <c r="F235">
        <v>2</v>
      </c>
      <c r="G235">
        <v>3</v>
      </c>
      <c r="H235">
        <v>0</v>
      </c>
      <c r="I235" s="12" t="s">
        <v>335</v>
      </c>
      <c r="J235" s="12" t="s">
        <v>336</v>
      </c>
      <c r="K235" s="12" t="s">
        <v>89</v>
      </c>
      <c r="L235" s="12" t="s">
        <v>82</v>
      </c>
      <c r="M235">
        <v>16</v>
      </c>
      <c r="N235" s="12" t="s">
        <v>70</v>
      </c>
      <c r="O235" s="12" t="s">
        <v>71</v>
      </c>
      <c r="P235" s="12" t="s">
        <v>72</v>
      </c>
      <c r="Q235" s="13">
        <v>45027</v>
      </c>
      <c r="R235" s="13">
        <v>45064</v>
      </c>
      <c r="S235">
        <v>2023</v>
      </c>
      <c r="T235" s="12" t="s">
        <v>626</v>
      </c>
      <c r="U235">
        <v>275</v>
      </c>
      <c r="V235">
        <v>144.41300000000001</v>
      </c>
      <c r="W235">
        <v>575.07000000000005</v>
      </c>
      <c r="X235">
        <v>0</v>
      </c>
      <c r="Y235">
        <v>0</v>
      </c>
      <c r="Z235">
        <v>39713.58</v>
      </c>
      <c r="AA235">
        <v>40288.65</v>
      </c>
      <c r="AB235" s="12" t="s">
        <v>337</v>
      </c>
      <c r="AC235">
        <v>144.41300000000001</v>
      </c>
      <c r="AD235">
        <v>1</v>
      </c>
      <c r="AE235">
        <v>1</v>
      </c>
      <c r="AF235">
        <v>0</v>
      </c>
      <c r="AG235">
        <v>39713.58</v>
      </c>
      <c r="AH235">
        <v>275</v>
      </c>
      <c r="AI235">
        <v>270</v>
      </c>
      <c r="AJ235">
        <v>5</v>
      </c>
      <c r="AK235">
        <v>1</v>
      </c>
      <c r="AL235">
        <v>1</v>
      </c>
      <c r="AM235">
        <v>98.18</v>
      </c>
      <c r="AN235">
        <v>149.21719999999999</v>
      </c>
      <c r="AO235">
        <v>722.07</v>
      </c>
      <c r="AP235" s="13">
        <v>45064</v>
      </c>
      <c r="AQ235">
        <v>0</v>
      </c>
      <c r="AR235">
        <v>1</v>
      </c>
    </row>
    <row r="236" spans="1:44" x14ac:dyDescent="0.35">
      <c r="A236" s="12" t="s">
        <v>703</v>
      </c>
      <c r="B236" s="12" t="s">
        <v>428</v>
      </c>
      <c r="C236" s="12" t="s">
        <v>429</v>
      </c>
      <c r="D236" s="12" t="s">
        <v>64</v>
      </c>
      <c r="E236" s="12" t="s">
        <v>65</v>
      </c>
      <c r="F236">
        <v>3</v>
      </c>
      <c r="G236">
        <v>4</v>
      </c>
      <c r="H236">
        <v>0</v>
      </c>
      <c r="I236" s="12" t="s">
        <v>123</v>
      </c>
      <c r="J236" s="12" t="s">
        <v>124</v>
      </c>
      <c r="K236" s="12" t="s">
        <v>125</v>
      </c>
      <c r="L236" s="12" t="s">
        <v>82</v>
      </c>
      <c r="M236">
        <v>6.75</v>
      </c>
      <c r="N236" s="12" t="s">
        <v>97</v>
      </c>
      <c r="O236" s="12" t="s">
        <v>98</v>
      </c>
      <c r="P236" s="12" t="s">
        <v>72</v>
      </c>
      <c r="Q236" s="13">
        <v>45027</v>
      </c>
      <c r="R236" s="13">
        <v>45052</v>
      </c>
      <c r="S236">
        <v>2023</v>
      </c>
      <c r="T236" s="12" t="s">
        <v>626</v>
      </c>
      <c r="U236">
        <v>300</v>
      </c>
      <c r="V236">
        <v>15.841100000000001</v>
      </c>
      <c r="W236">
        <v>62.17</v>
      </c>
      <c r="X236">
        <v>0</v>
      </c>
      <c r="Y236">
        <v>0</v>
      </c>
      <c r="Z236">
        <v>4752.33</v>
      </c>
      <c r="AA236">
        <v>4814.5</v>
      </c>
      <c r="AB236" s="12" t="s">
        <v>201</v>
      </c>
      <c r="AD236">
        <v>0</v>
      </c>
      <c r="AE236">
        <v>0</v>
      </c>
      <c r="AH236">
        <v>300</v>
      </c>
      <c r="AI236">
        <v>297</v>
      </c>
      <c r="AJ236">
        <v>3</v>
      </c>
      <c r="AK236">
        <v>1</v>
      </c>
      <c r="AL236">
        <v>1</v>
      </c>
      <c r="AM236">
        <v>99</v>
      </c>
      <c r="AN236">
        <v>16.2104</v>
      </c>
      <c r="AO236">
        <v>47.52</v>
      </c>
      <c r="AP236" s="13">
        <v>45049</v>
      </c>
      <c r="AQ236">
        <v>-3</v>
      </c>
      <c r="AR236">
        <v>1</v>
      </c>
    </row>
    <row r="237" spans="1:44" x14ac:dyDescent="0.35">
      <c r="A237" s="12" t="s">
        <v>704</v>
      </c>
      <c r="B237" s="12" t="s">
        <v>293</v>
      </c>
      <c r="C237" s="12" t="s">
        <v>294</v>
      </c>
      <c r="D237" s="12" t="s">
        <v>114</v>
      </c>
      <c r="E237" s="12" t="s">
        <v>142</v>
      </c>
      <c r="F237">
        <v>1</v>
      </c>
      <c r="G237">
        <v>6</v>
      </c>
      <c r="H237">
        <v>1</v>
      </c>
      <c r="I237" s="12" t="s">
        <v>195</v>
      </c>
      <c r="J237" s="12" t="s">
        <v>196</v>
      </c>
      <c r="K237" s="12" t="s">
        <v>117</v>
      </c>
      <c r="L237" s="12" t="s">
        <v>134</v>
      </c>
      <c r="M237">
        <v>4.7699999999999996</v>
      </c>
      <c r="N237" s="12" t="s">
        <v>70</v>
      </c>
      <c r="O237" s="12" t="s">
        <v>71</v>
      </c>
      <c r="P237" s="12" t="s">
        <v>72</v>
      </c>
      <c r="Q237" s="13">
        <v>45027</v>
      </c>
      <c r="R237" s="13">
        <v>45074</v>
      </c>
      <c r="S237">
        <v>2023</v>
      </c>
      <c r="T237" s="12" t="s">
        <v>626</v>
      </c>
      <c r="U237">
        <v>110</v>
      </c>
      <c r="V237">
        <v>206.0489</v>
      </c>
      <c r="W237">
        <v>191.91</v>
      </c>
      <c r="X237">
        <v>0</v>
      </c>
      <c r="Y237">
        <v>0</v>
      </c>
      <c r="Z237">
        <v>22665.38</v>
      </c>
      <c r="AA237">
        <v>22857.29</v>
      </c>
      <c r="AB237" s="12" t="s">
        <v>295</v>
      </c>
      <c r="AC237">
        <v>206.0489</v>
      </c>
      <c r="AD237">
        <v>1</v>
      </c>
      <c r="AE237">
        <v>1</v>
      </c>
      <c r="AF237">
        <v>0</v>
      </c>
      <c r="AG237">
        <v>22665.38</v>
      </c>
      <c r="AH237">
        <v>110</v>
      </c>
      <c r="AI237">
        <v>108</v>
      </c>
      <c r="AJ237">
        <v>2</v>
      </c>
      <c r="AK237">
        <v>1</v>
      </c>
      <c r="AL237">
        <v>1</v>
      </c>
      <c r="AM237">
        <v>98.18</v>
      </c>
      <c r="AN237">
        <v>211.64160000000001</v>
      </c>
      <c r="AO237">
        <v>412.1</v>
      </c>
      <c r="AP237" s="13">
        <v>45073</v>
      </c>
      <c r="AQ237">
        <v>-1</v>
      </c>
      <c r="AR237">
        <v>1</v>
      </c>
    </row>
    <row r="238" spans="1:44" x14ac:dyDescent="0.35">
      <c r="A238" s="12" t="s">
        <v>705</v>
      </c>
      <c r="B238" s="12" t="s">
        <v>706</v>
      </c>
      <c r="C238" s="12" t="s">
        <v>707</v>
      </c>
      <c r="D238" s="12" t="s">
        <v>130</v>
      </c>
      <c r="E238" s="12" t="s">
        <v>142</v>
      </c>
      <c r="F238">
        <v>1</v>
      </c>
      <c r="G238">
        <v>8</v>
      </c>
      <c r="H238">
        <v>1</v>
      </c>
      <c r="I238" s="12" t="s">
        <v>263</v>
      </c>
      <c r="J238" s="12" t="s">
        <v>264</v>
      </c>
      <c r="K238" s="12" t="s">
        <v>125</v>
      </c>
      <c r="L238" s="12" t="s">
        <v>82</v>
      </c>
      <c r="M238">
        <v>10.210000000000001</v>
      </c>
      <c r="N238" s="12" t="s">
        <v>159</v>
      </c>
      <c r="O238" s="12" t="s">
        <v>160</v>
      </c>
      <c r="P238" s="12" t="s">
        <v>137</v>
      </c>
      <c r="Q238" s="13">
        <v>45028</v>
      </c>
      <c r="R238" s="13">
        <v>45064</v>
      </c>
      <c r="S238">
        <v>2023</v>
      </c>
      <c r="T238" s="12" t="s">
        <v>626</v>
      </c>
      <c r="U238">
        <v>25</v>
      </c>
      <c r="V238">
        <v>277.71210000000002</v>
      </c>
      <c r="W238">
        <v>74.290000000000006</v>
      </c>
      <c r="X238">
        <v>0</v>
      </c>
      <c r="Y238">
        <v>0</v>
      </c>
      <c r="Z238">
        <v>6942.8</v>
      </c>
      <c r="AA238">
        <v>7017.09</v>
      </c>
      <c r="AB238" s="12" t="s">
        <v>708</v>
      </c>
      <c r="AC238">
        <v>277.71210000000002</v>
      </c>
      <c r="AD238">
        <v>1</v>
      </c>
      <c r="AE238">
        <v>1</v>
      </c>
      <c r="AF238">
        <v>0</v>
      </c>
      <c r="AG238">
        <v>6942.8</v>
      </c>
      <c r="AH238">
        <v>25</v>
      </c>
      <c r="AI238">
        <v>25</v>
      </c>
      <c r="AJ238">
        <v>0</v>
      </c>
      <c r="AK238">
        <v>1</v>
      </c>
      <c r="AL238">
        <v>1</v>
      </c>
      <c r="AM238">
        <v>100</v>
      </c>
      <c r="AN238">
        <v>280.68369999999999</v>
      </c>
      <c r="AO238">
        <v>0</v>
      </c>
      <c r="AP238" s="13">
        <v>45065</v>
      </c>
      <c r="AQ238">
        <v>1</v>
      </c>
      <c r="AR238">
        <v>0</v>
      </c>
    </row>
    <row r="239" spans="1:44" x14ac:dyDescent="0.35">
      <c r="A239" s="12" t="s">
        <v>709</v>
      </c>
      <c r="B239" s="12" t="s">
        <v>249</v>
      </c>
      <c r="C239" s="12" t="s">
        <v>250</v>
      </c>
      <c r="D239" s="12" t="s">
        <v>64</v>
      </c>
      <c r="E239" s="12" t="s">
        <v>65</v>
      </c>
      <c r="F239">
        <v>2</v>
      </c>
      <c r="G239">
        <v>3</v>
      </c>
      <c r="H239">
        <v>0</v>
      </c>
      <c r="I239" s="12" t="s">
        <v>251</v>
      </c>
      <c r="J239" s="12" t="s">
        <v>252</v>
      </c>
      <c r="K239" s="12" t="s">
        <v>133</v>
      </c>
      <c r="L239" s="12" t="s">
        <v>69</v>
      </c>
      <c r="M239">
        <v>34.49</v>
      </c>
      <c r="N239" s="12" t="s">
        <v>97</v>
      </c>
      <c r="O239" s="12" t="s">
        <v>98</v>
      </c>
      <c r="P239" s="12" t="s">
        <v>72</v>
      </c>
      <c r="Q239" s="13">
        <v>45028</v>
      </c>
      <c r="R239" s="13">
        <v>45051</v>
      </c>
      <c r="S239">
        <v>2023</v>
      </c>
      <c r="T239" s="12" t="s">
        <v>626</v>
      </c>
      <c r="U239">
        <v>209</v>
      </c>
      <c r="V239">
        <v>10.6486</v>
      </c>
      <c r="W239">
        <v>21.56</v>
      </c>
      <c r="X239">
        <v>0</v>
      </c>
      <c r="Y239">
        <v>0</v>
      </c>
      <c r="Z239">
        <v>2225.56</v>
      </c>
      <c r="AA239">
        <v>2247.12</v>
      </c>
      <c r="AB239" s="12" t="s">
        <v>253</v>
      </c>
      <c r="AC239">
        <v>10.6486</v>
      </c>
      <c r="AD239">
        <v>1</v>
      </c>
      <c r="AE239">
        <v>1</v>
      </c>
      <c r="AF239">
        <v>0</v>
      </c>
      <c r="AG239">
        <v>2225.56</v>
      </c>
      <c r="AH239">
        <v>209</v>
      </c>
      <c r="AI239">
        <v>207</v>
      </c>
      <c r="AJ239">
        <v>2</v>
      </c>
      <c r="AK239">
        <v>1</v>
      </c>
      <c r="AL239">
        <v>1</v>
      </c>
      <c r="AM239">
        <v>99.04</v>
      </c>
      <c r="AN239">
        <v>10.855600000000001</v>
      </c>
      <c r="AO239">
        <v>21.3</v>
      </c>
      <c r="AP239" s="13">
        <v>45050</v>
      </c>
      <c r="AQ239">
        <v>-1</v>
      </c>
      <c r="AR239">
        <v>1</v>
      </c>
    </row>
    <row r="240" spans="1:44" x14ac:dyDescent="0.35">
      <c r="A240" s="12" t="s">
        <v>710</v>
      </c>
      <c r="B240" s="12" t="s">
        <v>569</v>
      </c>
      <c r="C240" s="12" t="s">
        <v>570</v>
      </c>
      <c r="D240" s="12" t="s">
        <v>114</v>
      </c>
      <c r="E240" s="12" t="s">
        <v>142</v>
      </c>
      <c r="F240">
        <v>1</v>
      </c>
      <c r="G240">
        <v>6</v>
      </c>
      <c r="H240">
        <v>1</v>
      </c>
      <c r="I240" s="12" t="s">
        <v>123</v>
      </c>
      <c r="J240" s="12" t="s">
        <v>124</v>
      </c>
      <c r="K240" s="12" t="s">
        <v>125</v>
      </c>
      <c r="L240" s="12" t="s">
        <v>82</v>
      </c>
      <c r="M240">
        <v>6.75</v>
      </c>
      <c r="N240" s="12" t="s">
        <v>97</v>
      </c>
      <c r="O240" s="12" t="s">
        <v>98</v>
      </c>
      <c r="P240" s="12" t="s">
        <v>72</v>
      </c>
      <c r="Q240" s="13">
        <v>45028</v>
      </c>
      <c r="R240" s="13">
        <v>45065</v>
      </c>
      <c r="S240">
        <v>2023</v>
      </c>
      <c r="T240" s="12" t="s">
        <v>626</v>
      </c>
      <c r="U240">
        <v>29</v>
      </c>
      <c r="V240">
        <v>349.9393</v>
      </c>
      <c r="W240">
        <v>101.86</v>
      </c>
      <c r="X240">
        <v>0</v>
      </c>
      <c r="Y240">
        <v>0</v>
      </c>
      <c r="Z240">
        <v>10148.24</v>
      </c>
      <c r="AA240">
        <v>10250.1</v>
      </c>
      <c r="AB240" s="12" t="s">
        <v>571</v>
      </c>
      <c r="AC240">
        <v>349.9393</v>
      </c>
      <c r="AD240">
        <v>1</v>
      </c>
      <c r="AE240">
        <v>1</v>
      </c>
      <c r="AF240">
        <v>0</v>
      </c>
      <c r="AG240">
        <v>10148.24</v>
      </c>
      <c r="AH240">
        <v>29</v>
      </c>
      <c r="AI240">
        <v>28</v>
      </c>
      <c r="AJ240">
        <v>1</v>
      </c>
      <c r="AK240">
        <v>1</v>
      </c>
      <c r="AL240">
        <v>1</v>
      </c>
      <c r="AM240">
        <v>96.55</v>
      </c>
      <c r="AN240">
        <v>366.07499999999999</v>
      </c>
      <c r="AO240">
        <v>349.94</v>
      </c>
      <c r="AP240" s="13">
        <v>45062</v>
      </c>
      <c r="AQ240">
        <v>-3</v>
      </c>
      <c r="AR240">
        <v>1</v>
      </c>
    </row>
    <row r="241" spans="1:44" x14ac:dyDescent="0.35">
      <c r="A241" s="12" t="s">
        <v>711</v>
      </c>
      <c r="B241" s="12" t="s">
        <v>712</v>
      </c>
      <c r="C241" s="12" t="s">
        <v>713</v>
      </c>
      <c r="D241" s="12" t="s">
        <v>103</v>
      </c>
      <c r="E241" s="12" t="s">
        <v>104</v>
      </c>
      <c r="F241">
        <v>2</v>
      </c>
      <c r="G241">
        <v>0</v>
      </c>
      <c r="H241">
        <v>0</v>
      </c>
      <c r="I241" s="12" t="s">
        <v>199</v>
      </c>
      <c r="J241" s="12" t="s">
        <v>200</v>
      </c>
      <c r="K241" s="12" t="s">
        <v>68</v>
      </c>
      <c r="L241" s="12" t="s">
        <v>96</v>
      </c>
      <c r="M241">
        <v>9.4700000000000006</v>
      </c>
      <c r="N241" s="12" t="s">
        <v>107</v>
      </c>
      <c r="O241" s="12" t="s">
        <v>108</v>
      </c>
      <c r="P241" s="12" t="s">
        <v>109</v>
      </c>
      <c r="Q241" s="13">
        <v>45028</v>
      </c>
      <c r="R241" s="13">
        <v>45048</v>
      </c>
      <c r="S241">
        <v>2023</v>
      </c>
      <c r="T241" s="12" t="s">
        <v>626</v>
      </c>
      <c r="U241">
        <v>75</v>
      </c>
      <c r="V241">
        <v>190.51339999999999</v>
      </c>
      <c r="W241">
        <v>300.5</v>
      </c>
      <c r="X241">
        <v>0</v>
      </c>
      <c r="Y241">
        <v>0</v>
      </c>
      <c r="Z241">
        <v>14288.51</v>
      </c>
      <c r="AA241">
        <v>14589.01</v>
      </c>
      <c r="AB241" s="12" t="s">
        <v>714</v>
      </c>
      <c r="AC241">
        <v>202.47229999999999</v>
      </c>
      <c r="AD241">
        <v>1</v>
      </c>
      <c r="AE241">
        <v>1</v>
      </c>
      <c r="AF241">
        <v>-896.92</v>
      </c>
      <c r="AG241">
        <v>15185.42</v>
      </c>
      <c r="AH241">
        <v>75</v>
      </c>
      <c r="AI241">
        <v>74</v>
      </c>
      <c r="AJ241">
        <v>1</v>
      </c>
      <c r="AK241">
        <v>1</v>
      </c>
      <c r="AL241">
        <v>1</v>
      </c>
      <c r="AM241">
        <v>98.67</v>
      </c>
      <c r="AN241">
        <v>197.14869999999999</v>
      </c>
      <c r="AO241">
        <v>190.51</v>
      </c>
      <c r="AP241" s="13">
        <v>45048</v>
      </c>
      <c r="AQ241">
        <v>0</v>
      </c>
      <c r="AR241">
        <v>1</v>
      </c>
    </row>
    <row r="242" spans="1:44" x14ac:dyDescent="0.35">
      <c r="A242" s="12" t="s">
        <v>715</v>
      </c>
      <c r="B242" s="12" t="s">
        <v>509</v>
      </c>
      <c r="C242" s="12" t="s">
        <v>510</v>
      </c>
      <c r="D242" s="12" t="s">
        <v>78</v>
      </c>
      <c r="E242" s="12" t="s">
        <v>142</v>
      </c>
      <c r="F242">
        <v>3</v>
      </c>
      <c r="G242">
        <v>11</v>
      </c>
      <c r="H242">
        <v>0</v>
      </c>
      <c r="I242" s="12" t="s">
        <v>176</v>
      </c>
      <c r="J242" s="12" t="s">
        <v>177</v>
      </c>
      <c r="K242" s="12" t="s">
        <v>125</v>
      </c>
      <c r="L242" s="12" t="s">
        <v>134</v>
      </c>
      <c r="M242">
        <v>1.75</v>
      </c>
      <c r="N242" s="12" t="s">
        <v>97</v>
      </c>
      <c r="O242" s="12" t="s">
        <v>98</v>
      </c>
      <c r="P242" s="12" t="s">
        <v>72</v>
      </c>
      <c r="Q242" s="13">
        <v>45028</v>
      </c>
      <c r="R242" s="13">
        <v>45066</v>
      </c>
      <c r="S242">
        <v>2023</v>
      </c>
      <c r="T242" s="12" t="s">
        <v>626</v>
      </c>
      <c r="U242">
        <v>83</v>
      </c>
      <c r="V242">
        <v>136.15090000000001</v>
      </c>
      <c r="W242">
        <v>278.77999999999997</v>
      </c>
      <c r="X242">
        <v>360.14</v>
      </c>
      <c r="Y242">
        <v>1</v>
      </c>
      <c r="Z242">
        <v>11300.52</v>
      </c>
      <c r="AA242">
        <v>11939.44</v>
      </c>
      <c r="AB242" s="12" t="s">
        <v>511</v>
      </c>
      <c r="AC242">
        <v>144.51259999999999</v>
      </c>
      <c r="AD242">
        <v>1</v>
      </c>
      <c r="AE242">
        <v>1</v>
      </c>
      <c r="AF242">
        <v>-694.02</v>
      </c>
      <c r="AG242">
        <v>11994.55</v>
      </c>
      <c r="AH242">
        <v>83</v>
      </c>
      <c r="AI242">
        <v>83</v>
      </c>
      <c r="AJ242">
        <v>0</v>
      </c>
      <c r="AK242">
        <v>1</v>
      </c>
      <c r="AL242">
        <v>1</v>
      </c>
      <c r="AM242">
        <v>100</v>
      </c>
      <c r="AN242">
        <v>143.84870000000001</v>
      </c>
      <c r="AO242">
        <v>0</v>
      </c>
      <c r="AP242" s="13">
        <v>45064</v>
      </c>
      <c r="AQ242">
        <v>-2</v>
      </c>
      <c r="AR242">
        <v>1</v>
      </c>
    </row>
    <row r="243" spans="1:44" x14ac:dyDescent="0.35">
      <c r="A243" s="12" t="s">
        <v>716</v>
      </c>
      <c r="B243" s="12" t="s">
        <v>238</v>
      </c>
      <c r="C243" s="12" t="s">
        <v>239</v>
      </c>
      <c r="D243" s="12" t="s">
        <v>122</v>
      </c>
      <c r="E243" s="12" t="s">
        <v>65</v>
      </c>
      <c r="F243">
        <v>3</v>
      </c>
      <c r="G243">
        <v>4</v>
      </c>
      <c r="H243">
        <v>0</v>
      </c>
      <c r="I243" s="12" t="s">
        <v>243</v>
      </c>
      <c r="J243" s="12" t="s">
        <v>244</v>
      </c>
      <c r="K243" s="12" t="s">
        <v>81</v>
      </c>
      <c r="L243" s="12" t="s">
        <v>82</v>
      </c>
      <c r="M243">
        <v>9.2200000000000006</v>
      </c>
      <c r="N243" s="12" t="s">
        <v>97</v>
      </c>
      <c r="O243" s="12" t="s">
        <v>98</v>
      </c>
      <c r="P243" s="12" t="s">
        <v>72</v>
      </c>
      <c r="Q243" s="13">
        <v>45028</v>
      </c>
      <c r="R243" s="13">
        <v>45058</v>
      </c>
      <c r="S243">
        <v>2023</v>
      </c>
      <c r="T243" s="12" t="s">
        <v>626</v>
      </c>
      <c r="U243">
        <v>1186</v>
      </c>
      <c r="V243">
        <v>37.143599999999999</v>
      </c>
      <c r="W243">
        <v>724.91</v>
      </c>
      <c r="X243">
        <v>0</v>
      </c>
      <c r="Y243">
        <v>0</v>
      </c>
      <c r="Z243">
        <v>44052.31</v>
      </c>
      <c r="AA243">
        <v>44777.22</v>
      </c>
      <c r="AB243" s="12" t="s">
        <v>717</v>
      </c>
      <c r="AC243">
        <v>37.143599999999999</v>
      </c>
      <c r="AD243">
        <v>1</v>
      </c>
      <c r="AE243">
        <v>1</v>
      </c>
      <c r="AF243">
        <v>0</v>
      </c>
      <c r="AG243">
        <v>44052.31</v>
      </c>
      <c r="AH243">
        <v>1186</v>
      </c>
      <c r="AI243">
        <v>1173</v>
      </c>
      <c r="AJ243">
        <v>13</v>
      </c>
      <c r="AK243">
        <v>1</v>
      </c>
      <c r="AL243">
        <v>1</v>
      </c>
      <c r="AM243">
        <v>98.9</v>
      </c>
      <c r="AN243">
        <v>38.173200000000001</v>
      </c>
      <c r="AO243">
        <v>482.87</v>
      </c>
      <c r="AP243" s="13">
        <v>45057</v>
      </c>
      <c r="AQ243">
        <v>-1</v>
      </c>
      <c r="AR243">
        <v>1</v>
      </c>
    </row>
    <row r="244" spans="1:44" x14ac:dyDescent="0.35">
      <c r="A244" s="12" t="s">
        <v>718</v>
      </c>
      <c r="B244" s="12" t="s">
        <v>565</v>
      </c>
      <c r="C244" s="12" t="s">
        <v>566</v>
      </c>
      <c r="D244" s="12" t="s">
        <v>122</v>
      </c>
      <c r="E244" s="12" t="s">
        <v>104</v>
      </c>
      <c r="F244">
        <v>3</v>
      </c>
      <c r="G244">
        <v>1</v>
      </c>
      <c r="H244">
        <v>0</v>
      </c>
      <c r="I244" s="12" t="s">
        <v>87</v>
      </c>
      <c r="J244" s="12" t="s">
        <v>88</v>
      </c>
      <c r="K244" s="12" t="s">
        <v>89</v>
      </c>
      <c r="L244" s="12" t="s">
        <v>69</v>
      </c>
      <c r="M244">
        <v>14.93</v>
      </c>
      <c r="N244" s="12" t="s">
        <v>97</v>
      </c>
      <c r="O244" s="12" t="s">
        <v>98</v>
      </c>
      <c r="P244" s="12" t="s">
        <v>72</v>
      </c>
      <c r="Q244" s="13">
        <v>45029</v>
      </c>
      <c r="R244" s="13">
        <v>45047</v>
      </c>
      <c r="S244">
        <v>2023</v>
      </c>
      <c r="T244" s="12" t="s">
        <v>626</v>
      </c>
      <c r="U244">
        <v>864</v>
      </c>
      <c r="V244">
        <v>37.4131</v>
      </c>
      <c r="W244">
        <v>243.88</v>
      </c>
      <c r="X244">
        <v>0</v>
      </c>
      <c r="Y244">
        <v>0</v>
      </c>
      <c r="Z244">
        <v>32324.92</v>
      </c>
      <c r="AA244">
        <v>32568.799999999999</v>
      </c>
      <c r="AB244" s="12" t="s">
        <v>567</v>
      </c>
      <c r="AC244">
        <v>36.2883</v>
      </c>
      <c r="AD244">
        <v>1</v>
      </c>
      <c r="AE244">
        <v>1</v>
      </c>
      <c r="AF244">
        <v>971.83</v>
      </c>
      <c r="AG244">
        <v>31353.09</v>
      </c>
      <c r="AH244">
        <v>864</v>
      </c>
      <c r="AI244">
        <v>858</v>
      </c>
      <c r="AJ244">
        <v>6</v>
      </c>
      <c r="AK244">
        <v>1</v>
      </c>
      <c r="AL244">
        <v>1</v>
      </c>
      <c r="AM244">
        <v>99.31</v>
      </c>
      <c r="AN244">
        <v>37.959000000000003</v>
      </c>
      <c r="AO244">
        <v>224.48</v>
      </c>
      <c r="AP244" s="13">
        <v>45047</v>
      </c>
      <c r="AQ244">
        <v>0</v>
      </c>
      <c r="AR244">
        <v>1</v>
      </c>
    </row>
    <row r="245" spans="1:44" x14ac:dyDescent="0.35">
      <c r="A245" s="12" t="s">
        <v>719</v>
      </c>
      <c r="B245" s="12" t="s">
        <v>609</v>
      </c>
      <c r="C245" s="12" t="s">
        <v>610</v>
      </c>
      <c r="D245" s="12" t="s">
        <v>64</v>
      </c>
      <c r="E245" s="12" t="s">
        <v>104</v>
      </c>
      <c r="F245">
        <v>1</v>
      </c>
      <c r="G245">
        <v>0</v>
      </c>
      <c r="H245">
        <v>1</v>
      </c>
      <c r="I245" s="12" t="s">
        <v>227</v>
      </c>
      <c r="J245" s="12" t="s">
        <v>228</v>
      </c>
      <c r="K245" s="12" t="s">
        <v>89</v>
      </c>
      <c r="L245" s="12" t="s">
        <v>96</v>
      </c>
      <c r="M245">
        <v>9.15</v>
      </c>
      <c r="N245" s="12" t="s">
        <v>70</v>
      </c>
      <c r="O245" s="12" t="s">
        <v>71</v>
      </c>
      <c r="P245" s="12" t="s">
        <v>72</v>
      </c>
      <c r="Q245" s="13">
        <v>45029</v>
      </c>
      <c r="R245" s="13">
        <v>45051</v>
      </c>
      <c r="S245">
        <v>2023</v>
      </c>
      <c r="T245" s="12" t="s">
        <v>626</v>
      </c>
      <c r="U245">
        <v>632</v>
      </c>
      <c r="V245">
        <v>20.713699999999999</v>
      </c>
      <c r="W245">
        <v>295.7</v>
      </c>
      <c r="X245">
        <v>0</v>
      </c>
      <c r="Y245">
        <v>0</v>
      </c>
      <c r="Z245">
        <v>13091.06</v>
      </c>
      <c r="AA245">
        <v>13386.76</v>
      </c>
      <c r="AB245" s="12" t="s">
        <v>611</v>
      </c>
      <c r="AC245">
        <v>20.713699999999999</v>
      </c>
      <c r="AD245">
        <v>1</v>
      </c>
      <c r="AE245">
        <v>1</v>
      </c>
      <c r="AF245">
        <v>0</v>
      </c>
      <c r="AG245">
        <v>13091.06</v>
      </c>
      <c r="AH245">
        <v>632</v>
      </c>
      <c r="AI245">
        <v>624</v>
      </c>
      <c r="AJ245">
        <v>8</v>
      </c>
      <c r="AK245">
        <v>1</v>
      </c>
      <c r="AL245">
        <v>1</v>
      </c>
      <c r="AM245">
        <v>98.73</v>
      </c>
      <c r="AN245">
        <v>21.453099999999999</v>
      </c>
      <c r="AO245">
        <v>165.71</v>
      </c>
      <c r="AP245" s="13">
        <v>45048</v>
      </c>
      <c r="AQ245">
        <v>-3</v>
      </c>
      <c r="AR245">
        <v>1</v>
      </c>
    </row>
    <row r="246" spans="1:44" x14ac:dyDescent="0.35">
      <c r="A246" s="12" t="s">
        <v>720</v>
      </c>
      <c r="B246" s="12" t="s">
        <v>76</v>
      </c>
      <c r="C246" s="12" t="s">
        <v>77</v>
      </c>
      <c r="D246" s="12" t="s">
        <v>78</v>
      </c>
      <c r="E246" s="12" t="s">
        <v>65</v>
      </c>
      <c r="F246">
        <v>2</v>
      </c>
      <c r="G246">
        <v>4</v>
      </c>
      <c r="H246">
        <v>0</v>
      </c>
      <c r="I246" s="12" t="s">
        <v>79</v>
      </c>
      <c r="J246" s="12" t="s">
        <v>80</v>
      </c>
      <c r="K246" s="12" t="s">
        <v>81</v>
      </c>
      <c r="L246" s="12" t="s">
        <v>82</v>
      </c>
      <c r="M246">
        <v>12.07</v>
      </c>
      <c r="N246" s="12" t="s">
        <v>70</v>
      </c>
      <c r="O246" s="12" t="s">
        <v>71</v>
      </c>
      <c r="P246" s="12" t="s">
        <v>72</v>
      </c>
      <c r="Q246" s="13">
        <v>45029</v>
      </c>
      <c r="R246" s="13">
        <v>45064</v>
      </c>
      <c r="S246">
        <v>2023</v>
      </c>
      <c r="T246" s="12" t="s">
        <v>626</v>
      </c>
      <c r="U246">
        <v>242</v>
      </c>
      <c r="V246">
        <v>45.991</v>
      </c>
      <c r="W246">
        <v>148.88</v>
      </c>
      <c r="X246">
        <v>0</v>
      </c>
      <c r="Y246">
        <v>0</v>
      </c>
      <c r="Z246">
        <v>11129.82</v>
      </c>
      <c r="AA246">
        <v>11278.7</v>
      </c>
      <c r="AB246" s="12" t="s">
        <v>83</v>
      </c>
      <c r="AC246">
        <v>45.991</v>
      </c>
      <c r="AD246">
        <v>1</v>
      </c>
      <c r="AE246">
        <v>1</v>
      </c>
      <c r="AF246">
        <v>0</v>
      </c>
      <c r="AG246">
        <v>11129.82</v>
      </c>
      <c r="AH246">
        <v>242</v>
      </c>
      <c r="AI246">
        <v>238</v>
      </c>
      <c r="AJ246">
        <v>4</v>
      </c>
      <c r="AK246">
        <v>1</v>
      </c>
      <c r="AL246">
        <v>1</v>
      </c>
      <c r="AM246">
        <v>98.35</v>
      </c>
      <c r="AN246">
        <v>47.389499999999998</v>
      </c>
      <c r="AO246">
        <v>183.96</v>
      </c>
      <c r="AP246" s="13">
        <v>45064</v>
      </c>
      <c r="AQ246">
        <v>0</v>
      </c>
      <c r="AR246">
        <v>1</v>
      </c>
    </row>
    <row r="247" spans="1:44" x14ac:dyDescent="0.35">
      <c r="A247" s="12" t="s">
        <v>721</v>
      </c>
      <c r="B247" s="12" t="s">
        <v>498</v>
      </c>
      <c r="C247" s="12" t="s">
        <v>499</v>
      </c>
      <c r="D247" s="12" t="s">
        <v>175</v>
      </c>
      <c r="E247" s="12" t="s">
        <v>104</v>
      </c>
      <c r="F247">
        <v>3</v>
      </c>
      <c r="G247">
        <v>1</v>
      </c>
      <c r="H247">
        <v>0</v>
      </c>
      <c r="I247" s="12" t="s">
        <v>676</v>
      </c>
      <c r="J247" s="12" t="s">
        <v>677</v>
      </c>
      <c r="K247" s="12" t="s">
        <v>68</v>
      </c>
      <c r="L247" s="12" t="s">
        <v>96</v>
      </c>
      <c r="M247">
        <v>3.57</v>
      </c>
      <c r="N247" s="12" t="s">
        <v>145</v>
      </c>
      <c r="O247" s="12" t="s">
        <v>146</v>
      </c>
      <c r="P247" s="12" t="s">
        <v>109</v>
      </c>
      <c r="Q247" s="13">
        <v>45029</v>
      </c>
      <c r="R247" s="13">
        <v>45052</v>
      </c>
      <c r="S247">
        <v>2023</v>
      </c>
      <c r="T247" s="12" t="s">
        <v>626</v>
      </c>
      <c r="U247">
        <v>100</v>
      </c>
      <c r="V247">
        <v>275.12700000000001</v>
      </c>
      <c r="W247">
        <v>185.91</v>
      </c>
      <c r="X247">
        <v>0</v>
      </c>
      <c r="Y247">
        <v>0</v>
      </c>
      <c r="Z247">
        <v>27512.7</v>
      </c>
      <c r="AA247">
        <v>27698.61</v>
      </c>
      <c r="AB247" s="12" t="s">
        <v>722</v>
      </c>
      <c r="AC247">
        <v>275.12700000000001</v>
      </c>
      <c r="AD247">
        <v>1</v>
      </c>
      <c r="AE247">
        <v>1</v>
      </c>
      <c r="AF247">
        <v>0</v>
      </c>
      <c r="AG247">
        <v>27512.7</v>
      </c>
      <c r="AH247">
        <v>100</v>
      </c>
      <c r="AI247">
        <v>98</v>
      </c>
      <c r="AJ247">
        <v>2</v>
      </c>
      <c r="AK247">
        <v>1</v>
      </c>
      <c r="AL247">
        <v>1</v>
      </c>
      <c r="AM247">
        <v>98</v>
      </c>
      <c r="AN247">
        <v>282.63889999999998</v>
      </c>
      <c r="AO247">
        <v>550.25</v>
      </c>
      <c r="AP247" s="13">
        <v>45050</v>
      </c>
      <c r="AQ247">
        <v>-2</v>
      </c>
      <c r="AR247">
        <v>1</v>
      </c>
    </row>
    <row r="248" spans="1:44" x14ac:dyDescent="0.35">
      <c r="A248" s="12" t="s">
        <v>723</v>
      </c>
      <c r="B248" s="12" t="s">
        <v>613</v>
      </c>
      <c r="C248" s="12" t="s">
        <v>614</v>
      </c>
      <c r="D248" s="12" t="s">
        <v>130</v>
      </c>
      <c r="E248" s="12" t="s">
        <v>104</v>
      </c>
      <c r="F248">
        <v>3</v>
      </c>
      <c r="G248">
        <v>1</v>
      </c>
      <c r="H248">
        <v>0</v>
      </c>
      <c r="I248" s="12" t="s">
        <v>676</v>
      </c>
      <c r="J248" s="12" t="s">
        <v>677</v>
      </c>
      <c r="K248" s="12" t="s">
        <v>68</v>
      </c>
      <c r="L248" s="12" t="s">
        <v>96</v>
      </c>
      <c r="M248">
        <v>3.57</v>
      </c>
      <c r="N248" s="12" t="s">
        <v>159</v>
      </c>
      <c r="O248" s="12" t="s">
        <v>160</v>
      </c>
      <c r="P248" s="12" t="s">
        <v>137</v>
      </c>
      <c r="Q248" s="13">
        <v>45030</v>
      </c>
      <c r="R248" s="13">
        <v>45051</v>
      </c>
      <c r="S248">
        <v>2023</v>
      </c>
      <c r="T248" s="12" t="s">
        <v>626</v>
      </c>
      <c r="U248">
        <v>84</v>
      </c>
      <c r="V248">
        <v>195.35140000000001</v>
      </c>
      <c r="W248">
        <v>180.19</v>
      </c>
      <c r="X248">
        <v>0</v>
      </c>
      <c r="Y248">
        <v>0</v>
      </c>
      <c r="Z248">
        <v>16409.52</v>
      </c>
      <c r="AA248">
        <v>16589.71</v>
      </c>
      <c r="AB248" s="12" t="s">
        <v>724</v>
      </c>
      <c r="AC248">
        <v>195.35140000000001</v>
      </c>
      <c r="AD248">
        <v>1</v>
      </c>
      <c r="AE248">
        <v>1</v>
      </c>
      <c r="AF248">
        <v>0</v>
      </c>
      <c r="AG248">
        <v>16409.52</v>
      </c>
      <c r="AH248">
        <v>84</v>
      </c>
      <c r="AI248">
        <v>84</v>
      </c>
      <c r="AJ248">
        <v>0</v>
      </c>
      <c r="AK248">
        <v>1</v>
      </c>
      <c r="AL248">
        <v>1</v>
      </c>
      <c r="AM248">
        <v>100</v>
      </c>
      <c r="AN248">
        <v>197.4965</v>
      </c>
      <c r="AO248">
        <v>0</v>
      </c>
      <c r="AP248" s="13">
        <v>45048</v>
      </c>
      <c r="AQ248">
        <v>-3</v>
      </c>
      <c r="AR248">
        <v>1</v>
      </c>
    </row>
    <row r="249" spans="1:44" x14ac:dyDescent="0.35">
      <c r="A249" s="12" t="s">
        <v>725</v>
      </c>
      <c r="B249" s="12" t="s">
        <v>399</v>
      </c>
      <c r="C249" s="12" t="s">
        <v>400</v>
      </c>
      <c r="D249" s="12" t="s">
        <v>114</v>
      </c>
      <c r="E249" s="12" t="s">
        <v>65</v>
      </c>
      <c r="F249">
        <v>1</v>
      </c>
      <c r="G249">
        <v>2</v>
      </c>
      <c r="H249">
        <v>1</v>
      </c>
      <c r="I249" s="12" t="s">
        <v>151</v>
      </c>
      <c r="J249" s="12" t="s">
        <v>152</v>
      </c>
      <c r="K249" s="12" t="s">
        <v>125</v>
      </c>
      <c r="L249" s="12" t="s">
        <v>69</v>
      </c>
      <c r="M249">
        <v>36.479999999999997</v>
      </c>
      <c r="N249" s="12" t="s">
        <v>97</v>
      </c>
      <c r="O249" s="12" t="s">
        <v>98</v>
      </c>
      <c r="P249" s="12" t="s">
        <v>72</v>
      </c>
      <c r="Q249" s="13">
        <v>45030</v>
      </c>
      <c r="R249" s="13">
        <v>45065</v>
      </c>
      <c r="S249">
        <v>2023</v>
      </c>
      <c r="T249" s="12" t="s">
        <v>626</v>
      </c>
      <c r="U249">
        <v>120</v>
      </c>
      <c r="V249">
        <v>296.81490000000002</v>
      </c>
      <c r="W249">
        <v>804.51</v>
      </c>
      <c r="X249">
        <v>0</v>
      </c>
      <c r="Y249">
        <v>0</v>
      </c>
      <c r="Z249">
        <v>35617.79</v>
      </c>
      <c r="AA249">
        <v>36422.300000000003</v>
      </c>
      <c r="AB249" s="12" t="s">
        <v>401</v>
      </c>
      <c r="AC249">
        <v>296.81490000000002</v>
      </c>
      <c r="AD249">
        <v>1</v>
      </c>
      <c r="AE249">
        <v>1</v>
      </c>
      <c r="AF249">
        <v>0</v>
      </c>
      <c r="AG249">
        <v>35617.79</v>
      </c>
      <c r="AH249">
        <v>120</v>
      </c>
      <c r="AI249">
        <v>117</v>
      </c>
      <c r="AJ249">
        <v>3</v>
      </c>
      <c r="AK249">
        <v>1</v>
      </c>
      <c r="AL249">
        <v>1</v>
      </c>
      <c r="AM249">
        <v>97.5</v>
      </c>
      <c r="AN249">
        <v>311.30169999999998</v>
      </c>
      <c r="AO249">
        <v>890.44</v>
      </c>
      <c r="AP249" s="13">
        <v>45063</v>
      </c>
      <c r="AQ249">
        <v>-2</v>
      </c>
      <c r="AR249">
        <v>1</v>
      </c>
    </row>
    <row r="250" spans="1:44" x14ac:dyDescent="0.35">
      <c r="A250" s="12" t="s">
        <v>726</v>
      </c>
      <c r="B250" s="12" t="s">
        <v>339</v>
      </c>
      <c r="C250" s="12" t="s">
        <v>340</v>
      </c>
      <c r="D250" s="12" t="s">
        <v>103</v>
      </c>
      <c r="E250" s="12" t="s">
        <v>142</v>
      </c>
      <c r="F250">
        <v>2</v>
      </c>
      <c r="G250">
        <v>9</v>
      </c>
      <c r="H250">
        <v>0</v>
      </c>
      <c r="I250" s="12" t="s">
        <v>341</v>
      </c>
      <c r="J250" s="12" t="s">
        <v>342</v>
      </c>
      <c r="K250" s="12" t="s">
        <v>117</v>
      </c>
      <c r="L250" s="12" t="s">
        <v>82</v>
      </c>
      <c r="M250">
        <v>18.36</v>
      </c>
      <c r="N250" s="12" t="s">
        <v>145</v>
      </c>
      <c r="O250" s="12" t="s">
        <v>146</v>
      </c>
      <c r="P250" s="12" t="s">
        <v>109</v>
      </c>
      <c r="Q250" s="13">
        <v>45030</v>
      </c>
      <c r="R250" s="13">
        <v>45074</v>
      </c>
      <c r="S250">
        <v>2023</v>
      </c>
      <c r="T250" s="12" t="s">
        <v>626</v>
      </c>
      <c r="U250">
        <v>84</v>
      </c>
      <c r="V250">
        <v>249.9879</v>
      </c>
      <c r="W250">
        <v>165.86</v>
      </c>
      <c r="X250">
        <v>0</v>
      </c>
      <c r="Y250">
        <v>0</v>
      </c>
      <c r="Z250">
        <v>20998.98</v>
      </c>
      <c r="AA250">
        <v>21164.84</v>
      </c>
      <c r="AB250" s="12" t="s">
        <v>343</v>
      </c>
      <c r="AC250">
        <v>249.9879</v>
      </c>
      <c r="AD250">
        <v>1</v>
      </c>
      <c r="AE250">
        <v>1</v>
      </c>
      <c r="AF250">
        <v>0</v>
      </c>
      <c r="AG250">
        <v>20998.98</v>
      </c>
      <c r="AH250">
        <v>84</v>
      </c>
      <c r="AI250">
        <v>83</v>
      </c>
      <c r="AJ250">
        <v>1</v>
      </c>
      <c r="AK250">
        <v>1</v>
      </c>
      <c r="AL250">
        <v>1</v>
      </c>
      <c r="AM250">
        <v>98.81</v>
      </c>
      <c r="AN250">
        <v>254.99809999999999</v>
      </c>
      <c r="AO250">
        <v>249.99</v>
      </c>
      <c r="AP250" s="13">
        <v>45071</v>
      </c>
      <c r="AQ250">
        <v>-3</v>
      </c>
      <c r="AR250">
        <v>1</v>
      </c>
    </row>
    <row r="251" spans="1:44" x14ac:dyDescent="0.35">
      <c r="A251" s="12" t="s">
        <v>727</v>
      </c>
      <c r="B251" s="12" t="s">
        <v>728</v>
      </c>
      <c r="C251" s="12" t="s">
        <v>729</v>
      </c>
      <c r="D251" s="12" t="s">
        <v>269</v>
      </c>
      <c r="E251" s="12" t="s">
        <v>65</v>
      </c>
      <c r="F251">
        <v>2</v>
      </c>
      <c r="G251">
        <v>3</v>
      </c>
      <c r="H251">
        <v>0</v>
      </c>
      <c r="I251" s="12" t="s">
        <v>310</v>
      </c>
      <c r="J251" s="12" t="s">
        <v>311</v>
      </c>
      <c r="K251" s="12" t="s">
        <v>81</v>
      </c>
      <c r="L251" s="12" t="s">
        <v>69</v>
      </c>
      <c r="M251">
        <v>28.3</v>
      </c>
      <c r="N251" s="12" t="s">
        <v>135</v>
      </c>
      <c r="O251" s="12" t="s">
        <v>136</v>
      </c>
      <c r="P251" s="12" t="s">
        <v>137</v>
      </c>
      <c r="Q251" s="13">
        <v>45030</v>
      </c>
      <c r="R251" s="13">
        <v>45060</v>
      </c>
      <c r="S251">
        <v>2023</v>
      </c>
      <c r="T251" s="12" t="s">
        <v>626</v>
      </c>
      <c r="U251">
        <v>83</v>
      </c>
      <c r="V251">
        <v>374.99740000000003</v>
      </c>
      <c r="W251">
        <v>378.48</v>
      </c>
      <c r="X251">
        <v>0</v>
      </c>
      <c r="Y251">
        <v>0</v>
      </c>
      <c r="Z251">
        <v>31124.78</v>
      </c>
      <c r="AA251">
        <v>31503.26</v>
      </c>
      <c r="AB251" s="12" t="s">
        <v>730</v>
      </c>
      <c r="AC251">
        <v>374.99740000000003</v>
      </c>
      <c r="AD251">
        <v>1</v>
      </c>
      <c r="AE251">
        <v>1</v>
      </c>
      <c r="AF251">
        <v>0</v>
      </c>
      <c r="AG251">
        <v>31124.78</v>
      </c>
      <c r="AH251">
        <v>83</v>
      </c>
      <c r="AI251">
        <v>83</v>
      </c>
      <c r="AJ251">
        <v>0</v>
      </c>
      <c r="AK251">
        <v>1</v>
      </c>
      <c r="AL251">
        <v>1</v>
      </c>
      <c r="AM251">
        <v>100</v>
      </c>
      <c r="AN251">
        <v>379.55739999999997</v>
      </c>
      <c r="AO251">
        <v>0</v>
      </c>
      <c r="AP251" s="13">
        <v>45060</v>
      </c>
      <c r="AQ251">
        <v>0</v>
      </c>
      <c r="AR251">
        <v>1</v>
      </c>
    </row>
    <row r="252" spans="1:44" x14ac:dyDescent="0.35">
      <c r="A252" s="12" t="s">
        <v>731</v>
      </c>
      <c r="B252" s="12" t="s">
        <v>732</v>
      </c>
      <c r="C252" s="12" t="s">
        <v>733</v>
      </c>
      <c r="D252" s="12" t="s">
        <v>114</v>
      </c>
      <c r="E252" s="12" t="s">
        <v>104</v>
      </c>
      <c r="F252">
        <v>3</v>
      </c>
      <c r="G252">
        <v>1</v>
      </c>
      <c r="H252">
        <v>0</v>
      </c>
      <c r="I252" s="12" t="s">
        <v>199</v>
      </c>
      <c r="J252" s="12" t="s">
        <v>200</v>
      </c>
      <c r="K252" s="12" t="s">
        <v>68</v>
      </c>
      <c r="L252" s="12" t="s">
        <v>96</v>
      </c>
      <c r="M252">
        <v>9.4700000000000006</v>
      </c>
      <c r="N252" s="12" t="s">
        <v>70</v>
      </c>
      <c r="O252" s="12" t="s">
        <v>71</v>
      </c>
      <c r="P252" s="12" t="s">
        <v>72</v>
      </c>
      <c r="Q252" s="13">
        <v>45030</v>
      </c>
      <c r="R252" s="13">
        <v>45042</v>
      </c>
      <c r="S252">
        <v>2023</v>
      </c>
      <c r="T252" s="12" t="s">
        <v>626</v>
      </c>
      <c r="U252">
        <v>13</v>
      </c>
      <c r="V252">
        <v>314.15269999999998</v>
      </c>
      <c r="W252">
        <v>78.790000000000006</v>
      </c>
      <c r="X252">
        <v>0</v>
      </c>
      <c r="Y252">
        <v>0</v>
      </c>
      <c r="Z252">
        <v>4083.99</v>
      </c>
      <c r="AA252">
        <v>4162.78</v>
      </c>
      <c r="AB252" s="12" t="s">
        <v>734</v>
      </c>
      <c r="AC252">
        <v>314.15269999999998</v>
      </c>
      <c r="AD252">
        <v>1</v>
      </c>
      <c r="AE252">
        <v>1</v>
      </c>
      <c r="AF252">
        <v>0</v>
      </c>
      <c r="AG252">
        <v>4083.99</v>
      </c>
      <c r="AH252">
        <v>13</v>
      </c>
      <c r="AI252">
        <v>13</v>
      </c>
      <c r="AJ252">
        <v>0</v>
      </c>
      <c r="AK252">
        <v>1</v>
      </c>
      <c r="AL252">
        <v>1</v>
      </c>
      <c r="AM252">
        <v>100</v>
      </c>
      <c r="AN252">
        <v>320.21350000000001</v>
      </c>
      <c r="AO252">
        <v>0</v>
      </c>
      <c r="AP252" s="13">
        <v>45040</v>
      </c>
      <c r="AQ252">
        <v>-2</v>
      </c>
      <c r="AR252">
        <v>1</v>
      </c>
    </row>
    <row r="253" spans="1:44" x14ac:dyDescent="0.35">
      <c r="A253" s="12" t="s">
        <v>735</v>
      </c>
      <c r="B253" s="12" t="s">
        <v>736</v>
      </c>
      <c r="C253" s="12" t="s">
        <v>737</v>
      </c>
      <c r="D253" s="12" t="s">
        <v>64</v>
      </c>
      <c r="E253" s="12" t="s">
        <v>104</v>
      </c>
      <c r="F253">
        <v>3</v>
      </c>
      <c r="G253">
        <v>1</v>
      </c>
      <c r="H253">
        <v>0</v>
      </c>
      <c r="I253" s="12" t="s">
        <v>94</v>
      </c>
      <c r="J253" s="12" t="s">
        <v>95</v>
      </c>
      <c r="K253" s="12" t="s">
        <v>81</v>
      </c>
      <c r="L253" s="12" t="s">
        <v>96</v>
      </c>
      <c r="M253">
        <v>4.8099999999999996</v>
      </c>
      <c r="N253" s="12" t="s">
        <v>70</v>
      </c>
      <c r="O253" s="12" t="s">
        <v>71</v>
      </c>
      <c r="P253" s="12" t="s">
        <v>72</v>
      </c>
      <c r="Q253" s="13">
        <v>45030</v>
      </c>
      <c r="R253" s="13">
        <v>45042</v>
      </c>
      <c r="S253">
        <v>2023</v>
      </c>
      <c r="T253" s="12" t="s">
        <v>626</v>
      </c>
      <c r="U253">
        <v>144</v>
      </c>
      <c r="V253">
        <v>24.696300000000001</v>
      </c>
      <c r="W253">
        <v>59.33</v>
      </c>
      <c r="X253">
        <v>0</v>
      </c>
      <c r="Y253">
        <v>0</v>
      </c>
      <c r="Z253">
        <v>3556.27</v>
      </c>
      <c r="AA253">
        <v>3615.6</v>
      </c>
      <c r="AB253" s="12" t="s">
        <v>738</v>
      </c>
      <c r="AC253">
        <v>24.696300000000001</v>
      </c>
      <c r="AD253">
        <v>1</v>
      </c>
      <c r="AE253">
        <v>1</v>
      </c>
      <c r="AF253">
        <v>0</v>
      </c>
      <c r="AG253">
        <v>3556.27</v>
      </c>
      <c r="AH253">
        <v>144</v>
      </c>
      <c r="AI253">
        <v>142</v>
      </c>
      <c r="AJ253">
        <v>2</v>
      </c>
      <c r="AK253">
        <v>1</v>
      </c>
      <c r="AL253">
        <v>1</v>
      </c>
      <c r="AM253">
        <v>98.61</v>
      </c>
      <c r="AN253">
        <v>25.462</v>
      </c>
      <c r="AO253">
        <v>49.39</v>
      </c>
      <c r="AP253" s="13">
        <v>45042</v>
      </c>
      <c r="AQ253">
        <v>0</v>
      </c>
      <c r="AR253">
        <v>1</v>
      </c>
    </row>
    <row r="254" spans="1:44" x14ac:dyDescent="0.35">
      <c r="A254" s="12" t="s">
        <v>739</v>
      </c>
      <c r="B254" s="12" t="s">
        <v>740</v>
      </c>
      <c r="C254" s="12" t="s">
        <v>741</v>
      </c>
      <c r="D254" s="12" t="s">
        <v>64</v>
      </c>
      <c r="E254" s="12" t="s">
        <v>104</v>
      </c>
      <c r="F254">
        <v>2</v>
      </c>
      <c r="G254">
        <v>0</v>
      </c>
      <c r="H254">
        <v>0</v>
      </c>
      <c r="I254" s="12" t="s">
        <v>183</v>
      </c>
      <c r="J254" s="12" t="s">
        <v>184</v>
      </c>
      <c r="K254" s="12" t="s">
        <v>133</v>
      </c>
      <c r="L254" s="12" t="s">
        <v>82</v>
      </c>
      <c r="M254">
        <v>8.6199999999999992</v>
      </c>
      <c r="N254" s="12" t="s">
        <v>97</v>
      </c>
      <c r="O254" s="12" t="s">
        <v>98</v>
      </c>
      <c r="P254" s="12" t="s">
        <v>72</v>
      </c>
      <c r="Q254" s="13">
        <v>45030</v>
      </c>
      <c r="R254" s="13">
        <v>45051</v>
      </c>
      <c r="S254">
        <v>2023</v>
      </c>
      <c r="T254" s="12" t="s">
        <v>626</v>
      </c>
      <c r="U254">
        <v>550</v>
      </c>
      <c r="V254">
        <v>38.7836</v>
      </c>
      <c r="W254">
        <v>290.22000000000003</v>
      </c>
      <c r="X254">
        <v>0</v>
      </c>
      <c r="Y254">
        <v>0</v>
      </c>
      <c r="Z254">
        <v>21330.98</v>
      </c>
      <c r="AA254">
        <v>21621.200000000001</v>
      </c>
      <c r="AB254" s="12" t="s">
        <v>742</v>
      </c>
      <c r="AC254">
        <v>41.2042</v>
      </c>
      <c r="AD254">
        <v>1</v>
      </c>
      <c r="AE254">
        <v>1</v>
      </c>
      <c r="AF254">
        <v>-1331.33</v>
      </c>
      <c r="AG254">
        <v>22662.31</v>
      </c>
      <c r="AH254">
        <v>550</v>
      </c>
      <c r="AI254">
        <v>543</v>
      </c>
      <c r="AJ254">
        <v>7</v>
      </c>
      <c r="AK254">
        <v>1</v>
      </c>
      <c r="AL254">
        <v>1</v>
      </c>
      <c r="AM254">
        <v>98.73</v>
      </c>
      <c r="AN254">
        <v>39.817999999999998</v>
      </c>
      <c r="AO254">
        <v>271.49</v>
      </c>
      <c r="AP254" s="13">
        <v>45051</v>
      </c>
      <c r="AQ254">
        <v>0</v>
      </c>
      <c r="AR254">
        <v>1</v>
      </c>
    </row>
    <row r="255" spans="1:44" x14ac:dyDescent="0.35">
      <c r="A255" s="12" t="s">
        <v>743</v>
      </c>
      <c r="B255" s="12" t="s">
        <v>587</v>
      </c>
      <c r="C255" s="12" t="s">
        <v>588</v>
      </c>
      <c r="D255" s="12" t="s">
        <v>122</v>
      </c>
      <c r="E255" s="12" t="s">
        <v>104</v>
      </c>
      <c r="F255">
        <v>2</v>
      </c>
      <c r="G255">
        <v>0</v>
      </c>
      <c r="H255">
        <v>0</v>
      </c>
      <c r="I255" s="12" t="s">
        <v>486</v>
      </c>
      <c r="J255" s="12" t="s">
        <v>487</v>
      </c>
      <c r="K255" s="12" t="s">
        <v>125</v>
      </c>
      <c r="L255" s="12" t="s">
        <v>69</v>
      </c>
      <c r="M255">
        <v>36.86</v>
      </c>
      <c r="N255" s="12" t="s">
        <v>70</v>
      </c>
      <c r="O255" s="12" t="s">
        <v>71</v>
      </c>
      <c r="P255" s="12" t="s">
        <v>72</v>
      </c>
      <c r="Q255" s="13">
        <v>45030</v>
      </c>
      <c r="R255" s="13">
        <v>45059</v>
      </c>
      <c r="S255">
        <v>2023</v>
      </c>
      <c r="T255" s="12" t="s">
        <v>626</v>
      </c>
      <c r="U255">
        <v>1960</v>
      </c>
      <c r="V255">
        <v>12.517899999999999</v>
      </c>
      <c r="W255">
        <v>316.07</v>
      </c>
      <c r="X255">
        <v>0</v>
      </c>
      <c r="Y255">
        <v>0</v>
      </c>
      <c r="Z255">
        <v>24535.08</v>
      </c>
      <c r="AA255">
        <v>24851.15</v>
      </c>
      <c r="AB255" s="12" t="s">
        <v>744</v>
      </c>
      <c r="AC255">
        <v>12.517899999999999</v>
      </c>
      <c r="AD255">
        <v>1</v>
      </c>
      <c r="AE255">
        <v>1</v>
      </c>
      <c r="AF255">
        <v>0</v>
      </c>
      <c r="AG255">
        <v>24535.08</v>
      </c>
      <c r="AH255">
        <v>1960</v>
      </c>
      <c r="AI255">
        <v>1949</v>
      </c>
      <c r="AJ255">
        <v>11</v>
      </c>
      <c r="AK255">
        <v>1</v>
      </c>
      <c r="AL255">
        <v>1</v>
      </c>
      <c r="AM255">
        <v>99.44</v>
      </c>
      <c r="AN255">
        <v>12.7507</v>
      </c>
      <c r="AO255">
        <v>137.69999999999999</v>
      </c>
      <c r="AP255" s="13">
        <v>45055</v>
      </c>
      <c r="AQ255">
        <v>-4</v>
      </c>
      <c r="AR255">
        <v>1</v>
      </c>
    </row>
    <row r="256" spans="1:44" x14ac:dyDescent="0.35">
      <c r="A256" s="12" t="s">
        <v>745</v>
      </c>
      <c r="B256" s="12" t="s">
        <v>513</v>
      </c>
      <c r="C256" s="12" t="s">
        <v>514</v>
      </c>
      <c r="D256" s="12" t="s">
        <v>269</v>
      </c>
      <c r="E256" s="12" t="s">
        <v>65</v>
      </c>
      <c r="F256">
        <v>1</v>
      </c>
      <c r="G256">
        <v>2</v>
      </c>
      <c r="H256">
        <v>1</v>
      </c>
      <c r="I256" s="12" t="s">
        <v>515</v>
      </c>
      <c r="J256" s="12" t="s">
        <v>516</v>
      </c>
      <c r="K256" s="12" t="s">
        <v>68</v>
      </c>
      <c r="L256" s="12" t="s">
        <v>134</v>
      </c>
      <c r="M256">
        <v>3.69</v>
      </c>
      <c r="N256" s="12" t="s">
        <v>135</v>
      </c>
      <c r="O256" s="12" t="s">
        <v>136</v>
      </c>
      <c r="P256" s="12" t="s">
        <v>137</v>
      </c>
      <c r="Q256" s="13">
        <v>45033</v>
      </c>
      <c r="R256" s="13">
        <v>45059</v>
      </c>
      <c r="S256">
        <v>2023</v>
      </c>
      <c r="T256" s="12" t="s">
        <v>626</v>
      </c>
      <c r="U256">
        <v>49</v>
      </c>
      <c r="V256">
        <v>229.3486</v>
      </c>
      <c r="W256">
        <v>235.93</v>
      </c>
      <c r="X256">
        <v>0</v>
      </c>
      <c r="Y256">
        <v>0</v>
      </c>
      <c r="Z256">
        <v>11238.08</v>
      </c>
      <c r="AA256">
        <v>11474.01</v>
      </c>
      <c r="AB256" s="12" t="s">
        <v>517</v>
      </c>
      <c r="AC256">
        <v>229.3486</v>
      </c>
      <c r="AD256">
        <v>1</v>
      </c>
      <c r="AE256">
        <v>1</v>
      </c>
      <c r="AF256">
        <v>0</v>
      </c>
      <c r="AG256">
        <v>11238.08</v>
      </c>
      <c r="AH256">
        <v>49</v>
      </c>
      <c r="AI256">
        <v>48</v>
      </c>
      <c r="AJ256">
        <v>1</v>
      </c>
      <c r="AK256">
        <v>1</v>
      </c>
      <c r="AL256">
        <v>1</v>
      </c>
      <c r="AM256">
        <v>97.96</v>
      </c>
      <c r="AN256">
        <v>239.0419</v>
      </c>
      <c r="AO256">
        <v>229.35</v>
      </c>
      <c r="AP256" s="13">
        <v>45056</v>
      </c>
      <c r="AQ256">
        <v>-3</v>
      </c>
      <c r="AR256">
        <v>1</v>
      </c>
    </row>
    <row r="257" spans="1:44" x14ac:dyDescent="0.35">
      <c r="A257" s="12" t="s">
        <v>746</v>
      </c>
      <c r="B257" s="12" t="s">
        <v>747</v>
      </c>
      <c r="C257" s="12" t="s">
        <v>748</v>
      </c>
      <c r="D257" s="12" t="s">
        <v>114</v>
      </c>
      <c r="E257" s="12" t="s">
        <v>104</v>
      </c>
      <c r="F257">
        <v>2</v>
      </c>
      <c r="G257">
        <v>0</v>
      </c>
      <c r="H257">
        <v>0</v>
      </c>
      <c r="I257" s="12" t="s">
        <v>251</v>
      </c>
      <c r="J257" s="12" t="s">
        <v>252</v>
      </c>
      <c r="K257" s="12" t="s">
        <v>133</v>
      </c>
      <c r="L257" s="12" t="s">
        <v>69</v>
      </c>
      <c r="M257">
        <v>34.49</v>
      </c>
      <c r="N257" s="12" t="s">
        <v>97</v>
      </c>
      <c r="O257" s="12" t="s">
        <v>98</v>
      </c>
      <c r="P257" s="12" t="s">
        <v>72</v>
      </c>
      <c r="Q257" s="13">
        <v>45033</v>
      </c>
      <c r="R257" s="13">
        <v>45051</v>
      </c>
      <c r="S257">
        <v>2023</v>
      </c>
      <c r="T257" s="12" t="s">
        <v>626</v>
      </c>
      <c r="U257">
        <v>63</v>
      </c>
      <c r="V257">
        <v>245.56890000000001</v>
      </c>
      <c r="W257">
        <v>191.29</v>
      </c>
      <c r="X257">
        <v>0</v>
      </c>
      <c r="Y257">
        <v>0</v>
      </c>
      <c r="Z257">
        <v>15470.84</v>
      </c>
      <c r="AA257">
        <v>15662.13</v>
      </c>
      <c r="AB257" s="12" t="s">
        <v>749</v>
      </c>
      <c r="AC257">
        <v>245.56890000000001</v>
      </c>
      <c r="AD257">
        <v>1</v>
      </c>
      <c r="AE257">
        <v>1</v>
      </c>
      <c r="AF257">
        <v>0</v>
      </c>
      <c r="AG257">
        <v>15470.84</v>
      </c>
      <c r="AH257">
        <v>63</v>
      </c>
      <c r="AI257">
        <v>62</v>
      </c>
      <c r="AJ257">
        <v>1</v>
      </c>
      <c r="AK257">
        <v>1</v>
      </c>
      <c r="AL257">
        <v>1</v>
      </c>
      <c r="AM257">
        <v>98.41</v>
      </c>
      <c r="AN257">
        <v>252.61500000000001</v>
      </c>
      <c r="AO257">
        <v>245.57</v>
      </c>
      <c r="AP257" s="13">
        <v>45050</v>
      </c>
      <c r="AQ257">
        <v>-1</v>
      </c>
      <c r="AR257">
        <v>1</v>
      </c>
    </row>
    <row r="258" spans="1:44" x14ac:dyDescent="0.35">
      <c r="A258" s="12" t="s">
        <v>750</v>
      </c>
      <c r="B258" s="12" t="s">
        <v>362</v>
      </c>
      <c r="C258" s="12" t="s">
        <v>363</v>
      </c>
      <c r="D258" s="12" t="s">
        <v>78</v>
      </c>
      <c r="E258" s="12" t="s">
        <v>104</v>
      </c>
      <c r="F258">
        <v>3</v>
      </c>
      <c r="G258">
        <v>0</v>
      </c>
      <c r="H258">
        <v>0</v>
      </c>
      <c r="I258" s="12" t="s">
        <v>157</v>
      </c>
      <c r="J258" s="12" t="s">
        <v>158</v>
      </c>
      <c r="K258" s="12" t="s">
        <v>117</v>
      </c>
      <c r="L258" s="12" t="s">
        <v>96</v>
      </c>
      <c r="M258">
        <v>4.72</v>
      </c>
      <c r="N258" s="12" t="s">
        <v>70</v>
      </c>
      <c r="O258" s="12" t="s">
        <v>71</v>
      </c>
      <c r="P258" s="12" t="s">
        <v>72</v>
      </c>
      <c r="Q258" s="13">
        <v>45033</v>
      </c>
      <c r="R258" s="13">
        <v>45047</v>
      </c>
      <c r="S258">
        <v>2023</v>
      </c>
      <c r="T258" s="12" t="s">
        <v>626</v>
      </c>
      <c r="U258">
        <v>74</v>
      </c>
      <c r="V258">
        <v>63.140599999999999</v>
      </c>
      <c r="W258">
        <v>50.63</v>
      </c>
      <c r="X258">
        <v>0</v>
      </c>
      <c r="Y258">
        <v>0</v>
      </c>
      <c r="Z258">
        <v>4672.3999999999996</v>
      </c>
      <c r="AA258">
        <v>4723.03</v>
      </c>
      <c r="AB258" s="12" t="s">
        <v>364</v>
      </c>
      <c r="AC258">
        <v>63.140599999999999</v>
      </c>
      <c r="AD258">
        <v>1</v>
      </c>
      <c r="AE258">
        <v>1</v>
      </c>
      <c r="AF258">
        <v>0</v>
      </c>
      <c r="AG258">
        <v>4672.3999999999996</v>
      </c>
      <c r="AH258">
        <v>74</v>
      </c>
      <c r="AI258">
        <v>73</v>
      </c>
      <c r="AJ258">
        <v>1</v>
      </c>
      <c r="AK258">
        <v>1</v>
      </c>
      <c r="AL258">
        <v>1</v>
      </c>
      <c r="AM258">
        <v>98.65</v>
      </c>
      <c r="AN258">
        <v>64.699100000000001</v>
      </c>
      <c r="AO258">
        <v>63.14</v>
      </c>
      <c r="AP258" s="13">
        <v>45046</v>
      </c>
      <c r="AQ258">
        <v>-1</v>
      </c>
      <c r="AR258">
        <v>1</v>
      </c>
    </row>
    <row r="259" spans="1:44" x14ac:dyDescent="0.35">
      <c r="A259" s="12" t="s">
        <v>751</v>
      </c>
      <c r="B259" s="12" t="s">
        <v>317</v>
      </c>
      <c r="C259" s="12" t="s">
        <v>318</v>
      </c>
      <c r="D259" s="12" t="s">
        <v>64</v>
      </c>
      <c r="E259" s="12" t="s">
        <v>104</v>
      </c>
      <c r="F259">
        <v>2</v>
      </c>
      <c r="G259">
        <v>0</v>
      </c>
      <c r="H259">
        <v>0</v>
      </c>
      <c r="I259" s="12" t="s">
        <v>169</v>
      </c>
      <c r="J259" s="12" t="s">
        <v>170</v>
      </c>
      <c r="K259" s="12" t="s">
        <v>89</v>
      </c>
      <c r="L259" s="12" t="s">
        <v>134</v>
      </c>
      <c r="M259">
        <v>1.37</v>
      </c>
      <c r="N259" s="12" t="s">
        <v>97</v>
      </c>
      <c r="O259" s="12" t="s">
        <v>98</v>
      </c>
      <c r="P259" s="12" t="s">
        <v>72</v>
      </c>
      <c r="Q259" s="13">
        <v>45034</v>
      </c>
      <c r="R259" s="13">
        <v>45057</v>
      </c>
      <c r="S259">
        <v>2023</v>
      </c>
      <c r="T259" s="12" t="s">
        <v>626</v>
      </c>
      <c r="U259">
        <v>682</v>
      </c>
      <c r="V259">
        <v>15.848100000000001</v>
      </c>
      <c r="W259">
        <v>192.23</v>
      </c>
      <c r="X259">
        <v>0</v>
      </c>
      <c r="Y259">
        <v>0</v>
      </c>
      <c r="Z259">
        <v>10808.4</v>
      </c>
      <c r="AA259">
        <v>11000.63</v>
      </c>
      <c r="AB259" s="12" t="s">
        <v>319</v>
      </c>
      <c r="AC259">
        <v>15.848100000000001</v>
      </c>
      <c r="AD259">
        <v>1</v>
      </c>
      <c r="AE259">
        <v>1</v>
      </c>
      <c r="AF259">
        <v>0</v>
      </c>
      <c r="AG259">
        <v>10808.4</v>
      </c>
      <c r="AH259">
        <v>682</v>
      </c>
      <c r="AI259">
        <v>675</v>
      </c>
      <c r="AJ259">
        <v>7</v>
      </c>
      <c r="AK259">
        <v>1</v>
      </c>
      <c r="AL259">
        <v>1</v>
      </c>
      <c r="AM259">
        <v>98.97</v>
      </c>
      <c r="AN259">
        <v>16.2972</v>
      </c>
      <c r="AO259">
        <v>110.94</v>
      </c>
      <c r="AP259" s="13">
        <v>45062</v>
      </c>
      <c r="AQ259">
        <v>5</v>
      </c>
      <c r="AR259">
        <v>0</v>
      </c>
    </row>
    <row r="260" spans="1:44" x14ac:dyDescent="0.35">
      <c r="A260" s="12" t="s">
        <v>752</v>
      </c>
      <c r="B260" s="12" t="s">
        <v>76</v>
      </c>
      <c r="C260" s="12" t="s">
        <v>77</v>
      </c>
      <c r="D260" s="12" t="s">
        <v>78</v>
      </c>
      <c r="E260" s="12" t="s">
        <v>65</v>
      </c>
      <c r="F260">
        <v>2</v>
      </c>
      <c r="G260">
        <v>4</v>
      </c>
      <c r="H260">
        <v>0</v>
      </c>
      <c r="I260" s="12" t="s">
        <v>79</v>
      </c>
      <c r="J260" s="12" t="s">
        <v>80</v>
      </c>
      <c r="K260" s="12" t="s">
        <v>81</v>
      </c>
      <c r="L260" s="12" t="s">
        <v>82</v>
      </c>
      <c r="M260">
        <v>12.07</v>
      </c>
      <c r="N260" s="12" t="s">
        <v>70</v>
      </c>
      <c r="O260" s="12" t="s">
        <v>71</v>
      </c>
      <c r="P260" s="12" t="s">
        <v>72</v>
      </c>
      <c r="Q260" s="13">
        <v>45034</v>
      </c>
      <c r="R260" s="13">
        <v>45060</v>
      </c>
      <c r="S260">
        <v>2023</v>
      </c>
      <c r="T260" s="12" t="s">
        <v>626</v>
      </c>
      <c r="U260">
        <v>118</v>
      </c>
      <c r="V260">
        <v>45.991</v>
      </c>
      <c r="W260">
        <v>77.69</v>
      </c>
      <c r="X260">
        <v>0</v>
      </c>
      <c r="Y260">
        <v>0</v>
      </c>
      <c r="Z260">
        <v>5426.94</v>
      </c>
      <c r="AA260">
        <v>5504.63</v>
      </c>
      <c r="AB260" s="12" t="s">
        <v>83</v>
      </c>
      <c r="AC260">
        <v>45.991</v>
      </c>
      <c r="AD260">
        <v>1</v>
      </c>
      <c r="AE260">
        <v>1</v>
      </c>
      <c r="AF260">
        <v>0</v>
      </c>
      <c r="AG260">
        <v>5426.94</v>
      </c>
      <c r="AH260">
        <v>118</v>
      </c>
      <c r="AI260">
        <v>117</v>
      </c>
      <c r="AJ260">
        <v>1</v>
      </c>
      <c r="AK260">
        <v>1</v>
      </c>
      <c r="AL260">
        <v>1</v>
      </c>
      <c r="AM260">
        <v>99.15</v>
      </c>
      <c r="AN260">
        <v>47.048099999999998</v>
      </c>
      <c r="AO260">
        <v>45.99</v>
      </c>
      <c r="AP260" s="13">
        <v>45058</v>
      </c>
      <c r="AQ260">
        <v>-2</v>
      </c>
      <c r="AR260">
        <v>1</v>
      </c>
    </row>
    <row r="261" spans="1:44" x14ac:dyDescent="0.35">
      <c r="A261" s="12" t="s">
        <v>753</v>
      </c>
      <c r="B261" s="12" t="s">
        <v>284</v>
      </c>
      <c r="C261" s="12" t="s">
        <v>285</v>
      </c>
      <c r="D261" s="12" t="s">
        <v>269</v>
      </c>
      <c r="E261" s="12" t="s">
        <v>104</v>
      </c>
      <c r="F261">
        <v>3</v>
      </c>
      <c r="G261">
        <v>1</v>
      </c>
      <c r="H261">
        <v>0</v>
      </c>
      <c r="I261" s="12" t="s">
        <v>199</v>
      </c>
      <c r="J261" s="12" t="s">
        <v>200</v>
      </c>
      <c r="K261" s="12" t="s">
        <v>68</v>
      </c>
      <c r="L261" s="12" t="s">
        <v>96</v>
      </c>
      <c r="M261">
        <v>9.4700000000000006</v>
      </c>
      <c r="N261" s="12" t="s">
        <v>135</v>
      </c>
      <c r="O261" s="12" t="s">
        <v>136</v>
      </c>
      <c r="P261" s="12" t="s">
        <v>137</v>
      </c>
      <c r="Q261" s="13">
        <v>45034</v>
      </c>
      <c r="R261" s="13">
        <v>45051</v>
      </c>
      <c r="S261">
        <v>2023</v>
      </c>
      <c r="T261" s="12" t="s">
        <v>626</v>
      </c>
      <c r="U261">
        <v>49</v>
      </c>
      <c r="V261">
        <v>397.87</v>
      </c>
      <c r="W261">
        <v>353.17</v>
      </c>
      <c r="X261">
        <v>0</v>
      </c>
      <c r="Y261">
        <v>0</v>
      </c>
      <c r="Z261">
        <v>19495.63</v>
      </c>
      <c r="AA261">
        <v>19848.8</v>
      </c>
      <c r="AB261" s="12" t="s">
        <v>286</v>
      </c>
      <c r="AC261">
        <v>397.87</v>
      </c>
      <c r="AD261">
        <v>1</v>
      </c>
      <c r="AE261">
        <v>1</v>
      </c>
      <c r="AF261">
        <v>0</v>
      </c>
      <c r="AG261">
        <v>19495.63</v>
      </c>
      <c r="AH261">
        <v>49</v>
      </c>
      <c r="AI261">
        <v>49</v>
      </c>
      <c r="AJ261">
        <v>0</v>
      </c>
      <c r="AK261">
        <v>1</v>
      </c>
      <c r="AL261">
        <v>1</v>
      </c>
      <c r="AM261">
        <v>100</v>
      </c>
      <c r="AN261">
        <v>405.07760000000002</v>
      </c>
      <c r="AO261">
        <v>0</v>
      </c>
      <c r="AP261" s="13">
        <v>45048</v>
      </c>
      <c r="AQ261">
        <v>-3</v>
      </c>
      <c r="AR261">
        <v>1</v>
      </c>
    </row>
    <row r="262" spans="1:44" x14ac:dyDescent="0.35">
      <c r="A262" s="12" t="s">
        <v>754</v>
      </c>
      <c r="B262" s="12" t="s">
        <v>755</v>
      </c>
      <c r="C262" s="12" t="s">
        <v>756</v>
      </c>
      <c r="D262" s="12" t="s">
        <v>78</v>
      </c>
      <c r="E262" s="12" t="s">
        <v>65</v>
      </c>
      <c r="F262">
        <v>2</v>
      </c>
      <c r="G262">
        <v>2</v>
      </c>
      <c r="H262">
        <v>0</v>
      </c>
      <c r="I262" s="12" t="s">
        <v>251</v>
      </c>
      <c r="J262" s="12" t="s">
        <v>252</v>
      </c>
      <c r="K262" s="12" t="s">
        <v>133</v>
      </c>
      <c r="L262" s="12" t="s">
        <v>69</v>
      </c>
      <c r="M262">
        <v>34.49</v>
      </c>
      <c r="N262" s="12" t="s">
        <v>97</v>
      </c>
      <c r="O262" s="12" t="s">
        <v>98</v>
      </c>
      <c r="P262" s="12" t="s">
        <v>72</v>
      </c>
      <c r="Q262" s="13">
        <v>45034</v>
      </c>
      <c r="R262" s="13">
        <v>45062</v>
      </c>
      <c r="S262">
        <v>2023</v>
      </c>
      <c r="T262" s="12" t="s">
        <v>626</v>
      </c>
      <c r="U262">
        <v>147</v>
      </c>
      <c r="V262">
        <v>45.472499999999997</v>
      </c>
      <c r="W262">
        <v>169.2</v>
      </c>
      <c r="X262">
        <v>0</v>
      </c>
      <c r="Y262">
        <v>0</v>
      </c>
      <c r="Z262">
        <v>6684.46</v>
      </c>
      <c r="AA262">
        <v>6853.66</v>
      </c>
      <c r="AB262" s="12" t="s">
        <v>757</v>
      </c>
      <c r="AC262">
        <v>45.472499999999997</v>
      </c>
      <c r="AD262">
        <v>1</v>
      </c>
      <c r="AE262">
        <v>1</v>
      </c>
      <c r="AF262">
        <v>0</v>
      </c>
      <c r="AG262">
        <v>6684.46</v>
      </c>
      <c r="AH262">
        <v>147</v>
      </c>
      <c r="AI262">
        <v>144</v>
      </c>
      <c r="AJ262">
        <v>3</v>
      </c>
      <c r="AK262">
        <v>1</v>
      </c>
      <c r="AL262">
        <v>1</v>
      </c>
      <c r="AM262">
        <v>97.96</v>
      </c>
      <c r="AN262">
        <v>47.594799999999999</v>
      </c>
      <c r="AO262">
        <v>136.41999999999999</v>
      </c>
      <c r="AP262" s="13">
        <v>45061</v>
      </c>
      <c r="AQ262">
        <v>-1</v>
      </c>
      <c r="AR262">
        <v>1</v>
      </c>
    </row>
    <row r="263" spans="1:44" x14ac:dyDescent="0.35">
      <c r="A263" s="12" t="s">
        <v>758</v>
      </c>
      <c r="B263" s="12" t="s">
        <v>755</v>
      </c>
      <c r="C263" s="12" t="s">
        <v>756</v>
      </c>
      <c r="D263" s="12" t="s">
        <v>78</v>
      </c>
      <c r="E263" s="12" t="s">
        <v>65</v>
      </c>
      <c r="F263">
        <v>2</v>
      </c>
      <c r="G263">
        <v>2</v>
      </c>
      <c r="H263">
        <v>0</v>
      </c>
      <c r="I263" s="12" t="s">
        <v>359</v>
      </c>
      <c r="J263" s="12" t="s">
        <v>360</v>
      </c>
      <c r="K263" s="12" t="s">
        <v>133</v>
      </c>
      <c r="L263" s="12" t="s">
        <v>82</v>
      </c>
      <c r="M263">
        <v>12.65</v>
      </c>
      <c r="N263" s="12" t="s">
        <v>97</v>
      </c>
      <c r="O263" s="12" t="s">
        <v>98</v>
      </c>
      <c r="P263" s="12" t="s">
        <v>72</v>
      </c>
      <c r="Q263" s="13">
        <v>45034</v>
      </c>
      <c r="R263" s="13">
        <v>45068</v>
      </c>
      <c r="S263">
        <v>2023</v>
      </c>
      <c r="T263" s="12" t="s">
        <v>626</v>
      </c>
      <c r="U263">
        <v>234</v>
      </c>
      <c r="V263">
        <v>45.472499999999997</v>
      </c>
      <c r="W263">
        <v>231.15</v>
      </c>
      <c r="X263">
        <v>0</v>
      </c>
      <c r="Y263">
        <v>0</v>
      </c>
      <c r="Z263">
        <v>10640.57</v>
      </c>
      <c r="AA263">
        <v>10871.72</v>
      </c>
      <c r="AB263" s="12" t="s">
        <v>759</v>
      </c>
      <c r="AC263">
        <v>45.472499999999997</v>
      </c>
      <c r="AD263">
        <v>1</v>
      </c>
      <c r="AE263">
        <v>1</v>
      </c>
      <c r="AF263">
        <v>0</v>
      </c>
      <c r="AG263">
        <v>10640.57</v>
      </c>
      <c r="AH263">
        <v>234</v>
      </c>
      <c r="AI263">
        <v>231</v>
      </c>
      <c r="AJ263">
        <v>3</v>
      </c>
      <c r="AK263">
        <v>1</v>
      </c>
      <c r="AL263">
        <v>1</v>
      </c>
      <c r="AM263">
        <v>98.72</v>
      </c>
      <c r="AN263">
        <v>47.063699999999997</v>
      </c>
      <c r="AO263">
        <v>136.41999999999999</v>
      </c>
      <c r="AP263" s="13">
        <v>45067</v>
      </c>
      <c r="AQ263">
        <v>-1</v>
      </c>
      <c r="AR263">
        <v>1</v>
      </c>
    </row>
    <row r="264" spans="1:44" x14ac:dyDescent="0.35">
      <c r="A264" s="12" t="s">
        <v>760</v>
      </c>
      <c r="B264" s="12" t="s">
        <v>420</v>
      </c>
      <c r="C264" s="12" t="s">
        <v>421</v>
      </c>
      <c r="D264" s="12" t="s">
        <v>269</v>
      </c>
      <c r="E264" s="12" t="s">
        <v>104</v>
      </c>
      <c r="F264">
        <v>2</v>
      </c>
      <c r="G264">
        <v>0</v>
      </c>
      <c r="H264">
        <v>0</v>
      </c>
      <c r="I264" s="12" t="s">
        <v>380</v>
      </c>
      <c r="J264" s="12" t="s">
        <v>381</v>
      </c>
      <c r="K264" s="12" t="s">
        <v>89</v>
      </c>
      <c r="L264" s="12" t="s">
        <v>96</v>
      </c>
      <c r="M264">
        <v>10.210000000000001</v>
      </c>
      <c r="N264" s="12" t="s">
        <v>135</v>
      </c>
      <c r="O264" s="12" t="s">
        <v>136</v>
      </c>
      <c r="P264" s="12" t="s">
        <v>137</v>
      </c>
      <c r="Q264" s="13">
        <v>45034</v>
      </c>
      <c r="R264" s="13">
        <v>45059</v>
      </c>
      <c r="S264">
        <v>2023</v>
      </c>
      <c r="T264" s="12" t="s">
        <v>626</v>
      </c>
      <c r="U264">
        <v>113</v>
      </c>
      <c r="V264">
        <v>146.53960000000001</v>
      </c>
      <c r="W264">
        <v>109.76</v>
      </c>
      <c r="X264">
        <v>0</v>
      </c>
      <c r="Y264">
        <v>0</v>
      </c>
      <c r="Z264">
        <v>16558.97</v>
      </c>
      <c r="AA264">
        <v>16668.73</v>
      </c>
      <c r="AB264" s="12" t="s">
        <v>422</v>
      </c>
      <c r="AC264">
        <v>146.53960000000001</v>
      </c>
      <c r="AD264">
        <v>1</v>
      </c>
      <c r="AE264">
        <v>1</v>
      </c>
      <c r="AF264">
        <v>0</v>
      </c>
      <c r="AG264">
        <v>16558.97</v>
      </c>
      <c r="AH264">
        <v>113</v>
      </c>
      <c r="AI264">
        <v>113</v>
      </c>
      <c r="AJ264">
        <v>0</v>
      </c>
      <c r="AK264">
        <v>1</v>
      </c>
      <c r="AL264">
        <v>1</v>
      </c>
      <c r="AM264">
        <v>100</v>
      </c>
      <c r="AN264">
        <v>147.51089999999999</v>
      </c>
      <c r="AO264">
        <v>0</v>
      </c>
      <c r="AP264" s="13">
        <v>45057</v>
      </c>
      <c r="AQ264">
        <v>-2</v>
      </c>
      <c r="AR264">
        <v>1</v>
      </c>
    </row>
    <row r="265" spans="1:44" x14ac:dyDescent="0.35">
      <c r="A265" s="12" t="s">
        <v>761</v>
      </c>
      <c r="B265" s="12" t="s">
        <v>128</v>
      </c>
      <c r="C265" s="12" t="s">
        <v>129</v>
      </c>
      <c r="D265" s="12" t="s">
        <v>130</v>
      </c>
      <c r="E265" s="12" t="s">
        <v>65</v>
      </c>
      <c r="F265">
        <v>3</v>
      </c>
      <c r="G265">
        <v>5</v>
      </c>
      <c r="H265">
        <v>0</v>
      </c>
      <c r="I265" s="12" t="s">
        <v>131</v>
      </c>
      <c r="J265" s="12" t="s">
        <v>132</v>
      </c>
      <c r="K265" s="12" t="s">
        <v>133</v>
      </c>
      <c r="L265" s="12" t="s">
        <v>134</v>
      </c>
      <c r="M265">
        <v>1.51</v>
      </c>
      <c r="N265" s="12" t="s">
        <v>159</v>
      </c>
      <c r="O265" s="12" t="s">
        <v>160</v>
      </c>
      <c r="P265" s="12" t="s">
        <v>137</v>
      </c>
      <c r="Q265" s="13">
        <v>45034</v>
      </c>
      <c r="R265" s="13">
        <v>45055</v>
      </c>
      <c r="S265">
        <v>2023</v>
      </c>
      <c r="T265" s="12" t="s">
        <v>626</v>
      </c>
      <c r="U265">
        <v>14</v>
      </c>
      <c r="V265">
        <v>501.92320000000001</v>
      </c>
      <c r="W265">
        <v>134.44999999999999</v>
      </c>
      <c r="X265">
        <v>0</v>
      </c>
      <c r="Y265">
        <v>0</v>
      </c>
      <c r="Z265">
        <v>7026.92</v>
      </c>
      <c r="AA265">
        <v>7161.37</v>
      </c>
      <c r="AB265" s="12" t="s">
        <v>138</v>
      </c>
      <c r="AC265">
        <v>501.92320000000001</v>
      </c>
      <c r="AD265">
        <v>1</v>
      </c>
      <c r="AE265">
        <v>1</v>
      </c>
      <c r="AF265">
        <v>0</v>
      </c>
      <c r="AG265">
        <v>7026.92</v>
      </c>
      <c r="AH265">
        <v>14</v>
      </c>
      <c r="AI265">
        <v>13</v>
      </c>
      <c r="AJ265">
        <v>1</v>
      </c>
      <c r="AK265">
        <v>1</v>
      </c>
      <c r="AL265">
        <v>1</v>
      </c>
      <c r="AM265">
        <v>92.86</v>
      </c>
      <c r="AN265">
        <v>550.875</v>
      </c>
      <c r="AO265">
        <v>501.92</v>
      </c>
      <c r="AP265" s="13">
        <v>45052</v>
      </c>
      <c r="AQ265">
        <v>-3</v>
      </c>
      <c r="AR265">
        <v>1</v>
      </c>
    </row>
    <row r="266" spans="1:44" x14ac:dyDescent="0.35">
      <c r="A266" s="12" t="s">
        <v>762</v>
      </c>
      <c r="B266" s="12" t="s">
        <v>728</v>
      </c>
      <c r="C266" s="12" t="s">
        <v>729</v>
      </c>
      <c r="D266" s="12" t="s">
        <v>269</v>
      </c>
      <c r="E266" s="12" t="s">
        <v>65</v>
      </c>
      <c r="F266">
        <v>2</v>
      </c>
      <c r="G266">
        <v>3</v>
      </c>
      <c r="H266">
        <v>0</v>
      </c>
      <c r="I266" s="12" t="s">
        <v>310</v>
      </c>
      <c r="J266" s="12" t="s">
        <v>311</v>
      </c>
      <c r="K266" s="12" t="s">
        <v>81</v>
      </c>
      <c r="L266" s="12" t="s">
        <v>69</v>
      </c>
      <c r="M266">
        <v>28.3</v>
      </c>
      <c r="N266" s="12" t="s">
        <v>135</v>
      </c>
      <c r="O266" s="12" t="s">
        <v>136</v>
      </c>
      <c r="P266" s="12" t="s">
        <v>137</v>
      </c>
      <c r="Q266" s="13">
        <v>45034</v>
      </c>
      <c r="R266" s="13">
        <v>45056</v>
      </c>
      <c r="S266">
        <v>2023</v>
      </c>
      <c r="T266" s="12" t="s">
        <v>626</v>
      </c>
      <c r="U266">
        <v>21</v>
      </c>
      <c r="V266">
        <v>374.99740000000003</v>
      </c>
      <c r="W266">
        <v>87.66</v>
      </c>
      <c r="X266">
        <v>0</v>
      </c>
      <c r="Y266">
        <v>0</v>
      </c>
      <c r="Z266">
        <v>7874.95</v>
      </c>
      <c r="AA266">
        <v>7962.61</v>
      </c>
      <c r="AB266" s="12" t="s">
        <v>730</v>
      </c>
      <c r="AC266">
        <v>374.99740000000003</v>
      </c>
      <c r="AD266">
        <v>1</v>
      </c>
      <c r="AE266">
        <v>1</v>
      </c>
      <c r="AF266">
        <v>0</v>
      </c>
      <c r="AG266">
        <v>7874.95</v>
      </c>
      <c r="AH266">
        <v>21</v>
      </c>
      <c r="AI266">
        <v>21</v>
      </c>
      <c r="AJ266">
        <v>0</v>
      </c>
      <c r="AK266">
        <v>1</v>
      </c>
      <c r="AL266">
        <v>1</v>
      </c>
      <c r="AM266">
        <v>100</v>
      </c>
      <c r="AN266">
        <v>379.17169999999999</v>
      </c>
      <c r="AO266">
        <v>0</v>
      </c>
      <c r="AP266" s="13">
        <v>45054</v>
      </c>
      <c r="AQ266">
        <v>-2</v>
      </c>
      <c r="AR266">
        <v>1</v>
      </c>
    </row>
    <row r="267" spans="1:44" x14ac:dyDescent="0.35">
      <c r="A267" s="12" t="s">
        <v>763</v>
      </c>
      <c r="B267" s="12" t="s">
        <v>732</v>
      </c>
      <c r="C267" s="12" t="s">
        <v>733</v>
      </c>
      <c r="D267" s="12" t="s">
        <v>114</v>
      </c>
      <c r="E267" s="12" t="s">
        <v>104</v>
      </c>
      <c r="F267">
        <v>3</v>
      </c>
      <c r="G267">
        <v>1</v>
      </c>
      <c r="H267">
        <v>0</v>
      </c>
      <c r="I267" s="12" t="s">
        <v>251</v>
      </c>
      <c r="J267" s="12" t="s">
        <v>252</v>
      </c>
      <c r="K267" s="12" t="s">
        <v>133</v>
      </c>
      <c r="L267" s="12" t="s">
        <v>69</v>
      </c>
      <c r="M267">
        <v>34.49</v>
      </c>
      <c r="N267" s="12" t="s">
        <v>97</v>
      </c>
      <c r="O267" s="12" t="s">
        <v>98</v>
      </c>
      <c r="P267" s="12" t="s">
        <v>72</v>
      </c>
      <c r="Q267" s="13">
        <v>45034</v>
      </c>
      <c r="R267" s="13">
        <v>45055</v>
      </c>
      <c r="S267">
        <v>2023</v>
      </c>
      <c r="T267" s="12" t="s">
        <v>626</v>
      </c>
      <c r="U267">
        <v>86</v>
      </c>
      <c r="V267">
        <v>314.15269999999998</v>
      </c>
      <c r="W267">
        <v>534.79</v>
      </c>
      <c r="X267">
        <v>0</v>
      </c>
      <c r="Y267">
        <v>0</v>
      </c>
      <c r="Z267">
        <v>27017.13</v>
      </c>
      <c r="AA267">
        <v>27551.919999999998</v>
      </c>
      <c r="AB267" s="12" t="s">
        <v>764</v>
      </c>
      <c r="AC267">
        <v>314.15269999999998</v>
      </c>
      <c r="AD267">
        <v>1</v>
      </c>
      <c r="AE267">
        <v>1</v>
      </c>
      <c r="AF267">
        <v>0</v>
      </c>
      <c r="AG267">
        <v>27017.13</v>
      </c>
      <c r="AH267">
        <v>86</v>
      </c>
      <c r="AI267">
        <v>84</v>
      </c>
      <c r="AJ267">
        <v>2</v>
      </c>
      <c r="AK267">
        <v>1</v>
      </c>
      <c r="AL267">
        <v>1</v>
      </c>
      <c r="AM267">
        <v>97.67</v>
      </c>
      <c r="AN267">
        <v>327.9991</v>
      </c>
      <c r="AO267">
        <v>628.30999999999995</v>
      </c>
      <c r="AP267" s="13">
        <v>45054</v>
      </c>
      <c r="AQ267">
        <v>-1</v>
      </c>
      <c r="AR267">
        <v>1</v>
      </c>
    </row>
    <row r="268" spans="1:44" x14ac:dyDescent="0.35">
      <c r="A268" s="12" t="s">
        <v>765</v>
      </c>
      <c r="B268" s="12" t="s">
        <v>766</v>
      </c>
      <c r="C268" s="12" t="s">
        <v>767</v>
      </c>
      <c r="D268" s="12" t="s">
        <v>175</v>
      </c>
      <c r="E268" s="12" t="s">
        <v>65</v>
      </c>
      <c r="F268">
        <v>3</v>
      </c>
      <c r="G268">
        <v>5</v>
      </c>
      <c r="H268">
        <v>0</v>
      </c>
      <c r="I268" s="12" t="s">
        <v>87</v>
      </c>
      <c r="J268" s="12" t="s">
        <v>88</v>
      </c>
      <c r="K268" s="12" t="s">
        <v>89</v>
      </c>
      <c r="L268" s="12" t="s">
        <v>69</v>
      </c>
      <c r="M268">
        <v>14.93</v>
      </c>
      <c r="N268" s="12" t="s">
        <v>107</v>
      </c>
      <c r="O268" s="12" t="s">
        <v>108</v>
      </c>
      <c r="P268" s="12" t="s">
        <v>109</v>
      </c>
      <c r="Q268" s="13">
        <v>45035</v>
      </c>
      <c r="R268" s="13">
        <v>45067</v>
      </c>
      <c r="S268">
        <v>2023</v>
      </c>
      <c r="T268" s="12" t="s">
        <v>626</v>
      </c>
      <c r="U268">
        <v>100</v>
      </c>
      <c r="V268">
        <v>86.977900000000005</v>
      </c>
      <c r="W268">
        <v>64.13</v>
      </c>
      <c r="X268">
        <v>0</v>
      </c>
      <c r="Y268">
        <v>0</v>
      </c>
      <c r="Z268">
        <v>8697.7900000000009</v>
      </c>
      <c r="AA268">
        <v>8761.92</v>
      </c>
      <c r="AB268" s="12" t="s">
        <v>768</v>
      </c>
      <c r="AC268">
        <v>86.977900000000005</v>
      </c>
      <c r="AD268">
        <v>1</v>
      </c>
      <c r="AE268">
        <v>1</v>
      </c>
      <c r="AF268">
        <v>0</v>
      </c>
      <c r="AG268">
        <v>8697.7900000000009</v>
      </c>
      <c r="AH268">
        <v>100</v>
      </c>
      <c r="AI268">
        <v>99</v>
      </c>
      <c r="AJ268">
        <v>1</v>
      </c>
      <c r="AK268">
        <v>1</v>
      </c>
      <c r="AL268">
        <v>1</v>
      </c>
      <c r="AM268">
        <v>99</v>
      </c>
      <c r="AN268">
        <v>88.504199999999997</v>
      </c>
      <c r="AO268">
        <v>86.98</v>
      </c>
      <c r="AP268" s="13">
        <v>45073</v>
      </c>
      <c r="AQ268">
        <v>6</v>
      </c>
      <c r="AR268">
        <v>0</v>
      </c>
    </row>
    <row r="269" spans="1:44" x14ac:dyDescent="0.35">
      <c r="A269" s="12" t="s">
        <v>769</v>
      </c>
      <c r="B269" s="12" t="s">
        <v>548</v>
      </c>
      <c r="C269" s="12" t="s">
        <v>549</v>
      </c>
      <c r="D269" s="12" t="s">
        <v>78</v>
      </c>
      <c r="E269" s="12" t="s">
        <v>104</v>
      </c>
      <c r="F269">
        <v>3</v>
      </c>
      <c r="G269">
        <v>1</v>
      </c>
      <c r="H269">
        <v>0</v>
      </c>
      <c r="I269" s="12" t="s">
        <v>223</v>
      </c>
      <c r="J269" s="12" t="s">
        <v>224</v>
      </c>
      <c r="K269" s="12" t="s">
        <v>81</v>
      </c>
      <c r="L269" s="12" t="s">
        <v>134</v>
      </c>
      <c r="M269">
        <v>2.4900000000000002</v>
      </c>
      <c r="N269" s="12" t="s">
        <v>70</v>
      </c>
      <c r="O269" s="12" t="s">
        <v>71</v>
      </c>
      <c r="P269" s="12" t="s">
        <v>72</v>
      </c>
      <c r="Q269" s="13">
        <v>45035</v>
      </c>
      <c r="R269" s="13">
        <v>45061</v>
      </c>
      <c r="S269">
        <v>2023</v>
      </c>
      <c r="T269" s="12" t="s">
        <v>626</v>
      </c>
      <c r="U269">
        <v>253</v>
      </c>
      <c r="V269">
        <v>62.471600000000002</v>
      </c>
      <c r="W269">
        <v>374</v>
      </c>
      <c r="X269">
        <v>0</v>
      </c>
      <c r="Y269">
        <v>0</v>
      </c>
      <c r="Z269">
        <v>15805.31</v>
      </c>
      <c r="AA269">
        <v>16179.31</v>
      </c>
      <c r="AB269" s="12" t="s">
        <v>550</v>
      </c>
      <c r="AC269">
        <v>62.471600000000002</v>
      </c>
      <c r="AD269">
        <v>1</v>
      </c>
      <c r="AE269">
        <v>1</v>
      </c>
      <c r="AF269">
        <v>0</v>
      </c>
      <c r="AG269">
        <v>15805.31</v>
      </c>
      <c r="AH269">
        <v>253</v>
      </c>
      <c r="AI269">
        <v>252</v>
      </c>
      <c r="AJ269">
        <v>1</v>
      </c>
      <c r="AK269">
        <v>1</v>
      </c>
      <c r="AL269">
        <v>1</v>
      </c>
      <c r="AM269">
        <v>99.6</v>
      </c>
      <c r="AN269">
        <v>64.203599999999994</v>
      </c>
      <c r="AO269">
        <v>62.47</v>
      </c>
      <c r="AP269" s="13">
        <v>45059</v>
      </c>
      <c r="AQ269">
        <v>-2</v>
      </c>
      <c r="AR269">
        <v>1</v>
      </c>
    </row>
    <row r="270" spans="1:44" x14ac:dyDescent="0.35">
      <c r="A270" s="12" t="s">
        <v>770</v>
      </c>
      <c r="B270" s="12" t="s">
        <v>62</v>
      </c>
      <c r="C270" s="12" t="s">
        <v>63</v>
      </c>
      <c r="D270" s="12" t="s">
        <v>64</v>
      </c>
      <c r="E270" s="12" t="s">
        <v>65</v>
      </c>
      <c r="F270">
        <v>1</v>
      </c>
      <c r="G270">
        <v>2</v>
      </c>
      <c r="H270">
        <v>1</v>
      </c>
      <c r="I270" s="12" t="s">
        <v>66</v>
      </c>
      <c r="J270" s="12" t="s">
        <v>67</v>
      </c>
      <c r="K270" s="12" t="s">
        <v>68</v>
      </c>
      <c r="L270" s="12" t="s">
        <v>69</v>
      </c>
      <c r="M270">
        <v>17.66</v>
      </c>
      <c r="N270" s="12" t="s">
        <v>97</v>
      </c>
      <c r="O270" s="12" t="s">
        <v>98</v>
      </c>
      <c r="P270" s="12" t="s">
        <v>72</v>
      </c>
      <c r="Q270" s="13">
        <v>45035</v>
      </c>
      <c r="R270" s="13">
        <v>45056</v>
      </c>
      <c r="S270">
        <v>2023</v>
      </c>
      <c r="T270" s="12" t="s">
        <v>626</v>
      </c>
      <c r="U270">
        <v>133</v>
      </c>
      <c r="V270">
        <v>24.687000000000001</v>
      </c>
      <c r="W270">
        <v>71.7</v>
      </c>
      <c r="X270">
        <v>0</v>
      </c>
      <c r="Y270">
        <v>0</v>
      </c>
      <c r="Z270">
        <v>3283.37</v>
      </c>
      <c r="AA270">
        <v>3355.07</v>
      </c>
      <c r="AB270" s="12" t="s">
        <v>74</v>
      </c>
      <c r="AC270">
        <v>24.687000000000001</v>
      </c>
      <c r="AD270">
        <v>1</v>
      </c>
      <c r="AE270">
        <v>1</v>
      </c>
      <c r="AF270">
        <v>0</v>
      </c>
      <c r="AG270">
        <v>3283.37</v>
      </c>
      <c r="AH270">
        <v>133</v>
      </c>
      <c r="AI270">
        <v>132</v>
      </c>
      <c r="AJ270">
        <v>1</v>
      </c>
      <c r="AK270">
        <v>1</v>
      </c>
      <c r="AL270">
        <v>1</v>
      </c>
      <c r="AM270">
        <v>99.25</v>
      </c>
      <c r="AN270">
        <v>25.417200000000001</v>
      </c>
      <c r="AO270">
        <v>24.69</v>
      </c>
      <c r="AP270" s="13">
        <v>45054</v>
      </c>
      <c r="AQ270">
        <v>-2</v>
      </c>
      <c r="AR270">
        <v>1</v>
      </c>
    </row>
    <row r="271" spans="1:44" x14ac:dyDescent="0.35">
      <c r="A271" s="12" t="s">
        <v>771</v>
      </c>
      <c r="B271" s="12" t="s">
        <v>519</v>
      </c>
      <c r="C271" s="12" t="s">
        <v>520</v>
      </c>
      <c r="D271" s="12" t="s">
        <v>78</v>
      </c>
      <c r="E271" s="12" t="s">
        <v>65</v>
      </c>
      <c r="F271">
        <v>2</v>
      </c>
      <c r="G271">
        <v>3</v>
      </c>
      <c r="H271">
        <v>0</v>
      </c>
      <c r="I271" s="12" t="s">
        <v>66</v>
      </c>
      <c r="J271" s="12" t="s">
        <v>67</v>
      </c>
      <c r="K271" s="12" t="s">
        <v>68</v>
      </c>
      <c r="L271" s="12" t="s">
        <v>69</v>
      </c>
      <c r="M271">
        <v>17.66</v>
      </c>
      <c r="N271" s="12" t="s">
        <v>97</v>
      </c>
      <c r="O271" s="12" t="s">
        <v>98</v>
      </c>
      <c r="P271" s="12" t="s">
        <v>72</v>
      </c>
      <c r="Q271" s="13">
        <v>45035</v>
      </c>
      <c r="R271" s="13">
        <v>45058</v>
      </c>
      <c r="S271">
        <v>2023</v>
      </c>
      <c r="T271" s="12" t="s">
        <v>626</v>
      </c>
      <c r="U271">
        <v>78</v>
      </c>
      <c r="V271">
        <v>31.7883</v>
      </c>
      <c r="W271">
        <v>33.619999999999997</v>
      </c>
      <c r="X271">
        <v>0</v>
      </c>
      <c r="Y271">
        <v>0</v>
      </c>
      <c r="Z271">
        <v>2479.4899999999998</v>
      </c>
      <c r="AA271">
        <v>2513.11</v>
      </c>
      <c r="AB271" s="12" t="s">
        <v>521</v>
      </c>
      <c r="AC271">
        <v>31.7883</v>
      </c>
      <c r="AD271">
        <v>1</v>
      </c>
      <c r="AE271">
        <v>1</v>
      </c>
      <c r="AF271">
        <v>0</v>
      </c>
      <c r="AG271">
        <v>2479.4899999999998</v>
      </c>
      <c r="AH271">
        <v>78</v>
      </c>
      <c r="AI271">
        <v>76</v>
      </c>
      <c r="AJ271">
        <v>2</v>
      </c>
      <c r="AK271">
        <v>1</v>
      </c>
      <c r="AL271">
        <v>1</v>
      </c>
      <c r="AM271">
        <v>97.44</v>
      </c>
      <c r="AN271">
        <v>33.0672</v>
      </c>
      <c r="AO271">
        <v>63.58</v>
      </c>
      <c r="AP271" s="13">
        <v>45065</v>
      </c>
      <c r="AQ271">
        <v>7</v>
      </c>
      <c r="AR271">
        <v>0</v>
      </c>
    </row>
    <row r="272" spans="1:44" x14ac:dyDescent="0.35">
      <c r="A272" s="12" t="s">
        <v>772</v>
      </c>
      <c r="B272" s="12" t="s">
        <v>773</v>
      </c>
      <c r="C272" s="12" t="s">
        <v>774</v>
      </c>
      <c r="D272" s="12" t="s">
        <v>64</v>
      </c>
      <c r="E272" s="12" t="s">
        <v>142</v>
      </c>
      <c r="F272">
        <v>1</v>
      </c>
      <c r="G272">
        <v>7</v>
      </c>
      <c r="H272">
        <v>1</v>
      </c>
      <c r="I272" s="12" t="s">
        <v>251</v>
      </c>
      <c r="J272" s="12" t="s">
        <v>252</v>
      </c>
      <c r="K272" s="12" t="s">
        <v>133</v>
      </c>
      <c r="L272" s="12" t="s">
        <v>69</v>
      </c>
      <c r="M272">
        <v>34.49</v>
      </c>
      <c r="N272" s="12" t="s">
        <v>70</v>
      </c>
      <c r="O272" s="12" t="s">
        <v>71</v>
      </c>
      <c r="P272" s="12" t="s">
        <v>72</v>
      </c>
      <c r="Q272" s="13">
        <v>45035</v>
      </c>
      <c r="R272" s="13">
        <v>45075</v>
      </c>
      <c r="S272">
        <v>2023</v>
      </c>
      <c r="T272" s="12" t="s">
        <v>626</v>
      </c>
      <c r="U272">
        <v>371</v>
      </c>
      <c r="V272">
        <v>10.0604</v>
      </c>
      <c r="W272">
        <v>34.11</v>
      </c>
      <c r="X272">
        <v>0</v>
      </c>
      <c r="Y272">
        <v>0</v>
      </c>
      <c r="Z272">
        <v>3732.41</v>
      </c>
      <c r="AA272">
        <v>3766.52</v>
      </c>
      <c r="AB272" s="12" t="s">
        <v>775</v>
      </c>
      <c r="AC272">
        <v>10.0604</v>
      </c>
      <c r="AD272">
        <v>1</v>
      </c>
      <c r="AE272">
        <v>1</v>
      </c>
      <c r="AF272">
        <v>0</v>
      </c>
      <c r="AG272">
        <v>3732.41</v>
      </c>
      <c r="AH272">
        <v>371</v>
      </c>
      <c r="AI272">
        <v>370</v>
      </c>
      <c r="AJ272">
        <v>1</v>
      </c>
      <c r="AK272">
        <v>1</v>
      </c>
      <c r="AL272">
        <v>1</v>
      </c>
      <c r="AM272">
        <v>99.73</v>
      </c>
      <c r="AN272">
        <v>10.1798</v>
      </c>
      <c r="AO272">
        <v>10.06</v>
      </c>
      <c r="AP272" s="13">
        <v>45073</v>
      </c>
      <c r="AQ272">
        <v>-2</v>
      </c>
      <c r="AR272">
        <v>1</v>
      </c>
    </row>
    <row r="273" spans="1:44" x14ac:dyDescent="0.35">
      <c r="A273" s="12" t="s">
        <v>776</v>
      </c>
      <c r="B273" s="12" t="s">
        <v>357</v>
      </c>
      <c r="C273" s="12" t="s">
        <v>358</v>
      </c>
      <c r="D273" s="12" t="s">
        <v>103</v>
      </c>
      <c r="E273" s="12" t="s">
        <v>104</v>
      </c>
      <c r="F273">
        <v>3</v>
      </c>
      <c r="G273">
        <v>1</v>
      </c>
      <c r="H273">
        <v>0</v>
      </c>
      <c r="I273" s="12" t="s">
        <v>359</v>
      </c>
      <c r="J273" s="12" t="s">
        <v>360</v>
      </c>
      <c r="K273" s="12" t="s">
        <v>133</v>
      </c>
      <c r="L273" s="12" t="s">
        <v>82</v>
      </c>
      <c r="M273">
        <v>12.65</v>
      </c>
      <c r="N273" s="12" t="s">
        <v>145</v>
      </c>
      <c r="O273" s="12" t="s">
        <v>146</v>
      </c>
      <c r="P273" s="12" t="s">
        <v>109</v>
      </c>
      <c r="Q273" s="13">
        <v>45035</v>
      </c>
      <c r="R273" s="13">
        <v>45060</v>
      </c>
      <c r="S273">
        <v>2023</v>
      </c>
      <c r="T273" s="12" t="s">
        <v>626</v>
      </c>
      <c r="U273">
        <v>111</v>
      </c>
      <c r="V273">
        <v>119.01730000000001</v>
      </c>
      <c r="W273">
        <v>199.64</v>
      </c>
      <c r="X273">
        <v>0</v>
      </c>
      <c r="Y273">
        <v>0</v>
      </c>
      <c r="Z273">
        <v>13210.92</v>
      </c>
      <c r="AA273">
        <v>13410.56</v>
      </c>
      <c r="AB273" s="12" t="s">
        <v>201</v>
      </c>
      <c r="AD273">
        <v>0</v>
      </c>
      <c r="AE273">
        <v>0</v>
      </c>
      <c r="AH273">
        <v>111</v>
      </c>
      <c r="AI273">
        <v>110</v>
      </c>
      <c r="AJ273">
        <v>1</v>
      </c>
      <c r="AK273">
        <v>1</v>
      </c>
      <c r="AL273">
        <v>1</v>
      </c>
      <c r="AM273">
        <v>99.1</v>
      </c>
      <c r="AN273">
        <v>121.91419999999999</v>
      </c>
      <c r="AO273">
        <v>119.02</v>
      </c>
      <c r="AP273" s="13">
        <v>45057</v>
      </c>
      <c r="AQ273">
        <v>-3</v>
      </c>
      <c r="AR273">
        <v>1</v>
      </c>
    </row>
    <row r="274" spans="1:44" x14ac:dyDescent="0.35">
      <c r="A274" s="12" t="s">
        <v>777</v>
      </c>
      <c r="B274" s="12" t="s">
        <v>362</v>
      </c>
      <c r="C274" s="12" t="s">
        <v>363</v>
      </c>
      <c r="D274" s="12" t="s">
        <v>78</v>
      </c>
      <c r="E274" s="12" t="s">
        <v>104</v>
      </c>
      <c r="F274">
        <v>3</v>
      </c>
      <c r="G274">
        <v>0</v>
      </c>
      <c r="H274">
        <v>0</v>
      </c>
      <c r="I274" s="12" t="s">
        <v>157</v>
      </c>
      <c r="J274" s="12" t="s">
        <v>158</v>
      </c>
      <c r="K274" s="12" t="s">
        <v>117</v>
      </c>
      <c r="L274" s="12" t="s">
        <v>96</v>
      </c>
      <c r="M274">
        <v>4.72</v>
      </c>
      <c r="N274" s="12" t="s">
        <v>70</v>
      </c>
      <c r="O274" s="12" t="s">
        <v>71</v>
      </c>
      <c r="P274" s="12" t="s">
        <v>72</v>
      </c>
      <c r="Q274" s="13">
        <v>45035</v>
      </c>
      <c r="R274" s="13">
        <v>45049</v>
      </c>
      <c r="S274">
        <v>2023</v>
      </c>
      <c r="T274" s="12" t="s">
        <v>626</v>
      </c>
      <c r="U274">
        <v>69</v>
      </c>
      <c r="V274">
        <v>63.140599999999999</v>
      </c>
      <c r="W274">
        <v>73.45</v>
      </c>
      <c r="X274">
        <v>0</v>
      </c>
      <c r="Y274">
        <v>0</v>
      </c>
      <c r="Z274">
        <v>4356.7</v>
      </c>
      <c r="AA274">
        <v>4430.1499999999996</v>
      </c>
      <c r="AB274" s="12" t="s">
        <v>364</v>
      </c>
      <c r="AC274">
        <v>63.140599999999999</v>
      </c>
      <c r="AD274">
        <v>1</v>
      </c>
      <c r="AE274">
        <v>1</v>
      </c>
      <c r="AF274">
        <v>0</v>
      </c>
      <c r="AG274">
        <v>4356.7</v>
      </c>
      <c r="AH274">
        <v>69</v>
      </c>
      <c r="AI274">
        <v>68</v>
      </c>
      <c r="AJ274">
        <v>1</v>
      </c>
      <c r="AK274">
        <v>1</v>
      </c>
      <c r="AL274">
        <v>1</v>
      </c>
      <c r="AM274">
        <v>98.55</v>
      </c>
      <c r="AN274">
        <v>65.149299999999997</v>
      </c>
      <c r="AO274">
        <v>63.14</v>
      </c>
      <c r="AP274" s="13">
        <v>45046</v>
      </c>
      <c r="AQ274">
        <v>-3</v>
      </c>
      <c r="AR274">
        <v>1</v>
      </c>
    </row>
    <row r="275" spans="1:44" x14ac:dyDescent="0.35">
      <c r="A275" s="12" t="s">
        <v>778</v>
      </c>
      <c r="B275" s="12" t="s">
        <v>362</v>
      </c>
      <c r="C275" s="12" t="s">
        <v>363</v>
      </c>
      <c r="D275" s="12" t="s">
        <v>78</v>
      </c>
      <c r="E275" s="12" t="s">
        <v>104</v>
      </c>
      <c r="F275">
        <v>3</v>
      </c>
      <c r="G275">
        <v>0</v>
      </c>
      <c r="H275">
        <v>0</v>
      </c>
      <c r="I275" s="12" t="s">
        <v>157</v>
      </c>
      <c r="J275" s="12" t="s">
        <v>158</v>
      </c>
      <c r="K275" s="12" t="s">
        <v>117</v>
      </c>
      <c r="L275" s="12" t="s">
        <v>96</v>
      </c>
      <c r="M275">
        <v>4.72</v>
      </c>
      <c r="N275" s="12" t="s">
        <v>70</v>
      </c>
      <c r="O275" s="12" t="s">
        <v>71</v>
      </c>
      <c r="P275" s="12" t="s">
        <v>72</v>
      </c>
      <c r="Q275" s="13">
        <v>45035</v>
      </c>
      <c r="R275" s="13">
        <v>45054</v>
      </c>
      <c r="S275">
        <v>2023</v>
      </c>
      <c r="T275" s="12" t="s">
        <v>626</v>
      </c>
      <c r="U275">
        <v>145</v>
      </c>
      <c r="V275">
        <v>63.140599999999999</v>
      </c>
      <c r="W275">
        <v>158.66999999999999</v>
      </c>
      <c r="X275">
        <v>0</v>
      </c>
      <c r="Y275">
        <v>0</v>
      </c>
      <c r="Z275">
        <v>9155.39</v>
      </c>
      <c r="AA275">
        <v>9314.06</v>
      </c>
      <c r="AB275" s="12" t="s">
        <v>364</v>
      </c>
      <c r="AC275">
        <v>63.140599999999999</v>
      </c>
      <c r="AD275">
        <v>1</v>
      </c>
      <c r="AE275">
        <v>1</v>
      </c>
      <c r="AF275">
        <v>0</v>
      </c>
      <c r="AG275">
        <v>9155.39</v>
      </c>
      <c r="AH275">
        <v>145</v>
      </c>
      <c r="AI275">
        <v>142</v>
      </c>
      <c r="AJ275">
        <v>3</v>
      </c>
      <c r="AK275">
        <v>1</v>
      </c>
      <c r="AL275">
        <v>1</v>
      </c>
      <c r="AM275">
        <v>97.93</v>
      </c>
      <c r="AN275">
        <v>65.591999999999999</v>
      </c>
      <c r="AO275">
        <v>189.42</v>
      </c>
      <c r="AP275" s="13">
        <v>45054</v>
      </c>
      <c r="AQ275">
        <v>0</v>
      </c>
      <c r="AR275">
        <v>1</v>
      </c>
    </row>
    <row r="276" spans="1:44" x14ac:dyDescent="0.35">
      <c r="A276" s="12" t="s">
        <v>779</v>
      </c>
      <c r="B276" s="12" t="s">
        <v>498</v>
      </c>
      <c r="C276" s="12" t="s">
        <v>499</v>
      </c>
      <c r="D276" s="12" t="s">
        <v>175</v>
      </c>
      <c r="E276" s="12" t="s">
        <v>104</v>
      </c>
      <c r="F276">
        <v>3</v>
      </c>
      <c r="G276">
        <v>1</v>
      </c>
      <c r="H276">
        <v>0</v>
      </c>
      <c r="I276" s="12" t="s">
        <v>676</v>
      </c>
      <c r="J276" s="12" t="s">
        <v>677</v>
      </c>
      <c r="K276" s="12" t="s">
        <v>68</v>
      </c>
      <c r="L276" s="12" t="s">
        <v>96</v>
      </c>
      <c r="M276">
        <v>3.57</v>
      </c>
      <c r="N276" s="12" t="s">
        <v>145</v>
      </c>
      <c r="O276" s="12" t="s">
        <v>146</v>
      </c>
      <c r="P276" s="12" t="s">
        <v>109</v>
      </c>
      <c r="Q276" s="13">
        <v>45035</v>
      </c>
      <c r="R276" s="13">
        <v>45047</v>
      </c>
      <c r="S276">
        <v>2023</v>
      </c>
      <c r="T276" s="12" t="s">
        <v>626</v>
      </c>
      <c r="U276">
        <v>13</v>
      </c>
      <c r="V276">
        <v>275.12700000000001</v>
      </c>
      <c r="W276">
        <v>91.51</v>
      </c>
      <c r="X276">
        <v>0</v>
      </c>
      <c r="Y276">
        <v>0</v>
      </c>
      <c r="Z276">
        <v>3576.65</v>
      </c>
      <c r="AA276">
        <v>3668.16</v>
      </c>
      <c r="AB276" s="12" t="s">
        <v>722</v>
      </c>
      <c r="AC276">
        <v>275.12700000000001</v>
      </c>
      <c r="AD276">
        <v>1</v>
      </c>
      <c r="AE276">
        <v>1</v>
      </c>
      <c r="AF276">
        <v>0</v>
      </c>
      <c r="AG276">
        <v>3576.65</v>
      </c>
      <c r="AH276">
        <v>13</v>
      </c>
      <c r="AI276">
        <v>13</v>
      </c>
      <c r="AJ276">
        <v>0</v>
      </c>
      <c r="AK276">
        <v>1</v>
      </c>
      <c r="AL276">
        <v>1</v>
      </c>
      <c r="AM276">
        <v>100</v>
      </c>
      <c r="AN276">
        <v>282.1662</v>
      </c>
      <c r="AO276">
        <v>0</v>
      </c>
      <c r="AP276" s="13">
        <v>45045</v>
      </c>
      <c r="AQ276">
        <v>-2</v>
      </c>
      <c r="AR276">
        <v>1</v>
      </c>
    </row>
    <row r="277" spans="1:44" x14ac:dyDescent="0.35">
      <c r="A277" s="12" t="s">
        <v>780</v>
      </c>
      <c r="B277" s="12" t="s">
        <v>646</v>
      </c>
      <c r="C277" s="12" t="s">
        <v>647</v>
      </c>
      <c r="D277" s="12" t="s">
        <v>175</v>
      </c>
      <c r="E277" s="12" t="s">
        <v>104</v>
      </c>
      <c r="F277">
        <v>3</v>
      </c>
      <c r="G277">
        <v>1</v>
      </c>
      <c r="H277">
        <v>0</v>
      </c>
      <c r="I277" s="12" t="s">
        <v>227</v>
      </c>
      <c r="J277" s="12" t="s">
        <v>228</v>
      </c>
      <c r="K277" s="12" t="s">
        <v>89</v>
      </c>
      <c r="L277" s="12" t="s">
        <v>96</v>
      </c>
      <c r="M277">
        <v>9.15</v>
      </c>
      <c r="N277" s="12" t="s">
        <v>107</v>
      </c>
      <c r="O277" s="12" t="s">
        <v>108</v>
      </c>
      <c r="P277" s="12" t="s">
        <v>109</v>
      </c>
      <c r="Q277" s="13">
        <v>45036</v>
      </c>
      <c r="R277" s="13">
        <v>45052</v>
      </c>
      <c r="S277">
        <v>2023</v>
      </c>
      <c r="T277" s="12" t="s">
        <v>626</v>
      </c>
      <c r="U277">
        <v>41</v>
      </c>
      <c r="V277">
        <v>216.21350000000001</v>
      </c>
      <c r="W277">
        <v>196.55</v>
      </c>
      <c r="X277">
        <v>0</v>
      </c>
      <c r="Y277">
        <v>0</v>
      </c>
      <c r="Z277">
        <v>8864.75</v>
      </c>
      <c r="AA277">
        <v>9061.2999999999993</v>
      </c>
      <c r="AB277" s="12" t="s">
        <v>781</v>
      </c>
      <c r="AC277">
        <v>216.21350000000001</v>
      </c>
      <c r="AD277">
        <v>1</v>
      </c>
      <c r="AE277">
        <v>1</v>
      </c>
      <c r="AF277">
        <v>0</v>
      </c>
      <c r="AG277">
        <v>8864.75</v>
      </c>
      <c r="AH277">
        <v>41</v>
      </c>
      <c r="AI277">
        <v>41</v>
      </c>
      <c r="AJ277">
        <v>0</v>
      </c>
      <c r="AK277">
        <v>1</v>
      </c>
      <c r="AL277">
        <v>1</v>
      </c>
      <c r="AM277">
        <v>100</v>
      </c>
      <c r="AN277">
        <v>221.00739999999999</v>
      </c>
      <c r="AO277">
        <v>0</v>
      </c>
      <c r="AP277" s="13">
        <v>45052</v>
      </c>
      <c r="AQ277">
        <v>0</v>
      </c>
      <c r="AR277">
        <v>1</v>
      </c>
    </row>
    <row r="278" spans="1:44" x14ac:dyDescent="0.35">
      <c r="A278" s="12" t="s">
        <v>782</v>
      </c>
      <c r="B278" s="12" t="s">
        <v>728</v>
      </c>
      <c r="C278" s="12" t="s">
        <v>729</v>
      </c>
      <c r="D278" s="12" t="s">
        <v>269</v>
      </c>
      <c r="E278" s="12" t="s">
        <v>65</v>
      </c>
      <c r="F278">
        <v>2</v>
      </c>
      <c r="G278">
        <v>3</v>
      </c>
      <c r="H278">
        <v>0</v>
      </c>
      <c r="I278" s="12" t="s">
        <v>243</v>
      </c>
      <c r="J278" s="12" t="s">
        <v>244</v>
      </c>
      <c r="K278" s="12" t="s">
        <v>81</v>
      </c>
      <c r="L278" s="12" t="s">
        <v>82</v>
      </c>
      <c r="M278">
        <v>9.2200000000000006</v>
      </c>
      <c r="N278" s="12" t="s">
        <v>159</v>
      </c>
      <c r="O278" s="12" t="s">
        <v>160</v>
      </c>
      <c r="P278" s="12" t="s">
        <v>137</v>
      </c>
      <c r="Q278" s="13">
        <v>45036</v>
      </c>
      <c r="R278" s="13">
        <v>45059</v>
      </c>
      <c r="S278">
        <v>2023</v>
      </c>
      <c r="T278" s="12" t="s">
        <v>626</v>
      </c>
      <c r="U278">
        <v>32</v>
      </c>
      <c r="V278">
        <v>374.99740000000003</v>
      </c>
      <c r="W278">
        <v>216.34</v>
      </c>
      <c r="X278">
        <v>0</v>
      </c>
      <c r="Y278">
        <v>0</v>
      </c>
      <c r="Z278">
        <v>11999.92</v>
      </c>
      <c r="AA278">
        <v>12216.26</v>
      </c>
      <c r="AB278" s="12" t="s">
        <v>783</v>
      </c>
      <c r="AC278">
        <v>374.99740000000003</v>
      </c>
      <c r="AD278">
        <v>1</v>
      </c>
      <c r="AE278">
        <v>1</v>
      </c>
      <c r="AF278">
        <v>0</v>
      </c>
      <c r="AG278">
        <v>11999.92</v>
      </c>
      <c r="AH278">
        <v>32</v>
      </c>
      <c r="AI278">
        <v>31</v>
      </c>
      <c r="AJ278">
        <v>1</v>
      </c>
      <c r="AK278">
        <v>1</v>
      </c>
      <c r="AL278">
        <v>1</v>
      </c>
      <c r="AM278">
        <v>96.88</v>
      </c>
      <c r="AN278">
        <v>394.07279999999997</v>
      </c>
      <c r="AO278">
        <v>375</v>
      </c>
      <c r="AP278" s="13">
        <v>45059</v>
      </c>
      <c r="AQ278">
        <v>0</v>
      </c>
      <c r="AR278">
        <v>1</v>
      </c>
    </row>
    <row r="279" spans="1:44" x14ac:dyDescent="0.35">
      <c r="A279" s="12" t="s">
        <v>784</v>
      </c>
      <c r="B279" s="12" t="s">
        <v>255</v>
      </c>
      <c r="C279" s="12" t="s">
        <v>256</v>
      </c>
      <c r="D279" s="12" t="s">
        <v>103</v>
      </c>
      <c r="E279" s="12" t="s">
        <v>65</v>
      </c>
      <c r="F279">
        <v>2</v>
      </c>
      <c r="G279">
        <v>4</v>
      </c>
      <c r="H279">
        <v>0</v>
      </c>
      <c r="I279" s="12" t="s">
        <v>143</v>
      </c>
      <c r="J279" s="12" t="s">
        <v>144</v>
      </c>
      <c r="K279" s="12" t="s">
        <v>133</v>
      </c>
      <c r="L279" s="12" t="s">
        <v>96</v>
      </c>
      <c r="M279">
        <v>5.43</v>
      </c>
      <c r="N279" s="12" t="s">
        <v>145</v>
      </c>
      <c r="O279" s="12" t="s">
        <v>146</v>
      </c>
      <c r="P279" s="12" t="s">
        <v>109</v>
      </c>
      <c r="Q279" s="13">
        <v>45036</v>
      </c>
      <c r="R279" s="13">
        <v>45072</v>
      </c>
      <c r="S279">
        <v>2023</v>
      </c>
      <c r="T279" s="12" t="s">
        <v>626</v>
      </c>
      <c r="U279">
        <v>134</v>
      </c>
      <c r="V279">
        <v>98.693100000000001</v>
      </c>
      <c r="W279">
        <v>231.89</v>
      </c>
      <c r="X279">
        <v>0</v>
      </c>
      <c r="Y279">
        <v>0</v>
      </c>
      <c r="Z279">
        <v>13224.88</v>
      </c>
      <c r="AA279">
        <v>13456.77</v>
      </c>
      <c r="AB279" s="12" t="s">
        <v>366</v>
      </c>
      <c r="AC279">
        <v>95.085700000000003</v>
      </c>
      <c r="AD279">
        <v>1</v>
      </c>
      <c r="AE279">
        <v>1</v>
      </c>
      <c r="AF279">
        <v>483.39</v>
      </c>
      <c r="AG279">
        <v>12741.48</v>
      </c>
      <c r="AH279">
        <v>134</v>
      </c>
      <c r="AI279">
        <v>133</v>
      </c>
      <c r="AJ279">
        <v>1</v>
      </c>
      <c r="AK279">
        <v>1</v>
      </c>
      <c r="AL279">
        <v>1</v>
      </c>
      <c r="AM279">
        <v>99.25</v>
      </c>
      <c r="AN279">
        <v>101.17870000000001</v>
      </c>
      <c r="AO279">
        <v>98.69</v>
      </c>
      <c r="AP279" s="13">
        <v>45069</v>
      </c>
      <c r="AQ279">
        <v>-3</v>
      </c>
      <c r="AR279">
        <v>1</v>
      </c>
    </row>
    <row r="280" spans="1:44" x14ac:dyDescent="0.35">
      <c r="A280" s="12" t="s">
        <v>785</v>
      </c>
      <c r="B280" s="12" t="s">
        <v>661</v>
      </c>
      <c r="C280" s="12" t="s">
        <v>662</v>
      </c>
      <c r="D280" s="12" t="s">
        <v>175</v>
      </c>
      <c r="E280" s="12" t="s">
        <v>104</v>
      </c>
      <c r="F280">
        <v>1</v>
      </c>
      <c r="G280">
        <v>0</v>
      </c>
      <c r="H280">
        <v>1</v>
      </c>
      <c r="I280" s="12" t="s">
        <v>183</v>
      </c>
      <c r="J280" s="12" t="s">
        <v>184</v>
      </c>
      <c r="K280" s="12" t="s">
        <v>133</v>
      </c>
      <c r="L280" s="12" t="s">
        <v>82</v>
      </c>
      <c r="M280">
        <v>8.6199999999999992</v>
      </c>
      <c r="N280" s="12" t="s">
        <v>145</v>
      </c>
      <c r="O280" s="12" t="s">
        <v>146</v>
      </c>
      <c r="P280" s="12" t="s">
        <v>109</v>
      </c>
      <c r="Q280" s="13">
        <v>45036</v>
      </c>
      <c r="R280" s="13">
        <v>45064</v>
      </c>
      <c r="S280">
        <v>2023</v>
      </c>
      <c r="T280" s="12" t="s">
        <v>626</v>
      </c>
      <c r="U280">
        <v>138</v>
      </c>
      <c r="V280">
        <v>194.86689999999999</v>
      </c>
      <c r="W280">
        <v>540.79999999999995</v>
      </c>
      <c r="X280">
        <v>0</v>
      </c>
      <c r="Y280">
        <v>0</v>
      </c>
      <c r="Z280">
        <v>26891.63</v>
      </c>
      <c r="AA280">
        <v>27432.43</v>
      </c>
      <c r="AB280" s="12" t="s">
        <v>663</v>
      </c>
      <c r="AC280">
        <v>201.68719999999999</v>
      </c>
      <c r="AD280">
        <v>2</v>
      </c>
      <c r="AE280">
        <v>1</v>
      </c>
      <c r="AF280">
        <v>-941.2</v>
      </c>
      <c r="AG280">
        <v>27832.83</v>
      </c>
      <c r="AH280">
        <v>138</v>
      </c>
      <c r="AI280">
        <v>137</v>
      </c>
      <c r="AJ280">
        <v>1</v>
      </c>
      <c r="AK280">
        <v>1</v>
      </c>
      <c r="AL280">
        <v>1</v>
      </c>
      <c r="AM280">
        <v>99.28</v>
      </c>
      <c r="AN280">
        <v>200.23670000000001</v>
      </c>
      <c r="AO280">
        <v>194.87</v>
      </c>
      <c r="AP280" s="13">
        <v>45062</v>
      </c>
      <c r="AQ280">
        <v>-2</v>
      </c>
      <c r="AR280">
        <v>1</v>
      </c>
    </row>
    <row r="281" spans="1:44" x14ac:dyDescent="0.35">
      <c r="A281" s="12" t="s">
        <v>786</v>
      </c>
      <c r="B281" s="12" t="s">
        <v>787</v>
      </c>
      <c r="C281" s="12" t="s">
        <v>788</v>
      </c>
      <c r="D281" s="12" t="s">
        <v>269</v>
      </c>
      <c r="E281" s="12" t="s">
        <v>65</v>
      </c>
      <c r="F281">
        <v>2</v>
      </c>
      <c r="G281">
        <v>3</v>
      </c>
      <c r="H281">
        <v>0</v>
      </c>
      <c r="I281" s="12" t="s">
        <v>143</v>
      </c>
      <c r="J281" s="12" t="s">
        <v>144</v>
      </c>
      <c r="K281" s="12" t="s">
        <v>133</v>
      </c>
      <c r="L281" s="12" t="s">
        <v>96</v>
      </c>
      <c r="M281">
        <v>5.43</v>
      </c>
      <c r="N281" s="12" t="s">
        <v>159</v>
      </c>
      <c r="O281" s="12" t="s">
        <v>160</v>
      </c>
      <c r="P281" s="12" t="s">
        <v>137</v>
      </c>
      <c r="Q281" s="13">
        <v>45036</v>
      </c>
      <c r="R281" s="13">
        <v>45071</v>
      </c>
      <c r="S281">
        <v>2023</v>
      </c>
      <c r="T281" s="12" t="s">
        <v>626</v>
      </c>
      <c r="U281">
        <v>121</v>
      </c>
      <c r="V281">
        <v>354.36430000000001</v>
      </c>
      <c r="W281">
        <v>680.8</v>
      </c>
      <c r="X281">
        <v>0</v>
      </c>
      <c r="Y281">
        <v>0</v>
      </c>
      <c r="Z281">
        <v>42878.080000000002</v>
      </c>
      <c r="AA281">
        <v>43558.879999999997</v>
      </c>
      <c r="AB281" s="12" t="s">
        <v>789</v>
      </c>
      <c r="AC281">
        <v>354.36430000000001</v>
      </c>
      <c r="AD281">
        <v>1</v>
      </c>
      <c r="AE281">
        <v>1</v>
      </c>
      <c r="AF281">
        <v>0</v>
      </c>
      <c r="AG281">
        <v>42878.080000000002</v>
      </c>
      <c r="AH281">
        <v>121</v>
      </c>
      <c r="AI281">
        <v>120</v>
      </c>
      <c r="AJ281">
        <v>1</v>
      </c>
      <c r="AK281">
        <v>1</v>
      </c>
      <c r="AL281">
        <v>1</v>
      </c>
      <c r="AM281">
        <v>99.17</v>
      </c>
      <c r="AN281">
        <v>362.9907</v>
      </c>
      <c r="AO281">
        <v>354.36</v>
      </c>
      <c r="AP281" s="13">
        <v>45071</v>
      </c>
      <c r="AQ281">
        <v>0</v>
      </c>
      <c r="AR281">
        <v>1</v>
      </c>
    </row>
    <row r="282" spans="1:44" x14ac:dyDescent="0.35">
      <c r="A282" s="12" t="s">
        <v>790</v>
      </c>
      <c r="B282" s="12" t="s">
        <v>215</v>
      </c>
      <c r="C282" s="12" t="s">
        <v>216</v>
      </c>
      <c r="D282" s="12" t="s">
        <v>122</v>
      </c>
      <c r="E282" s="12" t="s">
        <v>142</v>
      </c>
      <c r="F282">
        <v>3</v>
      </c>
      <c r="G282">
        <v>11</v>
      </c>
      <c r="H282">
        <v>0</v>
      </c>
      <c r="I282" s="12" t="s">
        <v>217</v>
      </c>
      <c r="J282" s="12" t="s">
        <v>218</v>
      </c>
      <c r="K282" s="12" t="s">
        <v>68</v>
      </c>
      <c r="L282" s="12" t="s">
        <v>82</v>
      </c>
      <c r="M282">
        <v>14.24</v>
      </c>
      <c r="N282" s="12" t="s">
        <v>70</v>
      </c>
      <c r="O282" s="12" t="s">
        <v>71</v>
      </c>
      <c r="P282" s="12" t="s">
        <v>72</v>
      </c>
      <c r="Q282" s="13">
        <v>45036</v>
      </c>
      <c r="R282" s="13">
        <v>45087</v>
      </c>
      <c r="S282">
        <v>2023</v>
      </c>
      <c r="T282" s="12" t="s">
        <v>626</v>
      </c>
      <c r="U282">
        <v>1874</v>
      </c>
      <c r="V282">
        <v>15.462199999999999</v>
      </c>
      <c r="W282">
        <v>719.03</v>
      </c>
      <c r="X282">
        <v>0</v>
      </c>
      <c r="Y282">
        <v>0</v>
      </c>
      <c r="Z282">
        <v>28976.16</v>
      </c>
      <c r="AA282">
        <v>29695.19</v>
      </c>
      <c r="AB282" s="12" t="s">
        <v>219</v>
      </c>
      <c r="AC282">
        <v>15.462199999999999</v>
      </c>
      <c r="AD282">
        <v>1</v>
      </c>
      <c r="AE282">
        <v>1</v>
      </c>
      <c r="AF282">
        <v>0</v>
      </c>
      <c r="AG282">
        <v>28976.16</v>
      </c>
      <c r="AH282">
        <v>1874</v>
      </c>
      <c r="AI282">
        <v>1858</v>
      </c>
      <c r="AJ282">
        <v>16</v>
      </c>
      <c r="AK282">
        <v>1</v>
      </c>
      <c r="AL282">
        <v>1</v>
      </c>
      <c r="AM282">
        <v>99.15</v>
      </c>
      <c r="AN282">
        <v>15.9823</v>
      </c>
      <c r="AO282">
        <v>247.4</v>
      </c>
      <c r="AP282" s="13">
        <v>45086</v>
      </c>
      <c r="AQ282">
        <v>-1</v>
      </c>
      <c r="AR282">
        <v>1</v>
      </c>
    </row>
    <row r="283" spans="1:44" x14ac:dyDescent="0.35">
      <c r="A283" s="12" t="s">
        <v>791</v>
      </c>
      <c r="B283" s="12" t="s">
        <v>792</v>
      </c>
      <c r="C283" s="12" t="s">
        <v>793</v>
      </c>
      <c r="D283" s="12" t="s">
        <v>103</v>
      </c>
      <c r="E283" s="12" t="s">
        <v>65</v>
      </c>
      <c r="F283">
        <v>2</v>
      </c>
      <c r="G283">
        <v>3</v>
      </c>
      <c r="H283">
        <v>0</v>
      </c>
      <c r="I283" s="12" t="s">
        <v>115</v>
      </c>
      <c r="J283" s="12" t="s">
        <v>116</v>
      </c>
      <c r="K283" s="12" t="s">
        <v>117</v>
      </c>
      <c r="L283" s="12" t="s">
        <v>82</v>
      </c>
      <c r="M283">
        <v>17.170000000000002</v>
      </c>
      <c r="N283" s="12" t="s">
        <v>145</v>
      </c>
      <c r="O283" s="12" t="s">
        <v>146</v>
      </c>
      <c r="P283" s="12" t="s">
        <v>109</v>
      </c>
      <c r="Q283" s="13">
        <v>45036</v>
      </c>
      <c r="R283" s="13">
        <v>45067</v>
      </c>
      <c r="S283">
        <v>2023</v>
      </c>
      <c r="T283" s="12" t="s">
        <v>626</v>
      </c>
      <c r="U283">
        <v>92</v>
      </c>
      <c r="V283">
        <v>99.173299999999998</v>
      </c>
      <c r="W283">
        <v>236.63</v>
      </c>
      <c r="X283">
        <v>0</v>
      </c>
      <c r="Y283">
        <v>0</v>
      </c>
      <c r="Z283">
        <v>9123.94</v>
      </c>
      <c r="AA283">
        <v>9360.57</v>
      </c>
      <c r="AB283" s="12" t="s">
        <v>794</v>
      </c>
      <c r="AC283">
        <v>99.173299999999998</v>
      </c>
      <c r="AD283">
        <v>1</v>
      </c>
      <c r="AE283">
        <v>1</v>
      </c>
      <c r="AF283">
        <v>0</v>
      </c>
      <c r="AG283">
        <v>9123.94</v>
      </c>
      <c r="AH283">
        <v>92</v>
      </c>
      <c r="AI283">
        <v>92</v>
      </c>
      <c r="AJ283">
        <v>0</v>
      </c>
      <c r="AK283">
        <v>1</v>
      </c>
      <c r="AL283">
        <v>1</v>
      </c>
      <c r="AM283">
        <v>100</v>
      </c>
      <c r="AN283">
        <v>101.7454</v>
      </c>
      <c r="AO283">
        <v>0</v>
      </c>
      <c r="AP283" s="13">
        <v>45064</v>
      </c>
      <c r="AQ283">
        <v>-3</v>
      </c>
      <c r="AR283">
        <v>1</v>
      </c>
    </row>
    <row r="284" spans="1:44" x14ac:dyDescent="0.35">
      <c r="A284" s="12" t="s">
        <v>795</v>
      </c>
      <c r="B284" s="12" t="s">
        <v>674</v>
      </c>
      <c r="C284" s="12" t="s">
        <v>675</v>
      </c>
      <c r="D284" s="12" t="s">
        <v>269</v>
      </c>
      <c r="E284" s="12" t="s">
        <v>142</v>
      </c>
      <c r="F284">
        <v>1</v>
      </c>
      <c r="G284">
        <v>7</v>
      </c>
      <c r="H284">
        <v>1</v>
      </c>
      <c r="I284" s="12" t="s">
        <v>676</v>
      </c>
      <c r="J284" s="12" t="s">
        <v>677</v>
      </c>
      <c r="K284" s="12" t="s">
        <v>68</v>
      </c>
      <c r="L284" s="12" t="s">
        <v>96</v>
      </c>
      <c r="M284">
        <v>3.57</v>
      </c>
      <c r="N284" s="12" t="s">
        <v>135</v>
      </c>
      <c r="O284" s="12" t="s">
        <v>136</v>
      </c>
      <c r="P284" s="12" t="s">
        <v>137</v>
      </c>
      <c r="Q284" s="13">
        <v>45037</v>
      </c>
      <c r="R284" s="13">
        <v>45077</v>
      </c>
      <c r="S284">
        <v>2023</v>
      </c>
      <c r="T284" s="12" t="s">
        <v>626</v>
      </c>
      <c r="U284">
        <v>49</v>
      </c>
      <c r="V284">
        <v>355.32960000000003</v>
      </c>
      <c r="W284">
        <v>115.81</v>
      </c>
      <c r="X284">
        <v>0</v>
      </c>
      <c r="Y284">
        <v>0</v>
      </c>
      <c r="Z284">
        <v>17411.150000000001</v>
      </c>
      <c r="AA284">
        <v>17526.96</v>
      </c>
      <c r="AB284" s="12" t="s">
        <v>678</v>
      </c>
      <c r="AC284">
        <v>355.32960000000003</v>
      </c>
      <c r="AD284">
        <v>1</v>
      </c>
      <c r="AE284">
        <v>1</v>
      </c>
      <c r="AF284">
        <v>0</v>
      </c>
      <c r="AG284">
        <v>17411.150000000001</v>
      </c>
      <c r="AH284">
        <v>49</v>
      </c>
      <c r="AI284">
        <v>49</v>
      </c>
      <c r="AJ284">
        <v>0</v>
      </c>
      <c r="AK284">
        <v>1</v>
      </c>
      <c r="AL284">
        <v>1</v>
      </c>
      <c r="AM284">
        <v>100</v>
      </c>
      <c r="AN284">
        <v>357.69310000000002</v>
      </c>
      <c r="AO284">
        <v>0</v>
      </c>
      <c r="AP284" s="13">
        <v>45087</v>
      </c>
      <c r="AQ284">
        <v>10</v>
      </c>
      <c r="AR284">
        <v>0</v>
      </c>
    </row>
    <row r="285" spans="1:44" x14ac:dyDescent="0.35">
      <c r="A285" s="12" t="s">
        <v>796</v>
      </c>
      <c r="B285" s="12" t="s">
        <v>167</v>
      </c>
      <c r="C285" s="12" t="s">
        <v>168</v>
      </c>
      <c r="D285" s="12" t="s">
        <v>64</v>
      </c>
      <c r="E285" s="12" t="s">
        <v>104</v>
      </c>
      <c r="F285">
        <v>3</v>
      </c>
      <c r="G285">
        <v>1</v>
      </c>
      <c r="H285">
        <v>0</v>
      </c>
      <c r="I285" s="12" t="s">
        <v>169</v>
      </c>
      <c r="J285" s="12" t="s">
        <v>170</v>
      </c>
      <c r="K285" s="12" t="s">
        <v>89</v>
      </c>
      <c r="L285" s="12" t="s">
        <v>134</v>
      </c>
      <c r="M285">
        <v>1.37</v>
      </c>
      <c r="N285" s="12" t="s">
        <v>70</v>
      </c>
      <c r="O285" s="12" t="s">
        <v>71</v>
      </c>
      <c r="P285" s="12" t="s">
        <v>72</v>
      </c>
      <c r="Q285" s="13">
        <v>45037</v>
      </c>
      <c r="R285" s="13">
        <v>45062</v>
      </c>
      <c r="S285">
        <v>2023</v>
      </c>
      <c r="T285" s="12" t="s">
        <v>626</v>
      </c>
      <c r="U285">
        <v>750</v>
      </c>
      <c r="V285">
        <v>28.7181</v>
      </c>
      <c r="W285">
        <v>291.27999999999997</v>
      </c>
      <c r="X285">
        <v>0</v>
      </c>
      <c r="Y285">
        <v>0</v>
      </c>
      <c r="Z285">
        <v>21538.58</v>
      </c>
      <c r="AA285">
        <v>21829.86</v>
      </c>
      <c r="AB285" s="12" t="s">
        <v>171</v>
      </c>
      <c r="AC285">
        <v>28.7181</v>
      </c>
      <c r="AD285">
        <v>1</v>
      </c>
      <c r="AE285">
        <v>1</v>
      </c>
      <c r="AF285">
        <v>0</v>
      </c>
      <c r="AG285">
        <v>21538.58</v>
      </c>
      <c r="AH285">
        <v>750</v>
      </c>
      <c r="AI285">
        <v>742</v>
      </c>
      <c r="AJ285">
        <v>8</v>
      </c>
      <c r="AK285">
        <v>1</v>
      </c>
      <c r="AL285">
        <v>1</v>
      </c>
      <c r="AM285">
        <v>98.93</v>
      </c>
      <c r="AN285">
        <v>29.420300000000001</v>
      </c>
      <c r="AO285">
        <v>229.74</v>
      </c>
      <c r="AP285" s="13">
        <v>45060</v>
      </c>
      <c r="AQ285">
        <v>-2</v>
      </c>
      <c r="AR285">
        <v>1</v>
      </c>
    </row>
    <row r="286" spans="1:44" x14ac:dyDescent="0.35">
      <c r="A286" s="12" t="s">
        <v>797</v>
      </c>
      <c r="B286" s="12" t="s">
        <v>273</v>
      </c>
      <c r="C286" s="12" t="s">
        <v>274</v>
      </c>
      <c r="D286" s="12" t="s">
        <v>175</v>
      </c>
      <c r="E286" s="12" t="s">
        <v>104</v>
      </c>
      <c r="F286">
        <v>3</v>
      </c>
      <c r="G286">
        <v>1</v>
      </c>
      <c r="H286">
        <v>0</v>
      </c>
      <c r="I286" s="12" t="s">
        <v>341</v>
      </c>
      <c r="J286" s="12" t="s">
        <v>342</v>
      </c>
      <c r="K286" s="12" t="s">
        <v>117</v>
      </c>
      <c r="L286" s="12" t="s">
        <v>82</v>
      </c>
      <c r="M286">
        <v>18.36</v>
      </c>
      <c r="N286" s="12" t="s">
        <v>145</v>
      </c>
      <c r="O286" s="12" t="s">
        <v>146</v>
      </c>
      <c r="P286" s="12" t="s">
        <v>109</v>
      </c>
      <c r="Q286" s="13">
        <v>45037</v>
      </c>
      <c r="R286" s="13">
        <v>45057</v>
      </c>
      <c r="S286">
        <v>2023</v>
      </c>
      <c r="T286" s="12" t="s">
        <v>626</v>
      </c>
      <c r="U286">
        <v>77</v>
      </c>
      <c r="V286">
        <v>113.5119</v>
      </c>
      <c r="W286">
        <v>157.82</v>
      </c>
      <c r="X286">
        <v>0</v>
      </c>
      <c r="Y286">
        <v>0</v>
      </c>
      <c r="Z286">
        <v>8740.42</v>
      </c>
      <c r="AA286">
        <v>8898.24</v>
      </c>
      <c r="AB286" s="12" t="s">
        <v>798</v>
      </c>
      <c r="AC286">
        <v>113.5119</v>
      </c>
      <c r="AD286">
        <v>1</v>
      </c>
      <c r="AE286">
        <v>1</v>
      </c>
      <c r="AF286">
        <v>0</v>
      </c>
      <c r="AG286">
        <v>8740.42</v>
      </c>
      <c r="AH286">
        <v>77</v>
      </c>
      <c r="AI286">
        <v>77</v>
      </c>
      <c r="AJ286">
        <v>0</v>
      </c>
      <c r="AK286">
        <v>1</v>
      </c>
      <c r="AL286">
        <v>1</v>
      </c>
      <c r="AM286">
        <v>100</v>
      </c>
      <c r="AN286">
        <v>115.5615</v>
      </c>
      <c r="AO286">
        <v>0</v>
      </c>
      <c r="AP286" s="13">
        <v>45054</v>
      </c>
      <c r="AQ286">
        <v>-3</v>
      </c>
      <c r="AR286">
        <v>1</v>
      </c>
    </row>
    <row r="287" spans="1:44" x14ac:dyDescent="0.35">
      <c r="A287" s="12" t="s">
        <v>799</v>
      </c>
      <c r="B287" s="12" t="s">
        <v>598</v>
      </c>
      <c r="C287" s="12" t="s">
        <v>599</v>
      </c>
      <c r="D287" s="12" t="s">
        <v>269</v>
      </c>
      <c r="E287" s="12" t="s">
        <v>65</v>
      </c>
      <c r="F287">
        <v>1</v>
      </c>
      <c r="G287">
        <v>2</v>
      </c>
      <c r="H287">
        <v>1</v>
      </c>
      <c r="I287" s="12" t="s">
        <v>176</v>
      </c>
      <c r="J287" s="12" t="s">
        <v>177</v>
      </c>
      <c r="K287" s="12" t="s">
        <v>125</v>
      </c>
      <c r="L287" s="12" t="s">
        <v>134</v>
      </c>
      <c r="M287">
        <v>1.75</v>
      </c>
      <c r="N287" s="12" t="s">
        <v>159</v>
      </c>
      <c r="O287" s="12" t="s">
        <v>160</v>
      </c>
      <c r="P287" s="12" t="s">
        <v>137</v>
      </c>
      <c r="Q287" s="13">
        <v>45037</v>
      </c>
      <c r="R287" s="13">
        <v>45069</v>
      </c>
      <c r="S287">
        <v>2023</v>
      </c>
      <c r="T287" s="12" t="s">
        <v>626</v>
      </c>
      <c r="U287">
        <v>101</v>
      </c>
      <c r="V287">
        <v>454.90469999999999</v>
      </c>
      <c r="W287">
        <v>995.59</v>
      </c>
      <c r="X287">
        <v>0</v>
      </c>
      <c r="Y287">
        <v>0</v>
      </c>
      <c r="Z287">
        <v>45945.37</v>
      </c>
      <c r="AA287">
        <v>46940.959999999999</v>
      </c>
      <c r="AB287" s="12" t="s">
        <v>600</v>
      </c>
      <c r="AC287">
        <v>454.90469999999999</v>
      </c>
      <c r="AD287">
        <v>1</v>
      </c>
      <c r="AE287">
        <v>1</v>
      </c>
      <c r="AF287">
        <v>0</v>
      </c>
      <c r="AG287">
        <v>45945.37</v>
      </c>
      <c r="AH287">
        <v>101</v>
      </c>
      <c r="AI287">
        <v>100</v>
      </c>
      <c r="AJ287">
        <v>1</v>
      </c>
      <c r="AK287">
        <v>1</v>
      </c>
      <c r="AL287">
        <v>1</v>
      </c>
      <c r="AM287">
        <v>99.01</v>
      </c>
      <c r="AN287">
        <v>469.40960000000001</v>
      </c>
      <c r="AO287">
        <v>454.9</v>
      </c>
      <c r="AP287" s="13">
        <v>45067</v>
      </c>
      <c r="AQ287">
        <v>-2</v>
      </c>
      <c r="AR287">
        <v>1</v>
      </c>
    </row>
    <row r="288" spans="1:44" x14ac:dyDescent="0.35">
      <c r="A288" s="12" t="s">
        <v>800</v>
      </c>
      <c r="B288" s="12" t="s">
        <v>544</v>
      </c>
      <c r="C288" s="12" t="s">
        <v>545</v>
      </c>
      <c r="D288" s="12" t="s">
        <v>175</v>
      </c>
      <c r="E288" s="12" t="s">
        <v>65</v>
      </c>
      <c r="F288">
        <v>3</v>
      </c>
      <c r="G288">
        <v>5</v>
      </c>
      <c r="H288">
        <v>0</v>
      </c>
      <c r="I288" s="12" t="s">
        <v>66</v>
      </c>
      <c r="J288" s="12" t="s">
        <v>67</v>
      </c>
      <c r="K288" s="12" t="s">
        <v>68</v>
      </c>
      <c r="L288" s="12" t="s">
        <v>69</v>
      </c>
      <c r="M288">
        <v>17.66</v>
      </c>
      <c r="N288" s="12" t="s">
        <v>145</v>
      </c>
      <c r="O288" s="12" t="s">
        <v>146</v>
      </c>
      <c r="P288" s="12" t="s">
        <v>109</v>
      </c>
      <c r="Q288" s="13">
        <v>45040</v>
      </c>
      <c r="R288" s="13">
        <v>45061</v>
      </c>
      <c r="S288">
        <v>2023</v>
      </c>
      <c r="T288" s="12" t="s">
        <v>626</v>
      </c>
      <c r="U288">
        <v>11</v>
      </c>
      <c r="V288">
        <v>155.36940000000001</v>
      </c>
      <c r="W288">
        <v>14.11</v>
      </c>
      <c r="X288">
        <v>0</v>
      </c>
      <c r="Y288">
        <v>0</v>
      </c>
      <c r="Z288">
        <v>1709.06</v>
      </c>
      <c r="AA288">
        <v>1723.17</v>
      </c>
      <c r="AB288" s="12" t="s">
        <v>546</v>
      </c>
      <c r="AC288">
        <v>155.36940000000001</v>
      </c>
      <c r="AD288">
        <v>1</v>
      </c>
      <c r="AE288">
        <v>1</v>
      </c>
      <c r="AF288">
        <v>0</v>
      </c>
      <c r="AG288">
        <v>1709.06</v>
      </c>
      <c r="AH288">
        <v>11</v>
      </c>
      <c r="AI288">
        <v>11</v>
      </c>
      <c r="AJ288">
        <v>0</v>
      </c>
      <c r="AK288">
        <v>1</v>
      </c>
      <c r="AL288">
        <v>1</v>
      </c>
      <c r="AM288">
        <v>100</v>
      </c>
      <c r="AN288">
        <v>156.65209999999999</v>
      </c>
      <c r="AO288">
        <v>0</v>
      </c>
      <c r="AP288" s="13">
        <v>45058</v>
      </c>
      <c r="AQ288">
        <v>-3</v>
      </c>
      <c r="AR288">
        <v>1</v>
      </c>
    </row>
    <row r="289" spans="1:44" x14ac:dyDescent="0.35">
      <c r="A289" s="12" t="s">
        <v>801</v>
      </c>
      <c r="B289" s="12" t="s">
        <v>802</v>
      </c>
      <c r="C289" s="12" t="s">
        <v>803</v>
      </c>
      <c r="D289" s="12" t="s">
        <v>114</v>
      </c>
      <c r="E289" s="12" t="s">
        <v>65</v>
      </c>
      <c r="F289">
        <v>3</v>
      </c>
      <c r="G289">
        <v>5</v>
      </c>
      <c r="H289">
        <v>0</v>
      </c>
      <c r="I289" s="12" t="s">
        <v>804</v>
      </c>
      <c r="J289" s="12" t="s">
        <v>342</v>
      </c>
      <c r="K289" s="12" t="s">
        <v>117</v>
      </c>
      <c r="L289" s="12" t="s">
        <v>69</v>
      </c>
      <c r="M289">
        <v>30.07</v>
      </c>
      <c r="N289" s="12" t="s">
        <v>70</v>
      </c>
      <c r="O289" s="12" t="s">
        <v>71</v>
      </c>
      <c r="P289" s="12" t="s">
        <v>72</v>
      </c>
      <c r="Q289" s="13">
        <v>45040</v>
      </c>
      <c r="R289" s="13">
        <v>45072</v>
      </c>
      <c r="S289">
        <v>2023</v>
      </c>
      <c r="T289" s="12" t="s">
        <v>626</v>
      </c>
      <c r="U289">
        <v>100</v>
      </c>
      <c r="V289">
        <v>329.94729999999998</v>
      </c>
      <c r="W289">
        <v>766.67</v>
      </c>
      <c r="X289">
        <v>0</v>
      </c>
      <c r="Y289">
        <v>0</v>
      </c>
      <c r="Z289">
        <v>32994.730000000003</v>
      </c>
      <c r="AA289">
        <v>33761.4</v>
      </c>
      <c r="AB289" s="12" t="s">
        <v>805</v>
      </c>
      <c r="AC289">
        <v>362.99209999999999</v>
      </c>
      <c r="AD289">
        <v>2</v>
      </c>
      <c r="AE289">
        <v>1</v>
      </c>
      <c r="AF289">
        <v>-3304.48</v>
      </c>
      <c r="AG289">
        <v>36299.21</v>
      </c>
      <c r="AH289">
        <v>100</v>
      </c>
      <c r="AI289">
        <v>100</v>
      </c>
      <c r="AJ289">
        <v>0</v>
      </c>
      <c r="AK289">
        <v>1</v>
      </c>
      <c r="AL289">
        <v>1</v>
      </c>
      <c r="AM289">
        <v>100</v>
      </c>
      <c r="AN289">
        <v>337.61399999999998</v>
      </c>
      <c r="AO289">
        <v>0</v>
      </c>
      <c r="AP289" s="13">
        <v>45075</v>
      </c>
      <c r="AQ289">
        <v>3</v>
      </c>
      <c r="AR289">
        <v>0</v>
      </c>
    </row>
    <row r="290" spans="1:44" x14ac:dyDescent="0.35">
      <c r="A290" s="12" t="s">
        <v>806</v>
      </c>
      <c r="B290" s="12" t="s">
        <v>120</v>
      </c>
      <c r="C290" s="12" t="s">
        <v>121</v>
      </c>
      <c r="D290" s="12" t="s">
        <v>122</v>
      </c>
      <c r="E290" s="12" t="s">
        <v>65</v>
      </c>
      <c r="F290">
        <v>3</v>
      </c>
      <c r="G290">
        <v>4</v>
      </c>
      <c r="H290">
        <v>0</v>
      </c>
      <c r="I290" s="12" t="s">
        <v>123</v>
      </c>
      <c r="J290" s="12" t="s">
        <v>124</v>
      </c>
      <c r="K290" s="12" t="s">
        <v>125</v>
      </c>
      <c r="L290" s="12" t="s">
        <v>82</v>
      </c>
      <c r="M290">
        <v>6.75</v>
      </c>
      <c r="N290" s="12" t="s">
        <v>70</v>
      </c>
      <c r="O290" s="12" t="s">
        <v>71</v>
      </c>
      <c r="P290" s="12" t="s">
        <v>72</v>
      </c>
      <c r="Q290" s="13">
        <v>45040</v>
      </c>
      <c r="R290" s="13">
        <v>45071</v>
      </c>
      <c r="S290">
        <v>2023</v>
      </c>
      <c r="T290" s="12" t="s">
        <v>626</v>
      </c>
      <c r="U290">
        <v>1284</v>
      </c>
      <c r="V290">
        <v>55.544699999999999</v>
      </c>
      <c r="W290">
        <v>533.78</v>
      </c>
      <c r="X290">
        <v>0</v>
      </c>
      <c r="Y290">
        <v>0</v>
      </c>
      <c r="Z290">
        <v>71319.39</v>
      </c>
      <c r="AA290">
        <v>71853.17</v>
      </c>
      <c r="AB290" s="12" t="s">
        <v>126</v>
      </c>
      <c r="AC290">
        <v>55.544699999999999</v>
      </c>
      <c r="AD290">
        <v>1</v>
      </c>
      <c r="AE290">
        <v>1</v>
      </c>
      <c r="AF290">
        <v>0</v>
      </c>
      <c r="AG290">
        <v>71319.39</v>
      </c>
      <c r="AH290">
        <v>1284</v>
      </c>
      <c r="AI290">
        <v>1276</v>
      </c>
      <c r="AJ290">
        <v>8</v>
      </c>
      <c r="AK290">
        <v>1</v>
      </c>
      <c r="AL290">
        <v>1</v>
      </c>
      <c r="AM290">
        <v>99.38</v>
      </c>
      <c r="AN290">
        <v>56.311300000000003</v>
      </c>
      <c r="AO290">
        <v>444.36</v>
      </c>
      <c r="AP290" s="13">
        <v>45068</v>
      </c>
      <c r="AQ290">
        <v>-3</v>
      </c>
      <c r="AR290">
        <v>1</v>
      </c>
    </row>
    <row r="291" spans="1:44" x14ac:dyDescent="0.35">
      <c r="A291" s="12" t="s">
        <v>807</v>
      </c>
      <c r="B291" s="12" t="s">
        <v>249</v>
      </c>
      <c r="C291" s="12" t="s">
        <v>250</v>
      </c>
      <c r="D291" s="12" t="s">
        <v>64</v>
      </c>
      <c r="E291" s="12" t="s">
        <v>65</v>
      </c>
      <c r="F291">
        <v>2</v>
      </c>
      <c r="G291">
        <v>3</v>
      </c>
      <c r="H291">
        <v>0</v>
      </c>
      <c r="I291" s="12" t="s">
        <v>251</v>
      </c>
      <c r="J291" s="12" t="s">
        <v>252</v>
      </c>
      <c r="K291" s="12" t="s">
        <v>133</v>
      </c>
      <c r="L291" s="12" t="s">
        <v>69</v>
      </c>
      <c r="M291">
        <v>34.49</v>
      </c>
      <c r="N291" s="12" t="s">
        <v>70</v>
      </c>
      <c r="O291" s="12" t="s">
        <v>71</v>
      </c>
      <c r="P291" s="12" t="s">
        <v>72</v>
      </c>
      <c r="Q291" s="13">
        <v>45040</v>
      </c>
      <c r="R291" s="13">
        <v>45062</v>
      </c>
      <c r="S291">
        <v>2023</v>
      </c>
      <c r="T291" s="12" t="s">
        <v>626</v>
      </c>
      <c r="U291">
        <v>191</v>
      </c>
      <c r="V291">
        <v>10.6486</v>
      </c>
      <c r="W291">
        <v>31.19</v>
      </c>
      <c r="X291">
        <v>0</v>
      </c>
      <c r="Y291">
        <v>0</v>
      </c>
      <c r="Z291">
        <v>2033.88</v>
      </c>
      <c r="AA291">
        <v>2065.0700000000002</v>
      </c>
      <c r="AB291" s="12" t="s">
        <v>253</v>
      </c>
      <c r="AC291">
        <v>10.6486</v>
      </c>
      <c r="AD291">
        <v>1</v>
      </c>
      <c r="AE291">
        <v>1</v>
      </c>
      <c r="AF291">
        <v>0</v>
      </c>
      <c r="AG291">
        <v>2033.88</v>
      </c>
      <c r="AH291">
        <v>191</v>
      </c>
      <c r="AI291">
        <v>188</v>
      </c>
      <c r="AJ291">
        <v>3</v>
      </c>
      <c r="AK291">
        <v>1</v>
      </c>
      <c r="AL291">
        <v>1</v>
      </c>
      <c r="AM291">
        <v>98.43</v>
      </c>
      <c r="AN291">
        <v>10.984400000000001</v>
      </c>
      <c r="AO291">
        <v>31.95</v>
      </c>
      <c r="AP291" s="13">
        <v>45061</v>
      </c>
      <c r="AQ291">
        <v>-1</v>
      </c>
      <c r="AR291">
        <v>1</v>
      </c>
    </row>
    <row r="292" spans="1:44" x14ac:dyDescent="0.35">
      <c r="A292" s="12" t="s">
        <v>808</v>
      </c>
      <c r="B292" s="12" t="s">
        <v>809</v>
      </c>
      <c r="C292" s="12" t="s">
        <v>810</v>
      </c>
      <c r="D292" s="12" t="s">
        <v>114</v>
      </c>
      <c r="E292" s="12" t="s">
        <v>65</v>
      </c>
      <c r="F292">
        <v>3</v>
      </c>
      <c r="G292">
        <v>5</v>
      </c>
      <c r="H292">
        <v>0</v>
      </c>
      <c r="I292" s="12" t="s">
        <v>811</v>
      </c>
      <c r="J292" s="12" t="s">
        <v>812</v>
      </c>
      <c r="K292" s="12" t="s">
        <v>117</v>
      </c>
      <c r="L292" s="12" t="s">
        <v>69</v>
      </c>
      <c r="M292">
        <v>26.4</v>
      </c>
      <c r="N292" s="12" t="s">
        <v>97</v>
      </c>
      <c r="O292" s="12" t="s">
        <v>98</v>
      </c>
      <c r="P292" s="12" t="s">
        <v>72</v>
      </c>
      <c r="Q292" s="13">
        <v>45040</v>
      </c>
      <c r="R292" s="13">
        <v>45077</v>
      </c>
      <c r="S292">
        <v>2023</v>
      </c>
      <c r="T292" s="12" t="s">
        <v>626</v>
      </c>
      <c r="U292">
        <v>141</v>
      </c>
      <c r="V292">
        <v>323.22789999999998</v>
      </c>
      <c r="W292">
        <v>1184.6099999999999</v>
      </c>
      <c r="X292">
        <v>0</v>
      </c>
      <c r="Y292">
        <v>0</v>
      </c>
      <c r="Z292">
        <v>45575.13</v>
      </c>
      <c r="AA292">
        <v>46759.74</v>
      </c>
      <c r="AB292" s="12" t="s">
        <v>813</v>
      </c>
      <c r="AC292">
        <v>323.22789999999998</v>
      </c>
      <c r="AD292">
        <v>1</v>
      </c>
      <c r="AE292">
        <v>1</v>
      </c>
      <c r="AF292">
        <v>0</v>
      </c>
      <c r="AG292">
        <v>45575.13</v>
      </c>
      <c r="AH292">
        <v>141</v>
      </c>
      <c r="AI292">
        <v>137</v>
      </c>
      <c r="AJ292">
        <v>4</v>
      </c>
      <c r="AK292">
        <v>1</v>
      </c>
      <c r="AL292">
        <v>1</v>
      </c>
      <c r="AM292">
        <v>97.16</v>
      </c>
      <c r="AN292">
        <v>341.31200000000001</v>
      </c>
      <c r="AO292">
        <v>1292.9100000000001</v>
      </c>
      <c r="AP292" s="13">
        <v>45077</v>
      </c>
      <c r="AQ292">
        <v>0</v>
      </c>
      <c r="AR292">
        <v>1</v>
      </c>
    </row>
    <row r="293" spans="1:44" x14ac:dyDescent="0.35">
      <c r="A293" s="12" t="s">
        <v>814</v>
      </c>
      <c r="B293" s="12" t="s">
        <v>207</v>
      </c>
      <c r="C293" s="12" t="s">
        <v>208</v>
      </c>
      <c r="D293" s="12" t="s">
        <v>78</v>
      </c>
      <c r="E293" s="12" t="s">
        <v>65</v>
      </c>
      <c r="F293">
        <v>2</v>
      </c>
      <c r="G293">
        <v>3</v>
      </c>
      <c r="H293">
        <v>0</v>
      </c>
      <c r="I293" s="12" t="s">
        <v>217</v>
      </c>
      <c r="J293" s="12" t="s">
        <v>218</v>
      </c>
      <c r="K293" s="12" t="s">
        <v>68</v>
      </c>
      <c r="L293" s="12" t="s">
        <v>82</v>
      </c>
      <c r="M293">
        <v>14.24</v>
      </c>
      <c r="N293" s="12" t="s">
        <v>97</v>
      </c>
      <c r="O293" s="12" t="s">
        <v>98</v>
      </c>
      <c r="P293" s="12" t="s">
        <v>72</v>
      </c>
      <c r="Q293" s="13">
        <v>45040</v>
      </c>
      <c r="R293" s="13">
        <v>45078</v>
      </c>
      <c r="S293">
        <v>2023</v>
      </c>
      <c r="T293" s="12" t="s">
        <v>626</v>
      </c>
      <c r="U293">
        <v>299</v>
      </c>
      <c r="V293">
        <v>152.13079999999999</v>
      </c>
      <c r="W293">
        <v>685.9</v>
      </c>
      <c r="X293">
        <v>0</v>
      </c>
      <c r="Y293">
        <v>0</v>
      </c>
      <c r="Z293">
        <v>45487.11</v>
      </c>
      <c r="AA293">
        <v>46173.01</v>
      </c>
      <c r="AB293" s="12" t="s">
        <v>815</v>
      </c>
      <c r="AC293">
        <v>152.13079999999999</v>
      </c>
      <c r="AD293">
        <v>1</v>
      </c>
      <c r="AE293">
        <v>1</v>
      </c>
      <c r="AF293">
        <v>0</v>
      </c>
      <c r="AG293">
        <v>45487.11</v>
      </c>
      <c r="AH293">
        <v>299</v>
      </c>
      <c r="AI293">
        <v>297</v>
      </c>
      <c r="AJ293">
        <v>2</v>
      </c>
      <c r="AK293">
        <v>1</v>
      </c>
      <c r="AL293">
        <v>1</v>
      </c>
      <c r="AM293">
        <v>99.33</v>
      </c>
      <c r="AN293">
        <v>155.46469999999999</v>
      </c>
      <c r="AO293">
        <v>304.26</v>
      </c>
      <c r="AP293" s="13">
        <v>45085</v>
      </c>
      <c r="AQ293">
        <v>7</v>
      </c>
      <c r="AR293">
        <v>0</v>
      </c>
    </row>
    <row r="294" spans="1:44" x14ac:dyDescent="0.35">
      <c r="A294" s="12" t="s">
        <v>816</v>
      </c>
      <c r="B294" s="12" t="s">
        <v>787</v>
      </c>
      <c r="C294" s="12" t="s">
        <v>788</v>
      </c>
      <c r="D294" s="12" t="s">
        <v>269</v>
      </c>
      <c r="E294" s="12" t="s">
        <v>65</v>
      </c>
      <c r="F294">
        <v>2</v>
      </c>
      <c r="G294">
        <v>3</v>
      </c>
      <c r="H294">
        <v>0</v>
      </c>
      <c r="I294" s="12" t="s">
        <v>263</v>
      </c>
      <c r="J294" s="12" t="s">
        <v>264</v>
      </c>
      <c r="K294" s="12" t="s">
        <v>125</v>
      </c>
      <c r="L294" s="12" t="s">
        <v>82</v>
      </c>
      <c r="M294">
        <v>10.210000000000001</v>
      </c>
      <c r="N294" s="12" t="s">
        <v>159</v>
      </c>
      <c r="O294" s="12" t="s">
        <v>160</v>
      </c>
      <c r="P294" s="12" t="s">
        <v>137</v>
      </c>
      <c r="Q294" s="13">
        <v>45040</v>
      </c>
      <c r="R294" s="13">
        <v>45069</v>
      </c>
      <c r="S294">
        <v>2023</v>
      </c>
      <c r="T294" s="12" t="s">
        <v>626</v>
      </c>
      <c r="U294">
        <v>77</v>
      </c>
      <c r="V294">
        <v>354.36430000000001</v>
      </c>
      <c r="W294">
        <v>607.05999999999995</v>
      </c>
      <c r="X294">
        <v>829.82</v>
      </c>
      <c r="Y294">
        <v>1</v>
      </c>
      <c r="Z294">
        <v>27286.05</v>
      </c>
      <c r="AA294">
        <v>28722.93</v>
      </c>
      <c r="AB294" s="12" t="s">
        <v>817</v>
      </c>
      <c r="AC294">
        <v>354.36430000000001</v>
      </c>
      <c r="AD294">
        <v>1</v>
      </c>
      <c r="AE294">
        <v>1</v>
      </c>
      <c r="AF294">
        <v>0</v>
      </c>
      <c r="AG294">
        <v>27286.05</v>
      </c>
      <c r="AH294">
        <v>77</v>
      </c>
      <c r="AI294">
        <v>76</v>
      </c>
      <c r="AJ294">
        <v>1</v>
      </c>
      <c r="AK294">
        <v>1</v>
      </c>
      <c r="AL294">
        <v>1</v>
      </c>
      <c r="AM294">
        <v>98.7</v>
      </c>
      <c r="AN294">
        <v>377.93329999999997</v>
      </c>
      <c r="AO294">
        <v>354.36</v>
      </c>
      <c r="AP294" s="13">
        <v>45071</v>
      </c>
      <c r="AQ294">
        <v>2</v>
      </c>
      <c r="AR294">
        <v>0</v>
      </c>
    </row>
    <row r="295" spans="1:44" x14ac:dyDescent="0.35">
      <c r="A295" s="12" t="s">
        <v>818</v>
      </c>
      <c r="B295" s="12" t="s">
        <v>561</v>
      </c>
      <c r="C295" s="12" t="s">
        <v>562</v>
      </c>
      <c r="D295" s="12" t="s">
        <v>130</v>
      </c>
      <c r="E295" s="12" t="s">
        <v>142</v>
      </c>
      <c r="F295">
        <v>1</v>
      </c>
      <c r="G295">
        <v>9</v>
      </c>
      <c r="H295">
        <v>1</v>
      </c>
      <c r="I295" s="12" t="s">
        <v>223</v>
      </c>
      <c r="J295" s="12" t="s">
        <v>224</v>
      </c>
      <c r="K295" s="12" t="s">
        <v>81</v>
      </c>
      <c r="L295" s="12" t="s">
        <v>134</v>
      </c>
      <c r="M295">
        <v>2.4900000000000002</v>
      </c>
      <c r="N295" s="12" t="s">
        <v>135</v>
      </c>
      <c r="O295" s="12" t="s">
        <v>136</v>
      </c>
      <c r="P295" s="12" t="s">
        <v>137</v>
      </c>
      <c r="Q295" s="13">
        <v>45040</v>
      </c>
      <c r="R295" s="13">
        <v>45082</v>
      </c>
      <c r="S295">
        <v>2023</v>
      </c>
      <c r="T295" s="12" t="s">
        <v>626</v>
      </c>
      <c r="U295">
        <v>70</v>
      </c>
      <c r="V295">
        <v>603.56020000000001</v>
      </c>
      <c r="W295">
        <v>553.82000000000005</v>
      </c>
      <c r="X295">
        <v>0</v>
      </c>
      <c r="Y295">
        <v>0</v>
      </c>
      <c r="Z295">
        <v>42249.21</v>
      </c>
      <c r="AA295">
        <v>42803.03</v>
      </c>
      <c r="AB295" s="12" t="s">
        <v>563</v>
      </c>
      <c r="AC295">
        <v>603.56020000000001</v>
      </c>
      <c r="AD295">
        <v>1</v>
      </c>
      <c r="AE295">
        <v>1</v>
      </c>
      <c r="AF295">
        <v>0</v>
      </c>
      <c r="AG295">
        <v>42249.21</v>
      </c>
      <c r="AH295">
        <v>70</v>
      </c>
      <c r="AI295">
        <v>70</v>
      </c>
      <c r="AJ295">
        <v>0</v>
      </c>
      <c r="AK295">
        <v>1</v>
      </c>
      <c r="AL295">
        <v>1</v>
      </c>
      <c r="AM295">
        <v>100</v>
      </c>
      <c r="AN295">
        <v>611.47190000000001</v>
      </c>
      <c r="AO295">
        <v>0</v>
      </c>
      <c r="AP295" s="13">
        <v>45079</v>
      </c>
      <c r="AQ295">
        <v>-3</v>
      </c>
      <c r="AR295">
        <v>1</v>
      </c>
    </row>
    <row r="296" spans="1:44" x14ac:dyDescent="0.35">
      <c r="A296" s="12" t="s">
        <v>819</v>
      </c>
      <c r="B296" s="12" t="s">
        <v>674</v>
      </c>
      <c r="C296" s="12" t="s">
        <v>675</v>
      </c>
      <c r="D296" s="12" t="s">
        <v>269</v>
      </c>
      <c r="E296" s="12" t="s">
        <v>142</v>
      </c>
      <c r="F296">
        <v>1</v>
      </c>
      <c r="G296">
        <v>7</v>
      </c>
      <c r="H296">
        <v>1</v>
      </c>
      <c r="I296" s="12" t="s">
        <v>676</v>
      </c>
      <c r="J296" s="12" t="s">
        <v>677</v>
      </c>
      <c r="K296" s="12" t="s">
        <v>68</v>
      </c>
      <c r="L296" s="12" t="s">
        <v>96</v>
      </c>
      <c r="M296">
        <v>3.57</v>
      </c>
      <c r="N296" s="12" t="s">
        <v>159</v>
      </c>
      <c r="O296" s="12" t="s">
        <v>160</v>
      </c>
      <c r="P296" s="12" t="s">
        <v>137</v>
      </c>
      <c r="Q296" s="13">
        <v>45041</v>
      </c>
      <c r="R296" s="13">
        <v>45086</v>
      </c>
      <c r="S296">
        <v>2023</v>
      </c>
      <c r="T296" s="12" t="s">
        <v>626</v>
      </c>
      <c r="U296">
        <v>90</v>
      </c>
      <c r="V296">
        <v>355.32960000000003</v>
      </c>
      <c r="W296">
        <v>408.54</v>
      </c>
      <c r="X296">
        <v>0</v>
      </c>
      <c r="Y296">
        <v>0</v>
      </c>
      <c r="Z296">
        <v>31979.66</v>
      </c>
      <c r="AA296">
        <v>32388.2</v>
      </c>
      <c r="AB296" s="12" t="s">
        <v>678</v>
      </c>
      <c r="AC296">
        <v>355.32960000000003</v>
      </c>
      <c r="AD296">
        <v>1</v>
      </c>
      <c r="AE296">
        <v>1</v>
      </c>
      <c r="AF296">
        <v>0</v>
      </c>
      <c r="AG296">
        <v>31979.66</v>
      </c>
      <c r="AH296">
        <v>90</v>
      </c>
      <c r="AI296">
        <v>89</v>
      </c>
      <c r="AJ296">
        <v>1</v>
      </c>
      <c r="AK296">
        <v>1</v>
      </c>
      <c r="AL296">
        <v>1</v>
      </c>
      <c r="AM296">
        <v>98.89</v>
      </c>
      <c r="AN296">
        <v>363.91239999999999</v>
      </c>
      <c r="AO296">
        <v>355.33</v>
      </c>
      <c r="AP296" s="13">
        <v>45084</v>
      </c>
      <c r="AQ296">
        <v>-2</v>
      </c>
      <c r="AR296">
        <v>1</v>
      </c>
    </row>
    <row r="297" spans="1:44" x14ac:dyDescent="0.35">
      <c r="A297" s="12" t="s">
        <v>820</v>
      </c>
      <c r="B297" s="12" t="s">
        <v>555</v>
      </c>
      <c r="C297" s="12" t="s">
        <v>556</v>
      </c>
      <c r="D297" s="12" t="s">
        <v>114</v>
      </c>
      <c r="E297" s="12" t="s">
        <v>142</v>
      </c>
      <c r="F297">
        <v>1</v>
      </c>
      <c r="G297">
        <v>6</v>
      </c>
      <c r="H297">
        <v>1</v>
      </c>
      <c r="I297" s="12" t="s">
        <v>151</v>
      </c>
      <c r="J297" s="12" t="s">
        <v>152</v>
      </c>
      <c r="K297" s="12" t="s">
        <v>125</v>
      </c>
      <c r="L297" s="12" t="s">
        <v>69</v>
      </c>
      <c r="M297">
        <v>36.479999999999997</v>
      </c>
      <c r="N297" s="12" t="s">
        <v>97</v>
      </c>
      <c r="O297" s="12" t="s">
        <v>98</v>
      </c>
      <c r="P297" s="12" t="s">
        <v>72</v>
      </c>
      <c r="Q297" s="13">
        <v>45041</v>
      </c>
      <c r="R297" s="13">
        <v>45093</v>
      </c>
      <c r="S297">
        <v>2023</v>
      </c>
      <c r="T297" s="12" t="s">
        <v>626</v>
      </c>
      <c r="U297">
        <v>148</v>
      </c>
      <c r="V297">
        <v>290.42770000000002</v>
      </c>
      <c r="W297">
        <v>1097.96</v>
      </c>
      <c r="X297">
        <v>0</v>
      </c>
      <c r="Y297">
        <v>0</v>
      </c>
      <c r="Z297">
        <v>42983.3</v>
      </c>
      <c r="AA297">
        <v>44081.26</v>
      </c>
      <c r="AB297" s="12" t="s">
        <v>557</v>
      </c>
      <c r="AC297">
        <v>290.42770000000002</v>
      </c>
      <c r="AD297">
        <v>1</v>
      </c>
      <c r="AE297">
        <v>1</v>
      </c>
      <c r="AF297">
        <v>0</v>
      </c>
      <c r="AG297">
        <v>42983.3</v>
      </c>
      <c r="AH297">
        <v>148</v>
      </c>
      <c r="AI297">
        <v>146</v>
      </c>
      <c r="AJ297">
        <v>2</v>
      </c>
      <c r="AK297">
        <v>1</v>
      </c>
      <c r="AL297">
        <v>1</v>
      </c>
      <c r="AM297">
        <v>98.65</v>
      </c>
      <c r="AN297">
        <v>301.9264</v>
      </c>
      <c r="AO297">
        <v>580.86</v>
      </c>
      <c r="AP297" s="13">
        <v>45090</v>
      </c>
      <c r="AQ297">
        <v>-3</v>
      </c>
      <c r="AR297">
        <v>1</v>
      </c>
    </row>
    <row r="298" spans="1:44" x14ac:dyDescent="0.35">
      <c r="A298" s="12" t="s">
        <v>821</v>
      </c>
      <c r="B298" s="12" t="s">
        <v>598</v>
      </c>
      <c r="C298" s="12" t="s">
        <v>599</v>
      </c>
      <c r="D298" s="12" t="s">
        <v>269</v>
      </c>
      <c r="E298" s="12" t="s">
        <v>65</v>
      </c>
      <c r="F298">
        <v>1</v>
      </c>
      <c r="G298">
        <v>2</v>
      </c>
      <c r="H298">
        <v>1</v>
      </c>
      <c r="I298" s="12" t="s">
        <v>176</v>
      </c>
      <c r="J298" s="12" t="s">
        <v>177</v>
      </c>
      <c r="K298" s="12" t="s">
        <v>125</v>
      </c>
      <c r="L298" s="12" t="s">
        <v>134</v>
      </c>
      <c r="M298">
        <v>1.75</v>
      </c>
      <c r="N298" s="12" t="s">
        <v>159</v>
      </c>
      <c r="O298" s="12" t="s">
        <v>160</v>
      </c>
      <c r="P298" s="12" t="s">
        <v>137</v>
      </c>
      <c r="Q298" s="13">
        <v>45041</v>
      </c>
      <c r="R298" s="13">
        <v>45066</v>
      </c>
      <c r="S298">
        <v>2023</v>
      </c>
      <c r="T298" s="12" t="s">
        <v>626</v>
      </c>
      <c r="U298">
        <v>41</v>
      </c>
      <c r="V298">
        <v>454.90469999999999</v>
      </c>
      <c r="W298">
        <v>163.96</v>
      </c>
      <c r="X298">
        <v>0</v>
      </c>
      <c r="Y298">
        <v>0</v>
      </c>
      <c r="Z298">
        <v>18651.09</v>
      </c>
      <c r="AA298">
        <v>18815.05</v>
      </c>
      <c r="AB298" s="12" t="s">
        <v>600</v>
      </c>
      <c r="AC298">
        <v>454.90469999999999</v>
      </c>
      <c r="AD298">
        <v>1</v>
      </c>
      <c r="AE298">
        <v>1</v>
      </c>
      <c r="AF298">
        <v>0</v>
      </c>
      <c r="AG298">
        <v>18651.09</v>
      </c>
      <c r="AH298">
        <v>41</v>
      </c>
      <c r="AI298">
        <v>41</v>
      </c>
      <c r="AJ298">
        <v>0</v>
      </c>
      <c r="AK298">
        <v>1</v>
      </c>
      <c r="AL298">
        <v>1</v>
      </c>
      <c r="AM298">
        <v>100</v>
      </c>
      <c r="AN298">
        <v>458.90370000000001</v>
      </c>
      <c r="AO298">
        <v>0</v>
      </c>
      <c r="AP298" s="13">
        <v>45064</v>
      </c>
      <c r="AQ298">
        <v>-2</v>
      </c>
      <c r="AR298">
        <v>1</v>
      </c>
    </row>
    <row r="299" spans="1:44" x14ac:dyDescent="0.35">
      <c r="A299" s="12" t="s">
        <v>822</v>
      </c>
      <c r="B299" s="12" t="s">
        <v>823</v>
      </c>
      <c r="C299" s="12" t="s">
        <v>824</v>
      </c>
      <c r="D299" s="12" t="s">
        <v>114</v>
      </c>
      <c r="E299" s="12" t="s">
        <v>142</v>
      </c>
      <c r="F299">
        <v>1</v>
      </c>
      <c r="G299">
        <v>8</v>
      </c>
      <c r="H299">
        <v>1</v>
      </c>
      <c r="I299" s="12" t="s">
        <v>515</v>
      </c>
      <c r="J299" s="12" t="s">
        <v>516</v>
      </c>
      <c r="K299" s="12" t="s">
        <v>68</v>
      </c>
      <c r="L299" s="12" t="s">
        <v>134</v>
      </c>
      <c r="M299">
        <v>3.69</v>
      </c>
      <c r="N299" s="12" t="s">
        <v>97</v>
      </c>
      <c r="O299" s="12" t="s">
        <v>98</v>
      </c>
      <c r="P299" s="12" t="s">
        <v>72</v>
      </c>
      <c r="Q299" s="13">
        <v>45041</v>
      </c>
      <c r="R299" s="13">
        <v>45083</v>
      </c>
      <c r="S299">
        <v>2023</v>
      </c>
      <c r="T299" s="12" t="s">
        <v>626</v>
      </c>
      <c r="U299">
        <v>69</v>
      </c>
      <c r="V299">
        <v>361.73399999999998</v>
      </c>
      <c r="W299">
        <v>382.74</v>
      </c>
      <c r="X299">
        <v>0</v>
      </c>
      <c r="Y299">
        <v>0</v>
      </c>
      <c r="Z299">
        <v>24959.65</v>
      </c>
      <c r="AA299">
        <v>25342.39</v>
      </c>
      <c r="AB299" s="12" t="s">
        <v>825</v>
      </c>
      <c r="AC299">
        <v>361.73399999999998</v>
      </c>
      <c r="AD299">
        <v>1</v>
      </c>
      <c r="AE299">
        <v>1</v>
      </c>
      <c r="AF299">
        <v>0</v>
      </c>
      <c r="AG299">
        <v>24959.65</v>
      </c>
      <c r="AH299">
        <v>69</v>
      </c>
      <c r="AI299">
        <v>68</v>
      </c>
      <c r="AJ299">
        <v>1</v>
      </c>
      <c r="AK299">
        <v>1</v>
      </c>
      <c r="AL299">
        <v>1</v>
      </c>
      <c r="AM299">
        <v>98.55</v>
      </c>
      <c r="AN299">
        <v>372.68209999999999</v>
      </c>
      <c r="AO299">
        <v>361.73</v>
      </c>
      <c r="AP299" s="13">
        <v>45089</v>
      </c>
      <c r="AQ299">
        <v>6</v>
      </c>
      <c r="AR299">
        <v>0</v>
      </c>
    </row>
    <row r="300" spans="1:44" x14ac:dyDescent="0.35">
      <c r="A300" s="12" t="s">
        <v>826</v>
      </c>
      <c r="B300" s="12" t="s">
        <v>827</v>
      </c>
      <c r="C300" s="12" t="s">
        <v>828</v>
      </c>
      <c r="D300" s="12" t="s">
        <v>175</v>
      </c>
      <c r="E300" s="12" t="s">
        <v>104</v>
      </c>
      <c r="F300">
        <v>2</v>
      </c>
      <c r="G300">
        <v>0</v>
      </c>
      <c r="H300">
        <v>0</v>
      </c>
      <c r="I300" s="12" t="s">
        <v>183</v>
      </c>
      <c r="J300" s="12" t="s">
        <v>184</v>
      </c>
      <c r="K300" s="12" t="s">
        <v>133</v>
      </c>
      <c r="L300" s="12" t="s">
        <v>82</v>
      </c>
      <c r="M300">
        <v>8.6199999999999992</v>
      </c>
      <c r="N300" s="12" t="s">
        <v>145</v>
      </c>
      <c r="O300" s="12" t="s">
        <v>146</v>
      </c>
      <c r="P300" s="12" t="s">
        <v>109</v>
      </c>
      <c r="Q300" s="13">
        <v>45041</v>
      </c>
      <c r="R300" s="13">
        <v>45058</v>
      </c>
      <c r="S300">
        <v>2023</v>
      </c>
      <c r="T300" s="12" t="s">
        <v>626</v>
      </c>
      <c r="U300">
        <v>55</v>
      </c>
      <c r="V300">
        <v>107.794</v>
      </c>
      <c r="W300">
        <v>81.03</v>
      </c>
      <c r="X300">
        <v>0</v>
      </c>
      <c r="Y300">
        <v>0</v>
      </c>
      <c r="Z300">
        <v>5928.67</v>
      </c>
      <c r="AA300">
        <v>6009.7</v>
      </c>
      <c r="AB300" s="12" t="s">
        <v>829</v>
      </c>
      <c r="AC300">
        <v>107.794</v>
      </c>
      <c r="AD300">
        <v>1</v>
      </c>
      <c r="AE300">
        <v>1</v>
      </c>
      <c r="AF300">
        <v>0</v>
      </c>
      <c r="AG300">
        <v>5928.67</v>
      </c>
      <c r="AH300">
        <v>55</v>
      </c>
      <c r="AI300">
        <v>55</v>
      </c>
      <c r="AJ300">
        <v>0</v>
      </c>
      <c r="AK300">
        <v>1</v>
      </c>
      <c r="AL300">
        <v>1</v>
      </c>
      <c r="AM300">
        <v>100</v>
      </c>
      <c r="AN300">
        <v>109.26730000000001</v>
      </c>
      <c r="AO300">
        <v>0</v>
      </c>
      <c r="AP300" s="13">
        <v>45066</v>
      </c>
      <c r="AQ300">
        <v>8</v>
      </c>
      <c r="AR300">
        <v>0</v>
      </c>
    </row>
    <row r="301" spans="1:44" x14ac:dyDescent="0.35">
      <c r="A301" s="12" t="s">
        <v>830</v>
      </c>
      <c r="B301" s="12" t="s">
        <v>302</v>
      </c>
      <c r="C301" s="12" t="s">
        <v>303</v>
      </c>
      <c r="D301" s="12" t="s">
        <v>78</v>
      </c>
      <c r="E301" s="12" t="s">
        <v>65</v>
      </c>
      <c r="F301">
        <v>2</v>
      </c>
      <c r="G301">
        <v>3</v>
      </c>
      <c r="H301">
        <v>0</v>
      </c>
      <c r="I301" s="12" t="s">
        <v>335</v>
      </c>
      <c r="J301" s="12" t="s">
        <v>336</v>
      </c>
      <c r="K301" s="12" t="s">
        <v>89</v>
      </c>
      <c r="L301" s="12" t="s">
        <v>82</v>
      </c>
      <c r="M301">
        <v>16</v>
      </c>
      <c r="N301" s="12" t="s">
        <v>97</v>
      </c>
      <c r="O301" s="12" t="s">
        <v>98</v>
      </c>
      <c r="P301" s="12" t="s">
        <v>72</v>
      </c>
      <c r="Q301" s="13">
        <v>45041</v>
      </c>
      <c r="R301" s="13">
        <v>45077</v>
      </c>
      <c r="S301">
        <v>2023</v>
      </c>
      <c r="T301" s="12" t="s">
        <v>626</v>
      </c>
      <c r="U301">
        <v>257</v>
      </c>
      <c r="V301">
        <v>144.41300000000001</v>
      </c>
      <c r="W301">
        <v>538.5</v>
      </c>
      <c r="X301">
        <v>0</v>
      </c>
      <c r="Y301">
        <v>0</v>
      </c>
      <c r="Z301">
        <v>37114.14</v>
      </c>
      <c r="AA301">
        <v>37652.639999999999</v>
      </c>
      <c r="AB301" s="12" t="s">
        <v>337</v>
      </c>
      <c r="AC301">
        <v>144.41300000000001</v>
      </c>
      <c r="AD301">
        <v>1</v>
      </c>
      <c r="AE301">
        <v>1</v>
      </c>
      <c r="AF301">
        <v>0</v>
      </c>
      <c r="AG301">
        <v>37114.14</v>
      </c>
      <c r="AH301">
        <v>257</v>
      </c>
      <c r="AI301">
        <v>254</v>
      </c>
      <c r="AJ301">
        <v>3</v>
      </c>
      <c r="AK301">
        <v>1</v>
      </c>
      <c r="AL301">
        <v>1</v>
      </c>
      <c r="AM301">
        <v>98.83</v>
      </c>
      <c r="AN301">
        <v>148.23869999999999</v>
      </c>
      <c r="AO301">
        <v>433.24</v>
      </c>
      <c r="AP301" s="13">
        <v>45075</v>
      </c>
      <c r="AQ301">
        <v>-2</v>
      </c>
      <c r="AR301">
        <v>1</v>
      </c>
    </row>
    <row r="302" spans="1:44" x14ac:dyDescent="0.35">
      <c r="A302" s="12" t="s">
        <v>831</v>
      </c>
      <c r="B302" s="12" t="s">
        <v>482</v>
      </c>
      <c r="C302" s="12" t="s">
        <v>483</v>
      </c>
      <c r="D302" s="12" t="s">
        <v>78</v>
      </c>
      <c r="E302" s="12" t="s">
        <v>142</v>
      </c>
      <c r="F302">
        <v>2</v>
      </c>
      <c r="G302">
        <v>9</v>
      </c>
      <c r="H302">
        <v>0</v>
      </c>
      <c r="I302" s="12" t="s">
        <v>87</v>
      </c>
      <c r="J302" s="12" t="s">
        <v>88</v>
      </c>
      <c r="K302" s="12" t="s">
        <v>89</v>
      </c>
      <c r="L302" s="12" t="s">
        <v>69</v>
      </c>
      <c r="M302">
        <v>14.93</v>
      </c>
      <c r="N302" s="12" t="s">
        <v>70</v>
      </c>
      <c r="O302" s="12" t="s">
        <v>71</v>
      </c>
      <c r="P302" s="12" t="s">
        <v>72</v>
      </c>
      <c r="Q302" s="13">
        <v>45041</v>
      </c>
      <c r="R302" s="13">
        <v>45092</v>
      </c>
      <c r="S302">
        <v>2023</v>
      </c>
      <c r="T302" s="12" t="s">
        <v>626</v>
      </c>
      <c r="U302">
        <v>272</v>
      </c>
      <c r="V302">
        <v>49.685899999999997</v>
      </c>
      <c r="W302">
        <v>304.58</v>
      </c>
      <c r="X302">
        <v>0</v>
      </c>
      <c r="Y302">
        <v>0</v>
      </c>
      <c r="Z302">
        <v>13514.56</v>
      </c>
      <c r="AA302">
        <v>13819.14</v>
      </c>
      <c r="AB302" s="12" t="s">
        <v>484</v>
      </c>
      <c r="AC302">
        <v>49.685899999999997</v>
      </c>
      <c r="AD302">
        <v>1</v>
      </c>
      <c r="AE302">
        <v>1</v>
      </c>
      <c r="AF302">
        <v>0</v>
      </c>
      <c r="AG302">
        <v>13514.56</v>
      </c>
      <c r="AH302">
        <v>272</v>
      </c>
      <c r="AI302">
        <v>266</v>
      </c>
      <c r="AJ302">
        <v>6</v>
      </c>
      <c r="AK302">
        <v>1</v>
      </c>
      <c r="AL302">
        <v>1</v>
      </c>
      <c r="AM302">
        <v>97.79</v>
      </c>
      <c r="AN302">
        <v>51.951700000000002</v>
      </c>
      <c r="AO302">
        <v>298.12</v>
      </c>
      <c r="AP302" s="13">
        <v>45091</v>
      </c>
      <c r="AQ302">
        <v>-1</v>
      </c>
      <c r="AR302">
        <v>1</v>
      </c>
    </row>
    <row r="303" spans="1:44" x14ac:dyDescent="0.35">
      <c r="A303" s="12" t="s">
        <v>832</v>
      </c>
      <c r="B303" s="12" t="s">
        <v>509</v>
      </c>
      <c r="C303" s="12" t="s">
        <v>510</v>
      </c>
      <c r="D303" s="12" t="s">
        <v>78</v>
      </c>
      <c r="E303" s="12" t="s">
        <v>142</v>
      </c>
      <c r="F303">
        <v>3</v>
      </c>
      <c r="G303">
        <v>11</v>
      </c>
      <c r="H303">
        <v>0</v>
      </c>
      <c r="I303" s="12" t="s">
        <v>275</v>
      </c>
      <c r="J303" s="12" t="s">
        <v>276</v>
      </c>
      <c r="K303" s="12" t="s">
        <v>89</v>
      </c>
      <c r="L303" s="12" t="s">
        <v>82</v>
      </c>
      <c r="M303">
        <v>14.26</v>
      </c>
      <c r="N303" s="12" t="s">
        <v>97</v>
      </c>
      <c r="O303" s="12" t="s">
        <v>98</v>
      </c>
      <c r="P303" s="12" t="s">
        <v>72</v>
      </c>
      <c r="Q303" s="13">
        <v>45041</v>
      </c>
      <c r="R303" s="13">
        <v>45079</v>
      </c>
      <c r="S303">
        <v>2023</v>
      </c>
      <c r="T303" s="12" t="s">
        <v>626</v>
      </c>
      <c r="U303">
        <v>96</v>
      </c>
      <c r="V303">
        <v>144.51259999999999</v>
      </c>
      <c r="W303">
        <v>204.19</v>
      </c>
      <c r="X303">
        <v>452.4</v>
      </c>
      <c r="Y303">
        <v>1</v>
      </c>
      <c r="Z303">
        <v>13873.21</v>
      </c>
      <c r="AA303">
        <v>14529.8</v>
      </c>
      <c r="AB303" s="12" t="s">
        <v>833</v>
      </c>
      <c r="AC303">
        <v>144.51259999999999</v>
      </c>
      <c r="AD303">
        <v>1</v>
      </c>
      <c r="AE303">
        <v>1</v>
      </c>
      <c r="AF303">
        <v>0</v>
      </c>
      <c r="AG303">
        <v>13873.21</v>
      </c>
      <c r="AH303">
        <v>96</v>
      </c>
      <c r="AI303">
        <v>94</v>
      </c>
      <c r="AJ303">
        <v>2</v>
      </c>
      <c r="AK303">
        <v>1</v>
      </c>
      <c r="AL303">
        <v>1</v>
      </c>
      <c r="AM303">
        <v>97.92</v>
      </c>
      <c r="AN303">
        <v>154.57230000000001</v>
      </c>
      <c r="AO303">
        <v>289.02999999999997</v>
      </c>
      <c r="AP303" s="13">
        <v>45077</v>
      </c>
      <c r="AQ303">
        <v>-2</v>
      </c>
      <c r="AR303">
        <v>1</v>
      </c>
    </row>
    <row r="304" spans="1:44" x14ac:dyDescent="0.35">
      <c r="A304" s="12" t="s">
        <v>834</v>
      </c>
      <c r="B304" s="12" t="s">
        <v>509</v>
      </c>
      <c r="C304" s="12" t="s">
        <v>510</v>
      </c>
      <c r="D304" s="12" t="s">
        <v>78</v>
      </c>
      <c r="E304" s="12" t="s">
        <v>142</v>
      </c>
      <c r="F304">
        <v>3</v>
      </c>
      <c r="G304">
        <v>11</v>
      </c>
      <c r="H304">
        <v>0</v>
      </c>
      <c r="I304" s="12" t="s">
        <v>251</v>
      </c>
      <c r="J304" s="12" t="s">
        <v>252</v>
      </c>
      <c r="K304" s="12" t="s">
        <v>133</v>
      </c>
      <c r="L304" s="12" t="s">
        <v>69</v>
      </c>
      <c r="M304">
        <v>34.49</v>
      </c>
      <c r="N304" s="12" t="s">
        <v>97</v>
      </c>
      <c r="O304" s="12" t="s">
        <v>98</v>
      </c>
      <c r="P304" s="12" t="s">
        <v>72</v>
      </c>
      <c r="Q304" s="13">
        <v>45041</v>
      </c>
      <c r="R304" s="13">
        <v>45091</v>
      </c>
      <c r="S304">
        <v>2023</v>
      </c>
      <c r="T304" s="12" t="s">
        <v>626</v>
      </c>
      <c r="U304">
        <v>265</v>
      </c>
      <c r="V304">
        <v>164.78579999999999</v>
      </c>
      <c r="W304">
        <v>409.03</v>
      </c>
      <c r="X304">
        <v>0</v>
      </c>
      <c r="Y304">
        <v>0</v>
      </c>
      <c r="Z304">
        <v>43668.24</v>
      </c>
      <c r="AA304">
        <v>44077.27</v>
      </c>
      <c r="AB304" s="12" t="s">
        <v>201</v>
      </c>
      <c r="AD304">
        <v>0</v>
      </c>
      <c r="AE304">
        <v>0</v>
      </c>
      <c r="AH304">
        <v>265</v>
      </c>
      <c r="AI304">
        <v>260</v>
      </c>
      <c r="AJ304">
        <v>5</v>
      </c>
      <c r="AK304">
        <v>1</v>
      </c>
      <c r="AL304">
        <v>1</v>
      </c>
      <c r="AM304">
        <v>98.11</v>
      </c>
      <c r="AN304">
        <v>169.52799999999999</v>
      </c>
      <c r="AO304">
        <v>823.93</v>
      </c>
      <c r="AP304" s="13">
        <v>45088</v>
      </c>
      <c r="AQ304">
        <v>-3</v>
      </c>
      <c r="AR304">
        <v>1</v>
      </c>
    </row>
    <row r="305" spans="1:44" x14ac:dyDescent="0.35">
      <c r="A305" s="12" t="s">
        <v>835</v>
      </c>
      <c r="B305" s="12" t="s">
        <v>433</v>
      </c>
      <c r="C305" s="12" t="s">
        <v>434</v>
      </c>
      <c r="D305" s="12" t="s">
        <v>78</v>
      </c>
      <c r="E305" s="12" t="s">
        <v>65</v>
      </c>
      <c r="F305">
        <v>2</v>
      </c>
      <c r="G305">
        <v>4</v>
      </c>
      <c r="H305">
        <v>0</v>
      </c>
      <c r="I305" s="12" t="s">
        <v>105</v>
      </c>
      <c r="J305" s="12" t="s">
        <v>106</v>
      </c>
      <c r="K305" s="12" t="s">
        <v>81</v>
      </c>
      <c r="L305" s="12" t="s">
        <v>96</v>
      </c>
      <c r="M305">
        <v>5.01</v>
      </c>
      <c r="N305" s="12" t="s">
        <v>97</v>
      </c>
      <c r="O305" s="12" t="s">
        <v>98</v>
      </c>
      <c r="P305" s="12" t="s">
        <v>72</v>
      </c>
      <c r="Q305" s="13">
        <v>45041</v>
      </c>
      <c r="R305" s="13">
        <v>45068</v>
      </c>
      <c r="S305">
        <v>2023</v>
      </c>
      <c r="T305" s="12" t="s">
        <v>626</v>
      </c>
      <c r="U305">
        <v>131</v>
      </c>
      <c r="V305">
        <v>76.331100000000006</v>
      </c>
      <c r="W305">
        <v>242.04</v>
      </c>
      <c r="X305">
        <v>0</v>
      </c>
      <c r="Y305">
        <v>0</v>
      </c>
      <c r="Z305">
        <v>9999.3700000000008</v>
      </c>
      <c r="AA305">
        <v>10241.41</v>
      </c>
      <c r="AB305" s="12" t="s">
        <v>463</v>
      </c>
      <c r="AC305">
        <v>76.331100000000006</v>
      </c>
      <c r="AD305">
        <v>1</v>
      </c>
      <c r="AE305">
        <v>1</v>
      </c>
      <c r="AF305">
        <v>0</v>
      </c>
      <c r="AG305">
        <v>9999.3700000000008</v>
      </c>
      <c r="AH305">
        <v>131</v>
      </c>
      <c r="AI305">
        <v>128</v>
      </c>
      <c r="AJ305">
        <v>3</v>
      </c>
      <c r="AK305">
        <v>1</v>
      </c>
      <c r="AL305">
        <v>1</v>
      </c>
      <c r="AM305">
        <v>97.71</v>
      </c>
      <c r="AN305">
        <v>80.010999999999996</v>
      </c>
      <c r="AO305">
        <v>228.99</v>
      </c>
      <c r="AP305" s="13">
        <v>45068</v>
      </c>
      <c r="AQ305">
        <v>0</v>
      </c>
      <c r="AR305">
        <v>1</v>
      </c>
    </row>
    <row r="306" spans="1:44" x14ac:dyDescent="0.35">
      <c r="A306" s="12" t="s">
        <v>836</v>
      </c>
      <c r="B306" s="12" t="s">
        <v>837</v>
      </c>
      <c r="C306" s="12" t="s">
        <v>838</v>
      </c>
      <c r="D306" s="12" t="s">
        <v>114</v>
      </c>
      <c r="E306" s="12" t="s">
        <v>104</v>
      </c>
      <c r="F306">
        <v>2</v>
      </c>
      <c r="G306">
        <v>0</v>
      </c>
      <c r="H306">
        <v>0</v>
      </c>
      <c r="I306" s="12" t="s">
        <v>199</v>
      </c>
      <c r="J306" s="12" t="s">
        <v>200</v>
      </c>
      <c r="K306" s="12" t="s">
        <v>68</v>
      </c>
      <c r="L306" s="12" t="s">
        <v>96</v>
      </c>
      <c r="M306">
        <v>9.4700000000000006</v>
      </c>
      <c r="N306" s="12" t="s">
        <v>70</v>
      </c>
      <c r="O306" s="12" t="s">
        <v>71</v>
      </c>
      <c r="P306" s="12" t="s">
        <v>72</v>
      </c>
      <c r="Q306" s="13">
        <v>45042</v>
      </c>
      <c r="R306" s="13">
        <v>45071</v>
      </c>
      <c r="S306">
        <v>2023</v>
      </c>
      <c r="T306" s="12" t="s">
        <v>626</v>
      </c>
      <c r="U306">
        <v>146</v>
      </c>
      <c r="V306">
        <v>73.984200000000001</v>
      </c>
      <c r="W306">
        <v>236.98</v>
      </c>
      <c r="X306">
        <v>0</v>
      </c>
      <c r="Y306">
        <v>0</v>
      </c>
      <c r="Z306">
        <v>10801.69</v>
      </c>
      <c r="AA306">
        <v>11038.67</v>
      </c>
      <c r="AB306" s="12" t="s">
        <v>839</v>
      </c>
      <c r="AC306">
        <v>71.121200000000002</v>
      </c>
      <c r="AD306">
        <v>1</v>
      </c>
      <c r="AE306">
        <v>1</v>
      </c>
      <c r="AF306">
        <v>418</v>
      </c>
      <c r="AG306">
        <v>10383.700000000001</v>
      </c>
      <c r="AH306">
        <v>146</v>
      </c>
      <c r="AI306">
        <v>144</v>
      </c>
      <c r="AJ306">
        <v>2</v>
      </c>
      <c r="AK306">
        <v>1</v>
      </c>
      <c r="AL306">
        <v>1</v>
      </c>
      <c r="AM306">
        <v>98.63</v>
      </c>
      <c r="AN306">
        <v>76.657499999999999</v>
      </c>
      <c r="AO306">
        <v>147.97</v>
      </c>
      <c r="AP306" s="13">
        <v>45072</v>
      </c>
      <c r="AQ306">
        <v>1</v>
      </c>
      <c r="AR306">
        <v>0</v>
      </c>
    </row>
    <row r="307" spans="1:44" x14ac:dyDescent="0.35">
      <c r="A307" s="12" t="s">
        <v>840</v>
      </c>
      <c r="B307" s="12" t="s">
        <v>347</v>
      </c>
      <c r="C307" s="12" t="s">
        <v>348</v>
      </c>
      <c r="D307" s="12" t="s">
        <v>78</v>
      </c>
      <c r="E307" s="12" t="s">
        <v>104</v>
      </c>
      <c r="F307">
        <v>3</v>
      </c>
      <c r="G307">
        <v>1</v>
      </c>
      <c r="H307">
        <v>0</v>
      </c>
      <c r="I307" s="12" t="s">
        <v>105</v>
      </c>
      <c r="J307" s="12" t="s">
        <v>106</v>
      </c>
      <c r="K307" s="12" t="s">
        <v>81</v>
      </c>
      <c r="L307" s="12" t="s">
        <v>96</v>
      </c>
      <c r="M307">
        <v>5.01</v>
      </c>
      <c r="N307" s="12" t="s">
        <v>70</v>
      </c>
      <c r="O307" s="12" t="s">
        <v>71</v>
      </c>
      <c r="P307" s="12" t="s">
        <v>72</v>
      </c>
      <c r="Q307" s="13">
        <v>45042</v>
      </c>
      <c r="R307" s="13">
        <v>45065</v>
      </c>
      <c r="S307">
        <v>2023</v>
      </c>
      <c r="T307" s="12" t="s">
        <v>626</v>
      </c>
      <c r="U307">
        <v>201</v>
      </c>
      <c r="V307">
        <v>100.34050000000001</v>
      </c>
      <c r="W307">
        <v>380.4</v>
      </c>
      <c r="X307">
        <v>0</v>
      </c>
      <c r="Y307">
        <v>0</v>
      </c>
      <c r="Z307">
        <v>20168.439999999999</v>
      </c>
      <c r="AA307">
        <v>20548.84</v>
      </c>
      <c r="AB307" s="12" t="s">
        <v>841</v>
      </c>
      <c r="AC307">
        <v>100.34050000000001</v>
      </c>
      <c r="AD307">
        <v>1</v>
      </c>
      <c r="AE307">
        <v>1</v>
      </c>
      <c r="AF307">
        <v>0</v>
      </c>
      <c r="AG307">
        <v>20168.439999999999</v>
      </c>
      <c r="AH307">
        <v>201</v>
      </c>
      <c r="AI307">
        <v>198</v>
      </c>
      <c r="AJ307">
        <v>3</v>
      </c>
      <c r="AK307">
        <v>1</v>
      </c>
      <c r="AL307">
        <v>1</v>
      </c>
      <c r="AM307">
        <v>98.51</v>
      </c>
      <c r="AN307">
        <v>103.782</v>
      </c>
      <c r="AO307">
        <v>301.02</v>
      </c>
      <c r="AP307" s="13">
        <v>45064</v>
      </c>
      <c r="AQ307">
        <v>-1</v>
      </c>
      <c r="AR307">
        <v>1</v>
      </c>
    </row>
    <row r="308" spans="1:44" x14ac:dyDescent="0.35">
      <c r="A308" s="12" t="s">
        <v>842</v>
      </c>
      <c r="B308" s="12" t="s">
        <v>843</v>
      </c>
      <c r="C308" s="12" t="s">
        <v>844</v>
      </c>
      <c r="D308" s="12" t="s">
        <v>175</v>
      </c>
      <c r="E308" s="12" t="s">
        <v>65</v>
      </c>
      <c r="F308">
        <v>3</v>
      </c>
      <c r="G308">
        <v>5</v>
      </c>
      <c r="H308">
        <v>0</v>
      </c>
      <c r="I308" s="12" t="s">
        <v>359</v>
      </c>
      <c r="J308" s="12" t="s">
        <v>360</v>
      </c>
      <c r="K308" s="12" t="s">
        <v>133</v>
      </c>
      <c r="L308" s="12" t="s">
        <v>82</v>
      </c>
      <c r="M308">
        <v>12.65</v>
      </c>
      <c r="N308" s="12" t="s">
        <v>107</v>
      </c>
      <c r="O308" s="12" t="s">
        <v>108</v>
      </c>
      <c r="P308" s="12" t="s">
        <v>109</v>
      </c>
      <c r="Q308" s="13">
        <v>45042</v>
      </c>
      <c r="R308" s="13">
        <v>45075</v>
      </c>
      <c r="S308">
        <v>2023</v>
      </c>
      <c r="T308" s="12" t="s">
        <v>626</v>
      </c>
      <c r="U308">
        <v>109</v>
      </c>
      <c r="V308">
        <v>251.048</v>
      </c>
      <c r="W308">
        <v>167.37</v>
      </c>
      <c r="X308">
        <v>0</v>
      </c>
      <c r="Y308">
        <v>0</v>
      </c>
      <c r="Z308">
        <v>27364.23</v>
      </c>
      <c r="AA308">
        <v>27531.599999999999</v>
      </c>
      <c r="AB308" s="12" t="s">
        <v>845</v>
      </c>
      <c r="AC308">
        <v>267.03480000000002</v>
      </c>
      <c r="AD308">
        <v>1</v>
      </c>
      <c r="AE308">
        <v>1</v>
      </c>
      <c r="AF308">
        <v>-1742.56</v>
      </c>
      <c r="AG308">
        <v>29106.79</v>
      </c>
      <c r="AH308">
        <v>109</v>
      </c>
      <c r="AI308">
        <v>108</v>
      </c>
      <c r="AJ308">
        <v>1</v>
      </c>
      <c r="AK308">
        <v>1</v>
      </c>
      <c r="AL308">
        <v>1</v>
      </c>
      <c r="AM308">
        <v>99.08</v>
      </c>
      <c r="AN308">
        <v>254.9222</v>
      </c>
      <c r="AO308">
        <v>251.05</v>
      </c>
      <c r="AP308" s="13">
        <v>45073</v>
      </c>
      <c r="AQ308">
        <v>-2</v>
      </c>
      <c r="AR308">
        <v>1</v>
      </c>
    </row>
    <row r="309" spans="1:44" x14ac:dyDescent="0.35">
      <c r="A309" s="12" t="s">
        <v>846</v>
      </c>
      <c r="B309" s="12" t="s">
        <v>609</v>
      </c>
      <c r="C309" s="12" t="s">
        <v>610</v>
      </c>
      <c r="D309" s="12" t="s">
        <v>64</v>
      </c>
      <c r="E309" s="12" t="s">
        <v>104</v>
      </c>
      <c r="F309">
        <v>1</v>
      </c>
      <c r="G309">
        <v>0</v>
      </c>
      <c r="H309">
        <v>1</v>
      </c>
      <c r="I309" s="12" t="s">
        <v>227</v>
      </c>
      <c r="J309" s="12" t="s">
        <v>228</v>
      </c>
      <c r="K309" s="12" t="s">
        <v>89</v>
      </c>
      <c r="L309" s="12" t="s">
        <v>96</v>
      </c>
      <c r="M309">
        <v>9.15</v>
      </c>
      <c r="N309" s="12" t="s">
        <v>97</v>
      </c>
      <c r="O309" s="12" t="s">
        <v>98</v>
      </c>
      <c r="P309" s="12" t="s">
        <v>72</v>
      </c>
      <c r="Q309" s="13">
        <v>45042</v>
      </c>
      <c r="R309" s="13">
        <v>45065</v>
      </c>
      <c r="S309">
        <v>2023</v>
      </c>
      <c r="T309" s="12" t="s">
        <v>626</v>
      </c>
      <c r="U309">
        <v>694</v>
      </c>
      <c r="V309">
        <v>20.713699999999999</v>
      </c>
      <c r="W309">
        <v>370.02</v>
      </c>
      <c r="X309">
        <v>0</v>
      </c>
      <c r="Y309">
        <v>0</v>
      </c>
      <c r="Z309">
        <v>14375.31</v>
      </c>
      <c r="AA309">
        <v>14745.33</v>
      </c>
      <c r="AB309" s="12" t="s">
        <v>611</v>
      </c>
      <c r="AC309">
        <v>20.713699999999999</v>
      </c>
      <c r="AD309">
        <v>1</v>
      </c>
      <c r="AE309">
        <v>1</v>
      </c>
      <c r="AF309">
        <v>0</v>
      </c>
      <c r="AG309">
        <v>14375.31</v>
      </c>
      <c r="AH309">
        <v>694</v>
      </c>
      <c r="AI309">
        <v>684</v>
      </c>
      <c r="AJ309">
        <v>10</v>
      </c>
      <c r="AK309">
        <v>1</v>
      </c>
      <c r="AL309">
        <v>1</v>
      </c>
      <c r="AM309">
        <v>98.56</v>
      </c>
      <c r="AN309">
        <v>21.557500000000001</v>
      </c>
      <c r="AO309">
        <v>207.14</v>
      </c>
      <c r="AP309" s="13">
        <v>45069</v>
      </c>
      <c r="AQ309">
        <v>4</v>
      </c>
      <c r="AR309">
        <v>0</v>
      </c>
    </row>
    <row r="310" spans="1:44" x14ac:dyDescent="0.35">
      <c r="A310" s="12" t="s">
        <v>847</v>
      </c>
      <c r="B310" s="12" t="s">
        <v>848</v>
      </c>
      <c r="C310" s="12" t="s">
        <v>849</v>
      </c>
      <c r="D310" s="12" t="s">
        <v>103</v>
      </c>
      <c r="E310" s="12" t="s">
        <v>65</v>
      </c>
      <c r="F310">
        <v>2</v>
      </c>
      <c r="G310">
        <v>4</v>
      </c>
      <c r="H310">
        <v>0</v>
      </c>
      <c r="I310" s="12" t="s">
        <v>87</v>
      </c>
      <c r="J310" s="12" t="s">
        <v>88</v>
      </c>
      <c r="K310" s="12" t="s">
        <v>89</v>
      </c>
      <c r="L310" s="12" t="s">
        <v>69</v>
      </c>
      <c r="M310">
        <v>14.93</v>
      </c>
      <c r="N310" s="12" t="s">
        <v>107</v>
      </c>
      <c r="O310" s="12" t="s">
        <v>108</v>
      </c>
      <c r="P310" s="12" t="s">
        <v>109</v>
      </c>
      <c r="Q310" s="13">
        <v>45042</v>
      </c>
      <c r="R310" s="13">
        <v>45071</v>
      </c>
      <c r="S310">
        <v>2023</v>
      </c>
      <c r="T310" s="12" t="s">
        <v>626</v>
      </c>
      <c r="U310">
        <v>75</v>
      </c>
      <c r="V310">
        <v>116.61369999999999</v>
      </c>
      <c r="W310">
        <v>67.34</v>
      </c>
      <c r="X310">
        <v>0</v>
      </c>
      <c r="Y310">
        <v>0</v>
      </c>
      <c r="Z310">
        <v>8746.0300000000007</v>
      </c>
      <c r="AA310">
        <v>8813.3700000000008</v>
      </c>
      <c r="AB310" s="12" t="s">
        <v>850</v>
      </c>
      <c r="AC310">
        <v>123.8275</v>
      </c>
      <c r="AD310">
        <v>1</v>
      </c>
      <c r="AE310">
        <v>1</v>
      </c>
      <c r="AF310">
        <v>-541.04</v>
      </c>
      <c r="AG310">
        <v>9287.06</v>
      </c>
      <c r="AH310">
        <v>75</v>
      </c>
      <c r="AI310">
        <v>74</v>
      </c>
      <c r="AJ310">
        <v>1</v>
      </c>
      <c r="AK310">
        <v>1</v>
      </c>
      <c r="AL310">
        <v>1</v>
      </c>
      <c r="AM310">
        <v>98.67</v>
      </c>
      <c r="AN310">
        <v>119.0996</v>
      </c>
      <c r="AO310">
        <v>116.61</v>
      </c>
      <c r="AP310" s="13">
        <v>45069</v>
      </c>
      <c r="AQ310">
        <v>-2</v>
      </c>
      <c r="AR310">
        <v>1</v>
      </c>
    </row>
    <row r="311" spans="1:44" x14ac:dyDescent="0.35">
      <c r="A311" s="12" t="s">
        <v>851</v>
      </c>
      <c r="B311" s="12" t="s">
        <v>308</v>
      </c>
      <c r="C311" s="12" t="s">
        <v>309</v>
      </c>
      <c r="D311" s="12" t="s">
        <v>122</v>
      </c>
      <c r="E311" s="12" t="s">
        <v>142</v>
      </c>
      <c r="F311">
        <v>1</v>
      </c>
      <c r="G311">
        <v>6</v>
      </c>
      <c r="H311">
        <v>1</v>
      </c>
      <c r="I311" s="12" t="s">
        <v>310</v>
      </c>
      <c r="J311" s="12" t="s">
        <v>311</v>
      </c>
      <c r="K311" s="12" t="s">
        <v>81</v>
      </c>
      <c r="L311" s="12" t="s">
        <v>69</v>
      </c>
      <c r="M311">
        <v>28.3</v>
      </c>
      <c r="N311" s="12" t="s">
        <v>97</v>
      </c>
      <c r="O311" s="12" t="s">
        <v>98</v>
      </c>
      <c r="P311" s="12" t="s">
        <v>72</v>
      </c>
      <c r="Q311" s="13">
        <v>45042</v>
      </c>
      <c r="R311" s="13">
        <v>45082</v>
      </c>
      <c r="S311">
        <v>2023</v>
      </c>
      <c r="T311" s="12" t="s">
        <v>626</v>
      </c>
      <c r="U311">
        <v>734</v>
      </c>
      <c r="V311">
        <v>59.409700000000001</v>
      </c>
      <c r="W311">
        <v>690.18</v>
      </c>
      <c r="X311">
        <v>0</v>
      </c>
      <c r="Y311">
        <v>0</v>
      </c>
      <c r="Z311">
        <v>43606.720000000001</v>
      </c>
      <c r="AA311">
        <v>44296.9</v>
      </c>
      <c r="AB311" s="12" t="s">
        <v>312</v>
      </c>
      <c r="AC311">
        <v>59.409700000000001</v>
      </c>
      <c r="AD311">
        <v>1</v>
      </c>
      <c r="AE311">
        <v>1</v>
      </c>
      <c r="AF311">
        <v>0</v>
      </c>
      <c r="AG311">
        <v>43606.720000000001</v>
      </c>
      <c r="AH311">
        <v>734</v>
      </c>
      <c r="AI311">
        <v>732</v>
      </c>
      <c r="AJ311">
        <v>2</v>
      </c>
      <c r="AK311">
        <v>1</v>
      </c>
      <c r="AL311">
        <v>1</v>
      </c>
      <c r="AM311">
        <v>99.73</v>
      </c>
      <c r="AN311">
        <v>60.514899999999997</v>
      </c>
      <c r="AO311">
        <v>118.82</v>
      </c>
      <c r="AP311" s="13">
        <v>45079</v>
      </c>
      <c r="AQ311">
        <v>-3</v>
      </c>
      <c r="AR311">
        <v>1</v>
      </c>
    </row>
    <row r="312" spans="1:44" x14ac:dyDescent="0.35">
      <c r="A312" s="12" t="s">
        <v>852</v>
      </c>
      <c r="B312" s="12" t="s">
        <v>728</v>
      </c>
      <c r="C312" s="12" t="s">
        <v>729</v>
      </c>
      <c r="D312" s="12" t="s">
        <v>269</v>
      </c>
      <c r="E312" s="12" t="s">
        <v>65</v>
      </c>
      <c r="F312">
        <v>2</v>
      </c>
      <c r="G312">
        <v>3</v>
      </c>
      <c r="H312">
        <v>0</v>
      </c>
      <c r="I312" s="12" t="s">
        <v>310</v>
      </c>
      <c r="J312" s="12" t="s">
        <v>311</v>
      </c>
      <c r="K312" s="12" t="s">
        <v>81</v>
      </c>
      <c r="L312" s="12" t="s">
        <v>69</v>
      </c>
      <c r="M312">
        <v>28.3</v>
      </c>
      <c r="N312" s="12" t="s">
        <v>135</v>
      </c>
      <c r="O312" s="12" t="s">
        <v>136</v>
      </c>
      <c r="P312" s="12" t="s">
        <v>137</v>
      </c>
      <c r="Q312" s="13">
        <v>45042</v>
      </c>
      <c r="R312" s="13">
        <v>45070</v>
      </c>
      <c r="S312">
        <v>2023</v>
      </c>
      <c r="T312" s="12" t="s">
        <v>626</v>
      </c>
      <c r="U312">
        <v>68</v>
      </c>
      <c r="V312">
        <v>374.99740000000003</v>
      </c>
      <c r="W312">
        <v>618.61</v>
      </c>
      <c r="X312">
        <v>0</v>
      </c>
      <c r="Y312">
        <v>0</v>
      </c>
      <c r="Z312">
        <v>25499.82</v>
      </c>
      <c r="AA312">
        <v>26118.43</v>
      </c>
      <c r="AB312" s="12" t="s">
        <v>730</v>
      </c>
      <c r="AC312">
        <v>374.99740000000003</v>
      </c>
      <c r="AD312">
        <v>1</v>
      </c>
      <c r="AE312">
        <v>1</v>
      </c>
      <c r="AF312">
        <v>0</v>
      </c>
      <c r="AG312">
        <v>25499.82</v>
      </c>
      <c r="AH312">
        <v>68</v>
      </c>
      <c r="AI312">
        <v>67</v>
      </c>
      <c r="AJ312">
        <v>1</v>
      </c>
      <c r="AK312">
        <v>1</v>
      </c>
      <c r="AL312">
        <v>1</v>
      </c>
      <c r="AM312">
        <v>98.53</v>
      </c>
      <c r="AN312">
        <v>389.82740000000001</v>
      </c>
      <c r="AO312">
        <v>375</v>
      </c>
      <c r="AP312" s="13">
        <v>45070</v>
      </c>
      <c r="AQ312">
        <v>0</v>
      </c>
      <c r="AR312">
        <v>1</v>
      </c>
    </row>
    <row r="313" spans="1:44" x14ac:dyDescent="0.35">
      <c r="A313" s="12" t="s">
        <v>853</v>
      </c>
      <c r="B313" s="12" t="s">
        <v>255</v>
      </c>
      <c r="C313" s="12" t="s">
        <v>256</v>
      </c>
      <c r="D313" s="12" t="s">
        <v>103</v>
      </c>
      <c r="E313" s="12" t="s">
        <v>65</v>
      </c>
      <c r="F313">
        <v>2</v>
      </c>
      <c r="G313">
        <v>4</v>
      </c>
      <c r="H313">
        <v>0</v>
      </c>
      <c r="I313" s="12" t="s">
        <v>143</v>
      </c>
      <c r="J313" s="12" t="s">
        <v>144</v>
      </c>
      <c r="K313" s="12" t="s">
        <v>133</v>
      </c>
      <c r="L313" s="12" t="s">
        <v>96</v>
      </c>
      <c r="M313">
        <v>5.43</v>
      </c>
      <c r="N313" s="12" t="s">
        <v>107</v>
      </c>
      <c r="O313" s="12" t="s">
        <v>108</v>
      </c>
      <c r="P313" s="12" t="s">
        <v>109</v>
      </c>
      <c r="Q313" s="13">
        <v>45042</v>
      </c>
      <c r="R313" s="13">
        <v>45063</v>
      </c>
      <c r="S313">
        <v>2023</v>
      </c>
      <c r="T313" s="12" t="s">
        <v>626</v>
      </c>
      <c r="U313">
        <v>11</v>
      </c>
      <c r="V313">
        <v>95.085700000000003</v>
      </c>
      <c r="W313">
        <v>11.77</v>
      </c>
      <c r="X313">
        <v>0</v>
      </c>
      <c r="Y313">
        <v>0</v>
      </c>
      <c r="Z313">
        <v>1045.94</v>
      </c>
      <c r="AA313">
        <v>1057.71</v>
      </c>
      <c r="AB313" s="12" t="s">
        <v>366</v>
      </c>
      <c r="AC313">
        <v>95.085700000000003</v>
      </c>
      <c r="AD313">
        <v>1</v>
      </c>
      <c r="AE313">
        <v>1</v>
      </c>
      <c r="AF313">
        <v>0</v>
      </c>
      <c r="AG313">
        <v>1045.94</v>
      </c>
      <c r="AH313">
        <v>11</v>
      </c>
      <c r="AI313">
        <v>11</v>
      </c>
      <c r="AJ313">
        <v>0</v>
      </c>
      <c r="AK313">
        <v>1</v>
      </c>
      <c r="AL313">
        <v>1</v>
      </c>
      <c r="AM313">
        <v>100</v>
      </c>
      <c r="AN313">
        <v>96.155699999999996</v>
      </c>
      <c r="AO313">
        <v>0</v>
      </c>
      <c r="AP313" s="13">
        <v>45061</v>
      </c>
      <c r="AQ313">
        <v>-2</v>
      </c>
      <c r="AR313">
        <v>1</v>
      </c>
    </row>
    <row r="314" spans="1:44" x14ac:dyDescent="0.35">
      <c r="A314" s="12" t="s">
        <v>854</v>
      </c>
      <c r="B314" s="12" t="s">
        <v>855</v>
      </c>
      <c r="C314" s="12" t="s">
        <v>856</v>
      </c>
      <c r="D314" s="12" t="s">
        <v>269</v>
      </c>
      <c r="E314" s="12" t="s">
        <v>65</v>
      </c>
      <c r="F314">
        <v>3</v>
      </c>
      <c r="G314">
        <v>5</v>
      </c>
      <c r="H314">
        <v>0</v>
      </c>
      <c r="I314" s="12" t="s">
        <v>94</v>
      </c>
      <c r="J314" s="12" t="s">
        <v>95</v>
      </c>
      <c r="K314" s="12" t="s">
        <v>81</v>
      </c>
      <c r="L314" s="12" t="s">
        <v>96</v>
      </c>
      <c r="M314">
        <v>4.8099999999999996</v>
      </c>
      <c r="N314" s="12" t="s">
        <v>135</v>
      </c>
      <c r="O314" s="12" t="s">
        <v>136</v>
      </c>
      <c r="P314" s="12" t="s">
        <v>137</v>
      </c>
      <c r="Q314" s="13">
        <v>45042</v>
      </c>
      <c r="R314" s="13">
        <v>45067</v>
      </c>
      <c r="S314">
        <v>2023</v>
      </c>
      <c r="T314" s="12" t="s">
        <v>626</v>
      </c>
      <c r="U314">
        <v>45</v>
      </c>
      <c r="V314">
        <v>493.6902</v>
      </c>
      <c r="W314">
        <v>366.72</v>
      </c>
      <c r="X314">
        <v>0</v>
      </c>
      <c r="Y314">
        <v>0</v>
      </c>
      <c r="Z314">
        <v>22216.06</v>
      </c>
      <c r="AA314">
        <v>22582.78</v>
      </c>
      <c r="AB314" s="12" t="s">
        <v>857</v>
      </c>
      <c r="AC314">
        <v>493.6902</v>
      </c>
      <c r="AD314">
        <v>1</v>
      </c>
      <c r="AE314">
        <v>1</v>
      </c>
      <c r="AF314">
        <v>0</v>
      </c>
      <c r="AG314">
        <v>22216.06</v>
      </c>
      <c r="AH314">
        <v>45</v>
      </c>
      <c r="AI314">
        <v>44</v>
      </c>
      <c r="AJ314">
        <v>1</v>
      </c>
      <c r="AK314">
        <v>1</v>
      </c>
      <c r="AL314">
        <v>1</v>
      </c>
      <c r="AM314">
        <v>97.78</v>
      </c>
      <c r="AN314">
        <v>513.245</v>
      </c>
      <c r="AO314">
        <v>493.69</v>
      </c>
      <c r="AP314" s="13">
        <v>45065</v>
      </c>
      <c r="AQ314">
        <v>-2</v>
      </c>
      <c r="AR314">
        <v>1</v>
      </c>
    </row>
    <row r="315" spans="1:44" x14ac:dyDescent="0.35">
      <c r="A315" s="12" t="s">
        <v>858</v>
      </c>
      <c r="B315" s="12" t="s">
        <v>532</v>
      </c>
      <c r="C315" s="12" t="s">
        <v>533</v>
      </c>
      <c r="D315" s="12" t="s">
        <v>114</v>
      </c>
      <c r="E315" s="12" t="s">
        <v>65</v>
      </c>
      <c r="F315">
        <v>2</v>
      </c>
      <c r="G315">
        <v>3</v>
      </c>
      <c r="H315">
        <v>0</v>
      </c>
      <c r="I315" s="12" t="s">
        <v>115</v>
      </c>
      <c r="J315" s="12" t="s">
        <v>116</v>
      </c>
      <c r="K315" s="12" t="s">
        <v>117</v>
      </c>
      <c r="L315" s="12" t="s">
        <v>82</v>
      </c>
      <c r="M315">
        <v>17.170000000000002</v>
      </c>
      <c r="N315" s="12" t="s">
        <v>97</v>
      </c>
      <c r="O315" s="12" t="s">
        <v>98</v>
      </c>
      <c r="P315" s="12" t="s">
        <v>72</v>
      </c>
      <c r="Q315" s="13">
        <v>45042</v>
      </c>
      <c r="R315" s="13">
        <v>45067</v>
      </c>
      <c r="S315">
        <v>2023</v>
      </c>
      <c r="T315" s="12" t="s">
        <v>626</v>
      </c>
      <c r="U315">
        <v>46</v>
      </c>
      <c r="V315">
        <v>250.00970000000001</v>
      </c>
      <c r="W315">
        <v>287.67</v>
      </c>
      <c r="X315">
        <v>0</v>
      </c>
      <c r="Y315">
        <v>0</v>
      </c>
      <c r="Z315">
        <v>11500.45</v>
      </c>
      <c r="AA315">
        <v>11788.12</v>
      </c>
      <c r="AB315" s="12" t="s">
        <v>859</v>
      </c>
      <c r="AC315">
        <v>250.00970000000001</v>
      </c>
      <c r="AD315">
        <v>1</v>
      </c>
      <c r="AE315">
        <v>1</v>
      </c>
      <c r="AF315">
        <v>0</v>
      </c>
      <c r="AG315">
        <v>11500.45</v>
      </c>
      <c r="AH315">
        <v>46</v>
      </c>
      <c r="AI315">
        <v>45</v>
      </c>
      <c r="AJ315">
        <v>1</v>
      </c>
      <c r="AK315">
        <v>1</v>
      </c>
      <c r="AL315">
        <v>1</v>
      </c>
      <c r="AM315">
        <v>97.83</v>
      </c>
      <c r="AN315">
        <v>261.9581</v>
      </c>
      <c r="AO315">
        <v>250.01</v>
      </c>
      <c r="AP315" s="13">
        <v>45073</v>
      </c>
      <c r="AQ315">
        <v>6</v>
      </c>
      <c r="AR315">
        <v>0</v>
      </c>
    </row>
    <row r="316" spans="1:44" x14ac:dyDescent="0.35">
      <c r="A316" s="12" t="s">
        <v>860</v>
      </c>
      <c r="B316" s="12" t="s">
        <v>680</v>
      </c>
      <c r="C316" s="12" t="s">
        <v>681</v>
      </c>
      <c r="D316" s="12" t="s">
        <v>122</v>
      </c>
      <c r="E316" s="12" t="s">
        <v>104</v>
      </c>
      <c r="F316">
        <v>3</v>
      </c>
      <c r="G316">
        <v>1</v>
      </c>
      <c r="H316">
        <v>0</v>
      </c>
      <c r="I316" s="12" t="s">
        <v>227</v>
      </c>
      <c r="J316" s="12" t="s">
        <v>228</v>
      </c>
      <c r="K316" s="12" t="s">
        <v>89</v>
      </c>
      <c r="L316" s="12" t="s">
        <v>96</v>
      </c>
      <c r="M316">
        <v>9.15</v>
      </c>
      <c r="N316" s="12" t="s">
        <v>70</v>
      </c>
      <c r="O316" s="12" t="s">
        <v>71</v>
      </c>
      <c r="P316" s="12" t="s">
        <v>72</v>
      </c>
      <c r="Q316" s="13">
        <v>45043</v>
      </c>
      <c r="R316" s="13">
        <v>45056</v>
      </c>
      <c r="S316">
        <v>2023</v>
      </c>
      <c r="T316" s="12" t="s">
        <v>626</v>
      </c>
      <c r="U316">
        <v>392</v>
      </c>
      <c r="V316">
        <v>23.246099999999998</v>
      </c>
      <c r="W316">
        <v>161.32</v>
      </c>
      <c r="X316">
        <v>0</v>
      </c>
      <c r="Y316">
        <v>0</v>
      </c>
      <c r="Z316">
        <v>9112.4699999999993</v>
      </c>
      <c r="AA316">
        <v>9273.7900000000009</v>
      </c>
      <c r="AB316" s="12" t="s">
        <v>861</v>
      </c>
      <c r="AC316">
        <v>23.246099999999998</v>
      </c>
      <c r="AD316">
        <v>1</v>
      </c>
      <c r="AE316">
        <v>1</v>
      </c>
      <c r="AF316">
        <v>0</v>
      </c>
      <c r="AG316">
        <v>9112.4699999999993</v>
      </c>
      <c r="AH316">
        <v>392</v>
      </c>
      <c r="AI316">
        <v>389</v>
      </c>
      <c r="AJ316">
        <v>3</v>
      </c>
      <c r="AK316">
        <v>1</v>
      </c>
      <c r="AL316">
        <v>1</v>
      </c>
      <c r="AM316">
        <v>99.23</v>
      </c>
      <c r="AN316">
        <v>23.8401</v>
      </c>
      <c r="AO316">
        <v>69.739999999999995</v>
      </c>
      <c r="AP316" s="13">
        <v>45056</v>
      </c>
      <c r="AQ316">
        <v>0</v>
      </c>
      <c r="AR316">
        <v>1</v>
      </c>
    </row>
    <row r="317" spans="1:44" x14ac:dyDescent="0.35">
      <c r="A317" s="12" t="s">
        <v>862</v>
      </c>
      <c r="B317" s="12" t="s">
        <v>347</v>
      </c>
      <c r="C317" s="12" t="s">
        <v>348</v>
      </c>
      <c r="D317" s="12" t="s">
        <v>78</v>
      </c>
      <c r="E317" s="12" t="s">
        <v>104</v>
      </c>
      <c r="F317">
        <v>3</v>
      </c>
      <c r="G317">
        <v>1</v>
      </c>
      <c r="H317">
        <v>0</v>
      </c>
      <c r="I317" s="12" t="s">
        <v>105</v>
      </c>
      <c r="J317" s="12" t="s">
        <v>106</v>
      </c>
      <c r="K317" s="12" t="s">
        <v>81</v>
      </c>
      <c r="L317" s="12" t="s">
        <v>96</v>
      </c>
      <c r="M317">
        <v>5.01</v>
      </c>
      <c r="N317" s="12" t="s">
        <v>97</v>
      </c>
      <c r="O317" s="12" t="s">
        <v>98</v>
      </c>
      <c r="P317" s="12" t="s">
        <v>72</v>
      </c>
      <c r="Q317" s="13">
        <v>45043</v>
      </c>
      <c r="R317" s="13">
        <v>45060</v>
      </c>
      <c r="S317">
        <v>2023</v>
      </c>
      <c r="T317" s="12" t="s">
        <v>626</v>
      </c>
      <c r="U317">
        <v>125</v>
      </c>
      <c r="V317">
        <v>94.355500000000006</v>
      </c>
      <c r="W317">
        <v>140.82</v>
      </c>
      <c r="X317">
        <v>0</v>
      </c>
      <c r="Y317">
        <v>0</v>
      </c>
      <c r="Z317">
        <v>11794.44</v>
      </c>
      <c r="AA317">
        <v>11935.26</v>
      </c>
      <c r="AB317" s="12" t="s">
        <v>841</v>
      </c>
      <c r="AC317">
        <v>100.34050000000001</v>
      </c>
      <c r="AD317">
        <v>1</v>
      </c>
      <c r="AE317">
        <v>1</v>
      </c>
      <c r="AF317">
        <v>-748.13</v>
      </c>
      <c r="AG317">
        <v>12542.56</v>
      </c>
      <c r="AH317">
        <v>125</v>
      </c>
      <c r="AI317">
        <v>123</v>
      </c>
      <c r="AJ317">
        <v>2</v>
      </c>
      <c r="AK317">
        <v>1</v>
      </c>
      <c r="AL317">
        <v>1</v>
      </c>
      <c r="AM317">
        <v>98.4</v>
      </c>
      <c r="AN317">
        <v>97.034599999999998</v>
      </c>
      <c r="AO317">
        <v>188.71</v>
      </c>
      <c r="AP317" s="13">
        <v>45061</v>
      </c>
      <c r="AQ317">
        <v>1</v>
      </c>
      <c r="AR317">
        <v>0</v>
      </c>
    </row>
    <row r="318" spans="1:44" x14ac:dyDescent="0.35">
      <c r="A318" s="12" t="s">
        <v>863</v>
      </c>
      <c r="B318" s="12" t="s">
        <v>646</v>
      </c>
      <c r="C318" s="12" t="s">
        <v>647</v>
      </c>
      <c r="D318" s="12" t="s">
        <v>175</v>
      </c>
      <c r="E318" s="12" t="s">
        <v>104</v>
      </c>
      <c r="F318">
        <v>3</v>
      </c>
      <c r="G318">
        <v>1</v>
      </c>
      <c r="H318">
        <v>0</v>
      </c>
      <c r="I318" s="12" t="s">
        <v>227</v>
      </c>
      <c r="J318" s="12" t="s">
        <v>228</v>
      </c>
      <c r="K318" s="12" t="s">
        <v>89</v>
      </c>
      <c r="L318" s="12" t="s">
        <v>96</v>
      </c>
      <c r="M318">
        <v>9.15</v>
      </c>
      <c r="N318" s="12" t="s">
        <v>145</v>
      </c>
      <c r="O318" s="12" t="s">
        <v>146</v>
      </c>
      <c r="P318" s="12" t="s">
        <v>109</v>
      </c>
      <c r="Q318" s="13">
        <v>45043</v>
      </c>
      <c r="R318" s="13">
        <v>45072</v>
      </c>
      <c r="S318">
        <v>2023</v>
      </c>
      <c r="T318" s="12" t="s">
        <v>626</v>
      </c>
      <c r="U318">
        <v>148</v>
      </c>
      <c r="V318">
        <v>216.21350000000001</v>
      </c>
      <c r="W318">
        <v>580.89</v>
      </c>
      <c r="X318">
        <v>0</v>
      </c>
      <c r="Y318">
        <v>0</v>
      </c>
      <c r="Z318">
        <v>31999.599999999999</v>
      </c>
      <c r="AA318">
        <v>32580.49</v>
      </c>
      <c r="AB318" s="12" t="s">
        <v>781</v>
      </c>
      <c r="AC318">
        <v>216.21350000000001</v>
      </c>
      <c r="AD318">
        <v>1</v>
      </c>
      <c r="AE318">
        <v>1</v>
      </c>
      <c r="AF318">
        <v>0</v>
      </c>
      <c r="AG318">
        <v>31999.599999999999</v>
      </c>
      <c r="AH318">
        <v>148</v>
      </c>
      <c r="AI318">
        <v>147</v>
      </c>
      <c r="AJ318">
        <v>1</v>
      </c>
      <c r="AK318">
        <v>1</v>
      </c>
      <c r="AL318">
        <v>1</v>
      </c>
      <c r="AM318">
        <v>99.32</v>
      </c>
      <c r="AN318">
        <v>221.636</v>
      </c>
      <c r="AO318">
        <v>216.21</v>
      </c>
      <c r="AP318" s="13">
        <v>45069</v>
      </c>
      <c r="AQ318">
        <v>-3</v>
      </c>
      <c r="AR318">
        <v>1</v>
      </c>
    </row>
    <row r="319" spans="1:44" x14ac:dyDescent="0.35">
      <c r="A319" s="12" t="s">
        <v>864</v>
      </c>
      <c r="B319" s="12" t="s">
        <v>167</v>
      </c>
      <c r="C319" s="12" t="s">
        <v>168</v>
      </c>
      <c r="D319" s="12" t="s">
        <v>64</v>
      </c>
      <c r="E319" s="12" t="s">
        <v>104</v>
      </c>
      <c r="F319">
        <v>3</v>
      </c>
      <c r="G319">
        <v>1</v>
      </c>
      <c r="H319">
        <v>0</v>
      </c>
      <c r="I319" s="12" t="s">
        <v>169</v>
      </c>
      <c r="J319" s="12" t="s">
        <v>170</v>
      </c>
      <c r="K319" s="12" t="s">
        <v>89</v>
      </c>
      <c r="L319" s="12" t="s">
        <v>134</v>
      </c>
      <c r="M319">
        <v>1.37</v>
      </c>
      <c r="N319" s="12" t="s">
        <v>97</v>
      </c>
      <c r="O319" s="12" t="s">
        <v>98</v>
      </c>
      <c r="P319" s="12" t="s">
        <v>72</v>
      </c>
      <c r="Q319" s="13">
        <v>45043</v>
      </c>
      <c r="R319" s="13">
        <v>45062</v>
      </c>
      <c r="S319">
        <v>2023</v>
      </c>
      <c r="T319" s="12" t="s">
        <v>626</v>
      </c>
      <c r="U319">
        <v>486</v>
      </c>
      <c r="V319">
        <v>28.7181</v>
      </c>
      <c r="W319">
        <v>169.98</v>
      </c>
      <c r="X319">
        <v>0</v>
      </c>
      <c r="Y319">
        <v>0</v>
      </c>
      <c r="Z319">
        <v>13957</v>
      </c>
      <c r="AA319">
        <v>14126.98</v>
      </c>
      <c r="AB319" s="12" t="s">
        <v>171</v>
      </c>
      <c r="AC319">
        <v>28.7181</v>
      </c>
      <c r="AD319">
        <v>1</v>
      </c>
      <c r="AE319">
        <v>1</v>
      </c>
      <c r="AF319">
        <v>0</v>
      </c>
      <c r="AG319">
        <v>13957</v>
      </c>
      <c r="AH319">
        <v>486</v>
      </c>
      <c r="AI319">
        <v>484</v>
      </c>
      <c r="AJ319">
        <v>2</v>
      </c>
      <c r="AK319">
        <v>1</v>
      </c>
      <c r="AL319">
        <v>1</v>
      </c>
      <c r="AM319">
        <v>99.59</v>
      </c>
      <c r="AN319">
        <v>29.187999999999999</v>
      </c>
      <c r="AO319">
        <v>57.44</v>
      </c>
      <c r="AP319" s="13">
        <v>45062</v>
      </c>
      <c r="AQ319">
        <v>0</v>
      </c>
      <c r="AR319">
        <v>1</v>
      </c>
    </row>
    <row r="320" spans="1:44" x14ac:dyDescent="0.35">
      <c r="A320" s="12" t="s">
        <v>865</v>
      </c>
      <c r="B320" s="12" t="s">
        <v>621</v>
      </c>
      <c r="C320" s="12" t="s">
        <v>622</v>
      </c>
      <c r="D320" s="12" t="s">
        <v>103</v>
      </c>
      <c r="E320" s="12" t="s">
        <v>65</v>
      </c>
      <c r="F320">
        <v>1</v>
      </c>
      <c r="G320">
        <v>2</v>
      </c>
      <c r="H320">
        <v>1</v>
      </c>
      <c r="I320" s="12" t="s">
        <v>486</v>
      </c>
      <c r="J320" s="12" t="s">
        <v>487</v>
      </c>
      <c r="K320" s="12" t="s">
        <v>125</v>
      </c>
      <c r="L320" s="12" t="s">
        <v>69</v>
      </c>
      <c r="M320">
        <v>36.86</v>
      </c>
      <c r="N320" s="12" t="s">
        <v>145</v>
      </c>
      <c r="O320" s="12" t="s">
        <v>146</v>
      </c>
      <c r="P320" s="12" t="s">
        <v>109</v>
      </c>
      <c r="Q320" s="13">
        <v>45043</v>
      </c>
      <c r="R320" s="13">
        <v>45071</v>
      </c>
      <c r="S320">
        <v>2023</v>
      </c>
      <c r="T320" s="12" t="s">
        <v>626</v>
      </c>
      <c r="U320">
        <v>69</v>
      </c>
      <c r="V320">
        <v>201.42019999999999</v>
      </c>
      <c r="W320">
        <v>163.11000000000001</v>
      </c>
      <c r="X320">
        <v>0</v>
      </c>
      <c r="Y320">
        <v>0</v>
      </c>
      <c r="Z320">
        <v>13897.99</v>
      </c>
      <c r="AA320">
        <v>14061.1</v>
      </c>
      <c r="AB320" s="12" t="s">
        <v>623</v>
      </c>
      <c r="AC320">
        <v>201.42019999999999</v>
      </c>
      <c r="AD320">
        <v>1</v>
      </c>
      <c r="AE320">
        <v>1</v>
      </c>
      <c r="AF320">
        <v>0</v>
      </c>
      <c r="AG320">
        <v>13897.99</v>
      </c>
      <c r="AH320">
        <v>69</v>
      </c>
      <c r="AI320">
        <v>68</v>
      </c>
      <c r="AJ320">
        <v>1</v>
      </c>
      <c r="AK320">
        <v>1</v>
      </c>
      <c r="AL320">
        <v>1</v>
      </c>
      <c r="AM320">
        <v>98.55</v>
      </c>
      <c r="AN320">
        <v>206.7809</v>
      </c>
      <c r="AO320">
        <v>201.42</v>
      </c>
      <c r="AP320" s="13">
        <v>45071</v>
      </c>
      <c r="AQ320">
        <v>0</v>
      </c>
      <c r="AR320">
        <v>1</v>
      </c>
    </row>
    <row r="321" spans="1:44" x14ac:dyDescent="0.35">
      <c r="A321" s="12" t="s">
        <v>866</v>
      </c>
      <c r="B321" s="12" t="s">
        <v>155</v>
      </c>
      <c r="C321" s="12" t="s">
        <v>156</v>
      </c>
      <c r="D321" s="12" t="s">
        <v>130</v>
      </c>
      <c r="E321" s="12" t="s">
        <v>104</v>
      </c>
      <c r="F321">
        <v>3</v>
      </c>
      <c r="G321">
        <v>1</v>
      </c>
      <c r="H321">
        <v>0</v>
      </c>
      <c r="I321" s="12" t="s">
        <v>157</v>
      </c>
      <c r="J321" s="12" t="s">
        <v>158</v>
      </c>
      <c r="K321" s="12" t="s">
        <v>117</v>
      </c>
      <c r="L321" s="12" t="s">
        <v>96</v>
      </c>
      <c r="M321">
        <v>4.72</v>
      </c>
      <c r="N321" s="12" t="s">
        <v>135</v>
      </c>
      <c r="O321" s="12" t="s">
        <v>136</v>
      </c>
      <c r="P321" s="12" t="s">
        <v>137</v>
      </c>
      <c r="Q321" s="13">
        <v>45043</v>
      </c>
      <c r="R321" s="13">
        <v>45071</v>
      </c>
      <c r="S321">
        <v>2023</v>
      </c>
      <c r="T321" s="12" t="s">
        <v>626</v>
      </c>
      <c r="U321">
        <v>136</v>
      </c>
      <c r="V321">
        <v>206.28880000000001</v>
      </c>
      <c r="W321">
        <v>676.05</v>
      </c>
      <c r="X321">
        <v>0</v>
      </c>
      <c r="Y321">
        <v>0</v>
      </c>
      <c r="Z321">
        <v>28055.279999999999</v>
      </c>
      <c r="AA321">
        <v>28731.33</v>
      </c>
      <c r="AB321" s="12" t="s">
        <v>161</v>
      </c>
      <c r="AC321">
        <v>206.28880000000001</v>
      </c>
      <c r="AD321">
        <v>1</v>
      </c>
      <c r="AE321">
        <v>1</v>
      </c>
      <c r="AF321">
        <v>0</v>
      </c>
      <c r="AG321">
        <v>28055.279999999999</v>
      </c>
      <c r="AH321">
        <v>136</v>
      </c>
      <c r="AI321">
        <v>134</v>
      </c>
      <c r="AJ321">
        <v>2</v>
      </c>
      <c r="AK321">
        <v>1</v>
      </c>
      <c r="AL321">
        <v>1</v>
      </c>
      <c r="AM321">
        <v>98.53</v>
      </c>
      <c r="AN321">
        <v>214.41290000000001</v>
      </c>
      <c r="AO321">
        <v>412.58</v>
      </c>
      <c r="AP321" s="13">
        <v>45069</v>
      </c>
      <c r="AQ321">
        <v>-2</v>
      </c>
      <c r="AR321">
        <v>1</v>
      </c>
    </row>
    <row r="322" spans="1:44" x14ac:dyDescent="0.35">
      <c r="A322" s="12" t="s">
        <v>867</v>
      </c>
      <c r="B322" s="12" t="s">
        <v>454</v>
      </c>
      <c r="C322" s="12" t="s">
        <v>455</v>
      </c>
      <c r="D322" s="12" t="s">
        <v>122</v>
      </c>
      <c r="E322" s="12" t="s">
        <v>104</v>
      </c>
      <c r="F322">
        <v>3</v>
      </c>
      <c r="G322">
        <v>1</v>
      </c>
      <c r="H322">
        <v>0</v>
      </c>
      <c r="I322" s="12" t="s">
        <v>87</v>
      </c>
      <c r="J322" s="12" t="s">
        <v>88</v>
      </c>
      <c r="K322" s="12" t="s">
        <v>89</v>
      </c>
      <c r="L322" s="12" t="s">
        <v>69</v>
      </c>
      <c r="M322">
        <v>14.93</v>
      </c>
      <c r="N322" s="12" t="s">
        <v>97</v>
      </c>
      <c r="O322" s="12" t="s">
        <v>98</v>
      </c>
      <c r="P322" s="12" t="s">
        <v>72</v>
      </c>
      <c r="Q322" s="13">
        <v>45043</v>
      </c>
      <c r="R322" s="13">
        <v>45061</v>
      </c>
      <c r="S322">
        <v>2023</v>
      </c>
      <c r="T322" s="12" t="s">
        <v>626</v>
      </c>
      <c r="U322">
        <v>894</v>
      </c>
      <c r="V322">
        <v>22.240500000000001</v>
      </c>
      <c r="W322">
        <v>414.64</v>
      </c>
      <c r="X322">
        <v>0</v>
      </c>
      <c r="Y322">
        <v>0</v>
      </c>
      <c r="Z322">
        <v>19883.009999999998</v>
      </c>
      <c r="AA322">
        <v>20297.650000000001</v>
      </c>
      <c r="AB322" s="12" t="s">
        <v>456</v>
      </c>
      <c r="AC322">
        <v>21.796199999999999</v>
      </c>
      <c r="AD322">
        <v>1</v>
      </c>
      <c r="AE322">
        <v>1</v>
      </c>
      <c r="AF322">
        <v>397.2</v>
      </c>
      <c r="AG322">
        <v>19485.8</v>
      </c>
      <c r="AH322">
        <v>894</v>
      </c>
      <c r="AI322">
        <v>886</v>
      </c>
      <c r="AJ322">
        <v>8</v>
      </c>
      <c r="AK322">
        <v>1</v>
      </c>
      <c r="AL322">
        <v>1</v>
      </c>
      <c r="AM322">
        <v>99.11</v>
      </c>
      <c r="AN322">
        <v>22.909300000000002</v>
      </c>
      <c r="AO322">
        <v>177.92</v>
      </c>
      <c r="AP322" s="13">
        <v>45071</v>
      </c>
      <c r="AQ322">
        <v>10</v>
      </c>
      <c r="AR322">
        <v>0</v>
      </c>
    </row>
    <row r="323" spans="1:44" x14ac:dyDescent="0.35">
      <c r="A323" s="12" t="s">
        <v>868</v>
      </c>
      <c r="B323" s="12" t="s">
        <v>869</v>
      </c>
      <c r="C323" s="12" t="s">
        <v>870</v>
      </c>
      <c r="D323" s="12" t="s">
        <v>130</v>
      </c>
      <c r="E323" s="12" t="s">
        <v>104</v>
      </c>
      <c r="F323">
        <v>2</v>
      </c>
      <c r="G323">
        <v>0</v>
      </c>
      <c r="H323">
        <v>0</v>
      </c>
      <c r="I323" s="12" t="s">
        <v>515</v>
      </c>
      <c r="J323" s="12" t="s">
        <v>516</v>
      </c>
      <c r="K323" s="12" t="s">
        <v>68</v>
      </c>
      <c r="L323" s="12" t="s">
        <v>134</v>
      </c>
      <c r="M323">
        <v>3.69</v>
      </c>
      <c r="N323" s="12" t="s">
        <v>135</v>
      </c>
      <c r="O323" s="12" t="s">
        <v>136</v>
      </c>
      <c r="P323" s="12" t="s">
        <v>137</v>
      </c>
      <c r="Q323" s="13">
        <v>45043</v>
      </c>
      <c r="R323" s="13">
        <v>45064</v>
      </c>
      <c r="S323">
        <v>2023</v>
      </c>
      <c r="T323" s="12" t="s">
        <v>626</v>
      </c>
      <c r="U323">
        <v>80</v>
      </c>
      <c r="V323">
        <v>583.34230000000002</v>
      </c>
      <c r="W323">
        <v>1007.01</v>
      </c>
      <c r="X323">
        <v>0</v>
      </c>
      <c r="Y323">
        <v>0</v>
      </c>
      <c r="Z323">
        <v>46667.38</v>
      </c>
      <c r="AA323">
        <v>47674.39</v>
      </c>
      <c r="AB323" s="12" t="s">
        <v>871</v>
      </c>
      <c r="AC323">
        <v>583.34230000000002</v>
      </c>
      <c r="AD323">
        <v>1</v>
      </c>
      <c r="AE323">
        <v>1</v>
      </c>
      <c r="AF323">
        <v>0</v>
      </c>
      <c r="AG323">
        <v>46667.38</v>
      </c>
      <c r="AH323">
        <v>80</v>
      </c>
      <c r="AI323">
        <v>80</v>
      </c>
      <c r="AJ323">
        <v>0</v>
      </c>
      <c r="AK323">
        <v>1</v>
      </c>
      <c r="AL323">
        <v>1</v>
      </c>
      <c r="AM323">
        <v>100</v>
      </c>
      <c r="AN323">
        <v>595.92989999999998</v>
      </c>
      <c r="AO323">
        <v>0</v>
      </c>
      <c r="AP323" s="13">
        <v>45064</v>
      </c>
      <c r="AQ323">
        <v>0</v>
      </c>
      <c r="AR323">
        <v>1</v>
      </c>
    </row>
    <row r="324" spans="1:44" x14ac:dyDescent="0.35">
      <c r="A324" s="12" t="s">
        <v>872</v>
      </c>
      <c r="B324" s="12" t="s">
        <v>630</v>
      </c>
      <c r="C324" s="12" t="s">
        <v>631</v>
      </c>
      <c r="D324" s="12" t="s">
        <v>130</v>
      </c>
      <c r="E324" s="12" t="s">
        <v>65</v>
      </c>
      <c r="F324">
        <v>1</v>
      </c>
      <c r="G324">
        <v>2</v>
      </c>
      <c r="H324">
        <v>1</v>
      </c>
      <c r="I324" s="12" t="s">
        <v>335</v>
      </c>
      <c r="J324" s="12" t="s">
        <v>336</v>
      </c>
      <c r="K324" s="12" t="s">
        <v>89</v>
      </c>
      <c r="L324" s="12" t="s">
        <v>82</v>
      </c>
      <c r="M324">
        <v>16</v>
      </c>
      <c r="N324" s="12" t="s">
        <v>135</v>
      </c>
      <c r="O324" s="12" t="s">
        <v>136</v>
      </c>
      <c r="P324" s="12" t="s">
        <v>137</v>
      </c>
      <c r="Q324" s="13">
        <v>45044</v>
      </c>
      <c r="R324" s="13">
        <v>45067</v>
      </c>
      <c r="S324">
        <v>2023</v>
      </c>
      <c r="T324" s="12" t="s">
        <v>626</v>
      </c>
      <c r="U324">
        <v>28</v>
      </c>
      <c r="V324">
        <v>422.53730000000002</v>
      </c>
      <c r="W324">
        <v>157.57</v>
      </c>
      <c r="X324">
        <v>0</v>
      </c>
      <c r="Y324">
        <v>0</v>
      </c>
      <c r="Z324">
        <v>11831.04</v>
      </c>
      <c r="AA324">
        <v>11988.61</v>
      </c>
      <c r="AB324" s="12" t="s">
        <v>632</v>
      </c>
      <c r="AC324">
        <v>448.44209999999998</v>
      </c>
      <c r="AD324">
        <v>1</v>
      </c>
      <c r="AE324">
        <v>1</v>
      </c>
      <c r="AF324">
        <v>-725.33</v>
      </c>
      <c r="AG324">
        <v>12556.38</v>
      </c>
      <c r="AH324">
        <v>28</v>
      </c>
      <c r="AI324">
        <v>28</v>
      </c>
      <c r="AJ324">
        <v>0</v>
      </c>
      <c r="AK324">
        <v>1</v>
      </c>
      <c r="AL324">
        <v>1</v>
      </c>
      <c r="AM324">
        <v>100</v>
      </c>
      <c r="AN324">
        <v>428.16480000000001</v>
      </c>
      <c r="AO324">
        <v>0</v>
      </c>
      <c r="AP324" s="13">
        <v>45067</v>
      </c>
      <c r="AQ324">
        <v>0</v>
      </c>
      <c r="AR324">
        <v>1</v>
      </c>
    </row>
    <row r="325" spans="1:44" x14ac:dyDescent="0.35">
      <c r="A325" s="12" t="s">
        <v>873</v>
      </c>
      <c r="B325" s="12" t="s">
        <v>646</v>
      </c>
      <c r="C325" s="12" t="s">
        <v>647</v>
      </c>
      <c r="D325" s="12" t="s">
        <v>175</v>
      </c>
      <c r="E325" s="12" t="s">
        <v>104</v>
      </c>
      <c r="F325">
        <v>3</v>
      </c>
      <c r="G325">
        <v>1</v>
      </c>
      <c r="H325">
        <v>0</v>
      </c>
      <c r="I325" s="12" t="s">
        <v>209</v>
      </c>
      <c r="J325" s="12" t="s">
        <v>210</v>
      </c>
      <c r="K325" s="12" t="s">
        <v>133</v>
      </c>
      <c r="L325" s="12" t="s">
        <v>96</v>
      </c>
      <c r="M325">
        <v>7.82</v>
      </c>
      <c r="N325" s="12" t="s">
        <v>145</v>
      </c>
      <c r="O325" s="12" t="s">
        <v>146</v>
      </c>
      <c r="P325" s="12" t="s">
        <v>109</v>
      </c>
      <c r="Q325" s="13">
        <v>45044</v>
      </c>
      <c r="R325" s="13">
        <v>45073</v>
      </c>
      <c r="S325">
        <v>2023</v>
      </c>
      <c r="T325" s="12" t="s">
        <v>626</v>
      </c>
      <c r="U325">
        <v>145</v>
      </c>
      <c r="V325">
        <v>237.57230000000001</v>
      </c>
      <c r="W325">
        <v>228.49</v>
      </c>
      <c r="X325">
        <v>0</v>
      </c>
      <c r="Y325">
        <v>0</v>
      </c>
      <c r="Z325">
        <v>34447.980000000003</v>
      </c>
      <c r="AA325">
        <v>34676.47</v>
      </c>
      <c r="AB325" s="12" t="s">
        <v>201</v>
      </c>
      <c r="AD325">
        <v>0</v>
      </c>
      <c r="AE325">
        <v>0</v>
      </c>
      <c r="AH325">
        <v>145</v>
      </c>
      <c r="AI325">
        <v>143</v>
      </c>
      <c r="AJ325">
        <v>2</v>
      </c>
      <c r="AK325">
        <v>1</v>
      </c>
      <c r="AL325">
        <v>1</v>
      </c>
      <c r="AM325">
        <v>98.62</v>
      </c>
      <c r="AN325">
        <v>242.49279999999999</v>
      </c>
      <c r="AO325">
        <v>475.14</v>
      </c>
      <c r="AP325" s="13">
        <v>45081</v>
      </c>
      <c r="AQ325">
        <v>8</v>
      </c>
      <c r="AR325">
        <v>0</v>
      </c>
    </row>
    <row r="326" spans="1:44" x14ac:dyDescent="0.35">
      <c r="A326" s="12" t="s">
        <v>874</v>
      </c>
      <c r="B326" s="12" t="s">
        <v>399</v>
      </c>
      <c r="C326" s="12" t="s">
        <v>400</v>
      </c>
      <c r="D326" s="12" t="s">
        <v>114</v>
      </c>
      <c r="E326" s="12" t="s">
        <v>65</v>
      </c>
      <c r="F326">
        <v>1</v>
      </c>
      <c r="G326">
        <v>2</v>
      </c>
      <c r="H326">
        <v>1</v>
      </c>
      <c r="I326" s="12" t="s">
        <v>151</v>
      </c>
      <c r="J326" s="12" t="s">
        <v>152</v>
      </c>
      <c r="K326" s="12" t="s">
        <v>125</v>
      </c>
      <c r="L326" s="12" t="s">
        <v>69</v>
      </c>
      <c r="M326">
        <v>36.479999999999997</v>
      </c>
      <c r="N326" s="12" t="s">
        <v>97</v>
      </c>
      <c r="O326" s="12" t="s">
        <v>98</v>
      </c>
      <c r="P326" s="12" t="s">
        <v>72</v>
      </c>
      <c r="Q326" s="13">
        <v>45044</v>
      </c>
      <c r="R326" s="13">
        <v>45067</v>
      </c>
      <c r="S326">
        <v>2023</v>
      </c>
      <c r="T326" s="12" t="s">
        <v>626</v>
      </c>
      <c r="U326">
        <v>27</v>
      </c>
      <c r="V326">
        <v>296.81490000000002</v>
      </c>
      <c r="W326">
        <v>205.48</v>
      </c>
      <c r="X326">
        <v>0</v>
      </c>
      <c r="Y326">
        <v>0</v>
      </c>
      <c r="Z326">
        <v>8014</v>
      </c>
      <c r="AA326">
        <v>8219.48</v>
      </c>
      <c r="AB326" s="12" t="s">
        <v>401</v>
      </c>
      <c r="AC326">
        <v>296.81490000000002</v>
      </c>
      <c r="AD326">
        <v>1</v>
      </c>
      <c r="AE326">
        <v>1</v>
      </c>
      <c r="AF326">
        <v>0</v>
      </c>
      <c r="AG326">
        <v>8014</v>
      </c>
      <c r="AH326">
        <v>27</v>
      </c>
      <c r="AI326">
        <v>27</v>
      </c>
      <c r="AJ326">
        <v>0</v>
      </c>
      <c r="AK326">
        <v>1</v>
      </c>
      <c r="AL326">
        <v>1</v>
      </c>
      <c r="AM326">
        <v>100</v>
      </c>
      <c r="AN326">
        <v>304.42529999999999</v>
      </c>
      <c r="AO326">
        <v>0</v>
      </c>
      <c r="AP326" s="13">
        <v>45065</v>
      </c>
      <c r="AQ326">
        <v>-2</v>
      </c>
      <c r="AR326">
        <v>1</v>
      </c>
    </row>
    <row r="327" spans="1:44" x14ac:dyDescent="0.35">
      <c r="A327" s="12" t="s">
        <v>875</v>
      </c>
      <c r="B327" s="12" t="s">
        <v>876</v>
      </c>
      <c r="C327" s="12" t="s">
        <v>877</v>
      </c>
      <c r="D327" s="12" t="s">
        <v>269</v>
      </c>
      <c r="E327" s="12" t="s">
        <v>142</v>
      </c>
      <c r="F327">
        <v>3</v>
      </c>
      <c r="G327">
        <v>11</v>
      </c>
      <c r="H327">
        <v>0</v>
      </c>
      <c r="I327" s="12" t="s">
        <v>310</v>
      </c>
      <c r="J327" s="12" t="s">
        <v>311</v>
      </c>
      <c r="K327" s="12" t="s">
        <v>81</v>
      </c>
      <c r="L327" s="12" t="s">
        <v>69</v>
      </c>
      <c r="M327">
        <v>28.3</v>
      </c>
      <c r="N327" s="12" t="s">
        <v>159</v>
      </c>
      <c r="O327" s="12" t="s">
        <v>160</v>
      </c>
      <c r="P327" s="12" t="s">
        <v>137</v>
      </c>
      <c r="Q327" s="13">
        <v>45044</v>
      </c>
      <c r="R327" s="13">
        <v>45095</v>
      </c>
      <c r="S327">
        <v>2023</v>
      </c>
      <c r="T327" s="12" t="s">
        <v>626</v>
      </c>
      <c r="U327">
        <v>137</v>
      </c>
      <c r="V327">
        <v>205.07480000000001</v>
      </c>
      <c r="W327">
        <v>417.41</v>
      </c>
      <c r="X327">
        <v>0</v>
      </c>
      <c r="Y327">
        <v>0</v>
      </c>
      <c r="Z327">
        <v>28095.25</v>
      </c>
      <c r="AA327">
        <v>28512.66</v>
      </c>
      <c r="AB327" s="12" t="s">
        <v>878</v>
      </c>
      <c r="AC327">
        <v>205.07480000000001</v>
      </c>
      <c r="AD327">
        <v>1</v>
      </c>
      <c r="AE327">
        <v>1</v>
      </c>
      <c r="AF327">
        <v>0</v>
      </c>
      <c r="AG327">
        <v>28095.25</v>
      </c>
      <c r="AH327">
        <v>137</v>
      </c>
      <c r="AI327">
        <v>136</v>
      </c>
      <c r="AJ327">
        <v>1</v>
      </c>
      <c r="AK327">
        <v>1</v>
      </c>
      <c r="AL327">
        <v>1</v>
      </c>
      <c r="AM327">
        <v>99.27</v>
      </c>
      <c r="AN327">
        <v>209.65190000000001</v>
      </c>
      <c r="AO327">
        <v>205.07</v>
      </c>
      <c r="AP327" s="13">
        <v>45100</v>
      </c>
      <c r="AQ327">
        <v>5</v>
      </c>
      <c r="AR327">
        <v>0</v>
      </c>
    </row>
    <row r="328" spans="1:44" x14ac:dyDescent="0.35">
      <c r="A328" s="12" t="s">
        <v>879</v>
      </c>
      <c r="B328" s="12" t="s">
        <v>809</v>
      </c>
      <c r="C328" s="12" t="s">
        <v>810</v>
      </c>
      <c r="D328" s="12" t="s">
        <v>114</v>
      </c>
      <c r="E328" s="12" t="s">
        <v>65</v>
      </c>
      <c r="F328">
        <v>3</v>
      </c>
      <c r="G328">
        <v>5</v>
      </c>
      <c r="H328">
        <v>0</v>
      </c>
      <c r="I328" s="12" t="s">
        <v>804</v>
      </c>
      <c r="J328" s="12" t="s">
        <v>342</v>
      </c>
      <c r="K328" s="12" t="s">
        <v>117</v>
      </c>
      <c r="L328" s="12" t="s">
        <v>69</v>
      </c>
      <c r="M328">
        <v>30.07</v>
      </c>
      <c r="N328" s="12" t="s">
        <v>70</v>
      </c>
      <c r="O328" s="12" t="s">
        <v>71</v>
      </c>
      <c r="P328" s="12" t="s">
        <v>72</v>
      </c>
      <c r="Q328" s="13">
        <v>45044</v>
      </c>
      <c r="R328" s="13">
        <v>45065</v>
      </c>
      <c r="S328">
        <v>2023</v>
      </c>
      <c r="T328" s="12" t="s">
        <v>626</v>
      </c>
      <c r="U328">
        <v>13</v>
      </c>
      <c r="V328">
        <v>323.22789999999998</v>
      </c>
      <c r="W328">
        <v>54.93</v>
      </c>
      <c r="X328">
        <v>0</v>
      </c>
      <c r="Y328">
        <v>0</v>
      </c>
      <c r="Z328">
        <v>4201.96</v>
      </c>
      <c r="AA328">
        <v>4256.8900000000003</v>
      </c>
      <c r="AB328" s="12" t="s">
        <v>880</v>
      </c>
      <c r="AC328">
        <v>323.22789999999998</v>
      </c>
      <c r="AD328">
        <v>1</v>
      </c>
      <c r="AE328">
        <v>1</v>
      </c>
      <c r="AF328">
        <v>0</v>
      </c>
      <c r="AG328">
        <v>4201.96</v>
      </c>
      <c r="AH328">
        <v>13</v>
      </c>
      <c r="AI328">
        <v>13</v>
      </c>
      <c r="AJ328">
        <v>0</v>
      </c>
      <c r="AK328">
        <v>1</v>
      </c>
      <c r="AL328">
        <v>1</v>
      </c>
      <c r="AM328">
        <v>100</v>
      </c>
      <c r="AN328">
        <v>327.45330000000001</v>
      </c>
      <c r="AO328">
        <v>0</v>
      </c>
      <c r="AP328" s="13">
        <v>45062</v>
      </c>
      <c r="AQ328">
        <v>-3</v>
      </c>
      <c r="AR328">
        <v>1</v>
      </c>
    </row>
    <row r="329" spans="1:44" x14ac:dyDescent="0.35">
      <c r="A329" s="12" t="s">
        <v>881</v>
      </c>
      <c r="B329" s="12" t="s">
        <v>357</v>
      </c>
      <c r="C329" s="12" t="s">
        <v>358</v>
      </c>
      <c r="D329" s="12" t="s">
        <v>103</v>
      </c>
      <c r="E329" s="12" t="s">
        <v>104</v>
      </c>
      <c r="F329">
        <v>3</v>
      </c>
      <c r="G329">
        <v>1</v>
      </c>
      <c r="H329">
        <v>0</v>
      </c>
      <c r="I329" s="12" t="s">
        <v>105</v>
      </c>
      <c r="J329" s="12" t="s">
        <v>106</v>
      </c>
      <c r="K329" s="12" t="s">
        <v>81</v>
      </c>
      <c r="L329" s="12" t="s">
        <v>96</v>
      </c>
      <c r="M329">
        <v>5.01</v>
      </c>
      <c r="N329" s="12" t="s">
        <v>107</v>
      </c>
      <c r="O329" s="12" t="s">
        <v>108</v>
      </c>
      <c r="P329" s="12" t="s">
        <v>109</v>
      </c>
      <c r="Q329" s="13">
        <v>45044</v>
      </c>
      <c r="R329" s="13">
        <v>45068</v>
      </c>
      <c r="S329">
        <v>2023</v>
      </c>
      <c r="T329" s="12" t="s">
        <v>626</v>
      </c>
      <c r="U329">
        <v>106</v>
      </c>
      <c r="V329">
        <v>106.6914</v>
      </c>
      <c r="W329">
        <v>220.84</v>
      </c>
      <c r="X329">
        <v>0</v>
      </c>
      <c r="Y329">
        <v>0</v>
      </c>
      <c r="Z329">
        <v>11309.29</v>
      </c>
      <c r="AA329">
        <v>11530.13</v>
      </c>
      <c r="AB329" s="12" t="s">
        <v>882</v>
      </c>
      <c r="AC329">
        <v>106.6914</v>
      </c>
      <c r="AD329">
        <v>1</v>
      </c>
      <c r="AE329">
        <v>1</v>
      </c>
      <c r="AF329">
        <v>0</v>
      </c>
      <c r="AG329">
        <v>11309.29</v>
      </c>
      <c r="AH329">
        <v>106</v>
      </c>
      <c r="AI329">
        <v>105</v>
      </c>
      <c r="AJ329">
        <v>1</v>
      </c>
      <c r="AK329">
        <v>1</v>
      </c>
      <c r="AL329">
        <v>1</v>
      </c>
      <c r="AM329">
        <v>99.06</v>
      </c>
      <c r="AN329">
        <v>109.8107</v>
      </c>
      <c r="AO329">
        <v>106.69</v>
      </c>
      <c r="AP329" s="13">
        <v>45075</v>
      </c>
      <c r="AQ329">
        <v>7</v>
      </c>
      <c r="AR329">
        <v>0</v>
      </c>
    </row>
    <row r="330" spans="1:44" x14ac:dyDescent="0.35">
      <c r="A330" s="12" t="s">
        <v>883</v>
      </c>
      <c r="B330" s="12" t="s">
        <v>454</v>
      </c>
      <c r="C330" s="12" t="s">
        <v>455</v>
      </c>
      <c r="D330" s="12" t="s">
        <v>122</v>
      </c>
      <c r="E330" s="12" t="s">
        <v>104</v>
      </c>
      <c r="F330">
        <v>3</v>
      </c>
      <c r="G330">
        <v>1</v>
      </c>
      <c r="H330">
        <v>0</v>
      </c>
      <c r="I330" s="12" t="s">
        <v>243</v>
      </c>
      <c r="J330" s="12" t="s">
        <v>244</v>
      </c>
      <c r="K330" s="12" t="s">
        <v>81</v>
      </c>
      <c r="L330" s="12" t="s">
        <v>82</v>
      </c>
      <c r="M330">
        <v>9.2200000000000006</v>
      </c>
      <c r="N330" s="12" t="s">
        <v>97</v>
      </c>
      <c r="O330" s="12" t="s">
        <v>98</v>
      </c>
      <c r="P330" s="12" t="s">
        <v>72</v>
      </c>
      <c r="Q330" s="13">
        <v>45044</v>
      </c>
      <c r="R330" s="13">
        <v>45064</v>
      </c>
      <c r="S330">
        <v>2023</v>
      </c>
      <c r="T330" s="12" t="s">
        <v>626</v>
      </c>
      <c r="U330">
        <v>1089</v>
      </c>
      <c r="V330">
        <v>21.796199999999999</v>
      </c>
      <c r="W330">
        <v>259.77</v>
      </c>
      <c r="X330">
        <v>0</v>
      </c>
      <c r="Y330">
        <v>0</v>
      </c>
      <c r="Z330">
        <v>23736.06</v>
      </c>
      <c r="AA330">
        <v>23995.83</v>
      </c>
      <c r="AB330" s="12" t="s">
        <v>884</v>
      </c>
      <c r="AC330">
        <v>21.796199999999999</v>
      </c>
      <c r="AD330">
        <v>1</v>
      </c>
      <c r="AE330">
        <v>1</v>
      </c>
      <c r="AF330">
        <v>0</v>
      </c>
      <c r="AG330">
        <v>23736.06</v>
      </c>
      <c r="AH330">
        <v>1089</v>
      </c>
      <c r="AI330">
        <v>1081</v>
      </c>
      <c r="AJ330">
        <v>8</v>
      </c>
      <c r="AK330">
        <v>1</v>
      </c>
      <c r="AL330">
        <v>1</v>
      </c>
      <c r="AM330">
        <v>99.27</v>
      </c>
      <c r="AN330">
        <v>22.197800000000001</v>
      </c>
      <c r="AO330">
        <v>174.37</v>
      </c>
      <c r="AP330" s="13">
        <v>45063</v>
      </c>
      <c r="AQ330">
        <v>-1</v>
      </c>
      <c r="AR330">
        <v>1</v>
      </c>
    </row>
    <row r="331" spans="1:44" x14ac:dyDescent="0.35">
      <c r="A331" s="12" t="s">
        <v>885</v>
      </c>
      <c r="B331" s="12" t="s">
        <v>289</v>
      </c>
      <c r="C331" s="12" t="s">
        <v>290</v>
      </c>
      <c r="D331" s="12" t="s">
        <v>175</v>
      </c>
      <c r="E331" s="12" t="s">
        <v>104</v>
      </c>
      <c r="F331">
        <v>3</v>
      </c>
      <c r="G331">
        <v>1</v>
      </c>
      <c r="H331">
        <v>0</v>
      </c>
      <c r="I331" s="12" t="s">
        <v>157</v>
      </c>
      <c r="J331" s="12" t="s">
        <v>158</v>
      </c>
      <c r="K331" s="12" t="s">
        <v>117</v>
      </c>
      <c r="L331" s="12" t="s">
        <v>96</v>
      </c>
      <c r="M331">
        <v>4.72</v>
      </c>
      <c r="N331" s="12" t="s">
        <v>107</v>
      </c>
      <c r="O331" s="12" t="s">
        <v>108</v>
      </c>
      <c r="P331" s="12" t="s">
        <v>109</v>
      </c>
      <c r="Q331" s="13">
        <v>45044</v>
      </c>
      <c r="R331" s="13">
        <v>45072</v>
      </c>
      <c r="S331">
        <v>2023</v>
      </c>
      <c r="T331" s="12" t="s">
        <v>626</v>
      </c>
      <c r="U331">
        <v>135</v>
      </c>
      <c r="V331">
        <v>194.9136</v>
      </c>
      <c r="W331">
        <v>362.48</v>
      </c>
      <c r="X331">
        <v>0</v>
      </c>
      <c r="Y331">
        <v>0</v>
      </c>
      <c r="Z331">
        <v>26313.34</v>
      </c>
      <c r="AA331">
        <v>26675.82</v>
      </c>
      <c r="AB331" s="12" t="s">
        <v>291</v>
      </c>
      <c r="AC331">
        <v>194.9136</v>
      </c>
      <c r="AD331">
        <v>1</v>
      </c>
      <c r="AE331">
        <v>1</v>
      </c>
      <c r="AF331">
        <v>0</v>
      </c>
      <c r="AG331">
        <v>26313.34</v>
      </c>
      <c r="AH331">
        <v>135</v>
      </c>
      <c r="AI331">
        <v>133</v>
      </c>
      <c r="AJ331">
        <v>2</v>
      </c>
      <c r="AK331">
        <v>1</v>
      </c>
      <c r="AL331">
        <v>1</v>
      </c>
      <c r="AM331">
        <v>98.52</v>
      </c>
      <c r="AN331">
        <v>200.57</v>
      </c>
      <c r="AO331">
        <v>389.83</v>
      </c>
      <c r="AP331" s="13">
        <v>45070</v>
      </c>
      <c r="AQ331">
        <v>-2</v>
      </c>
      <c r="AR331">
        <v>1</v>
      </c>
    </row>
    <row r="332" spans="1:44" x14ac:dyDescent="0.35">
      <c r="A332" s="12" t="s">
        <v>886</v>
      </c>
      <c r="B332" s="12" t="s">
        <v>532</v>
      </c>
      <c r="C332" s="12" t="s">
        <v>533</v>
      </c>
      <c r="D332" s="12" t="s">
        <v>114</v>
      </c>
      <c r="E332" s="12" t="s">
        <v>65</v>
      </c>
      <c r="F332">
        <v>2</v>
      </c>
      <c r="G332">
        <v>3</v>
      </c>
      <c r="H332">
        <v>0</v>
      </c>
      <c r="I332" s="12" t="s">
        <v>115</v>
      </c>
      <c r="J332" s="12" t="s">
        <v>116</v>
      </c>
      <c r="K332" s="12" t="s">
        <v>117</v>
      </c>
      <c r="L332" s="12" t="s">
        <v>82</v>
      </c>
      <c r="M332">
        <v>17.170000000000002</v>
      </c>
      <c r="N332" s="12" t="s">
        <v>97</v>
      </c>
      <c r="O332" s="12" t="s">
        <v>98</v>
      </c>
      <c r="P332" s="12" t="s">
        <v>72</v>
      </c>
      <c r="Q332" s="13">
        <v>45044</v>
      </c>
      <c r="R332" s="13">
        <v>45076</v>
      </c>
      <c r="S332">
        <v>2023</v>
      </c>
      <c r="T332" s="12" t="s">
        <v>626</v>
      </c>
      <c r="U332">
        <v>99</v>
      </c>
      <c r="V332">
        <v>250.00970000000001</v>
      </c>
      <c r="W332">
        <v>368.26</v>
      </c>
      <c r="X332">
        <v>0</v>
      </c>
      <c r="Y332">
        <v>0</v>
      </c>
      <c r="Z332">
        <v>24750.959999999999</v>
      </c>
      <c r="AA332">
        <v>25119.22</v>
      </c>
      <c r="AB332" s="12" t="s">
        <v>859</v>
      </c>
      <c r="AC332">
        <v>250.00970000000001</v>
      </c>
      <c r="AD332">
        <v>1</v>
      </c>
      <c r="AE332">
        <v>1</v>
      </c>
      <c r="AF332">
        <v>0</v>
      </c>
      <c r="AG332">
        <v>24750.959999999999</v>
      </c>
      <c r="AH332">
        <v>99</v>
      </c>
      <c r="AI332">
        <v>98</v>
      </c>
      <c r="AJ332">
        <v>1</v>
      </c>
      <c r="AK332">
        <v>1</v>
      </c>
      <c r="AL332">
        <v>1</v>
      </c>
      <c r="AM332">
        <v>98.99</v>
      </c>
      <c r="AN332">
        <v>256.3186</v>
      </c>
      <c r="AO332">
        <v>250.01</v>
      </c>
      <c r="AP332" s="13">
        <v>45076</v>
      </c>
      <c r="AQ332">
        <v>0</v>
      </c>
      <c r="AR332">
        <v>1</v>
      </c>
    </row>
    <row r="333" spans="1:44" x14ac:dyDescent="0.35">
      <c r="A333" s="12" t="s">
        <v>887</v>
      </c>
      <c r="B333" s="12" t="s">
        <v>85</v>
      </c>
      <c r="C333" s="12" t="s">
        <v>86</v>
      </c>
      <c r="D333" s="12" t="s">
        <v>78</v>
      </c>
      <c r="E333" s="12" t="s">
        <v>65</v>
      </c>
      <c r="F333">
        <v>3</v>
      </c>
      <c r="G333">
        <v>5</v>
      </c>
      <c r="H333">
        <v>0</v>
      </c>
      <c r="I333" s="12" t="s">
        <v>87</v>
      </c>
      <c r="J333" s="12" t="s">
        <v>88</v>
      </c>
      <c r="K333" s="12" t="s">
        <v>89</v>
      </c>
      <c r="L333" s="12" t="s">
        <v>69</v>
      </c>
      <c r="M333">
        <v>14.93</v>
      </c>
      <c r="N333" s="12" t="s">
        <v>97</v>
      </c>
      <c r="O333" s="12" t="s">
        <v>98</v>
      </c>
      <c r="P333" s="12" t="s">
        <v>72</v>
      </c>
      <c r="Q333" s="13">
        <v>45044</v>
      </c>
      <c r="R333" s="13">
        <v>45071</v>
      </c>
      <c r="S333">
        <v>2023</v>
      </c>
      <c r="T333" s="12" t="s">
        <v>626</v>
      </c>
      <c r="U333">
        <v>130</v>
      </c>
      <c r="V333">
        <v>147.55000000000001</v>
      </c>
      <c r="W333">
        <v>260.11</v>
      </c>
      <c r="X333">
        <v>0</v>
      </c>
      <c r="Y333">
        <v>0</v>
      </c>
      <c r="Z333">
        <v>19181.5</v>
      </c>
      <c r="AA333">
        <v>19441.61</v>
      </c>
      <c r="AB333" s="12" t="s">
        <v>90</v>
      </c>
      <c r="AC333">
        <v>147.55000000000001</v>
      </c>
      <c r="AD333">
        <v>1</v>
      </c>
      <c r="AE333">
        <v>1</v>
      </c>
      <c r="AF333">
        <v>0</v>
      </c>
      <c r="AG333">
        <v>19181.5</v>
      </c>
      <c r="AH333">
        <v>130</v>
      </c>
      <c r="AI333">
        <v>128</v>
      </c>
      <c r="AJ333">
        <v>2</v>
      </c>
      <c r="AK333">
        <v>1</v>
      </c>
      <c r="AL333">
        <v>1</v>
      </c>
      <c r="AM333">
        <v>98.46</v>
      </c>
      <c r="AN333">
        <v>151.88759999999999</v>
      </c>
      <c r="AO333">
        <v>295.10000000000002</v>
      </c>
      <c r="AP333" s="13">
        <v>45071</v>
      </c>
      <c r="AQ333">
        <v>0</v>
      </c>
      <c r="AR333">
        <v>1</v>
      </c>
    </row>
    <row r="334" spans="1:44" x14ac:dyDescent="0.35">
      <c r="A334" s="12" t="s">
        <v>888</v>
      </c>
      <c r="B334" s="12" t="s">
        <v>149</v>
      </c>
      <c r="C334" s="12" t="s">
        <v>150</v>
      </c>
      <c r="D334" s="12" t="s">
        <v>78</v>
      </c>
      <c r="E334" s="12" t="s">
        <v>65</v>
      </c>
      <c r="F334">
        <v>2</v>
      </c>
      <c r="G334">
        <v>2</v>
      </c>
      <c r="H334">
        <v>0</v>
      </c>
      <c r="I334" s="12" t="s">
        <v>151</v>
      </c>
      <c r="J334" s="12" t="s">
        <v>152</v>
      </c>
      <c r="K334" s="12" t="s">
        <v>125</v>
      </c>
      <c r="L334" s="12" t="s">
        <v>69</v>
      </c>
      <c r="M334">
        <v>36.479999999999997</v>
      </c>
      <c r="N334" s="12" t="s">
        <v>70</v>
      </c>
      <c r="O334" s="12" t="s">
        <v>71</v>
      </c>
      <c r="P334" s="12" t="s">
        <v>72</v>
      </c>
      <c r="Q334" s="13">
        <v>45047</v>
      </c>
      <c r="R334" s="13">
        <v>45083</v>
      </c>
      <c r="S334">
        <v>2023</v>
      </c>
      <c r="T334" s="12" t="s">
        <v>889</v>
      </c>
      <c r="U334">
        <v>269</v>
      </c>
      <c r="V334">
        <v>80.509</v>
      </c>
      <c r="W334">
        <v>354.29</v>
      </c>
      <c r="X334">
        <v>0</v>
      </c>
      <c r="Y334">
        <v>0</v>
      </c>
      <c r="Z334">
        <v>21656.92</v>
      </c>
      <c r="AA334">
        <v>22011.21</v>
      </c>
      <c r="AB334" s="12" t="s">
        <v>153</v>
      </c>
      <c r="AC334">
        <v>76.092399999999998</v>
      </c>
      <c r="AD334">
        <v>1</v>
      </c>
      <c r="AE334">
        <v>1</v>
      </c>
      <c r="AF334">
        <v>1188.07</v>
      </c>
      <c r="AG334">
        <v>20468.86</v>
      </c>
      <c r="AH334">
        <v>269</v>
      </c>
      <c r="AI334">
        <v>262</v>
      </c>
      <c r="AJ334">
        <v>7</v>
      </c>
      <c r="AK334">
        <v>1</v>
      </c>
      <c r="AL334">
        <v>1</v>
      </c>
      <c r="AM334">
        <v>97.4</v>
      </c>
      <c r="AN334">
        <v>84.012299999999996</v>
      </c>
      <c r="AO334">
        <v>563.55999999999995</v>
      </c>
      <c r="AP334" s="13">
        <v>45082</v>
      </c>
      <c r="AQ334">
        <v>-1</v>
      </c>
      <c r="AR334">
        <v>1</v>
      </c>
    </row>
    <row r="335" spans="1:44" x14ac:dyDescent="0.35">
      <c r="A335" s="12" t="s">
        <v>890</v>
      </c>
      <c r="B335" s="12" t="s">
        <v>891</v>
      </c>
      <c r="C335" s="12" t="s">
        <v>892</v>
      </c>
      <c r="D335" s="12" t="s">
        <v>122</v>
      </c>
      <c r="E335" s="12" t="s">
        <v>65</v>
      </c>
      <c r="F335">
        <v>3</v>
      </c>
      <c r="G335">
        <v>5</v>
      </c>
      <c r="H335">
        <v>0</v>
      </c>
      <c r="I335" s="12" t="s">
        <v>195</v>
      </c>
      <c r="J335" s="12" t="s">
        <v>196</v>
      </c>
      <c r="K335" s="12" t="s">
        <v>117</v>
      </c>
      <c r="L335" s="12" t="s">
        <v>134</v>
      </c>
      <c r="M335">
        <v>4.7699999999999996</v>
      </c>
      <c r="N335" s="12" t="s">
        <v>70</v>
      </c>
      <c r="O335" s="12" t="s">
        <v>71</v>
      </c>
      <c r="P335" s="12" t="s">
        <v>72</v>
      </c>
      <c r="Q335" s="13">
        <v>45047</v>
      </c>
      <c r="R335" s="13">
        <v>45076</v>
      </c>
      <c r="S335">
        <v>2023</v>
      </c>
      <c r="T335" s="12" t="s">
        <v>889</v>
      </c>
      <c r="U335">
        <v>1061</v>
      </c>
      <c r="V335">
        <v>39.456000000000003</v>
      </c>
      <c r="W335">
        <v>844.95</v>
      </c>
      <c r="X335">
        <v>0</v>
      </c>
      <c r="Y335">
        <v>0</v>
      </c>
      <c r="Z335">
        <v>41862.82</v>
      </c>
      <c r="AA335">
        <v>42707.77</v>
      </c>
      <c r="AB335" s="12" t="s">
        <v>893</v>
      </c>
      <c r="AC335">
        <v>39.456000000000003</v>
      </c>
      <c r="AD335">
        <v>1</v>
      </c>
      <c r="AE335">
        <v>1</v>
      </c>
      <c r="AF335">
        <v>0</v>
      </c>
      <c r="AG335">
        <v>41862.82</v>
      </c>
      <c r="AH335">
        <v>1061</v>
      </c>
      <c r="AI335">
        <v>1054</v>
      </c>
      <c r="AJ335">
        <v>7</v>
      </c>
      <c r="AK335">
        <v>1</v>
      </c>
      <c r="AL335">
        <v>1</v>
      </c>
      <c r="AM335">
        <v>99.34</v>
      </c>
      <c r="AN335">
        <v>40.5197</v>
      </c>
      <c r="AO335">
        <v>276.19</v>
      </c>
      <c r="AP335" s="13">
        <v>45072</v>
      </c>
      <c r="AQ335">
        <v>-4</v>
      </c>
      <c r="AR335">
        <v>1</v>
      </c>
    </row>
    <row r="336" spans="1:44" x14ac:dyDescent="0.35">
      <c r="A336" s="12" t="s">
        <v>894</v>
      </c>
      <c r="B336" s="12" t="s">
        <v>555</v>
      </c>
      <c r="C336" s="12" t="s">
        <v>556</v>
      </c>
      <c r="D336" s="12" t="s">
        <v>114</v>
      </c>
      <c r="E336" s="12" t="s">
        <v>142</v>
      </c>
      <c r="F336">
        <v>1</v>
      </c>
      <c r="G336">
        <v>6</v>
      </c>
      <c r="H336">
        <v>1</v>
      </c>
      <c r="I336" s="12" t="s">
        <v>151</v>
      </c>
      <c r="J336" s="12" t="s">
        <v>152</v>
      </c>
      <c r="K336" s="12" t="s">
        <v>125</v>
      </c>
      <c r="L336" s="12" t="s">
        <v>69</v>
      </c>
      <c r="M336">
        <v>36.479999999999997</v>
      </c>
      <c r="N336" s="12" t="s">
        <v>97</v>
      </c>
      <c r="O336" s="12" t="s">
        <v>98</v>
      </c>
      <c r="P336" s="12" t="s">
        <v>72</v>
      </c>
      <c r="Q336" s="13">
        <v>45047</v>
      </c>
      <c r="R336" s="13">
        <v>45092</v>
      </c>
      <c r="S336">
        <v>2023</v>
      </c>
      <c r="T336" s="12" t="s">
        <v>889</v>
      </c>
      <c r="U336">
        <v>89</v>
      </c>
      <c r="V336">
        <v>290.42770000000002</v>
      </c>
      <c r="W336">
        <v>533.51</v>
      </c>
      <c r="X336">
        <v>0</v>
      </c>
      <c r="Y336">
        <v>0</v>
      </c>
      <c r="Z336">
        <v>25848.07</v>
      </c>
      <c r="AA336">
        <v>26381.58</v>
      </c>
      <c r="AB336" s="12" t="s">
        <v>557</v>
      </c>
      <c r="AC336">
        <v>290.42770000000002</v>
      </c>
      <c r="AD336">
        <v>1</v>
      </c>
      <c r="AE336">
        <v>1</v>
      </c>
      <c r="AF336">
        <v>0</v>
      </c>
      <c r="AG336">
        <v>25848.07</v>
      </c>
      <c r="AH336">
        <v>89</v>
      </c>
      <c r="AI336">
        <v>88</v>
      </c>
      <c r="AJ336">
        <v>1</v>
      </c>
      <c r="AK336">
        <v>1</v>
      </c>
      <c r="AL336">
        <v>1</v>
      </c>
      <c r="AM336">
        <v>98.88</v>
      </c>
      <c r="AN336">
        <v>299.79059999999998</v>
      </c>
      <c r="AO336">
        <v>290.43</v>
      </c>
      <c r="AP336" s="13">
        <v>45092</v>
      </c>
      <c r="AQ336">
        <v>0</v>
      </c>
      <c r="AR336">
        <v>1</v>
      </c>
    </row>
    <row r="337" spans="1:44" x14ac:dyDescent="0.35">
      <c r="A337" s="12" t="s">
        <v>895</v>
      </c>
      <c r="B337" s="12" t="s">
        <v>747</v>
      </c>
      <c r="C337" s="12" t="s">
        <v>748</v>
      </c>
      <c r="D337" s="12" t="s">
        <v>114</v>
      </c>
      <c r="E337" s="12" t="s">
        <v>104</v>
      </c>
      <c r="F337">
        <v>2</v>
      </c>
      <c r="G337">
        <v>0</v>
      </c>
      <c r="H337">
        <v>0</v>
      </c>
      <c r="I337" s="12" t="s">
        <v>380</v>
      </c>
      <c r="J337" s="12" t="s">
        <v>381</v>
      </c>
      <c r="K337" s="12" t="s">
        <v>89</v>
      </c>
      <c r="L337" s="12" t="s">
        <v>96</v>
      </c>
      <c r="M337">
        <v>10.210000000000001</v>
      </c>
      <c r="N337" s="12" t="s">
        <v>70</v>
      </c>
      <c r="O337" s="12" t="s">
        <v>71</v>
      </c>
      <c r="P337" s="12" t="s">
        <v>72</v>
      </c>
      <c r="Q337" s="13">
        <v>45047</v>
      </c>
      <c r="R337" s="13">
        <v>45073</v>
      </c>
      <c r="S337">
        <v>2023</v>
      </c>
      <c r="T337" s="12" t="s">
        <v>889</v>
      </c>
      <c r="U337">
        <v>125</v>
      </c>
      <c r="V337">
        <v>245.56890000000001</v>
      </c>
      <c r="W337">
        <v>382.14</v>
      </c>
      <c r="X337">
        <v>0</v>
      </c>
      <c r="Y337">
        <v>0</v>
      </c>
      <c r="Z337">
        <v>30696.11</v>
      </c>
      <c r="AA337">
        <v>31078.25</v>
      </c>
      <c r="AB337" s="12" t="s">
        <v>896</v>
      </c>
      <c r="AC337">
        <v>245.56890000000001</v>
      </c>
      <c r="AD337">
        <v>1</v>
      </c>
      <c r="AE337">
        <v>1</v>
      </c>
      <c r="AF337">
        <v>0</v>
      </c>
      <c r="AG337">
        <v>30696.11</v>
      </c>
      <c r="AH337">
        <v>125</v>
      </c>
      <c r="AI337">
        <v>123</v>
      </c>
      <c r="AJ337">
        <v>2</v>
      </c>
      <c r="AK337">
        <v>1</v>
      </c>
      <c r="AL337">
        <v>1</v>
      </c>
      <c r="AM337">
        <v>98.4</v>
      </c>
      <c r="AN337">
        <v>252.6687</v>
      </c>
      <c r="AO337">
        <v>491.14</v>
      </c>
      <c r="AP337" s="13">
        <v>45072</v>
      </c>
      <c r="AQ337">
        <v>-1</v>
      </c>
      <c r="AR337">
        <v>1</v>
      </c>
    </row>
    <row r="338" spans="1:44" x14ac:dyDescent="0.35">
      <c r="A338" s="12" t="s">
        <v>897</v>
      </c>
      <c r="B338" s="12" t="s">
        <v>519</v>
      </c>
      <c r="C338" s="12" t="s">
        <v>520</v>
      </c>
      <c r="D338" s="12" t="s">
        <v>78</v>
      </c>
      <c r="E338" s="12" t="s">
        <v>65</v>
      </c>
      <c r="F338">
        <v>2</v>
      </c>
      <c r="G338">
        <v>3</v>
      </c>
      <c r="H338">
        <v>0</v>
      </c>
      <c r="I338" s="12" t="s">
        <v>66</v>
      </c>
      <c r="J338" s="12" t="s">
        <v>67</v>
      </c>
      <c r="K338" s="12" t="s">
        <v>68</v>
      </c>
      <c r="L338" s="12" t="s">
        <v>69</v>
      </c>
      <c r="M338">
        <v>17.66</v>
      </c>
      <c r="N338" s="12" t="s">
        <v>97</v>
      </c>
      <c r="O338" s="12" t="s">
        <v>98</v>
      </c>
      <c r="P338" s="12" t="s">
        <v>72</v>
      </c>
      <c r="Q338" s="13">
        <v>45047</v>
      </c>
      <c r="R338" s="13">
        <v>45072</v>
      </c>
      <c r="S338">
        <v>2023</v>
      </c>
      <c r="T338" s="12" t="s">
        <v>889</v>
      </c>
      <c r="U338">
        <v>104</v>
      </c>
      <c r="V338">
        <v>31.7883</v>
      </c>
      <c r="W338">
        <v>49.4</v>
      </c>
      <c r="X338">
        <v>0</v>
      </c>
      <c r="Y338">
        <v>0</v>
      </c>
      <c r="Z338">
        <v>3305.98</v>
      </c>
      <c r="AA338">
        <v>3355.38</v>
      </c>
      <c r="AB338" s="12" t="s">
        <v>521</v>
      </c>
      <c r="AC338">
        <v>31.7883</v>
      </c>
      <c r="AD338">
        <v>1</v>
      </c>
      <c r="AE338">
        <v>1</v>
      </c>
      <c r="AF338">
        <v>0</v>
      </c>
      <c r="AG338">
        <v>3305.98</v>
      </c>
      <c r="AH338">
        <v>104</v>
      </c>
      <c r="AI338">
        <v>101</v>
      </c>
      <c r="AJ338">
        <v>3</v>
      </c>
      <c r="AK338">
        <v>1</v>
      </c>
      <c r="AL338">
        <v>1</v>
      </c>
      <c r="AM338">
        <v>97.12</v>
      </c>
      <c r="AN338">
        <v>33.221600000000002</v>
      </c>
      <c r="AO338">
        <v>95.36</v>
      </c>
      <c r="AP338" s="13">
        <v>45069</v>
      </c>
      <c r="AQ338">
        <v>-3</v>
      </c>
      <c r="AR338">
        <v>1</v>
      </c>
    </row>
    <row r="339" spans="1:44" x14ac:dyDescent="0.35">
      <c r="A339" s="12" t="s">
        <v>898</v>
      </c>
      <c r="B339" s="12" t="s">
        <v>732</v>
      </c>
      <c r="C339" s="12" t="s">
        <v>733</v>
      </c>
      <c r="D339" s="12" t="s">
        <v>114</v>
      </c>
      <c r="E339" s="12" t="s">
        <v>104</v>
      </c>
      <c r="F339">
        <v>3</v>
      </c>
      <c r="G339">
        <v>1</v>
      </c>
      <c r="H339">
        <v>0</v>
      </c>
      <c r="I339" s="12" t="s">
        <v>359</v>
      </c>
      <c r="J339" s="12" t="s">
        <v>360</v>
      </c>
      <c r="K339" s="12" t="s">
        <v>133</v>
      </c>
      <c r="L339" s="12" t="s">
        <v>82</v>
      </c>
      <c r="M339">
        <v>12.65</v>
      </c>
      <c r="N339" s="12" t="s">
        <v>97</v>
      </c>
      <c r="O339" s="12" t="s">
        <v>98</v>
      </c>
      <c r="P339" s="12" t="s">
        <v>72</v>
      </c>
      <c r="Q339" s="13">
        <v>45047</v>
      </c>
      <c r="R339" s="13">
        <v>45076</v>
      </c>
      <c r="S339">
        <v>2023</v>
      </c>
      <c r="T339" s="12" t="s">
        <v>889</v>
      </c>
      <c r="U339">
        <v>147</v>
      </c>
      <c r="V339">
        <v>352.2124</v>
      </c>
      <c r="W339">
        <v>1317.79</v>
      </c>
      <c r="X339">
        <v>0</v>
      </c>
      <c r="Y339">
        <v>0</v>
      </c>
      <c r="Z339">
        <v>51775.22</v>
      </c>
      <c r="AA339">
        <v>53093.01</v>
      </c>
      <c r="AB339" s="12" t="s">
        <v>201</v>
      </c>
      <c r="AD339">
        <v>0</v>
      </c>
      <c r="AE339">
        <v>0</v>
      </c>
      <c r="AH339">
        <v>147</v>
      </c>
      <c r="AI339">
        <v>144</v>
      </c>
      <c r="AJ339">
        <v>3</v>
      </c>
      <c r="AK339">
        <v>1</v>
      </c>
      <c r="AL339">
        <v>1</v>
      </c>
      <c r="AM339">
        <v>97.96</v>
      </c>
      <c r="AN339">
        <v>368.70150000000001</v>
      </c>
      <c r="AO339">
        <v>1056.6400000000001</v>
      </c>
      <c r="AP339" s="13">
        <v>45074</v>
      </c>
      <c r="AQ339">
        <v>-2</v>
      </c>
      <c r="AR339">
        <v>1</v>
      </c>
    </row>
    <row r="340" spans="1:44" x14ac:dyDescent="0.35">
      <c r="A340" s="12" t="s">
        <v>899</v>
      </c>
      <c r="B340" s="12" t="s">
        <v>362</v>
      </c>
      <c r="C340" s="12" t="s">
        <v>363</v>
      </c>
      <c r="D340" s="12" t="s">
        <v>78</v>
      </c>
      <c r="E340" s="12" t="s">
        <v>104</v>
      </c>
      <c r="F340">
        <v>3</v>
      </c>
      <c r="G340">
        <v>0</v>
      </c>
      <c r="H340">
        <v>0</v>
      </c>
      <c r="I340" s="12" t="s">
        <v>157</v>
      </c>
      <c r="J340" s="12" t="s">
        <v>158</v>
      </c>
      <c r="K340" s="12" t="s">
        <v>117</v>
      </c>
      <c r="L340" s="12" t="s">
        <v>96</v>
      </c>
      <c r="M340">
        <v>4.72</v>
      </c>
      <c r="N340" s="12" t="s">
        <v>97</v>
      </c>
      <c r="O340" s="12" t="s">
        <v>98</v>
      </c>
      <c r="P340" s="12" t="s">
        <v>72</v>
      </c>
      <c r="Q340" s="13">
        <v>45047</v>
      </c>
      <c r="R340" s="13">
        <v>45060</v>
      </c>
      <c r="S340">
        <v>2023</v>
      </c>
      <c r="T340" s="12" t="s">
        <v>889</v>
      </c>
      <c r="U340">
        <v>66</v>
      </c>
      <c r="V340">
        <v>63.140599999999999</v>
      </c>
      <c r="W340">
        <v>39.28</v>
      </c>
      <c r="X340">
        <v>0</v>
      </c>
      <c r="Y340">
        <v>0</v>
      </c>
      <c r="Z340">
        <v>4167.28</v>
      </c>
      <c r="AA340">
        <v>4206.5600000000004</v>
      </c>
      <c r="AB340" s="12" t="s">
        <v>364</v>
      </c>
      <c r="AC340">
        <v>63.140599999999999</v>
      </c>
      <c r="AD340">
        <v>1</v>
      </c>
      <c r="AE340">
        <v>1</v>
      </c>
      <c r="AF340">
        <v>0</v>
      </c>
      <c r="AG340">
        <v>4167.28</v>
      </c>
      <c r="AH340">
        <v>66</v>
      </c>
      <c r="AI340">
        <v>65</v>
      </c>
      <c r="AJ340">
        <v>1</v>
      </c>
      <c r="AK340">
        <v>1</v>
      </c>
      <c r="AL340">
        <v>1</v>
      </c>
      <c r="AM340">
        <v>98.48</v>
      </c>
      <c r="AN340">
        <v>64.716300000000004</v>
      </c>
      <c r="AO340">
        <v>63.14</v>
      </c>
      <c r="AP340" s="13">
        <v>45057</v>
      </c>
      <c r="AQ340">
        <v>-3</v>
      </c>
      <c r="AR340">
        <v>1</v>
      </c>
    </row>
    <row r="341" spans="1:44" x14ac:dyDescent="0.35">
      <c r="A341" s="12" t="s">
        <v>900</v>
      </c>
      <c r="B341" s="12" t="s">
        <v>587</v>
      </c>
      <c r="C341" s="12" t="s">
        <v>588</v>
      </c>
      <c r="D341" s="12" t="s">
        <v>122</v>
      </c>
      <c r="E341" s="12" t="s">
        <v>104</v>
      </c>
      <c r="F341">
        <v>2</v>
      </c>
      <c r="G341">
        <v>0</v>
      </c>
      <c r="H341">
        <v>0</v>
      </c>
      <c r="I341" s="12" t="s">
        <v>486</v>
      </c>
      <c r="J341" s="12" t="s">
        <v>487</v>
      </c>
      <c r="K341" s="12" t="s">
        <v>125</v>
      </c>
      <c r="L341" s="12" t="s">
        <v>69</v>
      </c>
      <c r="M341">
        <v>36.86</v>
      </c>
      <c r="N341" s="12" t="s">
        <v>70</v>
      </c>
      <c r="O341" s="12" t="s">
        <v>71</v>
      </c>
      <c r="P341" s="12" t="s">
        <v>72</v>
      </c>
      <c r="Q341" s="13">
        <v>45047</v>
      </c>
      <c r="R341" s="13">
        <v>45061</v>
      </c>
      <c r="S341">
        <v>2023</v>
      </c>
      <c r="T341" s="12" t="s">
        <v>889</v>
      </c>
      <c r="U341">
        <v>442</v>
      </c>
      <c r="V341">
        <v>12.517899999999999</v>
      </c>
      <c r="W341">
        <v>44.47</v>
      </c>
      <c r="X341">
        <v>0</v>
      </c>
      <c r="Y341">
        <v>0</v>
      </c>
      <c r="Z341">
        <v>5532.91</v>
      </c>
      <c r="AA341">
        <v>5577.38</v>
      </c>
      <c r="AB341" s="12" t="s">
        <v>744</v>
      </c>
      <c r="AC341">
        <v>12.517899999999999</v>
      </c>
      <c r="AD341">
        <v>1</v>
      </c>
      <c r="AE341">
        <v>1</v>
      </c>
      <c r="AF341">
        <v>0</v>
      </c>
      <c r="AG341">
        <v>5532.91</v>
      </c>
      <c r="AH341">
        <v>442</v>
      </c>
      <c r="AI341">
        <v>440</v>
      </c>
      <c r="AJ341">
        <v>2</v>
      </c>
      <c r="AK341">
        <v>1</v>
      </c>
      <c r="AL341">
        <v>1</v>
      </c>
      <c r="AM341">
        <v>99.55</v>
      </c>
      <c r="AN341">
        <v>12.6759</v>
      </c>
      <c r="AO341">
        <v>25.04</v>
      </c>
      <c r="AP341" s="13">
        <v>45061</v>
      </c>
      <c r="AQ341">
        <v>0</v>
      </c>
      <c r="AR341">
        <v>1</v>
      </c>
    </row>
    <row r="342" spans="1:44" x14ac:dyDescent="0.35">
      <c r="A342" s="12" t="s">
        <v>901</v>
      </c>
      <c r="B342" s="12" t="s">
        <v>902</v>
      </c>
      <c r="C342" s="12" t="s">
        <v>903</v>
      </c>
      <c r="D342" s="12" t="s">
        <v>122</v>
      </c>
      <c r="E342" s="12" t="s">
        <v>142</v>
      </c>
      <c r="F342">
        <v>1</v>
      </c>
      <c r="G342">
        <v>6</v>
      </c>
      <c r="H342">
        <v>1</v>
      </c>
      <c r="I342" s="12" t="s">
        <v>105</v>
      </c>
      <c r="J342" s="12" t="s">
        <v>106</v>
      </c>
      <c r="K342" s="12" t="s">
        <v>81</v>
      </c>
      <c r="L342" s="12" t="s">
        <v>96</v>
      </c>
      <c r="M342">
        <v>5.01</v>
      </c>
      <c r="N342" s="12" t="s">
        <v>70</v>
      </c>
      <c r="O342" s="12" t="s">
        <v>71</v>
      </c>
      <c r="P342" s="12" t="s">
        <v>72</v>
      </c>
      <c r="Q342" s="13">
        <v>45047</v>
      </c>
      <c r="R342" s="13">
        <v>45086</v>
      </c>
      <c r="S342">
        <v>2023</v>
      </c>
      <c r="T342" s="12" t="s">
        <v>889</v>
      </c>
      <c r="U342">
        <v>684</v>
      </c>
      <c r="V342">
        <v>41.861199999999997</v>
      </c>
      <c r="W342">
        <v>668.21</v>
      </c>
      <c r="X342">
        <v>0</v>
      </c>
      <c r="Y342">
        <v>0</v>
      </c>
      <c r="Z342">
        <v>28633.06</v>
      </c>
      <c r="AA342">
        <v>29301.27</v>
      </c>
      <c r="AB342" s="12" t="s">
        <v>904</v>
      </c>
      <c r="AC342">
        <v>41.861199999999997</v>
      </c>
      <c r="AD342">
        <v>1</v>
      </c>
      <c r="AE342">
        <v>1</v>
      </c>
      <c r="AF342">
        <v>0</v>
      </c>
      <c r="AG342">
        <v>28633.06</v>
      </c>
      <c r="AH342">
        <v>684</v>
      </c>
      <c r="AI342">
        <v>680</v>
      </c>
      <c r="AJ342">
        <v>4</v>
      </c>
      <c r="AK342">
        <v>1</v>
      </c>
      <c r="AL342">
        <v>1</v>
      </c>
      <c r="AM342">
        <v>99.42</v>
      </c>
      <c r="AN342">
        <v>43.0901</v>
      </c>
      <c r="AO342">
        <v>167.44</v>
      </c>
      <c r="AP342" s="13">
        <v>45083</v>
      </c>
      <c r="AQ342">
        <v>-3</v>
      </c>
      <c r="AR342">
        <v>1</v>
      </c>
    </row>
    <row r="343" spans="1:44" x14ac:dyDescent="0.35">
      <c r="A343" s="12" t="s">
        <v>905</v>
      </c>
      <c r="B343" s="12" t="s">
        <v>747</v>
      </c>
      <c r="C343" s="12" t="s">
        <v>748</v>
      </c>
      <c r="D343" s="12" t="s">
        <v>114</v>
      </c>
      <c r="E343" s="12" t="s">
        <v>104</v>
      </c>
      <c r="F343">
        <v>2</v>
      </c>
      <c r="G343">
        <v>0</v>
      </c>
      <c r="H343">
        <v>0</v>
      </c>
      <c r="I343" s="12" t="s">
        <v>380</v>
      </c>
      <c r="J343" s="12" t="s">
        <v>381</v>
      </c>
      <c r="K343" s="12" t="s">
        <v>89</v>
      </c>
      <c r="L343" s="12" t="s">
        <v>96</v>
      </c>
      <c r="M343">
        <v>10.210000000000001</v>
      </c>
      <c r="N343" s="12" t="s">
        <v>70</v>
      </c>
      <c r="O343" s="12" t="s">
        <v>71</v>
      </c>
      <c r="P343" s="12" t="s">
        <v>72</v>
      </c>
      <c r="Q343" s="13">
        <v>45047</v>
      </c>
      <c r="R343" s="13">
        <v>45073</v>
      </c>
      <c r="S343">
        <v>2023</v>
      </c>
      <c r="T343" s="12" t="s">
        <v>889</v>
      </c>
      <c r="U343">
        <v>125</v>
      </c>
      <c r="V343">
        <v>245.56890000000001</v>
      </c>
      <c r="W343">
        <v>382.14</v>
      </c>
      <c r="X343">
        <v>0</v>
      </c>
      <c r="Y343">
        <v>0</v>
      </c>
      <c r="Z343">
        <v>30696.11</v>
      </c>
      <c r="AA343">
        <v>31078.25</v>
      </c>
      <c r="AB343" s="12" t="s">
        <v>896</v>
      </c>
      <c r="AC343">
        <v>245.56890000000001</v>
      </c>
      <c r="AD343">
        <v>1</v>
      </c>
      <c r="AE343">
        <v>1</v>
      </c>
      <c r="AF343">
        <v>0</v>
      </c>
      <c r="AG343">
        <v>30696.11</v>
      </c>
      <c r="AK343">
        <v>0</v>
      </c>
      <c r="AL343">
        <v>0</v>
      </c>
      <c r="AO343">
        <v>0</v>
      </c>
      <c r="AP343" s="13"/>
    </row>
    <row r="344" spans="1:44" x14ac:dyDescent="0.35">
      <c r="A344" s="12" t="s">
        <v>906</v>
      </c>
      <c r="B344" s="12" t="s">
        <v>395</v>
      </c>
      <c r="C344" s="12" t="s">
        <v>396</v>
      </c>
      <c r="D344" s="12" t="s">
        <v>130</v>
      </c>
      <c r="E344" s="12" t="s">
        <v>104</v>
      </c>
      <c r="F344">
        <v>3</v>
      </c>
      <c r="G344">
        <v>1</v>
      </c>
      <c r="H344">
        <v>0</v>
      </c>
      <c r="I344" s="12" t="s">
        <v>804</v>
      </c>
      <c r="J344" s="12" t="s">
        <v>342</v>
      </c>
      <c r="K344" s="12" t="s">
        <v>117</v>
      </c>
      <c r="L344" s="12" t="s">
        <v>69</v>
      </c>
      <c r="M344">
        <v>30.07</v>
      </c>
      <c r="N344" s="12" t="s">
        <v>159</v>
      </c>
      <c r="O344" s="12" t="s">
        <v>160</v>
      </c>
      <c r="P344" s="12" t="s">
        <v>137</v>
      </c>
      <c r="Q344" s="13">
        <v>45048</v>
      </c>
      <c r="R344" s="13">
        <v>45071</v>
      </c>
      <c r="S344">
        <v>2023</v>
      </c>
      <c r="T344" s="12" t="s">
        <v>889</v>
      </c>
      <c r="U344">
        <v>98</v>
      </c>
      <c r="V344">
        <v>190.43799999999999</v>
      </c>
      <c r="W344">
        <v>336.36</v>
      </c>
      <c r="X344">
        <v>0</v>
      </c>
      <c r="Y344">
        <v>0</v>
      </c>
      <c r="Z344">
        <v>18662.919999999998</v>
      </c>
      <c r="AA344">
        <v>18999.28</v>
      </c>
      <c r="AB344" s="12" t="s">
        <v>907</v>
      </c>
      <c r="AC344">
        <v>190.43799999999999</v>
      </c>
      <c r="AD344">
        <v>1</v>
      </c>
      <c r="AE344">
        <v>1</v>
      </c>
      <c r="AF344">
        <v>0</v>
      </c>
      <c r="AG344">
        <v>18662.919999999998</v>
      </c>
      <c r="AH344">
        <v>98</v>
      </c>
      <c r="AI344">
        <v>97</v>
      </c>
      <c r="AJ344">
        <v>1</v>
      </c>
      <c r="AK344">
        <v>1</v>
      </c>
      <c r="AL344">
        <v>1</v>
      </c>
      <c r="AM344">
        <v>98.98</v>
      </c>
      <c r="AN344">
        <v>195.8689</v>
      </c>
      <c r="AO344">
        <v>190.44</v>
      </c>
      <c r="AP344" s="13">
        <v>45071</v>
      </c>
      <c r="AQ344">
        <v>0</v>
      </c>
      <c r="AR344">
        <v>1</v>
      </c>
    </row>
    <row r="345" spans="1:44" x14ac:dyDescent="0.35">
      <c r="A345" s="12" t="s">
        <v>908</v>
      </c>
      <c r="B345" s="12" t="s">
        <v>909</v>
      </c>
      <c r="C345" s="12" t="s">
        <v>910</v>
      </c>
      <c r="D345" s="12" t="s">
        <v>269</v>
      </c>
      <c r="E345" s="12" t="s">
        <v>65</v>
      </c>
      <c r="F345">
        <v>3</v>
      </c>
      <c r="G345">
        <v>4</v>
      </c>
      <c r="H345">
        <v>0</v>
      </c>
      <c r="I345" s="12" t="s">
        <v>199</v>
      </c>
      <c r="J345" s="12" t="s">
        <v>200</v>
      </c>
      <c r="K345" s="12" t="s">
        <v>68</v>
      </c>
      <c r="L345" s="12" t="s">
        <v>96</v>
      </c>
      <c r="M345">
        <v>9.4700000000000006</v>
      </c>
      <c r="N345" s="12" t="s">
        <v>135</v>
      </c>
      <c r="O345" s="12" t="s">
        <v>136</v>
      </c>
      <c r="P345" s="12" t="s">
        <v>137</v>
      </c>
      <c r="Q345" s="13">
        <v>45048</v>
      </c>
      <c r="R345" s="13">
        <v>45078</v>
      </c>
      <c r="S345">
        <v>2023</v>
      </c>
      <c r="T345" s="12" t="s">
        <v>889</v>
      </c>
      <c r="U345">
        <v>82</v>
      </c>
      <c r="V345">
        <v>108.32040000000001</v>
      </c>
      <c r="W345">
        <v>98.46</v>
      </c>
      <c r="X345">
        <v>0</v>
      </c>
      <c r="Y345">
        <v>0</v>
      </c>
      <c r="Z345">
        <v>8882.27</v>
      </c>
      <c r="AA345">
        <v>8980.73</v>
      </c>
      <c r="AB345" s="12" t="s">
        <v>911</v>
      </c>
      <c r="AC345">
        <v>108.32040000000001</v>
      </c>
      <c r="AD345">
        <v>1</v>
      </c>
      <c r="AE345">
        <v>1</v>
      </c>
      <c r="AF345">
        <v>0</v>
      </c>
      <c r="AG345">
        <v>8882.27</v>
      </c>
      <c r="AH345">
        <v>82</v>
      </c>
      <c r="AI345">
        <v>82</v>
      </c>
      <c r="AJ345">
        <v>0</v>
      </c>
      <c r="AK345">
        <v>1</v>
      </c>
      <c r="AL345">
        <v>1</v>
      </c>
      <c r="AM345">
        <v>100</v>
      </c>
      <c r="AN345">
        <v>109.5211</v>
      </c>
      <c r="AO345">
        <v>0</v>
      </c>
      <c r="AP345" s="13">
        <v>45076</v>
      </c>
      <c r="AQ345">
        <v>-2</v>
      </c>
      <c r="AR345">
        <v>1</v>
      </c>
    </row>
    <row r="346" spans="1:44" x14ac:dyDescent="0.35">
      <c r="A346" s="12" t="s">
        <v>912</v>
      </c>
      <c r="B346" s="12" t="s">
        <v>273</v>
      </c>
      <c r="C346" s="12" t="s">
        <v>274</v>
      </c>
      <c r="D346" s="12" t="s">
        <v>175</v>
      </c>
      <c r="E346" s="12" t="s">
        <v>104</v>
      </c>
      <c r="F346">
        <v>3</v>
      </c>
      <c r="G346">
        <v>1</v>
      </c>
      <c r="H346">
        <v>0</v>
      </c>
      <c r="I346" s="12" t="s">
        <v>275</v>
      </c>
      <c r="J346" s="12" t="s">
        <v>276</v>
      </c>
      <c r="K346" s="12" t="s">
        <v>89</v>
      </c>
      <c r="L346" s="12" t="s">
        <v>82</v>
      </c>
      <c r="M346">
        <v>14.26</v>
      </c>
      <c r="N346" s="12" t="s">
        <v>145</v>
      </c>
      <c r="O346" s="12" t="s">
        <v>146</v>
      </c>
      <c r="P346" s="12" t="s">
        <v>109</v>
      </c>
      <c r="Q346" s="13">
        <v>45048</v>
      </c>
      <c r="R346" s="13">
        <v>45074</v>
      </c>
      <c r="S346">
        <v>2023</v>
      </c>
      <c r="T346" s="12" t="s">
        <v>889</v>
      </c>
      <c r="U346">
        <v>118</v>
      </c>
      <c r="V346">
        <v>113.5119</v>
      </c>
      <c r="W346">
        <v>301.29000000000002</v>
      </c>
      <c r="X346">
        <v>0</v>
      </c>
      <c r="Y346">
        <v>0</v>
      </c>
      <c r="Z346">
        <v>13394.4</v>
      </c>
      <c r="AA346">
        <v>13695.69</v>
      </c>
      <c r="AB346" s="12" t="s">
        <v>277</v>
      </c>
      <c r="AC346">
        <v>117.48480000000001</v>
      </c>
      <c r="AD346">
        <v>2</v>
      </c>
      <c r="AE346">
        <v>1</v>
      </c>
      <c r="AF346">
        <v>-468.8</v>
      </c>
      <c r="AG346">
        <v>13863.21</v>
      </c>
      <c r="AH346">
        <v>118</v>
      </c>
      <c r="AI346">
        <v>118</v>
      </c>
      <c r="AJ346">
        <v>0</v>
      </c>
      <c r="AK346">
        <v>1</v>
      </c>
      <c r="AL346">
        <v>1</v>
      </c>
      <c r="AM346">
        <v>100</v>
      </c>
      <c r="AN346">
        <v>116.0652</v>
      </c>
      <c r="AO346">
        <v>0</v>
      </c>
      <c r="AP346" s="13">
        <v>45071</v>
      </c>
      <c r="AQ346">
        <v>-3</v>
      </c>
      <c r="AR346">
        <v>1</v>
      </c>
    </row>
    <row r="347" spans="1:44" x14ac:dyDescent="0.35">
      <c r="A347" s="12" t="s">
        <v>913</v>
      </c>
      <c r="B347" s="12" t="s">
        <v>728</v>
      </c>
      <c r="C347" s="12" t="s">
        <v>729</v>
      </c>
      <c r="D347" s="12" t="s">
        <v>269</v>
      </c>
      <c r="E347" s="12" t="s">
        <v>65</v>
      </c>
      <c r="F347">
        <v>2</v>
      </c>
      <c r="G347">
        <v>3</v>
      </c>
      <c r="H347">
        <v>0</v>
      </c>
      <c r="I347" s="12" t="s">
        <v>310</v>
      </c>
      <c r="J347" s="12" t="s">
        <v>311</v>
      </c>
      <c r="K347" s="12" t="s">
        <v>81</v>
      </c>
      <c r="L347" s="12" t="s">
        <v>69</v>
      </c>
      <c r="M347">
        <v>28.3</v>
      </c>
      <c r="N347" s="12" t="s">
        <v>135</v>
      </c>
      <c r="O347" s="12" t="s">
        <v>136</v>
      </c>
      <c r="P347" s="12" t="s">
        <v>137</v>
      </c>
      <c r="Q347" s="13">
        <v>45048</v>
      </c>
      <c r="R347" s="13">
        <v>45069</v>
      </c>
      <c r="S347">
        <v>2023</v>
      </c>
      <c r="T347" s="12" t="s">
        <v>889</v>
      </c>
      <c r="U347">
        <v>14</v>
      </c>
      <c r="V347">
        <v>374.99740000000003</v>
      </c>
      <c r="W347">
        <v>130.19</v>
      </c>
      <c r="X347">
        <v>0</v>
      </c>
      <c r="Y347">
        <v>0</v>
      </c>
      <c r="Z347">
        <v>5249.96</v>
      </c>
      <c r="AA347">
        <v>5380.15</v>
      </c>
      <c r="AB347" s="12" t="s">
        <v>730</v>
      </c>
      <c r="AC347">
        <v>374.99740000000003</v>
      </c>
      <c r="AD347">
        <v>1</v>
      </c>
      <c r="AE347">
        <v>1</v>
      </c>
      <c r="AF347">
        <v>0</v>
      </c>
      <c r="AG347">
        <v>5249.96</v>
      </c>
      <c r="AH347">
        <v>14</v>
      </c>
      <c r="AI347">
        <v>14</v>
      </c>
      <c r="AJ347">
        <v>0</v>
      </c>
      <c r="AK347">
        <v>1</v>
      </c>
      <c r="AL347">
        <v>1</v>
      </c>
      <c r="AM347">
        <v>100</v>
      </c>
      <c r="AN347">
        <v>384.29669999999999</v>
      </c>
      <c r="AO347">
        <v>0</v>
      </c>
      <c r="AP347" s="13">
        <v>45072</v>
      </c>
      <c r="AQ347">
        <v>3</v>
      </c>
      <c r="AR347">
        <v>0</v>
      </c>
    </row>
    <row r="348" spans="1:44" x14ac:dyDescent="0.35">
      <c r="A348" s="12" t="s">
        <v>914</v>
      </c>
      <c r="B348" s="12" t="s">
        <v>267</v>
      </c>
      <c r="C348" s="12" t="s">
        <v>268</v>
      </c>
      <c r="D348" s="12" t="s">
        <v>269</v>
      </c>
      <c r="E348" s="12" t="s">
        <v>142</v>
      </c>
      <c r="F348">
        <v>1</v>
      </c>
      <c r="G348">
        <v>8</v>
      </c>
      <c r="H348">
        <v>1</v>
      </c>
      <c r="I348" s="12" t="s">
        <v>94</v>
      </c>
      <c r="J348" s="12" t="s">
        <v>95</v>
      </c>
      <c r="K348" s="12" t="s">
        <v>81</v>
      </c>
      <c r="L348" s="12" t="s">
        <v>96</v>
      </c>
      <c r="M348">
        <v>4.8099999999999996</v>
      </c>
      <c r="N348" s="12" t="s">
        <v>135</v>
      </c>
      <c r="O348" s="12" t="s">
        <v>136</v>
      </c>
      <c r="P348" s="12" t="s">
        <v>137</v>
      </c>
      <c r="Q348" s="13">
        <v>45048</v>
      </c>
      <c r="R348" s="13">
        <v>45084</v>
      </c>
      <c r="S348">
        <v>2023</v>
      </c>
      <c r="T348" s="12" t="s">
        <v>889</v>
      </c>
      <c r="U348">
        <v>20</v>
      </c>
      <c r="V348">
        <v>247.31829999999999</v>
      </c>
      <c r="W348">
        <v>77.989999999999995</v>
      </c>
      <c r="X348">
        <v>0</v>
      </c>
      <c r="Y348">
        <v>0</v>
      </c>
      <c r="Z348">
        <v>4946.37</v>
      </c>
      <c r="AA348">
        <v>5024.3599999999997</v>
      </c>
      <c r="AB348" s="12" t="s">
        <v>270</v>
      </c>
      <c r="AC348">
        <v>247.31829999999999</v>
      </c>
      <c r="AD348">
        <v>1</v>
      </c>
      <c r="AE348">
        <v>1</v>
      </c>
      <c r="AF348">
        <v>0</v>
      </c>
      <c r="AG348">
        <v>4946.37</v>
      </c>
      <c r="AH348">
        <v>20</v>
      </c>
      <c r="AI348">
        <v>20</v>
      </c>
      <c r="AJ348">
        <v>0</v>
      </c>
      <c r="AK348">
        <v>1</v>
      </c>
      <c r="AL348">
        <v>1</v>
      </c>
      <c r="AM348">
        <v>100</v>
      </c>
      <c r="AN348">
        <v>251.21780000000001</v>
      </c>
      <c r="AO348">
        <v>0</v>
      </c>
      <c r="AP348" s="13">
        <v>45084</v>
      </c>
      <c r="AQ348">
        <v>0</v>
      </c>
      <c r="AR348">
        <v>1</v>
      </c>
    </row>
    <row r="349" spans="1:44" x14ac:dyDescent="0.35">
      <c r="A349" s="12" t="s">
        <v>915</v>
      </c>
      <c r="B349" s="12" t="s">
        <v>740</v>
      </c>
      <c r="C349" s="12" t="s">
        <v>741</v>
      </c>
      <c r="D349" s="12" t="s">
        <v>64</v>
      </c>
      <c r="E349" s="12" t="s">
        <v>104</v>
      </c>
      <c r="F349">
        <v>2</v>
      </c>
      <c r="G349">
        <v>0</v>
      </c>
      <c r="H349">
        <v>0</v>
      </c>
      <c r="I349" s="12" t="s">
        <v>183</v>
      </c>
      <c r="J349" s="12" t="s">
        <v>184</v>
      </c>
      <c r="K349" s="12" t="s">
        <v>133</v>
      </c>
      <c r="L349" s="12" t="s">
        <v>82</v>
      </c>
      <c r="M349">
        <v>8.6199999999999992</v>
      </c>
      <c r="N349" s="12" t="s">
        <v>97</v>
      </c>
      <c r="O349" s="12" t="s">
        <v>98</v>
      </c>
      <c r="P349" s="12" t="s">
        <v>72</v>
      </c>
      <c r="Q349" s="13">
        <v>45048</v>
      </c>
      <c r="R349" s="13">
        <v>45063</v>
      </c>
      <c r="S349">
        <v>2023</v>
      </c>
      <c r="T349" s="12" t="s">
        <v>889</v>
      </c>
      <c r="U349">
        <v>251</v>
      </c>
      <c r="V349">
        <v>41.2042</v>
      </c>
      <c r="W349">
        <v>169.3</v>
      </c>
      <c r="X349">
        <v>0</v>
      </c>
      <c r="Y349">
        <v>0</v>
      </c>
      <c r="Z349">
        <v>10342.25</v>
      </c>
      <c r="AA349">
        <v>10511.55</v>
      </c>
      <c r="AB349" s="12" t="s">
        <v>742</v>
      </c>
      <c r="AC349">
        <v>41.2042</v>
      </c>
      <c r="AD349">
        <v>1</v>
      </c>
      <c r="AE349">
        <v>1</v>
      </c>
      <c r="AF349">
        <v>0</v>
      </c>
      <c r="AG349">
        <v>10342.25</v>
      </c>
      <c r="AH349">
        <v>251</v>
      </c>
      <c r="AI349">
        <v>247</v>
      </c>
      <c r="AJ349">
        <v>4</v>
      </c>
      <c r="AK349">
        <v>1</v>
      </c>
      <c r="AL349">
        <v>1</v>
      </c>
      <c r="AM349">
        <v>98.41</v>
      </c>
      <c r="AN349">
        <v>42.556899999999999</v>
      </c>
      <c r="AO349">
        <v>164.82</v>
      </c>
      <c r="AP349" s="13">
        <v>45062</v>
      </c>
      <c r="AQ349">
        <v>-1</v>
      </c>
      <c r="AR349">
        <v>1</v>
      </c>
    </row>
    <row r="350" spans="1:44" x14ac:dyDescent="0.35">
      <c r="A350" s="12" t="s">
        <v>916</v>
      </c>
      <c r="B350" s="12" t="s">
        <v>437</v>
      </c>
      <c r="C350" s="12" t="s">
        <v>438</v>
      </c>
      <c r="D350" s="12" t="s">
        <v>269</v>
      </c>
      <c r="E350" s="12" t="s">
        <v>65</v>
      </c>
      <c r="F350">
        <v>2</v>
      </c>
      <c r="G350">
        <v>4</v>
      </c>
      <c r="H350">
        <v>0</v>
      </c>
      <c r="I350" s="12" t="s">
        <v>183</v>
      </c>
      <c r="J350" s="12" t="s">
        <v>184</v>
      </c>
      <c r="K350" s="12" t="s">
        <v>133</v>
      </c>
      <c r="L350" s="12" t="s">
        <v>82</v>
      </c>
      <c r="M350">
        <v>8.6199999999999992</v>
      </c>
      <c r="N350" s="12" t="s">
        <v>159</v>
      </c>
      <c r="O350" s="12" t="s">
        <v>160</v>
      </c>
      <c r="P350" s="12" t="s">
        <v>137</v>
      </c>
      <c r="Q350" s="13">
        <v>45049</v>
      </c>
      <c r="R350" s="13">
        <v>45073</v>
      </c>
      <c r="S350">
        <v>2023</v>
      </c>
      <c r="T350" s="12" t="s">
        <v>889</v>
      </c>
      <c r="U350">
        <v>36</v>
      </c>
      <c r="V350">
        <v>473.21539999999999</v>
      </c>
      <c r="W350">
        <v>423.81</v>
      </c>
      <c r="X350">
        <v>0</v>
      </c>
      <c r="Y350">
        <v>0</v>
      </c>
      <c r="Z350">
        <v>17035.75</v>
      </c>
      <c r="AA350">
        <v>17459.560000000001</v>
      </c>
      <c r="AB350" s="12" t="s">
        <v>917</v>
      </c>
      <c r="AC350">
        <v>473.21539999999999</v>
      </c>
      <c r="AD350">
        <v>1</v>
      </c>
      <c r="AE350">
        <v>1</v>
      </c>
      <c r="AF350">
        <v>0</v>
      </c>
      <c r="AG350">
        <v>17035.75</v>
      </c>
      <c r="AH350">
        <v>36</v>
      </c>
      <c r="AI350">
        <v>36</v>
      </c>
      <c r="AJ350">
        <v>0</v>
      </c>
      <c r="AK350">
        <v>1</v>
      </c>
      <c r="AL350">
        <v>1</v>
      </c>
      <c r="AM350">
        <v>100</v>
      </c>
      <c r="AN350">
        <v>484.98790000000002</v>
      </c>
      <c r="AO350">
        <v>0</v>
      </c>
      <c r="AP350" s="13">
        <v>45072</v>
      </c>
      <c r="AQ350">
        <v>-1</v>
      </c>
      <c r="AR350">
        <v>1</v>
      </c>
    </row>
    <row r="351" spans="1:44" x14ac:dyDescent="0.35">
      <c r="A351" s="12" t="s">
        <v>918</v>
      </c>
      <c r="B351" s="12" t="s">
        <v>630</v>
      </c>
      <c r="C351" s="12" t="s">
        <v>631</v>
      </c>
      <c r="D351" s="12" t="s">
        <v>130</v>
      </c>
      <c r="E351" s="12" t="s">
        <v>65</v>
      </c>
      <c r="F351">
        <v>1</v>
      </c>
      <c r="G351">
        <v>2</v>
      </c>
      <c r="H351">
        <v>1</v>
      </c>
      <c r="I351" s="12" t="s">
        <v>335</v>
      </c>
      <c r="J351" s="12" t="s">
        <v>336</v>
      </c>
      <c r="K351" s="12" t="s">
        <v>89</v>
      </c>
      <c r="L351" s="12" t="s">
        <v>82</v>
      </c>
      <c r="M351">
        <v>16</v>
      </c>
      <c r="N351" s="12" t="s">
        <v>135</v>
      </c>
      <c r="O351" s="12" t="s">
        <v>136</v>
      </c>
      <c r="P351" s="12" t="s">
        <v>137</v>
      </c>
      <c r="Q351" s="13">
        <v>45049</v>
      </c>
      <c r="R351" s="13">
        <v>45083</v>
      </c>
      <c r="S351">
        <v>2023</v>
      </c>
      <c r="T351" s="12" t="s">
        <v>889</v>
      </c>
      <c r="U351">
        <v>117</v>
      </c>
      <c r="V351">
        <v>448.44209999999998</v>
      </c>
      <c r="W351">
        <v>656.53</v>
      </c>
      <c r="X351">
        <v>0</v>
      </c>
      <c r="Y351">
        <v>0</v>
      </c>
      <c r="Z351">
        <v>52467.73</v>
      </c>
      <c r="AA351">
        <v>53124.26</v>
      </c>
      <c r="AB351" s="12" t="s">
        <v>632</v>
      </c>
      <c r="AC351">
        <v>448.44209999999998</v>
      </c>
      <c r="AD351">
        <v>1</v>
      </c>
      <c r="AE351">
        <v>1</v>
      </c>
      <c r="AF351">
        <v>0</v>
      </c>
      <c r="AG351">
        <v>52467.73</v>
      </c>
      <c r="AH351">
        <v>117</v>
      </c>
      <c r="AI351">
        <v>115</v>
      </c>
      <c r="AJ351">
        <v>2</v>
      </c>
      <c r="AK351">
        <v>1</v>
      </c>
      <c r="AL351">
        <v>1</v>
      </c>
      <c r="AM351">
        <v>98.29</v>
      </c>
      <c r="AN351">
        <v>461.95</v>
      </c>
      <c r="AO351">
        <v>896.88</v>
      </c>
      <c r="AP351" s="13">
        <v>45080</v>
      </c>
      <c r="AQ351">
        <v>-3</v>
      </c>
      <c r="AR351">
        <v>1</v>
      </c>
    </row>
    <row r="352" spans="1:44" x14ac:dyDescent="0.35">
      <c r="A352" s="12" t="s">
        <v>919</v>
      </c>
      <c r="B352" s="12" t="s">
        <v>613</v>
      </c>
      <c r="C352" s="12" t="s">
        <v>614</v>
      </c>
      <c r="D352" s="12" t="s">
        <v>130</v>
      </c>
      <c r="E352" s="12" t="s">
        <v>104</v>
      </c>
      <c r="F352">
        <v>3</v>
      </c>
      <c r="G352">
        <v>1</v>
      </c>
      <c r="H352">
        <v>0</v>
      </c>
      <c r="I352" s="12" t="s">
        <v>676</v>
      </c>
      <c r="J352" s="12" t="s">
        <v>677</v>
      </c>
      <c r="K352" s="12" t="s">
        <v>68</v>
      </c>
      <c r="L352" s="12" t="s">
        <v>96</v>
      </c>
      <c r="M352">
        <v>3.57</v>
      </c>
      <c r="N352" s="12" t="s">
        <v>159</v>
      </c>
      <c r="O352" s="12" t="s">
        <v>160</v>
      </c>
      <c r="P352" s="12" t="s">
        <v>137</v>
      </c>
      <c r="Q352" s="13">
        <v>45049</v>
      </c>
      <c r="R352" s="13">
        <v>45072</v>
      </c>
      <c r="S352">
        <v>2023</v>
      </c>
      <c r="T352" s="12" t="s">
        <v>889</v>
      </c>
      <c r="U352">
        <v>100</v>
      </c>
      <c r="V352">
        <v>195.35140000000001</v>
      </c>
      <c r="W352">
        <v>427.2</v>
      </c>
      <c r="X352">
        <v>0</v>
      </c>
      <c r="Y352">
        <v>0</v>
      </c>
      <c r="Z352">
        <v>19535.14</v>
      </c>
      <c r="AA352">
        <v>19962.34</v>
      </c>
      <c r="AB352" s="12" t="s">
        <v>724</v>
      </c>
      <c r="AC352">
        <v>195.35140000000001</v>
      </c>
      <c r="AD352">
        <v>1</v>
      </c>
      <c r="AE352">
        <v>1</v>
      </c>
      <c r="AF352">
        <v>0</v>
      </c>
      <c r="AG352">
        <v>19535.14</v>
      </c>
      <c r="AH352">
        <v>100</v>
      </c>
      <c r="AI352">
        <v>99</v>
      </c>
      <c r="AJ352">
        <v>1</v>
      </c>
      <c r="AK352">
        <v>1</v>
      </c>
      <c r="AL352">
        <v>1</v>
      </c>
      <c r="AM352">
        <v>99</v>
      </c>
      <c r="AN352">
        <v>201.63980000000001</v>
      </c>
      <c r="AO352">
        <v>195.35</v>
      </c>
      <c r="AP352" s="13">
        <v>45081</v>
      </c>
      <c r="AQ352">
        <v>9</v>
      </c>
      <c r="AR352">
        <v>0</v>
      </c>
    </row>
    <row r="353" spans="1:44" x14ac:dyDescent="0.35">
      <c r="A353" s="12" t="s">
        <v>920</v>
      </c>
      <c r="B353" s="12" t="s">
        <v>909</v>
      </c>
      <c r="C353" s="12" t="s">
        <v>910</v>
      </c>
      <c r="D353" s="12" t="s">
        <v>269</v>
      </c>
      <c r="E353" s="12" t="s">
        <v>65</v>
      </c>
      <c r="F353">
        <v>3</v>
      </c>
      <c r="G353">
        <v>4</v>
      </c>
      <c r="H353">
        <v>0</v>
      </c>
      <c r="I353" s="12" t="s">
        <v>811</v>
      </c>
      <c r="J353" s="12" t="s">
        <v>812</v>
      </c>
      <c r="K353" s="12" t="s">
        <v>117</v>
      </c>
      <c r="L353" s="12" t="s">
        <v>69</v>
      </c>
      <c r="M353">
        <v>26.4</v>
      </c>
      <c r="N353" s="12" t="s">
        <v>159</v>
      </c>
      <c r="O353" s="12" t="s">
        <v>160</v>
      </c>
      <c r="P353" s="12" t="s">
        <v>137</v>
      </c>
      <c r="Q353" s="13">
        <v>45049</v>
      </c>
      <c r="R353" s="13">
        <v>45076</v>
      </c>
      <c r="S353">
        <v>2023</v>
      </c>
      <c r="T353" s="12" t="s">
        <v>889</v>
      </c>
      <c r="U353">
        <v>61</v>
      </c>
      <c r="V353">
        <v>108.32040000000001</v>
      </c>
      <c r="W353">
        <v>158.29</v>
      </c>
      <c r="X353">
        <v>0</v>
      </c>
      <c r="Y353">
        <v>0</v>
      </c>
      <c r="Z353">
        <v>6607.54</v>
      </c>
      <c r="AA353">
        <v>6765.83</v>
      </c>
      <c r="AB353" s="12" t="s">
        <v>921</v>
      </c>
      <c r="AC353">
        <v>108.32040000000001</v>
      </c>
      <c r="AD353">
        <v>1</v>
      </c>
      <c r="AE353">
        <v>1</v>
      </c>
      <c r="AF353">
        <v>0</v>
      </c>
      <c r="AG353">
        <v>6607.54</v>
      </c>
      <c r="AH353">
        <v>61</v>
      </c>
      <c r="AI353">
        <v>61</v>
      </c>
      <c r="AJ353">
        <v>0</v>
      </c>
      <c r="AK353">
        <v>1</v>
      </c>
      <c r="AL353">
        <v>1</v>
      </c>
      <c r="AM353">
        <v>100</v>
      </c>
      <c r="AN353">
        <v>110.9153</v>
      </c>
      <c r="AO353">
        <v>0</v>
      </c>
      <c r="AP353" s="13">
        <v>45073</v>
      </c>
      <c r="AQ353">
        <v>-3</v>
      </c>
      <c r="AR353">
        <v>1</v>
      </c>
    </row>
    <row r="354" spans="1:44" x14ac:dyDescent="0.35">
      <c r="A354" s="12" t="s">
        <v>922</v>
      </c>
      <c r="B354" s="12" t="s">
        <v>249</v>
      </c>
      <c r="C354" s="12" t="s">
        <v>250</v>
      </c>
      <c r="D354" s="12" t="s">
        <v>64</v>
      </c>
      <c r="E354" s="12" t="s">
        <v>65</v>
      </c>
      <c r="F354">
        <v>2</v>
      </c>
      <c r="G354">
        <v>3</v>
      </c>
      <c r="H354">
        <v>0</v>
      </c>
      <c r="I354" s="12" t="s">
        <v>251</v>
      </c>
      <c r="J354" s="12" t="s">
        <v>252</v>
      </c>
      <c r="K354" s="12" t="s">
        <v>133</v>
      </c>
      <c r="L354" s="12" t="s">
        <v>69</v>
      </c>
      <c r="M354">
        <v>34.49</v>
      </c>
      <c r="N354" s="12" t="s">
        <v>70</v>
      </c>
      <c r="O354" s="12" t="s">
        <v>71</v>
      </c>
      <c r="P354" s="12" t="s">
        <v>72</v>
      </c>
      <c r="Q354" s="13">
        <v>45049</v>
      </c>
      <c r="R354" s="13">
        <v>45082</v>
      </c>
      <c r="S354">
        <v>2023</v>
      </c>
      <c r="T354" s="12" t="s">
        <v>889</v>
      </c>
      <c r="U354">
        <v>736</v>
      </c>
      <c r="V354">
        <v>10.6486</v>
      </c>
      <c r="W354">
        <v>150.41</v>
      </c>
      <c r="X354">
        <v>0</v>
      </c>
      <c r="Y354">
        <v>0</v>
      </c>
      <c r="Z354">
        <v>7837.37</v>
      </c>
      <c r="AA354">
        <v>7987.78</v>
      </c>
      <c r="AB354" s="12" t="s">
        <v>253</v>
      </c>
      <c r="AC354">
        <v>10.6486</v>
      </c>
      <c r="AD354">
        <v>1</v>
      </c>
      <c r="AE354">
        <v>1</v>
      </c>
      <c r="AF354">
        <v>0</v>
      </c>
      <c r="AG354">
        <v>7837.37</v>
      </c>
      <c r="AH354">
        <v>736</v>
      </c>
      <c r="AI354">
        <v>729</v>
      </c>
      <c r="AJ354">
        <v>7</v>
      </c>
      <c r="AK354">
        <v>1</v>
      </c>
      <c r="AL354">
        <v>1</v>
      </c>
      <c r="AM354">
        <v>99.05</v>
      </c>
      <c r="AN354">
        <v>10.9572</v>
      </c>
      <c r="AO354">
        <v>74.540000000000006</v>
      </c>
      <c r="AP354" s="13">
        <v>45079</v>
      </c>
      <c r="AQ354">
        <v>-3</v>
      </c>
      <c r="AR354">
        <v>1</v>
      </c>
    </row>
    <row r="355" spans="1:44" x14ac:dyDescent="0.35">
      <c r="A355" s="12" t="s">
        <v>923</v>
      </c>
      <c r="B355" s="12" t="s">
        <v>924</v>
      </c>
      <c r="C355" s="12" t="s">
        <v>925</v>
      </c>
      <c r="D355" s="12" t="s">
        <v>103</v>
      </c>
      <c r="E355" s="12" t="s">
        <v>104</v>
      </c>
      <c r="F355">
        <v>2</v>
      </c>
      <c r="G355">
        <v>0</v>
      </c>
      <c r="H355">
        <v>0</v>
      </c>
      <c r="I355" s="12" t="s">
        <v>335</v>
      </c>
      <c r="J355" s="12" t="s">
        <v>336</v>
      </c>
      <c r="K355" s="12" t="s">
        <v>89</v>
      </c>
      <c r="L355" s="12" t="s">
        <v>82</v>
      </c>
      <c r="M355">
        <v>16</v>
      </c>
      <c r="N355" s="12" t="s">
        <v>107</v>
      </c>
      <c r="O355" s="12" t="s">
        <v>108</v>
      </c>
      <c r="P355" s="12" t="s">
        <v>109</v>
      </c>
      <c r="Q355" s="13">
        <v>45049</v>
      </c>
      <c r="R355" s="13">
        <v>45069</v>
      </c>
      <c r="S355">
        <v>2023</v>
      </c>
      <c r="T355" s="12" t="s">
        <v>889</v>
      </c>
      <c r="U355">
        <v>76</v>
      </c>
      <c r="V355">
        <v>161.51509999999999</v>
      </c>
      <c r="W355">
        <v>256.16000000000003</v>
      </c>
      <c r="X355">
        <v>0</v>
      </c>
      <c r="Y355">
        <v>0</v>
      </c>
      <c r="Z355">
        <v>12275.15</v>
      </c>
      <c r="AA355">
        <v>12531.31</v>
      </c>
      <c r="AB355" s="12" t="s">
        <v>926</v>
      </c>
      <c r="AC355">
        <v>161.51509999999999</v>
      </c>
      <c r="AD355">
        <v>1</v>
      </c>
      <c r="AE355">
        <v>1</v>
      </c>
      <c r="AF355">
        <v>0</v>
      </c>
      <c r="AG355">
        <v>12275.15</v>
      </c>
      <c r="AH355">
        <v>76</v>
      </c>
      <c r="AI355">
        <v>76</v>
      </c>
      <c r="AJ355">
        <v>0</v>
      </c>
      <c r="AK355">
        <v>1</v>
      </c>
      <c r="AL355">
        <v>1</v>
      </c>
      <c r="AM355">
        <v>100</v>
      </c>
      <c r="AN355">
        <v>164.88560000000001</v>
      </c>
      <c r="AO355">
        <v>0</v>
      </c>
      <c r="AP355" s="13">
        <v>45067</v>
      </c>
      <c r="AQ355">
        <v>-2</v>
      </c>
      <c r="AR355">
        <v>1</v>
      </c>
    </row>
    <row r="356" spans="1:44" x14ac:dyDescent="0.35">
      <c r="A356" s="12" t="s">
        <v>927</v>
      </c>
      <c r="B356" s="12" t="s">
        <v>587</v>
      </c>
      <c r="C356" s="12" t="s">
        <v>588</v>
      </c>
      <c r="D356" s="12" t="s">
        <v>122</v>
      </c>
      <c r="E356" s="12" t="s">
        <v>104</v>
      </c>
      <c r="F356">
        <v>2</v>
      </c>
      <c r="G356">
        <v>0</v>
      </c>
      <c r="H356">
        <v>0</v>
      </c>
      <c r="I356" s="12" t="s">
        <v>486</v>
      </c>
      <c r="J356" s="12" t="s">
        <v>487</v>
      </c>
      <c r="K356" s="12" t="s">
        <v>125</v>
      </c>
      <c r="L356" s="12" t="s">
        <v>69</v>
      </c>
      <c r="M356">
        <v>36.86</v>
      </c>
      <c r="N356" s="12" t="s">
        <v>97</v>
      </c>
      <c r="O356" s="12" t="s">
        <v>98</v>
      </c>
      <c r="P356" s="12" t="s">
        <v>72</v>
      </c>
      <c r="Q356" s="13">
        <v>45049</v>
      </c>
      <c r="R356" s="13">
        <v>45073</v>
      </c>
      <c r="S356">
        <v>2023</v>
      </c>
      <c r="T356" s="12" t="s">
        <v>889</v>
      </c>
      <c r="U356">
        <v>1415</v>
      </c>
      <c r="V356">
        <v>12.517899999999999</v>
      </c>
      <c r="W356">
        <v>196.2</v>
      </c>
      <c r="X356">
        <v>0</v>
      </c>
      <c r="Y356">
        <v>0</v>
      </c>
      <c r="Z356">
        <v>17712.830000000002</v>
      </c>
      <c r="AA356">
        <v>17909.03</v>
      </c>
      <c r="AB356" s="12" t="s">
        <v>744</v>
      </c>
      <c r="AC356">
        <v>12.517899999999999</v>
      </c>
      <c r="AD356">
        <v>1</v>
      </c>
      <c r="AE356">
        <v>1</v>
      </c>
      <c r="AF356">
        <v>0</v>
      </c>
      <c r="AG356">
        <v>17712.830000000002</v>
      </c>
      <c r="AH356">
        <v>1415</v>
      </c>
      <c r="AI356">
        <v>1409</v>
      </c>
      <c r="AJ356">
        <v>6</v>
      </c>
      <c r="AK356">
        <v>1</v>
      </c>
      <c r="AL356">
        <v>1</v>
      </c>
      <c r="AM356">
        <v>99.58</v>
      </c>
      <c r="AN356">
        <v>12.7105</v>
      </c>
      <c r="AO356">
        <v>75.11</v>
      </c>
      <c r="AP356" s="13">
        <v>45075</v>
      </c>
      <c r="AQ356">
        <v>2</v>
      </c>
      <c r="AR356">
        <v>0</v>
      </c>
    </row>
    <row r="357" spans="1:44" x14ac:dyDescent="0.35">
      <c r="A357" s="12" t="s">
        <v>928</v>
      </c>
      <c r="B357" s="12" t="s">
        <v>802</v>
      </c>
      <c r="C357" s="12" t="s">
        <v>803</v>
      </c>
      <c r="D357" s="12" t="s">
        <v>114</v>
      </c>
      <c r="E357" s="12" t="s">
        <v>65</v>
      </c>
      <c r="F357">
        <v>3</v>
      </c>
      <c r="G357">
        <v>5</v>
      </c>
      <c r="H357">
        <v>0</v>
      </c>
      <c r="I357" s="12" t="s">
        <v>804</v>
      </c>
      <c r="J357" s="12" t="s">
        <v>342</v>
      </c>
      <c r="K357" s="12" t="s">
        <v>117</v>
      </c>
      <c r="L357" s="12" t="s">
        <v>69</v>
      </c>
      <c r="M357">
        <v>30.07</v>
      </c>
      <c r="N357" s="12" t="s">
        <v>97</v>
      </c>
      <c r="O357" s="12" t="s">
        <v>98</v>
      </c>
      <c r="P357" s="12" t="s">
        <v>72</v>
      </c>
      <c r="Q357" s="13">
        <v>45050</v>
      </c>
      <c r="R357" s="13">
        <v>45087</v>
      </c>
      <c r="S357">
        <v>2023</v>
      </c>
      <c r="T357" s="12" t="s">
        <v>889</v>
      </c>
      <c r="U357">
        <v>134</v>
      </c>
      <c r="V357">
        <v>350.71699999999998</v>
      </c>
      <c r="W357">
        <v>556.42999999999995</v>
      </c>
      <c r="X357">
        <v>0</v>
      </c>
      <c r="Y357">
        <v>0</v>
      </c>
      <c r="Z357">
        <v>46996.08</v>
      </c>
      <c r="AA357">
        <v>47552.51</v>
      </c>
      <c r="AB357" s="12" t="s">
        <v>805</v>
      </c>
      <c r="AC357">
        <v>362.99209999999999</v>
      </c>
      <c r="AD357">
        <v>2</v>
      </c>
      <c r="AE357">
        <v>1</v>
      </c>
      <c r="AF357">
        <v>-1644.86</v>
      </c>
      <c r="AG357">
        <v>48640.94</v>
      </c>
      <c r="AH357">
        <v>134</v>
      </c>
      <c r="AI357">
        <v>131</v>
      </c>
      <c r="AJ357">
        <v>3</v>
      </c>
      <c r="AK357">
        <v>1</v>
      </c>
      <c r="AL357">
        <v>1</v>
      </c>
      <c r="AM357">
        <v>97.76</v>
      </c>
      <c r="AN357">
        <v>362.99619999999999</v>
      </c>
      <c r="AO357">
        <v>1052.1500000000001</v>
      </c>
      <c r="AP357" s="13">
        <v>45087</v>
      </c>
      <c r="AQ357">
        <v>0</v>
      </c>
      <c r="AR357">
        <v>1</v>
      </c>
    </row>
    <row r="358" spans="1:44" x14ac:dyDescent="0.35">
      <c r="A358" s="12" t="s">
        <v>929</v>
      </c>
      <c r="B358" s="12" t="s">
        <v>548</v>
      </c>
      <c r="C358" s="12" t="s">
        <v>549</v>
      </c>
      <c r="D358" s="12" t="s">
        <v>78</v>
      </c>
      <c r="E358" s="12" t="s">
        <v>104</v>
      </c>
      <c r="F358">
        <v>3</v>
      </c>
      <c r="G358">
        <v>1</v>
      </c>
      <c r="H358">
        <v>0</v>
      </c>
      <c r="I358" s="12" t="s">
        <v>199</v>
      </c>
      <c r="J358" s="12" t="s">
        <v>200</v>
      </c>
      <c r="K358" s="12" t="s">
        <v>68</v>
      </c>
      <c r="L358" s="12" t="s">
        <v>96</v>
      </c>
      <c r="M358">
        <v>9.4700000000000006</v>
      </c>
      <c r="N358" s="12" t="s">
        <v>97</v>
      </c>
      <c r="O358" s="12" t="s">
        <v>98</v>
      </c>
      <c r="P358" s="12" t="s">
        <v>72</v>
      </c>
      <c r="Q358" s="13">
        <v>45050</v>
      </c>
      <c r="R358" s="13">
        <v>45066</v>
      </c>
      <c r="S358">
        <v>2023</v>
      </c>
      <c r="T358" s="12" t="s">
        <v>889</v>
      </c>
      <c r="U358">
        <v>107</v>
      </c>
      <c r="V358">
        <v>62.471600000000002</v>
      </c>
      <c r="W358">
        <v>156.43</v>
      </c>
      <c r="X358">
        <v>0</v>
      </c>
      <c r="Y358">
        <v>0</v>
      </c>
      <c r="Z358">
        <v>6684.46</v>
      </c>
      <c r="AA358">
        <v>6840.89</v>
      </c>
      <c r="AB358" s="12" t="s">
        <v>930</v>
      </c>
      <c r="AC358">
        <v>62.471600000000002</v>
      </c>
      <c r="AD358">
        <v>1</v>
      </c>
      <c r="AE358">
        <v>1</v>
      </c>
      <c r="AF358">
        <v>0</v>
      </c>
      <c r="AG358">
        <v>6684.46</v>
      </c>
      <c r="AH358">
        <v>107</v>
      </c>
      <c r="AI358">
        <v>104</v>
      </c>
      <c r="AJ358">
        <v>3</v>
      </c>
      <c r="AK358">
        <v>1</v>
      </c>
      <c r="AL358">
        <v>1</v>
      </c>
      <c r="AM358">
        <v>97.2</v>
      </c>
      <c r="AN358">
        <v>65.777799999999999</v>
      </c>
      <c r="AO358">
        <v>187.41</v>
      </c>
      <c r="AP358" s="13">
        <v>45067</v>
      </c>
      <c r="AQ358">
        <v>1</v>
      </c>
      <c r="AR358">
        <v>0</v>
      </c>
    </row>
    <row r="359" spans="1:44" x14ac:dyDescent="0.35">
      <c r="A359" s="12" t="s">
        <v>931</v>
      </c>
      <c r="B359" s="12" t="s">
        <v>416</v>
      </c>
      <c r="C359" s="12" t="s">
        <v>417</v>
      </c>
      <c r="D359" s="12" t="s">
        <v>78</v>
      </c>
      <c r="E359" s="12" t="s">
        <v>65</v>
      </c>
      <c r="F359">
        <v>3</v>
      </c>
      <c r="G359">
        <v>5</v>
      </c>
      <c r="H359">
        <v>0</v>
      </c>
      <c r="I359" s="12" t="s">
        <v>94</v>
      </c>
      <c r="J359" s="12" t="s">
        <v>95</v>
      </c>
      <c r="K359" s="12" t="s">
        <v>81</v>
      </c>
      <c r="L359" s="12" t="s">
        <v>96</v>
      </c>
      <c r="M359">
        <v>4.8099999999999996</v>
      </c>
      <c r="N359" s="12" t="s">
        <v>97</v>
      </c>
      <c r="O359" s="12" t="s">
        <v>98</v>
      </c>
      <c r="P359" s="12" t="s">
        <v>72</v>
      </c>
      <c r="Q359" s="13">
        <v>45050</v>
      </c>
      <c r="R359" s="13">
        <v>45071</v>
      </c>
      <c r="S359">
        <v>2023</v>
      </c>
      <c r="T359" s="12" t="s">
        <v>889</v>
      </c>
      <c r="U359">
        <v>49</v>
      </c>
      <c r="V359">
        <v>162.357</v>
      </c>
      <c r="W359">
        <v>119.32</v>
      </c>
      <c r="X359">
        <v>0</v>
      </c>
      <c r="Y359">
        <v>0</v>
      </c>
      <c r="Z359">
        <v>7955.49</v>
      </c>
      <c r="AA359">
        <v>8074.81</v>
      </c>
      <c r="AB359" s="12" t="s">
        <v>201</v>
      </c>
      <c r="AD359">
        <v>0</v>
      </c>
      <c r="AE359">
        <v>0</v>
      </c>
      <c r="AH359">
        <v>49</v>
      </c>
      <c r="AI359">
        <v>48</v>
      </c>
      <c r="AJ359">
        <v>1</v>
      </c>
      <c r="AK359">
        <v>1</v>
      </c>
      <c r="AL359">
        <v>1</v>
      </c>
      <c r="AM359">
        <v>97.96</v>
      </c>
      <c r="AN359">
        <v>168.2253</v>
      </c>
      <c r="AO359">
        <v>162.36000000000001</v>
      </c>
      <c r="AP359" s="13">
        <v>45077</v>
      </c>
      <c r="AQ359">
        <v>6</v>
      </c>
      <c r="AR359">
        <v>0</v>
      </c>
    </row>
    <row r="360" spans="1:44" x14ac:dyDescent="0.35">
      <c r="A360" s="12" t="s">
        <v>932</v>
      </c>
      <c r="B360" s="12" t="s">
        <v>513</v>
      </c>
      <c r="C360" s="12" t="s">
        <v>514</v>
      </c>
      <c r="D360" s="12" t="s">
        <v>269</v>
      </c>
      <c r="E360" s="12" t="s">
        <v>65</v>
      </c>
      <c r="F360">
        <v>1</v>
      </c>
      <c r="G360">
        <v>2</v>
      </c>
      <c r="H360">
        <v>1</v>
      </c>
      <c r="I360" s="12" t="s">
        <v>515</v>
      </c>
      <c r="J360" s="12" t="s">
        <v>516</v>
      </c>
      <c r="K360" s="12" t="s">
        <v>68</v>
      </c>
      <c r="L360" s="12" t="s">
        <v>134</v>
      </c>
      <c r="M360">
        <v>3.69</v>
      </c>
      <c r="N360" s="12" t="s">
        <v>159</v>
      </c>
      <c r="O360" s="12" t="s">
        <v>160</v>
      </c>
      <c r="P360" s="12" t="s">
        <v>137</v>
      </c>
      <c r="Q360" s="13">
        <v>45050</v>
      </c>
      <c r="R360" s="13">
        <v>45078</v>
      </c>
      <c r="S360">
        <v>2023</v>
      </c>
      <c r="T360" s="12" t="s">
        <v>889</v>
      </c>
      <c r="U360">
        <v>66</v>
      </c>
      <c r="V360">
        <v>241.35990000000001</v>
      </c>
      <c r="W360">
        <v>368.49</v>
      </c>
      <c r="X360">
        <v>0</v>
      </c>
      <c r="Y360">
        <v>0</v>
      </c>
      <c r="Z360">
        <v>15929.75</v>
      </c>
      <c r="AA360">
        <v>16298.24</v>
      </c>
      <c r="AB360" s="12" t="s">
        <v>517</v>
      </c>
      <c r="AC360">
        <v>229.3486</v>
      </c>
      <c r="AD360">
        <v>1</v>
      </c>
      <c r="AE360">
        <v>1</v>
      </c>
      <c r="AF360">
        <v>792.75</v>
      </c>
      <c r="AG360">
        <v>15137.01</v>
      </c>
      <c r="AH360">
        <v>66</v>
      </c>
      <c r="AI360">
        <v>65</v>
      </c>
      <c r="AJ360">
        <v>1</v>
      </c>
      <c r="AK360">
        <v>1</v>
      </c>
      <c r="AL360">
        <v>1</v>
      </c>
      <c r="AM360">
        <v>98.48</v>
      </c>
      <c r="AN360">
        <v>250.7422</v>
      </c>
      <c r="AO360">
        <v>241.36</v>
      </c>
      <c r="AP360" s="13">
        <v>45075</v>
      </c>
      <c r="AQ360">
        <v>-3</v>
      </c>
      <c r="AR360">
        <v>1</v>
      </c>
    </row>
    <row r="361" spans="1:44" x14ac:dyDescent="0.35">
      <c r="A361" s="12" t="s">
        <v>933</v>
      </c>
      <c r="B361" s="12" t="s">
        <v>331</v>
      </c>
      <c r="C361" s="12" t="s">
        <v>332</v>
      </c>
      <c r="D361" s="12" t="s">
        <v>122</v>
      </c>
      <c r="E361" s="12" t="s">
        <v>142</v>
      </c>
      <c r="F361">
        <v>3</v>
      </c>
      <c r="G361">
        <v>11</v>
      </c>
      <c r="H361">
        <v>0</v>
      </c>
      <c r="I361" s="12" t="s">
        <v>263</v>
      </c>
      <c r="J361" s="12" t="s">
        <v>264</v>
      </c>
      <c r="K361" s="12" t="s">
        <v>125</v>
      </c>
      <c r="L361" s="12" t="s">
        <v>82</v>
      </c>
      <c r="M361">
        <v>10.210000000000001</v>
      </c>
      <c r="N361" s="12" t="s">
        <v>70</v>
      </c>
      <c r="O361" s="12" t="s">
        <v>71</v>
      </c>
      <c r="P361" s="12" t="s">
        <v>72</v>
      </c>
      <c r="Q361" s="13">
        <v>45050</v>
      </c>
      <c r="R361" s="13">
        <v>45098</v>
      </c>
      <c r="S361">
        <v>2023</v>
      </c>
      <c r="T361" s="12" t="s">
        <v>889</v>
      </c>
      <c r="U361">
        <v>1507</v>
      </c>
      <c r="V361">
        <v>25.052199999999999</v>
      </c>
      <c r="W361">
        <v>338.76</v>
      </c>
      <c r="X361">
        <v>0</v>
      </c>
      <c r="Y361">
        <v>0</v>
      </c>
      <c r="Z361">
        <v>37753.67</v>
      </c>
      <c r="AA361">
        <v>38092.43</v>
      </c>
      <c r="AB361" s="12" t="s">
        <v>333</v>
      </c>
      <c r="AC361">
        <v>25.052199999999999</v>
      </c>
      <c r="AD361">
        <v>1</v>
      </c>
      <c r="AE361">
        <v>1</v>
      </c>
      <c r="AF361">
        <v>0</v>
      </c>
      <c r="AG361">
        <v>37753.67</v>
      </c>
      <c r="AH361">
        <v>1507</v>
      </c>
      <c r="AI361">
        <v>1491</v>
      </c>
      <c r="AJ361">
        <v>16</v>
      </c>
      <c r="AK361">
        <v>1</v>
      </c>
      <c r="AL361">
        <v>1</v>
      </c>
      <c r="AM361">
        <v>98.94</v>
      </c>
      <c r="AN361">
        <v>25.548200000000001</v>
      </c>
      <c r="AO361">
        <v>400.84</v>
      </c>
      <c r="AP361" s="13">
        <v>45097</v>
      </c>
      <c r="AQ361">
        <v>-1</v>
      </c>
      <c r="AR361">
        <v>1</v>
      </c>
    </row>
    <row r="362" spans="1:44" x14ac:dyDescent="0.35">
      <c r="A362" s="12" t="s">
        <v>934</v>
      </c>
      <c r="B362" s="12" t="s">
        <v>339</v>
      </c>
      <c r="C362" s="12" t="s">
        <v>340</v>
      </c>
      <c r="D362" s="12" t="s">
        <v>103</v>
      </c>
      <c r="E362" s="12" t="s">
        <v>142</v>
      </c>
      <c r="F362">
        <v>2</v>
      </c>
      <c r="G362">
        <v>9</v>
      </c>
      <c r="H362">
        <v>0</v>
      </c>
      <c r="I362" s="12" t="s">
        <v>169</v>
      </c>
      <c r="J362" s="12" t="s">
        <v>170</v>
      </c>
      <c r="K362" s="12" t="s">
        <v>89</v>
      </c>
      <c r="L362" s="12" t="s">
        <v>134</v>
      </c>
      <c r="M362">
        <v>1.37</v>
      </c>
      <c r="N362" s="12" t="s">
        <v>145</v>
      </c>
      <c r="O362" s="12" t="s">
        <v>146</v>
      </c>
      <c r="P362" s="12" t="s">
        <v>109</v>
      </c>
      <c r="Q362" s="13">
        <v>45050</v>
      </c>
      <c r="R362" s="13">
        <v>45096</v>
      </c>
      <c r="S362">
        <v>2023</v>
      </c>
      <c r="T362" s="12" t="s">
        <v>889</v>
      </c>
      <c r="U362">
        <v>102</v>
      </c>
      <c r="V362">
        <v>249.9879</v>
      </c>
      <c r="W362">
        <v>323.76</v>
      </c>
      <c r="X362">
        <v>0</v>
      </c>
      <c r="Y362">
        <v>0</v>
      </c>
      <c r="Z362">
        <v>25498.77</v>
      </c>
      <c r="AA362">
        <v>25822.53</v>
      </c>
      <c r="AB362" s="12" t="s">
        <v>345</v>
      </c>
      <c r="AC362">
        <v>249.9879</v>
      </c>
      <c r="AD362">
        <v>1</v>
      </c>
      <c r="AE362">
        <v>1</v>
      </c>
      <c r="AF362">
        <v>0</v>
      </c>
      <c r="AG362">
        <v>25498.77</v>
      </c>
      <c r="AH362">
        <v>102</v>
      </c>
      <c r="AI362">
        <v>101</v>
      </c>
      <c r="AJ362">
        <v>1</v>
      </c>
      <c r="AK362">
        <v>1</v>
      </c>
      <c r="AL362">
        <v>1</v>
      </c>
      <c r="AM362">
        <v>99.02</v>
      </c>
      <c r="AN362">
        <v>255.6686</v>
      </c>
      <c r="AO362">
        <v>249.99</v>
      </c>
      <c r="AP362" s="13">
        <v>45095</v>
      </c>
      <c r="AQ362">
        <v>-1</v>
      </c>
      <c r="AR362">
        <v>1</v>
      </c>
    </row>
    <row r="363" spans="1:44" x14ac:dyDescent="0.35">
      <c r="A363" s="12" t="s">
        <v>935</v>
      </c>
      <c r="B363" s="12" t="s">
        <v>490</v>
      </c>
      <c r="C363" s="12" t="s">
        <v>491</v>
      </c>
      <c r="D363" s="12" t="s">
        <v>130</v>
      </c>
      <c r="E363" s="12" t="s">
        <v>104</v>
      </c>
      <c r="F363">
        <v>3</v>
      </c>
      <c r="G363">
        <v>1</v>
      </c>
      <c r="H363">
        <v>0</v>
      </c>
      <c r="I363" s="12" t="s">
        <v>176</v>
      </c>
      <c r="J363" s="12" t="s">
        <v>177</v>
      </c>
      <c r="K363" s="12" t="s">
        <v>125</v>
      </c>
      <c r="L363" s="12" t="s">
        <v>134</v>
      </c>
      <c r="M363">
        <v>1.75</v>
      </c>
      <c r="N363" s="12" t="s">
        <v>135</v>
      </c>
      <c r="O363" s="12" t="s">
        <v>136</v>
      </c>
      <c r="P363" s="12" t="s">
        <v>137</v>
      </c>
      <c r="Q363" s="13">
        <v>45050</v>
      </c>
      <c r="R363" s="13">
        <v>45071</v>
      </c>
      <c r="S363">
        <v>2023</v>
      </c>
      <c r="T363" s="12" t="s">
        <v>889</v>
      </c>
      <c r="U363">
        <v>84</v>
      </c>
      <c r="V363">
        <v>297.19900000000001</v>
      </c>
      <c r="W363">
        <v>365.89</v>
      </c>
      <c r="X363">
        <v>0</v>
      </c>
      <c r="Y363">
        <v>0</v>
      </c>
      <c r="Z363">
        <v>24964.720000000001</v>
      </c>
      <c r="AA363">
        <v>25330.61</v>
      </c>
      <c r="AB363" s="12" t="s">
        <v>492</v>
      </c>
      <c r="AC363">
        <v>297.19900000000001</v>
      </c>
      <c r="AD363">
        <v>1</v>
      </c>
      <c r="AE363">
        <v>1</v>
      </c>
      <c r="AF363">
        <v>0</v>
      </c>
      <c r="AG363">
        <v>24964.720000000001</v>
      </c>
      <c r="AH363">
        <v>84</v>
      </c>
      <c r="AI363">
        <v>83</v>
      </c>
      <c r="AJ363">
        <v>1</v>
      </c>
      <c r="AK363">
        <v>1</v>
      </c>
      <c r="AL363">
        <v>1</v>
      </c>
      <c r="AM363">
        <v>98.81</v>
      </c>
      <c r="AN363">
        <v>305.18799999999999</v>
      </c>
      <c r="AO363">
        <v>297.2</v>
      </c>
      <c r="AP363" s="13">
        <v>45070</v>
      </c>
      <c r="AQ363">
        <v>-1</v>
      </c>
      <c r="AR363">
        <v>1</v>
      </c>
    </row>
    <row r="364" spans="1:44" x14ac:dyDescent="0.35">
      <c r="A364" s="12" t="s">
        <v>936</v>
      </c>
      <c r="B364" s="12" t="s">
        <v>490</v>
      </c>
      <c r="C364" s="12" t="s">
        <v>491</v>
      </c>
      <c r="D364" s="12" t="s">
        <v>130</v>
      </c>
      <c r="E364" s="12" t="s">
        <v>104</v>
      </c>
      <c r="F364">
        <v>3</v>
      </c>
      <c r="G364">
        <v>1</v>
      </c>
      <c r="H364">
        <v>0</v>
      </c>
      <c r="I364" s="12" t="s">
        <v>243</v>
      </c>
      <c r="J364" s="12" t="s">
        <v>244</v>
      </c>
      <c r="K364" s="12" t="s">
        <v>81</v>
      </c>
      <c r="L364" s="12" t="s">
        <v>82</v>
      </c>
      <c r="M364">
        <v>9.2200000000000006</v>
      </c>
      <c r="N364" s="12" t="s">
        <v>159</v>
      </c>
      <c r="O364" s="12" t="s">
        <v>160</v>
      </c>
      <c r="P364" s="12" t="s">
        <v>137</v>
      </c>
      <c r="Q364" s="13">
        <v>45050</v>
      </c>
      <c r="R364" s="13">
        <v>45065</v>
      </c>
      <c r="S364">
        <v>2023</v>
      </c>
      <c r="T364" s="12" t="s">
        <v>889</v>
      </c>
      <c r="U364">
        <v>38</v>
      </c>
      <c r="V364">
        <v>312.49079999999998</v>
      </c>
      <c r="W364">
        <v>84.37</v>
      </c>
      <c r="X364">
        <v>0</v>
      </c>
      <c r="Y364">
        <v>0</v>
      </c>
      <c r="Z364">
        <v>11874.65</v>
      </c>
      <c r="AA364">
        <v>11959.02</v>
      </c>
      <c r="AB364" s="12" t="s">
        <v>201</v>
      </c>
      <c r="AD364">
        <v>0</v>
      </c>
      <c r="AE364">
        <v>0</v>
      </c>
      <c r="AH364">
        <v>38</v>
      </c>
      <c r="AI364">
        <v>38</v>
      </c>
      <c r="AJ364">
        <v>0</v>
      </c>
      <c r="AK364">
        <v>1</v>
      </c>
      <c r="AL364">
        <v>1</v>
      </c>
      <c r="AM364">
        <v>100</v>
      </c>
      <c r="AN364">
        <v>314.71109999999999</v>
      </c>
      <c r="AO364">
        <v>0</v>
      </c>
      <c r="AP364" s="13">
        <v>45062</v>
      </c>
      <c r="AQ364">
        <v>-3</v>
      </c>
      <c r="AR364">
        <v>1</v>
      </c>
    </row>
    <row r="365" spans="1:44" x14ac:dyDescent="0.35">
      <c r="A365" s="12" t="s">
        <v>937</v>
      </c>
      <c r="B365" s="12" t="s">
        <v>193</v>
      </c>
      <c r="C365" s="12" t="s">
        <v>194</v>
      </c>
      <c r="D365" s="12" t="s">
        <v>114</v>
      </c>
      <c r="E365" s="12" t="s">
        <v>65</v>
      </c>
      <c r="F365">
        <v>3</v>
      </c>
      <c r="G365">
        <v>4</v>
      </c>
      <c r="H365">
        <v>0</v>
      </c>
      <c r="I365" s="12" t="s">
        <v>195</v>
      </c>
      <c r="J365" s="12" t="s">
        <v>196</v>
      </c>
      <c r="K365" s="12" t="s">
        <v>117</v>
      </c>
      <c r="L365" s="12" t="s">
        <v>134</v>
      </c>
      <c r="M365">
        <v>4.7699999999999996</v>
      </c>
      <c r="N365" s="12" t="s">
        <v>70</v>
      </c>
      <c r="O365" s="12" t="s">
        <v>71</v>
      </c>
      <c r="P365" s="12" t="s">
        <v>72</v>
      </c>
      <c r="Q365" s="13">
        <v>45050</v>
      </c>
      <c r="R365" s="13">
        <v>45078</v>
      </c>
      <c r="S365">
        <v>2023</v>
      </c>
      <c r="T365" s="12" t="s">
        <v>889</v>
      </c>
      <c r="U365">
        <v>65</v>
      </c>
      <c r="V365">
        <v>107.28270000000001</v>
      </c>
      <c r="W365">
        <v>47.84</v>
      </c>
      <c r="X365">
        <v>0</v>
      </c>
      <c r="Y365">
        <v>0</v>
      </c>
      <c r="Z365">
        <v>6973.38</v>
      </c>
      <c r="AA365">
        <v>7021.22</v>
      </c>
      <c r="AB365" s="12" t="s">
        <v>197</v>
      </c>
      <c r="AC365">
        <v>107.28270000000001</v>
      </c>
      <c r="AD365">
        <v>1</v>
      </c>
      <c r="AE365">
        <v>1</v>
      </c>
      <c r="AF365">
        <v>0</v>
      </c>
      <c r="AG365">
        <v>6973.38</v>
      </c>
      <c r="AH365">
        <v>65</v>
      </c>
      <c r="AI365">
        <v>64</v>
      </c>
      <c r="AJ365">
        <v>1</v>
      </c>
      <c r="AK365">
        <v>1</v>
      </c>
      <c r="AL365">
        <v>1</v>
      </c>
      <c r="AM365">
        <v>98.46</v>
      </c>
      <c r="AN365">
        <v>109.70650000000001</v>
      </c>
      <c r="AO365">
        <v>107.28</v>
      </c>
      <c r="AP365" s="13">
        <v>45076</v>
      </c>
      <c r="AQ365">
        <v>-2</v>
      </c>
      <c r="AR365">
        <v>1</v>
      </c>
    </row>
    <row r="366" spans="1:44" x14ac:dyDescent="0.35">
      <c r="A366" s="12" t="s">
        <v>938</v>
      </c>
      <c r="B366" s="12" t="s">
        <v>302</v>
      </c>
      <c r="C366" s="12" t="s">
        <v>303</v>
      </c>
      <c r="D366" s="12" t="s">
        <v>78</v>
      </c>
      <c r="E366" s="12" t="s">
        <v>65</v>
      </c>
      <c r="F366">
        <v>2</v>
      </c>
      <c r="G366">
        <v>3</v>
      </c>
      <c r="H366">
        <v>0</v>
      </c>
      <c r="I366" s="12" t="s">
        <v>335</v>
      </c>
      <c r="J366" s="12" t="s">
        <v>336</v>
      </c>
      <c r="K366" s="12" t="s">
        <v>89</v>
      </c>
      <c r="L366" s="12" t="s">
        <v>82</v>
      </c>
      <c r="M366">
        <v>16</v>
      </c>
      <c r="N366" s="12" t="s">
        <v>70</v>
      </c>
      <c r="O366" s="12" t="s">
        <v>71</v>
      </c>
      <c r="P366" s="12" t="s">
        <v>72</v>
      </c>
      <c r="Q366" s="13">
        <v>45050</v>
      </c>
      <c r="R366" s="13">
        <v>45079</v>
      </c>
      <c r="S366">
        <v>2023</v>
      </c>
      <c r="T366" s="12" t="s">
        <v>889</v>
      </c>
      <c r="U366">
        <v>161</v>
      </c>
      <c r="V366">
        <v>144.41300000000001</v>
      </c>
      <c r="W366">
        <v>457.61</v>
      </c>
      <c r="X366">
        <v>0</v>
      </c>
      <c r="Y366">
        <v>0</v>
      </c>
      <c r="Z366">
        <v>23250.49</v>
      </c>
      <c r="AA366">
        <v>23708.1</v>
      </c>
      <c r="AB366" s="12" t="s">
        <v>337</v>
      </c>
      <c r="AC366">
        <v>144.41300000000001</v>
      </c>
      <c r="AD366">
        <v>1</v>
      </c>
      <c r="AE366">
        <v>1</v>
      </c>
      <c r="AF366">
        <v>0</v>
      </c>
      <c r="AG366">
        <v>23250.49</v>
      </c>
      <c r="AH366">
        <v>161</v>
      </c>
      <c r="AI366">
        <v>158</v>
      </c>
      <c r="AJ366">
        <v>3</v>
      </c>
      <c r="AK366">
        <v>1</v>
      </c>
      <c r="AL366">
        <v>1</v>
      </c>
      <c r="AM366">
        <v>98.14</v>
      </c>
      <c r="AN366">
        <v>150.0513</v>
      </c>
      <c r="AO366">
        <v>433.24</v>
      </c>
      <c r="AP366" s="13">
        <v>45076</v>
      </c>
      <c r="AQ366">
        <v>-3</v>
      </c>
      <c r="AR366">
        <v>1</v>
      </c>
    </row>
    <row r="367" spans="1:44" x14ac:dyDescent="0.35">
      <c r="A367" s="12" t="s">
        <v>939</v>
      </c>
      <c r="B367" s="12" t="s">
        <v>458</v>
      </c>
      <c r="C367" s="12" t="s">
        <v>459</v>
      </c>
      <c r="D367" s="12" t="s">
        <v>64</v>
      </c>
      <c r="E367" s="12" t="s">
        <v>104</v>
      </c>
      <c r="F367">
        <v>2</v>
      </c>
      <c r="G367">
        <v>0</v>
      </c>
      <c r="H367">
        <v>0</v>
      </c>
      <c r="I367" s="12" t="s">
        <v>199</v>
      </c>
      <c r="J367" s="12" t="s">
        <v>200</v>
      </c>
      <c r="K367" s="12" t="s">
        <v>68</v>
      </c>
      <c r="L367" s="12" t="s">
        <v>96</v>
      </c>
      <c r="M367">
        <v>9.4700000000000006</v>
      </c>
      <c r="N367" s="12" t="s">
        <v>97</v>
      </c>
      <c r="O367" s="12" t="s">
        <v>98</v>
      </c>
      <c r="P367" s="12" t="s">
        <v>72</v>
      </c>
      <c r="Q367" s="13">
        <v>45050</v>
      </c>
      <c r="R367" s="13">
        <v>45067</v>
      </c>
      <c r="S367">
        <v>2023</v>
      </c>
      <c r="T367" s="12" t="s">
        <v>889</v>
      </c>
      <c r="U367">
        <v>390</v>
      </c>
      <c r="V367">
        <v>23.3308</v>
      </c>
      <c r="W367">
        <v>209.74</v>
      </c>
      <c r="X367">
        <v>0</v>
      </c>
      <c r="Y367">
        <v>0</v>
      </c>
      <c r="Z367">
        <v>9099.01</v>
      </c>
      <c r="AA367">
        <v>9308.75</v>
      </c>
      <c r="AB367" s="12" t="s">
        <v>460</v>
      </c>
      <c r="AC367">
        <v>24.782299999999999</v>
      </c>
      <c r="AD367">
        <v>1</v>
      </c>
      <c r="AE367">
        <v>1</v>
      </c>
      <c r="AF367">
        <v>-566.09</v>
      </c>
      <c r="AG367">
        <v>9665.1</v>
      </c>
      <c r="AH367">
        <v>390</v>
      </c>
      <c r="AI367">
        <v>384</v>
      </c>
      <c r="AJ367">
        <v>6</v>
      </c>
      <c r="AK367">
        <v>1</v>
      </c>
      <c r="AL367">
        <v>1</v>
      </c>
      <c r="AM367">
        <v>98.46</v>
      </c>
      <c r="AN367">
        <v>24.241499999999998</v>
      </c>
      <c r="AO367">
        <v>139.97999999999999</v>
      </c>
      <c r="AP367" s="13">
        <v>45064</v>
      </c>
      <c r="AQ367">
        <v>-3</v>
      </c>
      <c r="AR367">
        <v>1</v>
      </c>
    </row>
    <row r="368" spans="1:44" x14ac:dyDescent="0.35">
      <c r="A368" s="12" t="s">
        <v>940</v>
      </c>
      <c r="B368" s="12" t="s">
        <v>941</v>
      </c>
      <c r="C368" s="12" t="s">
        <v>942</v>
      </c>
      <c r="D368" s="12" t="s">
        <v>130</v>
      </c>
      <c r="E368" s="12" t="s">
        <v>104</v>
      </c>
      <c r="F368">
        <v>2</v>
      </c>
      <c r="G368">
        <v>0</v>
      </c>
      <c r="H368">
        <v>0</v>
      </c>
      <c r="I368" s="12" t="s">
        <v>131</v>
      </c>
      <c r="J368" s="12" t="s">
        <v>132</v>
      </c>
      <c r="K368" s="12" t="s">
        <v>133</v>
      </c>
      <c r="L368" s="12" t="s">
        <v>134</v>
      </c>
      <c r="M368">
        <v>1.51</v>
      </c>
      <c r="N368" s="12" t="s">
        <v>135</v>
      </c>
      <c r="O368" s="12" t="s">
        <v>136</v>
      </c>
      <c r="P368" s="12" t="s">
        <v>137</v>
      </c>
      <c r="Q368" s="13">
        <v>45050</v>
      </c>
      <c r="R368" s="13">
        <v>45063</v>
      </c>
      <c r="S368">
        <v>2023</v>
      </c>
      <c r="T368" s="12" t="s">
        <v>889</v>
      </c>
      <c r="U368">
        <v>21</v>
      </c>
      <c r="V368">
        <v>990.29020000000003</v>
      </c>
      <c r="W368">
        <v>474.22</v>
      </c>
      <c r="X368">
        <v>0</v>
      </c>
      <c r="Y368">
        <v>0</v>
      </c>
      <c r="Z368">
        <v>20796.09</v>
      </c>
      <c r="AA368">
        <v>21270.31</v>
      </c>
      <c r="AB368" s="12" t="s">
        <v>943</v>
      </c>
      <c r="AC368">
        <v>990.29020000000003</v>
      </c>
      <c r="AD368">
        <v>1</v>
      </c>
      <c r="AE368">
        <v>1</v>
      </c>
      <c r="AF368">
        <v>0</v>
      </c>
      <c r="AG368">
        <v>20796.09</v>
      </c>
      <c r="AH368">
        <v>21</v>
      </c>
      <c r="AI368">
        <v>19</v>
      </c>
      <c r="AJ368">
        <v>2</v>
      </c>
      <c r="AK368">
        <v>1</v>
      </c>
      <c r="AL368">
        <v>1</v>
      </c>
      <c r="AM368">
        <v>90.48</v>
      </c>
      <c r="AN368">
        <v>1119.4902</v>
      </c>
      <c r="AO368">
        <v>1980.58</v>
      </c>
      <c r="AP368" s="13">
        <v>45061</v>
      </c>
      <c r="AQ368">
        <v>-2</v>
      </c>
      <c r="AR368">
        <v>1</v>
      </c>
    </row>
    <row r="369" spans="1:44" x14ac:dyDescent="0.35">
      <c r="A369" s="12" t="s">
        <v>944</v>
      </c>
      <c r="B369" s="12" t="s">
        <v>215</v>
      </c>
      <c r="C369" s="12" t="s">
        <v>216</v>
      </c>
      <c r="D369" s="12" t="s">
        <v>122</v>
      </c>
      <c r="E369" s="12" t="s">
        <v>142</v>
      </c>
      <c r="F369">
        <v>3</v>
      </c>
      <c r="G369">
        <v>11</v>
      </c>
      <c r="H369">
        <v>0</v>
      </c>
      <c r="I369" s="12" t="s">
        <v>217</v>
      </c>
      <c r="J369" s="12" t="s">
        <v>218</v>
      </c>
      <c r="K369" s="12" t="s">
        <v>68</v>
      </c>
      <c r="L369" s="12" t="s">
        <v>82</v>
      </c>
      <c r="M369">
        <v>14.24</v>
      </c>
      <c r="N369" s="12" t="s">
        <v>97</v>
      </c>
      <c r="O369" s="12" t="s">
        <v>98</v>
      </c>
      <c r="P369" s="12" t="s">
        <v>72</v>
      </c>
      <c r="Q369" s="13">
        <v>45050</v>
      </c>
      <c r="R369" s="13">
        <v>45100</v>
      </c>
      <c r="S369">
        <v>2023</v>
      </c>
      <c r="T369" s="12" t="s">
        <v>889</v>
      </c>
      <c r="U369">
        <v>1719</v>
      </c>
      <c r="V369">
        <v>15.462199999999999</v>
      </c>
      <c r="W369">
        <v>669.76</v>
      </c>
      <c r="X369">
        <v>0</v>
      </c>
      <c r="Y369">
        <v>0</v>
      </c>
      <c r="Z369">
        <v>26579.52</v>
      </c>
      <c r="AA369">
        <v>27249.279999999999</v>
      </c>
      <c r="AB369" s="12" t="s">
        <v>219</v>
      </c>
      <c r="AC369">
        <v>15.462199999999999</v>
      </c>
      <c r="AD369">
        <v>1</v>
      </c>
      <c r="AE369">
        <v>1</v>
      </c>
      <c r="AF369">
        <v>0</v>
      </c>
      <c r="AG369">
        <v>26579.52</v>
      </c>
      <c r="AH369">
        <v>1719</v>
      </c>
      <c r="AI369">
        <v>1706</v>
      </c>
      <c r="AJ369">
        <v>13</v>
      </c>
      <c r="AK369">
        <v>1</v>
      </c>
      <c r="AL369">
        <v>1</v>
      </c>
      <c r="AM369">
        <v>99.24</v>
      </c>
      <c r="AN369">
        <v>15.9726</v>
      </c>
      <c r="AO369">
        <v>201.01</v>
      </c>
      <c r="AP369" s="13">
        <v>45099</v>
      </c>
      <c r="AQ369">
        <v>-1</v>
      </c>
      <c r="AR369">
        <v>1</v>
      </c>
    </row>
    <row r="370" spans="1:44" x14ac:dyDescent="0.35">
      <c r="A370" s="12" t="s">
        <v>945</v>
      </c>
      <c r="B370" s="12" t="s">
        <v>327</v>
      </c>
      <c r="C370" s="12" t="s">
        <v>328</v>
      </c>
      <c r="D370" s="12" t="s">
        <v>130</v>
      </c>
      <c r="E370" s="12" t="s">
        <v>104</v>
      </c>
      <c r="F370">
        <v>2</v>
      </c>
      <c r="G370">
        <v>0</v>
      </c>
      <c r="H370">
        <v>0</v>
      </c>
      <c r="I370" s="12" t="s">
        <v>94</v>
      </c>
      <c r="J370" s="12" t="s">
        <v>95</v>
      </c>
      <c r="K370" s="12" t="s">
        <v>81</v>
      </c>
      <c r="L370" s="12" t="s">
        <v>96</v>
      </c>
      <c r="M370">
        <v>4.8099999999999996</v>
      </c>
      <c r="N370" s="12" t="s">
        <v>135</v>
      </c>
      <c r="O370" s="12" t="s">
        <v>136</v>
      </c>
      <c r="P370" s="12" t="s">
        <v>137</v>
      </c>
      <c r="Q370" s="13">
        <v>45051</v>
      </c>
      <c r="R370" s="13">
        <v>45070</v>
      </c>
      <c r="S370">
        <v>2023</v>
      </c>
      <c r="T370" s="12" t="s">
        <v>889</v>
      </c>
      <c r="U370">
        <v>69</v>
      </c>
      <c r="V370">
        <v>762.93029999999999</v>
      </c>
      <c r="W370">
        <v>730.53</v>
      </c>
      <c r="X370">
        <v>0</v>
      </c>
      <c r="Y370">
        <v>0</v>
      </c>
      <c r="Z370">
        <v>52642.19</v>
      </c>
      <c r="AA370">
        <v>53372.72</v>
      </c>
      <c r="AB370" s="12" t="s">
        <v>329</v>
      </c>
      <c r="AC370">
        <v>762.93029999999999</v>
      </c>
      <c r="AD370">
        <v>1</v>
      </c>
      <c r="AE370">
        <v>1</v>
      </c>
      <c r="AF370">
        <v>0</v>
      </c>
      <c r="AG370">
        <v>52642.19</v>
      </c>
      <c r="AH370">
        <v>69</v>
      </c>
      <c r="AI370">
        <v>68</v>
      </c>
      <c r="AJ370">
        <v>1</v>
      </c>
      <c r="AK370">
        <v>1</v>
      </c>
      <c r="AL370">
        <v>1</v>
      </c>
      <c r="AM370">
        <v>98.55</v>
      </c>
      <c r="AN370">
        <v>784.89300000000003</v>
      </c>
      <c r="AO370">
        <v>762.93</v>
      </c>
      <c r="AP370" s="13">
        <v>45068</v>
      </c>
      <c r="AQ370">
        <v>-2</v>
      </c>
      <c r="AR370">
        <v>1</v>
      </c>
    </row>
    <row r="371" spans="1:44" x14ac:dyDescent="0.35">
      <c r="A371" s="12" t="s">
        <v>946</v>
      </c>
      <c r="B371" s="12" t="s">
        <v>347</v>
      </c>
      <c r="C371" s="12" t="s">
        <v>348</v>
      </c>
      <c r="D371" s="12" t="s">
        <v>78</v>
      </c>
      <c r="E371" s="12" t="s">
        <v>104</v>
      </c>
      <c r="F371">
        <v>3</v>
      </c>
      <c r="G371">
        <v>1</v>
      </c>
      <c r="H371">
        <v>0</v>
      </c>
      <c r="I371" s="12" t="s">
        <v>105</v>
      </c>
      <c r="J371" s="12" t="s">
        <v>106</v>
      </c>
      <c r="K371" s="12" t="s">
        <v>81</v>
      </c>
      <c r="L371" s="12" t="s">
        <v>96</v>
      </c>
      <c r="M371">
        <v>5.01</v>
      </c>
      <c r="N371" s="12" t="s">
        <v>70</v>
      </c>
      <c r="O371" s="12" t="s">
        <v>71</v>
      </c>
      <c r="P371" s="12" t="s">
        <v>72</v>
      </c>
      <c r="Q371" s="13">
        <v>45051</v>
      </c>
      <c r="R371" s="13">
        <v>45065</v>
      </c>
      <c r="S371">
        <v>2023</v>
      </c>
      <c r="T371" s="12" t="s">
        <v>889</v>
      </c>
      <c r="U371">
        <v>73</v>
      </c>
      <c r="V371">
        <v>103.45189999999999</v>
      </c>
      <c r="W371">
        <v>97.78</v>
      </c>
      <c r="X371">
        <v>0</v>
      </c>
      <c r="Y371">
        <v>0</v>
      </c>
      <c r="Z371">
        <v>7551.99</v>
      </c>
      <c r="AA371">
        <v>7649.77</v>
      </c>
      <c r="AB371" s="12" t="s">
        <v>841</v>
      </c>
      <c r="AC371">
        <v>100.34050000000001</v>
      </c>
      <c r="AD371">
        <v>1</v>
      </c>
      <c r="AE371">
        <v>1</v>
      </c>
      <c r="AF371">
        <v>227.13</v>
      </c>
      <c r="AG371">
        <v>7324.86</v>
      </c>
      <c r="AH371">
        <v>73</v>
      </c>
      <c r="AI371">
        <v>72</v>
      </c>
      <c r="AJ371">
        <v>1</v>
      </c>
      <c r="AK371">
        <v>1</v>
      </c>
      <c r="AL371">
        <v>1</v>
      </c>
      <c r="AM371">
        <v>98.63</v>
      </c>
      <c r="AN371">
        <v>106.24679999999999</v>
      </c>
      <c r="AO371">
        <v>103.45</v>
      </c>
      <c r="AP371" s="13">
        <v>45074</v>
      </c>
      <c r="AQ371">
        <v>9</v>
      </c>
      <c r="AR371">
        <v>0</v>
      </c>
    </row>
    <row r="372" spans="1:44" x14ac:dyDescent="0.35">
      <c r="A372" s="12" t="s">
        <v>947</v>
      </c>
      <c r="B372" s="12" t="s">
        <v>112</v>
      </c>
      <c r="C372" s="12" t="s">
        <v>113</v>
      </c>
      <c r="D372" s="12" t="s">
        <v>114</v>
      </c>
      <c r="E372" s="12" t="s">
        <v>104</v>
      </c>
      <c r="F372">
        <v>3</v>
      </c>
      <c r="G372">
        <v>1</v>
      </c>
      <c r="H372">
        <v>0</v>
      </c>
      <c r="I372" s="12" t="s">
        <v>227</v>
      </c>
      <c r="J372" s="12" t="s">
        <v>228</v>
      </c>
      <c r="K372" s="12" t="s">
        <v>89</v>
      </c>
      <c r="L372" s="12" t="s">
        <v>96</v>
      </c>
      <c r="M372">
        <v>9.15</v>
      </c>
      <c r="N372" s="12" t="s">
        <v>70</v>
      </c>
      <c r="O372" s="12" t="s">
        <v>71</v>
      </c>
      <c r="P372" s="12" t="s">
        <v>72</v>
      </c>
      <c r="Q372" s="13">
        <v>45051</v>
      </c>
      <c r="R372" s="13">
        <v>45065</v>
      </c>
      <c r="S372">
        <v>2023</v>
      </c>
      <c r="T372" s="12" t="s">
        <v>889</v>
      </c>
      <c r="U372">
        <v>25</v>
      </c>
      <c r="V372">
        <v>264.17590000000001</v>
      </c>
      <c r="W372">
        <v>115.95</v>
      </c>
      <c r="X372">
        <v>0</v>
      </c>
      <c r="Y372">
        <v>0</v>
      </c>
      <c r="Z372">
        <v>6604.4</v>
      </c>
      <c r="AA372">
        <v>6720.35</v>
      </c>
      <c r="AB372" s="12" t="s">
        <v>282</v>
      </c>
      <c r="AC372">
        <v>264.17590000000001</v>
      </c>
      <c r="AD372">
        <v>1</v>
      </c>
      <c r="AE372">
        <v>1</v>
      </c>
      <c r="AF372">
        <v>0</v>
      </c>
      <c r="AG372">
        <v>6604.4</v>
      </c>
      <c r="AH372">
        <v>25</v>
      </c>
      <c r="AI372">
        <v>24</v>
      </c>
      <c r="AJ372">
        <v>1</v>
      </c>
      <c r="AK372">
        <v>1</v>
      </c>
      <c r="AL372">
        <v>1</v>
      </c>
      <c r="AM372">
        <v>96</v>
      </c>
      <c r="AN372">
        <v>280.0145</v>
      </c>
      <c r="AO372">
        <v>264.18</v>
      </c>
      <c r="AP372" s="13">
        <v>45062</v>
      </c>
      <c r="AQ372">
        <v>-3</v>
      </c>
      <c r="AR372">
        <v>1</v>
      </c>
    </row>
    <row r="373" spans="1:44" x14ac:dyDescent="0.35">
      <c r="A373" s="12" t="s">
        <v>948</v>
      </c>
      <c r="B373" s="12" t="s">
        <v>167</v>
      </c>
      <c r="C373" s="12" t="s">
        <v>168</v>
      </c>
      <c r="D373" s="12" t="s">
        <v>64</v>
      </c>
      <c r="E373" s="12" t="s">
        <v>104</v>
      </c>
      <c r="F373">
        <v>3</v>
      </c>
      <c r="G373">
        <v>1</v>
      </c>
      <c r="H373">
        <v>0</v>
      </c>
      <c r="I373" s="12" t="s">
        <v>169</v>
      </c>
      <c r="J373" s="12" t="s">
        <v>170</v>
      </c>
      <c r="K373" s="12" t="s">
        <v>89</v>
      </c>
      <c r="L373" s="12" t="s">
        <v>134</v>
      </c>
      <c r="M373">
        <v>1.37</v>
      </c>
      <c r="N373" s="12" t="s">
        <v>70</v>
      </c>
      <c r="O373" s="12" t="s">
        <v>71</v>
      </c>
      <c r="P373" s="12" t="s">
        <v>72</v>
      </c>
      <c r="Q373" s="13">
        <v>45051</v>
      </c>
      <c r="R373" s="13">
        <v>45080</v>
      </c>
      <c r="S373">
        <v>2023</v>
      </c>
      <c r="T373" s="12" t="s">
        <v>889</v>
      </c>
      <c r="U373">
        <v>979</v>
      </c>
      <c r="V373">
        <v>27.002700000000001</v>
      </c>
      <c r="W373">
        <v>254.2</v>
      </c>
      <c r="X373">
        <v>0</v>
      </c>
      <c r="Y373">
        <v>0</v>
      </c>
      <c r="Z373">
        <v>26435.64</v>
      </c>
      <c r="AA373">
        <v>26689.84</v>
      </c>
      <c r="AB373" s="12" t="s">
        <v>171</v>
      </c>
      <c r="AC373">
        <v>28.7181</v>
      </c>
      <c r="AD373">
        <v>1</v>
      </c>
      <c r="AE373">
        <v>1</v>
      </c>
      <c r="AF373">
        <v>-1679.38</v>
      </c>
      <c r="AG373">
        <v>28115.02</v>
      </c>
      <c r="AH373">
        <v>979</v>
      </c>
      <c r="AI373">
        <v>973</v>
      </c>
      <c r="AJ373">
        <v>6</v>
      </c>
      <c r="AK373">
        <v>1</v>
      </c>
      <c r="AL373">
        <v>1</v>
      </c>
      <c r="AM373">
        <v>99.39</v>
      </c>
      <c r="AN373">
        <v>27.430499999999999</v>
      </c>
      <c r="AO373">
        <v>162.02000000000001</v>
      </c>
      <c r="AP373" s="13">
        <v>45077</v>
      </c>
      <c r="AQ373">
        <v>-3</v>
      </c>
      <c r="AR373">
        <v>1</v>
      </c>
    </row>
    <row r="374" spans="1:44" x14ac:dyDescent="0.35">
      <c r="A374" s="12" t="s">
        <v>949</v>
      </c>
      <c r="B374" s="12" t="s">
        <v>249</v>
      </c>
      <c r="C374" s="12" t="s">
        <v>250</v>
      </c>
      <c r="D374" s="12" t="s">
        <v>64</v>
      </c>
      <c r="E374" s="12" t="s">
        <v>65</v>
      </c>
      <c r="F374">
        <v>2</v>
      </c>
      <c r="G374">
        <v>3</v>
      </c>
      <c r="H374">
        <v>0</v>
      </c>
      <c r="I374" s="12" t="s">
        <v>251</v>
      </c>
      <c r="J374" s="12" t="s">
        <v>252</v>
      </c>
      <c r="K374" s="12" t="s">
        <v>133</v>
      </c>
      <c r="L374" s="12" t="s">
        <v>69</v>
      </c>
      <c r="M374">
        <v>34.49</v>
      </c>
      <c r="N374" s="12" t="s">
        <v>70</v>
      </c>
      <c r="O374" s="12" t="s">
        <v>71</v>
      </c>
      <c r="P374" s="12" t="s">
        <v>72</v>
      </c>
      <c r="Q374" s="13">
        <v>45051</v>
      </c>
      <c r="R374" s="13">
        <v>45089</v>
      </c>
      <c r="S374">
        <v>2023</v>
      </c>
      <c r="T374" s="12" t="s">
        <v>889</v>
      </c>
      <c r="U374">
        <v>955</v>
      </c>
      <c r="V374">
        <v>10.6486</v>
      </c>
      <c r="W374">
        <v>100.13</v>
      </c>
      <c r="X374">
        <v>0</v>
      </c>
      <c r="Y374">
        <v>0</v>
      </c>
      <c r="Z374">
        <v>10169.41</v>
      </c>
      <c r="AA374">
        <v>10269.540000000001</v>
      </c>
      <c r="AB374" s="12" t="s">
        <v>253</v>
      </c>
      <c r="AC374">
        <v>10.6486</v>
      </c>
      <c r="AD374">
        <v>1</v>
      </c>
      <c r="AE374">
        <v>1</v>
      </c>
      <c r="AF374">
        <v>0</v>
      </c>
      <c r="AG374">
        <v>10169.41</v>
      </c>
      <c r="AH374">
        <v>955</v>
      </c>
      <c r="AI374">
        <v>949</v>
      </c>
      <c r="AJ374">
        <v>6</v>
      </c>
      <c r="AK374">
        <v>1</v>
      </c>
      <c r="AL374">
        <v>1</v>
      </c>
      <c r="AM374">
        <v>99.37</v>
      </c>
      <c r="AN374">
        <v>10.821400000000001</v>
      </c>
      <c r="AO374">
        <v>63.89</v>
      </c>
      <c r="AP374" s="13">
        <v>45088</v>
      </c>
      <c r="AQ374">
        <v>-1</v>
      </c>
      <c r="AR374">
        <v>1</v>
      </c>
    </row>
    <row r="375" spans="1:44" x14ac:dyDescent="0.35">
      <c r="A375" s="12" t="s">
        <v>950</v>
      </c>
      <c r="B375" s="12" t="s">
        <v>420</v>
      </c>
      <c r="C375" s="12" t="s">
        <v>421</v>
      </c>
      <c r="D375" s="12" t="s">
        <v>269</v>
      </c>
      <c r="E375" s="12" t="s">
        <v>104</v>
      </c>
      <c r="F375">
        <v>2</v>
      </c>
      <c r="G375">
        <v>0</v>
      </c>
      <c r="H375">
        <v>0</v>
      </c>
      <c r="I375" s="12" t="s">
        <v>380</v>
      </c>
      <c r="J375" s="12" t="s">
        <v>381</v>
      </c>
      <c r="K375" s="12" t="s">
        <v>89</v>
      </c>
      <c r="L375" s="12" t="s">
        <v>96</v>
      </c>
      <c r="M375">
        <v>10.210000000000001</v>
      </c>
      <c r="N375" s="12" t="s">
        <v>159</v>
      </c>
      <c r="O375" s="12" t="s">
        <v>160</v>
      </c>
      <c r="P375" s="12" t="s">
        <v>137</v>
      </c>
      <c r="Q375" s="13">
        <v>45051</v>
      </c>
      <c r="R375" s="13">
        <v>45063</v>
      </c>
      <c r="S375">
        <v>2023</v>
      </c>
      <c r="T375" s="12" t="s">
        <v>889</v>
      </c>
      <c r="U375">
        <v>15</v>
      </c>
      <c r="V375">
        <v>152.56870000000001</v>
      </c>
      <c r="W375">
        <v>36.729999999999997</v>
      </c>
      <c r="X375">
        <v>0</v>
      </c>
      <c r="Y375">
        <v>0</v>
      </c>
      <c r="Z375">
        <v>2288.5300000000002</v>
      </c>
      <c r="AA375">
        <v>2325.2600000000002</v>
      </c>
      <c r="AB375" s="12" t="s">
        <v>422</v>
      </c>
      <c r="AC375">
        <v>146.53960000000001</v>
      </c>
      <c r="AD375">
        <v>1</v>
      </c>
      <c r="AE375">
        <v>1</v>
      </c>
      <c r="AF375">
        <v>90.44</v>
      </c>
      <c r="AG375">
        <v>2198.09</v>
      </c>
      <c r="AH375">
        <v>15</v>
      </c>
      <c r="AI375">
        <v>15</v>
      </c>
      <c r="AJ375">
        <v>0</v>
      </c>
      <c r="AK375">
        <v>1</v>
      </c>
      <c r="AL375">
        <v>1</v>
      </c>
      <c r="AM375">
        <v>100</v>
      </c>
      <c r="AN375">
        <v>155.01740000000001</v>
      </c>
      <c r="AO375">
        <v>0</v>
      </c>
      <c r="AP375" s="13">
        <v>45068</v>
      </c>
      <c r="AQ375">
        <v>5</v>
      </c>
      <c r="AR375">
        <v>0</v>
      </c>
    </row>
    <row r="376" spans="1:44" x14ac:dyDescent="0.35">
      <c r="A376" s="12" t="s">
        <v>951</v>
      </c>
      <c r="B376" s="12" t="s">
        <v>952</v>
      </c>
      <c r="C376" s="12" t="s">
        <v>953</v>
      </c>
      <c r="D376" s="12" t="s">
        <v>64</v>
      </c>
      <c r="E376" s="12" t="s">
        <v>142</v>
      </c>
      <c r="F376">
        <v>1</v>
      </c>
      <c r="G376">
        <v>8</v>
      </c>
      <c r="H376">
        <v>1</v>
      </c>
      <c r="I376" s="12" t="s">
        <v>131</v>
      </c>
      <c r="J376" s="12" t="s">
        <v>132</v>
      </c>
      <c r="K376" s="12" t="s">
        <v>133</v>
      </c>
      <c r="L376" s="12" t="s">
        <v>134</v>
      </c>
      <c r="M376">
        <v>1.51</v>
      </c>
      <c r="N376" s="12" t="s">
        <v>70</v>
      </c>
      <c r="O376" s="12" t="s">
        <v>71</v>
      </c>
      <c r="P376" s="12" t="s">
        <v>72</v>
      </c>
      <c r="Q376" s="13">
        <v>45051</v>
      </c>
      <c r="R376" s="13">
        <v>45094</v>
      </c>
      <c r="S376">
        <v>2023</v>
      </c>
      <c r="T376" s="12" t="s">
        <v>889</v>
      </c>
      <c r="U376">
        <v>548</v>
      </c>
      <c r="V376">
        <v>31.146599999999999</v>
      </c>
      <c r="W376">
        <v>195.89</v>
      </c>
      <c r="X376">
        <v>0</v>
      </c>
      <c r="Y376">
        <v>0</v>
      </c>
      <c r="Z376">
        <v>17068.34</v>
      </c>
      <c r="AA376">
        <v>17264.23</v>
      </c>
      <c r="AB376" s="12" t="s">
        <v>954</v>
      </c>
      <c r="AC376">
        <v>31.146599999999999</v>
      </c>
      <c r="AD376">
        <v>1</v>
      </c>
      <c r="AE376">
        <v>1</v>
      </c>
      <c r="AF376">
        <v>0</v>
      </c>
      <c r="AG376">
        <v>17068.34</v>
      </c>
      <c r="AH376">
        <v>548</v>
      </c>
      <c r="AI376">
        <v>542</v>
      </c>
      <c r="AJ376">
        <v>6</v>
      </c>
      <c r="AK376">
        <v>1</v>
      </c>
      <c r="AL376">
        <v>1</v>
      </c>
      <c r="AM376">
        <v>98.91</v>
      </c>
      <c r="AN376">
        <v>31.852799999999998</v>
      </c>
      <c r="AO376">
        <v>186.88</v>
      </c>
      <c r="AP376" s="13">
        <v>45090</v>
      </c>
      <c r="AQ376">
        <v>-4</v>
      </c>
      <c r="AR376">
        <v>1</v>
      </c>
    </row>
    <row r="377" spans="1:44" x14ac:dyDescent="0.35">
      <c r="A377" s="12" t="s">
        <v>955</v>
      </c>
      <c r="B377" s="12" t="s">
        <v>732</v>
      </c>
      <c r="C377" s="12" t="s">
        <v>733</v>
      </c>
      <c r="D377" s="12" t="s">
        <v>114</v>
      </c>
      <c r="E377" s="12" t="s">
        <v>104</v>
      </c>
      <c r="F377">
        <v>3</v>
      </c>
      <c r="G377">
        <v>1</v>
      </c>
      <c r="H377">
        <v>0</v>
      </c>
      <c r="I377" s="12" t="s">
        <v>199</v>
      </c>
      <c r="J377" s="12" t="s">
        <v>200</v>
      </c>
      <c r="K377" s="12" t="s">
        <v>68</v>
      </c>
      <c r="L377" s="12" t="s">
        <v>96</v>
      </c>
      <c r="M377">
        <v>9.4700000000000006</v>
      </c>
      <c r="N377" s="12" t="s">
        <v>97</v>
      </c>
      <c r="O377" s="12" t="s">
        <v>98</v>
      </c>
      <c r="P377" s="12" t="s">
        <v>72</v>
      </c>
      <c r="Q377" s="13">
        <v>45051</v>
      </c>
      <c r="R377" s="13">
        <v>45077</v>
      </c>
      <c r="S377">
        <v>2023</v>
      </c>
      <c r="T377" s="12" t="s">
        <v>889</v>
      </c>
      <c r="U377">
        <v>120</v>
      </c>
      <c r="V377">
        <v>314.15269999999998</v>
      </c>
      <c r="W377">
        <v>938.66</v>
      </c>
      <c r="X377">
        <v>0</v>
      </c>
      <c r="Y377">
        <v>0</v>
      </c>
      <c r="Z377">
        <v>37698.32</v>
      </c>
      <c r="AA377">
        <v>38636.980000000003</v>
      </c>
      <c r="AB377" s="12" t="s">
        <v>734</v>
      </c>
      <c r="AC377">
        <v>314.15269999999998</v>
      </c>
      <c r="AD377">
        <v>1</v>
      </c>
      <c r="AE377">
        <v>1</v>
      </c>
      <c r="AF377">
        <v>0</v>
      </c>
      <c r="AG377">
        <v>37698.32</v>
      </c>
      <c r="AH377">
        <v>120</v>
      </c>
      <c r="AI377">
        <v>118</v>
      </c>
      <c r="AJ377">
        <v>2</v>
      </c>
      <c r="AK377">
        <v>1</v>
      </c>
      <c r="AL377">
        <v>1</v>
      </c>
      <c r="AM377">
        <v>98.33</v>
      </c>
      <c r="AN377">
        <v>327.43209999999999</v>
      </c>
      <c r="AO377">
        <v>628.30999999999995</v>
      </c>
      <c r="AP377" s="13">
        <v>45075</v>
      </c>
      <c r="AQ377">
        <v>-2</v>
      </c>
      <c r="AR377">
        <v>1</v>
      </c>
    </row>
    <row r="378" spans="1:44" x14ac:dyDescent="0.35">
      <c r="A378" s="12" t="s">
        <v>956</v>
      </c>
      <c r="B378" s="12" t="s">
        <v>957</v>
      </c>
      <c r="C378" s="12" t="s">
        <v>958</v>
      </c>
      <c r="D378" s="12" t="s">
        <v>103</v>
      </c>
      <c r="E378" s="12" t="s">
        <v>142</v>
      </c>
      <c r="F378">
        <v>1</v>
      </c>
      <c r="G378">
        <v>7</v>
      </c>
      <c r="H378">
        <v>1</v>
      </c>
      <c r="I378" s="12" t="s">
        <v>183</v>
      </c>
      <c r="J378" s="12" t="s">
        <v>184</v>
      </c>
      <c r="K378" s="12" t="s">
        <v>133</v>
      </c>
      <c r="L378" s="12" t="s">
        <v>82</v>
      </c>
      <c r="M378">
        <v>8.6199999999999992</v>
      </c>
      <c r="N378" s="12" t="s">
        <v>145</v>
      </c>
      <c r="O378" s="12" t="s">
        <v>146</v>
      </c>
      <c r="P378" s="12" t="s">
        <v>109</v>
      </c>
      <c r="Q378" s="13">
        <v>45051</v>
      </c>
      <c r="R378" s="13">
        <v>45086</v>
      </c>
      <c r="S378">
        <v>2023</v>
      </c>
      <c r="T378" s="12" t="s">
        <v>889</v>
      </c>
      <c r="U378">
        <v>16</v>
      </c>
      <c r="V378">
        <v>199.1737</v>
      </c>
      <c r="W378">
        <v>33.31</v>
      </c>
      <c r="X378">
        <v>0</v>
      </c>
      <c r="Y378">
        <v>0</v>
      </c>
      <c r="Z378">
        <v>3186.78</v>
      </c>
      <c r="AA378">
        <v>3220.09</v>
      </c>
      <c r="AB378" s="12" t="s">
        <v>959</v>
      </c>
      <c r="AC378">
        <v>199.1737</v>
      </c>
      <c r="AD378">
        <v>1</v>
      </c>
      <c r="AE378">
        <v>1</v>
      </c>
      <c r="AF378">
        <v>0</v>
      </c>
      <c r="AG378">
        <v>3186.78</v>
      </c>
      <c r="AH378">
        <v>16</v>
      </c>
      <c r="AI378">
        <v>16</v>
      </c>
      <c r="AJ378">
        <v>0</v>
      </c>
      <c r="AK378">
        <v>1</v>
      </c>
      <c r="AL378">
        <v>1</v>
      </c>
      <c r="AM378">
        <v>100</v>
      </c>
      <c r="AN378">
        <v>201.25559999999999</v>
      </c>
      <c r="AO378">
        <v>0</v>
      </c>
      <c r="AP378" s="13">
        <v>45092</v>
      </c>
      <c r="AQ378">
        <v>6</v>
      </c>
      <c r="AR378">
        <v>0</v>
      </c>
    </row>
    <row r="379" spans="1:44" x14ac:dyDescent="0.35">
      <c r="A379" s="12" t="s">
        <v>960</v>
      </c>
      <c r="B379" s="12" t="s">
        <v>498</v>
      </c>
      <c r="C379" s="12" t="s">
        <v>499</v>
      </c>
      <c r="D379" s="12" t="s">
        <v>175</v>
      </c>
      <c r="E379" s="12" t="s">
        <v>104</v>
      </c>
      <c r="F379">
        <v>3</v>
      </c>
      <c r="G379">
        <v>1</v>
      </c>
      <c r="H379">
        <v>0</v>
      </c>
      <c r="I379" s="12" t="s">
        <v>676</v>
      </c>
      <c r="J379" s="12" t="s">
        <v>677</v>
      </c>
      <c r="K379" s="12" t="s">
        <v>68</v>
      </c>
      <c r="L379" s="12" t="s">
        <v>96</v>
      </c>
      <c r="M379">
        <v>3.57</v>
      </c>
      <c r="N379" s="12" t="s">
        <v>145</v>
      </c>
      <c r="O379" s="12" t="s">
        <v>146</v>
      </c>
      <c r="P379" s="12" t="s">
        <v>109</v>
      </c>
      <c r="Q379" s="13">
        <v>45051</v>
      </c>
      <c r="R379" s="13">
        <v>45071</v>
      </c>
      <c r="S379">
        <v>2023</v>
      </c>
      <c r="T379" s="12" t="s">
        <v>889</v>
      </c>
      <c r="U379">
        <v>77</v>
      </c>
      <c r="V379">
        <v>275.12700000000001</v>
      </c>
      <c r="W379">
        <v>394.43</v>
      </c>
      <c r="X379">
        <v>0</v>
      </c>
      <c r="Y379">
        <v>0</v>
      </c>
      <c r="Z379">
        <v>21184.78</v>
      </c>
      <c r="AA379">
        <v>21579.21</v>
      </c>
      <c r="AB379" s="12" t="s">
        <v>722</v>
      </c>
      <c r="AC379">
        <v>275.12700000000001</v>
      </c>
      <c r="AD379">
        <v>1</v>
      </c>
      <c r="AE379">
        <v>1</v>
      </c>
      <c r="AF379">
        <v>0</v>
      </c>
      <c r="AG379">
        <v>21184.78</v>
      </c>
      <c r="AH379">
        <v>77</v>
      </c>
      <c r="AI379">
        <v>76</v>
      </c>
      <c r="AJ379">
        <v>1</v>
      </c>
      <c r="AK379">
        <v>1</v>
      </c>
      <c r="AL379">
        <v>1</v>
      </c>
      <c r="AM379">
        <v>98.7</v>
      </c>
      <c r="AN379">
        <v>283.93700000000001</v>
      </c>
      <c r="AO379">
        <v>275.13</v>
      </c>
      <c r="AP379" s="13">
        <v>45071</v>
      </c>
      <c r="AQ379">
        <v>0</v>
      </c>
      <c r="AR379">
        <v>1</v>
      </c>
    </row>
    <row r="380" spans="1:44" x14ac:dyDescent="0.35">
      <c r="A380" s="12" t="s">
        <v>961</v>
      </c>
      <c r="B380" s="12" t="s">
        <v>766</v>
      </c>
      <c r="C380" s="12" t="s">
        <v>767</v>
      </c>
      <c r="D380" s="12" t="s">
        <v>175</v>
      </c>
      <c r="E380" s="12" t="s">
        <v>65</v>
      </c>
      <c r="F380">
        <v>3</v>
      </c>
      <c r="G380">
        <v>5</v>
      </c>
      <c r="H380">
        <v>0</v>
      </c>
      <c r="I380" s="12" t="s">
        <v>87</v>
      </c>
      <c r="J380" s="12" t="s">
        <v>88</v>
      </c>
      <c r="K380" s="12" t="s">
        <v>89</v>
      </c>
      <c r="L380" s="12" t="s">
        <v>69</v>
      </c>
      <c r="M380">
        <v>14.93</v>
      </c>
      <c r="N380" s="12" t="s">
        <v>145</v>
      </c>
      <c r="O380" s="12" t="s">
        <v>146</v>
      </c>
      <c r="P380" s="12" t="s">
        <v>109</v>
      </c>
      <c r="Q380" s="13">
        <v>45054</v>
      </c>
      <c r="R380" s="13">
        <v>45077</v>
      </c>
      <c r="S380">
        <v>2023</v>
      </c>
      <c r="T380" s="12" t="s">
        <v>889</v>
      </c>
      <c r="U380">
        <v>30</v>
      </c>
      <c r="V380">
        <v>86.977900000000005</v>
      </c>
      <c r="W380">
        <v>48.82</v>
      </c>
      <c r="X380">
        <v>0</v>
      </c>
      <c r="Y380">
        <v>0</v>
      </c>
      <c r="Z380">
        <v>2609.34</v>
      </c>
      <c r="AA380">
        <v>2658.16</v>
      </c>
      <c r="AB380" s="12" t="s">
        <v>768</v>
      </c>
      <c r="AC380">
        <v>86.977900000000005</v>
      </c>
      <c r="AD380">
        <v>1</v>
      </c>
      <c r="AE380">
        <v>1</v>
      </c>
      <c r="AF380">
        <v>0</v>
      </c>
      <c r="AG380">
        <v>2609.34</v>
      </c>
      <c r="AH380">
        <v>30</v>
      </c>
      <c r="AI380">
        <v>30</v>
      </c>
      <c r="AJ380">
        <v>0</v>
      </c>
      <c r="AK380">
        <v>1</v>
      </c>
      <c r="AL380">
        <v>1</v>
      </c>
      <c r="AM380">
        <v>100</v>
      </c>
      <c r="AN380">
        <v>88.605199999999996</v>
      </c>
      <c r="AO380">
        <v>0</v>
      </c>
      <c r="AP380" s="13">
        <v>45076</v>
      </c>
      <c r="AQ380">
        <v>-1</v>
      </c>
      <c r="AR380">
        <v>1</v>
      </c>
    </row>
    <row r="381" spans="1:44" x14ac:dyDescent="0.35">
      <c r="A381" s="12" t="s">
        <v>962</v>
      </c>
      <c r="B381" s="12" t="s">
        <v>963</v>
      </c>
      <c r="C381" s="12" t="s">
        <v>964</v>
      </c>
      <c r="D381" s="12" t="s">
        <v>114</v>
      </c>
      <c r="E381" s="12" t="s">
        <v>142</v>
      </c>
      <c r="F381">
        <v>1</v>
      </c>
      <c r="G381">
        <v>6</v>
      </c>
      <c r="H381">
        <v>1</v>
      </c>
      <c r="I381" s="12" t="s">
        <v>176</v>
      </c>
      <c r="J381" s="12" t="s">
        <v>177</v>
      </c>
      <c r="K381" s="12" t="s">
        <v>125</v>
      </c>
      <c r="L381" s="12" t="s">
        <v>134</v>
      </c>
      <c r="M381">
        <v>1.75</v>
      </c>
      <c r="N381" s="12" t="s">
        <v>70</v>
      </c>
      <c r="O381" s="12" t="s">
        <v>71</v>
      </c>
      <c r="P381" s="12" t="s">
        <v>72</v>
      </c>
      <c r="Q381" s="13">
        <v>45054</v>
      </c>
      <c r="R381" s="13">
        <v>45092</v>
      </c>
      <c r="S381">
        <v>2023</v>
      </c>
      <c r="T381" s="12" t="s">
        <v>889</v>
      </c>
      <c r="U381">
        <v>40</v>
      </c>
      <c r="V381">
        <v>194.73220000000001</v>
      </c>
      <c r="W381">
        <v>199.09</v>
      </c>
      <c r="X381">
        <v>0</v>
      </c>
      <c r="Y381">
        <v>0</v>
      </c>
      <c r="Z381">
        <v>7789.29</v>
      </c>
      <c r="AA381">
        <v>7988.38</v>
      </c>
      <c r="AB381" s="12" t="s">
        <v>965</v>
      </c>
      <c r="AC381">
        <v>194.73220000000001</v>
      </c>
      <c r="AD381">
        <v>1</v>
      </c>
      <c r="AE381">
        <v>1</v>
      </c>
      <c r="AF381">
        <v>0</v>
      </c>
      <c r="AG381">
        <v>7789.29</v>
      </c>
      <c r="AH381">
        <v>40</v>
      </c>
      <c r="AI381">
        <v>40</v>
      </c>
      <c r="AJ381">
        <v>0</v>
      </c>
      <c r="AK381">
        <v>1</v>
      </c>
      <c r="AL381">
        <v>1</v>
      </c>
      <c r="AM381">
        <v>100</v>
      </c>
      <c r="AN381">
        <v>199.70949999999999</v>
      </c>
      <c r="AO381">
        <v>0</v>
      </c>
      <c r="AP381" s="13">
        <v>45092</v>
      </c>
      <c r="AQ381">
        <v>0</v>
      </c>
      <c r="AR381">
        <v>1</v>
      </c>
    </row>
    <row r="382" spans="1:44" x14ac:dyDescent="0.35">
      <c r="A382" s="12" t="s">
        <v>966</v>
      </c>
      <c r="B382" s="12" t="s">
        <v>241</v>
      </c>
      <c r="C382" s="12" t="s">
        <v>242</v>
      </c>
      <c r="D382" s="12" t="s">
        <v>103</v>
      </c>
      <c r="E382" s="12" t="s">
        <v>142</v>
      </c>
      <c r="F382">
        <v>3</v>
      </c>
      <c r="G382">
        <v>11</v>
      </c>
      <c r="H382">
        <v>0</v>
      </c>
      <c r="I382" s="12" t="s">
        <v>243</v>
      </c>
      <c r="J382" s="12" t="s">
        <v>244</v>
      </c>
      <c r="K382" s="12" t="s">
        <v>81</v>
      </c>
      <c r="L382" s="12" t="s">
        <v>82</v>
      </c>
      <c r="M382">
        <v>9.2200000000000006</v>
      </c>
      <c r="N382" s="12" t="s">
        <v>145</v>
      </c>
      <c r="O382" s="12" t="s">
        <v>146</v>
      </c>
      <c r="P382" s="12" t="s">
        <v>109</v>
      </c>
      <c r="Q382" s="13">
        <v>45054</v>
      </c>
      <c r="R382" s="13">
        <v>45100</v>
      </c>
      <c r="S382">
        <v>2023</v>
      </c>
      <c r="T382" s="12" t="s">
        <v>889</v>
      </c>
      <c r="U382">
        <v>96</v>
      </c>
      <c r="V382">
        <v>174.54990000000001</v>
      </c>
      <c r="W382">
        <v>412.54</v>
      </c>
      <c r="X382">
        <v>0</v>
      </c>
      <c r="Y382">
        <v>0</v>
      </c>
      <c r="Z382">
        <v>16756.79</v>
      </c>
      <c r="AA382">
        <v>17169.330000000002</v>
      </c>
      <c r="AB382" s="12" t="s">
        <v>245</v>
      </c>
      <c r="AC382">
        <v>164.8845</v>
      </c>
      <c r="AD382">
        <v>1</v>
      </c>
      <c r="AE382">
        <v>1</v>
      </c>
      <c r="AF382">
        <v>927.88</v>
      </c>
      <c r="AG382">
        <v>15828.91</v>
      </c>
      <c r="AH382">
        <v>96</v>
      </c>
      <c r="AI382">
        <v>95</v>
      </c>
      <c r="AJ382">
        <v>1</v>
      </c>
      <c r="AK382">
        <v>1</v>
      </c>
      <c r="AL382">
        <v>1</v>
      </c>
      <c r="AM382">
        <v>98.96</v>
      </c>
      <c r="AN382">
        <v>180.72980000000001</v>
      </c>
      <c r="AO382">
        <v>174.55</v>
      </c>
      <c r="AP382" s="13">
        <v>45099</v>
      </c>
      <c r="AQ382">
        <v>-1</v>
      </c>
      <c r="AR382">
        <v>1</v>
      </c>
    </row>
    <row r="383" spans="1:44" x14ac:dyDescent="0.35">
      <c r="A383" s="12" t="s">
        <v>967</v>
      </c>
      <c r="B383" s="12" t="s">
        <v>173</v>
      </c>
      <c r="C383" s="12" t="s">
        <v>174</v>
      </c>
      <c r="D383" s="12" t="s">
        <v>175</v>
      </c>
      <c r="E383" s="12" t="s">
        <v>104</v>
      </c>
      <c r="F383">
        <v>3</v>
      </c>
      <c r="G383">
        <v>1</v>
      </c>
      <c r="H383">
        <v>0</v>
      </c>
      <c r="I383" s="12" t="s">
        <v>176</v>
      </c>
      <c r="J383" s="12" t="s">
        <v>177</v>
      </c>
      <c r="K383" s="12" t="s">
        <v>125</v>
      </c>
      <c r="L383" s="12" t="s">
        <v>134</v>
      </c>
      <c r="M383">
        <v>1.75</v>
      </c>
      <c r="N383" s="12" t="s">
        <v>107</v>
      </c>
      <c r="O383" s="12" t="s">
        <v>108</v>
      </c>
      <c r="P383" s="12" t="s">
        <v>109</v>
      </c>
      <c r="Q383" s="13">
        <v>45054</v>
      </c>
      <c r="R383" s="13">
        <v>45080</v>
      </c>
      <c r="S383">
        <v>2023</v>
      </c>
      <c r="T383" s="12" t="s">
        <v>889</v>
      </c>
      <c r="U383">
        <v>122</v>
      </c>
      <c r="V383">
        <v>81.581900000000005</v>
      </c>
      <c r="W383">
        <v>104.37</v>
      </c>
      <c r="X383">
        <v>0</v>
      </c>
      <c r="Y383">
        <v>0</v>
      </c>
      <c r="Z383">
        <v>9952.99</v>
      </c>
      <c r="AA383">
        <v>10057.36</v>
      </c>
      <c r="AB383" s="12" t="s">
        <v>178</v>
      </c>
      <c r="AC383">
        <v>79.9559</v>
      </c>
      <c r="AD383">
        <v>1</v>
      </c>
      <c r="AE383">
        <v>1</v>
      </c>
      <c r="AF383">
        <v>198.37</v>
      </c>
      <c r="AG383">
        <v>9754.6200000000008</v>
      </c>
      <c r="AH383">
        <v>122</v>
      </c>
      <c r="AI383">
        <v>121</v>
      </c>
      <c r="AJ383">
        <v>1</v>
      </c>
      <c r="AK383">
        <v>1</v>
      </c>
      <c r="AL383">
        <v>1</v>
      </c>
      <c r="AM383">
        <v>99.18</v>
      </c>
      <c r="AN383">
        <v>83.118700000000004</v>
      </c>
      <c r="AO383">
        <v>81.58</v>
      </c>
      <c r="AP383" s="13">
        <v>45079</v>
      </c>
      <c r="AQ383">
        <v>-1</v>
      </c>
      <c r="AR383">
        <v>1</v>
      </c>
    </row>
    <row r="384" spans="1:44" x14ac:dyDescent="0.35">
      <c r="A384" s="12" t="s">
        <v>968</v>
      </c>
      <c r="B384" s="12" t="s">
        <v>155</v>
      </c>
      <c r="C384" s="12" t="s">
        <v>156</v>
      </c>
      <c r="D384" s="12" t="s">
        <v>130</v>
      </c>
      <c r="E384" s="12" t="s">
        <v>104</v>
      </c>
      <c r="F384">
        <v>3</v>
      </c>
      <c r="G384">
        <v>1</v>
      </c>
      <c r="H384">
        <v>0</v>
      </c>
      <c r="I384" s="12" t="s">
        <v>199</v>
      </c>
      <c r="J384" s="12" t="s">
        <v>200</v>
      </c>
      <c r="K384" s="12" t="s">
        <v>68</v>
      </c>
      <c r="L384" s="12" t="s">
        <v>96</v>
      </c>
      <c r="M384">
        <v>9.4700000000000006</v>
      </c>
      <c r="N384" s="12" t="s">
        <v>159</v>
      </c>
      <c r="O384" s="12" t="s">
        <v>160</v>
      </c>
      <c r="P384" s="12" t="s">
        <v>137</v>
      </c>
      <c r="Q384" s="13">
        <v>45054</v>
      </c>
      <c r="R384" s="13">
        <v>45076</v>
      </c>
      <c r="S384">
        <v>2023</v>
      </c>
      <c r="T384" s="12" t="s">
        <v>889</v>
      </c>
      <c r="U384">
        <v>89</v>
      </c>
      <c r="V384">
        <v>223.21199999999999</v>
      </c>
      <c r="W384">
        <v>233.76</v>
      </c>
      <c r="X384">
        <v>0</v>
      </c>
      <c r="Y384">
        <v>0</v>
      </c>
      <c r="Z384">
        <v>19865.87</v>
      </c>
      <c r="AA384">
        <v>20099.63</v>
      </c>
      <c r="AB384" s="12" t="s">
        <v>201</v>
      </c>
      <c r="AD384">
        <v>0</v>
      </c>
      <c r="AE384">
        <v>0</v>
      </c>
      <c r="AH384">
        <v>89</v>
      </c>
      <c r="AI384">
        <v>88</v>
      </c>
      <c r="AJ384">
        <v>1</v>
      </c>
      <c r="AK384">
        <v>1</v>
      </c>
      <c r="AL384">
        <v>1</v>
      </c>
      <c r="AM384">
        <v>98.88</v>
      </c>
      <c r="AN384">
        <v>228.4049</v>
      </c>
      <c r="AO384">
        <v>223.21</v>
      </c>
      <c r="AP384" s="13">
        <v>45075</v>
      </c>
      <c r="AQ384">
        <v>-1</v>
      </c>
      <c r="AR384">
        <v>1</v>
      </c>
    </row>
    <row r="385" spans="1:44" x14ac:dyDescent="0.35">
      <c r="A385" s="12" t="s">
        <v>969</v>
      </c>
      <c r="B385" s="12" t="s">
        <v>787</v>
      </c>
      <c r="C385" s="12" t="s">
        <v>788</v>
      </c>
      <c r="D385" s="12" t="s">
        <v>269</v>
      </c>
      <c r="E385" s="12" t="s">
        <v>65</v>
      </c>
      <c r="F385">
        <v>2</v>
      </c>
      <c r="G385">
        <v>3</v>
      </c>
      <c r="H385">
        <v>0</v>
      </c>
      <c r="I385" s="12" t="s">
        <v>143</v>
      </c>
      <c r="J385" s="12" t="s">
        <v>144</v>
      </c>
      <c r="K385" s="12" t="s">
        <v>133</v>
      </c>
      <c r="L385" s="12" t="s">
        <v>96</v>
      </c>
      <c r="M385">
        <v>5.43</v>
      </c>
      <c r="N385" s="12" t="s">
        <v>135</v>
      </c>
      <c r="O385" s="12" t="s">
        <v>136</v>
      </c>
      <c r="P385" s="12" t="s">
        <v>137</v>
      </c>
      <c r="Q385" s="13">
        <v>45054</v>
      </c>
      <c r="R385" s="13">
        <v>45077</v>
      </c>
      <c r="S385">
        <v>2023</v>
      </c>
      <c r="T385" s="12" t="s">
        <v>889</v>
      </c>
      <c r="U385">
        <v>28</v>
      </c>
      <c r="V385">
        <v>354.36430000000001</v>
      </c>
      <c r="W385">
        <v>207.85</v>
      </c>
      <c r="X385">
        <v>0</v>
      </c>
      <c r="Y385">
        <v>0</v>
      </c>
      <c r="Z385">
        <v>9922.2000000000007</v>
      </c>
      <c r="AA385">
        <v>10130.049999999999</v>
      </c>
      <c r="AB385" s="12" t="s">
        <v>789</v>
      </c>
      <c r="AC385">
        <v>354.36430000000001</v>
      </c>
      <c r="AD385">
        <v>1</v>
      </c>
      <c r="AE385">
        <v>1</v>
      </c>
      <c r="AF385">
        <v>0</v>
      </c>
      <c r="AG385">
        <v>9922.2000000000007</v>
      </c>
      <c r="AH385">
        <v>28</v>
      </c>
      <c r="AI385">
        <v>28</v>
      </c>
      <c r="AJ385">
        <v>0</v>
      </c>
      <c r="AK385">
        <v>1</v>
      </c>
      <c r="AL385">
        <v>1</v>
      </c>
      <c r="AM385">
        <v>100</v>
      </c>
      <c r="AN385">
        <v>361.78750000000002</v>
      </c>
      <c r="AO385">
        <v>0</v>
      </c>
      <c r="AP385" s="13">
        <v>45074</v>
      </c>
      <c r="AQ385">
        <v>-3</v>
      </c>
      <c r="AR385">
        <v>1</v>
      </c>
    </row>
    <row r="386" spans="1:44" x14ac:dyDescent="0.35">
      <c r="A386" s="12" t="s">
        <v>970</v>
      </c>
      <c r="B386" s="12" t="s">
        <v>85</v>
      </c>
      <c r="C386" s="12" t="s">
        <v>86</v>
      </c>
      <c r="D386" s="12" t="s">
        <v>78</v>
      </c>
      <c r="E386" s="12" t="s">
        <v>65</v>
      </c>
      <c r="F386">
        <v>3</v>
      </c>
      <c r="G386">
        <v>5</v>
      </c>
      <c r="H386">
        <v>0</v>
      </c>
      <c r="I386" s="12" t="s">
        <v>87</v>
      </c>
      <c r="J386" s="12" t="s">
        <v>88</v>
      </c>
      <c r="K386" s="12" t="s">
        <v>89</v>
      </c>
      <c r="L386" s="12" t="s">
        <v>69</v>
      </c>
      <c r="M386">
        <v>14.93</v>
      </c>
      <c r="N386" s="12" t="s">
        <v>70</v>
      </c>
      <c r="O386" s="12" t="s">
        <v>71</v>
      </c>
      <c r="P386" s="12" t="s">
        <v>72</v>
      </c>
      <c r="Q386" s="13">
        <v>45054</v>
      </c>
      <c r="R386" s="13">
        <v>45077</v>
      </c>
      <c r="S386">
        <v>2023</v>
      </c>
      <c r="T386" s="12" t="s">
        <v>889</v>
      </c>
      <c r="U386">
        <v>77</v>
      </c>
      <c r="V386">
        <v>147.55000000000001</v>
      </c>
      <c r="W386">
        <v>131.69</v>
      </c>
      <c r="X386">
        <v>0</v>
      </c>
      <c r="Y386">
        <v>0</v>
      </c>
      <c r="Z386">
        <v>11361.35</v>
      </c>
      <c r="AA386">
        <v>11493.04</v>
      </c>
      <c r="AB386" s="12" t="s">
        <v>90</v>
      </c>
      <c r="AC386">
        <v>147.55000000000001</v>
      </c>
      <c r="AD386">
        <v>1</v>
      </c>
      <c r="AE386">
        <v>1</v>
      </c>
      <c r="AF386">
        <v>0</v>
      </c>
      <c r="AG386">
        <v>11361.35</v>
      </c>
      <c r="AH386">
        <v>77</v>
      </c>
      <c r="AI386">
        <v>77</v>
      </c>
      <c r="AJ386">
        <v>0</v>
      </c>
      <c r="AK386">
        <v>1</v>
      </c>
      <c r="AL386">
        <v>1</v>
      </c>
      <c r="AM386">
        <v>100</v>
      </c>
      <c r="AN386">
        <v>149.2603</v>
      </c>
      <c r="AO386">
        <v>0</v>
      </c>
      <c r="AP386" s="13">
        <v>45077</v>
      </c>
      <c r="AQ386">
        <v>0</v>
      </c>
      <c r="AR386">
        <v>1</v>
      </c>
    </row>
    <row r="387" spans="1:44" x14ac:dyDescent="0.35">
      <c r="A387" s="12" t="s">
        <v>971</v>
      </c>
      <c r="B387" s="12" t="s">
        <v>972</v>
      </c>
      <c r="C387" s="12" t="s">
        <v>973</v>
      </c>
      <c r="D387" s="12" t="s">
        <v>130</v>
      </c>
      <c r="E387" s="12" t="s">
        <v>142</v>
      </c>
      <c r="F387">
        <v>2</v>
      </c>
      <c r="G387">
        <v>9</v>
      </c>
      <c r="H387">
        <v>0</v>
      </c>
      <c r="I387" s="12" t="s">
        <v>676</v>
      </c>
      <c r="J387" s="12" t="s">
        <v>677</v>
      </c>
      <c r="K387" s="12" t="s">
        <v>68</v>
      </c>
      <c r="L387" s="12" t="s">
        <v>96</v>
      </c>
      <c r="M387">
        <v>3.57</v>
      </c>
      <c r="N387" s="12" t="s">
        <v>135</v>
      </c>
      <c r="O387" s="12" t="s">
        <v>136</v>
      </c>
      <c r="P387" s="12" t="s">
        <v>137</v>
      </c>
      <c r="Q387" s="13">
        <v>45054</v>
      </c>
      <c r="R387" s="13">
        <v>45089</v>
      </c>
      <c r="S387">
        <v>2023</v>
      </c>
      <c r="T387" s="12" t="s">
        <v>889</v>
      </c>
      <c r="U387">
        <v>13</v>
      </c>
      <c r="V387">
        <v>842.69190000000003</v>
      </c>
      <c r="W387">
        <v>214.76</v>
      </c>
      <c r="X387">
        <v>0</v>
      </c>
      <c r="Y387">
        <v>0</v>
      </c>
      <c r="Z387">
        <v>10954.99</v>
      </c>
      <c r="AA387">
        <v>11169.75</v>
      </c>
      <c r="AB387" s="12" t="s">
        <v>974</v>
      </c>
      <c r="AC387">
        <v>842.69190000000003</v>
      </c>
      <c r="AD387">
        <v>1</v>
      </c>
      <c r="AE387">
        <v>1</v>
      </c>
      <c r="AF387">
        <v>0</v>
      </c>
      <c r="AG387">
        <v>10954.99</v>
      </c>
      <c r="AH387">
        <v>13</v>
      </c>
      <c r="AI387">
        <v>13</v>
      </c>
      <c r="AJ387">
        <v>0</v>
      </c>
      <c r="AK387">
        <v>1</v>
      </c>
      <c r="AL387">
        <v>1</v>
      </c>
      <c r="AM387">
        <v>100</v>
      </c>
      <c r="AN387">
        <v>859.21190000000001</v>
      </c>
      <c r="AO387">
        <v>0</v>
      </c>
      <c r="AP387" s="13">
        <v>45086</v>
      </c>
      <c r="AQ387">
        <v>-3</v>
      </c>
      <c r="AR387">
        <v>1</v>
      </c>
    </row>
    <row r="388" spans="1:44" x14ac:dyDescent="0.35">
      <c r="A388" s="12" t="s">
        <v>975</v>
      </c>
      <c r="B388" s="12" t="s">
        <v>555</v>
      </c>
      <c r="C388" s="12" t="s">
        <v>556</v>
      </c>
      <c r="D388" s="12" t="s">
        <v>114</v>
      </c>
      <c r="E388" s="12" t="s">
        <v>142</v>
      </c>
      <c r="F388">
        <v>1</v>
      </c>
      <c r="G388">
        <v>6</v>
      </c>
      <c r="H388">
        <v>1</v>
      </c>
      <c r="I388" s="12" t="s">
        <v>151</v>
      </c>
      <c r="J388" s="12" t="s">
        <v>152</v>
      </c>
      <c r="K388" s="12" t="s">
        <v>125</v>
      </c>
      <c r="L388" s="12" t="s">
        <v>69</v>
      </c>
      <c r="M388">
        <v>36.479999999999997</v>
      </c>
      <c r="N388" s="12" t="s">
        <v>97</v>
      </c>
      <c r="O388" s="12" t="s">
        <v>98</v>
      </c>
      <c r="P388" s="12" t="s">
        <v>72</v>
      </c>
      <c r="Q388" s="13">
        <v>45055</v>
      </c>
      <c r="R388" s="13">
        <v>45095</v>
      </c>
      <c r="S388">
        <v>2023</v>
      </c>
      <c r="T388" s="12" t="s">
        <v>889</v>
      </c>
      <c r="U388">
        <v>53</v>
      </c>
      <c r="V388">
        <v>290.42770000000002</v>
      </c>
      <c r="W388">
        <v>180.87</v>
      </c>
      <c r="X388">
        <v>0</v>
      </c>
      <c r="Y388">
        <v>0</v>
      </c>
      <c r="Z388">
        <v>15392.67</v>
      </c>
      <c r="AA388">
        <v>15573.54</v>
      </c>
      <c r="AB388" s="12" t="s">
        <v>557</v>
      </c>
      <c r="AC388">
        <v>290.42770000000002</v>
      </c>
      <c r="AD388">
        <v>1</v>
      </c>
      <c r="AE388">
        <v>1</v>
      </c>
      <c r="AF388">
        <v>0</v>
      </c>
      <c r="AG388">
        <v>15392.67</v>
      </c>
      <c r="AH388">
        <v>53</v>
      </c>
      <c r="AI388">
        <v>52</v>
      </c>
      <c r="AJ388">
        <v>1</v>
      </c>
      <c r="AK388">
        <v>1</v>
      </c>
      <c r="AL388">
        <v>1</v>
      </c>
      <c r="AM388">
        <v>98.11</v>
      </c>
      <c r="AN388">
        <v>299.49110000000002</v>
      </c>
      <c r="AO388">
        <v>290.43</v>
      </c>
      <c r="AP388" s="13">
        <v>45092</v>
      </c>
      <c r="AQ388">
        <v>-3</v>
      </c>
      <c r="AR388">
        <v>1</v>
      </c>
    </row>
    <row r="389" spans="1:44" x14ac:dyDescent="0.35">
      <c r="A389" s="12" t="s">
        <v>976</v>
      </c>
      <c r="B389" s="12" t="s">
        <v>809</v>
      </c>
      <c r="C389" s="12" t="s">
        <v>810</v>
      </c>
      <c r="D389" s="12" t="s">
        <v>114</v>
      </c>
      <c r="E389" s="12" t="s">
        <v>65</v>
      </c>
      <c r="F389">
        <v>3</v>
      </c>
      <c r="G389">
        <v>5</v>
      </c>
      <c r="H389">
        <v>0</v>
      </c>
      <c r="I389" s="12" t="s">
        <v>804</v>
      </c>
      <c r="J389" s="12" t="s">
        <v>342</v>
      </c>
      <c r="K389" s="12" t="s">
        <v>117</v>
      </c>
      <c r="L389" s="12" t="s">
        <v>69</v>
      </c>
      <c r="M389">
        <v>30.07</v>
      </c>
      <c r="N389" s="12" t="s">
        <v>97</v>
      </c>
      <c r="O389" s="12" t="s">
        <v>98</v>
      </c>
      <c r="P389" s="12" t="s">
        <v>72</v>
      </c>
      <c r="Q389" s="13">
        <v>45055</v>
      </c>
      <c r="R389" s="13">
        <v>45087</v>
      </c>
      <c r="S389">
        <v>2023</v>
      </c>
      <c r="T389" s="12" t="s">
        <v>889</v>
      </c>
      <c r="U389">
        <v>101</v>
      </c>
      <c r="V389">
        <v>323.22789999999998</v>
      </c>
      <c r="W389">
        <v>375.39</v>
      </c>
      <c r="X389">
        <v>0</v>
      </c>
      <c r="Y389">
        <v>0</v>
      </c>
      <c r="Z389">
        <v>32646.02</v>
      </c>
      <c r="AA389">
        <v>33021.410000000003</v>
      </c>
      <c r="AB389" s="12" t="s">
        <v>880</v>
      </c>
      <c r="AC389">
        <v>323.22789999999998</v>
      </c>
      <c r="AD389">
        <v>1</v>
      </c>
      <c r="AE389">
        <v>1</v>
      </c>
      <c r="AF389">
        <v>0</v>
      </c>
      <c r="AG389">
        <v>32646.02</v>
      </c>
      <c r="AH389">
        <v>101</v>
      </c>
      <c r="AI389">
        <v>99</v>
      </c>
      <c r="AJ389">
        <v>2</v>
      </c>
      <c r="AK389">
        <v>1</v>
      </c>
      <c r="AL389">
        <v>1</v>
      </c>
      <c r="AM389">
        <v>98.02</v>
      </c>
      <c r="AN389">
        <v>333.5496</v>
      </c>
      <c r="AO389">
        <v>646.46</v>
      </c>
      <c r="AP389" s="13">
        <v>45085</v>
      </c>
      <c r="AQ389">
        <v>-2</v>
      </c>
      <c r="AR389">
        <v>1</v>
      </c>
    </row>
    <row r="390" spans="1:44" x14ac:dyDescent="0.35">
      <c r="A390" s="12" t="s">
        <v>977</v>
      </c>
      <c r="B390" s="12" t="s">
        <v>978</v>
      </c>
      <c r="C390" s="12" t="s">
        <v>979</v>
      </c>
      <c r="D390" s="12" t="s">
        <v>122</v>
      </c>
      <c r="E390" s="12" t="s">
        <v>65</v>
      </c>
      <c r="F390">
        <v>1</v>
      </c>
      <c r="G390">
        <v>2</v>
      </c>
      <c r="H390">
        <v>1</v>
      </c>
      <c r="I390" s="12" t="s">
        <v>310</v>
      </c>
      <c r="J390" s="12" t="s">
        <v>311</v>
      </c>
      <c r="K390" s="12" t="s">
        <v>81</v>
      </c>
      <c r="L390" s="12" t="s">
        <v>69</v>
      </c>
      <c r="M390">
        <v>28.3</v>
      </c>
      <c r="N390" s="12" t="s">
        <v>70</v>
      </c>
      <c r="O390" s="12" t="s">
        <v>71</v>
      </c>
      <c r="P390" s="12" t="s">
        <v>72</v>
      </c>
      <c r="Q390" s="13">
        <v>45055</v>
      </c>
      <c r="R390" s="13">
        <v>45086</v>
      </c>
      <c r="S390">
        <v>2023</v>
      </c>
      <c r="T390" s="12" t="s">
        <v>889</v>
      </c>
      <c r="U390">
        <v>1217</v>
      </c>
      <c r="V390">
        <v>43.709699999999998</v>
      </c>
      <c r="W390">
        <v>723.91</v>
      </c>
      <c r="X390">
        <v>0</v>
      </c>
      <c r="Y390">
        <v>0</v>
      </c>
      <c r="Z390">
        <v>53194.7</v>
      </c>
      <c r="AA390">
        <v>53918.61</v>
      </c>
      <c r="AB390" s="12" t="s">
        <v>980</v>
      </c>
      <c r="AC390">
        <v>43.709699999999998</v>
      </c>
      <c r="AD390">
        <v>1</v>
      </c>
      <c r="AE390">
        <v>1</v>
      </c>
      <c r="AF390">
        <v>0</v>
      </c>
      <c r="AG390">
        <v>53194.7</v>
      </c>
      <c r="AH390">
        <v>1217</v>
      </c>
      <c r="AI390">
        <v>1212</v>
      </c>
      <c r="AJ390">
        <v>5</v>
      </c>
      <c r="AK390">
        <v>1</v>
      </c>
      <c r="AL390">
        <v>1</v>
      </c>
      <c r="AM390">
        <v>99.59</v>
      </c>
      <c r="AN390">
        <v>44.487299999999998</v>
      </c>
      <c r="AO390">
        <v>218.55</v>
      </c>
      <c r="AP390" s="13">
        <v>45084</v>
      </c>
      <c r="AQ390">
        <v>-2</v>
      </c>
      <c r="AR390">
        <v>1</v>
      </c>
    </row>
    <row r="391" spans="1:44" x14ac:dyDescent="0.35">
      <c r="A391" s="12" t="s">
        <v>981</v>
      </c>
      <c r="B391" s="12" t="s">
        <v>494</v>
      </c>
      <c r="C391" s="12" t="s">
        <v>495</v>
      </c>
      <c r="D391" s="12" t="s">
        <v>175</v>
      </c>
      <c r="E391" s="12" t="s">
        <v>65</v>
      </c>
      <c r="F391">
        <v>2</v>
      </c>
      <c r="G391">
        <v>3</v>
      </c>
      <c r="H391">
        <v>0</v>
      </c>
      <c r="I391" s="12" t="s">
        <v>515</v>
      </c>
      <c r="J391" s="12" t="s">
        <v>516</v>
      </c>
      <c r="K391" s="12" t="s">
        <v>68</v>
      </c>
      <c r="L391" s="12" t="s">
        <v>134</v>
      </c>
      <c r="M391">
        <v>3.69</v>
      </c>
      <c r="N391" s="12" t="s">
        <v>145</v>
      </c>
      <c r="O391" s="12" t="s">
        <v>146</v>
      </c>
      <c r="P391" s="12" t="s">
        <v>109</v>
      </c>
      <c r="Q391" s="13">
        <v>45055</v>
      </c>
      <c r="R391" s="13">
        <v>45078</v>
      </c>
      <c r="S391">
        <v>2023</v>
      </c>
      <c r="T391" s="12" t="s">
        <v>889</v>
      </c>
      <c r="U391">
        <v>31</v>
      </c>
      <c r="V391">
        <v>161.94200000000001</v>
      </c>
      <c r="W391">
        <v>108.29</v>
      </c>
      <c r="X391">
        <v>0</v>
      </c>
      <c r="Y391">
        <v>0</v>
      </c>
      <c r="Z391">
        <v>5020.2</v>
      </c>
      <c r="AA391">
        <v>5128.49</v>
      </c>
      <c r="AB391" s="12" t="s">
        <v>982</v>
      </c>
      <c r="AC391">
        <v>161.94200000000001</v>
      </c>
      <c r="AD391">
        <v>1</v>
      </c>
      <c r="AE391">
        <v>1</v>
      </c>
      <c r="AF391">
        <v>0</v>
      </c>
      <c r="AG391">
        <v>5020.2</v>
      </c>
      <c r="AH391">
        <v>31</v>
      </c>
      <c r="AI391">
        <v>31</v>
      </c>
      <c r="AJ391">
        <v>0</v>
      </c>
      <c r="AK391">
        <v>1</v>
      </c>
      <c r="AL391">
        <v>1</v>
      </c>
      <c r="AM391">
        <v>100</v>
      </c>
      <c r="AN391">
        <v>165.43520000000001</v>
      </c>
      <c r="AO391">
        <v>0</v>
      </c>
      <c r="AP391" s="13">
        <v>45086</v>
      </c>
      <c r="AQ391">
        <v>8</v>
      </c>
      <c r="AR391">
        <v>0</v>
      </c>
    </row>
    <row r="392" spans="1:44" x14ac:dyDescent="0.35">
      <c r="A392" s="12" t="s">
        <v>983</v>
      </c>
      <c r="B392" s="12" t="s">
        <v>238</v>
      </c>
      <c r="C392" s="12" t="s">
        <v>239</v>
      </c>
      <c r="D392" s="12" t="s">
        <v>122</v>
      </c>
      <c r="E392" s="12" t="s">
        <v>65</v>
      </c>
      <c r="F392">
        <v>3</v>
      </c>
      <c r="G392">
        <v>4</v>
      </c>
      <c r="H392">
        <v>0</v>
      </c>
      <c r="I392" s="12" t="s">
        <v>243</v>
      </c>
      <c r="J392" s="12" t="s">
        <v>244</v>
      </c>
      <c r="K392" s="12" t="s">
        <v>81</v>
      </c>
      <c r="L392" s="12" t="s">
        <v>82</v>
      </c>
      <c r="M392">
        <v>9.2200000000000006</v>
      </c>
      <c r="N392" s="12" t="s">
        <v>97</v>
      </c>
      <c r="O392" s="12" t="s">
        <v>98</v>
      </c>
      <c r="P392" s="12" t="s">
        <v>72</v>
      </c>
      <c r="Q392" s="13">
        <v>45055</v>
      </c>
      <c r="R392" s="13">
        <v>45077</v>
      </c>
      <c r="S392">
        <v>2023</v>
      </c>
      <c r="T392" s="12" t="s">
        <v>889</v>
      </c>
      <c r="U392">
        <v>332</v>
      </c>
      <c r="V392">
        <v>37.143599999999999</v>
      </c>
      <c r="W392">
        <v>80.31</v>
      </c>
      <c r="X392">
        <v>0</v>
      </c>
      <c r="Y392">
        <v>0</v>
      </c>
      <c r="Z392">
        <v>12331.68</v>
      </c>
      <c r="AA392">
        <v>12411.99</v>
      </c>
      <c r="AB392" s="12" t="s">
        <v>717</v>
      </c>
      <c r="AC392">
        <v>37.143599999999999</v>
      </c>
      <c r="AD392">
        <v>1</v>
      </c>
      <c r="AE392">
        <v>1</v>
      </c>
      <c r="AF392">
        <v>0</v>
      </c>
      <c r="AG392">
        <v>12331.68</v>
      </c>
      <c r="AH392">
        <v>332</v>
      </c>
      <c r="AI392">
        <v>331</v>
      </c>
      <c r="AJ392">
        <v>1</v>
      </c>
      <c r="AK392">
        <v>1</v>
      </c>
      <c r="AL392">
        <v>1</v>
      </c>
      <c r="AM392">
        <v>99.7</v>
      </c>
      <c r="AN392">
        <v>37.498399999999997</v>
      </c>
      <c r="AO392">
        <v>37.14</v>
      </c>
      <c r="AP392" s="13">
        <v>45076</v>
      </c>
      <c r="AQ392">
        <v>-1</v>
      </c>
      <c r="AR392">
        <v>1</v>
      </c>
    </row>
    <row r="393" spans="1:44" x14ac:dyDescent="0.35">
      <c r="A393" s="12" t="s">
        <v>984</v>
      </c>
      <c r="B393" s="12" t="s">
        <v>544</v>
      </c>
      <c r="C393" s="12" t="s">
        <v>545</v>
      </c>
      <c r="D393" s="12" t="s">
        <v>175</v>
      </c>
      <c r="E393" s="12" t="s">
        <v>65</v>
      </c>
      <c r="F393">
        <v>3</v>
      </c>
      <c r="G393">
        <v>5</v>
      </c>
      <c r="H393">
        <v>0</v>
      </c>
      <c r="I393" s="12" t="s">
        <v>359</v>
      </c>
      <c r="J393" s="12" t="s">
        <v>360</v>
      </c>
      <c r="K393" s="12" t="s">
        <v>133</v>
      </c>
      <c r="L393" s="12" t="s">
        <v>82</v>
      </c>
      <c r="M393">
        <v>12.65</v>
      </c>
      <c r="N393" s="12" t="s">
        <v>145</v>
      </c>
      <c r="O393" s="12" t="s">
        <v>146</v>
      </c>
      <c r="P393" s="12" t="s">
        <v>109</v>
      </c>
      <c r="Q393" s="13">
        <v>45056</v>
      </c>
      <c r="R393" s="13">
        <v>45078</v>
      </c>
      <c r="S393">
        <v>2023</v>
      </c>
      <c r="T393" s="12" t="s">
        <v>889</v>
      </c>
      <c r="U393">
        <v>25</v>
      </c>
      <c r="V393">
        <v>155.36940000000001</v>
      </c>
      <c r="W393">
        <v>27.43</v>
      </c>
      <c r="X393">
        <v>0</v>
      </c>
      <c r="Y393">
        <v>0</v>
      </c>
      <c r="Z393">
        <v>3884.24</v>
      </c>
      <c r="AA393">
        <v>3911.67</v>
      </c>
      <c r="AB393" s="12" t="s">
        <v>985</v>
      </c>
      <c r="AC393">
        <v>155.36940000000001</v>
      </c>
      <c r="AD393">
        <v>1</v>
      </c>
      <c r="AE393">
        <v>1</v>
      </c>
      <c r="AF393">
        <v>0</v>
      </c>
      <c r="AG393">
        <v>3884.24</v>
      </c>
      <c r="AH393">
        <v>25</v>
      </c>
      <c r="AI393">
        <v>25</v>
      </c>
      <c r="AJ393">
        <v>0</v>
      </c>
      <c r="AK393">
        <v>1</v>
      </c>
      <c r="AL393">
        <v>1</v>
      </c>
      <c r="AM393">
        <v>100</v>
      </c>
      <c r="AN393">
        <v>156.4666</v>
      </c>
      <c r="AO393">
        <v>0</v>
      </c>
      <c r="AP393" s="13">
        <v>45075</v>
      </c>
      <c r="AQ393">
        <v>-3</v>
      </c>
      <c r="AR393">
        <v>1</v>
      </c>
    </row>
    <row r="394" spans="1:44" x14ac:dyDescent="0.35">
      <c r="A394" s="12" t="s">
        <v>986</v>
      </c>
      <c r="B394" s="12" t="s">
        <v>347</v>
      </c>
      <c r="C394" s="12" t="s">
        <v>348</v>
      </c>
      <c r="D394" s="12" t="s">
        <v>78</v>
      </c>
      <c r="E394" s="12" t="s">
        <v>104</v>
      </c>
      <c r="F394">
        <v>3</v>
      </c>
      <c r="G394">
        <v>1</v>
      </c>
      <c r="H394">
        <v>0</v>
      </c>
      <c r="I394" s="12" t="s">
        <v>87</v>
      </c>
      <c r="J394" s="12" t="s">
        <v>88</v>
      </c>
      <c r="K394" s="12" t="s">
        <v>89</v>
      </c>
      <c r="L394" s="12" t="s">
        <v>69</v>
      </c>
      <c r="M394">
        <v>14.93</v>
      </c>
      <c r="N394" s="12" t="s">
        <v>97</v>
      </c>
      <c r="O394" s="12" t="s">
        <v>98</v>
      </c>
      <c r="P394" s="12" t="s">
        <v>72</v>
      </c>
      <c r="Q394" s="13">
        <v>45056</v>
      </c>
      <c r="R394" s="13">
        <v>45070</v>
      </c>
      <c r="S394">
        <v>2023</v>
      </c>
      <c r="T394" s="12" t="s">
        <v>889</v>
      </c>
      <c r="U394">
        <v>82</v>
      </c>
      <c r="V394">
        <v>106.1074</v>
      </c>
      <c r="W394">
        <v>161.44</v>
      </c>
      <c r="X394">
        <v>0</v>
      </c>
      <c r="Y394">
        <v>0</v>
      </c>
      <c r="Z394">
        <v>8700.81</v>
      </c>
      <c r="AA394">
        <v>8862.25</v>
      </c>
      <c r="AB394" s="12" t="s">
        <v>201</v>
      </c>
      <c r="AD394">
        <v>0</v>
      </c>
      <c r="AE394">
        <v>0</v>
      </c>
      <c r="AH394">
        <v>82</v>
      </c>
      <c r="AI394">
        <v>81</v>
      </c>
      <c r="AJ394">
        <v>1</v>
      </c>
      <c r="AK394">
        <v>1</v>
      </c>
      <c r="AL394">
        <v>1</v>
      </c>
      <c r="AM394">
        <v>98.78</v>
      </c>
      <c r="AN394">
        <v>109.4105</v>
      </c>
      <c r="AO394">
        <v>106.11</v>
      </c>
      <c r="AP394" s="13">
        <v>45069</v>
      </c>
      <c r="AQ394">
        <v>-1</v>
      </c>
      <c r="AR394">
        <v>1</v>
      </c>
    </row>
    <row r="395" spans="1:44" x14ac:dyDescent="0.35">
      <c r="A395" s="12" t="s">
        <v>987</v>
      </c>
      <c r="B395" s="12" t="s">
        <v>261</v>
      </c>
      <c r="C395" s="12" t="s">
        <v>262</v>
      </c>
      <c r="D395" s="12" t="s">
        <v>114</v>
      </c>
      <c r="E395" s="12" t="s">
        <v>142</v>
      </c>
      <c r="F395">
        <v>1</v>
      </c>
      <c r="G395">
        <v>8</v>
      </c>
      <c r="H395">
        <v>1</v>
      </c>
      <c r="I395" s="12" t="s">
        <v>263</v>
      </c>
      <c r="J395" s="12" t="s">
        <v>264</v>
      </c>
      <c r="K395" s="12" t="s">
        <v>125</v>
      </c>
      <c r="L395" s="12" t="s">
        <v>82</v>
      </c>
      <c r="M395">
        <v>10.210000000000001</v>
      </c>
      <c r="N395" s="12" t="s">
        <v>70</v>
      </c>
      <c r="O395" s="12" t="s">
        <v>71</v>
      </c>
      <c r="P395" s="12" t="s">
        <v>72</v>
      </c>
      <c r="Q395" s="13">
        <v>45056</v>
      </c>
      <c r="R395" s="13">
        <v>45103</v>
      </c>
      <c r="S395">
        <v>2023</v>
      </c>
      <c r="T395" s="12" t="s">
        <v>889</v>
      </c>
      <c r="U395">
        <v>103</v>
      </c>
      <c r="V395">
        <v>138.256</v>
      </c>
      <c r="W395">
        <v>212.71</v>
      </c>
      <c r="X395">
        <v>0</v>
      </c>
      <c r="Y395">
        <v>0</v>
      </c>
      <c r="Z395">
        <v>14240.37</v>
      </c>
      <c r="AA395">
        <v>14453.08</v>
      </c>
      <c r="AB395" s="12" t="s">
        <v>265</v>
      </c>
      <c r="AC395">
        <v>138.256</v>
      </c>
      <c r="AD395">
        <v>1</v>
      </c>
      <c r="AE395">
        <v>1</v>
      </c>
      <c r="AF395">
        <v>0</v>
      </c>
      <c r="AG395">
        <v>14240.37</v>
      </c>
      <c r="AH395">
        <v>103</v>
      </c>
      <c r="AI395">
        <v>102</v>
      </c>
      <c r="AJ395">
        <v>1</v>
      </c>
      <c r="AK395">
        <v>1</v>
      </c>
      <c r="AL395">
        <v>1</v>
      </c>
      <c r="AM395">
        <v>99.03</v>
      </c>
      <c r="AN395">
        <v>141.6968</v>
      </c>
      <c r="AO395">
        <v>138.26</v>
      </c>
      <c r="AP395" s="13">
        <v>45102</v>
      </c>
      <c r="AQ395">
        <v>-1</v>
      </c>
      <c r="AR395">
        <v>1</v>
      </c>
    </row>
    <row r="396" spans="1:44" x14ac:dyDescent="0.35">
      <c r="A396" s="12" t="s">
        <v>988</v>
      </c>
      <c r="B396" s="12" t="s">
        <v>420</v>
      </c>
      <c r="C396" s="12" t="s">
        <v>421</v>
      </c>
      <c r="D396" s="12" t="s">
        <v>269</v>
      </c>
      <c r="E396" s="12" t="s">
        <v>104</v>
      </c>
      <c r="F396">
        <v>2</v>
      </c>
      <c r="G396">
        <v>0</v>
      </c>
      <c r="H396">
        <v>0</v>
      </c>
      <c r="I396" s="12" t="s">
        <v>380</v>
      </c>
      <c r="J396" s="12" t="s">
        <v>381</v>
      </c>
      <c r="K396" s="12" t="s">
        <v>89</v>
      </c>
      <c r="L396" s="12" t="s">
        <v>96</v>
      </c>
      <c r="M396">
        <v>10.210000000000001</v>
      </c>
      <c r="N396" s="12" t="s">
        <v>135</v>
      </c>
      <c r="O396" s="12" t="s">
        <v>136</v>
      </c>
      <c r="P396" s="12" t="s">
        <v>137</v>
      </c>
      <c r="Q396" s="13">
        <v>45056</v>
      </c>
      <c r="R396" s="13">
        <v>45080</v>
      </c>
      <c r="S396">
        <v>2023</v>
      </c>
      <c r="T396" s="12" t="s">
        <v>889</v>
      </c>
      <c r="U396">
        <v>108</v>
      </c>
      <c r="V396">
        <v>137.80969999999999</v>
      </c>
      <c r="W396">
        <v>376.85</v>
      </c>
      <c r="X396">
        <v>0</v>
      </c>
      <c r="Y396">
        <v>0</v>
      </c>
      <c r="Z396">
        <v>14883.45</v>
      </c>
      <c r="AA396">
        <v>15260.3</v>
      </c>
      <c r="AB396" s="12" t="s">
        <v>422</v>
      </c>
      <c r="AC396">
        <v>146.53960000000001</v>
      </c>
      <c r="AD396">
        <v>1</v>
      </c>
      <c r="AE396">
        <v>1</v>
      </c>
      <c r="AF396">
        <v>-942.83</v>
      </c>
      <c r="AG396">
        <v>15826.28</v>
      </c>
      <c r="AH396">
        <v>108</v>
      </c>
      <c r="AI396">
        <v>107</v>
      </c>
      <c r="AJ396">
        <v>1</v>
      </c>
      <c r="AK396">
        <v>1</v>
      </c>
      <c r="AL396">
        <v>1</v>
      </c>
      <c r="AM396">
        <v>99.07</v>
      </c>
      <c r="AN396">
        <v>142.61959999999999</v>
      </c>
      <c r="AO396">
        <v>137.81</v>
      </c>
      <c r="AP396" s="13">
        <v>45076</v>
      </c>
      <c r="AQ396">
        <v>-4</v>
      </c>
      <c r="AR396">
        <v>1</v>
      </c>
    </row>
    <row r="397" spans="1:44" x14ac:dyDescent="0.35">
      <c r="A397" s="12" t="s">
        <v>989</v>
      </c>
      <c r="B397" s="12" t="s">
        <v>990</v>
      </c>
      <c r="C397" s="12" t="s">
        <v>991</v>
      </c>
      <c r="D397" s="12" t="s">
        <v>122</v>
      </c>
      <c r="E397" s="12" t="s">
        <v>142</v>
      </c>
      <c r="F397">
        <v>1</v>
      </c>
      <c r="G397">
        <v>6</v>
      </c>
      <c r="H397">
        <v>1</v>
      </c>
      <c r="I397" s="12" t="s">
        <v>217</v>
      </c>
      <c r="J397" s="12" t="s">
        <v>218</v>
      </c>
      <c r="K397" s="12" t="s">
        <v>68</v>
      </c>
      <c r="L397" s="12" t="s">
        <v>82</v>
      </c>
      <c r="M397">
        <v>14.24</v>
      </c>
      <c r="N397" s="12" t="s">
        <v>70</v>
      </c>
      <c r="O397" s="12" t="s">
        <v>71</v>
      </c>
      <c r="P397" s="12" t="s">
        <v>72</v>
      </c>
      <c r="Q397" s="13">
        <v>45056</v>
      </c>
      <c r="R397" s="13">
        <v>45108</v>
      </c>
      <c r="S397">
        <v>2023</v>
      </c>
      <c r="T397" s="12" t="s">
        <v>889</v>
      </c>
      <c r="U397">
        <v>1993</v>
      </c>
      <c r="V397">
        <v>33.697499999999998</v>
      </c>
      <c r="W397">
        <v>822.92</v>
      </c>
      <c r="X397">
        <v>2172.1</v>
      </c>
      <c r="Y397">
        <v>1</v>
      </c>
      <c r="Z397">
        <v>67159.12</v>
      </c>
      <c r="AA397">
        <v>70154.14</v>
      </c>
      <c r="AB397" s="12" t="s">
        <v>992</v>
      </c>
      <c r="AC397">
        <v>33.697499999999998</v>
      </c>
      <c r="AD397">
        <v>1</v>
      </c>
      <c r="AE397">
        <v>1</v>
      </c>
      <c r="AF397">
        <v>0</v>
      </c>
      <c r="AG397">
        <v>67159.12</v>
      </c>
      <c r="AH397">
        <v>1993</v>
      </c>
      <c r="AI397">
        <v>1980</v>
      </c>
      <c r="AJ397">
        <v>13</v>
      </c>
      <c r="AK397">
        <v>1</v>
      </c>
      <c r="AL397">
        <v>1</v>
      </c>
      <c r="AM397">
        <v>99.35</v>
      </c>
      <c r="AN397">
        <v>35.431399999999996</v>
      </c>
      <c r="AO397">
        <v>438.07</v>
      </c>
      <c r="AP397" s="13">
        <v>45108</v>
      </c>
      <c r="AQ397">
        <v>0</v>
      </c>
      <c r="AR397">
        <v>1</v>
      </c>
    </row>
    <row r="398" spans="1:44" x14ac:dyDescent="0.35">
      <c r="A398" s="12" t="s">
        <v>993</v>
      </c>
      <c r="B398" s="12" t="s">
        <v>657</v>
      </c>
      <c r="C398" s="12" t="s">
        <v>658</v>
      </c>
      <c r="D398" s="12" t="s">
        <v>175</v>
      </c>
      <c r="E398" s="12" t="s">
        <v>65</v>
      </c>
      <c r="F398">
        <v>1</v>
      </c>
      <c r="G398">
        <v>2</v>
      </c>
      <c r="H398">
        <v>1</v>
      </c>
      <c r="I398" s="12" t="s">
        <v>183</v>
      </c>
      <c r="J398" s="12" t="s">
        <v>184</v>
      </c>
      <c r="K398" s="12" t="s">
        <v>133</v>
      </c>
      <c r="L398" s="12" t="s">
        <v>82</v>
      </c>
      <c r="M398">
        <v>8.6199999999999992</v>
      </c>
      <c r="N398" s="12" t="s">
        <v>107</v>
      </c>
      <c r="O398" s="12" t="s">
        <v>108</v>
      </c>
      <c r="P398" s="12" t="s">
        <v>109</v>
      </c>
      <c r="Q398" s="13">
        <v>45056</v>
      </c>
      <c r="R398" s="13">
        <v>45079</v>
      </c>
      <c r="S398">
        <v>2023</v>
      </c>
      <c r="T398" s="12" t="s">
        <v>889</v>
      </c>
      <c r="U398">
        <v>27</v>
      </c>
      <c r="V398">
        <v>144.97649999999999</v>
      </c>
      <c r="W398">
        <v>64.95</v>
      </c>
      <c r="X398">
        <v>0</v>
      </c>
      <c r="Y398">
        <v>0</v>
      </c>
      <c r="Z398">
        <v>3914.37</v>
      </c>
      <c r="AA398">
        <v>3979.32</v>
      </c>
      <c r="AB398" s="12" t="s">
        <v>659</v>
      </c>
      <c r="AC398">
        <v>153.8561</v>
      </c>
      <c r="AD398">
        <v>1</v>
      </c>
      <c r="AE398">
        <v>1</v>
      </c>
      <c r="AF398">
        <v>-239.75</v>
      </c>
      <c r="AG398">
        <v>4154.1099999999997</v>
      </c>
      <c r="AH398">
        <v>27</v>
      </c>
      <c r="AI398">
        <v>27</v>
      </c>
      <c r="AJ398">
        <v>0</v>
      </c>
      <c r="AK398">
        <v>1</v>
      </c>
      <c r="AL398">
        <v>1</v>
      </c>
      <c r="AM398">
        <v>100</v>
      </c>
      <c r="AN398">
        <v>147.38210000000001</v>
      </c>
      <c r="AO398">
        <v>0</v>
      </c>
      <c r="AP398" s="13">
        <v>45086</v>
      </c>
      <c r="AQ398">
        <v>7</v>
      </c>
      <c r="AR398">
        <v>0</v>
      </c>
    </row>
    <row r="399" spans="1:44" x14ac:dyDescent="0.35">
      <c r="A399" s="12" t="s">
        <v>994</v>
      </c>
      <c r="B399" s="12" t="s">
        <v>323</v>
      </c>
      <c r="C399" s="12" t="s">
        <v>324</v>
      </c>
      <c r="D399" s="12" t="s">
        <v>64</v>
      </c>
      <c r="E399" s="12" t="s">
        <v>142</v>
      </c>
      <c r="F399">
        <v>1</v>
      </c>
      <c r="G399">
        <v>7</v>
      </c>
      <c r="H399">
        <v>1</v>
      </c>
      <c r="I399" s="12" t="s">
        <v>143</v>
      </c>
      <c r="J399" s="12" t="s">
        <v>144</v>
      </c>
      <c r="K399" s="12" t="s">
        <v>133</v>
      </c>
      <c r="L399" s="12" t="s">
        <v>96</v>
      </c>
      <c r="M399">
        <v>5.43</v>
      </c>
      <c r="N399" s="12" t="s">
        <v>70</v>
      </c>
      <c r="O399" s="12" t="s">
        <v>71</v>
      </c>
      <c r="P399" s="12" t="s">
        <v>72</v>
      </c>
      <c r="Q399" s="13">
        <v>45056</v>
      </c>
      <c r="R399" s="13">
        <v>45093</v>
      </c>
      <c r="S399">
        <v>2023</v>
      </c>
      <c r="T399" s="12" t="s">
        <v>889</v>
      </c>
      <c r="U399">
        <v>235</v>
      </c>
      <c r="V399">
        <v>41.899700000000003</v>
      </c>
      <c r="W399">
        <v>129.54</v>
      </c>
      <c r="X399">
        <v>0</v>
      </c>
      <c r="Y399">
        <v>0</v>
      </c>
      <c r="Z399">
        <v>9846.43</v>
      </c>
      <c r="AA399">
        <v>9975.9699999999993</v>
      </c>
      <c r="AB399" s="12" t="s">
        <v>325</v>
      </c>
      <c r="AC399">
        <v>39.503399999999999</v>
      </c>
      <c r="AD399">
        <v>1</v>
      </c>
      <c r="AE399">
        <v>1</v>
      </c>
      <c r="AF399">
        <v>563.13</v>
      </c>
      <c r="AG399">
        <v>9283.2999999999993</v>
      </c>
      <c r="AH399">
        <v>235</v>
      </c>
      <c r="AI399">
        <v>234</v>
      </c>
      <c r="AJ399">
        <v>1</v>
      </c>
      <c r="AK399">
        <v>1</v>
      </c>
      <c r="AL399">
        <v>1</v>
      </c>
      <c r="AM399">
        <v>99.57</v>
      </c>
      <c r="AN399">
        <v>42.632300000000001</v>
      </c>
      <c r="AO399">
        <v>41.9</v>
      </c>
      <c r="AP399" s="13">
        <v>45101</v>
      </c>
      <c r="AQ399">
        <v>8</v>
      </c>
      <c r="AR399">
        <v>0</v>
      </c>
    </row>
    <row r="400" spans="1:44" x14ac:dyDescent="0.35">
      <c r="A400" s="12" t="s">
        <v>995</v>
      </c>
      <c r="B400" s="12" t="s">
        <v>548</v>
      </c>
      <c r="C400" s="12" t="s">
        <v>549</v>
      </c>
      <c r="D400" s="12" t="s">
        <v>78</v>
      </c>
      <c r="E400" s="12" t="s">
        <v>104</v>
      </c>
      <c r="F400">
        <v>3</v>
      </c>
      <c r="G400">
        <v>1</v>
      </c>
      <c r="H400">
        <v>0</v>
      </c>
      <c r="I400" s="12" t="s">
        <v>223</v>
      </c>
      <c r="J400" s="12" t="s">
        <v>224</v>
      </c>
      <c r="K400" s="12" t="s">
        <v>81</v>
      </c>
      <c r="L400" s="12" t="s">
        <v>134</v>
      </c>
      <c r="M400">
        <v>2.4900000000000002</v>
      </c>
      <c r="N400" s="12" t="s">
        <v>70</v>
      </c>
      <c r="O400" s="12" t="s">
        <v>71</v>
      </c>
      <c r="P400" s="12" t="s">
        <v>72</v>
      </c>
      <c r="Q400" s="13">
        <v>45057</v>
      </c>
      <c r="R400" s="13">
        <v>45073</v>
      </c>
      <c r="S400">
        <v>2023</v>
      </c>
      <c r="T400" s="12" t="s">
        <v>889</v>
      </c>
      <c r="U400">
        <v>101</v>
      </c>
      <c r="V400">
        <v>62.471600000000002</v>
      </c>
      <c r="W400">
        <v>119.99</v>
      </c>
      <c r="X400">
        <v>0</v>
      </c>
      <c r="Y400">
        <v>0</v>
      </c>
      <c r="Z400">
        <v>6309.63</v>
      </c>
      <c r="AA400">
        <v>6429.62</v>
      </c>
      <c r="AB400" s="12" t="s">
        <v>550</v>
      </c>
      <c r="AC400">
        <v>62.471600000000002</v>
      </c>
      <c r="AD400">
        <v>1</v>
      </c>
      <c r="AE400">
        <v>1</v>
      </c>
      <c r="AF400">
        <v>0</v>
      </c>
      <c r="AG400">
        <v>6309.63</v>
      </c>
      <c r="AH400">
        <v>101</v>
      </c>
      <c r="AI400">
        <v>100</v>
      </c>
      <c r="AJ400">
        <v>1</v>
      </c>
      <c r="AK400">
        <v>1</v>
      </c>
      <c r="AL400">
        <v>1</v>
      </c>
      <c r="AM400">
        <v>99.01</v>
      </c>
      <c r="AN400">
        <v>64.296199999999999</v>
      </c>
      <c r="AO400">
        <v>62.47</v>
      </c>
      <c r="AP400" s="13">
        <v>45072</v>
      </c>
      <c r="AQ400">
        <v>-1</v>
      </c>
      <c r="AR400">
        <v>1</v>
      </c>
    </row>
    <row r="401" spans="1:44" x14ac:dyDescent="0.35">
      <c r="A401" s="12" t="s">
        <v>996</v>
      </c>
      <c r="B401" s="12" t="s">
        <v>261</v>
      </c>
      <c r="C401" s="12" t="s">
        <v>262</v>
      </c>
      <c r="D401" s="12" t="s">
        <v>114</v>
      </c>
      <c r="E401" s="12" t="s">
        <v>142</v>
      </c>
      <c r="F401">
        <v>1</v>
      </c>
      <c r="G401">
        <v>8</v>
      </c>
      <c r="H401">
        <v>1</v>
      </c>
      <c r="I401" s="12" t="s">
        <v>263</v>
      </c>
      <c r="J401" s="12" t="s">
        <v>264</v>
      </c>
      <c r="K401" s="12" t="s">
        <v>125</v>
      </c>
      <c r="L401" s="12" t="s">
        <v>82</v>
      </c>
      <c r="M401">
        <v>10.210000000000001</v>
      </c>
      <c r="N401" s="12" t="s">
        <v>97</v>
      </c>
      <c r="O401" s="12" t="s">
        <v>98</v>
      </c>
      <c r="P401" s="12" t="s">
        <v>72</v>
      </c>
      <c r="Q401" s="13">
        <v>45057</v>
      </c>
      <c r="R401" s="13">
        <v>45108</v>
      </c>
      <c r="S401">
        <v>2023</v>
      </c>
      <c r="T401" s="12" t="s">
        <v>889</v>
      </c>
      <c r="U401">
        <v>134</v>
      </c>
      <c r="V401">
        <v>138.256</v>
      </c>
      <c r="W401">
        <v>233.74</v>
      </c>
      <c r="X401">
        <v>0</v>
      </c>
      <c r="Y401">
        <v>0</v>
      </c>
      <c r="Z401">
        <v>18526.3</v>
      </c>
      <c r="AA401">
        <v>18760.04</v>
      </c>
      <c r="AB401" s="12" t="s">
        <v>265</v>
      </c>
      <c r="AC401">
        <v>138.256</v>
      </c>
      <c r="AD401">
        <v>1</v>
      </c>
      <c r="AE401">
        <v>1</v>
      </c>
      <c r="AF401">
        <v>0</v>
      </c>
      <c r="AG401">
        <v>18526.3</v>
      </c>
      <c r="AH401">
        <v>134</v>
      </c>
      <c r="AI401">
        <v>131</v>
      </c>
      <c r="AJ401">
        <v>3</v>
      </c>
      <c r="AK401">
        <v>1</v>
      </c>
      <c r="AL401">
        <v>1</v>
      </c>
      <c r="AM401">
        <v>97.76</v>
      </c>
      <c r="AN401">
        <v>143.2064</v>
      </c>
      <c r="AO401">
        <v>414.77</v>
      </c>
      <c r="AP401" s="13">
        <v>45118</v>
      </c>
      <c r="AQ401">
        <v>10</v>
      </c>
      <c r="AR401">
        <v>0</v>
      </c>
    </row>
    <row r="402" spans="1:44" x14ac:dyDescent="0.35">
      <c r="A402" s="12" t="s">
        <v>997</v>
      </c>
      <c r="B402" s="12" t="s">
        <v>465</v>
      </c>
      <c r="C402" s="12" t="s">
        <v>466</v>
      </c>
      <c r="D402" s="12" t="s">
        <v>78</v>
      </c>
      <c r="E402" s="12" t="s">
        <v>142</v>
      </c>
      <c r="F402">
        <v>3</v>
      </c>
      <c r="G402">
        <v>11</v>
      </c>
      <c r="H402">
        <v>0</v>
      </c>
      <c r="I402" s="12" t="s">
        <v>195</v>
      </c>
      <c r="J402" s="12" t="s">
        <v>196</v>
      </c>
      <c r="K402" s="12" t="s">
        <v>117</v>
      </c>
      <c r="L402" s="12" t="s">
        <v>134</v>
      </c>
      <c r="M402">
        <v>4.7699999999999996</v>
      </c>
      <c r="N402" s="12" t="s">
        <v>70</v>
      </c>
      <c r="O402" s="12" t="s">
        <v>71</v>
      </c>
      <c r="P402" s="12" t="s">
        <v>72</v>
      </c>
      <c r="Q402" s="13">
        <v>45057</v>
      </c>
      <c r="R402" s="13">
        <v>45109</v>
      </c>
      <c r="S402">
        <v>2023</v>
      </c>
      <c r="T402" s="12" t="s">
        <v>889</v>
      </c>
      <c r="U402">
        <v>288</v>
      </c>
      <c r="V402">
        <v>110.11579999999999</v>
      </c>
      <c r="W402">
        <v>724.51</v>
      </c>
      <c r="X402">
        <v>0</v>
      </c>
      <c r="Y402">
        <v>0</v>
      </c>
      <c r="Z402">
        <v>31713.35</v>
      </c>
      <c r="AA402">
        <v>32437.86</v>
      </c>
      <c r="AB402" s="12" t="s">
        <v>467</v>
      </c>
      <c r="AC402">
        <v>110.11579999999999</v>
      </c>
      <c r="AD402">
        <v>1</v>
      </c>
      <c r="AE402">
        <v>1</v>
      </c>
      <c r="AF402">
        <v>0</v>
      </c>
      <c r="AG402">
        <v>31713.35</v>
      </c>
      <c r="AH402">
        <v>288</v>
      </c>
      <c r="AI402">
        <v>285</v>
      </c>
      <c r="AJ402">
        <v>3</v>
      </c>
      <c r="AK402">
        <v>1</v>
      </c>
      <c r="AL402">
        <v>1</v>
      </c>
      <c r="AM402">
        <v>98.96</v>
      </c>
      <c r="AN402">
        <v>113.8171</v>
      </c>
      <c r="AO402">
        <v>330.35</v>
      </c>
      <c r="AP402" s="13">
        <v>45107</v>
      </c>
      <c r="AQ402">
        <v>-2</v>
      </c>
      <c r="AR402">
        <v>1</v>
      </c>
    </row>
    <row r="403" spans="1:44" x14ac:dyDescent="0.35">
      <c r="A403" s="12" t="s">
        <v>998</v>
      </c>
      <c r="B403" s="12" t="s">
        <v>465</v>
      </c>
      <c r="C403" s="12" t="s">
        <v>466</v>
      </c>
      <c r="D403" s="12" t="s">
        <v>78</v>
      </c>
      <c r="E403" s="12" t="s">
        <v>142</v>
      </c>
      <c r="F403">
        <v>3</v>
      </c>
      <c r="G403">
        <v>11</v>
      </c>
      <c r="H403">
        <v>0</v>
      </c>
      <c r="I403" s="12" t="s">
        <v>195</v>
      </c>
      <c r="J403" s="12" t="s">
        <v>196</v>
      </c>
      <c r="K403" s="12" t="s">
        <v>117</v>
      </c>
      <c r="L403" s="12" t="s">
        <v>134</v>
      </c>
      <c r="M403">
        <v>4.7699999999999996</v>
      </c>
      <c r="N403" s="12" t="s">
        <v>97</v>
      </c>
      <c r="O403" s="12" t="s">
        <v>98</v>
      </c>
      <c r="P403" s="12" t="s">
        <v>72</v>
      </c>
      <c r="Q403" s="13">
        <v>45057</v>
      </c>
      <c r="R403" s="13">
        <v>45102</v>
      </c>
      <c r="S403">
        <v>2023</v>
      </c>
      <c r="T403" s="12" t="s">
        <v>889</v>
      </c>
      <c r="U403">
        <v>187</v>
      </c>
      <c r="V403">
        <v>110.11579999999999</v>
      </c>
      <c r="W403">
        <v>212.63</v>
      </c>
      <c r="X403">
        <v>0</v>
      </c>
      <c r="Y403">
        <v>0</v>
      </c>
      <c r="Z403">
        <v>20591.650000000001</v>
      </c>
      <c r="AA403">
        <v>20804.28</v>
      </c>
      <c r="AB403" s="12" t="s">
        <v>467</v>
      </c>
      <c r="AC403">
        <v>110.11579999999999</v>
      </c>
      <c r="AD403">
        <v>1</v>
      </c>
      <c r="AE403">
        <v>1</v>
      </c>
      <c r="AF403">
        <v>0</v>
      </c>
      <c r="AG403">
        <v>20591.650000000001</v>
      </c>
      <c r="AH403">
        <v>187</v>
      </c>
      <c r="AI403">
        <v>184</v>
      </c>
      <c r="AJ403">
        <v>3</v>
      </c>
      <c r="AK403">
        <v>1</v>
      </c>
      <c r="AL403">
        <v>1</v>
      </c>
      <c r="AM403">
        <v>98.4</v>
      </c>
      <c r="AN403">
        <v>113.0668</v>
      </c>
      <c r="AO403">
        <v>330.35</v>
      </c>
      <c r="AP403" s="13">
        <v>45099</v>
      </c>
      <c r="AQ403">
        <v>-3</v>
      </c>
      <c r="AR403">
        <v>1</v>
      </c>
    </row>
    <row r="404" spans="1:44" x14ac:dyDescent="0.35">
      <c r="A404" s="12" t="s">
        <v>999</v>
      </c>
      <c r="B404" s="12" t="s">
        <v>120</v>
      </c>
      <c r="C404" s="12" t="s">
        <v>121</v>
      </c>
      <c r="D404" s="12" t="s">
        <v>122</v>
      </c>
      <c r="E404" s="12" t="s">
        <v>65</v>
      </c>
      <c r="F404">
        <v>3</v>
      </c>
      <c r="G404">
        <v>4</v>
      </c>
      <c r="H404">
        <v>0</v>
      </c>
      <c r="I404" s="12" t="s">
        <v>123</v>
      </c>
      <c r="J404" s="12" t="s">
        <v>124</v>
      </c>
      <c r="K404" s="12" t="s">
        <v>125</v>
      </c>
      <c r="L404" s="12" t="s">
        <v>82</v>
      </c>
      <c r="M404">
        <v>6.75</v>
      </c>
      <c r="N404" s="12" t="s">
        <v>70</v>
      </c>
      <c r="O404" s="12" t="s">
        <v>71</v>
      </c>
      <c r="P404" s="12" t="s">
        <v>72</v>
      </c>
      <c r="Q404" s="13">
        <v>45057</v>
      </c>
      <c r="R404" s="13">
        <v>45082</v>
      </c>
      <c r="S404">
        <v>2023</v>
      </c>
      <c r="T404" s="12" t="s">
        <v>889</v>
      </c>
      <c r="U404">
        <v>652</v>
      </c>
      <c r="V404">
        <v>55.544699999999999</v>
      </c>
      <c r="W404">
        <v>283.89999999999998</v>
      </c>
      <c r="X404">
        <v>0</v>
      </c>
      <c r="Y404">
        <v>0</v>
      </c>
      <c r="Z404">
        <v>36215.14</v>
      </c>
      <c r="AA404">
        <v>36499.040000000001</v>
      </c>
      <c r="AB404" s="12" t="s">
        <v>126</v>
      </c>
      <c r="AC404">
        <v>55.544699999999999</v>
      </c>
      <c r="AD404">
        <v>1</v>
      </c>
      <c r="AE404">
        <v>1</v>
      </c>
      <c r="AF404">
        <v>0</v>
      </c>
      <c r="AG404">
        <v>36215.14</v>
      </c>
      <c r="AH404">
        <v>652</v>
      </c>
      <c r="AI404">
        <v>648</v>
      </c>
      <c r="AJ404">
        <v>4</v>
      </c>
      <c r="AK404">
        <v>1</v>
      </c>
      <c r="AL404">
        <v>1</v>
      </c>
      <c r="AM404">
        <v>99.39</v>
      </c>
      <c r="AN404">
        <v>56.325699999999998</v>
      </c>
      <c r="AO404">
        <v>222.18</v>
      </c>
      <c r="AP404" s="13">
        <v>45080</v>
      </c>
      <c r="AQ404">
        <v>-2</v>
      </c>
      <c r="AR404">
        <v>1</v>
      </c>
    </row>
    <row r="405" spans="1:44" x14ac:dyDescent="0.35">
      <c r="A405" s="12" t="s">
        <v>1000</v>
      </c>
      <c r="B405" s="12" t="s">
        <v>532</v>
      </c>
      <c r="C405" s="12" t="s">
        <v>533</v>
      </c>
      <c r="D405" s="12" t="s">
        <v>114</v>
      </c>
      <c r="E405" s="12" t="s">
        <v>65</v>
      </c>
      <c r="F405">
        <v>2</v>
      </c>
      <c r="G405">
        <v>3</v>
      </c>
      <c r="H405">
        <v>0</v>
      </c>
      <c r="I405" s="12" t="s">
        <v>105</v>
      </c>
      <c r="J405" s="12" t="s">
        <v>106</v>
      </c>
      <c r="K405" s="12" t="s">
        <v>81</v>
      </c>
      <c r="L405" s="12" t="s">
        <v>96</v>
      </c>
      <c r="M405">
        <v>5.01</v>
      </c>
      <c r="N405" s="12" t="s">
        <v>70</v>
      </c>
      <c r="O405" s="12" t="s">
        <v>71</v>
      </c>
      <c r="P405" s="12" t="s">
        <v>72</v>
      </c>
      <c r="Q405" s="13">
        <v>45057</v>
      </c>
      <c r="R405" s="13">
        <v>45087</v>
      </c>
      <c r="S405">
        <v>2023</v>
      </c>
      <c r="T405" s="12" t="s">
        <v>889</v>
      </c>
      <c r="U405">
        <v>85</v>
      </c>
      <c r="V405">
        <v>250.00970000000001</v>
      </c>
      <c r="W405">
        <v>408.58</v>
      </c>
      <c r="X405">
        <v>0</v>
      </c>
      <c r="Y405">
        <v>0</v>
      </c>
      <c r="Z405">
        <v>21250.82</v>
      </c>
      <c r="AA405">
        <v>21659.4</v>
      </c>
      <c r="AB405" s="12" t="s">
        <v>534</v>
      </c>
      <c r="AC405">
        <v>250.00970000000001</v>
      </c>
      <c r="AD405">
        <v>1</v>
      </c>
      <c r="AE405">
        <v>1</v>
      </c>
      <c r="AF405">
        <v>0</v>
      </c>
      <c r="AG405">
        <v>21250.82</v>
      </c>
      <c r="AH405">
        <v>85</v>
      </c>
      <c r="AI405">
        <v>84</v>
      </c>
      <c r="AJ405">
        <v>1</v>
      </c>
      <c r="AK405">
        <v>1</v>
      </c>
      <c r="AL405">
        <v>1</v>
      </c>
      <c r="AM405">
        <v>98.82</v>
      </c>
      <c r="AN405">
        <v>257.8501</v>
      </c>
      <c r="AO405">
        <v>250.01</v>
      </c>
      <c r="AP405" s="13">
        <v>45084</v>
      </c>
      <c r="AQ405">
        <v>-3</v>
      </c>
      <c r="AR405">
        <v>1</v>
      </c>
    </row>
    <row r="406" spans="1:44" x14ac:dyDescent="0.35">
      <c r="A406" s="12" t="s">
        <v>1001</v>
      </c>
      <c r="B406" s="12" t="s">
        <v>587</v>
      </c>
      <c r="C406" s="12" t="s">
        <v>588</v>
      </c>
      <c r="D406" s="12" t="s">
        <v>122</v>
      </c>
      <c r="E406" s="12" t="s">
        <v>104</v>
      </c>
      <c r="F406">
        <v>2</v>
      </c>
      <c r="G406">
        <v>0</v>
      </c>
      <c r="H406">
        <v>0</v>
      </c>
      <c r="I406" s="12" t="s">
        <v>486</v>
      </c>
      <c r="J406" s="12" t="s">
        <v>487</v>
      </c>
      <c r="K406" s="12" t="s">
        <v>125</v>
      </c>
      <c r="L406" s="12" t="s">
        <v>69</v>
      </c>
      <c r="M406">
        <v>36.86</v>
      </c>
      <c r="N406" s="12" t="s">
        <v>70</v>
      </c>
      <c r="O406" s="12" t="s">
        <v>71</v>
      </c>
      <c r="P406" s="12" t="s">
        <v>72</v>
      </c>
      <c r="Q406" s="13">
        <v>45057</v>
      </c>
      <c r="R406" s="13">
        <v>45080</v>
      </c>
      <c r="S406">
        <v>2023</v>
      </c>
      <c r="T406" s="12" t="s">
        <v>889</v>
      </c>
      <c r="U406">
        <v>1375</v>
      </c>
      <c r="V406">
        <v>11.7887</v>
      </c>
      <c r="W406">
        <v>240.96</v>
      </c>
      <c r="X406">
        <v>0</v>
      </c>
      <c r="Y406">
        <v>0</v>
      </c>
      <c r="Z406">
        <v>16209.46</v>
      </c>
      <c r="AA406">
        <v>16450.419999999998</v>
      </c>
      <c r="AB406" s="12" t="s">
        <v>744</v>
      </c>
      <c r="AC406">
        <v>12.517899999999999</v>
      </c>
      <c r="AD406">
        <v>1</v>
      </c>
      <c r="AE406">
        <v>1</v>
      </c>
      <c r="AF406">
        <v>-1002.65</v>
      </c>
      <c r="AG406">
        <v>17212.11</v>
      </c>
      <c r="AH406">
        <v>1375</v>
      </c>
      <c r="AI406">
        <v>1368</v>
      </c>
      <c r="AJ406">
        <v>7</v>
      </c>
      <c r="AK406">
        <v>1</v>
      </c>
      <c r="AL406">
        <v>1</v>
      </c>
      <c r="AM406">
        <v>99.49</v>
      </c>
      <c r="AN406">
        <v>12.0252</v>
      </c>
      <c r="AO406">
        <v>82.52</v>
      </c>
      <c r="AP406" s="13">
        <v>45080</v>
      </c>
      <c r="AQ406">
        <v>0</v>
      </c>
      <c r="AR406">
        <v>1</v>
      </c>
    </row>
    <row r="407" spans="1:44" x14ac:dyDescent="0.35">
      <c r="A407" s="12" t="s">
        <v>1002</v>
      </c>
      <c r="B407" s="12" t="s">
        <v>602</v>
      </c>
      <c r="C407" s="12" t="s">
        <v>603</v>
      </c>
      <c r="D407" s="12" t="s">
        <v>114</v>
      </c>
      <c r="E407" s="12" t="s">
        <v>142</v>
      </c>
      <c r="F407">
        <v>2</v>
      </c>
      <c r="G407">
        <v>10</v>
      </c>
      <c r="H407">
        <v>0</v>
      </c>
      <c r="I407" s="12" t="s">
        <v>263</v>
      </c>
      <c r="J407" s="12" t="s">
        <v>264</v>
      </c>
      <c r="K407" s="12" t="s">
        <v>125</v>
      </c>
      <c r="L407" s="12" t="s">
        <v>82</v>
      </c>
      <c r="M407">
        <v>10.210000000000001</v>
      </c>
      <c r="N407" s="12" t="s">
        <v>97</v>
      </c>
      <c r="O407" s="12" t="s">
        <v>98</v>
      </c>
      <c r="P407" s="12" t="s">
        <v>72</v>
      </c>
      <c r="Q407" s="13">
        <v>45057</v>
      </c>
      <c r="R407" s="13">
        <v>45105</v>
      </c>
      <c r="S407">
        <v>2023</v>
      </c>
      <c r="T407" s="12" t="s">
        <v>889</v>
      </c>
      <c r="U407">
        <v>118</v>
      </c>
      <c r="V407">
        <v>213.4624</v>
      </c>
      <c r="W407">
        <v>439.99</v>
      </c>
      <c r="X407">
        <v>0</v>
      </c>
      <c r="Y407">
        <v>0</v>
      </c>
      <c r="Z407">
        <v>25188.560000000001</v>
      </c>
      <c r="AA407">
        <v>25628.55</v>
      </c>
      <c r="AB407" s="12" t="s">
        <v>691</v>
      </c>
      <c r="AC407">
        <v>213.4624</v>
      </c>
      <c r="AD407">
        <v>1</v>
      </c>
      <c r="AE407">
        <v>1</v>
      </c>
      <c r="AF407">
        <v>0</v>
      </c>
      <c r="AG407">
        <v>25188.560000000001</v>
      </c>
      <c r="AH407">
        <v>118</v>
      </c>
      <c r="AI407">
        <v>116</v>
      </c>
      <c r="AJ407">
        <v>2</v>
      </c>
      <c r="AK407">
        <v>1</v>
      </c>
      <c r="AL407">
        <v>1</v>
      </c>
      <c r="AM407">
        <v>98.31</v>
      </c>
      <c r="AN407">
        <v>220.9358</v>
      </c>
      <c r="AO407">
        <v>426.92</v>
      </c>
      <c r="AP407" s="13">
        <v>45104</v>
      </c>
      <c r="AQ407">
        <v>-1</v>
      </c>
      <c r="AR407">
        <v>1</v>
      </c>
    </row>
    <row r="408" spans="1:44" x14ac:dyDescent="0.35">
      <c r="A408" s="12" t="s">
        <v>1003</v>
      </c>
      <c r="B408" s="12" t="s">
        <v>433</v>
      </c>
      <c r="C408" s="12" t="s">
        <v>434</v>
      </c>
      <c r="D408" s="12" t="s">
        <v>78</v>
      </c>
      <c r="E408" s="12" t="s">
        <v>65</v>
      </c>
      <c r="F408">
        <v>2</v>
      </c>
      <c r="G408">
        <v>4</v>
      </c>
      <c r="H408">
        <v>0</v>
      </c>
      <c r="I408" s="12" t="s">
        <v>105</v>
      </c>
      <c r="J408" s="12" t="s">
        <v>106</v>
      </c>
      <c r="K408" s="12" t="s">
        <v>81</v>
      </c>
      <c r="L408" s="12" t="s">
        <v>96</v>
      </c>
      <c r="M408">
        <v>5.01</v>
      </c>
      <c r="N408" s="12" t="s">
        <v>70</v>
      </c>
      <c r="O408" s="12" t="s">
        <v>71</v>
      </c>
      <c r="P408" s="12" t="s">
        <v>72</v>
      </c>
      <c r="Q408" s="13">
        <v>45057</v>
      </c>
      <c r="R408" s="13">
        <v>45082</v>
      </c>
      <c r="S408">
        <v>2023</v>
      </c>
      <c r="T408" s="12" t="s">
        <v>889</v>
      </c>
      <c r="U408">
        <v>110</v>
      </c>
      <c r="V408">
        <v>76.331100000000006</v>
      </c>
      <c r="W408">
        <v>138.53</v>
      </c>
      <c r="X408">
        <v>0</v>
      </c>
      <c r="Y408">
        <v>0</v>
      </c>
      <c r="Z408">
        <v>8396.42</v>
      </c>
      <c r="AA408">
        <v>8534.9500000000007</v>
      </c>
      <c r="AB408" s="12" t="s">
        <v>463</v>
      </c>
      <c r="AC408">
        <v>76.331100000000006</v>
      </c>
      <c r="AD408">
        <v>1</v>
      </c>
      <c r="AE408">
        <v>1</v>
      </c>
      <c r="AF408">
        <v>0</v>
      </c>
      <c r="AG408">
        <v>8396.42</v>
      </c>
      <c r="AH408">
        <v>110</v>
      </c>
      <c r="AI408">
        <v>109</v>
      </c>
      <c r="AJ408">
        <v>1</v>
      </c>
      <c r="AK408">
        <v>1</v>
      </c>
      <c r="AL408">
        <v>1</v>
      </c>
      <c r="AM408">
        <v>99.09</v>
      </c>
      <c r="AN408">
        <v>78.302300000000002</v>
      </c>
      <c r="AO408">
        <v>76.33</v>
      </c>
      <c r="AP408" s="13">
        <v>45079</v>
      </c>
      <c r="AQ408">
        <v>-3</v>
      </c>
      <c r="AR408">
        <v>1</v>
      </c>
    </row>
    <row r="409" spans="1:44" x14ac:dyDescent="0.35">
      <c r="A409" s="12" t="s">
        <v>1004</v>
      </c>
      <c r="B409" s="12" t="s">
        <v>680</v>
      </c>
      <c r="C409" s="12" t="s">
        <v>681</v>
      </c>
      <c r="D409" s="12" t="s">
        <v>122</v>
      </c>
      <c r="E409" s="12" t="s">
        <v>104</v>
      </c>
      <c r="F409">
        <v>3</v>
      </c>
      <c r="G409">
        <v>1</v>
      </c>
      <c r="H409">
        <v>0</v>
      </c>
      <c r="I409" s="12" t="s">
        <v>227</v>
      </c>
      <c r="J409" s="12" t="s">
        <v>228</v>
      </c>
      <c r="K409" s="12" t="s">
        <v>89</v>
      </c>
      <c r="L409" s="12" t="s">
        <v>96</v>
      </c>
      <c r="M409">
        <v>9.15</v>
      </c>
      <c r="N409" s="12" t="s">
        <v>97</v>
      </c>
      <c r="O409" s="12" t="s">
        <v>98</v>
      </c>
      <c r="P409" s="12" t="s">
        <v>72</v>
      </c>
      <c r="Q409" s="13">
        <v>45058</v>
      </c>
      <c r="R409" s="13">
        <v>45071</v>
      </c>
      <c r="S409">
        <v>2023</v>
      </c>
      <c r="T409" s="12" t="s">
        <v>889</v>
      </c>
      <c r="U409">
        <v>375</v>
      </c>
      <c r="V409">
        <v>23.246099999999998</v>
      </c>
      <c r="W409">
        <v>59.88</v>
      </c>
      <c r="X409">
        <v>0</v>
      </c>
      <c r="Y409">
        <v>0</v>
      </c>
      <c r="Z409">
        <v>8717.2900000000009</v>
      </c>
      <c r="AA409">
        <v>8777.17</v>
      </c>
      <c r="AB409" s="12" t="s">
        <v>861</v>
      </c>
      <c r="AC409">
        <v>23.246099999999998</v>
      </c>
      <c r="AD409">
        <v>1</v>
      </c>
      <c r="AE409">
        <v>1</v>
      </c>
      <c r="AF409">
        <v>0</v>
      </c>
      <c r="AG409">
        <v>8717.2900000000009</v>
      </c>
      <c r="AH409">
        <v>375</v>
      </c>
      <c r="AI409">
        <v>372</v>
      </c>
      <c r="AJ409">
        <v>3</v>
      </c>
      <c r="AK409">
        <v>1</v>
      </c>
      <c r="AL409">
        <v>1</v>
      </c>
      <c r="AM409">
        <v>99.2</v>
      </c>
      <c r="AN409">
        <v>23.5945</v>
      </c>
      <c r="AO409">
        <v>69.739999999999995</v>
      </c>
      <c r="AP409" s="13">
        <v>45069</v>
      </c>
      <c r="AQ409">
        <v>-2</v>
      </c>
      <c r="AR409">
        <v>1</v>
      </c>
    </row>
    <row r="410" spans="1:44" x14ac:dyDescent="0.35">
      <c r="A410" s="12" t="s">
        <v>1005</v>
      </c>
      <c r="B410" s="12" t="s">
        <v>347</v>
      </c>
      <c r="C410" s="12" t="s">
        <v>348</v>
      </c>
      <c r="D410" s="12" t="s">
        <v>78</v>
      </c>
      <c r="E410" s="12" t="s">
        <v>104</v>
      </c>
      <c r="F410">
        <v>3</v>
      </c>
      <c r="G410">
        <v>1</v>
      </c>
      <c r="H410">
        <v>0</v>
      </c>
      <c r="I410" s="12" t="s">
        <v>105</v>
      </c>
      <c r="J410" s="12" t="s">
        <v>106</v>
      </c>
      <c r="K410" s="12" t="s">
        <v>81</v>
      </c>
      <c r="L410" s="12" t="s">
        <v>96</v>
      </c>
      <c r="M410">
        <v>5.01</v>
      </c>
      <c r="N410" s="12" t="s">
        <v>70</v>
      </c>
      <c r="O410" s="12" t="s">
        <v>71</v>
      </c>
      <c r="P410" s="12" t="s">
        <v>72</v>
      </c>
      <c r="Q410" s="13">
        <v>45058</v>
      </c>
      <c r="R410" s="13">
        <v>45084</v>
      </c>
      <c r="S410">
        <v>2023</v>
      </c>
      <c r="T410" s="12" t="s">
        <v>889</v>
      </c>
      <c r="U410">
        <v>247</v>
      </c>
      <c r="V410">
        <v>100.34050000000001</v>
      </c>
      <c r="W410">
        <v>217.15</v>
      </c>
      <c r="X410">
        <v>0</v>
      </c>
      <c r="Y410">
        <v>0</v>
      </c>
      <c r="Z410">
        <v>24784.1</v>
      </c>
      <c r="AA410">
        <v>25001.25</v>
      </c>
      <c r="AB410" s="12" t="s">
        <v>841</v>
      </c>
      <c r="AC410">
        <v>100.34050000000001</v>
      </c>
      <c r="AD410">
        <v>1</v>
      </c>
      <c r="AE410">
        <v>1</v>
      </c>
      <c r="AF410">
        <v>0</v>
      </c>
      <c r="AG410">
        <v>24784.1</v>
      </c>
      <c r="AH410">
        <v>247</v>
      </c>
      <c r="AI410">
        <v>241</v>
      </c>
      <c r="AJ410">
        <v>6</v>
      </c>
      <c r="AK410">
        <v>1</v>
      </c>
      <c r="AL410">
        <v>1</v>
      </c>
      <c r="AM410">
        <v>97.57</v>
      </c>
      <c r="AN410">
        <v>103.7396</v>
      </c>
      <c r="AO410">
        <v>602.04</v>
      </c>
      <c r="AP410" s="13">
        <v>45082</v>
      </c>
      <c r="AQ410">
        <v>-2</v>
      </c>
      <c r="AR410">
        <v>1</v>
      </c>
    </row>
    <row r="411" spans="1:44" x14ac:dyDescent="0.35">
      <c r="A411" s="12" t="s">
        <v>1006</v>
      </c>
      <c r="B411" s="12" t="s">
        <v>112</v>
      </c>
      <c r="C411" s="12" t="s">
        <v>113</v>
      </c>
      <c r="D411" s="12" t="s">
        <v>114</v>
      </c>
      <c r="E411" s="12" t="s">
        <v>104</v>
      </c>
      <c r="F411">
        <v>3</v>
      </c>
      <c r="G411">
        <v>1</v>
      </c>
      <c r="H411">
        <v>0</v>
      </c>
      <c r="I411" s="12" t="s">
        <v>227</v>
      </c>
      <c r="J411" s="12" t="s">
        <v>228</v>
      </c>
      <c r="K411" s="12" t="s">
        <v>89</v>
      </c>
      <c r="L411" s="12" t="s">
        <v>96</v>
      </c>
      <c r="M411">
        <v>9.15</v>
      </c>
      <c r="N411" s="12" t="s">
        <v>70</v>
      </c>
      <c r="O411" s="12" t="s">
        <v>71</v>
      </c>
      <c r="P411" s="12" t="s">
        <v>72</v>
      </c>
      <c r="Q411" s="13">
        <v>45058</v>
      </c>
      <c r="R411" s="13">
        <v>45072</v>
      </c>
      <c r="S411">
        <v>2023</v>
      </c>
      <c r="T411" s="12" t="s">
        <v>889</v>
      </c>
      <c r="U411">
        <v>30</v>
      </c>
      <c r="V411">
        <v>264.17590000000001</v>
      </c>
      <c r="W411">
        <v>115.95</v>
      </c>
      <c r="X411">
        <v>0</v>
      </c>
      <c r="Y411">
        <v>0</v>
      </c>
      <c r="Z411">
        <v>7925.28</v>
      </c>
      <c r="AA411">
        <v>8041.23</v>
      </c>
      <c r="AB411" s="12" t="s">
        <v>282</v>
      </c>
      <c r="AC411">
        <v>264.17590000000001</v>
      </c>
      <c r="AD411">
        <v>1</v>
      </c>
      <c r="AE411">
        <v>1</v>
      </c>
      <c r="AF411">
        <v>0</v>
      </c>
      <c r="AG411">
        <v>7925.28</v>
      </c>
      <c r="AH411">
        <v>30</v>
      </c>
      <c r="AI411">
        <v>29</v>
      </c>
      <c r="AJ411">
        <v>1</v>
      </c>
      <c r="AK411">
        <v>1</v>
      </c>
      <c r="AL411">
        <v>1</v>
      </c>
      <c r="AM411">
        <v>96.67</v>
      </c>
      <c r="AN411">
        <v>277.28370000000001</v>
      </c>
      <c r="AO411">
        <v>264.18</v>
      </c>
      <c r="AP411" s="13">
        <v>45071</v>
      </c>
      <c r="AQ411">
        <v>-1</v>
      </c>
      <c r="AR411">
        <v>1</v>
      </c>
    </row>
    <row r="412" spans="1:44" x14ac:dyDescent="0.35">
      <c r="A412" s="12" t="s">
        <v>1007</v>
      </c>
      <c r="B412" s="12" t="s">
        <v>416</v>
      </c>
      <c r="C412" s="12" t="s">
        <v>417</v>
      </c>
      <c r="D412" s="12" t="s">
        <v>78</v>
      </c>
      <c r="E412" s="12" t="s">
        <v>65</v>
      </c>
      <c r="F412">
        <v>3</v>
      </c>
      <c r="G412">
        <v>5</v>
      </c>
      <c r="H412">
        <v>0</v>
      </c>
      <c r="I412" s="12" t="s">
        <v>169</v>
      </c>
      <c r="J412" s="12" t="s">
        <v>170</v>
      </c>
      <c r="K412" s="12" t="s">
        <v>89</v>
      </c>
      <c r="L412" s="12" t="s">
        <v>134</v>
      </c>
      <c r="M412">
        <v>1.37</v>
      </c>
      <c r="N412" s="12" t="s">
        <v>97</v>
      </c>
      <c r="O412" s="12" t="s">
        <v>98</v>
      </c>
      <c r="P412" s="12" t="s">
        <v>72</v>
      </c>
      <c r="Q412" s="13">
        <v>45058</v>
      </c>
      <c r="R412" s="13">
        <v>45087</v>
      </c>
      <c r="S412">
        <v>2023</v>
      </c>
      <c r="T412" s="12" t="s">
        <v>889</v>
      </c>
      <c r="U412">
        <v>155</v>
      </c>
      <c r="V412">
        <v>144.15710000000001</v>
      </c>
      <c r="W412">
        <v>222.88</v>
      </c>
      <c r="X412">
        <v>0</v>
      </c>
      <c r="Y412">
        <v>0</v>
      </c>
      <c r="Z412">
        <v>22344.35</v>
      </c>
      <c r="AA412">
        <v>22567.23</v>
      </c>
      <c r="AB412" s="12" t="s">
        <v>418</v>
      </c>
      <c r="AC412">
        <v>144.15710000000001</v>
      </c>
      <c r="AD412">
        <v>1</v>
      </c>
      <c r="AE412">
        <v>1</v>
      </c>
      <c r="AF412">
        <v>0</v>
      </c>
      <c r="AG412">
        <v>22344.35</v>
      </c>
      <c r="AH412">
        <v>155</v>
      </c>
      <c r="AI412">
        <v>152</v>
      </c>
      <c r="AJ412">
        <v>3</v>
      </c>
      <c r="AK412">
        <v>1</v>
      </c>
      <c r="AL412">
        <v>1</v>
      </c>
      <c r="AM412">
        <v>98.06</v>
      </c>
      <c r="AN412">
        <v>148.46860000000001</v>
      </c>
      <c r="AO412">
        <v>432.47</v>
      </c>
      <c r="AP412" s="13">
        <v>45092</v>
      </c>
      <c r="AQ412">
        <v>5</v>
      </c>
      <c r="AR412">
        <v>0</v>
      </c>
    </row>
    <row r="413" spans="1:44" x14ac:dyDescent="0.35">
      <c r="A413" s="12" t="s">
        <v>1008</v>
      </c>
      <c r="B413" s="12" t="s">
        <v>399</v>
      </c>
      <c r="C413" s="12" t="s">
        <v>400</v>
      </c>
      <c r="D413" s="12" t="s">
        <v>114</v>
      </c>
      <c r="E413" s="12" t="s">
        <v>65</v>
      </c>
      <c r="F413">
        <v>1</v>
      </c>
      <c r="G413">
        <v>2</v>
      </c>
      <c r="H413">
        <v>1</v>
      </c>
      <c r="I413" s="12" t="s">
        <v>151</v>
      </c>
      <c r="J413" s="12" t="s">
        <v>152</v>
      </c>
      <c r="K413" s="12" t="s">
        <v>125</v>
      </c>
      <c r="L413" s="12" t="s">
        <v>69</v>
      </c>
      <c r="M413">
        <v>36.479999999999997</v>
      </c>
      <c r="N413" s="12" t="s">
        <v>70</v>
      </c>
      <c r="O413" s="12" t="s">
        <v>71</v>
      </c>
      <c r="P413" s="12" t="s">
        <v>72</v>
      </c>
      <c r="Q413" s="13">
        <v>45058</v>
      </c>
      <c r="R413" s="13">
        <v>45087</v>
      </c>
      <c r="S413">
        <v>2023</v>
      </c>
      <c r="T413" s="12" t="s">
        <v>889</v>
      </c>
      <c r="U413">
        <v>77</v>
      </c>
      <c r="V413">
        <v>296.81490000000002</v>
      </c>
      <c r="W413">
        <v>453.67</v>
      </c>
      <c r="X413">
        <v>0</v>
      </c>
      <c r="Y413">
        <v>0</v>
      </c>
      <c r="Z413">
        <v>22854.75</v>
      </c>
      <c r="AA413">
        <v>23308.42</v>
      </c>
      <c r="AB413" s="12" t="s">
        <v>401</v>
      </c>
      <c r="AC413">
        <v>296.81490000000002</v>
      </c>
      <c r="AD413">
        <v>1</v>
      </c>
      <c r="AE413">
        <v>1</v>
      </c>
      <c r="AF413">
        <v>0</v>
      </c>
      <c r="AG413">
        <v>22854.75</v>
      </c>
      <c r="AH413">
        <v>77</v>
      </c>
      <c r="AI413">
        <v>76</v>
      </c>
      <c r="AJ413">
        <v>1</v>
      </c>
      <c r="AK413">
        <v>1</v>
      </c>
      <c r="AL413">
        <v>1</v>
      </c>
      <c r="AM413">
        <v>98.7</v>
      </c>
      <c r="AN413">
        <v>306.68970000000002</v>
      </c>
      <c r="AO413">
        <v>296.81</v>
      </c>
      <c r="AP413" s="13">
        <v>45092</v>
      </c>
      <c r="AQ413">
        <v>5</v>
      </c>
      <c r="AR413">
        <v>0</v>
      </c>
    </row>
    <row r="414" spans="1:44" x14ac:dyDescent="0.35">
      <c r="A414" s="12" t="s">
        <v>1009</v>
      </c>
      <c r="B414" s="12" t="s">
        <v>555</v>
      </c>
      <c r="C414" s="12" t="s">
        <v>556</v>
      </c>
      <c r="D414" s="12" t="s">
        <v>114</v>
      </c>
      <c r="E414" s="12" t="s">
        <v>142</v>
      </c>
      <c r="F414">
        <v>1</v>
      </c>
      <c r="G414">
        <v>6</v>
      </c>
      <c r="H414">
        <v>1</v>
      </c>
      <c r="I414" s="12" t="s">
        <v>151</v>
      </c>
      <c r="J414" s="12" t="s">
        <v>152</v>
      </c>
      <c r="K414" s="12" t="s">
        <v>125</v>
      </c>
      <c r="L414" s="12" t="s">
        <v>69</v>
      </c>
      <c r="M414">
        <v>36.479999999999997</v>
      </c>
      <c r="N414" s="12" t="s">
        <v>70</v>
      </c>
      <c r="O414" s="12" t="s">
        <v>71</v>
      </c>
      <c r="P414" s="12" t="s">
        <v>72</v>
      </c>
      <c r="Q414" s="13">
        <v>45058</v>
      </c>
      <c r="R414" s="13">
        <v>45106</v>
      </c>
      <c r="S414">
        <v>2023</v>
      </c>
      <c r="T414" s="12" t="s">
        <v>889</v>
      </c>
      <c r="U414">
        <v>117</v>
      </c>
      <c r="V414">
        <v>290.42770000000002</v>
      </c>
      <c r="W414">
        <v>693.06</v>
      </c>
      <c r="X414">
        <v>0</v>
      </c>
      <c r="Y414">
        <v>0</v>
      </c>
      <c r="Z414">
        <v>33980.04</v>
      </c>
      <c r="AA414">
        <v>34673.1</v>
      </c>
      <c r="AB414" s="12" t="s">
        <v>557</v>
      </c>
      <c r="AC414">
        <v>290.42770000000002</v>
      </c>
      <c r="AD414">
        <v>1</v>
      </c>
      <c r="AE414">
        <v>1</v>
      </c>
      <c r="AF414">
        <v>0</v>
      </c>
      <c r="AG414">
        <v>33980.04</v>
      </c>
      <c r="AH414">
        <v>117</v>
      </c>
      <c r="AI414">
        <v>116</v>
      </c>
      <c r="AJ414">
        <v>1</v>
      </c>
      <c r="AK414">
        <v>1</v>
      </c>
      <c r="AL414">
        <v>1</v>
      </c>
      <c r="AM414">
        <v>99.15</v>
      </c>
      <c r="AN414">
        <v>298.90600000000001</v>
      </c>
      <c r="AO414">
        <v>290.43</v>
      </c>
      <c r="AP414" s="13">
        <v>45105</v>
      </c>
      <c r="AQ414">
        <v>-1</v>
      </c>
      <c r="AR414">
        <v>1</v>
      </c>
    </row>
    <row r="415" spans="1:44" x14ac:dyDescent="0.35">
      <c r="A415" s="12" t="s">
        <v>1010</v>
      </c>
      <c r="B415" s="12" t="s">
        <v>827</v>
      </c>
      <c r="C415" s="12" t="s">
        <v>828</v>
      </c>
      <c r="D415" s="12" t="s">
        <v>175</v>
      </c>
      <c r="E415" s="12" t="s">
        <v>104</v>
      </c>
      <c r="F415">
        <v>2</v>
      </c>
      <c r="G415">
        <v>0</v>
      </c>
      <c r="H415">
        <v>0</v>
      </c>
      <c r="I415" s="12" t="s">
        <v>183</v>
      </c>
      <c r="J415" s="12" t="s">
        <v>184</v>
      </c>
      <c r="K415" s="12" t="s">
        <v>133</v>
      </c>
      <c r="L415" s="12" t="s">
        <v>82</v>
      </c>
      <c r="M415">
        <v>8.6199999999999992</v>
      </c>
      <c r="N415" s="12" t="s">
        <v>107</v>
      </c>
      <c r="O415" s="12" t="s">
        <v>108</v>
      </c>
      <c r="P415" s="12" t="s">
        <v>109</v>
      </c>
      <c r="Q415" s="13">
        <v>45058</v>
      </c>
      <c r="R415" s="13">
        <v>45079</v>
      </c>
      <c r="S415">
        <v>2023</v>
      </c>
      <c r="T415" s="12" t="s">
        <v>889</v>
      </c>
      <c r="U415">
        <v>86</v>
      </c>
      <c r="V415">
        <v>107.794</v>
      </c>
      <c r="W415">
        <v>159.16999999999999</v>
      </c>
      <c r="X415">
        <v>0</v>
      </c>
      <c r="Y415">
        <v>0</v>
      </c>
      <c r="Z415">
        <v>9270.2800000000007</v>
      </c>
      <c r="AA415">
        <v>9429.4500000000007</v>
      </c>
      <c r="AB415" s="12" t="s">
        <v>829</v>
      </c>
      <c r="AC415">
        <v>107.794</v>
      </c>
      <c r="AD415">
        <v>1</v>
      </c>
      <c r="AE415">
        <v>1</v>
      </c>
      <c r="AF415">
        <v>0</v>
      </c>
      <c r="AG415">
        <v>9270.2800000000007</v>
      </c>
      <c r="AH415">
        <v>86</v>
      </c>
      <c r="AI415">
        <v>85</v>
      </c>
      <c r="AJ415">
        <v>1</v>
      </c>
      <c r="AK415">
        <v>1</v>
      </c>
      <c r="AL415">
        <v>1</v>
      </c>
      <c r="AM415">
        <v>98.84</v>
      </c>
      <c r="AN415">
        <v>110.9348</v>
      </c>
      <c r="AO415">
        <v>107.79</v>
      </c>
      <c r="AP415" s="13">
        <v>45079</v>
      </c>
      <c r="AQ415">
        <v>0</v>
      </c>
      <c r="AR415">
        <v>1</v>
      </c>
    </row>
    <row r="416" spans="1:44" x14ac:dyDescent="0.35">
      <c r="A416" s="12" t="s">
        <v>1011</v>
      </c>
      <c r="B416" s="12" t="s">
        <v>362</v>
      </c>
      <c r="C416" s="12" t="s">
        <v>363</v>
      </c>
      <c r="D416" s="12" t="s">
        <v>78</v>
      </c>
      <c r="E416" s="12" t="s">
        <v>104</v>
      </c>
      <c r="F416">
        <v>3</v>
      </c>
      <c r="G416">
        <v>0</v>
      </c>
      <c r="H416">
        <v>0</v>
      </c>
      <c r="I416" s="12" t="s">
        <v>157</v>
      </c>
      <c r="J416" s="12" t="s">
        <v>158</v>
      </c>
      <c r="K416" s="12" t="s">
        <v>117</v>
      </c>
      <c r="L416" s="12" t="s">
        <v>96</v>
      </c>
      <c r="M416">
        <v>4.72</v>
      </c>
      <c r="N416" s="12" t="s">
        <v>97</v>
      </c>
      <c r="O416" s="12" t="s">
        <v>98</v>
      </c>
      <c r="P416" s="12" t="s">
        <v>72</v>
      </c>
      <c r="Q416" s="13">
        <v>45058</v>
      </c>
      <c r="R416" s="13">
        <v>45082</v>
      </c>
      <c r="S416">
        <v>2023</v>
      </c>
      <c r="T416" s="12" t="s">
        <v>889</v>
      </c>
      <c r="U416">
        <v>222</v>
      </c>
      <c r="V416">
        <v>63.140599999999999</v>
      </c>
      <c r="W416">
        <v>128.47</v>
      </c>
      <c r="X416">
        <v>0</v>
      </c>
      <c r="Y416">
        <v>0</v>
      </c>
      <c r="Z416">
        <v>14017.21</v>
      </c>
      <c r="AA416">
        <v>14145.68</v>
      </c>
      <c r="AB416" s="12" t="s">
        <v>364</v>
      </c>
      <c r="AC416">
        <v>63.140599999999999</v>
      </c>
      <c r="AD416">
        <v>1</v>
      </c>
      <c r="AE416">
        <v>1</v>
      </c>
      <c r="AF416">
        <v>0</v>
      </c>
      <c r="AG416">
        <v>14017.21</v>
      </c>
      <c r="AH416">
        <v>222</v>
      </c>
      <c r="AI416">
        <v>219</v>
      </c>
      <c r="AJ416">
        <v>3</v>
      </c>
      <c r="AK416">
        <v>1</v>
      </c>
      <c r="AL416">
        <v>1</v>
      </c>
      <c r="AM416">
        <v>98.65</v>
      </c>
      <c r="AN416">
        <v>64.592200000000005</v>
      </c>
      <c r="AO416">
        <v>189.42</v>
      </c>
      <c r="AP416" s="13">
        <v>45081</v>
      </c>
      <c r="AQ416">
        <v>-1</v>
      </c>
      <c r="AR416">
        <v>1</v>
      </c>
    </row>
    <row r="417" spans="1:44" x14ac:dyDescent="0.35">
      <c r="A417" s="12" t="s">
        <v>1012</v>
      </c>
      <c r="B417" s="12" t="s">
        <v>1013</v>
      </c>
      <c r="C417" s="12" t="s">
        <v>1014</v>
      </c>
      <c r="D417" s="12" t="s">
        <v>78</v>
      </c>
      <c r="E417" s="12" t="s">
        <v>65</v>
      </c>
      <c r="F417">
        <v>2</v>
      </c>
      <c r="G417">
        <v>3</v>
      </c>
      <c r="H417">
        <v>0</v>
      </c>
      <c r="I417" s="12" t="s">
        <v>123</v>
      </c>
      <c r="J417" s="12" t="s">
        <v>124</v>
      </c>
      <c r="K417" s="12" t="s">
        <v>125</v>
      </c>
      <c r="L417" s="12" t="s">
        <v>82</v>
      </c>
      <c r="M417">
        <v>6.75</v>
      </c>
      <c r="N417" s="12" t="s">
        <v>97</v>
      </c>
      <c r="O417" s="12" t="s">
        <v>98</v>
      </c>
      <c r="P417" s="12" t="s">
        <v>72</v>
      </c>
      <c r="Q417" s="13">
        <v>45058</v>
      </c>
      <c r="R417" s="13">
        <v>45090</v>
      </c>
      <c r="S417">
        <v>2023</v>
      </c>
      <c r="T417" s="12" t="s">
        <v>889</v>
      </c>
      <c r="U417">
        <v>201</v>
      </c>
      <c r="V417">
        <v>125.2653</v>
      </c>
      <c r="W417">
        <v>324.45</v>
      </c>
      <c r="X417">
        <v>0</v>
      </c>
      <c r="Y417">
        <v>0</v>
      </c>
      <c r="Z417">
        <v>25178.33</v>
      </c>
      <c r="AA417">
        <v>25502.78</v>
      </c>
      <c r="AB417" s="12" t="s">
        <v>1015</v>
      </c>
      <c r="AC417">
        <v>125.2653</v>
      </c>
      <c r="AD417">
        <v>1</v>
      </c>
      <c r="AE417">
        <v>1</v>
      </c>
      <c r="AF417">
        <v>0</v>
      </c>
      <c r="AG417">
        <v>25178.33</v>
      </c>
      <c r="AH417">
        <v>201</v>
      </c>
      <c r="AI417">
        <v>198</v>
      </c>
      <c r="AJ417">
        <v>3</v>
      </c>
      <c r="AK417">
        <v>1</v>
      </c>
      <c r="AL417">
        <v>1</v>
      </c>
      <c r="AM417">
        <v>98.51</v>
      </c>
      <c r="AN417">
        <v>128.80189999999999</v>
      </c>
      <c r="AO417">
        <v>375.8</v>
      </c>
      <c r="AP417" s="13">
        <v>45094</v>
      </c>
      <c r="AQ417">
        <v>4</v>
      </c>
      <c r="AR417">
        <v>0</v>
      </c>
    </row>
    <row r="418" spans="1:44" x14ac:dyDescent="0.35">
      <c r="A418" s="12" t="s">
        <v>1016</v>
      </c>
      <c r="B418" s="12" t="s">
        <v>323</v>
      </c>
      <c r="C418" s="12" t="s">
        <v>324</v>
      </c>
      <c r="D418" s="12" t="s">
        <v>64</v>
      </c>
      <c r="E418" s="12" t="s">
        <v>142</v>
      </c>
      <c r="F418">
        <v>1</v>
      </c>
      <c r="G418">
        <v>7</v>
      </c>
      <c r="H418">
        <v>1</v>
      </c>
      <c r="I418" s="12" t="s">
        <v>143</v>
      </c>
      <c r="J418" s="12" t="s">
        <v>144</v>
      </c>
      <c r="K418" s="12" t="s">
        <v>133</v>
      </c>
      <c r="L418" s="12" t="s">
        <v>96</v>
      </c>
      <c r="M418">
        <v>5.43</v>
      </c>
      <c r="N418" s="12" t="s">
        <v>70</v>
      </c>
      <c r="O418" s="12" t="s">
        <v>71</v>
      </c>
      <c r="P418" s="12" t="s">
        <v>72</v>
      </c>
      <c r="Q418" s="13">
        <v>45058</v>
      </c>
      <c r="R418" s="13">
        <v>45103</v>
      </c>
      <c r="S418">
        <v>2023</v>
      </c>
      <c r="T418" s="12" t="s">
        <v>889</v>
      </c>
      <c r="U418">
        <v>611</v>
      </c>
      <c r="V418">
        <v>37.2455</v>
      </c>
      <c r="W418">
        <v>572.33000000000004</v>
      </c>
      <c r="X418">
        <v>0</v>
      </c>
      <c r="Y418">
        <v>0</v>
      </c>
      <c r="Z418">
        <v>22757</v>
      </c>
      <c r="AA418">
        <v>23329.33</v>
      </c>
      <c r="AB418" s="12" t="s">
        <v>325</v>
      </c>
      <c r="AC418">
        <v>39.503399999999999</v>
      </c>
      <c r="AD418">
        <v>1</v>
      </c>
      <c r="AE418">
        <v>1</v>
      </c>
      <c r="AF418">
        <v>-1379.58</v>
      </c>
      <c r="AG418">
        <v>24136.58</v>
      </c>
      <c r="AH418">
        <v>611</v>
      </c>
      <c r="AI418">
        <v>608</v>
      </c>
      <c r="AJ418">
        <v>3</v>
      </c>
      <c r="AK418">
        <v>1</v>
      </c>
      <c r="AL418">
        <v>1</v>
      </c>
      <c r="AM418">
        <v>99.51</v>
      </c>
      <c r="AN418">
        <v>38.370600000000003</v>
      </c>
      <c r="AO418">
        <v>111.74</v>
      </c>
      <c r="AP418" s="13">
        <v>45101</v>
      </c>
      <c r="AQ418">
        <v>-2</v>
      </c>
      <c r="AR418">
        <v>1</v>
      </c>
    </row>
    <row r="419" spans="1:44" x14ac:dyDescent="0.35">
      <c r="A419" s="12" t="s">
        <v>1017</v>
      </c>
      <c r="B419" s="12" t="s">
        <v>395</v>
      </c>
      <c r="C419" s="12" t="s">
        <v>396</v>
      </c>
      <c r="D419" s="12" t="s">
        <v>130</v>
      </c>
      <c r="E419" s="12" t="s">
        <v>104</v>
      </c>
      <c r="F419">
        <v>3</v>
      </c>
      <c r="G419">
        <v>1</v>
      </c>
      <c r="H419">
        <v>0</v>
      </c>
      <c r="I419" s="12" t="s">
        <v>341</v>
      </c>
      <c r="J419" s="12" t="s">
        <v>342</v>
      </c>
      <c r="K419" s="12" t="s">
        <v>117</v>
      </c>
      <c r="L419" s="12" t="s">
        <v>82</v>
      </c>
      <c r="M419">
        <v>18.36</v>
      </c>
      <c r="N419" s="12" t="s">
        <v>135</v>
      </c>
      <c r="O419" s="12" t="s">
        <v>136</v>
      </c>
      <c r="P419" s="12" t="s">
        <v>137</v>
      </c>
      <c r="Q419" s="13">
        <v>45061</v>
      </c>
      <c r="R419" s="13">
        <v>45077</v>
      </c>
      <c r="S419">
        <v>2023</v>
      </c>
      <c r="T419" s="12" t="s">
        <v>889</v>
      </c>
      <c r="U419">
        <v>48</v>
      </c>
      <c r="V419">
        <v>190.43799999999999</v>
      </c>
      <c r="W419">
        <v>145.81</v>
      </c>
      <c r="X419">
        <v>0</v>
      </c>
      <c r="Y419">
        <v>0</v>
      </c>
      <c r="Z419">
        <v>9141.02</v>
      </c>
      <c r="AA419">
        <v>9286.83</v>
      </c>
      <c r="AB419" s="12" t="s">
        <v>397</v>
      </c>
      <c r="AC419">
        <v>190.43799999999999</v>
      </c>
      <c r="AD419">
        <v>1</v>
      </c>
      <c r="AE419">
        <v>1</v>
      </c>
      <c r="AF419">
        <v>0</v>
      </c>
      <c r="AG419">
        <v>9141.02</v>
      </c>
      <c r="AH419">
        <v>48</v>
      </c>
      <c r="AI419">
        <v>48</v>
      </c>
      <c r="AJ419">
        <v>0</v>
      </c>
      <c r="AK419">
        <v>1</v>
      </c>
      <c r="AL419">
        <v>1</v>
      </c>
      <c r="AM419">
        <v>100</v>
      </c>
      <c r="AN419">
        <v>193.47569999999999</v>
      </c>
      <c r="AO419">
        <v>0</v>
      </c>
      <c r="AP419" s="13">
        <v>45077</v>
      </c>
      <c r="AQ419">
        <v>0</v>
      </c>
      <c r="AR419">
        <v>1</v>
      </c>
    </row>
    <row r="420" spans="1:44" x14ac:dyDescent="0.35">
      <c r="A420" s="12" t="s">
        <v>1018</v>
      </c>
      <c r="B420" s="12" t="s">
        <v>613</v>
      </c>
      <c r="C420" s="12" t="s">
        <v>614</v>
      </c>
      <c r="D420" s="12" t="s">
        <v>130</v>
      </c>
      <c r="E420" s="12" t="s">
        <v>104</v>
      </c>
      <c r="F420">
        <v>3</v>
      </c>
      <c r="G420">
        <v>1</v>
      </c>
      <c r="H420">
        <v>0</v>
      </c>
      <c r="I420" s="12" t="s">
        <v>66</v>
      </c>
      <c r="J420" s="12" t="s">
        <v>67</v>
      </c>
      <c r="K420" s="12" t="s">
        <v>68</v>
      </c>
      <c r="L420" s="12" t="s">
        <v>69</v>
      </c>
      <c r="M420">
        <v>17.66</v>
      </c>
      <c r="N420" s="12" t="s">
        <v>135</v>
      </c>
      <c r="O420" s="12" t="s">
        <v>136</v>
      </c>
      <c r="P420" s="12" t="s">
        <v>137</v>
      </c>
      <c r="Q420" s="13">
        <v>45061</v>
      </c>
      <c r="R420" s="13">
        <v>45074</v>
      </c>
      <c r="S420">
        <v>2023</v>
      </c>
      <c r="T420" s="12" t="s">
        <v>889</v>
      </c>
      <c r="U420">
        <v>20</v>
      </c>
      <c r="V420">
        <v>195.35140000000001</v>
      </c>
      <c r="W420">
        <v>86.43</v>
      </c>
      <c r="X420">
        <v>0</v>
      </c>
      <c r="Y420">
        <v>0</v>
      </c>
      <c r="Z420">
        <v>3907.03</v>
      </c>
      <c r="AA420">
        <v>3993.46</v>
      </c>
      <c r="AB420" s="12" t="s">
        <v>615</v>
      </c>
      <c r="AC420">
        <v>195.35140000000001</v>
      </c>
      <c r="AD420">
        <v>1</v>
      </c>
      <c r="AE420">
        <v>1</v>
      </c>
      <c r="AF420">
        <v>0</v>
      </c>
      <c r="AG420">
        <v>3907.03</v>
      </c>
      <c r="AH420">
        <v>20</v>
      </c>
      <c r="AI420">
        <v>20</v>
      </c>
      <c r="AJ420">
        <v>0</v>
      </c>
      <c r="AK420">
        <v>1</v>
      </c>
      <c r="AL420">
        <v>1</v>
      </c>
      <c r="AM420">
        <v>100</v>
      </c>
      <c r="AN420">
        <v>199.6729</v>
      </c>
      <c r="AO420">
        <v>0</v>
      </c>
      <c r="AP420" s="13">
        <v>45072</v>
      </c>
      <c r="AQ420">
        <v>-2</v>
      </c>
      <c r="AR420">
        <v>1</v>
      </c>
    </row>
    <row r="421" spans="1:44" x14ac:dyDescent="0.35">
      <c r="A421" s="12" t="s">
        <v>1019</v>
      </c>
      <c r="B421" s="12" t="s">
        <v>465</v>
      </c>
      <c r="C421" s="12" t="s">
        <v>466</v>
      </c>
      <c r="D421" s="12" t="s">
        <v>78</v>
      </c>
      <c r="E421" s="12" t="s">
        <v>142</v>
      </c>
      <c r="F421">
        <v>3</v>
      </c>
      <c r="G421">
        <v>11</v>
      </c>
      <c r="H421">
        <v>0</v>
      </c>
      <c r="I421" s="12" t="s">
        <v>195</v>
      </c>
      <c r="J421" s="12" t="s">
        <v>196</v>
      </c>
      <c r="K421" s="12" t="s">
        <v>117</v>
      </c>
      <c r="L421" s="12" t="s">
        <v>134</v>
      </c>
      <c r="M421">
        <v>4.7699999999999996</v>
      </c>
      <c r="N421" s="12" t="s">
        <v>97</v>
      </c>
      <c r="O421" s="12" t="s">
        <v>98</v>
      </c>
      <c r="P421" s="12" t="s">
        <v>72</v>
      </c>
      <c r="Q421" s="13">
        <v>45061</v>
      </c>
      <c r="R421" s="13">
        <v>45102</v>
      </c>
      <c r="S421">
        <v>2023</v>
      </c>
      <c r="T421" s="12" t="s">
        <v>889</v>
      </c>
      <c r="U421">
        <v>126</v>
      </c>
      <c r="V421">
        <v>110.11579999999999</v>
      </c>
      <c r="W421">
        <v>276.04000000000002</v>
      </c>
      <c r="X421">
        <v>0</v>
      </c>
      <c r="Y421">
        <v>0</v>
      </c>
      <c r="Z421">
        <v>13874.59</v>
      </c>
      <c r="AA421">
        <v>14150.63</v>
      </c>
      <c r="AB421" s="12" t="s">
        <v>467</v>
      </c>
      <c r="AC421">
        <v>110.11579999999999</v>
      </c>
      <c r="AD421">
        <v>1</v>
      </c>
      <c r="AE421">
        <v>1</v>
      </c>
      <c r="AF421">
        <v>0</v>
      </c>
      <c r="AG421">
        <v>13874.59</v>
      </c>
      <c r="AH421">
        <v>126</v>
      </c>
      <c r="AI421">
        <v>125</v>
      </c>
      <c r="AJ421">
        <v>1</v>
      </c>
      <c r="AK421">
        <v>1</v>
      </c>
      <c r="AL421">
        <v>1</v>
      </c>
      <c r="AM421">
        <v>99.21</v>
      </c>
      <c r="AN421">
        <v>113.205</v>
      </c>
      <c r="AO421">
        <v>110.12</v>
      </c>
      <c r="AP421" s="13">
        <v>45099</v>
      </c>
      <c r="AQ421">
        <v>-3</v>
      </c>
      <c r="AR421">
        <v>1</v>
      </c>
    </row>
    <row r="422" spans="1:44" x14ac:dyDescent="0.35">
      <c r="A422" s="12" t="s">
        <v>1020</v>
      </c>
      <c r="B422" s="12" t="s">
        <v>823</v>
      </c>
      <c r="C422" s="12" t="s">
        <v>824</v>
      </c>
      <c r="D422" s="12" t="s">
        <v>114</v>
      </c>
      <c r="E422" s="12" t="s">
        <v>142</v>
      </c>
      <c r="F422">
        <v>1</v>
      </c>
      <c r="G422">
        <v>8</v>
      </c>
      <c r="H422">
        <v>1</v>
      </c>
      <c r="I422" s="12" t="s">
        <v>515</v>
      </c>
      <c r="J422" s="12" t="s">
        <v>516</v>
      </c>
      <c r="K422" s="12" t="s">
        <v>68</v>
      </c>
      <c r="L422" s="12" t="s">
        <v>134</v>
      </c>
      <c r="M422">
        <v>3.69</v>
      </c>
      <c r="N422" s="12" t="s">
        <v>70</v>
      </c>
      <c r="O422" s="12" t="s">
        <v>71</v>
      </c>
      <c r="P422" s="12" t="s">
        <v>72</v>
      </c>
      <c r="Q422" s="13">
        <v>45061</v>
      </c>
      <c r="R422" s="13">
        <v>45113</v>
      </c>
      <c r="S422">
        <v>2023</v>
      </c>
      <c r="T422" s="12" t="s">
        <v>889</v>
      </c>
      <c r="U422">
        <v>142</v>
      </c>
      <c r="V422">
        <v>361.73399999999998</v>
      </c>
      <c r="W422">
        <v>647.28</v>
      </c>
      <c r="X422">
        <v>0</v>
      </c>
      <c r="Y422">
        <v>0</v>
      </c>
      <c r="Z422">
        <v>51366.23</v>
      </c>
      <c r="AA422">
        <v>52013.51</v>
      </c>
      <c r="AB422" s="12" t="s">
        <v>825</v>
      </c>
      <c r="AC422">
        <v>361.73399999999998</v>
      </c>
      <c r="AD422">
        <v>1</v>
      </c>
      <c r="AE422">
        <v>1</v>
      </c>
      <c r="AF422">
        <v>0</v>
      </c>
      <c r="AG422">
        <v>51366.23</v>
      </c>
      <c r="AH422">
        <v>142</v>
      </c>
      <c r="AI422">
        <v>141</v>
      </c>
      <c r="AJ422">
        <v>1</v>
      </c>
      <c r="AK422">
        <v>1</v>
      </c>
      <c r="AL422">
        <v>1</v>
      </c>
      <c r="AM422">
        <v>99.3</v>
      </c>
      <c r="AN422">
        <v>368.89010000000002</v>
      </c>
      <c r="AO422">
        <v>361.73</v>
      </c>
      <c r="AP422" s="13">
        <v>45111</v>
      </c>
      <c r="AQ422">
        <v>-2</v>
      </c>
      <c r="AR422">
        <v>1</v>
      </c>
    </row>
    <row r="423" spans="1:44" x14ac:dyDescent="0.35">
      <c r="A423" s="12" t="s">
        <v>1021</v>
      </c>
      <c r="B423" s="12" t="s">
        <v>155</v>
      </c>
      <c r="C423" s="12" t="s">
        <v>156</v>
      </c>
      <c r="D423" s="12" t="s">
        <v>130</v>
      </c>
      <c r="E423" s="12" t="s">
        <v>104</v>
      </c>
      <c r="F423">
        <v>3</v>
      </c>
      <c r="G423">
        <v>1</v>
      </c>
      <c r="H423">
        <v>0</v>
      </c>
      <c r="I423" s="12" t="s">
        <v>157</v>
      </c>
      <c r="J423" s="12" t="s">
        <v>158</v>
      </c>
      <c r="K423" s="12" t="s">
        <v>117</v>
      </c>
      <c r="L423" s="12" t="s">
        <v>96</v>
      </c>
      <c r="M423">
        <v>4.72</v>
      </c>
      <c r="N423" s="12" t="s">
        <v>135</v>
      </c>
      <c r="O423" s="12" t="s">
        <v>136</v>
      </c>
      <c r="P423" s="12" t="s">
        <v>137</v>
      </c>
      <c r="Q423" s="13">
        <v>45062</v>
      </c>
      <c r="R423" s="13">
        <v>45088</v>
      </c>
      <c r="S423">
        <v>2023</v>
      </c>
      <c r="T423" s="12" t="s">
        <v>889</v>
      </c>
      <c r="U423">
        <v>125</v>
      </c>
      <c r="V423">
        <v>206.28880000000001</v>
      </c>
      <c r="W423">
        <v>375.04</v>
      </c>
      <c r="X423">
        <v>0</v>
      </c>
      <c r="Y423">
        <v>0</v>
      </c>
      <c r="Z423">
        <v>25786.1</v>
      </c>
      <c r="AA423">
        <v>26161.14</v>
      </c>
      <c r="AB423" s="12" t="s">
        <v>161</v>
      </c>
      <c r="AC423">
        <v>206.28880000000001</v>
      </c>
      <c r="AD423">
        <v>1</v>
      </c>
      <c r="AE423">
        <v>1</v>
      </c>
      <c r="AF423">
        <v>0</v>
      </c>
      <c r="AG423">
        <v>25786.1</v>
      </c>
      <c r="AH423">
        <v>125</v>
      </c>
      <c r="AI423">
        <v>124</v>
      </c>
      <c r="AJ423">
        <v>1</v>
      </c>
      <c r="AK423">
        <v>1</v>
      </c>
      <c r="AL423">
        <v>1</v>
      </c>
      <c r="AM423">
        <v>99.2</v>
      </c>
      <c r="AN423">
        <v>210.9769</v>
      </c>
      <c r="AO423">
        <v>206.29</v>
      </c>
      <c r="AP423" s="13">
        <v>45086</v>
      </c>
      <c r="AQ423">
        <v>-2</v>
      </c>
      <c r="AR423">
        <v>1</v>
      </c>
    </row>
    <row r="424" spans="1:44" x14ac:dyDescent="0.35">
      <c r="A424" s="12" t="s">
        <v>1022</v>
      </c>
      <c r="B424" s="12" t="s">
        <v>339</v>
      </c>
      <c r="C424" s="12" t="s">
        <v>340</v>
      </c>
      <c r="D424" s="12" t="s">
        <v>103</v>
      </c>
      <c r="E424" s="12" t="s">
        <v>142</v>
      </c>
      <c r="F424">
        <v>2</v>
      </c>
      <c r="G424">
        <v>9</v>
      </c>
      <c r="H424">
        <v>0</v>
      </c>
      <c r="I424" s="12" t="s">
        <v>169</v>
      </c>
      <c r="J424" s="12" t="s">
        <v>170</v>
      </c>
      <c r="K424" s="12" t="s">
        <v>89</v>
      </c>
      <c r="L424" s="12" t="s">
        <v>134</v>
      </c>
      <c r="M424">
        <v>1.37</v>
      </c>
      <c r="N424" s="12" t="s">
        <v>107</v>
      </c>
      <c r="O424" s="12" t="s">
        <v>108</v>
      </c>
      <c r="P424" s="12" t="s">
        <v>109</v>
      </c>
      <c r="Q424" s="13">
        <v>45062</v>
      </c>
      <c r="R424" s="13">
        <v>45099</v>
      </c>
      <c r="S424">
        <v>2023</v>
      </c>
      <c r="T424" s="12" t="s">
        <v>889</v>
      </c>
      <c r="U424">
        <v>31</v>
      </c>
      <c r="V424">
        <v>249.9879</v>
      </c>
      <c r="W424">
        <v>56.84</v>
      </c>
      <c r="X424">
        <v>0</v>
      </c>
      <c r="Y424">
        <v>0</v>
      </c>
      <c r="Z424">
        <v>7749.62</v>
      </c>
      <c r="AA424">
        <v>7806.46</v>
      </c>
      <c r="AB424" s="12" t="s">
        <v>345</v>
      </c>
      <c r="AC424">
        <v>249.9879</v>
      </c>
      <c r="AD424">
        <v>1</v>
      </c>
      <c r="AE424">
        <v>1</v>
      </c>
      <c r="AF424">
        <v>0</v>
      </c>
      <c r="AG424">
        <v>7749.62</v>
      </c>
      <c r="AH424">
        <v>31</v>
      </c>
      <c r="AI424">
        <v>31</v>
      </c>
      <c r="AJ424">
        <v>0</v>
      </c>
      <c r="AK424">
        <v>1</v>
      </c>
      <c r="AL424">
        <v>1</v>
      </c>
      <c r="AM424">
        <v>100</v>
      </c>
      <c r="AN424">
        <v>251.82140000000001</v>
      </c>
      <c r="AO424">
        <v>0</v>
      </c>
      <c r="AP424" s="13">
        <v>45098</v>
      </c>
      <c r="AQ424">
        <v>-1</v>
      </c>
      <c r="AR424">
        <v>1</v>
      </c>
    </row>
    <row r="425" spans="1:44" x14ac:dyDescent="0.35">
      <c r="A425" s="12" t="s">
        <v>1023</v>
      </c>
      <c r="B425" s="12" t="s">
        <v>773</v>
      </c>
      <c r="C425" s="12" t="s">
        <v>774</v>
      </c>
      <c r="D425" s="12" t="s">
        <v>64</v>
      </c>
      <c r="E425" s="12" t="s">
        <v>142</v>
      </c>
      <c r="F425">
        <v>1</v>
      </c>
      <c r="G425">
        <v>7</v>
      </c>
      <c r="H425">
        <v>1</v>
      </c>
      <c r="I425" s="12" t="s">
        <v>251</v>
      </c>
      <c r="J425" s="12" t="s">
        <v>252</v>
      </c>
      <c r="K425" s="12" t="s">
        <v>133</v>
      </c>
      <c r="L425" s="12" t="s">
        <v>69</v>
      </c>
      <c r="M425">
        <v>34.49</v>
      </c>
      <c r="N425" s="12" t="s">
        <v>97</v>
      </c>
      <c r="O425" s="12" t="s">
        <v>98</v>
      </c>
      <c r="P425" s="12" t="s">
        <v>72</v>
      </c>
      <c r="Q425" s="13">
        <v>45062</v>
      </c>
      <c r="R425" s="13">
        <v>45111</v>
      </c>
      <c r="S425">
        <v>2023</v>
      </c>
      <c r="T425" s="12" t="s">
        <v>889</v>
      </c>
      <c r="U425">
        <v>816</v>
      </c>
      <c r="V425">
        <v>10.0604</v>
      </c>
      <c r="W425">
        <v>166.81</v>
      </c>
      <c r="X425">
        <v>0</v>
      </c>
      <c r="Y425">
        <v>0</v>
      </c>
      <c r="Z425">
        <v>8209.2900000000009</v>
      </c>
      <c r="AA425">
        <v>8376.1</v>
      </c>
      <c r="AB425" s="12" t="s">
        <v>775</v>
      </c>
      <c r="AC425">
        <v>10.0604</v>
      </c>
      <c r="AD425">
        <v>1</v>
      </c>
      <c r="AE425">
        <v>1</v>
      </c>
      <c r="AF425">
        <v>0</v>
      </c>
      <c r="AG425">
        <v>8209.2900000000009</v>
      </c>
      <c r="AH425">
        <v>816</v>
      </c>
      <c r="AI425">
        <v>808</v>
      </c>
      <c r="AJ425">
        <v>8</v>
      </c>
      <c r="AK425">
        <v>1</v>
      </c>
      <c r="AL425">
        <v>1</v>
      </c>
      <c r="AM425">
        <v>99.02</v>
      </c>
      <c r="AN425">
        <v>10.3665</v>
      </c>
      <c r="AO425">
        <v>80.48</v>
      </c>
      <c r="AP425" s="13">
        <v>45110</v>
      </c>
      <c r="AQ425">
        <v>-1</v>
      </c>
      <c r="AR425">
        <v>1</v>
      </c>
    </row>
    <row r="426" spans="1:44" x14ac:dyDescent="0.35">
      <c r="A426" s="12" t="s">
        <v>1024</v>
      </c>
      <c r="B426" s="12" t="s">
        <v>362</v>
      </c>
      <c r="C426" s="12" t="s">
        <v>363</v>
      </c>
      <c r="D426" s="12" t="s">
        <v>78</v>
      </c>
      <c r="E426" s="12" t="s">
        <v>104</v>
      </c>
      <c r="F426">
        <v>3</v>
      </c>
      <c r="G426">
        <v>0</v>
      </c>
      <c r="H426">
        <v>0</v>
      </c>
      <c r="I426" s="12" t="s">
        <v>157</v>
      </c>
      <c r="J426" s="12" t="s">
        <v>158</v>
      </c>
      <c r="K426" s="12" t="s">
        <v>117</v>
      </c>
      <c r="L426" s="12" t="s">
        <v>96</v>
      </c>
      <c r="M426">
        <v>4.72</v>
      </c>
      <c r="N426" s="12" t="s">
        <v>70</v>
      </c>
      <c r="O426" s="12" t="s">
        <v>71</v>
      </c>
      <c r="P426" s="12" t="s">
        <v>72</v>
      </c>
      <c r="Q426" s="13">
        <v>45062</v>
      </c>
      <c r="R426" s="13">
        <v>45078</v>
      </c>
      <c r="S426">
        <v>2023</v>
      </c>
      <c r="T426" s="12" t="s">
        <v>889</v>
      </c>
      <c r="U426">
        <v>103</v>
      </c>
      <c r="V426">
        <v>63.140599999999999</v>
      </c>
      <c r="W426">
        <v>74.150000000000006</v>
      </c>
      <c r="X426">
        <v>0</v>
      </c>
      <c r="Y426">
        <v>0</v>
      </c>
      <c r="Z426">
        <v>6503.48</v>
      </c>
      <c r="AA426">
        <v>6577.63</v>
      </c>
      <c r="AB426" s="12" t="s">
        <v>364</v>
      </c>
      <c r="AC426">
        <v>63.140599999999999</v>
      </c>
      <c r="AD426">
        <v>1</v>
      </c>
      <c r="AE426">
        <v>1</v>
      </c>
      <c r="AF426">
        <v>0</v>
      </c>
      <c r="AG426">
        <v>6503.48</v>
      </c>
      <c r="AH426">
        <v>103</v>
      </c>
      <c r="AI426">
        <v>102</v>
      </c>
      <c r="AJ426">
        <v>1</v>
      </c>
      <c r="AK426">
        <v>1</v>
      </c>
      <c r="AL426">
        <v>1</v>
      </c>
      <c r="AM426">
        <v>99.03</v>
      </c>
      <c r="AN426">
        <v>64.486599999999996</v>
      </c>
      <c r="AO426">
        <v>63.14</v>
      </c>
      <c r="AP426" s="13">
        <v>45077</v>
      </c>
      <c r="AQ426">
        <v>-1</v>
      </c>
      <c r="AR426">
        <v>1</v>
      </c>
    </row>
    <row r="427" spans="1:44" x14ac:dyDescent="0.35">
      <c r="A427" s="12" t="s">
        <v>1025</v>
      </c>
      <c r="B427" s="12" t="s">
        <v>1026</v>
      </c>
      <c r="C427" s="12" t="s">
        <v>1027</v>
      </c>
      <c r="D427" s="12" t="s">
        <v>122</v>
      </c>
      <c r="E427" s="12" t="s">
        <v>104</v>
      </c>
      <c r="F427">
        <v>3</v>
      </c>
      <c r="G427">
        <v>1</v>
      </c>
      <c r="H427">
        <v>0</v>
      </c>
      <c r="I427" s="12" t="s">
        <v>604</v>
      </c>
      <c r="J427" s="12" t="s">
        <v>605</v>
      </c>
      <c r="K427" s="12" t="s">
        <v>68</v>
      </c>
      <c r="L427" s="12" t="s">
        <v>82</v>
      </c>
      <c r="M427">
        <v>7.24</v>
      </c>
      <c r="N427" s="12" t="s">
        <v>97</v>
      </c>
      <c r="O427" s="12" t="s">
        <v>98</v>
      </c>
      <c r="P427" s="12" t="s">
        <v>72</v>
      </c>
      <c r="Q427" s="13">
        <v>45062</v>
      </c>
      <c r="R427" s="13">
        <v>45077</v>
      </c>
      <c r="S427">
        <v>2023</v>
      </c>
      <c r="T427" s="12" t="s">
        <v>889</v>
      </c>
      <c r="U427">
        <v>518</v>
      </c>
      <c r="V427">
        <v>41.886099999999999</v>
      </c>
      <c r="W427">
        <v>255.71</v>
      </c>
      <c r="X427">
        <v>0</v>
      </c>
      <c r="Y427">
        <v>0</v>
      </c>
      <c r="Z427">
        <v>21697</v>
      </c>
      <c r="AA427">
        <v>21952.71</v>
      </c>
      <c r="AB427" s="12" t="s">
        <v>1028</v>
      </c>
      <c r="AC427">
        <v>41.886099999999999</v>
      </c>
      <c r="AD427">
        <v>1</v>
      </c>
      <c r="AE427">
        <v>1</v>
      </c>
      <c r="AF427">
        <v>0</v>
      </c>
      <c r="AG427">
        <v>21697</v>
      </c>
      <c r="AH427">
        <v>518</v>
      </c>
      <c r="AI427">
        <v>516</v>
      </c>
      <c r="AJ427">
        <v>2</v>
      </c>
      <c r="AK427">
        <v>1</v>
      </c>
      <c r="AL427">
        <v>1</v>
      </c>
      <c r="AM427">
        <v>99.61</v>
      </c>
      <c r="AN427">
        <v>42.543999999999997</v>
      </c>
      <c r="AO427">
        <v>83.77</v>
      </c>
      <c r="AP427" s="13">
        <v>45075</v>
      </c>
      <c r="AQ427">
        <v>-2</v>
      </c>
      <c r="AR427">
        <v>1</v>
      </c>
    </row>
    <row r="428" spans="1:44" x14ac:dyDescent="0.35">
      <c r="A428" s="12" t="s">
        <v>1029</v>
      </c>
      <c r="B428" s="12" t="s">
        <v>869</v>
      </c>
      <c r="C428" s="12" t="s">
        <v>870</v>
      </c>
      <c r="D428" s="12" t="s">
        <v>130</v>
      </c>
      <c r="E428" s="12" t="s">
        <v>104</v>
      </c>
      <c r="F428">
        <v>2</v>
      </c>
      <c r="G428">
        <v>0</v>
      </c>
      <c r="H428">
        <v>0</v>
      </c>
      <c r="I428" s="12" t="s">
        <v>515</v>
      </c>
      <c r="J428" s="12" t="s">
        <v>516</v>
      </c>
      <c r="K428" s="12" t="s">
        <v>68</v>
      </c>
      <c r="L428" s="12" t="s">
        <v>134</v>
      </c>
      <c r="M428">
        <v>3.69</v>
      </c>
      <c r="N428" s="12" t="s">
        <v>135</v>
      </c>
      <c r="O428" s="12" t="s">
        <v>136</v>
      </c>
      <c r="P428" s="12" t="s">
        <v>137</v>
      </c>
      <c r="Q428" s="13">
        <v>45062</v>
      </c>
      <c r="R428" s="13">
        <v>45078</v>
      </c>
      <c r="S428">
        <v>2023</v>
      </c>
      <c r="T428" s="12" t="s">
        <v>889</v>
      </c>
      <c r="U428">
        <v>42</v>
      </c>
      <c r="V428">
        <v>583.34230000000002</v>
      </c>
      <c r="W428">
        <v>588.58000000000004</v>
      </c>
      <c r="X428">
        <v>0</v>
      </c>
      <c r="Y428">
        <v>0</v>
      </c>
      <c r="Z428">
        <v>24500.38</v>
      </c>
      <c r="AA428">
        <v>25088.959999999999</v>
      </c>
      <c r="AB428" s="12" t="s">
        <v>871</v>
      </c>
      <c r="AC428">
        <v>583.34230000000002</v>
      </c>
      <c r="AD428">
        <v>1</v>
      </c>
      <c r="AE428">
        <v>1</v>
      </c>
      <c r="AF428">
        <v>0</v>
      </c>
      <c r="AG428">
        <v>24500.38</v>
      </c>
      <c r="AH428">
        <v>42</v>
      </c>
      <c r="AI428">
        <v>42</v>
      </c>
      <c r="AJ428">
        <v>0</v>
      </c>
      <c r="AK428">
        <v>1</v>
      </c>
      <c r="AL428">
        <v>1</v>
      </c>
      <c r="AM428">
        <v>100</v>
      </c>
      <c r="AN428">
        <v>597.35609999999997</v>
      </c>
      <c r="AO428">
        <v>0</v>
      </c>
      <c r="AP428" s="13">
        <v>45078</v>
      </c>
      <c r="AQ428">
        <v>0</v>
      </c>
      <c r="AR428">
        <v>1</v>
      </c>
    </row>
    <row r="429" spans="1:44" x14ac:dyDescent="0.35">
      <c r="A429" s="12" t="s">
        <v>1030</v>
      </c>
      <c r="B429" s="12" t="s">
        <v>261</v>
      </c>
      <c r="C429" s="12" t="s">
        <v>262</v>
      </c>
      <c r="D429" s="12" t="s">
        <v>114</v>
      </c>
      <c r="E429" s="12" t="s">
        <v>142</v>
      </c>
      <c r="F429">
        <v>1</v>
      </c>
      <c r="G429">
        <v>8</v>
      </c>
      <c r="H429">
        <v>1</v>
      </c>
      <c r="I429" s="12" t="s">
        <v>263</v>
      </c>
      <c r="J429" s="12" t="s">
        <v>264</v>
      </c>
      <c r="K429" s="12" t="s">
        <v>125</v>
      </c>
      <c r="L429" s="12" t="s">
        <v>82</v>
      </c>
      <c r="M429">
        <v>10.210000000000001</v>
      </c>
      <c r="N429" s="12" t="s">
        <v>70</v>
      </c>
      <c r="O429" s="12" t="s">
        <v>71</v>
      </c>
      <c r="P429" s="12" t="s">
        <v>72</v>
      </c>
      <c r="Q429" s="13">
        <v>45063</v>
      </c>
      <c r="R429" s="13">
        <v>45106</v>
      </c>
      <c r="S429">
        <v>2023</v>
      </c>
      <c r="T429" s="12" t="s">
        <v>889</v>
      </c>
      <c r="U429">
        <v>77</v>
      </c>
      <c r="V429">
        <v>138.256</v>
      </c>
      <c r="W429">
        <v>220.12</v>
      </c>
      <c r="X429">
        <v>0</v>
      </c>
      <c r="Y429">
        <v>0</v>
      </c>
      <c r="Z429">
        <v>10645.71</v>
      </c>
      <c r="AA429">
        <v>10865.83</v>
      </c>
      <c r="AB429" s="12" t="s">
        <v>265</v>
      </c>
      <c r="AC429">
        <v>138.256</v>
      </c>
      <c r="AD429">
        <v>1</v>
      </c>
      <c r="AE429">
        <v>1</v>
      </c>
      <c r="AF429">
        <v>0</v>
      </c>
      <c r="AG429">
        <v>10645.71</v>
      </c>
      <c r="AH429">
        <v>77</v>
      </c>
      <c r="AI429">
        <v>77</v>
      </c>
      <c r="AJ429">
        <v>0</v>
      </c>
      <c r="AK429">
        <v>1</v>
      </c>
      <c r="AL429">
        <v>1</v>
      </c>
      <c r="AM429">
        <v>100</v>
      </c>
      <c r="AN429">
        <v>141.1147</v>
      </c>
      <c r="AO429">
        <v>0</v>
      </c>
      <c r="AP429" s="13">
        <v>45114</v>
      </c>
      <c r="AQ429">
        <v>8</v>
      </c>
      <c r="AR429">
        <v>0</v>
      </c>
    </row>
    <row r="430" spans="1:44" x14ac:dyDescent="0.35">
      <c r="A430" s="12" t="s">
        <v>1031</v>
      </c>
      <c r="B430" s="12" t="s">
        <v>909</v>
      </c>
      <c r="C430" s="12" t="s">
        <v>910</v>
      </c>
      <c r="D430" s="12" t="s">
        <v>269</v>
      </c>
      <c r="E430" s="12" t="s">
        <v>65</v>
      </c>
      <c r="F430">
        <v>3</v>
      </c>
      <c r="G430">
        <v>4</v>
      </c>
      <c r="H430">
        <v>0</v>
      </c>
      <c r="I430" s="12" t="s">
        <v>811</v>
      </c>
      <c r="J430" s="12" t="s">
        <v>812</v>
      </c>
      <c r="K430" s="12" t="s">
        <v>117</v>
      </c>
      <c r="L430" s="12" t="s">
        <v>69</v>
      </c>
      <c r="M430">
        <v>26.4</v>
      </c>
      <c r="N430" s="12" t="s">
        <v>159</v>
      </c>
      <c r="O430" s="12" t="s">
        <v>160</v>
      </c>
      <c r="P430" s="12" t="s">
        <v>137</v>
      </c>
      <c r="Q430" s="13">
        <v>45063</v>
      </c>
      <c r="R430" s="13">
        <v>45085</v>
      </c>
      <c r="S430">
        <v>2023</v>
      </c>
      <c r="T430" s="12" t="s">
        <v>889</v>
      </c>
      <c r="U430">
        <v>20</v>
      </c>
      <c r="V430">
        <v>108.32040000000001</v>
      </c>
      <c r="W430">
        <v>35.47</v>
      </c>
      <c r="X430">
        <v>0</v>
      </c>
      <c r="Y430">
        <v>0</v>
      </c>
      <c r="Z430">
        <v>2166.41</v>
      </c>
      <c r="AA430">
        <v>2201.88</v>
      </c>
      <c r="AB430" s="12" t="s">
        <v>921</v>
      </c>
      <c r="AC430">
        <v>108.32040000000001</v>
      </c>
      <c r="AD430">
        <v>1</v>
      </c>
      <c r="AE430">
        <v>1</v>
      </c>
      <c r="AF430">
        <v>0</v>
      </c>
      <c r="AG430">
        <v>2166.41</v>
      </c>
      <c r="AH430">
        <v>20</v>
      </c>
      <c r="AI430">
        <v>20</v>
      </c>
      <c r="AJ430">
        <v>0</v>
      </c>
      <c r="AK430">
        <v>1</v>
      </c>
      <c r="AL430">
        <v>1</v>
      </c>
      <c r="AM430">
        <v>100</v>
      </c>
      <c r="AN430">
        <v>110.0939</v>
      </c>
      <c r="AO430">
        <v>0</v>
      </c>
      <c r="AP430" s="13">
        <v>45085</v>
      </c>
      <c r="AQ430">
        <v>0</v>
      </c>
      <c r="AR430">
        <v>1</v>
      </c>
    </row>
    <row r="431" spans="1:44" x14ac:dyDescent="0.35">
      <c r="A431" s="12" t="s">
        <v>1032</v>
      </c>
      <c r="B431" s="12" t="s">
        <v>155</v>
      </c>
      <c r="C431" s="12" t="s">
        <v>156</v>
      </c>
      <c r="D431" s="12" t="s">
        <v>130</v>
      </c>
      <c r="E431" s="12" t="s">
        <v>104</v>
      </c>
      <c r="F431">
        <v>3</v>
      </c>
      <c r="G431">
        <v>1</v>
      </c>
      <c r="H431">
        <v>0</v>
      </c>
      <c r="I431" s="12" t="s">
        <v>157</v>
      </c>
      <c r="J431" s="12" t="s">
        <v>158</v>
      </c>
      <c r="K431" s="12" t="s">
        <v>117</v>
      </c>
      <c r="L431" s="12" t="s">
        <v>96</v>
      </c>
      <c r="M431">
        <v>4.72</v>
      </c>
      <c r="N431" s="12" t="s">
        <v>135</v>
      </c>
      <c r="O431" s="12" t="s">
        <v>136</v>
      </c>
      <c r="P431" s="12" t="s">
        <v>137</v>
      </c>
      <c r="Q431" s="13">
        <v>45063</v>
      </c>
      <c r="R431" s="13">
        <v>45083</v>
      </c>
      <c r="S431">
        <v>2023</v>
      </c>
      <c r="T431" s="12" t="s">
        <v>889</v>
      </c>
      <c r="U431">
        <v>75</v>
      </c>
      <c r="V431">
        <v>206.28880000000001</v>
      </c>
      <c r="W431">
        <v>219.07</v>
      </c>
      <c r="X431">
        <v>0</v>
      </c>
      <c r="Y431">
        <v>0</v>
      </c>
      <c r="Z431">
        <v>15471.66</v>
      </c>
      <c r="AA431">
        <v>15690.73</v>
      </c>
      <c r="AB431" s="12" t="s">
        <v>161</v>
      </c>
      <c r="AC431">
        <v>206.28880000000001</v>
      </c>
      <c r="AD431">
        <v>1</v>
      </c>
      <c r="AE431">
        <v>1</v>
      </c>
      <c r="AF431">
        <v>0</v>
      </c>
      <c r="AG431">
        <v>15471.66</v>
      </c>
      <c r="AH431">
        <v>75</v>
      </c>
      <c r="AI431">
        <v>74</v>
      </c>
      <c r="AJ431">
        <v>1</v>
      </c>
      <c r="AK431">
        <v>1</v>
      </c>
      <c r="AL431">
        <v>1</v>
      </c>
      <c r="AM431">
        <v>98.67</v>
      </c>
      <c r="AN431">
        <v>212.0369</v>
      </c>
      <c r="AO431">
        <v>206.29</v>
      </c>
      <c r="AP431" s="13">
        <v>45081</v>
      </c>
      <c r="AQ431">
        <v>-2</v>
      </c>
      <c r="AR431">
        <v>1</v>
      </c>
    </row>
    <row r="432" spans="1:44" x14ac:dyDescent="0.35">
      <c r="A432" s="12" t="s">
        <v>1033</v>
      </c>
      <c r="B432" s="12" t="s">
        <v>1034</v>
      </c>
      <c r="C432" s="12" t="s">
        <v>1035</v>
      </c>
      <c r="D432" s="12" t="s">
        <v>64</v>
      </c>
      <c r="E432" s="12" t="s">
        <v>104</v>
      </c>
      <c r="F432">
        <v>2</v>
      </c>
      <c r="G432">
        <v>0</v>
      </c>
      <c r="H432">
        <v>0</v>
      </c>
      <c r="I432" s="12" t="s">
        <v>157</v>
      </c>
      <c r="J432" s="12" t="s">
        <v>158</v>
      </c>
      <c r="K432" s="12" t="s">
        <v>117</v>
      </c>
      <c r="L432" s="12" t="s">
        <v>96</v>
      </c>
      <c r="M432">
        <v>4.72</v>
      </c>
      <c r="N432" s="12" t="s">
        <v>70</v>
      </c>
      <c r="O432" s="12" t="s">
        <v>71</v>
      </c>
      <c r="P432" s="12" t="s">
        <v>72</v>
      </c>
      <c r="Q432" s="13">
        <v>45064</v>
      </c>
      <c r="R432" s="13">
        <v>45092</v>
      </c>
      <c r="S432">
        <v>2023</v>
      </c>
      <c r="T432" s="12" t="s">
        <v>889</v>
      </c>
      <c r="U432">
        <v>931</v>
      </c>
      <c r="V432">
        <v>9.9979999999999993</v>
      </c>
      <c r="W432">
        <v>218.73</v>
      </c>
      <c r="X432">
        <v>0</v>
      </c>
      <c r="Y432">
        <v>0</v>
      </c>
      <c r="Z432">
        <v>9308.14</v>
      </c>
      <c r="AA432">
        <v>9526.8700000000008</v>
      </c>
      <c r="AB432" s="12" t="s">
        <v>1036</v>
      </c>
      <c r="AC432">
        <v>9.9979999999999993</v>
      </c>
      <c r="AD432">
        <v>1</v>
      </c>
      <c r="AE432">
        <v>1</v>
      </c>
      <c r="AF432">
        <v>0</v>
      </c>
      <c r="AG432">
        <v>9308.14</v>
      </c>
      <c r="AH432">
        <v>931</v>
      </c>
      <c r="AI432">
        <v>926</v>
      </c>
      <c r="AJ432">
        <v>5</v>
      </c>
      <c r="AK432">
        <v>1</v>
      </c>
      <c r="AL432">
        <v>1</v>
      </c>
      <c r="AM432">
        <v>99.46</v>
      </c>
      <c r="AN432">
        <v>10.2882</v>
      </c>
      <c r="AO432">
        <v>49.99</v>
      </c>
      <c r="AP432" s="13">
        <v>45092</v>
      </c>
      <c r="AQ432">
        <v>0</v>
      </c>
      <c r="AR432">
        <v>1</v>
      </c>
    </row>
    <row r="433" spans="1:44" x14ac:dyDescent="0.35">
      <c r="A433" s="12" t="s">
        <v>1037</v>
      </c>
      <c r="B433" s="12" t="s">
        <v>569</v>
      </c>
      <c r="C433" s="12" t="s">
        <v>570</v>
      </c>
      <c r="D433" s="12" t="s">
        <v>114</v>
      </c>
      <c r="E433" s="12" t="s">
        <v>142</v>
      </c>
      <c r="F433">
        <v>1</v>
      </c>
      <c r="G433">
        <v>6</v>
      </c>
      <c r="H433">
        <v>1</v>
      </c>
      <c r="I433" s="12" t="s">
        <v>123</v>
      </c>
      <c r="J433" s="12" t="s">
        <v>124</v>
      </c>
      <c r="K433" s="12" t="s">
        <v>125</v>
      </c>
      <c r="L433" s="12" t="s">
        <v>82</v>
      </c>
      <c r="M433">
        <v>6.75</v>
      </c>
      <c r="N433" s="12" t="s">
        <v>70</v>
      </c>
      <c r="O433" s="12" t="s">
        <v>71</v>
      </c>
      <c r="P433" s="12" t="s">
        <v>72</v>
      </c>
      <c r="Q433" s="13">
        <v>45064</v>
      </c>
      <c r="R433" s="13">
        <v>45115</v>
      </c>
      <c r="S433">
        <v>2023</v>
      </c>
      <c r="T433" s="12" t="s">
        <v>889</v>
      </c>
      <c r="U433">
        <v>138</v>
      </c>
      <c r="V433">
        <v>349.9393</v>
      </c>
      <c r="W433">
        <v>810.69</v>
      </c>
      <c r="X433">
        <v>0</v>
      </c>
      <c r="Y433">
        <v>0</v>
      </c>
      <c r="Z433">
        <v>48291.62</v>
      </c>
      <c r="AA433">
        <v>49102.31</v>
      </c>
      <c r="AB433" s="12" t="s">
        <v>571</v>
      </c>
      <c r="AC433">
        <v>349.9393</v>
      </c>
      <c r="AD433">
        <v>1</v>
      </c>
      <c r="AE433">
        <v>1</v>
      </c>
      <c r="AF433">
        <v>0</v>
      </c>
      <c r="AG433">
        <v>48291.62</v>
      </c>
      <c r="AH433">
        <v>138</v>
      </c>
      <c r="AI433">
        <v>135</v>
      </c>
      <c r="AJ433">
        <v>3</v>
      </c>
      <c r="AK433">
        <v>1</v>
      </c>
      <c r="AL433">
        <v>1</v>
      </c>
      <c r="AM433">
        <v>97.83</v>
      </c>
      <c r="AN433">
        <v>363.7208</v>
      </c>
      <c r="AO433">
        <v>1049.82</v>
      </c>
      <c r="AP433" s="13">
        <v>45115</v>
      </c>
      <c r="AQ433">
        <v>0</v>
      </c>
      <c r="AR433">
        <v>1</v>
      </c>
    </row>
    <row r="434" spans="1:44" x14ac:dyDescent="0.35">
      <c r="A434" s="12" t="s">
        <v>1038</v>
      </c>
      <c r="B434" s="12" t="s">
        <v>823</v>
      </c>
      <c r="C434" s="12" t="s">
        <v>824</v>
      </c>
      <c r="D434" s="12" t="s">
        <v>114</v>
      </c>
      <c r="E434" s="12" t="s">
        <v>142</v>
      </c>
      <c r="F434">
        <v>1</v>
      </c>
      <c r="G434">
        <v>8</v>
      </c>
      <c r="H434">
        <v>1</v>
      </c>
      <c r="I434" s="12" t="s">
        <v>515</v>
      </c>
      <c r="J434" s="12" t="s">
        <v>516</v>
      </c>
      <c r="K434" s="12" t="s">
        <v>68</v>
      </c>
      <c r="L434" s="12" t="s">
        <v>134</v>
      </c>
      <c r="M434">
        <v>3.69</v>
      </c>
      <c r="N434" s="12" t="s">
        <v>97</v>
      </c>
      <c r="O434" s="12" t="s">
        <v>98</v>
      </c>
      <c r="P434" s="12" t="s">
        <v>72</v>
      </c>
      <c r="Q434" s="13">
        <v>45064</v>
      </c>
      <c r="R434" s="13">
        <v>45116</v>
      </c>
      <c r="S434">
        <v>2023</v>
      </c>
      <c r="T434" s="12" t="s">
        <v>889</v>
      </c>
      <c r="U434">
        <v>145</v>
      </c>
      <c r="V434">
        <v>361.73399999999998</v>
      </c>
      <c r="W434">
        <v>1101.1400000000001</v>
      </c>
      <c r="X434">
        <v>0</v>
      </c>
      <c r="Y434">
        <v>0</v>
      </c>
      <c r="Z434">
        <v>52451.43</v>
      </c>
      <c r="AA434">
        <v>53552.57</v>
      </c>
      <c r="AB434" s="12" t="s">
        <v>825</v>
      </c>
      <c r="AC434">
        <v>361.73399999999998</v>
      </c>
      <c r="AD434">
        <v>1</v>
      </c>
      <c r="AE434">
        <v>1</v>
      </c>
      <c r="AF434">
        <v>0</v>
      </c>
      <c r="AG434">
        <v>52451.43</v>
      </c>
      <c r="AH434">
        <v>145</v>
      </c>
      <c r="AI434">
        <v>144</v>
      </c>
      <c r="AJ434">
        <v>1</v>
      </c>
      <c r="AK434">
        <v>1</v>
      </c>
      <c r="AL434">
        <v>1</v>
      </c>
      <c r="AM434">
        <v>99.31</v>
      </c>
      <c r="AN434">
        <v>371.89280000000002</v>
      </c>
      <c r="AO434">
        <v>361.73</v>
      </c>
      <c r="AP434" s="13">
        <v>45114</v>
      </c>
      <c r="AQ434">
        <v>-2</v>
      </c>
      <c r="AR434">
        <v>1</v>
      </c>
    </row>
    <row r="435" spans="1:44" x14ac:dyDescent="0.35">
      <c r="A435" s="12" t="s">
        <v>1039</v>
      </c>
      <c r="B435" s="12" t="s">
        <v>941</v>
      </c>
      <c r="C435" s="12" t="s">
        <v>942</v>
      </c>
      <c r="D435" s="12" t="s">
        <v>130</v>
      </c>
      <c r="E435" s="12" t="s">
        <v>104</v>
      </c>
      <c r="F435">
        <v>2</v>
      </c>
      <c r="G435">
        <v>0</v>
      </c>
      <c r="H435">
        <v>0</v>
      </c>
      <c r="I435" s="12" t="s">
        <v>131</v>
      </c>
      <c r="J435" s="12" t="s">
        <v>132</v>
      </c>
      <c r="K435" s="12" t="s">
        <v>133</v>
      </c>
      <c r="L435" s="12" t="s">
        <v>134</v>
      </c>
      <c r="M435">
        <v>1.51</v>
      </c>
      <c r="N435" s="12" t="s">
        <v>135</v>
      </c>
      <c r="O435" s="12" t="s">
        <v>136</v>
      </c>
      <c r="P435" s="12" t="s">
        <v>137</v>
      </c>
      <c r="Q435" s="13">
        <v>45064</v>
      </c>
      <c r="R435" s="13">
        <v>45093</v>
      </c>
      <c r="S435">
        <v>2023</v>
      </c>
      <c r="T435" s="12" t="s">
        <v>889</v>
      </c>
      <c r="U435">
        <v>143</v>
      </c>
      <c r="V435">
        <v>990.29020000000003</v>
      </c>
      <c r="W435">
        <v>1280.7</v>
      </c>
      <c r="X435">
        <v>0</v>
      </c>
      <c r="Y435">
        <v>0</v>
      </c>
      <c r="Z435">
        <v>141611.5</v>
      </c>
      <c r="AA435">
        <v>142892.20000000001</v>
      </c>
      <c r="AB435" s="12" t="s">
        <v>943</v>
      </c>
      <c r="AC435">
        <v>990.29020000000003</v>
      </c>
      <c r="AD435">
        <v>1</v>
      </c>
      <c r="AE435">
        <v>1</v>
      </c>
      <c r="AF435">
        <v>0</v>
      </c>
      <c r="AG435">
        <v>141611.5</v>
      </c>
      <c r="AH435">
        <v>143</v>
      </c>
      <c r="AI435">
        <v>127</v>
      </c>
      <c r="AJ435">
        <v>16</v>
      </c>
      <c r="AK435">
        <v>1</v>
      </c>
      <c r="AL435">
        <v>1</v>
      </c>
      <c r="AM435">
        <v>88.81</v>
      </c>
      <c r="AN435">
        <v>1125.1353999999999</v>
      </c>
      <c r="AO435">
        <v>15844.64</v>
      </c>
      <c r="AP435" s="13">
        <v>45099</v>
      </c>
      <c r="AQ435">
        <v>6</v>
      </c>
      <c r="AR435">
        <v>0</v>
      </c>
    </row>
    <row r="436" spans="1:44" x14ac:dyDescent="0.35">
      <c r="A436" s="12" t="s">
        <v>1040</v>
      </c>
      <c r="B436" s="12" t="s">
        <v>640</v>
      </c>
      <c r="C436" s="12" t="s">
        <v>641</v>
      </c>
      <c r="D436" s="12" t="s">
        <v>130</v>
      </c>
      <c r="E436" s="12" t="s">
        <v>104</v>
      </c>
      <c r="F436">
        <v>3</v>
      </c>
      <c r="G436">
        <v>0</v>
      </c>
      <c r="H436">
        <v>0</v>
      </c>
      <c r="I436" s="12" t="s">
        <v>209</v>
      </c>
      <c r="J436" s="12" t="s">
        <v>210</v>
      </c>
      <c r="K436" s="12" t="s">
        <v>133</v>
      </c>
      <c r="L436" s="12" t="s">
        <v>96</v>
      </c>
      <c r="M436">
        <v>7.82</v>
      </c>
      <c r="N436" s="12" t="s">
        <v>159</v>
      </c>
      <c r="O436" s="12" t="s">
        <v>160</v>
      </c>
      <c r="P436" s="12" t="s">
        <v>137</v>
      </c>
      <c r="Q436" s="13">
        <v>45064</v>
      </c>
      <c r="R436" s="13">
        <v>45082</v>
      </c>
      <c r="S436">
        <v>2023</v>
      </c>
      <c r="T436" s="12" t="s">
        <v>889</v>
      </c>
      <c r="U436">
        <v>57</v>
      </c>
      <c r="V436">
        <v>1008.4116</v>
      </c>
      <c r="W436">
        <v>1171.47</v>
      </c>
      <c r="X436">
        <v>0</v>
      </c>
      <c r="Y436">
        <v>0</v>
      </c>
      <c r="Z436">
        <v>57479.46</v>
      </c>
      <c r="AA436">
        <v>58650.93</v>
      </c>
      <c r="AB436" s="12" t="s">
        <v>642</v>
      </c>
      <c r="AC436">
        <v>1008.4116</v>
      </c>
      <c r="AD436">
        <v>1</v>
      </c>
      <c r="AE436">
        <v>1</v>
      </c>
      <c r="AF436">
        <v>0</v>
      </c>
      <c r="AG436">
        <v>57479.46</v>
      </c>
      <c r="AH436">
        <v>57</v>
      </c>
      <c r="AI436">
        <v>57</v>
      </c>
      <c r="AJ436">
        <v>0</v>
      </c>
      <c r="AK436">
        <v>1</v>
      </c>
      <c r="AL436">
        <v>1</v>
      </c>
      <c r="AM436">
        <v>100</v>
      </c>
      <c r="AN436">
        <v>1028.9637</v>
      </c>
      <c r="AO436">
        <v>0</v>
      </c>
      <c r="AP436" s="13">
        <v>45082</v>
      </c>
      <c r="AQ436">
        <v>0</v>
      </c>
      <c r="AR436">
        <v>1</v>
      </c>
    </row>
    <row r="437" spans="1:44" x14ac:dyDescent="0.35">
      <c r="A437" s="12" t="s">
        <v>1041</v>
      </c>
      <c r="B437" s="12" t="s">
        <v>1042</v>
      </c>
      <c r="C437" s="12" t="s">
        <v>1043</v>
      </c>
      <c r="D437" s="12" t="s">
        <v>269</v>
      </c>
      <c r="E437" s="12" t="s">
        <v>104</v>
      </c>
      <c r="F437">
        <v>2</v>
      </c>
      <c r="G437">
        <v>0</v>
      </c>
      <c r="H437">
        <v>0</v>
      </c>
      <c r="I437" s="12" t="s">
        <v>143</v>
      </c>
      <c r="J437" s="12" t="s">
        <v>144</v>
      </c>
      <c r="K437" s="12" t="s">
        <v>133</v>
      </c>
      <c r="L437" s="12" t="s">
        <v>96</v>
      </c>
      <c r="M437">
        <v>5.43</v>
      </c>
      <c r="N437" s="12" t="s">
        <v>159</v>
      </c>
      <c r="O437" s="12" t="s">
        <v>160</v>
      </c>
      <c r="P437" s="12" t="s">
        <v>137</v>
      </c>
      <c r="Q437" s="13">
        <v>45064</v>
      </c>
      <c r="R437" s="13">
        <v>45077</v>
      </c>
      <c r="S437">
        <v>2023</v>
      </c>
      <c r="T437" s="12" t="s">
        <v>889</v>
      </c>
      <c r="U437">
        <v>23</v>
      </c>
      <c r="V437">
        <v>290.76319999999998</v>
      </c>
      <c r="W437">
        <v>41.41</v>
      </c>
      <c r="X437">
        <v>0</v>
      </c>
      <c r="Y437">
        <v>0</v>
      </c>
      <c r="Z437">
        <v>6687.55</v>
      </c>
      <c r="AA437">
        <v>6728.96</v>
      </c>
      <c r="AB437" s="12" t="s">
        <v>1044</v>
      </c>
      <c r="AC437">
        <v>290.76319999999998</v>
      </c>
      <c r="AD437">
        <v>1</v>
      </c>
      <c r="AE437">
        <v>1</v>
      </c>
      <c r="AF437">
        <v>0</v>
      </c>
      <c r="AG437">
        <v>6687.55</v>
      </c>
      <c r="AH437">
        <v>23</v>
      </c>
      <c r="AI437">
        <v>23</v>
      </c>
      <c r="AJ437">
        <v>0</v>
      </c>
      <c r="AK437">
        <v>1</v>
      </c>
      <c r="AL437">
        <v>1</v>
      </c>
      <c r="AM437">
        <v>100</v>
      </c>
      <c r="AN437">
        <v>292.56360000000001</v>
      </c>
      <c r="AO437">
        <v>0</v>
      </c>
      <c r="AP437" s="13">
        <v>45076</v>
      </c>
      <c r="AQ437">
        <v>-1</v>
      </c>
      <c r="AR437">
        <v>1</v>
      </c>
    </row>
    <row r="438" spans="1:44" x14ac:dyDescent="0.35">
      <c r="A438" s="12" t="s">
        <v>1045</v>
      </c>
      <c r="B438" s="12" t="s">
        <v>163</v>
      </c>
      <c r="C438" s="12" t="s">
        <v>164</v>
      </c>
      <c r="D438" s="12" t="s">
        <v>64</v>
      </c>
      <c r="E438" s="12" t="s">
        <v>104</v>
      </c>
      <c r="F438">
        <v>2</v>
      </c>
      <c r="G438">
        <v>0</v>
      </c>
      <c r="H438">
        <v>0</v>
      </c>
      <c r="I438" s="12" t="s">
        <v>79</v>
      </c>
      <c r="J438" s="12" t="s">
        <v>80</v>
      </c>
      <c r="K438" s="12" t="s">
        <v>81</v>
      </c>
      <c r="L438" s="12" t="s">
        <v>82</v>
      </c>
      <c r="M438">
        <v>12.07</v>
      </c>
      <c r="N438" s="12" t="s">
        <v>97</v>
      </c>
      <c r="O438" s="12" t="s">
        <v>98</v>
      </c>
      <c r="P438" s="12" t="s">
        <v>72</v>
      </c>
      <c r="Q438" s="13">
        <v>45065</v>
      </c>
      <c r="R438" s="13">
        <v>45092</v>
      </c>
      <c r="S438">
        <v>2023</v>
      </c>
      <c r="T438" s="12" t="s">
        <v>889</v>
      </c>
      <c r="U438">
        <v>850</v>
      </c>
      <c r="V438">
        <v>12.8643</v>
      </c>
      <c r="W438">
        <v>77.36</v>
      </c>
      <c r="X438">
        <v>0</v>
      </c>
      <c r="Y438">
        <v>0</v>
      </c>
      <c r="Z438">
        <v>10934.66</v>
      </c>
      <c r="AA438">
        <v>11012.02</v>
      </c>
      <c r="AB438" s="12" t="s">
        <v>165</v>
      </c>
      <c r="AC438">
        <v>12.8643</v>
      </c>
      <c r="AD438">
        <v>1</v>
      </c>
      <c r="AE438">
        <v>1</v>
      </c>
      <c r="AF438">
        <v>0</v>
      </c>
      <c r="AG438">
        <v>10934.66</v>
      </c>
      <c r="AH438">
        <v>850</v>
      </c>
      <c r="AI438">
        <v>841</v>
      </c>
      <c r="AJ438">
        <v>9</v>
      </c>
      <c r="AK438">
        <v>1</v>
      </c>
      <c r="AL438">
        <v>1</v>
      </c>
      <c r="AM438">
        <v>98.94</v>
      </c>
      <c r="AN438">
        <v>13.093999999999999</v>
      </c>
      <c r="AO438">
        <v>115.78</v>
      </c>
      <c r="AP438" s="13">
        <v>45091</v>
      </c>
      <c r="AQ438">
        <v>-1</v>
      </c>
      <c r="AR438">
        <v>1</v>
      </c>
    </row>
    <row r="439" spans="1:44" x14ac:dyDescent="0.35">
      <c r="A439" s="12" t="s">
        <v>1046</v>
      </c>
      <c r="B439" s="12" t="s">
        <v>503</v>
      </c>
      <c r="C439" s="12" t="s">
        <v>504</v>
      </c>
      <c r="D439" s="12" t="s">
        <v>103</v>
      </c>
      <c r="E439" s="12" t="s">
        <v>104</v>
      </c>
      <c r="F439">
        <v>3</v>
      </c>
      <c r="G439">
        <v>1</v>
      </c>
      <c r="H439">
        <v>0</v>
      </c>
      <c r="I439" s="12" t="s">
        <v>209</v>
      </c>
      <c r="J439" s="12" t="s">
        <v>210</v>
      </c>
      <c r="K439" s="12" t="s">
        <v>133</v>
      </c>
      <c r="L439" s="12" t="s">
        <v>96</v>
      </c>
      <c r="M439">
        <v>7.82</v>
      </c>
      <c r="N439" s="12" t="s">
        <v>145</v>
      </c>
      <c r="O439" s="12" t="s">
        <v>146</v>
      </c>
      <c r="P439" s="12" t="s">
        <v>109</v>
      </c>
      <c r="Q439" s="13">
        <v>45065</v>
      </c>
      <c r="R439" s="13">
        <v>45091</v>
      </c>
      <c r="S439">
        <v>2023</v>
      </c>
      <c r="T439" s="12" t="s">
        <v>889</v>
      </c>
      <c r="U439">
        <v>120</v>
      </c>
      <c r="V439">
        <v>158.00909999999999</v>
      </c>
      <c r="W439">
        <v>351.11</v>
      </c>
      <c r="X439">
        <v>0</v>
      </c>
      <c r="Y439">
        <v>0</v>
      </c>
      <c r="Z439">
        <v>18961.09</v>
      </c>
      <c r="AA439">
        <v>19312.2</v>
      </c>
      <c r="AB439" s="12" t="s">
        <v>505</v>
      </c>
      <c r="AC439">
        <v>158.00909999999999</v>
      </c>
      <c r="AD439">
        <v>1</v>
      </c>
      <c r="AE439">
        <v>1</v>
      </c>
      <c r="AF439">
        <v>0</v>
      </c>
      <c r="AG439">
        <v>18961.09</v>
      </c>
      <c r="AH439">
        <v>120</v>
      </c>
      <c r="AI439">
        <v>118</v>
      </c>
      <c r="AJ439">
        <v>2</v>
      </c>
      <c r="AK439">
        <v>1</v>
      </c>
      <c r="AL439">
        <v>1</v>
      </c>
      <c r="AM439">
        <v>98.33</v>
      </c>
      <c r="AN439">
        <v>163.6627</v>
      </c>
      <c r="AO439">
        <v>316.02</v>
      </c>
      <c r="AP439" s="13">
        <v>45091</v>
      </c>
      <c r="AQ439">
        <v>0</v>
      </c>
      <c r="AR439">
        <v>1</v>
      </c>
    </row>
    <row r="440" spans="1:44" x14ac:dyDescent="0.35">
      <c r="A440" s="12" t="s">
        <v>1047</v>
      </c>
      <c r="B440" s="12" t="s">
        <v>472</v>
      </c>
      <c r="C440" s="12" t="s">
        <v>473</v>
      </c>
      <c r="D440" s="12" t="s">
        <v>122</v>
      </c>
      <c r="E440" s="12" t="s">
        <v>142</v>
      </c>
      <c r="F440">
        <v>2</v>
      </c>
      <c r="G440">
        <v>9</v>
      </c>
      <c r="H440">
        <v>0</v>
      </c>
      <c r="I440" s="12" t="s">
        <v>209</v>
      </c>
      <c r="J440" s="12" t="s">
        <v>210</v>
      </c>
      <c r="K440" s="12" t="s">
        <v>133</v>
      </c>
      <c r="L440" s="12" t="s">
        <v>96</v>
      </c>
      <c r="M440">
        <v>7.82</v>
      </c>
      <c r="N440" s="12" t="s">
        <v>70</v>
      </c>
      <c r="O440" s="12" t="s">
        <v>71</v>
      </c>
      <c r="P440" s="12" t="s">
        <v>72</v>
      </c>
      <c r="Q440" s="13">
        <v>45065</v>
      </c>
      <c r="R440" s="13">
        <v>45116</v>
      </c>
      <c r="S440">
        <v>2023</v>
      </c>
      <c r="T440" s="12" t="s">
        <v>889</v>
      </c>
      <c r="U440">
        <v>1877</v>
      </c>
      <c r="V440">
        <v>48.7896</v>
      </c>
      <c r="W440">
        <v>1904.06</v>
      </c>
      <c r="X440">
        <v>0</v>
      </c>
      <c r="Y440">
        <v>0</v>
      </c>
      <c r="Z440">
        <v>91578.08</v>
      </c>
      <c r="AA440">
        <v>93482.14</v>
      </c>
      <c r="AB440" s="12" t="s">
        <v>474</v>
      </c>
      <c r="AC440">
        <v>48.7896</v>
      </c>
      <c r="AD440">
        <v>1</v>
      </c>
      <c r="AE440">
        <v>1</v>
      </c>
      <c r="AF440">
        <v>0</v>
      </c>
      <c r="AG440">
        <v>91578.08</v>
      </c>
      <c r="AH440">
        <v>1877</v>
      </c>
      <c r="AI440">
        <v>1861</v>
      </c>
      <c r="AJ440">
        <v>16</v>
      </c>
      <c r="AK440">
        <v>1</v>
      </c>
      <c r="AL440">
        <v>1</v>
      </c>
      <c r="AM440">
        <v>99.15</v>
      </c>
      <c r="AN440">
        <v>50.232199999999999</v>
      </c>
      <c r="AO440">
        <v>780.63</v>
      </c>
      <c r="AP440" s="13">
        <v>45118</v>
      </c>
      <c r="AQ440">
        <v>2</v>
      </c>
      <c r="AR440">
        <v>0</v>
      </c>
    </row>
    <row r="441" spans="1:44" x14ac:dyDescent="0.35">
      <c r="A441" s="12" t="s">
        <v>1048</v>
      </c>
      <c r="B441" s="12" t="s">
        <v>442</v>
      </c>
      <c r="C441" s="12" t="s">
        <v>443</v>
      </c>
      <c r="D441" s="12" t="s">
        <v>130</v>
      </c>
      <c r="E441" s="12" t="s">
        <v>65</v>
      </c>
      <c r="F441">
        <v>3</v>
      </c>
      <c r="G441">
        <v>4</v>
      </c>
      <c r="H441">
        <v>0</v>
      </c>
      <c r="I441" s="12" t="s">
        <v>251</v>
      </c>
      <c r="J441" s="12" t="s">
        <v>252</v>
      </c>
      <c r="K441" s="12" t="s">
        <v>133</v>
      </c>
      <c r="L441" s="12" t="s">
        <v>69</v>
      </c>
      <c r="M441">
        <v>34.49</v>
      </c>
      <c r="N441" s="12" t="s">
        <v>135</v>
      </c>
      <c r="O441" s="12" t="s">
        <v>136</v>
      </c>
      <c r="P441" s="12" t="s">
        <v>137</v>
      </c>
      <c r="Q441" s="13">
        <v>45065</v>
      </c>
      <c r="R441" s="13">
        <v>45088</v>
      </c>
      <c r="S441">
        <v>2023</v>
      </c>
      <c r="T441" s="12" t="s">
        <v>889</v>
      </c>
      <c r="U441">
        <v>33</v>
      </c>
      <c r="V441">
        <v>574.22400000000005</v>
      </c>
      <c r="W441">
        <v>230.21</v>
      </c>
      <c r="X441">
        <v>0</v>
      </c>
      <c r="Y441">
        <v>0</v>
      </c>
      <c r="Z441">
        <v>18949.39</v>
      </c>
      <c r="AA441">
        <v>19179.599999999999</v>
      </c>
      <c r="AB441" s="12" t="s">
        <v>444</v>
      </c>
      <c r="AC441">
        <v>610.72789999999998</v>
      </c>
      <c r="AD441">
        <v>1</v>
      </c>
      <c r="AE441">
        <v>1</v>
      </c>
      <c r="AF441">
        <v>-1204.6300000000001</v>
      </c>
      <c r="AG441">
        <v>20154.02</v>
      </c>
      <c r="AH441">
        <v>33</v>
      </c>
      <c r="AI441">
        <v>33</v>
      </c>
      <c r="AJ441">
        <v>0</v>
      </c>
      <c r="AK441">
        <v>1</v>
      </c>
      <c r="AL441">
        <v>1</v>
      </c>
      <c r="AM441">
        <v>100</v>
      </c>
      <c r="AN441">
        <v>581.20010000000002</v>
      </c>
      <c r="AO441">
        <v>0</v>
      </c>
      <c r="AP441" s="13">
        <v>45086</v>
      </c>
      <c r="AQ441">
        <v>-2</v>
      </c>
      <c r="AR441">
        <v>1</v>
      </c>
    </row>
    <row r="442" spans="1:44" x14ac:dyDescent="0.35">
      <c r="A442" s="12" t="s">
        <v>1049</v>
      </c>
      <c r="B442" s="12" t="s">
        <v>331</v>
      </c>
      <c r="C442" s="12" t="s">
        <v>332</v>
      </c>
      <c r="D442" s="12" t="s">
        <v>122</v>
      </c>
      <c r="E442" s="12" t="s">
        <v>142</v>
      </c>
      <c r="F442">
        <v>3</v>
      </c>
      <c r="G442">
        <v>11</v>
      </c>
      <c r="H442">
        <v>0</v>
      </c>
      <c r="I442" s="12" t="s">
        <v>263</v>
      </c>
      <c r="J442" s="12" t="s">
        <v>264</v>
      </c>
      <c r="K442" s="12" t="s">
        <v>125</v>
      </c>
      <c r="L442" s="12" t="s">
        <v>82</v>
      </c>
      <c r="M442">
        <v>10.210000000000001</v>
      </c>
      <c r="N442" s="12" t="s">
        <v>70</v>
      </c>
      <c r="O442" s="12" t="s">
        <v>71</v>
      </c>
      <c r="P442" s="12" t="s">
        <v>72</v>
      </c>
      <c r="Q442" s="13">
        <v>45065</v>
      </c>
      <c r="R442" s="13">
        <v>45104</v>
      </c>
      <c r="S442">
        <v>2023</v>
      </c>
      <c r="T442" s="12" t="s">
        <v>889</v>
      </c>
      <c r="U442">
        <v>698</v>
      </c>
      <c r="V442">
        <v>25.052199999999999</v>
      </c>
      <c r="W442">
        <v>133.66</v>
      </c>
      <c r="X442">
        <v>0</v>
      </c>
      <c r="Y442">
        <v>0</v>
      </c>
      <c r="Z442">
        <v>17486.439999999999</v>
      </c>
      <c r="AA442">
        <v>17620.099999999999</v>
      </c>
      <c r="AB442" s="12" t="s">
        <v>333</v>
      </c>
      <c r="AC442">
        <v>25.052199999999999</v>
      </c>
      <c r="AD442">
        <v>1</v>
      </c>
      <c r="AE442">
        <v>1</v>
      </c>
      <c r="AF442">
        <v>0</v>
      </c>
      <c r="AG442">
        <v>17486.439999999999</v>
      </c>
      <c r="AH442">
        <v>698</v>
      </c>
      <c r="AI442">
        <v>693</v>
      </c>
      <c r="AJ442">
        <v>5</v>
      </c>
      <c r="AK442">
        <v>1</v>
      </c>
      <c r="AL442">
        <v>1</v>
      </c>
      <c r="AM442">
        <v>99.28</v>
      </c>
      <c r="AN442">
        <v>25.425799999999999</v>
      </c>
      <c r="AO442">
        <v>125.26</v>
      </c>
      <c r="AP442" s="13">
        <v>45102</v>
      </c>
      <c r="AQ442">
        <v>-2</v>
      </c>
      <c r="AR442">
        <v>1</v>
      </c>
    </row>
    <row r="443" spans="1:44" x14ac:dyDescent="0.35">
      <c r="A443" s="12" t="s">
        <v>1050</v>
      </c>
      <c r="B443" s="12" t="s">
        <v>957</v>
      </c>
      <c r="C443" s="12" t="s">
        <v>958</v>
      </c>
      <c r="D443" s="12" t="s">
        <v>103</v>
      </c>
      <c r="E443" s="12" t="s">
        <v>142</v>
      </c>
      <c r="F443">
        <v>1</v>
      </c>
      <c r="G443">
        <v>7</v>
      </c>
      <c r="H443">
        <v>1</v>
      </c>
      <c r="I443" s="12" t="s">
        <v>183</v>
      </c>
      <c r="J443" s="12" t="s">
        <v>184</v>
      </c>
      <c r="K443" s="12" t="s">
        <v>133</v>
      </c>
      <c r="L443" s="12" t="s">
        <v>82</v>
      </c>
      <c r="M443">
        <v>8.6199999999999992</v>
      </c>
      <c r="N443" s="12" t="s">
        <v>145</v>
      </c>
      <c r="O443" s="12" t="s">
        <v>146</v>
      </c>
      <c r="P443" s="12" t="s">
        <v>109</v>
      </c>
      <c r="Q443" s="13">
        <v>45065</v>
      </c>
      <c r="R443" s="13">
        <v>45105</v>
      </c>
      <c r="S443">
        <v>2023</v>
      </c>
      <c r="T443" s="12" t="s">
        <v>889</v>
      </c>
      <c r="U443">
        <v>49</v>
      </c>
      <c r="V443">
        <v>199.1737</v>
      </c>
      <c r="W443">
        <v>252.82</v>
      </c>
      <c r="X443">
        <v>0</v>
      </c>
      <c r="Y443">
        <v>0</v>
      </c>
      <c r="Z443">
        <v>9759.51</v>
      </c>
      <c r="AA443">
        <v>10012.33</v>
      </c>
      <c r="AB443" s="12" t="s">
        <v>959</v>
      </c>
      <c r="AC443">
        <v>199.1737</v>
      </c>
      <c r="AD443">
        <v>1</v>
      </c>
      <c r="AE443">
        <v>1</v>
      </c>
      <c r="AF443">
        <v>0</v>
      </c>
      <c r="AG443">
        <v>9759.51</v>
      </c>
      <c r="AH443">
        <v>49</v>
      </c>
      <c r="AI443">
        <v>48</v>
      </c>
      <c r="AJ443">
        <v>1</v>
      </c>
      <c r="AK443">
        <v>1</v>
      </c>
      <c r="AL443">
        <v>1</v>
      </c>
      <c r="AM443">
        <v>97.96</v>
      </c>
      <c r="AN443">
        <v>208.59020000000001</v>
      </c>
      <c r="AO443">
        <v>199.17</v>
      </c>
      <c r="AP443" s="13">
        <v>45108</v>
      </c>
      <c r="AQ443">
        <v>3</v>
      </c>
      <c r="AR443">
        <v>0</v>
      </c>
    </row>
    <row r="444" spans="1:44" x14ac:dyDescent="0.35">
      <c r="A444" s="12" t="s">
        <v>1051</v>
      </c>
      <c r="B444" s="12" t="s">
        <v>458</v>
      </c>
      <c r="C444" s="12" t="s">
        <v>459</v>
      </c>
      <c r="D444" s="12" t="s">
        <v>64</v>
      </c>
      <c r="E444" s="12" t="s">
        <v>104</v>
      </c>
      <c r="F444">
        <v>2</v>
      </c>
      <c r="G444">
        <v>0</v>
      </c>
      <c r="H444">
        <v>0</v>
      </c>
      <c r="I444" s="12" t="s">
        <v>199</v>
      </c>
      <c r="J444" s="12" t="s">
        <v>200</v>
      </c>
      <c r="K444" s="12" t="s">
        <v>68</v>
      </c>
      <c r="L444" s="12" t="s">
        <v>96</v>
      </c>
      <c r="M444">
        <v>9.4700000000000006</v>
      </c>
      <c r="N444" s="12" t="s">
        <v>70</v>
      </c>
      <c r="O444" s="12" t="s">
        <v>71</v>
      </c>
      <c r="P444" s="12" t="s">
        <v>72</v>
      </c>
      <c r="Q444" s="13">
        <v>45065</v>
      </c>
      <c r="R444" s="13">
        <v>45092</v>
      </c>
      <c r="S444">
        <v>2023</v>
      </c>
      <c r="T444" s="12" t="s">
        <v>889</v>
      </c>
      <c r="U444">
        <v>883</v>
      </c>
      <c r="V444">
        <v>24.782299999999999</v>
      </c>
      <c r="W444">
        <v>453.6</v>
      </c>
      <c r="X444">
        <v>0</v>
      </c>
      <c r="Y444">
        <v>0</v>
      </c>
      <c r="Z444">
        <v>21882.77</v>
      </c>
      <c r="AA444">
        <v>22336.37</v>
      </c>
      <c r="AB444" s="12" t="s">
        <v>460</v>
      </c>
      <c r="AC444">
        <v>24.782299999999999</v>
      </c>
      <c r="AD444">
        <v>1</v>
      </c>
      <c r="AE444">
        <v>1</v>
      </c>
      <c r="AF444">
        <v>0</v>
      </c>
      <c r="AG444">
        <v>21882.77</v>
      </c>
      <c r="AH444">
        <v>883</v>
      </c>
      <c r="AI444">
        <v>869</v>
      </c>
      <c r="AJ444">
        <v>14</v>
      </c>
      <c r="AK444">
        <v>1</v>
      </c>
      <c r="AL444">
        <v>1</v>
      </c>
      <c r="AM444">
        <v>98.41</v>
      </c>
      <c r="AN444">
        <v>25.703499999999998</v>
      </c>
      <c r="AO444">
        <v>346.95</v>
      </c>
      <c r="AP444" s="13">
        <v>45092</v>
      </c>
      <c r="AQ444">
        <v>0</v>
      </c>
      <c r="AR444">
        <v>1</v>
      </c>
    </row>
    <row r="445" spans="1:44" x14ac:dyDescent="0.35">
      <c r="A445" s="12" t="s">
        <v>1052</v>
      </c>
      <c r="B445" s="12" t="s">
        <v>494</v>
      </c>
      <c r="C445" s="12" t="s">
        <v>495</v>
      </c>
      <c r="D445" s="12" t="s">
        <v>175</v>
      </c>
      <c r="E445" s="12" t="s">
        <v>65</v>
      </c>
      <c r="F445">
        <v>2</v>
      </c>
      <c r="G445">
        <v>3</v>
      </c>
      <c r="H445">
        <v>0</v>
      </c>
      <c r="I445" s="12" t="s">
        <v>515</v>
      </c>
      <c r="J445" s="12" t="s">
        <v>516</v>
      </c>
      <c r="K445" s="12" t="s">
        <v>68</v>
      </c>
      <c r="L445" s="12" t="s">
        <v>134</v>
      </c>
      <c r="M445">
        <v>3.69</v>
      </c>
      <c r="N445" s="12" t="s">
        <v>107</v>
      </c>
      <c r="O445" s="12" t="s">
        <v>108</v>
      </c>
      <c r="P445" s="12" t="s">
        <v>109</v>
      </c>
      <c r="Q445" s="13">
        <v>45065</v>
      </c>
      <c r="R445" s="13">
        <v>45098</v>
      </c>
      <c r="S445">
        <v>2023</v>
      </c>
      <c r="T445" s="12" t="s">
        <v>889</v>
      </c>
      <c r="U445">
        <v>110</v>
      </c>
      <c r="V445">
        <v>161.94200000000001</v>
      </c>
      <c r="W445">
        <v>394.99</v>
      </c>
      <c r="X445">
        <v>0</v>
      </c>
      <c r="Y445">
        <v>0</v>
      </c>
      <c r="Z445">
        <v>17813.62</v>
      </c>
      <c r="AA445">
        <v>18208.61</v>
      </c>
      <c r="AB445" s="12" t="s">
        <v>982</v>
      </c>
      <c r="AC445">
        <v>161.94200000000001</v>
      </c>
      <c r="AD445">
        <v>1</v>
      </c>
      <c r="AE445">
        <v>1</v>
      </c>
      <c r="AF445">
        <v>0</v>
      </c>
      <c r="AG445">
        <v>17813.62</v>
      </c>
      <c r="AH445">
        <v>110</v>
      </c>
      <c r="AI445">
        <v>109</v>
      </c>
      <c r="AJ445">
        <v>1</v>
      </c>
      <c r="AK445">
        <v>1</v>
      </c>
      <c r="AL445">
        <v>1</v>
      </c>
      <c r="AM445">
        <v>99.09</v>
      </c>
      <c r="AN445">
        <v>167.0515</v>
      </c>
      <c r="AO445">
        <v>161.94</v>
      </c>
      <c r="AP445" s="13">
        <v>45095</v>
      </c>
      <c r="AQ445">
        <v>-3</v>
      </c>
      <c r="AR445">
        <v>1</v>
      </c>
    </row>
    <row r="446" spans="1:44" x14ac:dyDescent="0.35">
      <c r="A446" s="12" t="s">
        <v>1053</v>
      </c>
      <c r="B446" s="12" t="s">
        <v>1054</v>
      </c>
      <c r="C446" s="12" t="s">
        <v>1055</v>
      </c>
      <c r="D446" s="12" t="s">
        <v>122</v>
      </c>
      <c r="E446" s="12" t="s">
        <v>65</v>
      </c>
      <c r="F446">
        <v>1</v>
      </c>
      <c r="G446">
        <v>2</v>
      </c>
      <c r="H446">
        <v>1</v>
      </c>
      <c r="I446" s="12" t="s">
        <v>176</v>
      </c>
      <c r="J446" s="12" t="s">
        <v>177</v>
      </c>
      <c r="K446" s="12" t="s">
        <v>125</v>
      </c>
      <c r="L446" s="12" t="s">
        <v>134</v>
      </c>
      <c r="M446">
        <v>1.75</v>
      </c>
      <c r="N446" s="12" t="s">
        <v>97</v>
      </c>
      <c r="O446" s="12" t="s">
        <v>98</v>
      </c>
      <c r="P446" s="12" t="s">
        <v>72</v>
      </c>
      <c r="Q446" s="13">
        <v>45068</v>
      </c>
      <c r="R446" s="13">
        <v>45094</v>
      </c>
      <c r="S446">
        <v>2023</v>
      </c>
      <c r="T446" s="12" t="s">
        <v>889</v>
      </c>
      <c r="U446">
        <v>754</v>
      </c>
      <c r="V446">
        <v>46.916699999999999</v>
      </c>
      <c r="W446">
        <v>865.68</v>
      </c>
      <c r="X446">
        <v>1087.68</v>
      </c>
      <c r="Y446">
        <v>1</v>
      </c>
      <c r="Z446">
        <v>35375.19</v>
      </c>
      <c r="AA446">
        <v>37328.550000000003</v>
      </c>
      <c r="AB446" s="12" t="s">
        <v>1056</v>
      </c>
      <c r="AC446">
        <v>46.916699999999999</v>
      </c>
      <c r="AD446">
        <v>1</v>
      </c>
      <c r="AE446">
        <v>1</v>
      </c>
      <c r="AF446">
        <v>0</v>
      </c>
      <c r="AG446">
        <v>35375.19</v>
      </c>
      <c r="AH446">
        <v>754</v>
      </c>
      <c r="AI446">
        <v>751</v>
      </c>
      <c r="AJ446">
        <v>3</v>
      </c>
      <c r="AK446">
        <v>1</v>
      </c>
      <c r="AL446">
        <v>1</v>
      </c>
      <c r="AM446">
        <v>99.6</v>
      </c>
      <c r="AN446">
        <v>49.705100000000002</v>
      </c>
      <c r="AO446">
        <v>140.75</v>
      </c>
      <c r="AP446" s="13">
        <v>45100</v>
      </c>
      <c r="AQ446">
        <v>6</v>
      </c>
      <c r="AR446">
        <v>0</v>
      </c>
    </row>
    <row r="447" spans="1:44" x14ac:dyDescent="0.35">
      <c r="A447" s="12" t="s">
        <v>1057</v>
      </c>
      <c r="B447" s="12" t="s">
        <v>823</v>
      </c>
      <c r="C447" s="12" t="s">
        <v>824</v>
      </c>
      <c r="D447" s="12" t="s">
        <v>114</v>
      </c>
      <c r="E447" s="12" t="s">
        <v>142</v>
      </c>
      <c r="F447">
        <v>1</v>
      </c>
      <c r="G447">
        <v>8</v>
      </c>
      <c r="H447">
        <v>1</v>
      </c>
      <c r="I447" s="12" t="s">
        <v>515</v>
      </c>
      <c r="J447" s="12" t="s">
        <v>516</v>
      </c>
      <c r="K447" s="12" t="s">
        <v>68</v>
      </c>
      <c r="L447" s="12" t="s">
        <v>134</v>
      </c>
      <c r="M447">
        <v>3.69</v>
      </c>
      <c r="N447" s="12" t="s">
        <v>97</v>
      </c>
      <c r="O447" s="12" t="s">
        <v>98</v>
      </c>
      <c r="P447" s="12" t="s">
        <v>72</v>
      </c>
      <c r="Q447" s="13">
        <v>45068</v>
      </c>
      <c r="R447" s="13">
        <v>45106</v>
      </c>
      <c r="S447">
        <v>2023</v>
      </c>
      <c r="T447" s="12" t="s">
        <v>889</v>
      </c>
      <c r="U447">
        <v>36</v>
      </c>
      <c r="V447">
        <v>340.7817</v>
      </c>
      <c r="W447">
        <v>311.66000000000003</v>
      </c>
      <c r="X447">
        <v>0</v>
      </c>
      <c r="Y447">
        <v>0</v>
      </c>
      <c r="Z447">
        <v>12268.14</v>
      </c>
      <c r="AA447">
        <v>12579.8</v>
      </c>
      <c r="AB447" s="12" t="s">
        <v>825</v>
      </c>
      <c r="AC447">
        <v>361.73399999999998</v>
      </c>
      <c r="AD447">
        <v>1</v>
      </c>
      <c r="AE447">
        <v>1</v>
      </c>
      <c r="AF447">
        <v>-754.28</v>
      </c>
      <c r="AG447">
        <v>13022.42</v>
      </c>
      <c r="AH447">
        <v>36</v>
      </c>
      <c r="AI447">
        <v>36</v>
      </c>
      <c r="AJ447">
        <v>0</v>
      </c>
      <c r="AK447">
        <v>1</v>
      </c>
      <c r="AL447">
        <v>1</v>
      </c>
      <c r="AM447">
        <v>100</v>
      </c>
      <c r="AN447">
        <v>349.43889999999999</v>
      </c>
      <c r="AO447">
        <v>0</v>
      </c>
      <c r="AP447" s="13">
        <v>45106</v>
      </c>
      <c r="AQ447">
        <v>0</v>
      </c>
      <c r="AR447">
        <v>1</v>
      </c>
    </row>
    <row r="448" spans="1:44" x14ac:dyDescent="0.35">
      <c r="A448" s="12" t="s">
        <v>1058</v>
      </c>
      <c r="B448" s="12" t="s">
        <v>454</v>
      </c>
      <c r="C448" s="12" t="s">
        <v>455</v>
      </c>
      <c r="D448" s="12" t="s">
        <v>122</v>
      </c>
      <c r="E448" s="12" t="s">
        <v>104</v>
      </c>
      <c r="F448">
        <v>3</v>
      </c>
      <c r="G448">
        <v>1</v>
      </c>
      <c r="H448">
        <v>0</v>
      </c>
      <c r="I448" s="12" t="s">
        <v>87</v>
      </c>
      <c r="J448" s="12" t="s">
        <v>88</v>
      </c>
      <c r="K448" s="12" t="s">
        <v>89</v>
      </c>
      <c r="L448" s="12" t="s">
        <v>69</v>
      </c>
      <c r="M448">
        <v>14.93</v>
      </c>
      <c r="N448" s="12" t="s">
        <v>70</v>
      </c>
      <c r="O448" s="12" t="s">
        <v>71</v>
      </c>
      <c r="P448" s="12" t="s">
        <v>72</v>
      </c>
      <c r="Q448" s="13">
        <v>45068</v>
      </c>
      <c r="R448" s="13">
        <v>45097</v>
      </c>
      <c r="S448">
        <v>2023</v>
      </c>
      <c r="T448" s="12" t="s">
        <v>889</v>
      </c>
      <c r="U448">
        <v>1988</v>
      </c>
      <c r="V448">
        <v>22.997800000000002</v>
      </c>
      <c r="W448">
        <v>994.09</v>
      </c>
      <c r="X448">
        <v>0</v>
      </c>
      <c r="Y448">
        <v>0</v>
      </c>
      <c r="Z448">
        <v>45719.63</v>
      </c>
      <c r="AA448">
        <v>46713.72</v>
      </c>
      <c r="AB448" s="12" t="s">
        <v>456</v>
      </c>
      <c r="AC448">
        <v>21.796199999999999</v>
      </c>
      <c r="AD448">
        <v>1</v>
      </c>
      <c r="AE448">
        <v>1</v>
      </c>
      <c r="AF448">
        <v>2388.7800000000002</v>
      </c>
      <c r="AG448">
        <v>43330.85</v>
      </c>
      <c r="AH448">
        <v>1988</v>
      </c>
      <c r="AI448">
        <v>1983</v>
      </c>
      <c r="AJ448">
        <v>5</v>
      </c>
      <c r="AK448">
        <v>1</v>
      </c>
      <c r="AL448">
        <v>1</v>
      </c>
      <c r="AM448">
        <v>99.75</v>
      </c>
      <c r="AN448">
        <v>23.557099999999998</v>
      </c>
      <c r="AO448">
        <v>114.99</v>
      </c>
      <c r="AP448" s="13">
        <v>45095</v>
      </c>
      <c r="AQ448">
        <v>-2</v>
      </c>
      <c r="AR448">
        <v>1</v>
      </c>
    </row>
    <row r="449" spans="1:44" x14ac:dyDescent="0.35">
      <c r="A449" s="12" t="s">
        <v>1059</v>
      </c>
      <c r="B449" s="12" t="s">
        <v>740</v>
      </c>
      <c r="C449" s="12" t="s">
        <v>741</v>
      </c>
      <c r="D449" s="12" t="s">
        <v>64</v>
      </c>
      <c r="E449" s="12" t="s">
        <v>104</v>
      </c>
      <c r="F449">
        <v>2</v>
      </c>
      <c r="G449">
        <v>0</v>
      </c>
      <c r="H449">
        <v>0</v>
      </c>
      <c r="I449" s="12" t="s">
        <v>183</v>
      </c>
      <c r="J449" s="12" t="s">
        <v>184</v>
      </c>
      <c r="K449" s="12" t="s">
        <v>133</v>
      </c>
      <c r="L449" s="12" t="s">
        <v>82</v>
      </c>
      <c r="M449">
        <v>8.6199999999999992</v>
      </c>
      <c r="N449" s="12" t="s">
        <v>70</v>
      </c>
      <c r="O449" s="12" t="s">
        <v>71</v>
      </c>
      <c r="P449" s="12" t="s">
        <v>72</v>
      </c>
      <c r="Q449" s="13">
        <v>45068</v>
      </c>
      <c r="R449" s="13">
        <v>45090</v>
      </c>
      <c r="S449">
        <v>2023</v>
      </c>
      <c r="T449" s="12" t="s">
        <v>889</v>
      </c>
      <c r="U449">
        <v>610</v>
      </c>
      <c r="V449">
        <v>41.2042</v>
      </c>
      <c r="W449">
        <v>480.97</v>
      </c>
      <c r="X449">
        <v>0</v>
      </c>
      <c r="Y449">
        <v>0</v>
      </c>
      <c r="Z449">
        <v>25134.560000000001</v>
      </c>
      <c r="AA449">
        <v>25615.53</v>
      </c>
      <c r="AB449" s="12" t="s">
        <v>742</v>
      </c>
      <c r="AC449">
        <v>41.2042</v>
      </c>
      <c r="AD449">
        <v>1</v>
      </c>
      <c r="AE449">
        <v>1</v>
      </c>
      <c r="AF449">
        <v>0</v>
      </c>
      <c r="AG449">
        <v>25134.560000000001</v>
      </c>
      <c r="AH449">
        <v>610</v>
      </c>
      <c r="AI449">
        <v>602</v>
      </c>
      <c r="AJ449">
        <v>8</v>
      </c>
      <c r="AK449">
        <v>1</v>
      </c>
      <c r="AL449">
        <v>1</v>
      </c>
      <c r="AM449">
        <v>98.69</v>
      </c>
      <c r="AN449">
        <v>42.550699999999999</v>
      </c>
      <c r="AO449">
        <v>329.63</v>
      </c>
      <c r="AP449" s="13">
        <v>45090</v>
      </c>
      <c r="AQ449">
        <v>0</v>
      </c>
      <c r="AR449">
        <v>1</v>
      </c>
    </row>
    <row r="450" spans="1:44" x14ac:dyDescent="0.35">
      <c r="A450" s="12" t="s">
        <v>1060</v>
      </c>
      <c r="B450" s="12" t="s">
        <v>428</v>
      </c>
      <c r="C450" s="12" t="s">
        <v>429</v>
      </c>
      <c r="D450" s="12" t="s">
        <v>64</v>
      </c>
      <c r="E450" s="12" t="s">
        <v>65</v>
      </c>
      <c r="F450">
        <v>3</v>
      </c>
      <c r="G450">
        <v>4</v>
      </c>
      <c r="H450">
        <v>0</v>
      </c>
      <c r="I450" s="12" t="s">
        <v>123</v>
      </c>
      <c r="J450" s="12" t="s">
        <v>124</v>
      </c>
      <c r="K450" s="12" t="s">
        <v>125</v>
      </c>
      <c r="L450" s="12" t="s">
        <v>82</v>
      </c>
      <c r="M450">
        <v>6.75</v>
      </c>
      <c r="N450" s="12" t="s">
        <v>97</v>
      </c>
      <c r="O450" s="12" t="s">
        <v>98</v>
      </c>
      <c r="P450" s="12" t="s">
        <v>72</v>
      </c>
      <c r="Q450" s="13">
        <v>45068</v>
      </c>
      <c r="R450" s="13">
        <v>45096</v>
      </c>
      <c r="S450">
        <v>2023</v>
      </c>
      <c r="T450" s="12" t="s">
        <v>889</v>
      </c>
      <c r="U450">
        <v>475</v>
      </c>
      <c r="V450">
        <v>15.737500000000001</v>
      </c>
      <c r="W450">
        <v>163.79</v>
      </c>
      <c r="X450">
        <v>0</v>
      </c>
      <c r="Y450">
        <v>0</v>
      </c>
      <c r="Z450">
        <v>7475.31</v>
      </c>
      <c r="AA450">
        <v>7639.1</v>
      </c>
      <c r="AB450" s="12" t="s">
        <v>201</v>
      </c>
      <c r="AD450">
        <v>0</v>
      </c>
      <c r="AE450">
        <v>0</v>
      </c>
      <c r="AH450">
        <v>475</v>
      </c>
      <c r="AI450">
        <v>474</v>
      </c>
      <c r="AJ450">
        <v>1</v>
      </c>
      <c r="AK450">
        <v>1</v>
      </c>
      <c r="AL450">
        <v>1</v>
      </c>
      <c r="AM450">
        <v>99.79</v>
      </c>
      <c r="AN450">
        <v>16.116299999999999</v>
      </c>
      <c r="AO450">
        <v>15.74</v>
      </c>
      <c r="AP450" s="13">
        <v>45094</v>
      </c>
      <c r="AQ450">
        <v>-2</v>
      </c>
      <c r="AR450">
        <v>1</v>
      </c>
    </row>
    <row r="451" spans="1:44" x14ac:dyDescent="0.35">
      <c r="A451" s="12" t="s">
        <v>1061</v>
      </c>
      <c r="B451" s="12" t="s">
        <v>317</v>
      </c>
      <c r="C451" s="12" t="s">
        <v>318</v>
      </c>
      <c r="D451" s="12" t="s">
        <v>64</v>
      </c>
      <c r="E451" s="12" t="s">
        <v>104</v>
      </c>
      <c r="F451">
        <v>2</v>
      </c>
      <c r="G451">
        <v>0</v>
      </c>
      <c r="H451">
        <v>0</v>
      </c>
      <c r="I451" s="12" t="s">
        <v>169</v>
      </c>
      <c r="J451" s="12" t="s">
        <v>170</v>
      </c>
      <c r="K451" s="12" t="s">
        <v>89</v>
      </c>
      <c r="L451" s="12" t="s">
        <v>134</v>
      </c>
      <c r="M451">
        <v>1.37</v>
      </c>
      <c r="N451" s="12" t="s">
        <v>97</v>
      </c>
      <c r="O451" s="12" t="s">
        <v>98</v>
      </c>
      <c r="P451" s="12" t="s">
        <v>72</v>
      </c>
      <c r="Q451" s="13">
        <v>45069</v>
      </c>
      <c r="R451" s="13">
        <v>45085</v>
      </c>
      <c r="S451">
        <v>2023</v>
      </c>
      <c r="T451" s="12" t="s">
        <v>889</v>
      </c>
      <c r="U451">
        <v>303</v>
      </c>
      <c r="V451">
        <v>16.3901</v>
      </c>
      <c r="W451">
        <v>63.17</v>
      </c>
      <c r="X451">
        <v>154.49</v>
      </c>
      <c r="Y451">
        <v>1</v>
      </c>
      <c r="Z451">
        <v>4966.2</v>
      </c>
      <c r="AA451">
        <v>5183.8599999999997</v>
      </c>
      <c r="AB451" s="12" t="s">
        <v>319</v>
      </c>
      <c r="AC451">
        <v>15.848100000000001</v>
      </c>
      <c r="AD451">
        <v>1</v>
      </c>
      <c r="AE451">
        <v>1</v>
      </c>
      <c r="AF451">
        <v>164.23</v>
      </c>
      <c r="AG451">
        <v>4801.97</v>
      </c>
      <c r="AH451">
        <v>303</v>
      </c>
      <c r="AI451">
        <v>302</v>
      </c>
      <c r="AJ451">
        <v>1</v>
      </c>
      <c r="AK451">
        <v>1</v>
      </c>
      <c r="AL451">
        <v>1</v>
      </c>
      <c r="AM451">
        <v>99.67</v>
      </c>
      <c r="AN451">
        <v>17.165099999999999</v>
      </c>
      <c r="AO451">
        <v>16.39</v>
      </c>
      <c r="AP451" s="13">
        <v>45082</v>
      </c>
      <c r="AQ451">
        <v>-3</v>
      </c>
      <c r="AR451">
        <v>1</v>
      </c>
    </row>
    <row r="452" spans="1:44" x14ac:dyDescent="0.35">
      <c r="A452" s="12" t="s">
        <v>1062</v>
      </c>
      <c r="B452" s="12" t="s">
        <v>802</v>
      </c>
      <c r="C452" s="12" t="s">
        <v>803</v>
      </c>
      <c r="D452" s="12" t="s">
        <v>114</v>
      </c>
      <c r="E452" s="12" t="s">
        <v>65</v>
      </c>
      <c r="F452">
        <v>3</v>
      </c>
      <c r="G452">
        <v>5</v>
      </c>
      <c r="H452">
        <v>0</v>
      </c>
      <c r="I452" s="12" t="s">
        <v>87</v>
      </c>
      <c r="J452" s="12" t="s">
        <v>88</v>
      </c>
      <c r="K452" s="12" t="s">
        <v>89</v>
      </c>
      <c r="L452" s="12" t="s">
        <v>69</v>
      </c>
      <c r="M452">
        <v>14.93</v>
      </c>
      <c r="N452" s="12" t="s">
        <v>97</v>
      </c>
      <c r="O452" s="12" t="s">
        <v>98</v>
      </c>
      <c r="P452" s="12" t="s">
        <v>72</v>
      </c>
      <c r="Q452" s="13">
        <v>45069</v>
      </c>
      <c r="R452" s="13">
        <v>45094</v>
      </c>
      <c r="S452">
        <v>2023</v>
      </c>
      <c r="T452" s="12" t="s">
        <v>889</v>
      </c>
      <c r="U452">
        <v>45</v>
      </c>
      <c r="V452">
        <v>350.71699999999998</v>
      </c>
      <c r="W452">
        <v>248.06</v>
      </c>
      <c r="X452">
        <v>0</v>
      </c>
      <c r="Y452">
        <v>0</v>
      </c>
      <c r="Z452">
        <v>15782.27</v>
      </c>
      <c r="AA452">
        <v>16030.33</v>
      </c>
      <c r="AB452" s="12" t="s">
        <v>1063</v>
      </c>
      <c r="AC452">
        <v>350.71699999999998</v>
      </c>
      <c r="AD452">
        <v>1</v>
      </c>
      <c r="AE452">
        <v>1</v>
      </c>
      <c r="AF452">
        <v>0</v>
      </c>
      <c r="AG452">
        <v>15782.27</v>
      </c>
      <c r="AH452">
        <v>45</v>
      </c>
      <c r="AI452">
        <v>44</v>
      </c>
      <c r="AJ452">
        <v>1</v>
      </c>
      <c r="AK452">
        <v>1</v>
      </c>
      <c r="AL452">
        <v>1</v>
      </c>
      <c r="AM452">
        <v>97.78</v>
      </c>
      <c r="AN452">
        <v>364.32560000000001</v>
      </c>
      <c r="AO452">
        <v>350.72</v>
      </c>
      <c r="AP452" s="13">
        <v>45092</v>
      </c>
      <c r="AQ452">
        <v>-2</v>
      </c>
      <c r="AR452">
        <v>1</v>
      </c>
    </row>
    <row r="453" spans="1:44" x14ac:dyDescent="0.35">
      <c r="A453" s="12" t="s">
        <v>1064</v>
      </c>
      <c r="B453" s="12" t="s">
        <v>1034</v>
      </c>
      <c r="C453" s="12" t="s">
        <v>1035</v>
      </c>
      <c r="D453" s="12" t="s">
        <v>64</v>
      </c>
      <c r="E453" s="12" t="s">
        <v>104</v>
      </c>
      <c r="F453">
        <v>2</v>
      </c>
      <c r="G453">
        <v>0</v>
      </c>
      <c r="H453">
        <v>0</v>
      </c>
      <c r="I453" s="12" t="s">
        <v>157</v>
      </c>
      <c r="J453" s="12" t="s">
        <v>158</v>
      </c>
      <c r="K453" s="12" t="s">
        <v>117</v>
      </c>
      <c r="L453" s="12" t="s">
        <v>96</v>
      </c>
      <c r="M453">
        <v>4.72</v>
      </c>
      <c r="N453" s="12" t="s">
        <v>70</v>
      </c>
      <c r="O453" s="12" t="s">
        <v>71</v>
      </c>
      <c r="P453" s="12" t="s">
        <v>72</v>
      </c>
      <c r="Q453" s="13">
        <v>45069</v>
      </c>
      <c r="R453" s="13">
        <v>45082</v>
      </c>
      <c r="S453">
        <v>2023</v>
      </c>
      <c r="T453" s="12" t="s">
        <v>889</v>
      </c>
      <c r="U453">
        <v>176</v>
      </c>
      <c r="V453">
        <v>9.9979999999999993</v>
      </c>
      <c r="W453">
        <v>13.76</v>
      </c>
      <c r="X453">
        <v>0</v>
      </c>
      <c r="Y453">
        <v>0</v>
      </c>
      <c r="Z453">
        <v>1759.65</v>
      </c>
      <c r="AA453">
        <v>1773.41</v>
      </c>
      <c r="AB453" s="12" t="s">
        <v>1036</v>
      </c>
      <c r="AC453">
        <v>9.9979999999999993</v>
      </c>
      <c r="AD453">
        <v>1</v>
      </c>
      <c r="AE453">
        <v>1</v>
      </c>
      <c r="AF453">
        <v>0</v>
      </c>
      <c r="AG453">
        <v>1759.65</v>
      </c>
      <c r="AH453">
        <v>176</v>
      </c>
      <c r="AI453">
        <v>175</v>
      </c>
      <c r="AJ453">
        <v>1</v>
      </c>
      <c r="AK453">
        <v>1</v>
      </c>
      <c r="AL453">
        <v>1</v>
      </c>
      <c r="AM453">
        <v>99.43</v>
      </c>
      <c r="AN453">
        <v>10.133800000000001</v>
      </c>
      <c r="AO453">
        <v>10</v>
      </c>
      <c r="AP453" s="13">
        <v>45089</v>
      </c>
      <c r="AQ453">
        <v>7</v>
      </c>
      <c r="AR453">
        <v>0</v>
      </c>
    </row>
    <row r="454" spans="1:44" x14ac:dyDescent="0.35">
      <c r="A454" s="12" t="s">
        <v>1065</v>
      </c>
      <c r="B454" s="12" t="s">
        <v>609</v>
      </c>
      <c r="C454" s="12" t="s">
        <v>610</v>
      </c>
      <c r="D454" s="12" t="s">
        <v>64</v>
      </c>
      <c r="E454" s="12" t="s">
        <v>104</v>
      </c>
      <c r="F454">
        <v>1</v>
      </c>
      <c r="G454">
        <v>0</v>
      </c>
      <c r="H454">
        <v>1</v>
      </c>
      <c r="I454" s="12" t="s">
        <v>227</v>
      </c>
      <c r="J454" s="12" t="s">
        <v>228</v>
      </c>
      <c r="K454" s="12" t="s">
        <v>89</v>
      </c>
      <c r="L454" s="12" t="s">
        <v>96</v>
      </c>
      <c r="M454">
        <v>9.15</v>
      </c>
      <c r="N454" s="12" t="s">
        <v>70</v>
      </c>
      <c r="O454" s="12" t="s">
        <v>71</v>
      </c>
      <c r="P454" s="12" t="s">
        <v>72</v>
      </c>
      <c r="Q454" s="13">
        <v>45069</v>
      </c>
      <c r="R454" s="13">
        <v>45098</v>
      </c>
      <c r="S454">
        <v>2023</v>
      </c>
      <c r="T454" s="12" t="s">
        <v>889</v>
      </c>
      <c r="U454">
        <v>986</v>
      </c>
      <c r="V454">
        <v>20.713699999999999</v>
      </c>
      <c r="W454">
        <v>279.06</v>
      </c>
      <c r="X454">
        <v>0</v>
      </c>
      <c r="Y454">
        <v>0</v>
      </c>
      <c r="Z454">
        <v>20423.71</v>
      </c>
      <c r="AA454">
        <v>20702.77</v>
      </c>
      <c r="AB454" s="12" t="s">
        <v>611</v>
      </c>
      <c r="AC454">
        <v>20.713699999999999</v>
      </c>
      <c r="AD454">
        <v>1</v>
      </c>
      <c r="AE454">
        <v>1</v>
      </c>
      <c r="AF454">
        <v>0</v>
      </c>
      <c r="AG454">
        <v>20423.71</v>
      </c>
      <c r="AH454">
        <v>986</v>
      </c>
      <c r="AI454">
        <v>975</v>
      </c>
      <c r="AJ454">
        <v>11</v>
      </c>
      <c r="AK454">
        <v>1</v>
      </c>
      <c r="AL454">
        <v>1</v>
      </c>
      <c r="AM454">
        <v>98.88</v>
      </c>
      <c r="AN454">
        <v>21.233599999999999</v>
      </c>
      <c r="AO454">
        <v>227.85</v>
      </c>
      <c r="AP454" s="13">
        <v>45096</v>
      </c>
      <c r="AQ454">
        <v>-2</v>
      </c>
      <c r="AR454">
        <v>1</v>
      </c>
    </row>
    <row r="455" spans="1:44" x14ac:dyDescent="0.35">
      <c r="A455" s="12" t="s">
        <v>1066</v>
      </c>
      <c r="B455" s="12" t="s">
        <v>694</v>
      </c>
      <c r="C455" s="12" t="s">
        <v>695</v>
      </c>
      <c r="D455" s="12" t="s">
        <v>103</v>
      </c>
      <c r="E455" s="12" t="s">
        <v>65</v>
      </c>
      <c r="F455">
        <v>2</v>
      </c>
      <c r="G455">
        <v>3</v>
      </c>
      <c r="H455">
        <v>0</v>
      </c>
      <c r="I455" s="12" t="s">
        <v>263</v>
      </c>
      <c r="J455" s="12" t="s">
        <v>264</v>
      </c>
      <c r="K455" s="12" t="s">
        <v>125</v>
      </c>
      <c r="L455" s="12" t="s">
        <v>82</v>
      </c>
      <c r="M455">
        <v>10.210000000000001</v>
      </c>
      <c r="N455" s="12" t="s">
        <v>107</v>
      </c>
      <c r="O455" s="12" t="s">
        <v>108</v>
      </c>
      <c r="P455" s="12" t="s">
        <v>109</v>
      </c>
      <c r="Q455" s="13">
        <v>45069</v>
      </c>
      <c r="R455" s="13">
        <v>45093</v>
      </c>
      <c r="S455">
        <v>2023</v>
      </c>
      <c r="T455" s="12" t="s">
        <v>889</v>
      </c>
      <c r="U455">
        <v>40</v>
      </c>
      <c r="V455">
        <v>215.60980000000001</v>
      </c>
      <c r="W455">
        <v>173</v>
      </c>
      <c r="X455">
        <v>0</v>
      </c>
      <c r="Y455">
        <v>0</v>
      </c>
      <c r="Z455">
        <v>8624.39</v>
      </c>
      <c r="AA455">
        <v>8797.39</v>
      </c>
      <c r="AB455" s="12" t="s">
        <v>696</v>
      </c>
      <c r="AC455">
        <v>215.60980000000001</v>
      </c>
      <c r="AD455">
        <v>1</v>
      </c>
      <c r="AE455">
        <v>1</v>
      </c>
      <c r="AF455">
        <v>0</v>
      </c>
      <c r="AG455">
        <v>8624.39</v>
      </c>
      <c r="AH455">
        <v>40</v>
      </c>
      <c r="AI455">
        <v>40</v>
      </c>
      <c r="AJ455">
        <v>0</v>
      </c>
      <c r="AK455">
        <v>1</v>
      </c>
      <c r="AL455">
        <v>1</v>
      </c>
      <c r="AM455">
        <v>100</v>
      </c>
      <c r="AN455">
        <v>219.9348</v>
      </c>
      <c r="AO455">
        <v>0</v>
      </c>
      <c r="AP455" s="13">
        <v>45090</v>
      </c>
      <c r="AQ455">
        <v>-3</v>
      </c>
      <c r="AR455">
        <v>1</v>
      </c>
    </row>
    <row r="456" spans="1:44" x14ac:dyDescent="0.35">
      <c r="A456" s="12" t="s">
        <v>1067</v>
      </c>
      <c r="B456" s="12" t="s">
        <v>1068</v>
      </c>
      <c r="C456" s="12" t="s">
        <v>1069</v>
      </c>
      <c r="D456" s="12" t="s">
        <v>122</v>
      </c>
      <c r="E456" s="12" t="s">
        <v>65</v>
      </c>
      <c r="F456">
        <v>2</v>
      </c>
      <c r="G456">
        <v>2</v>
      </c>
      <c r="H456">
        <v>0</v>
      </c>
      <c r="I456" s="12" t="s">
        <v>79</v>
      </c>
      <c r="J456" s="12" t="s">
        <v>80</v>
      </c>
      <c r="K456" s="12" t="s">
        <v>81</v>
      </c>
      <c r="L456" s="12" t="s">
        <v>82</v>
      </c>
      <c r="M456">
        <v>12.07</v>
      </c>
      <c r="N456" s="12" t="s">
        <v>70</v>
      </c>
      <c r="O456" s="12" t="s">
        <v>71</v>
      </c>
      <c r="P456" s="12" t="s">
        <v>72</v>
      </c>
      <c r="Q456" s="13">
        <v>45069</v>
      </c>
      <c r="R456" s="13">
        <v>45106</v>
      </c>
      <c r="S456">
        <v>2023</v>
      </c>
      <c r="T456" s="12" t="s">
        <v>889</v>
      </c>
      <c r="U456">
        <v>1834</v>
      </c>
      <c r="V456">
        <v>22.417999999999999</v>
      </c>
      <c r="W456">
        <v>766.59</v>
      </c>
      <c r="X456">
        <v>0</v>
      </c>
      <c r="Y456">
        <v>0</v>
      </c>
      <c r="Z456">
        <v>41114.61</v>
      </c>
      <c r="AA456">
        <v>41881.199999999997</v>
      </c>
      <c r="AB456" s="12" t="s">
        <v>1070</v>
      </c>
      <c r="AC456">
        <v>21.667100000000001</v>
      </c>
      <c r="AD456">
        <v>1</v>
      </c>
      <c r="AE456">
        <v>1</v>
      </c>
      <c r="AF456">
        <v>1377.15</v>
      </c>
      <c r="AG456">
        <v>39737.46</v>
      </c>
      <c r="AH456">
        <v>1834</v>
      </c>
      <c r="AI456">
        <v>1823</v>
      </c>
      <c r="AJ456">
        <v>11</v>
      </c>
      <c r="AK456">
        <v>1</v>
      </c>
      <c r="AL456">
        <v>1</v>
      </c>
      <c r="AM456">
        <v>99.4</v>
      </c>
      <c r="AN456">
        <v>22.973800000000001</v>
      </c>
      <c r="AO456">
        <v>246.6</v>
      </c>
      <c r="AP456" s="13">
        <v>45106</v>
      </c>
      <c r="AQ456">
        <v>0</v>
      </c>
      <c r="AR456">
        <v>1</v>
      </c>
    </row>
    <row r="457" spans="1:44" x14ac:dyDescent="0.35">
      <c r="A457" s="12" t="s">
        <v>1071</v>
      </c>
      <c r="B457" s="12" t="s">
        <v>617</v>
      </c>
      <c r="C457" s="12" t="s">
        <v>618</v>
      </c>
      <c r="D457" s="12" t="s">
        <v>78</v>
      </c>
      <c r="E457" s="12" t="s">
        <v>65</v>
      </c>
      <c r="F457">
        <v>2</v>
      </c>
      <c r="G457">
        <v>4</v>
      </c>
      <c r="H457">
        <v>0</v>
      </c>
      <c r="I457" s="12" t="s">
        <v>341</v>
      </c>
      <c r="J457" s="12" t="s">
        <v>342</v>
      </c>
      <c r="K457" s="12" t="s">
        <v>117</v>
      </c>
      <c r="L457" s="12" t="s">
        <v>82</v>
      </c>
      <c r="M457">
        <v>18.36</v>
      </c>
      <c r="N457" s="12" t="s">
        <v>70</v>
      </c>
      <c r="O457" s="12" t="s">
        <v>71</v>
      </c>
      <c r="P457" s="12" t="s">
        <v>72</v>
      </c>
      <c r="Q457" s="13">
        <v>45069</v>
      </c>
      <c r="R457" s="13">
        <v>45096</v>
      </c>
      <c r="S457">
        <v>2023</v>
      </c>
      <c r="T457" s="12" t="s">
        <v>889</v>
      </c>
      <c r="U457">
        <v>140</v>
      </c>
      <c r="V457">
        <v>108.2711</v>
      </c>
      <c r="W457">
        <v>171.31</v>
      </c>
      <c r="X457">
        <v>0</v>
      </c>
      <c r="Y457">
        <v>0</v>
      </c>
      <c r="Z457">
        <v>15157.95</v>
      </c>
      <c r="AA457">
        <v>15329.26</v>
      </c>
      <c r="AB457" s="12" t="s">
        <v>619</v>
      </c>
      <c r="AC457">
        <v>108.2711</v>
      </c>
      <c r="AD457">
        <v>1</v>
      </c>
      <c r="AE457">
        <v>1</v>
      </c>
      <c r="AF457">
        <v>0</v>
      </c>
      <c r="AG457">
        <v>15157.95</v>
      </c>
      <c r="AH457">
        <v>140</v>
      </c>
      <c r="AI457">
        <v>139</v>
      </c>
      <c r="AJ457">
        <v>1</v>
      </c>
      <c r="AK457">
        <v>1</v>
      </c>
      <c r="AL457">
        <v>1</v>
      </c>
      <c r="AM457">
        <v>99.29</v>
      </c>
      <c r="AN457">
        <v>110.2825</v>
      </c>
      <c r="AO457">
        <v>108.27</v>
      </c>
      <c r="AP457" s="13">
        <v>45093</v>
      </c>
      <c r="AQ457">
        <v>-3</v>
      </c>
      <c r="AR457">
        <v>1</v>
      </c>
    </row>
    <row r="458" spans="1:44" x14ac:dyDescent="0.35">
      <c r="A458" s="12" t="s">
        <v>1072</v>
      </c>
      <c r="B458" s="12" t="s">
        <v>747</v>
      </c>
      <c r="C458" s="12" t="s">
        <v>748</v>
      </c>
      <c r="D458" s="12" t="s">
        <v>114</v>
      </c>
      <c r="E458" s="12" t="s">
        <v>104</v>
      </c>
      <c r="F458">
        <v>2</v>
      </c>
      <c r="G458">
        <v>0</v>
      </c>
      <c r="H458">
        <v>0</v>
      </c>
      <c r="I458" s="12" t="s">
        <v>380</v>
      </c>
      <c r="J458" s="12" t="s">
        <v>381</v>
      </c>
      <c r="K458" s="12" t="s">
        <v>89</v>
      </c>
      <c r="L458" s="12" t="s">
        <v>96</v>
      </c>
      <c r="M458">
        <v>10.210000000000001</v>
      </c>
      <c r="N458" s="12" t="s">
        <v>70</v>
      </c>
      <c r="O458" s="12" t="s">
        <v>71</v>
      </c>
      <c r="P458" s="12" t="s">
        <v>72</v>
      </c>
      <c r="Q458" s="13">
        <v>45069</v>
      </c>
      <c r="R458" s="13">
        <v>45093</v>
      </c>
      <c r="S458">
        <v>2023</v>
      </c>
      <c r="T458" s="12" t="s">
        <v>889</v>
      </c>
      <c r="U458">
        <v>105</v>
      </c>
      <c r="V458">
        <v>245.56890000000001</v>
      </c>
      <c r="W458">
        <v>226.51</v>
      </c>
      <c r="X458">
        <v>0</v>
      </c>
      <c r="Y458">
        <v>0</v>
      </c>
      <c r="Z458">
        <v>25784.73</v>
      </c>
      <c r="AA458">
        <v>26011.24</v>
      </c>
      <c r="AB458" s="12" t="s">
        <v>896</v>
      </c>
      <c r="AC458">
        <v>245.56890000000001</v>
      </c>
      <c r="AD458">
        <v>1</v>
      </c>
      <c r="AE458">
        <v>1</v>
      </c>
      <c r="AF458">
        <v>0</v>
      </c>
      <c r="AG458">
        <v>25784.73</v>
      </c>
      <c r="AH458">
        <v>105</v>
      </c>
      <c r="AI458">
        <v>102</v>
      </c>
      <c r="AJ458">
        <v>3</v>
      </c>
      <c r="AK458">
        <v>1</v>
      </c>
      <c r="AL458">
        <v>1</v>
      </c>
      <c r="AM458">
        <v>97.14</v>
      </c>
      <c r="AN458">
        <v>255.01220000000001</v>
      </c>
      <c r="AO458">
        <v>736.71</v>
      </c>
      <c r="AP458" s="13">
        <v>45093</v>
      </c>
      <c r="AQ458">
        <v>0</v>
      </c>
      <c r="AR458">
        <v>1</v>
      </c>
    </row>
    <row r="459" spans="1:44" x14ac:dyDescent="0.35">
      <c r="A459" s="12" t="s">
        <v>1073</v>
      </c>
      <c r="B459" s="12" t="s">
        <v>249</v>
      </c>
      <c r="C459" s="12" t="s">
        <v>250</v>
      </c>
      <c r="D459" s="12" t="s">
        <v>64</v>
      </c>
      <c r="E459" s="12" t="s">
        <v>65</v>
      </c>
      <c r="F459">
        <v>2</v>
      </c>
      <c r="G459">
        <v>3</v>
      </c>
      <c r="H459">
        <v>0</v>
      </c>
      <c r="I459" s="12" t="s">
        <v>251</v>
      </c>
      <c r="J459" s="12" t="s">
        <v>252</v>
      </c>
      <c r="K459" s="12" t="s">
        <v>133</v>
      </c>
      <c r="L459" s="12" t="s">
        <v>69</v>
      </c>
      <c r="M459">
        <v>34.49</v>
      </c>
      <c r="N459" s="12" t="s">
        <v>70</v>
      </c>
      <c r="O459" s="12" t="s">
        <v>71</v>
      </c>
      <c r="P459" s="12" t="s">
        <v>72</v>
      </c>
      <c r="Q459" s="13">
        <v>45069</v>
      </c>
      <c r="R459" s="13">
        <v>45091</v>
      </c>
      <c r="S459">
        <v>2023</v>
      </c>
      <c r="T459" s="12" t="s">
        <v>889</v>
      </c>
      <c r="U459">
        <v>198</v>
      </c>
      <c r="V459">
        <v>10.6486</v>
      </c>
      <c r="W459">
        <v>24.79</v>
      </c>
      <c r="X459">
        <v>0</v>
      </c>
      <c r="Y459">
        <v>0</v>
      </c>
      <c r="Z459">
        <v>2108.42</v>
      </c>
      <c r="AA459">
        <v>2133.21</v>
      </c>
      <c r="AB459" s="12" t="s">
        <v>253</v>
      </c>
      <c r="AC459">
        <v>10.6486</v>
      </c>
      <c r="AD459">
        <v>1</v>
      </c>
      <c r="AE459">
        <v>1</v>
      </c>
      <c r="AF459">
        <v>0</v>
      </c>
      <c r="AG459">
        <v>2108.42</v>
      </c>
      <c r="AH459">
        <v>198</v>
      </c>
      <c r="AI459">
        <v>197</v>
      </c>
      <c r="AJ459">
        <v>1</v>
      </c>
      <c r="AK459">
        <v>1</v>
      </c>
      <c r="AL459">
        <v>1</v>
      </c>
      <c r="AM459">
        <v>99.49</v>
      </c>
      <c r="AN459">
        <v>10.8285</v>
      </c>
      <c r="AO459">
        <v>10.65</v>
      </c>
      <c r="AP459" s="13">
        <v>45091</v>
      </c>
      <c r="AQ459">
        <v>0</v>
      </c>
      <c r="AR459">
        <v>1</v>
      </c>
    </row>
    <row r="460" spans="1:44" x14ac:dyDescent="0.35">
      <c r="A460" s="12" t="s">
        <v>1074</v>
      </c>
      <c r="B460" s="12" t="s">
        <v>1075</v>
      </c>
      <c r="C460" s="12" t="s">
        <v>1076</v>
      </c>
      <c r="D460" s="12" t="s">
        <v>103</v>
      </c>
      <c r="E460" s="12" t="s">
        <v>65</v>
      </c>
      <c r="F460">
        <v>2</v>
      </c>
      <c r="G460">
        <v>4</v>
      </c>
      <c r="H460">
        <v>0</v>
      </c>
      <c r="I460" s="12" t="s">
        <v>176</v>
      </c>
      <c r="J460" s="12" t="s">
        <v>177</v>
      </c>
      <c r="K460" s="12" t="s">
        <v>125</v>
      </c>
      <c r="L460" s="12" t="s">
        <v>134</v>
      </c>
      <c r="M460">
        <v>1.75</v>
      </c>
      <c r="N460" s="12" t="s">
        <v>145</v>
      </c>
      <c r="O460" s="12" t="s">
        <v>146</v>
      </c>
      <c r="P460" s="12" t="s">
        <v>109</v>
      </c>
      <c r="Q460" s="13">
        <v>45069</v>
      </c>
      <c r="R460" s="13">
        <v>45099</v>
      </c>
      <c r="S460">
        <v>2023</v>
      </c>
      <c r="T460" s="12" t="s">
        <v>889</v>
      </c>
      <c r="U460">
        <v>80</v>
      </c>
      <c r="V460">
        <v>68.470200000000006</v>
      </c>
      <c r="W460">
        <v>133.07</v>
      </c>
      <c r="X460">
        <v>0</v>
      </c>
      <c r="Y460">
        <v>0</v>
      </c>
      <c r="Z460">
        <v>5477.62</v>
      </c>
      <c r="AA460">
        <v>5610.69</v>
      </c>
      <c r="AB460" s="12" t="s">
        <v>1077</v>
      </c>
      <c r="AC460">
        <v>68.470200000000006</v>
      </c>
      <c r="AD460">
        <v>1</v>
      </c>
      <c r="AE460">
        <v>1</v>
      </c>
      <c r="AF460">
        <v>0</v>
      </c>
      <c r="AG460">
        <v>5477.62</v>
      </c>
      <c r="AH460">
        <v>80</v>
      </c>
      <c r="AI460">
        <v>79</v>
      </c>
      <c r="AJ460">
        <v>1</v>
      </c>
      <c r="AK460">
        <v>1</v>
      </c>
      <c r="AL460">
        <v>1</v>
      </c>
      <c r="AM460">
        <v>98.75</v>
      </c>
      <c r="AN460">
        <v>71.021299999999997</v>
      </c>
      <c r="AO460">
        <v>68.47</v>
      </c>
      <c r="AP460" s="13">
        <v>45096</v>
      </c>
      <c r="AQ460">
        <v>-3</v>
      </c>
      <c r="AR460">
        <v>1</v>
      </c>
    </row>
    <row r="461" spans="1:44" x14ac:dyDescent="0.35">
      <c r="A461" s="12" t="s">
        <v>1078</v>
      </c>
      <c r="B461" s="12" t="s">
        <v>128</v>
      </c>
      <c r="C461" s="12" t="s">
        <v>129</v>
      </c>
      <c r="D461" s="12" t="s">
        <v>130</v>
      </c>
      <c r="E461" s="12" t="s">
        <v>65</v>
      </c>
      <c r="F461">
        <v>3</v>
      </c>
      <c r="G461">
        <v>5</v>
      </c>
      <c r="H461">
        <v>0</v>
      </c>
      <c r="I461" s="12" t="s">
        <v>131</v>
      </c>
      <c r="J461" s="12" t="s">
        <v>132</v>
      </c>
      <c r="K461" s="12" t="s">
        <v>133</v>
      </c>
      <c r="L461" s="12" t="s">
        <v>134</v>
      </c>
      <c r="M461">
        <v>1.51</v>
      </c>
      <c r="N461" s="12" t="s">
        <v>135</v>
      </c>
      <c r="O461" s="12" t="s">
        <v>136</v>
      </c>
      <c r="P461" s="12" t="s">
        <v>137</v>
      </c>
      <c r="Q461" s="13">
        <v>45069</v>
      </c>
      <c r="R461" s="13">
        <v>45097</v>
      </c>
      <c r="S461">
        <v>2023</v>
      </c>
      <c r="T461" s="12" t="s">
        <v>889</v>
      </c>
      <c r="U461">
        <v>71</v>
      </c>
      <c r="V461">
        <v>501.92320000000001</v>
      </c>
      <c r="W461">
        <v>608.76</v>
      </c>
      <c r="X461">
        <v>0</v>
      </c>
      <c r="Y461">
        <v>0</v>
      </c>
      <c r="Z461">
        <v>35636.550000000003</v>
      </c>
      <c r="AA461">
        <v>36245.31</v>
      </c>
      <c r="AB461" s="12" t="s">
        <v>138</v>
      </c>
      <c r="AC461">
        <v>501.92320000000001</v>
      </c>
      <c r="AD461">
        <v>1</v>
      </c>
      <c r="AE461">
        <v>1</v>
      </c>
      <c r="AF461">
        <v>0</v>
      </c>
      <c r="AG461">
        <v>35636.550000000003</v>
      </c>
      <c r="AH461">
        <v>71</v>
      </c>
      <c r="AI461">
        <v>65</v>
      </c>
      <c r="AJ461">
        <v>6</v>
      </c>
      <c r="AK461">
        <v>1</v>
      </c>
      <c r="AL461">
        <v>1</v>
      </c>
      <c r="AM461">
        <v>91.55</v>
      </c>
      <c r="AN461">
        <v>557.62009999999998</v>
      </c>
      <c r="AO461">
        <v>3011.54</v>
      </c>
      <c r="AP461" s="13">
        <v>45097</v>
      </c>
      <c r="AQ461">
        <v>0</v>
      </c>
      <c r="AR461">
        <v>1</v>
      </c>
    </row>
    <row r="462" spans="1:44" x14ac:dyDescent="0.35">
      <c r="A462" s="12" t="s">
        <v>1079</v>
      </c>
      <c r="B462" s="12" t="s">
        <v>532</v>
      </c>
      <c r="C462" s="12" t="s">
        <v>533</v>
      </c>
      <c r="D462" s="12" t="s">
        <v>114</v>
      </c>
      <c r="E462" s="12" t="s">
        <v>65</v>
      </c>
      <c r="F462">
        <v>2</v>
      </c>
      <c r="G462">
        <v>3</v>
      </c>
      <c r="H462">
        <v>0</v>
      </c>
      <c r="I462" s="12" t="s">
        <v>105</v>
      </c>
      <c r="J462" s="12" t="s">
        <v>106</v>
      </c>
      <c r="K462" s="12" t="s">
        <v>81</v>
      </c>
      <c r="L462" s="12" t="s">
        <v>96</v>
      </c>
      <c r="M462">
        <v>5.01</v>
      </c>
      <c r="N462" s="12" t="s">
        <v>70</v>
      </c>
      <c r="O462" s="12" t="s">
        <v>71</v>
      </c>
      <c r="P462" s="12" t="s">
        <v>72</v>
      </c>
      <c r="Q462" s="13">
        <v>45069</v>
      </c>
      <c r="R462" s="13">
        <v>45102</v>
      </c>
      <c r="S462">
        <v>2023</v>
      </c>
      <c r="T462" s="12" t="s">
        <v>889</v>
      </c>
      <c r="U462">
        <v>106</v>
      </c>
      <c r="V462">
        <v>250.00970000000001</v>
      </c>
      <c r="W462">
        <v>400.14</v>
      </c>
      <c r="X462">
        <v>0</v>
      </c>
      <c r="Y462">
        <v>0</v>
      </c>
      <c r="Z462">
        <v>26501.03</v>
      </c>
      <c r="AA462">
        <v>26901.17</v>
      </c>
      <c r="AB462" s="12" t="s">
        <v>534</v>
      </c>
      <c r="AC462">
        <v>250.00970000000001</v>
      </c>
      <c r="AD462">
        <v>1</v>
      </c>
      <c r="AE462">
        <v>1</v>
      </c>
      <c r="AF462">
        <v>0</v>
      </c>
      <c r="AG462">
        <v>26501.03</v>
      </c>
      <c r="AH462">
        <v>106</v>
      </c>
      <c r="AI462">
        <v>105</v>
      </c>
      <c r="AJ462">
        <v>1</v>
      </c>
      <c r="AK462">
        <v>1</v>
      </c>
      <c r="AL462">
        <v>1</v>
      </c>
      <c r="AM462">
        <v>99.06</v>
      </c>
      <c r="AN462">
        <v>256.20159999999998</v>
      </c>
      <c r="AO462">
        <v>250.01</v>
      </c>
      <c r="AP462" s="13">
        <v>45100</v>
      </c>
      <c r="AQ462">
        <v>-2</v>
      </c>
      <c r="AR462">
        <v>1</v>
      </c>
    </row>
    <row r="463" spans="1:44" x14ac:dyDescent="0.35">
      <c r="A463" s="12" t="s">
        <v>1080</v>
      </c>
      <c r="B463" s="12" t="s">
        <v>1013</v>
      </c>
      <c r="C463" s="12" t="s">
        <v>1014</v>
      </c>
      <c r="D463" s="12" t="s">
        <v>78</v>
      </c>
      <c r="E463" s="12" t="s">
        <v>65</v>
      </c>
      <c r="F463">
        <v>2</v>
      </c>
      <c r="G463">
        <v>3</v>
      </c>
      <c r="H463">
        <v>0</v>
      </c>
      <c r="I463" s="12" t="s">
        <v>123</v>
      </c>
      <c r="J463" s="12" t="s">
        <v>124</v>
      </c>
      <c r="K463" s="12" t="s">
        <v>125</v>
      </c>
      <c r="L463" s="12" t="s">
        <v>82</v>
      </c>
      <c r="M463">
        <v>6.75</v>
      </c>
      <c r="N463" s="12" t="s">
        <v>97</v>
      </c>
      <c r="O463" s="12" t="s">
        <v>98</v>
      </c>
      <c r="P463" s="12" t="s">
        <v>72</v>
      </c>
      <c r="Q463" s="13">
        <v>45069</v>
      </c>
      <c r="R463" s="13">
        <v>45091</v>
      </c>
      <c r="S463">
        <v>2023</v>
      </c>
      <c r="T463" s="12" t="s">
        <v>889</v>
      </c>
      <c r="U463">
        <v>55</v>
      </c>
      <c r="V463">
        <v>118.0245</v>
      </c>
      <c r="W463">
        <v>102.23</v>
      </c>
      <c r="X463">
        <v>208.6</v>
      </c>
      <c r="Y463">
        <v>1</v>
      </c>
      <c r="Z463">
        <v>6491.35</v>
      </c>
      <c r="AA463">
        <v>6802.18</v>
      </c>
      <c r="AB463" s="12" t="s">
        <v>1015</v>
      </c>
      <c r="AC463">
        <v>125.2653</v>
      </c>
      <c r="AD463">
        <v>1</v>
      </c>
      <c r="AE463">
        <v>1</v>
      </c>
      <c r="AF463">
        <v>-398.24</v>
      </c>
      <c r="AG463">
        <v>6889.59</v>
      </c>
      <c r="AH463">
        <v>55</v>
      </c>
      <c r="AI463">
        <v>54</v>
      </c>
      <c r="AJ463">
        <v>1</v>
      </c>
      <c r="AK463">
        <v>1</v>
      </c>
      <c r="AL463">
        <v>1</v>
      </c>
      <c r="AM463">
        <v>98.18</v>
      </c>
      <c r="AN463">
        <v>125.9663</v>
      </c>
      <c r="AO463">
        <v>118.02</v>
      </c>
      <c r="AP463" s="13">
        <v>45089</v>
      </c>
      <c r="AQ463">
        <v>-2</v>
      </c>
      <c r="AR463">
        <v>1</v>
      </c>
    </row>
    <row r="464" spans="1:44" x14ac:dyDescent="0.35">
      <c r="A464" s="12" t="s">
        <v>1081</v>
      </c>
      <c r="B464" s="12" t="s">
        <v>941</v>
      </c>
      <c r="C464" s="12" t="s">
        <v>942</v>
      </c>
      <c r="D464" s="12" t="s">
        <v>130</v>
      </c>
      <c r="E464" s="12" t="s">
        <v>104</v>
      </c>
      <c r="F464">
        <v>2</v>
      </c>
      <c r="G464">
        <v>0</v>
      </c>
      <c r="H464">
        <v>0</v>
      </c>
      <c r="I464" s="12" t="s">
        <v>151</v>
      </c>
      <c r="J464" s="12" t="s">
        <v>152</v>
      </c>
      <c r="K464" s="12" t="s">
        <v>125</v>
      </c>
      <c r="L464" s="12" t="s">
        <v>69</v>
      </c>
      <c r="M464">
        <v>36.479999999999997</v>
      </c>
      <c r="N464" s="12" t="s">
        <v>159</v>
      </c>
      <c r="O464" s="12" t="s">
        <v>160</v>
      </c>
      <c r="P464" s="12" t="s">
        <v>137</v>
      </c>
      <c r="Q464" s="13">
        <v>45069</v>
      </c>
      <c r="R464" s="13">
        <v>45086</v>
      </c>
      <c r="S464">
        <v>2023</v>
      </c>
      <c r="T464" s="12" t="s">
        <v>889</v>
      </c>
      <c r="U464">
        <v>54</v>
      </c>
      <c r="V464">
        <v>1051.6570999999999</v>
      </c>
      <c r="W464">
        <v>519.55999999999995</v>
      </c>
      <c r="X464">
        <v>0</v>
      </c>
      <c r="Y464">
        <v>0</v>
      </c>
      <c r="Z464">
        <v>56789.48</v>
      </c>
      <c r="AA464">
        <v>57309.04</v>
      </c>
      <c r="AB464" s="12" t="s">
        <v>1082</v>
      </c>
      <c r="AC464">
        <v>990.29020000000003</v>
      </c>
      <c r="AD464">
        <v>1</v>
      </c>
      <c r="AE464">
        <v>1</v>
      </c>
      <c r="AF464">
        <v>3313.81</v>
      </c>
      <c r="AG464">
        <v>53475.67</v>
      </c>
      <c r="AH464">
        <v>54</v>
      </c>
      <c r="AI464">
        <v>53</v>
      </c>
      <c r="AJ464">
        <v>1</v>
      </c>
      <c r="AK464">
        <v>1</v>
      </c>
      <c r="AL464">
        <v>1</v>
      </c>
      <c r="AM464">
        <v>98.15</v>
      </c>
      <c r="AN464">
        <v>1081.3027</v>
      </c>
      <c r="AO464">
        <v>1051.6600000000001</v>
      </c>
      <c r="AP464" s="13">
        <v>45086</v>
      </c>
      <c r="AQ464">
        <v>0</v>
      </c>
      <c r="AR464">
        <v>1</v>
      </c>
    </row>
    <row r="465" spans="1:44" x14ac:dyDescent="0.35">
      <c r="A465" s="12" t="s">
        <v>1083</v>
      </c>
      <c r="B465" s="12" t="s">
        <v>482</v>
      </c>
      <c r="C465" s="12" t="s">
        <v>483</v>
      </c>
      <c r="D465" s="12" t="s">
        <v>78</v>
      </c>
      <c r="E465" s="12" t="s">
        <v>142</v>
      </c>
      <c r="F465">
        <v>2</v>
      </c>
      <c r="G465">
        <v>9</v>
      </c>
      <c r="H465">
        <v>0</v>
      </c>
      <c r="I465" s="12" t="s">
        <v>183</v>
      </c>
      <c r="J465" s="12" t="s">
        <v>184</v>
      </c>
      <c r="K465" s="12" t="s">
        <v>133</v>
      </c>
      <c r="L465" s="12" t="s">
        <v>82</v>
      </c>
      <c r="M465">
        <v>8.6199999999999992</v>
      </c>
      <c r="N465" s="12" t="s">
        <v>97</v>
      </c>
      <c r="O465" s="12" t="s">
        <v>98</v>
      </c>
      <c r="P465" s="12" t="s">
        <v>72</v>
      </c>
      <c r="Q465" s="13">
        <v>45069</v>
      </c>
      <c r="R465" s="13">
        <v>45104</v>
      </c>
      <c r="S465">
        <v>2023</v>
      </c>
      <c r="T465" s="12" t="s">
        <v>889</v>
      </c>
      <c r="U465">
        <v>44</v>
      </c>
      <c r="V465">
        <v>49.685899999999997</v>
      </c>
      <c r="W465">
        <v>45.91</v>
      </c>
      <c r="X465">
        <v>0</v>
      </c>
      <c r="Y465">
        <v>0</v>
      </c>
      <c r="Z465">
        <v>2186.1799999999998</v>
      </c>
      <c r="AA465">
        <v>2232.09</v>
      </c>
      <c r="AB465" s="12" t="s">
        <v>1084</v>
      </c>
      <c r="AC465">
        <v>49.685899999999997</v>
      </c>
      <c r="AD465">
        <v>1</v>
      </c>
      <c r="AE465">
        <v>1</v>
      </c>
      <c r="AF465">
        <v>0</v>
      </c>
      <c r="AG465">
        <v>2186.1799999999998</v>
      </c>
      <c r="AH465">
        <v>44</v>
      </c>
      <c r="AI465">
        <v>44</v>
      </c>
      <c r="AJ465">
        <v>0</v>
      </c>
      <c r="AK465">
        <v>1</v>
      </c>
      <c r="AL465">
        <v>1</v>
      </c>
      <c r="AM465">
        <v>100</v>
      </c>
      <c r="AN465">
        <v>50.729300000000002</v>
      </c>
      <c r="AO465">
        <v>0</v>
      </c>
      <c r="AP465" s="13">
        <v>45104</v>
      </c>
      <c r="AQ465">
        <v>0</v>
      </c>
      <c r="AR465">
        <v>1</v>
      </c>
    </row>
    <row r="466" spans="1:44" x14ac:dyDescent="0.35">
      <c r="A466" s="12" t="s">
        <v>1085</v>
      </c>
      <c r="B466" s="12" t="s">
        <v>293</v>
      </c>
      <c r="C466" s="12" t="s">
        <v>294</v>
      </c>
      <c r="D466" s="12" t="s">
        <v>114</v>
      </c>
      <c r="E466" s="12" t="s">
        <v>142</v>
      </c>
      <c r="F466">
        <v>1</v>
      </c>
      <c r="G466">
        <v>6</v>
      </c>
      <c r="H466">
        <v>1</v>
      </c>
      <c r="I466" s="12" t="s">
        <v>195</v>
      </c>
      <c r="J466" s="12" t="s">
        <v>196</v>
      </c>
      <c r="K466" s="12" t="s">
        <v>117</v>
      </c>
      <c r="L466" s="12" t="s">
        <v>134</v>
      </c>
      <c r="M466">
        <v>4.7699999999999996</v>
      </c>
      <c r="N466" s="12" t="s">
        <v>97</v>
      </c>
      <c r="O466" s="12" t="s">
        <v>98</v>
      </c>
      <c r="P466" s="12" t="s">
        <v>72</v>
      </c>
      <c r="Q466" s="13">
        <v>45069</v>
      </c>
      <c r="R466" s="13">
        <v>45119</v>
      </c>
      <c r="S466">
        <v>2023</v>
      </c>
      <c r="T466" s="12" t="s">
        <v>889</v>
      </c>
      <c r="U466">
        <v>126</v>
      </c>
      <c r="V466">
        <v>206.0489</v>
      </c>
      <c r="W466">
        <v>177.44</v>
      </c>
      <c r="X466">
        <v>0</v>
      </c>
      <c r="Y466">
        <v>0</v>
      </c>
      <c r="Z466">
        <v>25962.16</v>
      </c>
      <c r="AA466">
        <v>26139.599999999999</v>
      </c>
      <c r="AB466" s="12" t="s">
        <v>295</v>
      </c>
      <c r="AC466">
        <v>206.0489</v>
      </c>
      <c r="AD466">
        <v>1</v>
      </c>
      <c r="AE466">
        <v>1</v>
      </c>
      <c r="AF466">
        <v>0</v>
      </c>
      <c r="AG466">
        <v>25962.16</v>
      </c>
      <c r="AH466">
        <v>126</v>
      </c>
      <c r="AI466">
        <v>124</v>
      </c>
      <c r="AJ466">
        <v>2</v>
      </c>
      <c r="AK466">
        <v>1</v>
      </c>
      <c r="AL466">
        <v>1</v>
      </c>
      <c r="AM466">
        <v>98.41</v>
      </c>
      <c r="AN466">
        <v>210.8032</v>
      </c>
      <c r="AO466">
        <v>412.1</v>
      </c>
      <c r="AP466" s="13">
        <v>45122</v>
      </c>
      <c r="AQ466">
        <v>3</v>
      </c>
      <c r="AR466">
        <v>0</v>
      </c>
    </row>
    <row r="467" spans="1:44" x14ac:dyDescent="0.35">
      <c r="A467" s="12" t="s">
        <v>1086</v>
      </c>
      <c r="B467" s="12" t="s">
        <v>674</v>
      </c>
      <c r="C467" s="12" t="s">
        <v>675</v>
      </c>
      <c r="D467" s="12" t="s">
        <v>269</v>
      </c>
      <c r="E467" s="12" t="s">
        <v>142</v>
      </c>
      <c r="F467">
        <v>1</v>
      </c>
      <c r="G467">
        <v>7</v>
      </c>
      <c r="H467">
        <v>1</v>
      </c>
      <c r="I467" s="12" t="s">
        <v>676</v>
      </c>
      <c r="J467" s="12" t="s">
        <v>677</v>
      </c>
      <c r="K467" s="12" t="s">
        <v>68</v>
      </c>
      <c r="L467" s="12" t="s">
        <v>96</v>
      </c>
      <c r="M467">
        <v>3.57</v>
      </c>
      <c r="N467" s="12" t="s">
        <v>135</v>
      </c>
      <c r="O467" s="12" t="s">
        <v>136</v>
      </c>
      <c r="P467" s="12" t="s">
        <v>137</v>
      </c>
      <c r="Q467" s="13">
        <v>45070</v>
      </c>
      <c r="R467" s="13">
        <v>45110</v>
      </c>
      <c r="S467">
        <v>2023</v>
      </c>
      <c r="T467" s="12" t="s">
        <v>889</v>
      </c>
      <c r="U467">
        <v>50</v>
      </c>
      <c r="V467">
        <v>364.19729999999998</v>
      </c>
      <c r="W467">
        <v>422.74</v>
      </c>
      <c r="X467">
        <v>580.52</v>
      </c>
      <c r="Y467">
        <v>1</v>
      </c>
      <c r="Z467">
        <v>18209.87</v>
      </c>
      <c r="AA467">
        <v>19213.13</v>
      </c>
      <c r="AB467" s="12" t="s">
        <v>678</v>
      </c>
      <c r="AC467">
        <v>355.32960000000003</v>
      </c>
      <c r="AD467">
        <v>1</v>
      </c>
      <c r="AE467">
        <v>1</v>
      </c>
      <c r="AF467">
        <v>443.39</v>
      </c>
      <c r="AG467">
        <v>17766.48</v>
      </c>
      <c r="AH467">
        <v>50</v>
      </c>
      <c r="AI467">
        <v>50</v>
      </c>
      <c r="AJ467">
        <v>0</v>
      </c>
      <c r="AK467">
        <v>1</v>
      </c>
      <c r="AL467">
        <v>1</v>
      </c>
      <c r="AM467">
        <v>100</v>
      </c>
      <c r="AN467">
        <v>384.26249999999999</v>
      </c>
      <c r="AO467">
        <v>0</v>
      </c>
      <c r="AP467" s="13">
        <v>45108</v>
      </c>
      <c r="AQ467">
        <v>-2</v>
      </c>
      <c r="AR467">
        <v>1</v>
      </c>
    </row>
    <row r="468" spans="1:44" x14ac:dyDescent="0.35">
      <c r="A468" s="12" t="s">
        <v>1087</v>
      </c>
      <c r="B468" s="12" t="s">
        <v>149</v>
      </c>
      <c r="C468" s="12" t="s">
        <v>150</v>
      </c>
      <c r="D468" s="12" t="s">
        <v>78</v>
      </c>
      <c r="E468" s="12" t="s">
        <v>65</v>
      </c>
      <c r="F468">
        <v>2</v>
      </c>
      <c r="G468">
        <v>2</v>
      </c>
      <c r="H468">
        <v>0</v>
      </c>
      <c r="I468" s="12" t="s">
        <v>169</v>
      </c>
      <c r="J468" s="12" t="s">
        <v>170</v>
      </c>
      <c r="K468" s="12" t="s">
        <v>89</v>
      </c>
      <c r="L468" s="12" t="s">
        <v>134</v>
      </c>
      <c r="M468">
        <v>1.37</v>
      </c>
      <c r="N468" s="12" t="s">
        <v>97</v>
      </c>
      <c r="O468" s="12" t="s">
        <v>98</v>
      </c>
      <c r="P468" s="12" t="s">
        <v>72</v>
      </c>
      <c r="Q468" s="13">
        <v>45070</v>
      </c>
      <c r="R468" s="13">
        <v>45106</v>
      </c>
      <c r="S468">
        <v>2023</v>
      </c>
      <c r="T468" s="12" t="s">
        <v>889</v>
      </c>
      <c r="U468">
        <v>259</v>
      </c>
      <c r="V468">
        <v>76.092399999999998</v>
      </c>
      <c r="W468">
        <v>462.78</v>
      </c>
      <c r="X468">
        <v>0</v>
      </c>
      <c r="Y468">
        <v>0</v>
      </c>
      <c r="Z468">
        <v>19707.93</v>
      </c>
      <c r="AA468">
        <v>20170.71</v>
      </c>
      <c r="AB468" s="12" t="s">
        <v>315</v>
      </c>
      <c r="AC468">
        <v>76.092399999999998</v>
      </c>
      <c r="AD468">
        <v>1</v>
      </c>
      <c r="AE468">
        <v>1</v>
      </c>
      <c r="AF468">
        <v>0</v>
      </c>
      <c r="AG468">
        <v>19707.93</v>
      </c>
      <c r="AH468">
        <v>259</v>
      </c>
      <c r="AI468">
        <v>256</v>
      </c>
      <c r="AJ468">
        <v>3</v>
      </c>
      <c r="AK468">
        <v>1</v>
      </c>
      <c r="AL468">
        <v>1</v>
      </c>
      <c r="AM468">
        <v>98.84</v>
      </c>
      <c r="AN468">
        <v>78.791799999999995</v>
      </c>
      <c r="AO468">
        <v>228.28</v>
      </c>
      <c r="AP468" s="13">
        <v>45105</v>
      </c>
      <c r="AQ468">
        <v>-1</v>
      </c>
      <c r="AR468">
        <v>1</v>
      </c>
    </row>
    <row r="469" spans="1:44" x14ac:dyDescent="0.35">
      <c r="A469" s="12" t="s">
        <v>1088</v>
      </c>
      <c r="B469" s="12" t="s">
        <v>963</v>
      </c>
      <c r="C469" s="12" t="s">
        <v>964</v>
      </c>
      <c r="D469" s="12" t="s">
        <v>114</v>
      </c>
      <c r="E469" s="12" t="s">
        <v>142</v>
      </c>
      <c r="F469">
        <v>1</v>
      </c>
      <c r="G469">
        <v>6</v>
      </c>
      <c r="H469">
        <v>1</v>
      </c>
      <c r="I469" s="12" t="s">
        <v>176</v>
      </c>
      <c r="J469" s="12" t="s">
        <v>177</v>
      </c>
      <c r="K469" s="12" t="s">
        <v>125</v>
      </c>
      <c r="L469" s="12" t="s">
        <v>134</v>
      </c>
      <c r="M469">
        <v>1.75</v>
      </c>
      <c r="N469" s="12" t="s">
        <v>97</v>
      </c>
      <c r="O469" s="12" t="s">
        <v>98</v>
      </c>
      <c r="P469" s="12" t="s">
        <v>72</v>
      </c>
      <c r="Q469" s="13">
        <v>45070</v>
      </c>
      <c r="R469" s="13">
        <v>45110</v>
      </c>
      <c r="S469">
        <v>2023</v>
      </c>
      <c r="T469" s="12" t="s">
        <v>889</v>
      </c>
      <c r="U469">
        <v>55</v>
      </c>
      <c r="V469">
        <v>194.73220000000001</v>
      </c>
      <c r="W469">
        <v>222.76</v>
      </c>
      <c r="X469">
        <v>0</v>
      </c>
      <c r="Y469">
        <v>0</v>
      </c>
      <c r="Z469">
        <v>10710.27</v>
      </c>
      <c r="AA469">
        <v>10933.03</v>
      </c>
      <c r="AB469" s="12" t="s">
        <v>965</v>
      </c>
      <c r="AC469">
        <v>194.73220000000001</v>
      </c>
      <c r="AD469">
        <v>1</v>
      </c>
      <c r="AE469">
        <v>1</v>
      </c>
      <c r="AF469">
        <v>0</v>
      </c>
      <c r="AG469">
        <v>10710.27</v>
      </c>
      <c r="AH469">
        <v>55</v>
      </c>
      <c r="AI469">
        <v>54</v>
      </c>
      <c r="AJ469">
        <v>1</v>
      </c>
      <c r="AK469">
        <v>1</v>
      </c>
      <c r="AL469">
        <v>1</v>
      </c>
      <c r="AM469">
        <v>98.18</v>
      </c>
      <c r="AN469">
        <v>202.46350000000001</v>
      </c>
      <c r="AO469">
        <v>194.73</v>
      </c>
      <c r="AP469" s="13">
        <v>45108</v>
      </c>
      <c r="AQ469">
        <v>-2</v>
      </c>
      <c r="AR469">
        <v>1</v>
      </c>
    </row>
    <row r="470" spans="1:44" x14ac:dyDescent="0.35">
      <c r="A470" s="12" t="s">
        <v>1089</v>
      </c>
      <c r="B470" s="12" t="s">
        <v>112</v>
      </c>
      <c r="C470" s="12" t="s">
        <v>113</v>
      </c>
      <c r="D470" s="12" t="s">
        <v>114</v>
      </c>
      <c r="E470" s="12" t="s">
        <v>104</v>
      </c>
      <c r="F470">
        <v>3</v>
      </c>
      <c r="G470">
        <v>1</v>
      </c>
      <c r="H470">
        <v>0</v>
      </c>
      <c r="I470" s="12" t="s">
        <v>115</v>
      </c>
      <c r="J470" s="12" t="s">
        <v>116</v>
      </c>
      <c r="K470" s="12" t="s">
        <v>117</v>
      </c>
      <c r="L470" s="12" t="s">
        <v>82</v>
      </c>
      <c r="M470">
        <v>17.170000000000002</v>
      </c>
      <c r="N470" s="12" t="s">
        <v>97</v>
      </c>
      <c r="O470" s="12" t="s">
        <v>98</v>
      </c>
      <c r="P470" s="12" t="s">
        <v>72</v>
      </c>
      <c r="Q470" s="13">
        <v>45070</v>
      </c>
      <c r="R470" s="13">
        <v>45099</v>
      </c>
      <c r="S470">
        <v>2023</v>
      </c>
      <c r="T470" s="12" t="s">
        <v>889</v>
      </c>
      <c r="U470">
        <v>143</v>
      </c>
      <c r="V470">
        <v>264.17590000000001</v>
      </c>
      <c r="W470">
        <v>886.06</v>
      </c>
      <c r="X470">
        <v>0</v>
      </c>
      <c r="Y470">
        <v>0</v>
      </c>
      <c r="Z470">
        <v>37777.15</v>
      </c>
      <c r="AA470">
        <v>38663.21</v>
      </c>
      <c r="AB470" s="12" t="s">
        <v>118</v>
      </c>
      <c r="AC470">
        <v>264.17590000000001</v>
      </c>
      <c r="AD470">
        <v>1</v>
      </c>
      <c r="AE470">
        <v>1</v>
      </c>
      <c r="AF470">
        <v>0</v>
      </c>
      <c r="AG470">
        <v>37777.15</v>
      </c>
      <c r="AH470">
        <v>143</v>
      </c>
      <c r="AI470">
        <v>141</v>
      </c>
      <c r="AJ470">
        <v>2</v>
      </c>
      <c r="AK470">
        <v>1</v>
      </c>
      <c r="AL470">
        <v>1</v>
      </c>
      <c r="AM470">
        <v>98.6</v>
      </c>
      <c r="AN470">
        <v>274.2072</v>
      </c>
      <c r="AO470">
        <v>528.35</v>
      </c>
      <c r="AP470" s="13">
        <v>45095</v>
      </c>
      <c r="AQ470">
        <v>-4</v>
      </c>
      <c r="AR470">
        <v>1</v>
      </c>
    </row>
    <row r="471" spans="1:44" x14ac:dyDescent="0.35">
      <c r="A471" s="12" t="s">
        <v>1090</v>
      </c>
      <c r="B471" s="12" t="s">
        <v>399</v>
      </c>
      <c r="C471" s="12" t="s">
        <v>400</v>
      </c>
      <c r="D471" s="12" t="s">
        <v>114</v>
      </c>
      <c r="E471" s="12" t="s">
        <v>65</v>
      </c>
      <c r="F471">
        <v>1</v>
      </c>
      <c r="G471">
        <v>2</v>
      </c>
      <c r="H471">
        <v>1</v>
      </c>
      <c r="I471" s="12" t="s">
        <v>151</v>
      </c>
      <c r="J471" s="12" t="s">
        <v>152</v>
      </c>
      <c r="K471" s="12" t="s">
        <v>125</v>
      </c>
      <c r="L471" s="12" t="s">
        <v>69</v>
      </c>
      <c r="M471">
        <v>36.479999999999997</v>
      </c>
      <c r="N471" s="12" t="s">
        <v>70</v>
      </c>
      <c r="O471" s="12" t="s">
        <v>71</v>
      </c>
      <c r="P471" s="12" t="s">
        <v>72</v>
      </c>
      <c r="Q471" s="13">
        <v>45070</v>
      </c>
      <c r="R471" s="13">
        <v>45096</v>
      </c>
      <c r="S471">
        <v>2023</v>
      </c>
      <c r="T471" s="12" t="s">
        <v>889</v>
      </c>
      <c r="U471">
        <v>52</v>
      </c>
      <c r="V471">
        <v>279.42700000000002</v>
      </c>
      <c r="W471">
        <v>296.67</v>
      </c>
      <c r="X471">
        <v>0</v>
      </c>
      <c r="Y471">
        <v>0</v>
      </c>
      <c r="Z471">
        <v>14530.2</v>
      </c>
      <c r="AA471">
        <v>14826.87</v>
      </c>
      <c r="AB471" s="12" t="s">
        <v>401</v>
      </c>
      <c r="AC471">
        <v>296.81490000000002</v>
      </c>
      <c r="AD471">
        <v>1</v>
      </c>
      <c r="AE471">
        <v>1</v>
      </c>
      <c r="AF471">
        <v>-904.17</v>
      </c>
      <c r="AG471">
        <v>15434.37</v>
      </c>
      <c r="AH471">
        <v>52</v>
      </c>
      <c r="AI471">
        <v>51</v>
      </c>
      <c r="AJ471">
        <v>1</v>
      </c>
      <c r="AK471">
        <v>1</v>
      </c>
      <c r="AL471">
        <v>1</v>
      </c>
      <c r="AM471">
        <v>98.08</v>
      </c>
      <c r="AN471">
        <v>290.72300000000001</v>
      </c>
      <c r="AO471">
        <v>279.43</v>
      </c>
      <c r="AP471" s="13">
        <v>45094</v>
      </c>
      <c r="AQ471">
        <v>-2</v>
      </c>
      <c r="AR471">
        <v>1</v>
      </c>
    </row>
    <row r="472" spans="1:44" x14ac:dyDescent="0.35">
      <c r="A472" s="12" t="s">
        <v>1091</v>
      </c>
      <c r="B472" s="12" t="s">
        <v>241</v>
      </c>
      <c r="C472" s="12" t="s">
        <v>242</v>
      </c>
      <c r="D472" s="12" t="s">
        <v>103</v>
      </c>
      <c r="E472" s="12" t="s">
        <v>142</v>
      </c>
      <c r="F472">
        <v>3</v>
      </c>
      <c r="G472">
        <v>11</v>
      </c>
      <c r="H472">
        <v>0</v>
      </c>
      <c r="I472" s="12" t="s">
        <v>243</v>
      </c>
      <c r="J472" s="12" t="s">
        <v>244</v>
      </c>
      <c r="K472" s="12" t="s">
        <v>81</v>
      </c>
      <c r="L472" s="12" t="s">
        <v>82</v>
      </c>
      <c r="M472">
        <v>9.2200000000000006</v>
      </c>
      <c r="N472" s="12" t="s">
        <v>107</v>
      </c>
      <c r="O472" s="12" t="s">
        <v>108</v>
      </c>
      <c r="P472" s="12" t="s">
        <v>109</v>
      </c>
      <c r="Q472" s="13">
        <v>45070</v>
      </c>
      <c r="R472" s="13">
        <v>45115</v>
      </c>
      <c r="S472">
        <v>2023</v>
      </c>
      <c r="T472" s="12" t="s">
        <v>889</v>
      </c>
      <c r="U472">
        <v>91</v>
      </c>
      <c r="V472">
        <v>164.8845</v>
      </c>
      <c r="W472">
        <v>128.75</v>
      </c>
      <c r="X472">
        <v>0</v>
      </c>
      <c r="Y472">
        <v>0</v>
      </c>
      <c r="Z472">
        <v>15004.49</v>
      </c>
      <c r="AA472">
        <v>15133.24</v>
      </c>
      <c r="AB472" s="12" t="s">
        <v>245</v>
      </c>
      <c r="AC472">
        <v>164.8845</v>
      </c>
      <c r="AD472">
        <v>1</v>
      </c>
      <c r="AE472">
        <v>1</v>
      </c>
      <c r="AF472">
        <v>0</v>
      </c>
      <c r="AG472">
        <v>15004.49</v>
      </c>
      <c r="AH472">
        <v>91</v>
      </c>
      <c r="AI472">
        <v>91</v>
      </c>
      <c r="AJ472">
        <v>0</v>
      </c>
      <c r="AK472">
        <v>1</v>
      </c>
      <c r="AL472">
        <v>1</v>
      </c>
      <c r="AM472">
        <v>100</v>
      </c>
      <c r="AN472">
        <v>166.29929999999999</v>
      </c>
      <c r="AO472">
        <v>0</v>
      </c>
      <c r="AP472" s="13">
        <v>45112</v>
      </c>
      <c r="AQ472">
        <v>-3</v>
      </c>
      <c r="AR472">
        <v>1</v>
      </c>
    </row>
    <row r="473" spans="1:44" x14ac:dyDescent="0.35">
      <c r="A473" s="12" t="s">
        <v>1092</v>
      </c>
      <c r="B473" s="12" t="s">
        <v>598</v>
      </c>
      <c r="C473" s="12" t="s">
        <v>599</v>
      </c>
      <c r="D473" s="12" t="s">
        <v>269</v>
      </c>
      <c r="E473" s="12" t="s">
        <v>65</v>
      </c>
      <c r="F473">
        <v>1</v>
      </c>
      <c r="G473">
        <v>2</v>
      </c>
      <c r="H473">
        <v>1</v>
      </c>
      <c r="I473" s="12" t="s">
        <v>176</v>
      </c>
      <c r="J473" s="12" t="s">
        <v>177</v>
      </c>
      <c r="K473" s="12" t="s">
        <v>125</v>
      </c>
      <c r="L473" s="12" t="s">
        <v>134</v>
      </c>
      <c r="M473">
        <v>1.75</v>
      </c>
      <c r="N473" s="12" t="s">
        <v>159</v>
      </c>
      <c r="O473" s="12" t="s">
        <v>160</v>
      </c>
      <c r="P473" s="12" t="s">
        <v>137</v>
      </c>
      <c r="Q473" s="13">
        <v>45070</v>
      </c>
      <c r="R473" s="13">
        <v>45098</v>
      </c>
      <c r="S473">
        <v>2023</v>
      </c>
      <c r="T473" s="12" t="s">
        <v>889</v>
      </c>
      <c r="U473">
        <v>67</v>
      </c>
      <c r="V473">
        <v>454.90469999999999</v>
      </c>
      <c r="W473">
        <v>756.26</v>
      </c>
      <c r="X473">
        <v>0</v>
      </c>
      <c r="Y473">
        <v>0</v>
      </c>
      <c r="Z473">
        <v>30478.61</v>
      </c>
      <c r="AA473">
        <v>31234.87</v>
      </c>
      <c r="AB473" s="12" t="s">
        <v>600</v>
      </c>
      <c r="AC473">
        <v>454.90469999999999</v>
      </c>
      <c r="AD473">
        <v>1</v>
      </c>
      <c r="AE473">
        <v>1</v>
      </c>
      <c r="AF473">
        <v>0</v>
      </c>
      <c r="AG473">
        <v>30478.61</v>
      </c>
      <c r="AH473">
        <v>67</v>
      </c>
      <c r="AI473">
        <v>67</v>
      </c>
      <c r="AJ473">
        <v>0</v>
      </c>
      <c r="AK473">
        <v>1</v>
      </c>
      <c r="AL473">
        <v>1</v>
      </c>
      <c r="AM473">
        <v>100</v>
      </c>
      <c r="AN473">
        <v>466.19220000000001</v>
      </c>
      <c r="AO473">
        <v>0</v>
      </c>
      <c r="AP473" s="13">
        <v>45097</v>
      </c>
      <c r="AQ473">
        <v>-1</v>
      </c>
      <c r="AR473">
        <v>1</v>
      </c>
    </row>
    <row r="474" spans="1:44" x14ac:dyDescent="0.35">
      <c r="A474" s="12" t="s">
        <v>1093</v>
      </c>
      <c r="B474" s="12" t="s">
        <v>477</v>
      </c>
      <c r="C474" s="12" t="s">
        <v>478</v>
      </c>
      <c r="D474" s="12" t="s">
        <v>130</v>
      </c>
      <c r="E474" s="12" t="s">
        <v>104</v>
      </c>
      <c r="F474">
        <v>3</v>
      </c>
      <c r="G474">
        <v>1</v>
      </c>
      <c r="H474">
        <v>0</v>
      </c>
      <c r="I474" s="12" t="s">
        <v>380</v>
      </c>
      <c r="J474" s="12" t="s">
        <v>381</v>
      </c>
      <c r="K474" s="12" t="s">
        <v>89</v>
      </c>
      <c r="L474" s="12" t="s">
        <v>96</v>
      </c>
      <c r="M474">
        <v>10.210000000000001</v>
      </c>
      <c r="N474" s="12" t="s">
        <v>159</v>
      </c>
      <c r="O474" s="12" t="s">
        <v>160</v>
      </c>
      <c r="P474" s="12" t="s">
        <v>137</v>
      </c>
      <c r="Q474" s="13">
        <v>45070</v>
      </c>
      <c r="R474" s="13">
        <v>45091</v>
      </c>
      <c r="S474">
        <v>2023</v>
      </c>
      <c r="T474" s="12" t="s">
        <v>889</v>
      </c>
      <c r="U474">
        <v>82</v>
      </c>
      <c r="V474">
        <v>778.59670000000006</v>
      </c>
      <c r="W474">
        <v>1115.96</v>
      </c>
      <c r="X474">
        <v>0</v>
      </c>
      <c r="Y474">
        <v>0</v>
      </c>
      <c r="Z474">
        <v>63844.93</v>
      </c>
      <c r="AA474">
        <v>64960.89</v>
      </c>
      <c r="AB474" s="12" t="s">
        <v>1094</v>
      </c>
      <c r="AC474">
        <v>778.59670000000006</v>
      </c>
      <c r="AD474">
        <v>1</v>
      </c>
      <c r="AE474">
        <v>1</v>
      </c>
      <c r="AF474">
        <v>0</v>
      </c>
      <c r="AG474">
        <v>63844.93</v>
      </c>
      <c r="AH474">
        <v>82</v>
      </c>
      <c r="AI474">
        <v>82</v>
      </c>
      <c r="AJ474">
        <v>0</v>
      </c>
      <c r="AK474">
        <v>1</v>
      </c>
      <c r="AL474">
        <v>1</v>
      </c>
      <c r="AM474">
        <v>100</v>
      </c>
      <c r="AN474">
        <v>792.20600000000002</v>
      </c>
      <c r="AO474">
        <v>0</v>
      </c>
      <c r="AP474" s="13">
        <v>45091</v>
      </c>
      <c r="AQ474">
        <v>0</v>
      </c>
      <c r="AR474">
        <v>1</v>
      </c>
    </row>
    <row r="475" spans="1:44" x14ac:dyDescent="0.35">
      <c r="A475" s="12" t="s">
        <v>1095</v>
      </c>
      <c r="B475" s="12" t="s">
        <v>823</v>
      </c>
      <c r="C475" s="12" t="s">
        <v>824</v>
      </c>
      <c r="D475" s="12" t="s">
        <v>114</v>
      </c>
      <c r="E475" s="12" t="s">
        <v>142</v>
      </c>
      <c r="F475">
        <v>1</v>
      </c>
      <c r="G475">
        <v>8</v>
      </c>
      <c r="H475">
        <v>1</v>
      </c>
      <c r="I475" s="12" t="s">
        <v>515</v>
      </c>
      <c r="J475" s="12" t="s">
        <v>516</v>
      </c>
      <c r="K475" s="12" t="s">
        <v>68</v>
      </c>
      <c r="L475" s="12" t="s">
        <v>134</v>
      </c>
      <c r="M475">
        <v>3.69</v>
      </c>
      <c r="N475" s="12" t="s">
        <v>97</v>
      </c>
      <c r="O475" s="12" t="s">
        <v>98</v>
      </c>
      <c r="P475" s="12" t="s">
        <v>72</v>
      </c>
      <c r="Q475" s="13">
        <v>45070</v>
      </c>
      <c r="R475" s="13">
        <v>45113</v>
      </c>
      <c r="S475">
        <v>2023</v>
      </c>
      <c r="T475" s="12" t="s">
        <v>889</v>
      </c>
      <c r="U475">
        <v>75</v>
      </c>
      <c r="V475">
        <v>361.73399999999998</v>
      </c>
      <c r="W475">
        <v>669.62</v>
      </c>
      <c r="X475">
        <v>0</v>
      </c>
      <c r="Y475">
        <v>0</v>
      </c>
      <c r="Z475">
        <v>27130.05</v>
      </c>
      <c r="AA475">
        <v>27799.67</v>
      </c>
      <c r="AB475" s="12" t="s">
        <v>825</v>
      </c>
      <c r="AC475">
        <v>361.73399999999998</v>
      </c>
      <c r="AD475">
        <v>1</v>
      </c>
      <c r="AE475">
        <v>1</v>
      </c>
      <c r="AF475">
        <v>0</v>
      </c>
      <c r="AG475">
        <v>27130.05</v>
      </c>
      <c r="AH475">
        <v>75</v>
      </c>
      <c r="AI475">
        <v>73</v>
      </c>
      <c r="AJ475">
        <v>2</v>
      </c>
      <c r="AK475">
        <v>1</v>
      </c>
      <c r="AL475">
        <v>1</v>
      </c>
      <c r="AM475">
        <v>97.33</v>
      </c>
      <c r="AN475">
        <v>380.81740000000002</v>
      </c>
      <c r="AO475">
        <v>723.47</v>
      </c>
      <c r="AP475" s="13">
        <v>45119</v>
      </c>
      <c r="AQ475">
        <v>6</v>
      </c>
      <c r="AR475">
        <v>0</v>
      </c>
    </row>
    <row r="476" spans="1:44" x14ac:dyDescent="0.35">
      <c r="A476" s="12" t="s">
        <v>1096</v>
      </c>
      <c r="B476" s="12" t="s">
        <v>661</v>
      </c>
      <c r="C476" s="12" t="s">
        <v>662</v>
      </c>
      <c r="D476" s="12" t="s">
        <v>175</v>
      </c>
      <c r="E476" s="12" t="s">
        <v>104</v>
      </c>
      <c r="F476">
        <v>1</v>
      </c>
      <c r="G476">
        <v>0</v>
      </c>
      <c r="H476">
        <v>1</v>
      </c>
      <c r="I476" s="12" t="s">
        <v>183</v>
      </c>
      <c r="J476" s="12" t="s">
        <v>184</v>
      </c>
      <c r="K476" s="12" t="s">
        <v>133</v>
      </c>
      <c r="L476" s="12" t="s">
        <v>82</v>
      </c>
      <c r="M476">
        <v>8.6199999999999992</v>
      </c>
      <c r="N476" s="12" t="s">
        <v>107</v>
      </c>
      <c r="O476" s="12" t="s">
        <v>108</v>
      </c>
      <c r="P476" s="12" t="s">
        <v>109</v>
      </c>
      <c r="Q476" s="13">
        <v>45070</v>
      </c>
      <c r="R476" s="13">
        <v>45082</v>
      </c>
      <c r="S476">
        <v>2023</v>
      </c>
      <c r="T476" s="12" t="s">
        <v>889</v>
      </c>
      <c r="U476">
        <v>13</v>
      </c>
      <c r="V476">
        <v>194.86689999999999</v>
      </c>
      <c r="W476">
        <v>23.75</v>
      </c>
      <c r="X476">
        <v>0</v>
      </c>
      <c r="Y476">
        <v>0</v>
      </c>
      <c r="Z476">
        <v>2533.27</v>
      </c>
      <c r="AA476">
        <v>2557.02</v>
      </c>
      <c r="AB476" s="12" t="s">
        <v>663</v>
      </c>
      <c r="AC476">
        <v>201.68719999999999</v>
      </c>
      <c r="AD476">
        <v>2</v>
      </c>
      <c r="AE476">
        <v>1</v>
      </c>
      <c r="AF476">
        <v>-88.66</v>
      </c>
      <c r="AG476">
        <v>2621.93</v>
      </c>
      <c r="AH476">
        <v>13</v>
      </c>
      <c r="AI476">
        <v>13</v>
      </c>
      <c r="AJ476">
        <v>0</v>
      </c>
      <c r="AK476">
        <v>1</v>
      </c>
      <c r="AL476">
        <v>1</v>
      </c>
      <c r="AM476">
        <v>100</v>
      </c>
      <c r="AN476">
        <v>196.69380000000001</v>
      </c>
      <c r="AO476">
        <v>0</v>
      </c>
      <c r="AP476" s="13">
        <v>45080</v>
      </c>
      <c r="AQ476">
        <v>-2</v>
      </c>
      <c r="AR476">
        <v>1</v>
      </c>
    </row>
    <row r="477" spans="1:44" x14ac:dyDescent="0.35">
      <c r="A477" s="12" t="s">
        <v>1097</v>
      </c>
      <c r="B477" s="12" t="s">
        <v>458</v>
      </c>
      <c r="C477" s="12" t="s">
        <v>459</v>
      </c>
      <c r="D477" s="12" t="s">
        <v>64</v>
      </c>
      <c r="E477" s="12" t="s">
        <v>104</v>
      </c>
      <c r="F477">
        <v>2</v>
      </c>
      <c r="G477">
        <v>0</v>
      </c>
      <c r="H477">
        <v>0</v>
      </c>
      <c r="I477" s="12" t="s">
        <v>199</v>
      </c>
      <c r="J477" s="12" t="s">
        <v>200</v>
      </c>
      <c r="K477" s="12" t="s">
        <v>68</v>
      </c>
      <c r="L477" s="12" t="s">
        <v>96</v>
      </c>
      <c r="M477">
        <v>9.4700000000000006</v>
      </c>
      <c r="N477" s="12" t="s">
        <v>97</v>
      </c>
      <c r="O477" s="12" t="s">
        <v>98</v>
      </c>
      <c r="P477" s="12" t="s">
        <v>72</v>
      </c>
      <c r="Q477" s="13">
        <v>45070</v>
      </c>
      <c r="R477" s="13">
        <v>45091</v>
      </c>
      <c r="S477">
        <v>2023</v>
      </c>
      <c r="T477" s="12" t="s">
        <v>889</v>
      </c>
      <c r="U477">
        <v>598</v>
      </c>
      <c r="V477">
        <v>24.782299999999999</v>
      </c>
      <c r="W477">
        <v>125.68</v>
      </c>
      <c r="X477">
        <v>452.12</v>
      </c>
      <c r="Y477">
        <v>1</v>
      </c>
      <c r="Z477">
        <v>14819.82</v>
      </c>
      <c r="AA477">
        <v>15397.62</v>
      </c>
      <c r="AB477" s="12" t="s">
        <v>460</v>
      </c>
      <c r="AC477">
        <v>24.782299999999999</v>
      </c>
      <c r="AD477">
        <v>1</v>
      </c>
      <c r="AE477">
        <v>1</v>
      </c>
      <c r="AF477">
        <v>0</v>
      </c>
      <c r="AG477">
        <v>14819.82</v>
      </c>
      <c r="AH477">
        <v>598</v>
      </c>
      <c r="AI477">
        <v>590</v>
      </c>
      <c r="AJ477">
        <v>8</v>
      </c>
      <c r="AK477">
        <v>1</v>
      </c>
      <c r="AL477">
        <v>1</v>
      </c>
      <c r="AM477">
        <v>98.66</v>
      </c>
      <c r="AN477">
        <v>26.0977</v>
      </c>
      <c r="AO477">
        <v>198.26</v>
      </c>
      <c r="AP477" s="13">
        <v>45091</v>
      </c>
      <c r="AQ477">
        <v>0</v>
      </c>
      <c r="AR477">
        <v>1</v>
      </c>
    </row>
    <row r="478" spans="1:44" x14ac:dyDescent="0.35">
      <c r="A478" s="12" t="s">
        <v>1098</v>
      </c>
      <c r="B478" s="12" t="s">
        <v>587</v>
      </c>
      <c r="C478" s="12" t="s">
        <v>588</v>
      </c>
      <c r="D478" s="12" t="s">
        <v>122</v>
      </c>
      <c r="E478" s="12" t="s">
        <v>104</v>
      </c>
      <c r="F478">
        <v>2</v>
      </c>
      <c r="G478">
        <v>0</v>
      </c>
      <c r="H478">
        <v>0</v>
      </c>
      <c r="I478" s="12" t="s">
        <v>486</v>
      </c>
      <c r="J478" s="12" t="s">
        <v>487</v>
      </c>
      <c r="K478" s="12" t="s">
        <v>125</v>
      </c>
      <c r="L478" s="12" t="s">
        <v>69</v>
      </c>
      <c r="M478">
        <v>36.86</v>
      </c>
      <c r="N478" s="12" t="s">
        <v>70</v>
      </c>
      <c r="O478" s="12" t="s">
        <v>71</v>
      </c>
      <c r="P478" s="12" t="s">
        <v>72</v>
      </c>
      <c r="Q478" s="13">
        <v>45070</v>
      </c>
      <c r="R478" s="13">
        <v>45088</v>
      </c>
      <c r="S478">
        <v>2023</v>
      </c>
      <c r="T478" s="12" t="s">
        <v>889</v>
      </c>
      <c r="U478">
        <v>805</v>
      </c>
      <c r="V478">
        <v>12.517899999999999</v>
      </c>
      <c r="W478">
        <v>86.1</v>
      </c>
      <c r="X478">
        <v>0</v>
      </c>
      <c r="Y478">
        <v>0</v>
      </c>
      <c r="Z478">
        <v>10076.91</v>
      </c>
      <c r="AA478">
        <v>10163.01</v>
      </c>
      <c r="AB478" s="12" t="s">
        <v>744</v>
      </c>
      <c r="AC478">
        <v>12.517899999999999</v>
      </c>
      <c r="AD478">
        <v>1</v>
      </c>
      <c r="AE478">
        <v>1</v>
      </c>
      <c r="AF478">
        <v>0</v>
      </c>
      <c r="AG478">
        <v>10076.91</v>
      </c>
      <c r="AH478">
        <v>805</v>
      </c>
      <c r="AI478">
        <v>801</v>
      </c>
      <c r="AJ478">
        <v>4</v>
      </c>
      <c r="AK478">
        <v>1</v>
      </c>
      <c r="AL478">
        <v>1</v>
      </c>
      <c r="AM478">
        <v>99.5</v>
      </c>
      <c r="AN478">
        <v>12.687900000000001</v>
      </c>
      <c r="AO478">
        <v>50.07</v>
      </c>
      <c r="AP478" s="13">
        <v>45086</v>
      </c>
      <c r="AQ478">
        <v>-2</v>
      </c>
      <c r="AR478">
        <v>1</v>
      </c>
    </row>
    <row r="479" spans="1:44" x14ac:dyDescent="0.35">
      <c r="A479" s="12" t="s">
        <v>1099</v>
      </c>
      <c r="B479" s="12" t="s">
        <v>972</v>
      </c>
      <c r="C479" s="12" t="s">
        <v>973</v>
      </c>
      <c r="D479" s="12" t="s">
        <v>130</v>
      </c>
      <c r="E479" s="12" t="s">
        <v>142</v>
      </c>
      <c r="F479">
        <v>2</v>
      </c>
      <c r="G479">
        <v>9</v>
      </c>
      <c r="H479">
        <v>0</v>
      </c>
      <c r="I479" s="12" t="s">
        <v>676</v>
      </c>
      <c r="J479" s="12" t="s">
        <v>677</v>
      </c>
      <c r="K479" s="12" t="s">
        <v>68</v>
      </c>
      <c r="L479" s="12" t="s">
        <v>96</v>
      </c>
      <c r="M479">
        <v>3.57</v>
      </c>
      <c r="N479" s="12" t="s">
        <v>135</v>
      </c>
      <c r="O479" s="12" t="s">
        <v>136</v>
      </c>
      <c r="P479" s="12" t="s">
        <v>137</v>
      </c>
      <c r="Q479" s="13">
        <v>45070</v>
      </c>
      <c r="R479" s="13">
        <v>45113</v>
      </c>
      <c r="S479">
        <v>2023</v>
      </c>
      <c r="T479" s="12" t="s">
        <v>889</v>
      </c>
      <c r="U479">
        <v>77</v>
      </c>
      <c r="V479">
        <v>869.95939999999996</v>
      </c>
      <c r="W479">
        <v>1483.68</v>
      </c>
      <c r="X479">
        <v>0</v>
      </c>
      <c r="Y479">
        <v>0</v>
      </c>
      <c r="Z479">
        <v>66986.87</v>
      </c>
      <c r="AA479">
        <v>68470.55</v>
      </c>
      <c r="AB479" s="12" t="s">
        <v>974</v>
      </c>
      <c r="AC479">
        <v>842.69190000000003</v>
      </c>
      <c r="AD479">
        <v>1</v>
      </c>
      <c r="AE479">
        <v>1</v>
      </c>
      <c r="AF479">
        <v>2099.6</v>
      </c>
      <c r="AG479">
        <v>64887.28</v>
      </c>
      <c r="AH479">
        <v>77</v>
      </c>
      <c r="AI479">
        <v>76</v>
      </c>
      <c r="AJ479">
        <v>1</v>
      </c>
      <c r="AK479">
        <v>1</v>
      </c>
      <c r="AL479">
        <v>1</v>
      </c>
      <c r="AM479">
        <v>98.7</v>
      </c>
      <c r="AN479">
        <v>900.92830000000004</v>
      </c>
      <c r="AO479">
        <v>869.96</v>
      </c>
      <c r="AP479" s="13">
        <v>45120</v>
      </c>
      <c r="AQ479">
        <v>7</v>
      </c>
      <c r="AR479">
        <v>0</v>
      </c>
    </row>
    <row r="480" spans="1:44" x14ac:dyDescent="0.35">
      <c r="A480" s="12" t="s">
        <v>1100</v>
      </c>
      <c r="B480" s="12" t="s">
        <v>323</v>
      </c>
      <c r="C480" s="12" t="s">
        <v>324</v>
      </c>
      <c r="D480" s="12" t="s">
        <v>64</v>
      </c>
      <c r="E480" s="12" t="s">
        <v>142</v>
      </c>
      <c r="F480">
        <v>1</v>
      </c>
      <c r="G480">
        <v>7</v>
      </c>
      <c r="H480">
        <v>1</v>
      </c>
      <c r="I480" s="12" t="s">
        <v>143</v>
      </c>
      <c r="J480" s="12" t="s">
        <v>144</v>
      </c>
      <c r="K480" s="12" t="s">
        <v>133</v>
      </c>
      <c r="L480" s="12" t="s">
        <v>96</v>
      </c>
      <c r="M480">
        <v>5.43</v>
      </c>
      <c r="N480" s="12" t="s">
        <v>70</v>
      </c>
      <c r="O480" s="12" t="s">
        <v>71</v>
      </c>
      <c r="P480" s="12" t="s">
        <v>72</v>
      </c>
      <c r="Q480" s="13">
        <v>45070</v>
      </c>
      <c r="R480" s="13">
        <v>45117</v>
      </c>
      <c r="S480">
        <v>2023</v>
      </c>
      <c r="T480" s="12" t="s">
        <v>889</v>
      </c>
      <c r="U480">
        <v>706</v>
      </c>
      <c r="V480">
        <v>39.503399999999999</v>
      </c>
      <c r="W480">
        <v>614.58000000000004</v>
      </c>
      <c r="X480">
        <v>0</v>
      </c>
      <c r="Y480">
        <v>0</v>
      </c>
      <c r="Z480">
        <v>27889.4</v>
      </c>
      <c r="AA480">
        <v>28503.98</v>
      </c>
      <c r="AB480" s="12" t="s">
        <v>325</v>
      </c>
      <c r="AC480">
        <v>39.503399999999999</v>
      </c>
      <c r="AD480">
        <v>1</v>
      </c>
      <c r="AE480">
        <v>1</v>
      </c>
      <c r="AF480">
        <v>0</v>
      </c>
      <c r="AG480">
        <v>27889.4</v>
      </c>
      <c r="AH480">
        <v>706</v>
      </c>
      <c r="AI480">
        <v>699</v>
      </c>
      <c r="AJ480">
        <v>7</v>
      </c>
      <c r="AK480">
        <v>1</v>
      </c>
      <c r="AL480">
        <v>1</v>
      </c>
      <c r="AM480">
        <v>99.01</v>
      </c>
      <c r="AN480">
        <v>40.778199999999998</v>
      </c>
      <c r="AO480">
        <v>276.52</v>
      </c>
      <c r="AP480" s="13">
        <v>45114</v>
      </c>
      <c r="AQ480">
        <v>-3</v>
      </c>
      <c r="AR480">
        <v>1</v>
      </c>
    </row>
    <row r="481" spans="1:44" x14ac:dyDescent="0.35">
      <c r="A481" s="12" t="s">
        <v>1101</v>
      </c>
      <c r="B481" s="12" t="s">
        <v>399</v>
      </c>
      <c r="C481" s="12" t="s">
        <v>400</v>
      </c>
      <c r="D481" s="12" t="s">
        <v>114</v>
      </c>
      <c r="E481" s="12" t="s">
        <v>65</v>
      </c>
      <c r="F481">
        <v>1</v>
      </c>
      <c r="G481">
        <v>2</v>
      </c>
      <c r="H481">
        <v>1</v>
      </c>
      <c r="I481" s="12" t="s">
        <v>151</v>
      </c>
      <c r="J481" s="12" t="s">
        <v>152</v>
      </c>
      <c r="K481" s="12" t="s">
        <v>125</v>
      </c>
      <c r="L481" s="12" t="s">
        <v>69</v>
      </c>
      <c r="M481">
        <v>36.479999999999997</v>
      </c>
      <c r="N481" s="12" t="s">
        <v>97</v>
      </c>
      <c r="O481" s="12" t="s">
        <v>98</v>
      </c>
      <c r="P481" s="12" t="s">
        <v>72</v>
      </c>
      <c r="Q481" s="13">
        <v>45071</v>
      </c>
      <c r="R481" s="13">
        <v>45101</v>
      </c>
      <c r="S481">
        <v>2023</v>
      </c>
      <c r="T481" s="12" t="s">
        <v>889</v>
      </c>
      <c r="U481">
        <v>80</v>
      </c>
      <c r="V481">
        <v>296.81490000000002</v>
      </c>
      <c r="W481">
        <v>477.22</v>
      </c>
      <c r="X481">
        <v>0</v>
      </c>
      <c r="Y481">
        <v>0</v>
      </c>
      <c r="Z481">
        <v>23745.19</v>
      </c>
      <c r="AA481">
        <v>24222.41</v>
      </c>
      <c r="AB481" s="12" t="s">
        <v>401</v>
      </c>
      <c r="AC481">
        <v>296.81490000000002</v>
      </c>
      <c r="AD481">
        <v>1</v>
      </c>
      <c r="AE481">
        <v>1</v>
      </c>
      <c r="AF481">
        <v>0</v>
      </c>
      <c r="AG481">
        <v>23745.19</v>
      </c>
      <c r="AH481">
        <v>80</v>
      </c>
      <c r="AI481">
        <v>79</v>
      </c>
      <c r="AJ481">
        <v>1</v>
      </c>
      <c r="AK481">
        <v>1</v>
      </c>
      <c r="AL481">
        <v>1</v>
      </c>
      <c r="AM481">
        <v>98.75</v>
      </c>
      <c r="AN481">
        <v>306.61279999999999</v>
      </c>
      <c r="AO481">
        <v>296.81</v>
      </c>
      <c r="AP481" s="13">
        <v>45100</v>
      </c>
      <c r="AQ481">
        <v>-1</v>
      </c>
      <c r="AR481">
        <v>1</v>
      </c>
    </row>
    <row r="482" spans="1:44" x14ac:dyDescent="0.35">
      <c r="A482" s="12" t="s">
        <v>1102</v>
      </c>
      <c r="B482" s="12" t="s">
        <v>555</v>
      </c>
      <c r="C482" s="12" t="s">
        <v>556</v>
      </c>
      <c r="D482" s="12" t="s">
        <v>114</v>
      </c>
      <c r="E482" s="12" t="s">
        <v>142</v>
      </c>
      <c r="F482">
        <v>1</v>
      </c>
      <c r="G482">
        <v>6</v>
      </c>
      <c r="H482">
        <v>1</v>
      </c>
      <c r="I482" s="12" t="s">
        <v>151</v>
      </c>
      <c r="J482" s="12" t="s">
        <v>152</v>
      </c>
      <c r="K482" s="12" t="s">
        <v>125</v>
      </c>
      <c r="L482" s="12" t="s">
        <v>69</v>
      </c>
      <c r="M482">
        <v>36.479999999999997</v>
      </c>
      <c r="N482" s="12" t="s">
        <v>97</v>
      </c>
      <c r="O482" s="12" t="s">
        <v>98</v>
      </c>
      <c r="P482" s="12" t="s">
        <v>72</v>
      </c>
      <c r="Q482" s="13">
        <v>45071</v>
      </c>
      <c r="R482" s="13">
        <v>45119</v>
      </c>
      <c r="S482">
        <v>2023</v>
      </c>
      <c r="T482" s="12" t="s">
        <v>889</v>
      </c>
      <c r="U482">
        <v>115</v>
      </c>
      <c r="V482">
        <v>290.42770000000002</v>
      </c>
      <c r="W482">
        <v>371.03</v>
      </c>
      <c r="X482">
        <v>0</v>
      </c>
      <c r="Y482">
        <v>0</v>
      </c>
      <c r="Z482">
        <v>33399.19</v>
      </c>
      <c r="AA482">
        <v>33770.22</v>
      </c>
      <c r="AB482" s="12" t="s">
        <v>557</v>
      </c>
      <c r="AC482">
        <v>290.42770000000002</v>
      </c>
      <c r="AD482">
        <v>1</v>
      </c>
      <c r="AE482">
        <v>1</v>
      </c>
      <c r="AF482">
        <v>0</v>
      </c>
      <c r="AG482">
        <v>33399.19</v>
      </c>
      <c r="AH482">
        <v>115</v>
      </c>
      <c r="AI482">
        <v>113</v>
      </c>
      <c r="AJ482">
        <v>2</v>
      </c>
      <c r="AK482">
        <v>1</v>
      </c>
      <c r="AL482">
        <v>1</v>
      </c>
      <c r="AM482">
        <v>98.26</v>
      </c>
      <c r="AN482">
        <v>298.85149999999999</v>
      </c>
      <c r="AO482">
        <v>580.86</v>
      </c>
      <c r="AP482" s="13">
        <v>45116</v>
      </c>
      <c r="AQ482">
        <v>-3</v>
      </c>
      <c r="AR482">
        <v>1</v>
      </c>
    </row>
    <row r="483" spans="1:44" x14ac:dyDescent="0.35">
      <c r="A483" s="12" t="s">
        <v>1103</v>
      </c>
      <c r="B483" s="12" t="s">
        <v>773</v>
      </c>
      <c r="C483" s="12" t="s">
        <v>774</v>
      </c>
      <c r="D483" s="12" t="s">
        <v>64</v>
      </c>
      <c r="E483" s="12" t="s">
        <v>142</v>
      </c>
      <c r="F483">
        <v>1</v>
      </c>
      <c r="G483">
        <v>7</v>
      </c>
      <c r="H483">
        <v>1</v>
      </c>
      <c r="I483" s="12" t="s">
        <v>251</v>
      </c>
      <c r="J483" s="12" t="s">
        <v>252</v>
      </c>
      <c r="K483" s="12" t="s">
        <v>133</v>
      </c>
      <c r="L483" s="12" t="s">
        <v>69</v>
      </c>
      <c r="M483">
        <v>34.49</v>
      </c>
      <c r="N483" s="12" t="s">
        <v>97</v>
      </c>
      <c r="O483" s="12" t="s">
        <v>98</v>
      </c>
      <c r="P483" s="12" t="s">
        <v>72</v>
      </c>
      <c r="Q483" s="13">
        <v>45071</v>
      </c>
      <c r="R483" s="13">
        <v>45117</v>
      </c>
      <c r="S483">
        <v>2023</v>
      </c>
      <c r="T483" s="12" t="s">
        <v>889</v>
      </c>
      <c r="U483">
        <v>667</v>
      </c>
      <c r="V483">
        <v>10.0604</v>
      </c>
      <c r="W483">
        <v>149.59</v>
      </c>
      <c r="X483">
        <v>0</v>
      </c>
      <c r="Y483">
        <v>0</v>
      </c>
      <c r="Z483">
        <v>6710.29</v>
      </c>
      <c r="AA483">
        <v>6859.88</v>
      </c>
      <c r="AB483" s="12" t="s">
        <v>775</v>
      </c>
      <c r="AC483">
        <v>10.0604</v>
      </c>
      <c r="AD483">
        <v>1</v>
      </c>
      <c r="AE483">
        <v>1</v>
      </c>
      <c r="AF483">
        <v>0</v>
      </c>
      <c r="AG483">
        <v>6710.29</v>
      </c>
      <c r="AH483">
        <v>667</v>
      </c>
      <c r="AI483">
        <v>665</v>
      </c>
      <c r="AJ483">
        <v>2</v>
      </c>
      <c r="AK483">
        <v>1</v>
      </c>
      <c r="AL483">
        <v>1</v>
      </c>
      <c r="AM483">
        <v>99.7</v>
      </c>
      <c r="AN483">
        <v>10.3156</v>
      </c>
      <c r="AO483">
        <v>20.12</v>
      </c>
      <c r="AP483" s="13">
        <v>45115</v>
      </c>
      <c r="AQ483">
        <v>-2</v>
      </c>
      <c r="AR483">
        <v>1</v>
      </c>
    </row>
    <row r="484" spans="1:44" x14ac:dyDescent="0.35">
      <c r="A484" s="12" t="s">
        <v>1104</v>
      </c>
      <c r="B484" s="12" t="s">
        <v>482</v>
      </c>
      <c r="C484" s="12" t="s">
        <v>483</v>
      </c>
      <c r="D484" s="12" t="s">
        <v>78</v>
      </c>
      <c r="E484" s="12" t="s">
        <v>142</v>
      </c>
      <c r="F484">
        <v>2</v>
      </c>
      <c r="G484">
        <v>9</v>
      </c>
      <c r="H484">
        <v>0</v>
      </c>
      <c r="I484" s="12" t="s">
        <v>87</v>
      </c>
      <c r="J484" s="12" t="s">
        <v>88</v>
      </c>
      <c r="K484" s="12" t="s">
        <v>89</v>
      </c>
      <c r="L484" s="12" t="s">
        <v>69</v>
      </c>
      <c r="M484">
        <v>14.93</v>
      </c>
      <c r="N484" s="12" t="s">
        <v>70</v>
      </c>
      <c r="O484" s="12" t="s">
        <v>71</v>
      </c>
      <c r="P484" s="12" t="s">
        <v>72</v>
      </c>
      <c r="Q484" s="13">
        <v>45071</v>
      </c>
      <c r="R484" s="13">
        <v>45119</v>
      </c>
      <c r="S484">
        <v>2023</v>
      </c>
      <c r="T484" s="12" t="s">
        <v>889</v>
      </c>
      <c r="U484">
        <v>229</v>
      </c>
      <c r="V484">
        <v>49.685899999999997</v>
      </c>
      <c r="W484">
        <v>156.74</v>
      </c>
      <c r="X484">
        <v>0</v>
      </c>
      <c r="Y484">
        <v>0</v>
      </c>
      <c r="Z484">
        <v>11378.07</v>
      </c>
      <c r="AA484">
        <v>11534.81</v>
      </c>
      <c r="AB484" s="12" t="s">
        <v>484</v>
      </c>
      <c r="AC484">
        <v>49.685899999999997</v>
      </c>
      <c r="AD484">
        <v>1</v>
      </c>
      <c r="AE484">
        <v>1</v>
      </c>
      <c r="AF484">
        <v>0</v>
      </c>
      <c r="AG484">
        <v>11378.07</v>
      </c>
      <c r="AH484">
        <v>229</v>
      </c>
      <c r="AI484">
        <v>227</v>
      </c>
      <c r="AJ484">
        <v>2</v>
      </c>
      <c r="AK484">
        <v>1</v>
      </c>
      <c r="AL484">
        <v>1</v>
      </c>
      <c r="AM484">
        <v>99.13</v>
      </c>
      <c r="AN484">
        <v>50.814100000000003</v>
      </c>
      <c r="AO484">
        <v>99.37</v>
      </c>
      <c r="AP484" s="13">
        <v>45129</v>
      </c>
      <c r="AQ484">
        <v>10</v>
      </c>
      <c r="AR484">
        <v>0</v>
      </c>
    </row>
    <row r="485" spans="1:44" x14ac:dyDescent="0.35">
      <c r="A485" s="12" t="s">
        <v>1105</v>
      </c>
      <c r="B485" s="12" t="s">
        <v>482</v>
      </c>
      <c r="C485" s="12" t="s">
        <v>483</v>
      </c>
      <c r="D485" s="12" t="s">
        <v>78</v>
      </c>
      <c r="E485" s="12" t="s">
        <v>142</v>
      </c>
      <c r="F485">
        <v>2</v>
      </c>
      <c r="G485">
        <v>9</v>
      </c>
      <c r="H485">
        <v>0</v>
      </c>
      <c r="I485" s="12" t="s">
        <v>87</v>
      </c>
      <c r="J485" s="12" t="s">
        <v>88</v>
      </c>
      <c r="K485" s="12" t="s">
        <v>89</v>
      </c>
      <c r="L485" s="12" t="s">
        <v>69</v>
      </c>
      <c r="M485">
        <v>14.93</v>
      </c>
      <c r="N485" s="12" t="s">
        <v>70</v>
      </c>
      <c r="O485" s="12" t="s">
        <v>71</v>
      </c>
      <c r="P485" s="12" t="s">
        <v>72</v>
      </c>
      <c r="Q485" s="13">
        <v>45071</v>
      </c>
      <c r="R485" s="13">
        <v>45121</v>
      </c>
      <c r="S485">
        <v>2023</v>
      </c>
      <c r="T485" s="12" t="s">
        <v>889</v>
      </c>
      <c r="U485">
        <v>261</v>
      </c>
      <c r="V485">
        <v>49.685899999999997</v>
      </c>
      <c r="W485">
        <v>274.49</v>
      </c>
      <c r="X485">
        <v>0</v>
      </c>
      <c r="Y485">
        <v>0</v>
      </c>
      <c r="Z485">
        <v>12968.02</v>
      </c>
      <c r="AA485">
        <v>13242.51</v>
      </c>
      <c r="AB485" s="12" t="s">
        <v>484</v>
      </c>
      <c r="AC485">
        <v>49.685899999999997</v>
      </c>
      <c r="AD485">
        <v>1</v>
      </c>
      <c r="AE485">
        <v>1</v>
      </c>
      <c r="AF485">
        <v>0</v>
      </c>
      <c r="AG485">
        <v>12968.02</v>
      </c>
      <c r="AH485">
        <v>261</v>
      </c>
      <c r="AI485">
        <v>259</v>
      </c>
      <c r="AJ485">
        <v>2</v>
      </c>
      <c r="AK485">
        <v>1</v>
      </c>
      <c r="AL485">
        <v>1</v>
      </c>
      <c r="AM485">
        <v>99.23</v>
      </c>
      <c r="AN485">
        <v>51.129399999999997</v>
      </c>
      <c r="AO485">
        <v>99.37</v>
      </c>
      <c r="AP485" s="13">
        <v>45120</v>
      </c>
      <c r="AQ485">
        <v>-1</v>
      </c>
      <c r="AR485">
        <v>1</v>
      </c>
    </row>
    <row r="486" spans="1:44" x14ac:dyDescent="0.35">
      <c r="A486" s="12" t="s">
        <v>1106</v>
      </c>
      <c r="B486" s="12" t="s">
        <v>327</v>
      </c>
      <c r="C486" s="12" t="s">
        <v>328</v>
      </c>
      <c r="D486" s="12" t="s">
        <v>130</v>
      </c>
      <c r="E486" s="12" t="s">
        <v>104</v>
      </c>
      <c r="F486">
        <v>2</v>
      </c>
      <c r="G486">
        <v>0</v>
      </c>
      <c r="H486">
        <v>0</v>
      </c>
      <c r="I486" s="12" t="s">
        <v>123</v>
      </c>
      <c r="J486" s="12" t="s">
        <v>124</v>
      </c>
      <c r="K486" s="12" t="s">
        <v>125</v>
      </c>
      <c r="L486" s="12" t="s">
        <v>82</v>
      </c>
      <c r="M486">
        <v>6.75</v>
      </c>
      <c r="N486" s="12" t="s">
        <v>159</v>
      </c>
      <c r="O486" s="12" t="s">
        <v>160</v>
      </c>
      <c r="P486" s="12" t="s">
        <v>137</v>
      </c>
      <c r="Q486" s="13">
        <v>45072</v>
      </c>
      <c r="R486" s="13">
        <v>45091</v>
      </c>
      <c r="S486">
        <v>2023</v>
      </c>
      <c r="T486" s="12" t="s">
        <v>889</v>
      </c>
      <c r="U486">
        <v>70</v>
      </c>
      <c r="V486">
        <v>762.93029999999999</v>
      </c>
      <c r="W486">
        <v>1039.33</v>
      </c>
      <c r="X486">
        <v>0</v>
      </c>
      <c r="Y486">
        <v>0</v>
      </c>
      <c r="Z486">
        <v>53405.120000000003</v>
      </c>
      <c r="AA486">
        <v>54444.45</v>
      </c>
      <c r="AB486" s="12" t="s">
        <v>388</v>
      </c>
      <c r="AC486">
        <v>762.93029999999999</v>
      </c>
      <c r="AD486">
        <v>1</v>
      </c>
      <c r="AE486">
        <v>1</v>
      </c>
      <c r="AF486">
        <v>0</v>
      </c>
      <c r="AG486">
        <v>53405.120000000003</v>
      </c>
      <c r="AH486">
        <v>70</v>
      </c>
      <c r="AI486">
        <v>70</v>
      </c>
      <c r="AJ486">
        <v>0</v>
      </c>
      <c r="AK486">
        <v>1</v>
      </c>
      <c r="AL486">
        <v>1</v>
      </c>
      <c r="AM486">
        <v>100</v>
      </c>
      <c r="AN486">
        <v>777.77790000000005</v>
      </c>
      <c r="AO486">
        <v>0</v>
      </c>
      <c r="AP486" s="13">
        <v>45096</v>
      </c>
      <c r="AQ486">
        <v>5</v>
      </c>
      <c r="AR486">
        <v>0</v>
      </c>
    </row>
    <row r="487" spans="1:44" x14ac:dyDescent="0.35">
      <c r="A487" s="12" t="s">
        <v>1107</v>
      </c>
      <c r="B487" s="12" t="s">
        <v>1108</v>
      </c>
      <c r="C487" s="12" t="s">
        <v>1109</v>
      </c>
      <c r="D487" s="12" t="s">
        <v>103</v>
      </c>
      <c r="E487" s="12" t="s">
        <v>65</v>
      </c>
      <c r="F487">
        <v>3</v>
      </c>
      <c r="G487">
        <v>4</v>
      </c>
      <c r="H487">
        <v>0</v>
      </c>
      <c r="I487" s="12" t="s">
        <v>176</v>
      </c>
      <c r="J487" s="12" t="s">
        <v>177</v>
      </c>
      <c r="K487" s="12" t="s">
        <v>125</v>
      </c>
      <c r="L487" s="12" t="s">
        <v>134</v>
      </c>
      <c r="M487">
        <v>1.75</v>
      </c>
      <c r="N487" s="12" t="s">
        <v>145</v>
      </c>
      <c r="O487" s="12" t="s">
        <v>146</v>
      </c>
      <c r="P487" s="12" t="s">
        <v>109</v>
      </c>
      <c r="Q487" s="13">
        <v>45072</v>
      </c>
      <c r="R487" s="13">
        <v>45099</v>
      </c>
      <c r="S487">
        <v>2023</v>
      </c>
      <c r="T487" s="12" t="s">
        <v>889</v>
      </c>
      <c r="U487">
        <v>57</v>
      </c>
      <c r="V487">
        <v>86.615200000000002</v>
      </c>
      <c r="W487">
        <v>101.23</v>
      </c>
      <c r="X487">
        <v>0</v>
      </c>
      <c r="Y487">
        <v>0</v>
      </c>
      <c r="Z487">
        <v>4937.07</v>
      </c>
      <c r="AA487">
        <v>5038.3</v>
      </c>
      <c r="AB487" s="12" t="s">
        <v>1110</v>
      </c>
      <c r="AC487">
        <v>86.615200000000002</v>
      </c>
      <c r="AD487">
        <v>1</v>
      </c>
      <c r="AE487">
        <v>1</v>
      </c>
      <c r="AF487">
        <v>0</v>
      </c>
      <c r="AG487">
        <v>4937.07</v>
      </c>
      <c r="AH487">
        <v>57</v>
      </c>
      <c r="AI487">
        <v>57</v>
      </c>
      <c r="AJ487">
        <v>0</v>
      </c>
      <c r="AK487">
        <v>1</v>
      </c>
      <c r="AL487">
        <v>1</v>
      </c>
      <c r="AM487">
        <v>100</v>
      </c>
      <c r="AN487">
        <v>88.391199999999998</v>
      </c>
      <c r="AO487">
        <v>0</v>
      </c>
      <c r="AP487" s="13">
        <v>45098</v>
      </c>
      <c r="AQ487">
        <v>-1</v>
      </c>
      <c r="AR487">
        <v>1</v>
      </c>
    </row>
    <row r="488" spans="1:44" x14ac:dyDescent="0.35">
      <c r="A488" s="12" t="s">
        <v>1111</v>
      </c>
      <c r="B488" s="12" t="s">
        <v>112</v>
      </c>
      <c r="C488" s="12" t="s">
        <v>113</v>
      </c>
      <c r="D488" s="12" t="s">
        <v>114</v>
      </c>
      <c r="E488" s="12" t="s">
        <v>104</v>
      </c>
      <c r="F488">
        <v>3</v>
      </c>
      <c r="G488">
        <v>1</v>
      </c>
      <c r="H488">
        <v>0</v>
      </c>
      <c r="I488" s="12" t="s">
        <v>227</v>
      </c>
      <c r="J488" s="12" t="s">
        <v>228</v>
      </c>
      <c r="K488" s="12" t="s">
        <v>89</v>
      </c>
      <c r="L488" s="12" t="s">
        <v>96</v>
      </c>
      <c r="M488">
        <v>9.15</v>
      </c>
      <c r="N488" s="12" t="s">
        <v>97</v>
      </c>
      <c r="O488" s="12" t="s">
        <v>98</v>
      </c>
      <c r="P488" s="12" t="s">
        <v>72</v>
      </c>
      <c r="Q488" s="13">
        <v>45072</v>
      </c>
      <c r="R488" s="13">
        <v>45093</v>
      </c>
      <c r="S488">
        <v>2023</v>
      </c>
      <c r="T488" s="12" t="s">
        <v>889</v>
      </c>
      <c r="U488">
        <v>86</v>
      </c>
      <c r="V488">
        <v>264.17590000000001</v>
      </c>
      <c r="W488">
        <v>491.25</v>
      </c>
      <c r="X488">
        <v>0</v>
      </c>
      <c r="Y488">
        <v>0</v>
      </c>
      <c r="Z488">
        <v>22719.13</v>
      </c>
      <c r="AA488">
        <v>23210.38</v>
      </c>
      <c r="AB488" s="12" t="s">
        <v>282</v>
      </c>
      <c r="AC488">
        <v>264.17590000000001</v>
      </c>
      <c r="AD488">
        <v>1</v>
      </c>
      <c r="AE488">
        <v>1</v>
      </c>
      <c r="AF488">
        <v>0</v>
      </c>
      <c r="AG488">
        <v>22719.13</v>
      </c>
      <c r="AH488">
        <v>86</v>
      </c>
      <c r="AI488">
        <v>85</v>
      </c>
      <c r="AJ488">
        <v>1</v>
      </c>
      <c r="AK488">
        <v>1</v>
      </c>
      <c r="AL488">
        <v>1</v>
      </c>
      <c r="AM488">
        <v>98.84</v>
      </c>
      <c r="AN488">
        <v>273.06330000000003</v>
      </c>
      <c r="AO488">
        <v>264.18</v>
      </c>
      <c r="AP488" s="13">
        <v>45091</v>
      </c>
      <c r="AQ488">
        <v>-2</v>
      </c>
      <c r="AR488">
        <v>1</v>
      </c>
    </row>
    <row r="489" spans="1:44" x14ac:dyDescent="0.35">
      <c r="A489" s="12" t="s">
        <v>1112</v>
      </c>
      <c r="B489" s="12" t="s">
        <v>350</v>
      </c>
      <c r="C489" s="12" t="s">
        <v>351</v>
      </c>
      <c r="D489" s="12" t="s">
        <v>64</v>
      </c>
      <c r="E489" s="12" t="s">
        <v>104</v>
      </c>
      <c r="F489">
        <v>3</v>
      </c>
      <c r="G489">
        <v>1</v>
      </c>
      <c r="H489">
        <v>0</v>
      </c>
      <c r="I489" s="12" t="s">
        <v>486</v>
      </c>
      <c r="J489" s="12" t="s">
        <v>487</v>
      </c>
      <c r="K489" s="12" t="s">
        <v>125</v>
      </c>
      <c r="L489" s="12" t="s">
        <v>69</v>
      </c>
      <c r="M489">
        <v>36.86</v>
      </c>
      <c r="N489" s="12" t="s">
        <v>70</v>
      </c>
      <c r="O489" s="12" t="s">
        <v>71</v>
      </c>
      <c r="P489" s="12" t="s">
        <v>72</v>
      </c>
      <c r="Q489" s="13">
        <v>45072</v>
      </c>
      <c r="R489" s="13">
        <v>45091</v>
      </c>
      <c r="S489">
        <v>2023</v>
      </c>
      <c r="T489" s="12" t="s">
        <v>889</v>
      </c>
      <c r="U489">
        <v>457</v>
      </c>
      <c r="V489">
        <v>8.7273999999999994</v>
      </c>
      <c r="W489">
        <v>84.91</v>
      </c>
      <c r="X489">
        <v>0</v>
      </c>
      <c r="Y489">
        <v>0</v>
      </c>
      <c r="Z489">
        <v>3988.42</v>
      </c>
      <c r="AA489">
        <v>4073.33</v>
      </c>
      <c r="AB489" s="12" t="s">
        <v>488</v>
      </c>
      <c r="AC489">
        <v>8.7273999999999994</v>
      </c>
      <c r="AD489">
        <v>1</v>
      </c>
      <c r="AE489">
        <v>1</v>
      </c>
      <c r="AF489">
        <v>0</v>
      </c>
      <c r="AG489">
        <v>3988.42</v>
      </c>
      <c r="AH489">
        <v>457</v>
      </c>
      <c r="AI489">
        <v>454</v>
      </c>
      <c r="AJ489">
        <v>3</v>
      </c>
      <c r="AK489">
        <v>1</v>
      </c>
      <c r="AL489">
        <v>1</v>
      </c>
      <c r="AM489">
        <v>99.34</v>
      </c>
      <c r="AN489">
        <v>8.9720999999999993</v>
      </c>
      <c r="AO489">
        <v>26.18</v>
      </c>
      <c r="AP489" s="13">
        <v>45089</v>
      </c>
      <c r="AQ489">
        <v>-2</v>
      </c>
      <c r="AR489">
        <v>1</v>
      </c>
    </row>
    <row r="490" spans="1:44" x14ac:dyDescent="0.35">
      <c r="A490" s="12" t="s">
        <v>1113</v>
      </c>
      <c r="B490" s="12" t="s">
        <v>267</v>
      </c>
      <c r="C490" s="12" t="s">
        <v>268</v>
      </c>
      <c r="D490" s="12" t="s">
        <v>269</v>
      </c>
      <c r="E490" s="12" t="s">
        <v>142</v>
      </c>
      <c r="F490">
        <v>1</v>
      </c>
      <c r="G490">
        <v>8</v>
      </c>
      <c r="H490">
        <v>1</v>
      </c>
      <c r="I490" s="12" t="s">
        <v>94</v>
      </c>
      <c r="J490" s="12" t="s">
        <v>95</v>
      </c>
      <c r="K490" s="12" t="s">
        <v>81</v>
      </c>
      <c r="L490" s="12" t="s">
        <v>96</v>
      </c>
      <c r="M490">
        <v>4.8099999999999996</v>
      </c>
      <c r="N490" s="12" t="s">
        <v>159</v>
      </c>
      <c r="O490" s="12" t="s">
        <v>160</v>
      </c>
      <c r="P490" s="12" t="s">
        <v>137</v>
      </c>
      <c r="Q490" s="13">
        <v>45072</v>
      </c>
      <c r="R490" s="13">
        <v>45110</v>
      </c>
      <c r="S490">
        <v>2023</v>
      </c>
      <c r="T490" s="12" t="s">
        <v>889</v>
      </c>
      <c r="U490">
        <v>38</v>
      </c>
      <c r="V490">
        <v>247.31829999999999</v>
      </c>
      <c r="W490">
        <v>161.93</v>
      </c>
      <c r="X490">
        <v>0</v>
      </c>
      <c r="Y490">
        <v>0</v>
      </c>
      <c r="Z490">
        <v>9398.1</v>
      </c>
      <c r="AA490">
        <v>9560.0300000000007</v>
      </c>
      <c r="AB490" s="12" t="s">
        <v>270</v>
      </c>
      <c r="AC490">
        <v>247.31829999999999</v>
      </c>
      <c r="AD490">
        <v>1</v>
      </c>
      <c r="AE490">
        <v>1</v>
      </c>
      <c r="AF490">
        <v>0</v>
      </c>
      <c r="AG490">
        <v>9398.1</v>
      </c>
      <c r="AH490">
        <v>38</v>
      </c>
      <c r="AI490">
        <v>38</v>
      </c>
      <c r="AJ490">
        <v>0</v>
      </c>
      <c r="AK490">
        <v>1</v>
      </c>
      <c r="AL490">
        <v>1</v>
      </c>
      <c r="AM490">
        <v>100</v>
      </c>
      <c r="AN490">
        <v>251.5796</v>
      </c>
      <c r="AO490">
        <v>0</v>
      </c>
      <c r="AP490" s="13">
        <v>45107</v>
      </c>
      <c r="AQ490">
        <v>-3</v>
      </c>
      <c r="AR490">
        <v>1</v>
      </c>
    </row>
    <row r="491" spans="1:44" x14ac:dyDescent="0.35">
      <c r="A491" s="12" t="s">
        <v>1114</v>
      </c>
      <c r="B491" s="12" t="s">
        <v>231</v>
      </c>
      <c r="C491" s="12" t="s">
        <v>232</v>
      </c>
      <c r="D491" s="12" t="s">
        <v>130</v>
      </c>
      <c r="E491" s="12" t="s">
        <v>65</v>
      </c>
      <c r="F491">
        <v>1</v>
      </c>
      <c r="G491">
        <v>2</v>
      </c>
      <c r="H491">
        <v>1</v>
      </c>
      <c r="I491" s="12" t="s">
        <v>233</v>
      </c>
      <c r="J491" s="12" t="s">
        <v>234</v>
      </c>
      <c r="K491" s="12" t="s">
        <v>125</v>
      </c>
      <c r="L491" s="12" t="s">
        <v>96</v>
      </c>
      <c r="M491">
        <v>3.73</v>
      </c>
      <c r="N491" s="12" t="s">
        <v>159</v>
      </c>
      <c r="O491" s="12" t="s">
        <v>160</v>
      </c>
      <c r="P491" s="12" t="s">
        <v>137</v>
      </c>
      <c r="Q491" s="13">
        <v>45072</v>
      </c>
      <c r="R491" s="13">
        <v>45096</v>
      </c>
      <c r="S491">
        <v>2023</v>
      </c>
      <c r="T491" s="12" t="s">
        <v>889</v>
      </c>
      <c r="U491">
        <v>40</v>
      </c>
      <c r="V491">
        <v>416.40039999999999</v>
      </c>
      <c r="W491">
        <v>371</v>
      </c>
      <c r="X491">
        <v>0</v>
      </c>
      <c r="Y491">
        <v>0</v>
      </c>
      <c r="Z491">
        <v>16656.02</v>
      </c>
      <c r="AA491">
        <v>17027.02</v>
      </c>
      <c r="AB491" s="12" t="s">
        <v>235</v>
      </c>
      <c r="AC491">
        <v>416.40039999999999</v>
      </c>
      <c r="AD491">
        <v>1</v>
      </c>
      <c r="AE491">
        <v>1</v>
      </c>
      <c r="AF491">
        <v>0</v>
      </c>
      <c r="AG491">
        <v>16656.02</v>
      </c>
      <c r="AH491">
        <v>40</v>
      </c>
      <c r="AI491">
        <v>40</v>
      </c>
      <c r="AJ491">
        <v>0</v>
      </c>
      <c r="AK491">
        <v>1</v>
      </c>
      <c r="AL491">
        <v>1</v>
      </c>
      <c r="AM491">
        <v>100</v>
      </c>
      <c r="AN491">
        <v>425.67540000000002</v>
      </c>
      <c r="AO491">
        <v>0</v>
      </c>
      <c r="AP491" s="13">
        <v>45103</v>
      </c>
      <c r="AQ491">
        <v>7</v>
      </c>
      <c r="AR491">
        <v>0</v>
      </c>
    </row>
    <row r="492" spans="1:44" x14ac:dyDescent="0.35">
      <c r="A492" s="12" t="s">
        <v>1115</v>
      </c>
      <c r="B492" s="12" t="s">
        <v>1026</v>
      </c>
      <c r="C492" s="12" t="s">
        <v>1027</v>
      </c>
      <c r="D492" s="12" t="s">
        <v>122</v>
      </c>
      <c r="E492" s="12" t="s">
        <v>104</v>
      </c>
      <c r="F492">
        <v>3</v>
      </c>
      <c r="G492">
        <v>1</v>
      </c>
      <c r="H492">
        <v>0</v>
      </c>
      <c r="I492" s="12" t="s">
        <v>183</v>
      </c>
      <c r="J492" s="12" t="s">
        <v>184</v>
      </c>
      <c r="K492" s="12" t="s">
        <v>133</v>
      </c>
      <c r="L492" s="12" t="s">
        <v>82</v>
      </c>
      <c r="M492">
        <v>8.6199999999999992</v>
      </c>
      <c r="N492" s="12" t="s">
        <v>97</v>
      </c>
      <c r="O492" s="12" t="s">
        <v>98</v>
      </c>
      <c r="P492" s="12" t="s">
        <v>72</v>
      </c>
      <c r="Q492" s="13">
        <v>45072</v>
      </c>
      <c r="R492" s="13">
        <v>45090</v>
      </c>
      <c r="S492">
        <v>2023</v>
      </c>
      <c r="T492" s="12" t="s">
        <v>889</v>
      </c>
      <c r="U492">
        <v>853</v>
      </c>
      <c r="V492">
        <v>41.886099999999999</v>
      </c>
      <c r="W492">
        <v>395.32</v>
      </c>
      <c r="X492">
        <v>0</v>
      </c>
      <c r="Y492">
        <v>0</v>
      </c>
      <c r="Z492">
        <v>35728.839999999997</v>
      </c>
      <c r="AA492">
        <v>36124.160000000003</v>
      </c>
      <c r="AB492" s="12" t="s">
        <v>1116</v>
      </c>
      <c r="AC492">
        <v>41.886099999999999</v>
      </c>
      <c r="AD492">
        <v>1</v>
      </c>
      <c r="AE492">
        <v>1</v>
      </c>
      <c r="AF492">
        <v>0</v>
      </c>
      <c r="AG492">
        <v>35728.839999999997</v>
      </c>
      <c r="AH492">
        <v>853</v>
      </c>
      <c r="AI492">
        <v>844</v>
      </c>
      <c r="AJ492">
        <v>9</v>
      </c>
      <c r="AK492">
        <v>1</v>
      </c>
      <c r="AL492">
        <v>1</v>
      </c>
      <c r="AM492">
        <v>98.94</v>
      </c>
      <c r="AN492">
        <v>42.801099999999998</v>
      </c>
      <c r="AO492">
        <v>376.97</v>
      </c>
      <c r="AP492" s="13">
        <v>45089</v>
      </c>
      <c r="AQ492">
        <v>-1</v>
      </c>
      <c r="AR492">
        <v>1</v>
      </c>
    </row>
    <row r="493" spans="1:44" x14ac:dyDescent="0.35">
      <c r="A493" s="12" t="s">
        <v>1117</v>
      </c>
      <c r="B493" s="12" t="s">
        <v>680</v>
      </c>
      <c r="C493" s="12" t="s">
        <v>681</v>
      </c>
      <c r="D493" s="12" t="s">
        <v>122</v>
      </c>
      <c r="E493" s="12" t="s">
        <v>104</v>
      </c>
      <c r="F493">
        <v>3</v>
      </c>
      <c r="G493">
        <v>1</v>
      </c>
      <c r="H493">
        <v>0</v>
      </c>
      <c r="I493" s="12" t="s">
        <v>243</v>
      </c>
      <c r="J493" s="12" t="s">
        <v>244</v>
      </c>
      <c r="K493" s="12" t="s">
        <v>81</v>
      </c>
      <c r="L493" s="12" t="s">
        <v>82</v>
      </c>
      <c r="M493">
        <v>9.2200000000000006</v>
      </c>
      <c r="N493" s="12" t="s">
        <v>97</v>
      </c>
      <c r="O493" s="12" t="s">
        <v>98</v>
      </c>
      <c r="P493" s="12" t="s">
        <v>72</v>
      </c>
      <c r="Q493" s="13">
        <v>45075</v>
      </c>
      <c r="R493" s="13">
        <v>45101</v>
      </c>
      <c r="S493">
        <v>2023</v>
      </c>
      <c r="T493" s="12" t="s">
        <v>889</v>
      </c>
      <c r="U493">
        <v>1616</v>
      </c>
      <c r="V493">
        <v>21.9009</v>
      </c>
      <c r="W493">
        <v>904.36</v>
      </c>
      <c r="X493">
        <v>0</v>
      </c>
      <c r="Y493">
        <v>0</v>
      </c>
      <c r="Z493">
        <v>35391.85</v>
      </c>
      <c r="AA493">
        <v>36296.21</v>
      </c>
      <c r="AB493" s="12" t="s">
        <v>682</v>
      </c>
      <c r="AC493">
        <v>23.246099999999998</v>
      </c>
      <c r="AD493">
        <v>1</v>
      </c>
      <c r="AE493">
        <v>1</v>
      </c>
      <c r="AF493">
        <v>-2173.84</v>
      </c>
      <c r="AG493">
        <v>37565.699999999997</v>
      </c>
      <c r="AH493">
        <v>1616</v>
      </c>
      <c r="AI493">
        <v>1603</v>
      </c>
      <c r="AJ493">
        <v>13</v>
      </c>
      <c r="AK493">
        <v>1</v>
      </c>
      <c r="AL493">
        <v>1</v>
      </c>
      <c r="AM493">
        <v>99.2</v>
      </c>
      <c r="AN493">
        <v>22.642700000000001</v>
      </c>
      <c r="AO493">
        <v>284.70999999999998</v>
      </c>
      <c r="AP493" s="13">
        <v>45098</v>
      </c>
      <c r="AQ493">
        <v>-3</v>
      </c>
      <c r="AR493">
        <v>1</v>
      </c>
    </row>
    <row r="494" spans="1:44" x14ac:dyDescent="0.35">
      <c r="A494" s="12" t="s">
        <v>1118</v>
      </c>
      <c r="B494" s="12" t="s">
        <v>327</v>
      </c>
      <c r="C494" s="12" t="s">
        <v>328</v>
      </c>
      <c r="D494" s="12" t="s">
        <v>130</v>
      </c>
      <c r="E494" s="12" t="s">
        <v>104</v>
      </c>
      <c r="F494">
        <v>2</v>
      </c>
      <c r="G494">
        <v>0</v>
      </c>
      <c r="H494">
        <v>0</v>
      </c>
      <c r="I494" s="12" t="s">
        <v>94</v>
      </c>
      <c r="J494" s="12" t="s">
        <v>95</v>
      </c>
      <c r="K494" s="12" t="s">
        <v>81</v>
      </c>
      <c r="L494" s="12" t="s">
        <v>96</v>
      </c>
      <c r="M494">
        <v>4.8099999999999996</v>
      </c>
      <c r="N494" s="12" t="s">
        <v>159</v>
      </c>
      <c r="O494" s="12" t="s">
        <v>160</v>
      </c>
      <c r="P494" s="12" t="s">
        <v>137</v>
      </c>
      <c r="Q494" s="13">
        <v>45075</v>
      </c>
      <c r="R494" s="13">
        <v>45098</v>
      </c>
      <c r="S494">
        <v>2023</v>
      </c>
      <c r="T494" s="12" t="s">
        <v>889</v>
      </c>
      <c r="U494">
        <v>101</v>
      </c>
      <c r="V494">
        <v>719.1309</v>
      </c>
      <c r="W494">
        <v>1337.35</v>
      </c>
      <c r="X494">
        <v>0</v>
      </c>
      <c r="Y494">
        <v>0</v>
      </c>
      <c r="Z494">
        <v>72632.22</v>
      </c>
      <c r="AA494">
        <v>73969.570000000007</v>
      </c>
      <c r="AB494" s="12" t="s">
        <v>329</v>
      </c>
      <c r="AC494">
        <v>762.93029999999999</v>
      </c>
      <c r="AD494">
        <v>1</v>
      </c>
      <c r="AE494">
        <v>1</v>
      </c>
      <c r="AF494">
        <v>-4423.74</v>
      </c>
      <c r="AG494">
        <v>77055.960000000006</v>
      </c>
      <c r="AH494">
        <v>101</v>
      </c>
      <c r="AI494">
        <v>100</v>
      </c>
      <c r="AJ494">
        <v>1</v>
      </c>
      <c r="AK494">
        <v>1</v>
      </c>
      <c r="AL494">
        <v>1</v>
      </c>
      <c r="AM494">
        <v>99.01</v>
      </c>
      <c r="AN494">
        <v>739.69569999999999</v>
      </c>
      <c r="AO494">
        <v>719.13</v>
      </c>
      <c r="AP494" s="13">
        <v>45105</v>
      </c>
      <c r="AQ494">
        <v>7</v>
      </c>
      <c r="AR494">
        <v>0</v>
      </c>
    </row>
    <row r="495" spans="1:44" x14ac:dyDescent="0.35">
      <c r="A495" s="12" t="s">
        <v>1119</v>
      </c>
      <c r="B495" s="12" t="s">
        <v>395</v>
      </c>
      <c r="C495" s="12" t="s">
        <v>396</v>
      </c>
      <c r="D495" s="12" t="s">
        <v>130</v>
      </c>
      <c r="E495" s="12" t="s">
        <v>104</v>
      </c>
      <c r="F495">
        <v>3</v>
      </c>
      <c r="G495">
        <v>1</v>
      </c>
      <c r="H495">
        <v>0</v>
      </c>
      <c r="I495" s="12" t="s">
        <v>341</v>
      </c>
      <c r="J495" s="12" t="s">
        <v>342</v>
      </c>
      <c r="K495" s="12" t="s">
        <v>117</v>
      </c>
      <c r="L495" s="12" t="s">
        <v>82</v>
      </c>
      <c r="M495">
        <v>18.36</v>
      </c>
      <c r="N495" s="12" t="s">
        <v>159</v>
      </c>
      <c r="O495" s="12" t="s">
        <v>160</v>
      </c>
      <c r="P495" s="12" t="s">
        <v>137</v>
      </c>
      <c r="Q495" s="13">
        <v>45075</v>
      </c>
      <c r="R495" s="13">
        <v>45101</v>
      </c>
      <c r="S495">
        <v>2023</v>
      </c>
      <c r="T495" s="12" t="s">
        <v>889</v>
      </c>
      <c r="U495">
        <v>121</v>
      </c>
      <c r="V495">
        <v>190.43799999999999</v>
      </c>
      <c r="W495">
        <v>444.12</v>
      </c>
      <c r="X495">
        <v>0</v>
      </c>
      <c r="Y495">
        <v>0</v>
      </c>
      <c r="Z495">
        <v>23043</v>
      </c>
      <c r="AA495">
        <v>23487.119999999999</v>
      </c>
      <c r="AB495" s="12" t="s">
        <v>397</v>
      </c>
      <c r="AC495">
        <v>190.43799999999999</v>
      </c>
      <c r="AD495">
        <v>1</v>
      </c>
      <c r="AE495">
        <v>1</v>
      </c>
      <c r="AF495">
        <v>0</v>
      </c>
      <c r="AG495">
        <v>23043</v>
      </c>
      <c r="AH495">
        <v>121</v>
      </c>
      <c r="AI495">
        <v>121</v>
      </c>
      <c r="AJ495">
        <v>0</v>
      </c>
      <c r="AK495">
        <v>1</v>
      </c>
      <c r="AL495">
        <v>1</v>
      </c>
      <c r="AM495">
        <v>100</v>
      </c>
      <c r="AN495">
        <v>194.10839999999999</v>
      </c>
      <c r="AO495">
        <v>0</v>
      </c>
      <c r="AP495" s="13">
        <v>45107</v>
      </c>
      <c r="AQ495">
        <v>6</v>
      </c>
      <c r="AR495">
        <v>0</v>
      </c>
    </row>
    <row r="496" spans="1:44" x14ac:dyDescent="0.35">
      <c r="A496" s="12" t="s">
        <v>1120</v>
      </c>
      <c r="B496" s="12" t="s">
        <v>451</v>
      </c>
      <c r="C496" s="12" t="s">
        <v>452</v>
      </c>
      <c r="D496" s="12" t="s">
        <v>175</v>
      </c>
      <c r="E496" s="12" t="s">
        <v>104</v>
      </c>
      <c r="F496">
        <v>3</v>
      </c>
      <c r="G496">
        <v>1</v>
      </c>
      <c r="H496">
        <v>0</v>
      </c>
      <c r="I496" s="12" t="s">
        <v>359</v>
      </c>
      <c r="J496" s="12" t="s">
        <v>360</v>
      </c>
      <c r="K496" s="12" t="s">
        <v>133</v>
      </c>
      <c r="L496" s="12" t="s">
        <v>82</v>
      </c>
      <c r="M496">
        <v>12.65</v>
      </c>
      <c r="N496" s="12" t="s">
        <v>145</v>
      </c>
      <c r="O496" s="12" t="s">
        <v>146</v>
      </c>
      <c r="P496" s="12" t="s">
        <v>109</v>
      </c>
      <c r="Q496" s="13">
        <v>45075</v>
      </c>
      <c r="R496" s="13">
        <v>45094</v>
      </c>
      <c r="S496">
        <v>2023</v>
      </c>
      <c r="T496" s="12" t="s">
        <v>889</v>
      </c>
      <c r="U496">
        <v>64</v>
      </c>
      <c r="V496">
        <v>254.15530000000001</v>
      </c>
      <c r="W496">
        <v>206.83</v>
      </c>
      <c r="X496">
        <v>0</v>
      </c>
      <c r="Y496">
        <v>0</v>
      </c>
      <c r="Z496">
        <v>16265.94</v>
      </c>
      <c r="AA496">
        <v>16472.77</v>
      </c>
      <c r="AB496" s="12" t="s">
        <v>627</v>
      </c>
      <c r="AC496">
        <v>254.15530000000001</v>
      </c>
      <c r="AD496">
        <v>1</v>
      </c>
      <c r="AE496">
        <v>1</v>
      </c>
      <c r="AF496">
        <v>0</v>
      </c>
      <c r="AG496">
        <v>16265.94</v>
      </c>
      <c r="AH496">
        <v>64</v>
      </c>
      <c r="AI496">
        <v>63</v>
      </c>
      <c r="AJ496">
        <v>1</v>
      </c>
      <c r="AK496">
        <v>1</v>
      </c>
      <c r="AL496">
        <v>1</v>
      </c>
      <c r="AM496">
        <v>98.44</v>
      </c>
      <c r="AN496">
        <v>261.47250000000003</v>
      </c>
      <c r="AO496">
        <v>254.16</v>
      </c>
      <c r="AP496" s="13">
        <v>45094</v>
      </c>
      <c r="AQ496">
        <v>0</v>
      </c>
      <c r="AR496">
        <v>1</v>
      </c>
    </row>
    <row r="497" spans="1:44" x14ac:dyDescent="0.35">
      <c r="A497" s="12" t="s">
        <v>1121</v>
      </c>
      <c r="B497" s="12" t="s">
        <v>809</v>
      </c>
      <c r="C497" s="12" t="s">
        <v>810</v>
      </c>
      <c r="D497" s="12" t="s">
        <v>114</v>
      </c>
      <c r="E497" s="12" t="s">
        <v>65</v>
      </c>
      <c r="F497">
        <v>3</v>
      </c>
      <c r="G497">
        <v>5</v>
      </c>
      <c r="H497">
        <v>0</v>
      </c>
      <c r="I497" s="12" t="s">
        <v>804</v>
      </c>
      <c r="J497" s="12" t="s">
        <v>342</v>
      </c>
      <c r="K497" s="12" t="s">
        <v>117</v>
      </c>
      <c r="L497" s="12" t="s">
        <v>69</v>
      </c>
      <c r="M497">
        <v>30.07</v>
      </c>
      <c r="N497" s="12" t="s">
        <v>97</v>
      </c>
      <c r="O497" s="12" t="s">
        <v>98</v>
      </c>
      <c r="P497" s="12" t="s">
        <v>72</v>
      </c>
      <c r="Q497" s="13">
        <v>45075</v>
      </c>
      <c r="R497" s="13">
        <v>45109</v>
      </c>
      <c r="S497">
        <v>2023</v>
      </c>
      <c r="T497" s="12" t="s">
        <v>889</v>
      </c>
      <c r="U497">
        <v>117</v>
      </c>
      <c r="V497">
        <v>323.22789999999998</v>
      </c>
      <c r="W497">
        <v>691.68</v>
      </c>
      <c r="X497">
        <v>0</v>
      </c>
      <c r="Y497">
        <v>0</v>
      </c>
      <c r="Z497">
        <v>37817.660000000003</v>
      </c>
      <c r="AA497">
        <v>38509.339999999997</v>
      </c>
      <c r="AB497" s="12" t="s">
        <v>880</v>
      </c>
      <c r="AC497">
        <v>323.22789999999998</v>
      </c>
      <c r="AD497">
        <v>1</v>
      </c>
      <c r="AE497">
        <v>1</v>
      </c>
      <c r="AF497">
        <v>0</v>
      </c>
      <c r="AG497">
        <v>37817.660000000003</v>
      </c>
      <c r="AH497">
        <v>117</v>
      </c>
      <c r="AI497">
        <v>115</v>
      </c>
      <c r="AJ497">
        <v>2</v>
      </c>
      <c r="AK497">
        <v>1</v>
      </c>
      <c r="AL497">
        <v>1</v>
      </c>
      <c r="AM497">
        <v>98.29</v>
      </c>
      <c r="AN497">
        <v>334.8639</v>
      </c>
      <c r="AO497">
        <v>646.46</v>
      </c>
      <c r="AP497" s="13">
        <v>45106</v>
      </c>
      <c r="AQ497">
        <v>-3</v>
      </c>
      <c r="AR497">
        <v>1</v>
      </c>
    </row>
    <row r="498" spans="1:44" x14ac:dyDescent="0.35">
      <c r="A498" s="12" t="s">
        <v>1122</v>
      </c>
      <c r="B498" s="12" t="s">
        <v>732</v>
      </c>
      <c r="C498" s="12" t="s">
        <v>733</v>
      </c>
      <c r="D498" s="12" t="s">
        <v>114</v>
      </c>
      <c r="E498" s="12" t="s">
        <v>104</v>
      </c>
      <c r="F498">
        <v>3</v>
      </c>
      <c r="G498">
        <v>1</v>
      </c>
      <c r="H498">
        <v>0</v>
      </c>
      <c r="I498" s="12" t="s">
        <v>251</v>
      </c>
      <c r="J498" s="12" t="s">
        <v>252</v>
      </c>
      <c r="K498" s="12" t="s">
        <v>133</v>
      </c>
      <c r="L498" s="12" t="s">
        <v>69</v>
      </c>
      <c r="M498">
        <v>34.49</v>
      </c>
      <c r="N498" s="12" t="s">
        <v>97</v>
      </c>
      <c r="O498" s="12" t="s">
        <v>98</v>
      </c>
      <c r="P498" s="12" t="s">
        <v>72</v>
      </c>
      <c r="Q498" s="13">
        <v>45075</v>
      </c>
      <c r="R498" s="13">
        <v>45092</v>
      </c>
      <c r="S498">
        <v>2023</v>
      </c>
      <c r="T498" s="12" t="s">
        <v>889</v>
      </c>
      <c r="U498">
        <v>51</v>
      </c>
      <c r="V498">
        <v>314.15269999999998</v>
      </c>
      <c r="W498">
        <v>114.51</v>
      </c>
      <c r="X498">
        <v>514.95000000000005</v>
      </c>
      <c r="Y498">
        <v>1</v>
      </c>
      <c r="Z498">
        <v>16021.79</v>
      </c>
      <c r="AA498">
        <v>16651.25</v>
      </c>
      <c r="AB498" s="12" t="s">
        <v>764</v>
      </c>
      <c r="AC498">
        <v>314.15269999999998</v>
      </c>
      <c r="AD498">
        <v>1</v>
      </c>
      <c r="AE498">
        <v>1</v>
      </c>
      <c r="AF498">
        <v>0</v>
      </c>
      <c r="AG498">
        <v>16021.79</v>
      </c>
      <c r="AH498">
        <v>51</v>
      </c>
      <c r="AI498">
        <v>50</v>
      </c>
      <c r="AJ498">
        <v>1</v>
      </c>
      <c r="AK498">
        <v>1</v>
      </c>
      <c r="AL498">
        <v>1</v>
      </c>
      <c r="AM498">
        <v>98.04</v>
      </c>
      <c r="AN498">
        <v>333.02499999999998</v>
      </c>
      <c r="AO498">
        <v>314.14999999999998</v>
      </c>
      <c r="AP498" s="13">
        <v>45090</v>
      </c>
      <c r="AQ498">
        <v>-2</v>
      </c>
      <c r="AR498">
        <v>1</v>
      </c>
    </row>
    <row r="499" spans="1:44" x14ac:dyDescent="0.35">
      <c r="A499" s="12" t="s">
        <v>1123</v>
      </c>
      <c r="B499" s="12" t="s">
        <v>458</v>
      </c>
      <c r="C499" s="12" t="s">
        <v>459</v>
      </c>
      <c r="D499" s="12" t="s">
        <v>64</v>
      </c>
      <c r="E499" s="12" t="s">
        <v>104</v>
      </c>
      <c r="F499">
        <v>2</v>
      </c>
      <c r="G499">
        <v>0</v>
      </c>
      <c r="H499">
        <v>0</v>
      </c>
      <c r="I499" s="12" t="s">
        <v>199</v>
      </c>
      <c r="J499" s="12" t="s">
        <v>200</v>
      </c>
      <c r="K499" s="12" t="s">
        <v>68</v>
      </c>
      <c r="L499" s="12" t="s">
        <v>96</v>
      </c>
      <c r="M499">
        <v>9.4700000000000006</v>
      </c>
      <c r="N499" s="12" t="s">
        <v>97</v>
      </c>
      <c r="O499" s="12" t="s">
        <v>98</v>
      </c>
      <c r="P499" s="12" t="s">
        <v>72</v>
      </c>
      <c r="Q499" s="13">
        <v>45075</v>
      </c>
      <c r="R499" s="13">
        <v>45099</v>
      </c>
      <c r="S499">
        <v>2023</v>
      </c>
      <c r="T499" s="12" t="s">
        <v>889</v>
      </c>
      <c r="U499">
        <v>710</v>
      </c>
      <c r="V499">
        <v>24.782299999999999</v>
      </c>
      <c r="W499">
        <v>452.5</v>
      </c>
      <c r="X499">
        <v>0</v>
      </c>
      <c r="Y499">
        <v>0</v>
      </c>
      <c r="Z499">
        <v>17595.43</v>
      </c>
      <c r="AA499">
        <v>18047.93</v>
      </c>
      <c r="AB499" s="12" t="s">
        <v>460</v>
      </c>
      <c r="AC499">
        <v>24.782299999999999</v>
      </c>
      <c r="AD499">
        <v>1</v>
      </c>
      <c r="AE499">
        <v>1</v>
      </c>
      <c r="AF499">
        <v>0</v>
      </c>
      <c r="AG499">
        <v>17595.43</v>
      </c>
      <c r="AH499">
        <v>710</v>
      </c>
      <c r="AI499">
        <v>707</v>
      </c>
      <c r="AJ499">
        <v>3</v>
      </c>
      <c r="AK499">
        <v>1</v>
      </c>
      <c r="AL499">
        <v>1</v>
      </c>
      <c r="AM499">
        <v>99.58</v>
      </c>
      <c r="AN499">
        <v>25.5275</v>
      </c>
      <c r="AO499">
        <v>74.349999999999994</v>
      </c>
      <c r="AP499" s="13">
        <v>45099</v>
      </c>
      <c r="AQ499">
        <v>0</v>
      </c>
      <c r="AR499">
        <v>1</v>
      </c>
    </row>
    <row r="500" spans="1:44" x14ac:dyDescent="0.35">
      <c r="A500" s="12" t="s">
        <v>1124</v>
      </c>
      <c r="B500" s="12" t="s">
        <v>869</v>
      </c>
      <c r="C500" s="12" t="s">
        <v>870</v>
      </c>
      <c r="D500" s="12" t="s">
        <v>130</v>
      </c>
      <c r="E500" s="12" t="s">
        <v>104</v>
      </c>
      <c r="F500">
        <v>2</v>
      </c>
      <c r="G500">
        <v>0</v>
      </c>
      <c r="H500">
        <v>0</v>
      </c>
      <c r="I500" s="12" t="s">
        <v>515</v>
      </c>
      <c r="J500" s="12" t="s">
        <v>516</v>
      </c>
      <c r="K500" s="12" t="s">
        <v>68</v>
      </c>
      <c r="L500" s="12" t="s">
        <v>134</v>
      </c>
      <c r="M500">
        <v>3.69</v>
      </c>
      <c r="N500" s="12" t="s">
        <v>159</v>
      </c>
      <c r="O500" s="12" t="s">
        <v>160</v>
      </c>
      <c r="P500" s="12" t="s">
        <v>137</v>
      </c>
      <c r="Q500" s="13">
        <v>45075</v>
      </c>
      <c r="R500" s="13">
        <v>45102</v>
      </c>
      <c r="S500">
        <v>2023</v>
      </c>
      <c r="T500" s="12" t="s">
        <v>889</v>
      </c>
      <c r="U500">
        <v>127</v>
      </c>
      <c r="V500">
        <v>583.34230000000002</v>
      </c>
      <c r="W500">
        <v>764.57</v>
      </c>
      <c r="X500">
        <v>0</v>
      </c>
      <c r="Y500">
        <v>0</v>
      </c>
      <c r="Z500">
        <v>74084.47</v>
      </c>
      <c r="AA500">
        <v>74849.039999999994</v>
      </c>
      <c r="AB500" s="12" t="s">
        <v>871</v>
      </c>
      <c r="AC500">
        <v>583.34230000000002</v>
      </c>
      <c r="AD500">
        <v>1</v>
      </c>
      <c r="AE500">
        <v>1</v>
      </c>
      <c r="AF500">
        <v>0</v>
      </c>
      <c r="AG500">
        <v>74084.47</v>
      </c>
      <c r="AH500">
        <v>127</v>
      </c>
      <c r="AI500">
        <v>125</v>
      </c>
      <c r="AJ500">
        <v>2</v>
      </c>
      <c r="AK500">
        <v>1</v>
      </c>
      <c r="AL500">
        <v>1</v>
      </c>
      <c r="AM500">
        <v>98.43</v>
      </c>
      <c r="AN500">
        <v>598.79229999999995</v>
      </c>
      <c r="AO500">
        <v>1166.68</v>
      </c>
      <c r="AP500" s="13">
        <v>45099</v>
      </c>
      <c r="AQ500">
        <v>-3</v>
      </c>
      <c r="AR500">
        <v>1</v>
      </c>
    </row>
    <row r="501" spans="1:44" x14ac:dyDescent="0.35">
      <c r="A501" s="12" t="s">
        <v>1125</v>
      </c>
      <c r="B501" s="12" t="s">
        <v>140</v>
      </c>
      <c r="C501" s="12" t="s">
        <v>141</v>
      </c>
      <c r="D501" s="12" t="s">
        <v>103</v>
      </c>
      <c r="E501" s="12" t="s">
        <v>142</v>
      </c>
      <c r="F501">
        <v>1</v>
      </c>
      <c r="G501">
        <v>7</v>
      </c>
      <c r="H501">
        <v>1</v>
      </c>
      <c r="I501" s="12" t="s">
        <v>143</v>
      </c>
      <c r="J501" s="12" t="s">
        <v>144</v>
      </c>
      <c r="K501" s="12" t="s">
        <v>133</v>
      </c>
      <c r="L501" s="12" t="s">
        <v>96</v>
      </c>
      <c r="M501">
        <v>5.43</v>
      </c>
      <c r="N501" s="12" t="s">
        <v>107</v>
      </c>
      <c r="O501" s="12" t="s">
        <v>108</v>
      </c>
      <c r="P501" s="12" t="s">
        <v>109</v>
      </c>
      <c r="Q501" s="13">
        <v>45075</v>
      </c>
      <c r="R501" s="13">
        <v>45123</v>
      </c>
      <c r="S501">
        <v>2023</v>
      </c>
      <c r="T501" s="12" t="s">
        <v>889</v>
      </c>
      <c r="U501">
        <v>112</v>
      </c>
      <c r="V501">
        <v>211.78559999999999</v>
      </c>
      <c r="W501">
        <v>246.38</v>
      </c>
      <c r="X501">
        <v>0</v>
      </c>
      <c r="Y501">
        <v>0</v>
      </c>
      <c r="Z501">
        <v>23719.99</v>
      </c>
      <c r="AA501">
        <v>23966.37</v>
      </c>
      <c r="AB501" s="12" t="s">
        <v>147</v>
      </c>
      <c r="AC501">
        <v>211.78559999999999</v>
      </c>
      <c r="AD501">
        <v>1</v>
      </c>
      <c r="AE501">
        <v>1</v>
      </c>
      <c r="AF501">
        <v>0</v>
      </c>
      <c r="AG501">
        <v>23719.99</v>
      </c>
      <c r="AH501">
        <v>112</v>
      </c>
      <c r="AI501">
        <v>112</v>
      </c>
      <c r="AJ501">
        <v>0</v>
      </c>
      <c r="AK501">
        <v>1</v>
      </c>
      <c r="AL501">
        <v>1</v>
      </c>
      <c r="AM501">
        <v>100</v>
      </c>
      <c r="AN501">
        <v>213.9854</v>
      </c>
      <c r="AO501">
        <v>0</v>
      </c>
      <c r="AP501" s="13">
        <v>45120</v>
      </c>
      <c r="AQ501">
        <v>-3</v>
      </c>
      <c r="AR501">
        <v>1</v>
      </c>
    </row>
    <row r="502" spans="1:44" x14ac:dyDescent="0.35">
      <c r="A502" s="12" t="s">
        <v>1126</v>
      </c>
      <c r="B502" s="12" t="s">
        <v>587</v>
      </c>
      <c r="C502" s="12" t="s">
        <v>588</v>
      </c>
      <c r="D502" s="12" t="s">
        <v>122</v>
      </c>
      <c r="E502" s="12" t="s">
        <v>104</v>
      </c>
      <c r="F502">
        <v>2</v>
      </c>
      <c r="G502">
        <v>0</v>
      </c>
      <c r="H502">
        <v>0</v>
      </c>
      <c r="I502" s="12" t="s">
        <v>486</v>
      </c>
      <c r="J502" s="12" t="s">
        <v>487</v>
      </c>
      <c r="K502" s="12" t="s">
        <v>125</v>
      </c>
      <c r="L502" s="12" t="s">
        <v>69</v>
      </c>
      <c r="M502">
        <v>36.86</v>
      </c>
      <c r="N502" s="12" t="s">
        <v>70</v>
      </c>
      <c r="O502" s="12" t="s">
        <v>71</v>
      </c>
      <c r="P502" s="12" t="s">
        <v>72</v>
      </c>
      <c r="Q502" s="13">
        <v>45075</v>
      </c>
      <c r="R502" s="13">
        <v>45101</v>
      </c>
      <c r="S502">
        <v>2023</v>
      </c>
      <c r="T502" s="12" t="s">
        <v>889</v>
      </c>
      <c r="U502">
        <v>1665</v>
      </c>
      <c r="V502">
        <v>12.517899999999999</v>
      </c>
      <c r="W502">
        <v>130.38</v>
      </c>
      <c r="X502">
        <v>0</v>
      </c>
      <c r="Y502">
        <v>0</v>
      </c>
      <c r="Z502">
        <v>20842.3</v>
      </c>
      <c r="AA502">
        <v>20972.68</v>
      </c>
      <c r="AB502" s="12" t="s">
        <v>744</v>
      </c>
      <c r="AC502">
        <v>12.517899999999999</v>
      </c>
      <c r="AD502">
        <v>1</v>
      </c>
      <c r="AE502">
        <v>1</v>
      </c>
      <c r="AF502">
        <v>0</v>
      </c>
      <c r="AG502">
        <v>20842.3</v>
      </c>
      <c r="AH502">
        <v>1665</v>
      </c>
      <c r="AI502">
        <v>1652</v>
      </c>
      <c r="AJ502">
        <v>13</v>
      </c>
      <c r="AK502">
        <v>1</v>
      </c>
      <c r="AL502">
        <v>1</v>
      </c>
      <c r="AM502">
        <v>99.22</v>
      </c>
      <c r="AN502">
        <v>12.6953</v>
      </c>
      <c r="AO502">
        <v>162.72999999999999</v>
      </c>
      <c r="AP502" s="13">
        <v>45101</v>
      </c>
      <c r="AQ502">
        <v>0</v>
      </c>
      <c r="AR502">
        <v>1</v>
      </c>
    </row>
    <row r="503" spans="1:44" x14ac:dyDescent="0.35">
      <c r="A503" s="12" t="s">
        <v>1127</v>
      </c>
      <c r="B503" s="12" t="s">
        <v>261</v>
      </c>
      <c r="C503" s="12" t="s">
        <v>262</v>
      </c>
      <c r="D503" s="12" t="s">
        <v>114</v>
      </c>
      <c r="E503" s="12" t="s">
        <v>142</v>
      </c>
      <c r="F503">
        <v>1</v>
      </c>
      <c r="G503">
        <v>8</v>
      </c>
      <c r="H503">
        <v>1</v>
      </c>
      <c r="I503" s="12" t="s">
        <v>263</v>
      </c>
      <c r="J503" s="12" t="s">
        <v>264</v>
      </c>
      <c r="K503" s="12" t="s">
        <v>125</v>
      </c>
      <c r="L503" s="12" t="s">
        <v>82</v>
      </c>
      <c r="M503">
        <v>10.210000000000001</v>
      </c>
      <c r="N503" s="12" t="s">
        <v>97</v>
      </c>
      <c r="O503" s="12" t="s">
        <v>98</v>
      </c>
      <c r="P503" s="12" t="s">
        <v>72</v>
      </c>
      <c r="Q503" s="13">
        <v>45076</v>
      </c>
      <c r="R503" s="13">
        <v>45118</v>
      </c>
      <c r="S503">
        <v>2023</v>
      </c>
      <c r="T503" s="12" t="s">
        <v>889</v>
      </c>
      <c r="U503">
        <v>67</v>
      </c>
      <c r="V503">
        <v>146.5745</v>
      </c>
      <c r="W503">
        <v>184.72</v>
      </c>
      <c r="X503">
        <v>0</v>
      </c>
      <c r="Y503">
        <v>0</v>
      </c>
      <c r="Z503">
        <v>9820.49</v>
      </c>
      <c r="AA503">
        <v>10005.209999999999</v>
      </c>
      <c r="AB503" s="12" t="s">
        <v>265</v>
      </c>
      <c r="AC503">
        <v>138.256</v>
      </c>
      <c r="AD503">
        <v>1</v>
      </c>
      <c r="AE503">
        <v>1</v>
      </c>
      <c r="AF503">
        <v>557.34</v>
      </c>
      <c r="AG503">
        <v>9263.15</v>
      </c>
      <c r="AH503">
        <v>67</v>
      </c>
      <c r="AI503">
        <v>65</v>
      </c>
      <c r="AJ503">
        <v>2</v>
      </c>
      <c r="AK503">
        <v>1</v>
      </c>
      <c r="AL503">
        <v>1</v>
      </c>
      <c r="AM503">
        <v>97.01</v>
      </c>
      <c r="AN503">
        <v>153.9263</v>
      </c>
      <c r="AO503">
        <v>293.14999999999998</v>
      </c>
      <c r="AP503" s="13">
        <v>45119</v>
      </c>
      <c r="AQ503">
        <v>1</v>
      </c>
      <c r="AR503">
        <v>0</v>
      </c>
    </row>
    <row r="504" spans="1:44" x14ac:dyDescent="0.35">
      <c r="A504" s="12" t="s">
        <v>1128</v>
      </c>
      <c r="B504" s="12" t="s">
        <v>128</v>
      </c>
      <c r="C504" s="12" t="s">
        <v>129</v>
      </c>
      <c r="D504" s="12" t="s">
        <v>130</v>
      </c>
      <c r="E504" s="12" t="s">
        <v>65</v>
      </c>
      <c r="F504">
        <v>3</v>
      </c>
      <c r="G504">
        <v>5</v>
      </c>
      <c r="H504">
        <v>0</v>
      </c>
      <c r="I504" s="12" t="s">
        <v>66</v>
      </c>
      <c r="J504" s="12" t="s">
        <v>67</v>
      </c>
      <c r="K504" s="12" t="s">
        <v>68</v>
      </c>
      <c r="L504" s="12" t="s">
        <v>69</v>
      </c>
      <c r="M504">
        <v>17.66</v>
      </c>
      <c r="N504" s="12" t="s">
        <v>159</v>
      </c>
      <c r="O504" s="12" t="s">
        <v>160</v>
      </c>
      <c r="P504" s="12" t="s">
        <v>137</v>
      </c>
      <c r="Q504" s="13">
        <v>45076</v>
      </c>
      <c r="R504" s="13">
        <v>45100</v>
      </c>
      <c r="S504">
        <v>2023</v>
      </c>
      <c r="T504" s="12" t="s">
        <v>889</v>
      </c>
      <c r="U504">
        <v>34</v>
      </c>
      <c r="V504">
        <v>556.08839999999998</v>
      </c>
      <c r="W504">
        <v>419.98</v>
      </c>
      <c r="X504">
        <v>0</v>
      </c>
      <c r="Y504">
        <v>0</v>
      </c>
      <c r="Z504">
        <v>18907.009999999998</v>
      </c>
      <c r="AA504">
        <v>19326.990000000002</v>
      </c>
      <c r="AB504" s="12" t="s">
        <v>201</v>
      </c>
      <c r="AD504">
        <v>0</v>
      </c>
      <c r="AE504">
        <v>0</v>
      </c>
      <c r="AH504">
        <v>34</v>
      </c>
      <c r="AI504">
        <v>33</v>
      </c>
      <c r="AJ504">
        <v>1</v>
      </c>
      <c r="AK504">
        <v>1</v>
      </c>
      <c r="AL504">
        <v>1</v>
      </c>
      <c r="AM504">
        <v>97.06</v>
      </c>
      <c r="AN504">
        <v>585.6662</v>
      </c>
      <c r="AO504">
        <v>556.09</v>
      </c>
      <c r="AP504" s="13">
        <v>45106</v>
      </c>
      <c r="AQ504">
        <v>6</v>
      </c>
      <c r="AR504">
        <v>0</v>
      </c>
    </row>
    <row r="505" spans="1:44" x14ac:dyDescent="0.35">
      <c r="A505" s="12" t="s">
        <v>1129</v>
      </c>
      <c r="B505" s="12" t="s">
        <v>357</v>
      </c>
      <c r="C505" s="12" t="s">
        <v>358</v>
      </c>
      <c r="D505" s="12" t="s">
        <v>103</v>
      </c>
      <c r="E505" s="12" t="s">
        <v>104</v>
      </c>
      <c r="F505">
        <v>3</v>
      </c>
      <c r="G505">
        <v>1</v>
      </c>
      <c r="H505">
        <v>0</v>
      </c>
      <c r="I505" s="12" t="s">
        <v>105</v>
      </c>
      <c r="J505" s="12" t="s">
        <v>106</v>
      </c>
      <c r="K505" s="12" t="s">
        <v>81</v>
      </c>
      <c r="L505" s="12" t="s">
        <v>96</v>
      </c>
      <c r="M505">
        <v>5.01</v>
      </c>
      <c r="N505" s="12" t="s">
        <v>107</v>
      </c>
      <c r="O505" s="12" t="s">
        <v>108</v>
      </c>
      <c r="P505" s="12" t="s">
        <v>109</v>
      </c>
      <c r="Q505" s="13">
        <v>45076</v>
      </c>
      <c r="R505" s="13">
        <v>45090</v>
      </c>
      <c r="S505">
        <v>2023</v>
      </c>
      <c r="T505" s="12" t="s">
        <v>889</v>
      </c>
      <c r="U505">
        <v>29</v>
      </c>
      <c r="V505">
        <v>106.6914</v>
      </c>
      <c r="W505">
        <v>31.94</v>
      </c>
      <c r="X505">
        <v>0</v>
      </c>
      <c r="Y505">
        <v>0</v>
      </c>
      <c r="Z505">
        <v>3094.05</v>
      </c>
      <c r="AA505">
        <v>3125.99</v>
      </c>
      <c r="AB505" s="12" t="s">
        <v>882</v>
      </c>
      <c r="AC505">
        <v>106.6914</v>
      </c>
      <c r="AD505">
        <v>1</v>
      </c>
      <c r="AE505">
        <v>1</v>
      </c>
      <c r="AF505">
        <v>0</v>
      </c>
      <c r="AG505">
        <v>3094.05</v>
      </c>
      <c r="AH505">
        <v>29</v>
      </c>
      <c r="AI505">
        <v>29</v>
      </c>
      <c r="AJ505">
        <v>0</v>
      </c>
      <c r="AK505">
        <v>1</v>
      </c>
      <c r="AL505">
        <v>1</v>
      </c>
      <c r="AM505">
        <v>100</v>
      </c>
      <c r="AN505">
        <v>107.7928</v>
      </c>
      <c r="AO505">
        <v>0</v>
      </c>
      <c r="AP505" s="13">
        <v>45089</v>
      </c>
      <c r="AQ505">
        <v>-1</v>
      </c>
      <c r="AR505">
        <v>1</v>
      </c>
    </row>
    <row r="506" spans="1:44" x14ac:dyDescent="0.35">
      <c r="A506" s="12" t="s">
        <v>1130</v>
      </c>
      <c r="B506" s="12" t="s">
        <v>827</v>
      </c>
      <c r="C506" s="12" t="s">
        <v>828</v>
      </c>
      <c r="D506" s="12" t="s">
        <v>175</v>
      </c>
      <c r="E506" s="12" t="s">
        <v>104</v>
      </c>
      <c r="F506">
        <v>2</v>
      </c>
      <c r="G506">
        <v>0</v>
      </c>
      <c r="H506">
        <v>0</v>
      </c>
      <c r="I506" s="12" t="s">
        <v>183</v>
      </c>
      <c r="J506" s="12" t="s">
        <v>184</v>
      </c>
      <c r="K506" s="12" t="s">
        <v>133</v>
      </c>
      <c r="L506" s="12" t="s">
        <v>82</v>
      </c>
      <c r="M506">
        <v>8.6199999999999992</v>
      </c>
      <c r="N506" s="12" t="s">
        <v>107</v>
      </c>
      <c r="O506" s="12" t="s">
        <v>108</v>
      </c>
      <c r="P506" s="12" t="s">
        <v>109</v>
      </c>
      <c r="Q506" s="13">
        <v>45076</v>
      </c>
      <c r="R506" s="13">
        <v>45105</v>
      </c>
      <c r="S506">
        <v>2023</v>
      </c>
      <c r="T506" s="12" t="s">
        <v>889</v>
      </c>
      <c r="U506">
        <v>147</v>
      </c>
      <c r="V506">
        <v>107.794</v>
      </c>
      <c r="W506">
        <v>226.82</v>
      </c>
      <c r="X506">
        <v>0</v>
      </c>
      <c r="Y506">
        <v>0</v>
      </c>
      <c r="Z506">
        <v>15845.72</v>
      </c>
      <c r="AA506">
        <v>16072.54</v>
      </c>
      <c r="AB506" s="12" t="s">
        <v>829</v>
      </c>
      <c r="AC506">
        <v>107.794</v>
      </c>
      <c r="AD506">
        <v>1</v>
      </c>
      <c r="AE506">
        <v>1</v>
      </c>
      <c r="AF506">
        <v>0</v>
      </c>
      <c r="AG506">
        <v>15845.72</v>
      </c>
      <c r="AH506">
        <v>147</v>
      </c>
      <c r="AI506">
        <v>146</v>
      </c>
      <c r="AJ506">
        <v>1</v>
      </c>
      <c r="AK506">
        <v>1</v>
      </c>
      <c r="AL506">
        <v>1</v>
      </c>
      <c r="AM506">
        <v>99.32</v>
      </c>
      <c r="AN506">
        <v>110.0859</v>
      </c>
      <c r="AO506">
        <v>107.79</v>
      </c>
      <c r="AP506" s="13">
        <v>45102</v>
      </c>
      <c r="AQ506">
        <v>-3</v>
      </c>
      <c r="AR506">
        <v>1</v>
      </c>
    </row>
    <row r="507" spans="1:44" x14ac:dyDescent="0.35">
      <c r="A507" s="12" t="s">
        <v>1131</v>
      </c>
      <c r="B507" s="12" t="s">
        <v>454</v>
      </c>
      <c r="C507" s="12" t="s">
        <v>455</v>
      </c>
      <c r="D507" s="12" t="s">
        <v>122</v>
      </c>
      <c r="E507" s="12" t="s">
        <v>104</v>
      </c>
      <c r="F507">
        <v>3</v>
      </c>
      <c r="G507">
        <v>1</v>
      </c>
      <c r="H507">
        <v>0</v>
      </c>
      <c r="I507" s="12" t="s">
        <v>87</v>
      </c>
      <c r="J507" s="12" t="s">
        <v>88</v>
      </c>
      <c r="K507" s="12" t="s">
        <v>89</v>
      </c>
      <c r="L507" s="12" t="s">
        <v>69</v>
      </c>
      <c r="M507">
        <v>14.93</v>
      </c>
      <c r="N507" s="12" t="s">
        <v>97</v>
      </c>
      <c r="O507" s="12" t="s">
        <v>98</v>
      </c>
      <c r="P507" s="12" t="s">
        <v>72</v>
      </c>
      <c r="Q507" s="13">
        <v>45076</v>
      </c>
      <c r="R507" s="13">
        <v>45098</v>
      </c>
      <c r="S507">
        <v>2023</v>
      </c>
      <c r="T507" s="12" t="s">
        <v>889</v>
      </c>
      <c r="U507">
        <v>1226</v>
      </c>
      <c r="V507">
        <v>20.494299999999999</v>
      </c>
      <c r="W507">
        <v>183.05</v>
      </c>
      <c r="X507">
        <v>0</v>
      </c>
      <c r="Y507">
        <v>0</v>
      </c>
      <c r="Z507">
        <v>25126.01</v>
      </c>
      <c r="AA507">
        <v>25309.06</v>
      </c>
      <c r="AB507" s="12" t="s">
        <v>456</v>
      </c>
      <c r="AC507">
        <v>21.796199999999999</v>
      </c>
      <c r="AD507">
        <v>1</v>
      </c>
      <c r="AE507">
        <v>1</v>
      </c>
      <c r="AF507">
        <v>-1596.13</v>
      </c>
      <c r="AG507">
        <v>26722.14</v>
      </c>
      <c r="AH507">
        <v>1226</v>
      </c>
      <c r="AI507">
        <v>1219</v>
      </c>
      <c r="AJ507">
        <v>7</v>
      </c>
      <c r="AK507">
        <v>1</v>
      </c>
      <c r="AL507">
        <v>1</v>
      </c>
      <c r="AM507">
        <v>99.43</v>
      </c>
      <c r="AN507">
        <v>20.7622</v>
      </c>
      <c r="AO507">
        <v>143.46</v>
      </c>
      <c r="AP507" s="13">
        <v>45098</v>
      </c>
      <c r="AQ507">
        <v>0</v>
      </c>
      <c r="AR507">
        <v>1</v>
      </c>
    </row>
    <row r="508" spans="1:44" x14ac:dyDescent="0.35">
      <c r="A508" s="12" t="s">
        <v>1132</v>
      </c>
      <c r="B508" s="12" t="s">
        <v>193</v>
      </c>
      <c r="C508" s="12" t="s">
        <v>194</v>
      </c>
      <c r="D508" s="12" t="s">
        <v>114</v>
      </c>
      <c r="E508" s="12" t="s">
        <v>65</v>
      </c>
      <c r="F508">
        <v>3</v>
      </c>
      <c r="G508">
        <v>4</v>
      </c>
      <c r="H508">
        <v>0</v>
      </c>
      <c r="I508" s="12" t="s">
        <v>195</v>
      </c>
      <c r="J508" s="12" t="s">
        <v>196</v>
      </c>
      <c r="K508" s="12" t="s">
        <v>117</v>
      </c>
      <c r="L508" s="12" t="s">
        <v>134</v>
      </c>
      <c r="M508">
        <v>4.7699999999999996</v>
      </c>
      <c r="N508" s="12" t="s">
        <v>97</v>
      </c>
      <c r="O508" s="12" t="s">
        <v>98</v>
      </c>
      <c r="P508" s="12" t="s">
        <v>72</v>
      </c>
      <c r="Q508" s="13">
        <v>45076</v>
      </c>
      <c r="R508" s="13">
        <v>45099</v>
      </c>
      <c r="S508">
        <v>2023</v>
      </c>
      <c r="T508" s="12" t="s">
        <v>889</v>
      </c>
      <c r="U508">
        <v>33</v>
      </c>
      <c r="V508">
        <v>107.28270000000001</v>
      </c>
      <c r="W508">
        <v>24.17</v>
      </c>
      <c r="X508">
        <v>112.57</v>
      </c>
      <c r="Y508">
        <v>1</v>
      </c>
      <c r="Z508">
        <v>3540.33</v>
      </c>
      <c r="AA508">
        <v>3677.07</v>
      </c>
      <c r="AB508" s="12" t="s">
        <v>197</v>
      </c>
      <c r="AC508">
        <v>107.28270000000001</v>
      </c>
      <c r="AD508">
        <v>1</v>
      </c>
      <c r="AE508">
        <v>1</v>
      </c>
      <c r="AF508">
        <v>0</v>
      </c>
      <c r="AG508">
        <v>3540.33</v>
      </c>
      <c r="AH508">
        <v>33</v>
      </c>
      <c r="AI508">
        <v>32</v>
      </c>
      <c r="AJ508">
        <v>1</v>
      </c>
      <c r="AK508">
        <v>1</v>
      </c>
      <c r="AL508">
        <v>1</v>
      </c>
      <c r="AM508">
        <v>96.97</v>
      </c>
      <c r="AN508">
        <v>114.9084</v>
      </c>
      <c r="AO508">
        <v>107.28</v>
      </c>
      <c r="AP508" s="13">
        <v>45097</v>
      </c>
      <c r="AQ508">
        <v>-2</v>
      </c>
      <c r="AR508">
        <v>1</v>
      </c>
    </row>
    <row r="509" spans="1:44" x14ac:dyDescent="0.35">
      <c r="A509" s="12" t="s">
        <v>1133</v>
      </c>
      <c r="B509" s="12" t="s">
        <v>1134</v>
      </c>
      <c r="C509" s="12" t="s">
        <v>1135</v>
      </c>
      <c r="D509" s="12" t="s">
        <v>269</v>
      </c>
      <c r="E509" s="12" t="s">
        <v>104</v>
      </c>
      <c r="F509">
        <v>2</v>
      </c>
      <c r="G509">
        <v>0</v>
      </c>
      <c r="H509">
        <v>0</v>
      </c>
      <c r="I509" s="12" t="s">
        <v>380</v>
      </c>
      <c r="J509" s="12" t="s">
        <v>381</v>
      </c>
      <c r="K509" s="12" t="s">
        <v>89</v>
      </c>
      <c r="L509" s="12" t="s">
        <v>96</v>
      </c>
      <c r="M509">
        <v>10.210000000000001</v>
      </c>
      <c r="N509" s="12" t="s">
        <v>135</v>
      </c>
      <c r="O509" s="12" t="s">
        <v>136</v>
      </c>
      <c r="P509" s="12" t="s">
        <v>137</v>
      </c>
      <c r="Q509" s="13">
        <v>45076</v>
      </c>
      <c r="R509" s="13">
        <v>45092</v>
      </c>
      <c r="S509">
        <v>2023</v>
      </c>
      <c r="T509" s="12" t="s">
        <v>889</v>
      </c>
      <c r="U509">
        <v>44</v>
      </c>
      <c r="V509">
        <v>107.5608</v>
      </c>
      <c r="W509">
        <v>31.39</v>
      </c>
      <c r="X509">
        <v>0</v>
      </c>
      <c r="Y509">
        <v>0</v>
      </c>
      <c r="Z509">
        <v>4732.68</v>
      </c>
      <c r="AA509">
        <v>4764.07</v>
      </c>
      <c r="AB509" s="12" t="s">
        <v>1136</v>
      </c>
      <c r="AC509">
        <v>107.5608</v>
      </c>
      <c r="AD509">
        <v>1</v>
      </c>
      <c r="AE509">
        <v>1</v>
      </c>
      <c r="AF509">
        <v>0</v>
      </c>
      <c r="AG509">
        <v>4732.68</v>
      </c>
      <c r="AH509">
        <v>44</v>
      </c>
      <c r="AI509">
        <v>43</v>
      </c>
      <c r="AJ509">
        <v>1</v>
      </c>
      <c r="AK509">
        <v>1</v>
      </c>
      <c r="AL509">
        <v>1</v>
      </c>
      <c r="AM509">
        <v>97.73</v>
      </c>
      <c r="AN509">
        <v>110.79219999999999</v>
      </c>
      <c r="AO509">
        <v>107.56</v>
      </c>
      <c r="AP509" s="13">
        <v>45091</v>
      </c>
      <c r="AQ509">
        <v>-1</v>
      </c>
      <c r="AR509">
        <v>1</v>
      </c>
    </row>
    <row r="510" spans="1:44" x14ac:dyDescent="0.35">
      <c r="A510" s="12" t="s">
        <v>1137</v>
      </c>
      <c r="B510" s="12" t="s">
        <v>350</v>
      </c>
      <c r="C510" s="12" t="s">
        <v>351</v>
      </c>
      <c r="D510" s="12" t="s">
        <v>64</v>
      </c>
      <c r="E510" s="12" t="s">
        <v>104</v>
      </c>
      <c r="F510">
        <v>3</v>
      </c>
      <c r="G510">
        <v>1</v>
      </c>
      <c r="H510">
        <v>0</v>
      </c>
      <c r="I510" s="12" t="s">
        <v>227</v>
      </c>
      <c r="J510" s="12" t="s">
        <v>228</v>
      </c>
      <c r="K510" s="12" t="s">
        <v>89</v>
      </c>
      <c r="L510" s="12" t="s">
        <v>96</v>
      </c>
      <c r="M510">
        <v>9.15</v>
      </c>
      <c r="N510" s="12" t="s">
        <v>97</v>
      </c>
      <c r="O510" s="12" t="s">
        <v>98</v>
      </c>
      <c r="P510" s="12" t="s">
        <v>72</v>
      </c>
      <c r="Q510" s="13">
        <v>45077</v>
      </c>
      <c r="R510" s="13">
        <v>45092</v>
      </c>
      <c r="S510">
        <v>2023</v>
      </c>
      <c r="T510" s="12" t="s">
        <v>889</v>
      </c>
      <c r="U510">
        <v>298</v>
      </c>
      <c r="V510">
        <v>8.7273999999999994</v>
      </c>
      <c r="W510">
        <v>26.13</v>
      </c>
      <c r="X510">
        <v>0</v>
      </c>
      <c r="Y510">
        <v>0</v>
      </c>
      <c r="Z510">
        <v>2600.77</v>
      </c>
      <c r="AA510">
        <v>2626.9</v>
      </c>
      <c r="AB510" s="12" t="s">
        <v>352</v>
      </c>
      <c r="AC510">
        <v>8.7273999999999994</v>
      </c>
      <c r="AD510">
        <v>1</v>
      </c>
      <c r="AE510">
        <v>1</v>
      </c>
      <c r="AF510">
        <v>0</v>
      </c>
      <c r="AG510">
        <v>2600.77</v>
      </c>
      <c r="AH510">
        <v>298</v>
      </c>
      <c r="AI510">
        <v>295</v>
      </c>
      <c r="AJ510">
        <v>3</v>
      </c>
      <c r="AK510">
        <v>1</v>
      </c>
      <c r="AL510">
        <v>1</v>
      </c>
      <c r="AM510">
        <v>98.99</v>
      </c>
      <c r="AN510">
        <v>8.9047000000000001</v>
      </c>
      <c r="AO510">
        <v>26.18</v>
      </c>
      <c r="AP510" s="13">
        <v>45090</v>
      </c>
      <c r="AQ510">
        <v>-2</v>
      </c>
      <c r="AR510">
        <v>1</v>
      </c>
    </row>
    <row r="511" spans="1:44" x14ac:dyDescent="0.35">
      <c r="A511" s="12" t="s">
        <v>1138</v>
      </c>
      <c r="B511" s="12" t="s">
        <v>167</v>
      </c>
      <c r="C511" s="12" t="s">
        <v>168</v>
      </c>
      <c r="D511" s="12" t="s">
        <v>64</v>
      </c>
      <c r="E511" s="12" t="s">
        <v>104</v>
      </c>
      <c r="F511">
        <v>3</v>
      </c>
      <c r="G511">
        <v>1</v>
      </c>
      <c r="H511">
        <v>0</v>
      </c>
      <c r="I511" s="12" t="s">
        <v>243</v>
      </c>
      <c r="J511" s="12" t="s">
        <v>244</v>
      </c>
      <c r="K511" s="12" t="s">
        <v>81</v>
      </c>
      <c r="L511" s="12" t="s">
        <v>82</v>
      </c>
      <c r="M511">
        <v>9.2200000000000006</v>
      </c>
      <c r="N511" s="12" t="s">
        <v>97</v>
      </c>
      <c r="O511" s="12" t="s">
        <v>98</v>
      </c>
      <c r="P511" s="12" t="s">
        <v>72</v>
      </c>
      <c r="Q511" s="13">
        <v>45077</v>
      </c>
      <c r="R511" s="13">
        <v>45102</v>
      </c>
      <c r="S511">
        <v>2023</v>
      </c>
      <c r="T511" s="12" t="s">
        <v>889</v>
      </c>
      <c r="U511">
        <v>784</v>
      </c>
      <c r="V511">
        <v>28.7181</v>
      </c>
      <c r="W511">
        <v>521.66999999999996</v>
      </c>
      <c r="X511">
        <v>0</v>
      </c>
      <c r="Y511">
        <v>0</v>
      </c>
      <c r="Z511">
        <v>22514.99</v>
      </c>
      <c r="AA511">
        <v>23036.66</v>
      </c>
      <c r="AB511" s="12" t="s">
        <v>530</v>
      </c>
      <c r="AC511">
        <v>28.7181</v>
      </c>
      <c r="AD511">
        <v>1</v>
      </c>
      <c r="AE511">
        <v>1</v>
      </c>
      <c r="AF511">
        <v>0</v>
      </c>
      <c r="AG511">
        <v>22514.99</v>
      </c>
      <c r="AH511">
        <v>784</v>
      </c>
      <c r="AI511">
        <v>781</v>
      </c>
      <c r="AJ511">
        <v>3</v>
      </c>
      <c r="AK511">
        <v>1</v>
      </c>
      <c r="AL511">
        <v>1</v>
      </c>
      <c r="AM511">
        <v>99.62</v>
      </c>
      <c r="AN511">
        <v>29.496400000000001</v>
      </c>
      <c r="AO511">
        <v>86.15</v>
      </c>
      <c r="AP511" s="13">
        <v>45100</v>
      </c>
      <c r="AQ511">
        <v>-2</v>
      </c>
      <c r="AR511">
        <v>1</v>
      </c>
    </row>
    <row r="512" spans="1:44" x14ac:dyDescent="0.35">
      <c r="A512" s="12" t="s">
        <v>1139</v>
      </c>
      <c r="B512" s="12" t="s">
        <v>193</v>
      </c>
      <c r="C512" s="12" t="s">
        <v>194</v>
      </c>
      <c r="D512" s="12" t="s">
        <v>114</v>
      </c>
      <c r="E512" s="12" t="s">
        <v>65</v>
      </c>
      <c r="F512">
        <v>3</v>
      </c>
      <c r="G512">
        <v>4</v>
      </c>
      <c r="H512">
        <v>0</v>
      </c>
      <c r="I512" s="12" t="s">
        <v>195</v>
      </c>
      <c r="J512" s="12" t="s">
        <v>196</v>
      </c>
      <c r="K512" s="12" t="s">
        <v>117</v>
      </c>
      <c r="L512" s="12" t="s">
        <v>134</v>
      </c>
      <c r="M512">
        <v>4.7699999999999996</v>
      </c>
      <c r="N512" s="12" t="s">
        <v>97</v>
      </c>
      <c r="O512" s="12" t="s">
        <v>98</v>
      </c>
      <c r="P512" s="12" t="s">
        <v>72</v>
      </c>
      <c r="Q512" s="13">
        <v>45077</v>
      </c>
      <c r="R512" s="13">
        <v>45105</v>
      </c>
      <c r="S512">
        <v>2023</v>
      </c>
      <c r="T512" s="12" t="s">
        <v>889</v>
      </c>
      <c r="U512">
        <v>72</v>
      </c>
      <c r="V512">
        <v>107.28270000000001</v>
      </c>
      <c r="W512">
        <v>158.65</v>
      </c>
      <c r="X512">
        <v>0</v>
      </c>
      <c r="Y512">
        <v>0</v>
      </c>
      <c r="Z512">
        <v>7724.35</v>
      </c>
      <c r="AA512">
        <v>7883</v>
      </c>
      <c r="AB512" s="12" t="s">
        <v>197</v>
      </c>
      <c r="AC512">
        <v>107.28270000000001</v>
      </c>
      <c r="AD512">
        <v>1</v>
      </c>
      <c r="AE512">
        <v>1</v>
      </c>
      <c r="AF512">
        <v>0</v>
      </c>
      <c r="AG512">
        <v>7724.35</v>
      </c>
      <c r="AH512">
        <v>72</v>
      </c>
      <c r="AI512">
        <v>70</v>
      </c>
      <c r="AJ512">
        <v>2</v>
      </c>
      <c r="AK512">
        <v>1</v>
      </c>
      <c r="AL512">
        <v>1</v>
      </c>
      <c r="AM512">
        <v>97.22</v>
      </c>
      <c r="AN512">
        <v>112.6143</v>
      </c>
      <c r="AO512">
        <v>214.57</v>
      </c>
      <c r="AP512" s="13">
        <v>45105</v>
      </c>
      <c r="AQ512">
        <v>0</v>
      </c>
      <c r="AR512">
        <v>1</v>
      </c>
    </row>
    <row r="513" spans="1:44" x14ac:dyDescent="0.35">
      <c r="A513" s="12" t="s">
        <v>1140</v>
      </c>
      <c r="B513" s="12" t="s">
        <v>302</v>
      </c>
      <c r="C513" s="12" t="s">
        <v>303</v>
      </c>
      <c r="D513" s="12" t="s">
        <v>78</v>
      </c>
      <c r="E513" s="12" t="s">
        <v>65</v>
      </c>
      <c r="F513">
        <v>2</v>
      </c>
      <c r="G513">
        <v>3</v>
      </c>
      <c r="H513">
        <v>0</v>
      </c>
      <c r="I513" s="12" t="s">
        <v>335</v>
      </c>
      <c r="J513" s="12" t="s">
        <v>336</v>
      </c>
      <c r="K513" s="12" t="s">
        <v>89</v>
      </c>
      <c r="L513" s="12" t="s">
        <v>82</v>
      </c>
      <c r="M513">
        <v>16</v>
      </c>
      <c r="N513" s="12" t="s">
        <v>70</v>
      </c>
      <c r="O513" s="12" t="s">
        <v>71</v>
      </c>
      <c r="P513" s="12" t="s">
        <v>72</v>
      </c>
      <c r="Q513" s="13">
        <v>45077</v>
      </c>
      <c r="R513" s="13">
        <v>45106</v>
      </c>
      <c r="S513">
        <v>2023</v>
      </c>
      <c r="T513" s="12" t="s">
        <v>889</v>
      </c>
      <c r="U513">
        <v>157</v>
      </c>
      <c r="V513">
        <v>144.41300000000001</v>
      </c>
      <c r="W513">
        <v>397.46</v>
      </c>
      <c r="X513">
        <v>0</v>
      </c>
      <c r="Y513">
        <v>0</v>
      </c>
      <c r="Z513">
        <v>22672.84</v>
      </c>
      <c r="AA513">
        <v>23070.3</v>
      </c>
      <c r="AB513" s="12" t="s">
        <v>337</v>
      </c>
      <c r="AC513">
        <v>144.41300000000001</v>
      </c>
      <c r="AD513">
        <v>1</v>
      </c>
      <c r="AE513">
        <v>1</v>
      </c>
      <c r="AF513">
        <v>0</v>
      </c>
      <c r="AG513">
        <v>22672.84</v>
      </c>
      <c r="AH513">
        <v>157</v>
      </c>
      <c r="AI513">
        <v>155</v>
      </c>
      <c r="AJ513">
        <v>2</v>
      </c>
      <c r="AK513">
        <v>1</v>
      </c>
      <c r="AL513">
        <v>1</v>
      </c>
      <c r="AM513">
        <v>98.73</v>
      </c>
      <c r="AN513">
        <v>148.8407</v>
      </c>
      <c r="AO513">
        <v>288.83</v>
      </c>
      <c r="AP513" s="13">
        <v>45104</v>
      </c>
      <c r="AQ513">
        <v>-2</v>
      </c>
      <c r="AR513">
        <v>1</v>
      </c>
    </row>
    <row r="514" spans="1:44" x14ac:dyDescent="0.35">
      <c r="A514" s="12" t="s">
        <v>1141</v>
      </c>
      <c r="B514" s="12" t="s">
        <v>289</v>
      </c>
      <c r="C514" s="12" t="s">
        <v>290</v>
      </c>
      <c r="D514" s="12" t="s">
        <v>175</v>
      </c>
      <c r="E514" s="12" t="s">
        <v>104</v>
      </c>
      <c r="F514">
        <v>3</v>
      </c>
      <c r="G514">
        <v>1</v>
      </c>
      <c r="H514">
        <v>0</v>
      </c>
      <c r="I514" s="12" t="s">
        <v>157</v>
      </c>
      <c r="J514" s="12" t="s">
        <v>158</v>
      </c>
      <c r="K514" s="12" t="s">
        <v>117</v>
      </c>
      <c r="L514" s="12" t="s">
        <v>96</v>
      </c>
      <c r="M514">
        <v>4.72</v>
      </c>
      <c r="N514" s="12" t="s">
        <v>145</v>
      </c>
      <c r="O514" s="12" t="s">
        <v>146</v>
      </c>
      <c r="P514" s="12" t="s">
        <v>109</v>
      </c>
      <c r="Q514" s="13">
        <v>45077</v>
      </c>
      <c r="R514" s="13">
        <v>45095</v>
      </c>
      <c r="S514">
        <v>2023</v>
      </c>
      <c r="T514" s="12" t="s">
        <v>889</v>
      </c>
      <c r="U514">
        <v>61</v>
      </c>
      <c r="V514">
        <v>205.89709999999999</v>
      </c>
      <c r="W514">
        <v>240.34</v>
      </c>
      <c r="X514">
        <v>397.46</v>
      </c>
      <c r="Y514">
        <v>1</v>
      </c>
      <c r="Z514">
        <v>12559.72</v>
      </c>
      <c r="AA514">
        <v>13197.52</v>
      </c>
      <c r="AB514" s="12" t="s">
        <v>291</v>
      </c>
      <c r="AC514">
        <v>194.9136</v>
      </c>
      <c r="AD514">
        <v>1</v>
      </c>
      <c r="AE514">
        <v>1</v>
      </c>
      <c r="AF514">
        <v>669.99</v>
      </c>
      <c r="AG514">
        <v>11889.73</v>
      </c>
      <c r="AH514">
        <v>61</v>
      </c>
      <c r="AI514">
        <v>61</v>
      </c>
      <c r="AJ514">
        <v>0</v>
      </c>
      <c r="AK514">
        <v>1</v>
      </c>
      <c r="AL514">
        <v>1</v>
      </c>
      <c r="AM514">
        <v>100</v>
      </c>
      <c r="AN514">
        <v>216.3528</v>
      </c>
      <c r="AO514">
        <v>0</v>
      </c>
      <c r="AP514" s="13">
        <v>45095</v>
      </c>
      <c r="AQ514">
        <v>0</v>
      </c>
      <c r="AR514">
        <v>1</v>
      </c>
    </row>
    <row r="515" spans="1:44" x14ac:dyDescent="0.35">
      <c r="A515" s="12" t="s">
        <v>1142</v>
      </c>
      <c r="B515" s="12" t="s">
        <v>215</v>
      </c>
      <c r="C515" s="12" t="s">
        <v>216</v>
      </c>
      <c r="D515" s="12" t="s">
        <v>122</v>
      </c>
      <c r="E515" s="12" t="s">
        <v>142</v>
      </c>
      <c r="F515">
        <v>3</v>
      </c>
      <c r="G515">
        <v>11</v>
      </c>
      <c r="H515">
        <v>0</v>
      </c>
      <c r="I515" s="12" t="s">
        <v>217</v>
      </c>
      <c r="J515" s="12" t="s">
        <v>218</v>
      </c>
      <c r="K515" s="12" t="s">
        <v>68</v>
      </c>
      <c r="L515" s="12" t="s">
        <v>82</v>
      </c>
      <c r="M515">
        <v>14.24</v>
      </c>
      <c r="N515" s="12" t="s">
        <v>70</v>
      </c>
      <c r="O515" s="12" t="s">
        <v>71</v>
      </c>
      <c r="P515" s="12" t="s">
        <v>72</v>
      </c>
      <c r="Q515" s="13">
        <v>45077</v>
      </c>
      <c r="R515" s="13">
        <v>45125</v>
      </c>
      <c r="S515">
        <v>2023</v>
      </c>
      <c r="T515" s="12" t="s">
        <v>889</v>
      </c>
      <c r="U515">
        <v>1502</v>
      </c>
      <c r="V515">
        <v>15.462199999999999</v>
      </c>
      <c r="W515">
        <v>498.73</v>
      </c>
      <c r="X515">
        <v>0</v>
      </c>
      <c r="Y515">
        <v>0</v>
      </c>
      <c r="Z515">
        <v>23224.22</v>
      </c>
      <c r="AA515">
        <v>23722.95</v>
      </c>
      <c r="AB515" s="12" t="s">
        <v>219</v>
      </c>
      <c r="AC515">
        <v>15.462199999999999</v>
      </c>
      <c r="AD515">
        <v>1</v>
      </c>
      <c r="AE515">
        <v>1</v>
      </c>
      <c r="AF515">
        <v>0</v>
      </c>
      <c r="AG515">
        <v>23224.22</v>
      </c>
      <c r="AH515">
        <v>1502</v>
      </c>
      <c r="AI515">
        <v>1494</v>
      </c>
      <c r="AJ515">
        <v>8</v>
      </c>
      <c r="AK515">
        <v>1</v>
      </c>
      <c r="AL515">
        <v>1</v>
      </c>
      <c r="AM515">
        <v>99.47</v>
      </c>
      <c r="AN515">
        <v>15.8788</v>
      </c>
      <c r="AO515">
        <v>123.7</v>
      </c>
      <c r="AP515" s="13">
        <v>45123</v>
      </c>
      <c r="AQ515">
        <v>-2</v>
      </c>
      <c r="AR515">
        <v>1</v>
      </c>
    </row>
    <row r="516" spans="1:44" x14ac:dyDescent="0.35">
      <c r="A516" s="12" t="s">
        <v>1143</v>
      </c>
      <c r="B516" s="12" t="s">
        <v>391</v>
      </c>
      <c r="C516" s="12" t="s">
        <v>392</v>
      </c>
      <c r="D516" s="12" t="s">
        <v>114</v>
      </c>
      <c r="E516" s="12" t="s">
        <v>65</v>
      </c>
      <c r="F516">
        <v>2</v>
      </c>
      <c r="G516">
        <v>2</v>
      </c>
      <c r="H516">
        <v>0</v>
      </c>
      <c r="I516" s="12" t="s">
        <v>195</v>
      </c>
      <c r="J516" s="12" t="s">
        <v>196</v>
      </c>
      <c r="K516" s="12" t="s">
        <v>117</v>
      </c>
      <c r="L516" s="12" t="s">
        <v>134</v>
      </c>
      <c r="M516">
        <v>4.7699999999999996</v>
      </c>
      <c r="N516" s="12" t="s">
        <v>97</v>
      </c>
      <c r="O516" s="12" t="s">
        <v>98</v>
      </c>
      <c r="P516" s="12" t="s">
        <v>72</v>
      </c>
      <c r="Q516" s="13">
        <v>45077</v>
      </c>
      <c r="R516" s="13">
        <v>45107</v>
      </c>
      <c r="S516">
        <v>2023</v>
      </c>
      <c r="T516" s="12" t="s">
        <v>889</v>
      </c>
      <c r="U516">
        <v>85</v>
      </c>
      <c r="V516">
        <v>223.56530000000001</v>
      </c>
      <c r="W516">
        <v>300.64</v>
      </c>
      <c r="X516">
        <v>0</v>
      </c>
      <c r="Y516">
        <v>0</v>
      </c>
      <c r="Z516">
        <v>19003.05</v>
      </c>
      <c r="AA516">
        <v>19303.689999999999</v>
      </c>
      <c r="AB516" s="12" t="s">
        <v>1144</v>
      </c>
      <c r="AC516">
        <v>223.56530000000001</v>
      </c>
      <c r="AD516">
        <v>1</v>
      </c>
      <c r="AE516">
        <v>1</v>
      </c>
      <c r="AF516">
        <v>0</v>
      </c>
      <c r="AG516">
        <v>19003.05</v>
      </c>
      <c r="AH516">
        <v>85</v>
      </c>
      <c r="AI516">
        <v>84</v>
      </c>
      <c r="AJ516">
        <v>1</v>
      </c>
      <c r="AK516">
        <v>1</v>
      </c>
      <c r="AL516">
        <v>1</v>
      </c>
      <c r="AM516">
        <v>98.82</v>
      </c>
      <c r="AN516">
        <v>229.8058</v>
      </c>
      <c r="AO516">
        <v>223.57</v>
      </c>
      <c r="AP516" s="13">
        <v>45107</v>
      </c>
      <c r="AQ516">
        <v>0</v>
      </c>
      <c r="AR516">
        <v>1</v>
      </c>
    </row>
    <row r="517" spans="1:44" x14ac:dyDescent="0.35">
      <c r="A517" s="12" t="s">
        <v>1145</v>
      </c>
      <c r="B517" s="12" t="s">
        <v>323</v>
      </c>
      <c r="C517" s="12" t="s">
        <v>324</v>
      </c>
      <c r="D517" s="12" t="s">
        <v>64</v>
      </c>
      <c r="E517" s="12" t="s">
        <v>142</v>
      </c>
      <c r="F517">
        <v>1</v>
      </c>
      <c r="G517">
        <v>7</v>
      </c>
      <c r="H517">
        <v>1</v>
      </c>
      <c r="I517" s="12" t="s">
        <v>143</v>
      </c>
      <c r="J517" s="12" t="s">
        <v>144</v>
      </c>
      <c r="K517" s="12" t="s">
        <v>133</v>
      </c>
      <c r="L517" s="12" t="s">
        <v>96</v>
      </c>
      <c r="M517">
        <v>5.43</v>
      </c>
      <c r="N517" s="12" t="s">
        <v>70</v>
      </c>
      <c r="O517" s="12" t="s">
        <v>71</v>
      </c>
      <c r="P517" s="12" t="s">
        <v>72</v>
      </c>
      <c r="Q517" s="13">
        <v>45077</v>
      </c>
      <c r="R517" s="13">
        <v>45118</v>
      </c>
      <c r="S517">
        <v>2023</v>
      </c>
      <c r="T517" s="12" t="s">
        <v>889</v>
      </c>
      <c r="U517">
        <v>416</v>
      </c>
      <c r="V517">
        <v>39.503399999999999</v>
      </c>
      <c r="W517">
        <v>179.72</v>
      </c>
      <c r="X517">
        <v>0</v>
      </c>
      <c r="Y517">
        <v>0</v>
      </c>
      <c r="Z517">
        <v>16433.41</v>
      </c>
      <c r="AA517">
        <v>16613.13</v>
      </c>
      <c r="AB517" s="12" t="s">
        <v>325</v>
      </c>
      <c r="AC517">
        <v>39.503399999999999</v>
      </c>
      <c r="AD517">
        <v>1</v>
      </c>
      <c r="AE517">
        <v>1</v>
      </c>
      <c r="AF517">
        <v>0</v>
      </c>
      <c r="AG517">
        <v>16433.41</v>
      </c>
      <c r="AH517">
        <v>416</v>
      </c>
      <c r="AI517">
        <v>413</v>
      </c>
      <c r="AJ517">
        <v>3</v>
      </c>
      <c r="AK517">
        <v>1</v>
      </c>
      <c r="AL517">
        <v>1</v>
      </c>
      <c r="AM517">
        <v>99.28</v>
      </c>
      <c r="AN517">
        <v>40.225499999999997</v>
      </c>
      <c r="AO517">
        <v>118.51</v>
      </c>
      <c r="AP517" s="13">
        <v>45115</v>
      </c>
      <c r="AQ517">
        <v>-3</v>
      </c>
      <c r="AR517">
        <v>1</v>
      </c>
    </row>
    <row r="518" spans="1:44" x14ac:dyDescent="0.35">
      <c r="A518" s="12" t="s">
        <v>1146</v>
      </c>
      <c r="B518" s="12" t="s">
        <v>347</v>
      </c>
      <c r="C518" s="12" t="s">
        <v>348</v>
      </c>
      <c r="D518" s="12" t="s">
        <v>78</v>
      </c>
      <c r="E518" s="12" t="s">
        <v>104</v>
      </c>
      <c r="F518">
        <v>3</v>
      </c>
      <c r="G518">
        <v>1</v>
      </c>
      <c r="H518">
        <v>0</v>
      </c>
      <c r="I518" s="12" t="s">
        <v>87</v>
      </c>
      <c r="J518" s="12" t="s">
        <v>88</v>
      </c>
      <c r="K518" s="12" t="s">
        <v>89</v>
      </c>
      <c r="L518" s="12" t="s">
        <v>69</v>
      </c>
      <c r="M518">
        <v>14.93</v>
      </c>
      <c r="N518" s="12" t="s">
        <v>97</v>
      </c>
      <c r="O518" s="12" t="s">
        <v>98</v>
      </c>
      <c r="P518" s="12" t="s">
        <v>72</v>
      </c>
      <c r="Q518" s="13">
        <v>45078</v>
      </c>
      <c r="R518" s="13">
        <v>45100</v>
      </c>
      <c r="S518">
        <v>2023</v>
      </c>
      <c r="T518" s="12" t="s">
        <v>1147</v>
      </c>
      <c r="U518">
        <v>192</v>
      </c>
      <c r="V518">
        <v>108.72</v>
      </c>
      <c r="W518">
        <v>532.84</v>
      </c>
      <c r="X518">
        <v>0</v>
      </c>
      <c r="Y518">
        <v>0</v>
      </c>
      <c r="Z518">
        <v>20874.240000000002</v>
      </c>
      <c r="AA518">
        <v>21407.08</v>
      </c>
      <c r="AB518" s="12" t="s">
        <v>201</v>
      </c>
      <c r="AD518">
        <v>0</v>
      </c>
      <c r="AE518">
        <v>0</v>
      </c>
      <c r="AH518">
        <v>192</v>
      </c>
      <c r="AI518">
        <v>189</v>
      </c>
      <c r="AJ518">
        <v>3</v>
      </c>
      <c r="AK518">
        <v>1</v>
      </c>
      <c r="AL518">
        <v>1</v>
      </c>
      <c r="AM518">
        <v>98.44</v>
      </c>
      <c r="AN518">
        <v>113.265</v>
      </c>
      <c r="AO518">
        <v>326.16000000000003</v>
      </c>
      <c r="AP518" s="13">
        <v>45097</v>
      </c>
      <c r="AQ518">
        <v>-3</v>
      </c>
      <c r="AR518">
        <v>1</v>
      </c>
    </row>
    <row r="519" spans="1:44" x14ac:dyDescent="0.35">
      <c r="A519" s="12" t="s">
        <v>1148</v>
      </c>
      <c r="B519" s="12" t="s">
        <v>513</v>
      </c>
      <c r="C519" s="12" t="s">
        <v>514</v>
      </c>
      <c r="D519" s="12" t="s">
        <v>269</v>
      </c>
      <c r="E519" s="12" t="s">
        <v>65</v>
      </c>
      <c r="F519">
        <v>1</v>
      </c>
      <c r="G519">
        <v>2</v>
      </c>
      <c r="H519">
        <v>1</v>
      </c>
      <c r="I519" s="12" t="s">
        <v>515</v>
      </c>
      <c r="J519" s="12" t="s">
        <v>516</v>
      </c>
      <c r="K519" s="12" t="s">
        <v>68</v>
      </c>
      <c r="L519" s="12" t="s">
        <v>134</v>
      </c>
      <c r="M519">
        <v>3.69</v>
      </c>
      <c r="N519" s="12" t="s">
        <v>135</v>
      </c>
      <c r="O519" s="12" t="s">
        <v>136</v>
      </c>
      <c r="P519" s="12" t="s">
        <v>137</v>
      </c>
      <c r="Q519" s="13">
        <v>45078</v>
      </c>
      <c r="R519" s="13">
        <v>45116</v>
      </c>
      <c r="S519">
        <v>2023</v>
      </c>
      <c r="T519" s="12" t="s">
        <v>1147</v>
      </c>
      <c r="U519">
        <v>148</v>
      </c>
      <c r="V519">
        <v>229.3486</v>
      </c>
      <c r="W519">
        <v>394.72</v>
      </c>
      <c r="X519">
        <v>0</v>
      </c>
      <c r="Y519">
        <v>0</v>
      </c>
      <c r="Z519">
        <v>33943.589999999997</v>
      </c>
      <c r="AA519">
        <v>34338.31</v>
      </c>
      <c r="AB519" s="12" t="s">
        <v>517</v>
      </c>
      <c r="AC519">
        <v>229.3486</v>
      </c>
      <c r="AD519">
        <v>1</v>
      </c>
      <c r="AE519">
        <v>1</v>
      </c>
      <c r="AF519">
        <v>0</v>
      </c>
      <c r="AG519">
        <v>33943.589999999997</v>
      </c>
      <c r="AH519">
        <v>148</v>
      </c>
      <c r="AI519">
        <v>146</v>
      </c>
      <c r="AJ519">
        <v>2</v>
      </c>
      <c r="AK519">
        <v>1</v>
      </c>
      <c r="AL519">
        <v>1</v>
      </c>
      <c r="AM519">
        <v>98.65</v>
      </c>
      <c r="AN519">
        <v>235.19390000000001</v>
      </c>
      <c r="AO519">
        <v>458.7</v>
      </c>
      <c r="AP519" s="13">
        <v>45114</v>
      </c>
      <c r="AQ519">
        <v>-2</v>
      </c>
      <c r="AR519">
        <v>1</v>
      </c>
    </row>
    <row r="520" spans="1:44" x14ac:dyDescent="0.35">
      <c r="A520" s="12" t="s">
        <v>1149</v>
      </c>
      <c r="B520" s="12" t="s">
        <v>76</v>
      </c>
      <c r="C520" s="12" t="s">
        <v>77</v>
      </c>
      <c r="D520" s="12" t="s">
        <v>78</v>
      </c>
      <c r="E520" s="12" t="s">
        <v>65</v>
      </c>
      <c r="F520">
        <v>2</v>
      </c>
      <c r="G520">
        <v>4</v>
      </c>
      <c r="H520">
        <v>0</v>
      </c>
      <c r="I520" s="12" t="s">
        <v>79</v>
      </c>
      <c r="J520" s="12" t="s">
        <v>80</v>
      </c>
      <c r="K520" s="12" t="s">
        <v>81</v>
      </c>
      <c r="L520" s="12" t="s">
        <v>82</v>
      </c>
      <c r="M520">
        <v>12.07</v>
      </c>
      <c r="N520" s="12" t="s">
        <v>97</v>
      </c>
      <c r="O520" s="12" t="s">
        <v>98</v>
      </c>
      <c r="P520" s="12" t="s">
        <v>72</v>
      </c>
      <c r="Q520" s="13">
        <v>45078</v>
      </c>
      <c r="R520" s="13">
        <v>45102</v>
      </c>
      <c r="S520">
        <v>2023</v>
      </c>
      <c r="T520" s="12" t="s">
        <v>1147</v>
      </c>
      <c r="U520">
        <v>91</v>
      </c>
      <c r="V520">
        <v>45.991</v>
      </c>
      <c r="W520">
        <v>58.36</v>
      </c>
      <c r="X520">
        <v>0</v>
      </c>
      <c r="Y520">
        <v>0</v>
      </c>
      <c r="Z520">
        <v>4185.18</v>
      </c>
      <c r="AA520">
        <v>4243.54</v>
      </c>
      <c r="AB520" s="12" t="s">
        <v>83</v>
      </c>
      <c r="AC520">
        <v>45.991</v>
      </c>
      <c r="AD520">
        <v>1</v>
      </c>
      <c r="AE520">
        <v>1</v>
      </c>
      <c r="AF520">
        <v>0</v>
      </c>
      <c r="AG520">
        <v>4185.18</v>
      </c>
      <c r="AH520">
        <v>91</v>
      </c>
      <c r="AI520">
        <v>91</v>
      </c>
      <c r="AJ520">
        <v>0</v>
      </c>
      <c r="AK520">
        <v>1</v>
      </c>
      <c r="AL520">
        <v>1</v>
      </c>
      <c r="AM520">
        <v>100</v>
      </c>
      <c r="AN520">
        <v>46.632300000000001</v>
      </c>
      <c r="AO520">
        <v>0</v>
      </c>
      <c r="AP520" s="13">
        <v>45100</v>
      </c>
      <c r="AQ520">
        <v>-2</v>
      </c>
      <c r="AR520">
        <v>1</v>
      </c>
    </row>
    <row r="521" spans="1:44" x14ac:dyDescent="0.35">
      <c r="A521" s="12" t="s">
        <v>1150</v>
      </c>
      <c r="B521" s="12" t="s">
        <v>1068</v>
      </c>
      <c r="C521" s="12" t="s">
        <v>1069</v>
      </c>
      <c r="D521" s="12" t="s">
        <v>122</v>
      </c>
      <c r="E521" s="12" t="s">
        <v>65</v>
      </c>
      <c r="F521">
        <v>2</v>
      </c>
      <c r="G521">
        <v>2</v>
      </c>
      <c r="H521">
        <v>0</v>
      </c>
      <c r="I521" s="12" t="s">
        <v>79</v>
      </c>
      <c r="J521" s="12" t="s">
        <v>80</v>
      </c>
      <c r="K521" s="12" t="s">
        <v>81</v>
      </c>
      <c r="L521" s="12" t="s">
        <v>82</v>
      </c>
      <c r="M521">
        <v>12.07</v>
      </c>
      <c r="N521" s="12" t="s">
        <v>70</v>
      </c>
      <c r="O521" s="12" t="s">
        <v>71</v>
      </c>
      <c r="P521" s="12" t="s">
        <v>72</v>
      </c>
      <c r="Q521" s="13">
        <v>45078</v>
      </c>
      <c r="R521" s="13">
        <v>45115</v>
      </c>
      <c r="S521">
        <v>2023</v>
      </c>
      <c r="T521" s="12" t="s">
        <v>1147</v>
      </c>
      <c r="U521">
        <v>1852</v>
      </c>
      <c r="V521">
        <v>21.667100000000001</v>
      </c>
      <c r="W521">
        <v>332.62</v>
      </c>
      <c r="X521">
        <v>0</v>
      </c>
      <c r="Y521">
        <v>0</v>
      </c>
      <c r="Z521">
        <v>40127.47</v>
      </c>
      <c r="AA521">
        <v>40460.089999999997</v>
      </c>
      <c r="AB521" s="12" t="s">
        <v>1070</v>
      </c>
      <c r="AC521">
        <v>21.667100000000001</v>
      </c>
      <c r="AD521">
        <v>1</v>
      </c>
      <c r="AE521">
        <v>1</v>
      </c>
      <c r="AF521">
        <v>0</v>
      </c>
      <c r="AG521">
        <v>40127.47</v>
      </c>
      <c r="AH521">
        <v>1852</v>
      </c>
      <c r="AI521">
        <v>1836</v>
      </c>
      <c r="AJ521">
        <v>16</v>
      </c>
      <c r="AK521">
        <v>1</v>
      </c>
      <c r="AL521">
        <v>1</v>
      </c>
      <c r="AM521">
        <v>99.14</v>
      </c>
      <c r="AN521">
        <v>22.037099999999999</v>
      </c>
      <c r="AO521">
        <v>346.67</v>
      </c>
      <c r="AP521" s="13">
        <v>45112</v>
      </c>
      <c r="AQ521">
        <v>-3</v>
      </c>
      <c r="AR521">
        <v>1</v>
      </c>
    </row>
    <row r="522" spans="1:44" x14ac:dyDescent="0.35">
      <c r="A522" s="12" t="s">
        <v>1151</v>
      </c>
      <c r="B522" s="12" t="s">
        <v>617</v>
      </c>
      <c r="C522" s="12" t="s">
        <v>618</v>
      </c>
      <c r="D522" s="12" t="s">
        <v>78</v>
      </c>
      <c r="E522" s="12" t="s">
        <v>65</v>
      </c>
      <c r="F522">
        <v>2</v>
      </c>
      <c r="G522">
        <v>4</v>
      </c>
      <c r="H522">
        <v>0</v>
      </c>
      <c r="I522" s="12" t="s">
        <v>341</v>
      </c>
      <c r="J522" s="12" t="s">
        <v>342</v>
      </c>
      <c r="K522" s="12" t="s">
        <v>117</v>
      </c>
      <c r="L522" s="12" t="s">
        <v>82</v>
      </c>
      <c r="M522">
        <v>18.36</v>
      </c>
      <c r="N522" s="12" t="s">
        <v>70</v>
      </c>
      <c r="O522" s="12" t="s">
        <v>71</v>
      </c>
      <c r="P522" s="12" t="s">
        <v>72</v>
      </c>
      <c r="Q522" s="13">
        <v>45078</v>
      </c>
      <c r="R522" s="13">
        <v>45114</v>
      </c>
      <c r="S522">
        <v>2023</v>
      </c>
      <c r="T522" s="12" t="s">
        <v>1147</v>
      </c>
      <c r="U522">
        <v>268</v>
      </c>
      <c r="V522">
        <v>108.2711</v>
      </c>
      <c r="W522">
        <v>597.82000000000005</v>
      </c>
      <c r="X522">
        <v>0</v>
      </c>
      <c r="Y522">
        <v>0</v>
      </c>
      <c r="Z522">
        <v>29016.65</v>
      </c>
      <c r="AA522">
        <v>29614.47</v>
      </c>
      <c r="AB522" s="12" t="s">
        <v>619</v>
      </c>
      <c r="AC522">
        <v>108.2711</v>
      </c>
      <c r="AD522">
        <v>1</v>
      </c>
      <c r="AE522">
        <v>1</v>
      </c>
      <c r="AF522">
        <v>0</v>
      </c>
      <c r="AG522">
        <v>29016.65</v>
      </c>
      <c r="AH522">
        <v>268</v>
      </c>
      <c r="AI522">
        <v>267</v>
      </c>
      <c r="AJ522">
        <v>1</v>
      </c>
      <c r="AK522">
        <v>1</v>
      </c>
      <c r="AL522">
        <v>1</v>
      </c>
      <c r="AM522">
        <v>99.63</v>
      </c>
      <c r="AN522">
        <v>110.9156</v>
      </c>
      <c r="AO522">
        <v>108.27</v>
      </c>
      <c r="AP522" s="13">
        <v>45114</v>
      </c>
      <c r="AQ522">
        <v>0</v>
      </c>
      <c r="AR522">
        <v>1</v>
      </c>
    </row>
    <row r="523" spans="1:44" x14ac:dyDescent="0.35">
      <c r="A523" s="12" t="s">
        <v>1152</v>
      </c>
      <c r="B523" s="12" t="s">
        <v>442</v>
      </c>
      <c r="C523" s="12" t="s">
        <v>443</v>
      </c>
      <c r="D523" s="12" t="s">
        <v>130</v>
      </c>
      <c r="E523" s="12" t="s">
        <v>65</v>
      </c>
      <c r="F523">
        <v>3</v>
      </c>
      <c r="G523">
        <v>4</v>
      </c>
      <c r="H523">
        <v>0</v>
      </c>
      <c r="I523" s="12" t="s">
        <v>251</v>
      </c>
      <c r="J523" s="12" t="s">
        <v>252</v>
      </c>
      <c r="K523" s="12" t="s">
        <v>133</v>
      </c>
      <c r="L523" s="12" t="s">
        <v>69</v>
      </c>
      <c r="M523">
        <v>34.49</v>
      </c>
      <c r="N523" s="12" t="s">
        <v>135</v>
      </c>
      <c r="O523" s="12" t="s">
        <v>136</v>
      </c>
      <c r="P523" s="12" t="s">
        <v>137</v>
      </c>
      <c r="Q523" s="13">
        <v>45078</v>
      </c>
      <c r="R523" s="13">
        <v>45100</v>
      </c>
      <c r="S523">
        <v>2023</v>
      </c>
      <c r="T523" s="12" t="s">
        <v>1147</v>
      </c>
      <c r="U523">
        <v>24</v>
      </c>
      <c r="V523">
        <v>610.72789999999998</v>
      </c>
      <c r="W523">
        <v>128.93</v>
      </c>
      <c r="X523">
        <v>0</v>
      </c>
      <c r="Y523">
        <v>0</v>
      </c>
      <c r="Z523">
        <v>14657.47</v>
      </c>
      <c r="AA523">
        <v>14786.4</v>
      </c>
      <c r="AB523" s="12" t="s">
        <v>444</v>
      </c>
      <c r="AC523">
        <v>610.72789999999998</v>
      </c>
      <c r="AD523">
        <v>1</v>
      </c>
      <c r="AE523">
        <v>1</v>
      </c>
      <c r="AF523">
        <v>0</v>
      </c>
      <c r="AG523">
        <v>14657.47</v>
      </c>
      <c r="AH523">
        <v>24</v>
      </c>
      <c r="AI523">
        <v>24</v>
      </c>
      <c r="AJ523">
        <v>0</v>
      </c>
      <c r="AK523">
        <v>1</v>
      </c>
      <c r="AL523">
        <v>1</v>
      </c>
      <c r="AM523">
        <v>100</v>
      </c>
      <c r="AN523">
        <v>616.1</v>
      </c>
      <c r="AO523">
        <v>0</v>
      </c>
      <c r="AP523" s="13">
        <v>45100</v>
      </c>
      <c r="AQ523">
        <v>0</v>
      </c>
      <c r="AR523">
        <v>1</v>
      </c>
    </row>
    <row r="524" spans="1:44" x14ac:dyDescent="0.35">
      <c r="A524" s="12" t="s">
        <v>1153</v>
      </c>
      <c r="B524" s="12" t="s">
        <v>519</v>
      </c>
      <c r="C524" s="12" t="s">
        <v>520</v>
      </c>
      <c r="D524" s="12" t="s">
        <v>78</v>
      </c>
      <c r="E524" s="12" t="s">
        <v>65</v>
      </c>
      <c r="F524">
        <v>2</v>
      </c>
      <c r="G524">
        <v>3</v>
      </c>
      <c r="H524">
        <v>0</v>
      </c>
      <c r="I524" s="12" t="s">
        <v>143</v>
      </c>
      <c r="J524" s="12" t="s">
        <v>144</v>
      </c>
      <c r="K524" s="12" t="s">
        <v>133</v>
      </c>
      <c r="L524" s="12" t="s">
        <v>96</v>
      </c>
      <c r="M524">
        <v>5.43</v>
      </c>
      <c r="N524" s="12" t="s">
        <v>70</v>
      </c>
      <c r="O524" s="12" t="s">
        <v>71</v>
      </c>
      <c r="P524" s="12" t="s">
        <v>72</v>
      </c>
      <c r="Q524" s="13">
        <v>45078</v>
      </c>
      <c r="R524" s="13">
        <v>45105</v>
      </c>
      <c r="S524">
        <v>2023</v>
      </c>
      <c r="T524" s="12" t="s">
        <v>1147</v>
      </c>
      <c r="U524">
        <v>138</v>
      </c>
      <c r="V524">
        <v>31.7883</v>
      </c>
      <c r="W524">
        <v>74.37</v>
      </c>
      <c r="X524">
        <v>0</v>
      </c>
      <c r="Y524">
        <v>0</v>
      </c>
      <c r="Z524">
        <v>4386.79</v>
      </c>
      <c r="AA524">
        <v>4461.16</v>
      </c>
      <c r="AB524" s="12" t="s">
        <v>1154</v>
      </c>
      <c r="AC524">
        <v>31.7883</v>
      </c>
      <c r="AD524">
        <v>1</v>
      </c>
      <c r="AE524">
        <v>1</v>
      </c>
      <c r="AF524">
        <v>0</v>
      </c>
      <c r="AG524">
        <v>4386.79</v>
      </c>
      <c r="AH524">
        <v>138</v>
      </c>
      <c r="AI524">
        <v>135</v>
      </c>
      <c r="AJ524">
        <v>3</v>
      </c>
      <c r="AK524">
        <v>1</v>
      </c>
      <c r="AL524">
        <v>1</v>
      </c>
      <c r="AM524">
        <v>97.83</v>
      </c>
      <c r="AN524">
        <v>33.0456</v>
      </c>
      <c r="AO524">
        <v>95.36</v>
      </c>
      <c r="AP524" s="13">
        <v>45101</v>
      </c>
      <c r="AQ524">
        <v>-4</v>
      </c>
      <c r="AR524">
        <v>1</v>
      </c>
    </row>
    <row r="525" spans="1:44" x14ac:dyDescent="0.35">
      <c r="A525" s="12" t="s">
        <v>1155</v>
      </c>
      <c r="B525" s="12" t="s">
        <v>339</v>
      </c>
      <c r="C525" s="12" t="s">
        <v>340</v>
      </c>
      <c r="D525" s="12" t="s">
        <v>103</v>
      </c>
      <c r="E525" s="12" t="s">
        <v>142</v>
      </c>
      <c r="F525">
        <v>2</v>
      </c>
      <c r="G525">
        <v>9</v>
      </c>
      <c r="H525">
        <v>0</v>
      </c>
      <c r="I525" s="12" t="s">
        <v>169</v>
      </c>
      <c r="J525" s="12" t="s">
        <v>170</v>
      </c>
      <c r="K525" s="12" t="s">
        <v>89</v>
      </c>
      <c r="L525" s="12" t="s">
        <v>134</v>
      </c>
      <c r="M525">
        <v>1.37</v>
      </c>
      <c r="N525" s="12" t="s">
        <v>145</v>
      </c>
      <c r="O525" s="12" t="s">
        <v>146</v>
      </c>
      <c r="P525" s="12" t="s">
        <v>109</v>
      </c>
      <c r="Q525" s="13">
        <v>45078</v>
      </c>
      <c r="R525" s="13">
        <v>45115</v>
      </c>
      <c r="S525">
        <v>2023</v>
      </c>
      <c r="T525" s="12" t="s">
        <v>1147</v>
      </c>
      <c r="U525">
        <v>30</v>
      </c>
      <c r="V525">
        <v>235.0805</v>
      </c>
      <c r="W525">
        <v>59.67</v>
      </c>
      <c r="X525">
        <v>0</v>
      </c>
      <c r="Y525">
        <v>0</v>
      </c>
      <c r="Z525">
        <v>7052.42</v>
      </c>
      <c r="AA525">
        <v>7112.09</v>
      </c>
      <c r="AB525" s="12" t="s">
        <v>345</v>
      </c>
      <c r="AC525">
        <v>249.9879</v>
      </c>
      <c r="AD525">
        <v>1</v>
      </c>
      <c r="AE525">
        <v>1</v>
      </c>
      <c r="AF525">
        <v>-447.22</v>
      </c>
      <c r="AG525">
        <v>7499.64</v>
      </c>
      <c r="AH525">
        <v>30</v>
      </c>
      <c r="AI525">
        <v>30</v>
      </c>
      <c r="AJ525">
        <v>0</v>
      </c>
      <c r="AK525">
        <v>1</v>
      </c>
      <c r="AL525">
        <v>1</v>
      </c>
      <c r="AM525">
        <v>100</v>
      </c>
      <c r="AN525">
        <v>237.06950000000001</v>
      </c>
      <c r="AO525">
        <v>0</v>
      </c>
      <c r="AP525" s="13">
        <v>45114</v>
      </c>
      <c r="AQ525">
        <v>-1</v>
      </c>
      <c r="AR525">
        <v>1</v>
      </c>
    </row>
    <row r="526" spans="1:44" x14ac:dyDescent="0.35">
      <c r="A526" s="12" t="s">
        <v>1156</v>
      </c>
      <c r="B526" s="12" t="s">
        <v>458</v>
      </c>
      <c r="C526" s="12" t="s">
        <v>459</v>
      </c>
      <c r="D526" s="12" t="s">
        <v>64</v>
      </c>
      <c r="E526" s="12" t="s">
        <v>104</v>
      </c>
      <c r="F526">
        <v>2</v>
      </c>
      <c r="G526">
        <v>0</v>
      </c>
      <c r="H526">
        <v>0</v>
      </c>
      <c r="I526" s="12" t="s">
        <v>199</v>
      </c>
      <c r="J526" s="12" t="s">
        <v>200</v>
      </c>
      <c r="K526" s="12" t="s">
        <v>68</v>
      </c>
      <c r="L526" s="12" t="s">
        <v>96</v>
      </c>
      <c r="M526">
        <v>9.4700000000000006</v>
      </c>
      <c r="N526" s="12" t="s">
        <v>70</v>
      </c>
      <c r="O526" s="12" t="s">
        <v>71</v>
      </c>
      <c r="P526" s="12" t="s">
        <v>72</v>
      </c>
      <c r="Q526" s="13">
        <v>45078</v>
      </c>
      <c r="R526" s="13">
        <v>45102</v>
      </c>
      <c r="S526">
        <v>2023</v>
      </c>
      <c r="T526" s="12" t="s">
        <v>1147</v>
      </c>
      <c r="U526">
        <v>735</v>
      </c>
      <c r="V526">
        <v>23.314800000000002</v>
      </c>
      <c r="W526">
        <v>192.08</v>
      </c>
      <c r="X526">
        <v>0</v>
      </c>
      <c r="Y526">
        <v>0</v>
      </c>
      <c r="Z526">
        <v>17136.38</v>
      </c>
      <c r="AA526">
        <v>17328.46</v>
      </c>
      <c r="AB526" s="12" t="s">
        <v>460</v>
      </c>
      <c r="AC526">
        <v>24.782299999999999</v>
      </c>
      <c r="AD526">
        <v>1</v>
      </c>
      <c r="AE526">
        <v>1</v>
      </c>
      <c r="AF526">
        <v>-1078.6099999999999</v>
      </c>
      <c r="AG526">
        <v>18214.990000000002</v>
      </c>
      <c r="AH526">
        <v>735</v>
      </c>
      <c r="AI526">
        <v>727</v>
      </c>
      <c r="AJ526">
        <v>8</v>
      </c>
      <c r="AK526">
        <v>1</v>
      </c>
      <c r="AL526">
        <v>1</v>
      </c>
      <c r="AM526">
        <v>98.91</v>
      </c>
      <c r="AN526">
        <v>23.835599999999999</v>
      </c>
      <c r="AO526">
        <v>186.52</v>
      </c>
      <c r="AP526" s="13">
        <v>45099</v>
      </c>
      <c r="AQ526">
        <v>-3</v>
      </c>
      <c r="AR526">
        <v>1</v>
      </c>
    </row>
    <row r="527" spans="1:44" x14ac:dyDescent="0.35">
      <c r="A527" s="12" t="s">
        <v>1157</v>
      </c>
      <c r="B527" s="12" t="s">
        <v>736</v>
      </c>
      <c r="C527" s="12" t="s">
        <v>737</v>
      </c>
      <c r="D527" s="12" t="s">
        <v>64</v>
      </c>
      <c r="E527" s="12" t="s">
        <v>104</v>
      </c>
      <c r="F527">
        <v>3</v>
      </c>
      <c r="G527">
        <v>1</v>
      </c>
      <c r="H527">
        <v>0</v>
      </c>
      <c r="I527" s="12" t="s">
        <v>131</v>
      </c>
      <c r="J527" s="12" t="s">
        <v>132</v>
      </c>
      <c r="K527" s="12" t="s">
        <v>133</v>
      </c>
      <c r="L527" s="12" t="s">
        <v>134</v>
      </c>
      <c r="M527">
        <v>1.51</v>
      </c>
      <c r="N527" s="12" t="s">
        <v>97</v>
      </c>
      <c r="O527" s="12" t="s">
        <v>98</v>
      </c>
      <c r="P527" s="12" t="s">
        <v>72</v>
      </c>
      <c r="Q527" s="13">
        <v>45078</v>
      </c>
      <c r="R527" s="13">
        <v>45103</v>
      </c>
      <c r="S527">
        <v>2023</v>
      </c>
      <c r="T527" s="12" t="s">
        <v>1147</v>
      </c>
      <c r="U527">
        <v>767</v>
      </c>
      <c r="V527">
        <v>27.602499999999999</v>
      </c>
      <c r="W527">
        <v>345.21</v>
      </c>
      <c r="X527">
        <v>0</v>
      </c>
      <c r="Y527">
        <v>0</v>
      </c>
      <c r="Z527">
        <v>21171.119999999999</v>
      </c>
      <c r="AA527">
        <v>21516.33</v>
      </c>
      <c r="AB527" s="12" t="s">
        <v>201</v>
      </c>
      <c r="AD527">
        <v>0</v>
      </c>
      <c r="AE527">
        <v>0</v>
      </c>
      <c r="AH527">
        <v>767</v>
      </c>
      <c r="AI527">
        <v>759</v>
      </c>
      <c r="AJ527">
        <v>8</v>
      </c>
      <c r="AK527">
        <v>1</v>
      </c>
      <c r="AL527">
        <v>1</v>
      </c>
      <c r="AM527">
        <v>98.96</v>
      </c>
      <c r="AN527">
        <v>28.348299999999998</v>
      </c>
      <c r="AO527">
        <v>220.82</v>
      </c>
      <c r="AP527" s="13">
        <v>45102</v>
      </c>
      <c r="AQ527">
        <v>-1</v>
      </c>
      <c r="AR527">
        <v>1</v>
      </c>
    </row>
    <row r="528" spans="1:44" x14ac:dyDescent="0.35">
      <c r="A528" s="12" t="s">
        <v>1158</v>
      </c>
      <c r="B528" s="12" t="s">
        <v>308</v>
      </c>
      <c r="C528" s="12" t="s">
        <v>309</v>
      </c>
      <c r="D528" s="12" t="s">
        <v>122</v>
      </c>
      <c r="E528" s="12" t="s">
        <v>142</v>
      </c>
      <c r="F528">
        <v>1</v>
      </c>
      <c r="G528">
        <v>6</v>
      </c>
      <c r="H528">
        <v>1</v>
      </c>
      <c r="I528" s="12" t="s">
        <v>310</v>
      </c>
      <c r="J528" s="12" t="s">
        <v>311</v>
      </c>
      <c r="K528" s="12" t="s">
        <v>81</v>
      </c>
      <c r="L528" s="12" t="s">
        <v>69</v>
      </c>
      <c r="M528">
        <v>28.3</v>
      </c>
      <c r="N528" s="12" t="s">
        <v>70</v>
      </c>
      <c r="O528" s="12" t="s">
        <v>71</v>
      </c>
      <c r="P528" s="12" t="s">
        <v>72</v>
      </c>
      <c r="Q528" s="13">
        <v>45079</v>
      </c>
      <c r="R528" s="13">
        <v>45123</v>
      </c>
      <c r="S528">
        <v>2023</v>
      </c>
      <c r="T528" s="12" t="s">
        <v>1147</v>
      </c>
      <c r="U528">
        <v>1133</v>
      </c>
      <c r="V528">
        <v>59.409700000000001</v>
      </c>
      <c r="W528">
        <v>528.97</v>
      </c>
      <c r="X528">
        <v>0</v>
      </c>
      <c r="Y528">
        <v>0</v>
      </c>
      <c r="Z528">
        <v>67311.19</v>
      </c>
      <c r="AA528">
        <v>67840.160000000003</v>
      </c>
      <c r="AB528" s="12" t="s">
        <v>312</v>
      </c>
      <c r="AC528">
        <v>59.409700000000001</v>
      </c>
      <c r="AD528">
        <v>1</v>
      </c>
      <c r="AE528">
        <v>1</v>
      </c>
      <c r="AF528">
        <v>0</v>
      </c>
      <c r="AG528">
        <v>67311.19</v>
      </c>
      <c r="AH528">
        <v>1133</v>
      </c>
      <c r="AI528">
        <v>1131</v>
      </c>
      <c r="AJ528">
        <v>2</v>
      </c>
      <c r="AK528">
        <v>1</v>
      </c>
      <c r="AL528">
        <v>1</v>
      </c>
      <c r="AM528">
        <v>99.82</v>
      </c>
      <c r="AN528">
        <v>59.982500000000002</v>
      </c>
      <c r="AO528">
        <v>118.82</v>
      </c>
      <c r="AP528" s="13">
        <v>45132</v>
      </c>
      <c r="AQ528">
        <v>9</v>
      </c>
      <c r="AR528">
        <v>0</v>
      </c>
    </row>
    <row r="529" spans="1:44" x14ac:dyDescent="0.35">
      <c r="A529" s="12" t="s">
        <v>1159</v>
      </c>
      <c r="B529" s="12" t="s">
        <v>62</v>
      </c>
      <c r="C529" s="12" t="s">
        <v>63</v>
      </c>
      <c r="D529" s="12" t="s">
        <v>64</v>
      </c>
      <c r="E529" s="12" t="s">
        <v>65</v>
      </c>
      <c r="F529">
        <v>1</v>
      </c>
      <c r="G529">
        <v>2</v>
      </c>
      <c r="H529">
        <v>1</v>
      </c>
      <c r="I529" s="12" t="s">
        <v>66</v>
      </c>
      <c r="J529" s="12" t="s">
        <v>67</v>
      </c>
      <c r="K529" s="12" t="s">
        <v>68</v>
      </c>
      <c r="L529" s="12" t="s">
        <v>69</v>
      </c>
      <c r="M529">
        <v>17.66</v>
      </c>
      <c r="N529" s="12" t="s">
        <v>70</v>
      </c>
      <c r="O529" s="12" t="s">
        <v>71</v>
      </c>
      <c r="P529" s="12" t="s">
        <v>72</v>
      </c>
      <c r="Q529" s="13">
        <v>45079</v>
      </c>
      <c r="R529" s="13">
        <v>45110</v>
      </c>
      <c r="S529">
        <v>2023</v>
      </c>
      <c r="T529" s="12" t="s">
        <v>1147</v>
      </c>
      <c r="U529">
        <v>630</v>
      </c>
      <c r="V529">
        <v>24.687000000000001</v>
      </c>
      <c r="W529">
        <v>221.53</v>
      </c>
      <c r="X529">
        <v>0</v>
      </c>
      <c r="Y529">
        <v>0</v>
      </c>
      <c r="Z529">
        <v>15552.81</v>
      </c>
      <c r="AA529">
        <v>15774.34</v>
      </c>
      <c r="AB529" s="12" t="s">
        <v>74</v>
      </c>
      <c r="AC529">
        <v>24.687000000000001</v>
      </c>
      <c r="AD529">
        <v>1</v>
      </c>
      <c r="AE529">
        <v>1</v>
      </c>
      <c r="AF529">
        <v>0</v>
      </c>
      <c r="AG529">
        <v>15552.81</v>
      </c>
      <c r="AH529">
        <v>630</v>
      </c>
      <c r="AI529">
        <v>621</v>
      </c>
      <c r="AJ529">
        <v>9</v>
      </c>
      <c r="AK529">
        <v>1</v>
      </c>
      <c r="AL529">
        <v>1</v>
      </c>
      <c r="AM529">
        <v>98.57</v>
      </c>
      <c r="AN529">
        <v>25.401499999999999</v>
      </c>
      <c r="AO529">
        <v>222.18</v>
      </c>
      <c r="AP529" s="13">
        <v>45109</v>
      </c>
      <c r="AQ529">
        <v>-1</v>
      </c>
      <c r="AR529">
        <v>1</v>
      </c>
    </row>
    <row r="530" spans="1:44" x14ac:dyDescent="0.35">
      <c r="A530" s="12" t="s">
        <v>1160</v>
      </c>
      <c r="B530" s="12" t="s">
        <v>167</v>
      </c>
      <c r="C530" s="12" t="s">
        <v>168</v>
      </c>
      <c r="D530" s="12" t="s">
        <v>64</v>
      </c>
      <c r="E530" s="12" t="s">
        <v>104</v>
      </c>
      <c r="F530">
        <v>3</v>
      </c>
      <c r="G530">
        <v>1</v>
      </c>
      <c r="H530">
        <v>0</v>
      </c>
      <c r="I530" s="12" t="s">
        <v>169</v>
      </c>
      <c r="J530" s="12" t="s">
        <v>170</v>
      </c>
      <c r="K530" s="12" t="s">
        <v>89</v>
      </c>
      <c r="L530" s="12" t="s">
        <v>134</v>
      </c>
      <c r="M530">
        <v>1.37</v>
      </c>
      <c r="N530" s="12" t="s">
        <v>70</v>
      </c>
      <c r="O530" s="12" t="s">
        <v>71</v>
      </c>
      <c r="P530" s="12" t="s">
        <v>72</v>
      </c>
      <c r="Q530" s="13">
        <v>45079</v>
      </c>
      <c r="R530" s="13">
        <v>45101</v>
      </c>
      <c r="S530">
        <v>2023</v>
      </c>
      <c r="T530" s="12" t="s">
        <v>1147</v>
      </c>
      <c r="U530">
        <v>629</v>
      </c>
      <c r="V530">
        <v>27.074000000000002</v>
      </c>
      <c r="W530">
        <v>255.23</v>
      </c>
      <c r="X530">
        <v>0</v>
      </c>
      <c r="Y530">
        <v>0</v>
      </c>
      <c r="Z530">
        <v>17029.55</v>
      </c>
      <c r="AA530">
        <v>17284.78</v>
      </c>
      <c r="AB530" s="12" t="s">
        <v>171</v>
      </c>
      <c r="AC530">
        <v>28.7181</v>
      </c>
      <c r="AD530">
        <v>1</v>
      </c>
      <c r="AE530">
        <v>1</v>
      </c>
      <c r="AF530">
        <v>-1034.1400000000001</v>
      </c>
      <c r="AG530">
        <v>18063.68</v>
      </c>
      <c r="AH530">
        <v>629</v>
      </c>
      <c r="AI530">
        <v>627</v>
      </c>
      <c r="AJ530">
        <v>2</v>
      </c>
      <c r="AK530">
        <v>1</v>
      </c>
      <c r="AL530">
        <v>1</v>
      </c>
      <c r="AM530">
        <v>99.68</v>
      </c>
      <c r="AN530">
        <v>27.567399999999999</v>
      </c>
      <c r="AO530">
        <v>54.15</v>
      </c>
      <c r="AP530" s="13">
        <v>45101</v>
      </c>
      <c r="AQ530">
        <v>0</v>
      </c>
      <c r="AR530">
        <v>1</v>
      </c>
    </row>
    <row r="531" spans="1:44" x14ac:dyDescent="0.35">
      <c r="A531" s="12" t="s">
        <v>1161</v>
      </c>
      <c r="B531" s="12" t="s">
        <v>442</v>
      </c>
      <c r="C531" s="12" t="s">
        <v>443</v>
      </c>
      <c r="D531" s="12" t="s">
        <v>130</v>
      </c>
      <c r="E531" s="12" t="s">
        <v>65</v>
      </c>
      <c r="F531">
        <v>3</v>
      </c>
      <c r="G531">
        <v>4</v>
      </c>
      <c r="H531">
        <v>0</v>
      </c>
      <c r="I531" s="12" t="s">
        <v>251</v>
      </c>
      <c r="J531" s="12" t="s">
        <v>252</v>
      </c>
      <c r="K531" s="12" t="s">
        <v>133</v>
      </c>
      <c r="L531" s="12" t="s">
        <v>69</v>
      </c>
      <c r="M531">
        <v>34.49</v>
      </c>
      <c r="N531" s="12" t="s">
        <v>135</v>
      </c>
      <c r="O531" s="12" t="s">
        <v>136</v>
      </c>
      <c r="P531" s="12" t="s">
        <v>137</v>
      </c>
      <c r="Q531" s="13">
        <v>45079</v>
      </c>
      <c r="R531" s="13">
        <v>45110</v>
      </c>
      <c r="S531">
        <v>2023</v>
      </c>
      <c r="T531" s="12" t="s">
        <v>1147</v>
      </c>
      <c r="U531">
        <v>91</v>
      </c>
      <c r="V531">
        <v>610.72789999999998</v>
      </c>
      <c r="W531">
        <v>431.8</v>
      </c>
      <c r="X531">
        <v>0</v>
      </c>
      <c r="Y531">
        <v>0</v>
      </c>
      <c r="Z531">
        <v>55576.24</v>
      </c>
      <c r="AA531">
        <v>56008.04</v>
      </c>
      <c r="AB531" s="12" t="s">
        <v>444</v>
      </c>
      <c r="AC531">
        <v>610.72789999999998</v>
      </c>
      <c r="AD531">
        <v>1</v>
      </c>
      <c r="AE531">
        <v>1</v>
      </c>
      <c r="AF531">
        <v>0</v>
      </c>
      <c r="AG531">
        <v>55576.24</v>
      </c>
      <c r="AH531">
        <v>91</v>
      </c>
      <c r="AI531">
        <v>90</v>
      </c>
      <c r="AJ531">
        <v>1</v>
      </c>
      <c r="AK531">
        <v>1</v>
      </c>
      <c r="AL531">
        <v>1</v>
      </c>
      <c r="AM531">
        <v>98.9</v>
      </c>
      <c r="AN531">
        <v>622.31150000000002</v>
      </c>
      <c r="AO531">
        <v>610.73</v>
      </c>
      <c r="AP531" s="13">
        <v>45116</v>
      </c>
      <c r="AQ531">
        <v>6</v>
      </c>
      <c r="AR531">
        <v>0</v>
      </c>
    </row>
    <row r="532" spans="1:44" x14ac:dyDescent="0.35">
      <c r="A532" s="12" t="s">
        <v>1162</v>
      </c>
      <c r="B532" s="12" t="s">
        <v>1075</v>
      </c>
      <c r="C532" s="12" t="s">
        <v>1076</v>
      </c>
      <c r="D532" s="12" t="s">
        <v>103</v>
      </c>
      <c r="E532" s="12" t="s">
        <v>65</v>
      </c>
      <c r="F532">
        <v>2</v>
      </c>
      <c r="G532">
        <v>4</v>
      </c>
      <c r="H532">
        <v>0</v>
      </c>
      <c r="I532" s="12" t="s">
        <v>183</v>
      </c>
      <c r="J532" s="12" t="s">
        <v>184</v>
      </c>
      <c r="K532" s="12" t="s">
        <v>133</v>
      </c>
      <c r="L532" s="12" t="s">
        <v>82</v>
      </c>
      <c r="M532">
        <v>8.6199999999999992</v>
      </c>
      <c r="N532" s="12" t="s">
        <v>107</v>
      </c>
      <c r="O532" s="12" t="s">
        <v>108</v>
      </c>
      <c r="P532" s="12" t="s">
        <v>109</v>
      </c>
      <c r="Q532" s="13">
        <v>45079</v>
      </c>
      <c r="R532" s="13">
        <v>45104</v>
      </c>
      <c r="S532">
        <v>2023</v>
      </c>
      <c r="T532" s="12" t="s">
        <v>1147</v>
      </c>
      <c r="U532">
        <v>43</v>
      </c>
      <c r="V532">
        <v>68.470200000000006</v>
      </c>
      <c r="W532">
        <v>54.74</v>
      </c>
      <c r="X532">
        <v>92.94</v>
      </c>
      <c r="Y532">
        <v>1</v>
      </c>
      <c r="Z532">
        <v>2944.22</v>
      </c>
      <c r="AA532">
        <v>3091.9</v>
      </c>
      <c r="AB532" s="12" t="s">
        <v>1163</v>
      </c>
      <c r="AC532">
        <v>68.470200000000006</v>
      </c>
      <c r="AD532">
        <v>1</v>
      </c>
      <c r="AE532">
        <v>1</v>
      </c>
      <c r="AF532">
        <v>0</v>
      </c>
      <c r="AG532">
        <v>2944.22</v>
      </c>
      <c r="AH532">
        <v>43</v>
      </c>
      <c r="AI532">
        <v>43</v>
      </c>
      <c r="AJ532">
        <v>0</v>
      </c>
      <c r="AK532">
        <v>1</v>
      </c>
      <c r="AL532">
        <v>1</v>
      </c>
      <c r="AM532">
        <v>100</v>
      </c>
      <c r="AN532">
        <v>71.904600000000002</v>
      </c>
      <c r="AO532">
        <v>0</v>
      </c>
      <c r="AP532" s="13">
        <v>45104</v>
      </c>
      <c r="AQ532">
        <v>0</v>
      </c>
      <c r="AR532">
        <v>1</v>
      </c>
    </row>
    <row r="533" spans="1:44" x14ac:dyDescent="0.35">
      <c r="A533" s="12" t="s">
        <v>1164</v>
      </c>
      <c r="B533" s="12" t="s">
        <v>736</v>
      </c>
      <c r="C533" s="12" t="s">
        <v>737</v>
      </c>
      <c r="D533" s="12" t="s">
        <v>64</v>
      </c>
      <c r="E533" s="12" t="s">
        <v>104</v>
      </c>
      <c r="F533">
        <v>3</v>
      </c>
      <c r="G533">
        <v>1</v>
      </c>
      <c r="H533">
        <v>0</v>
      </c>
      <c r="I533" s="12" t="s">
        <v>94</v>
      </c>
      <c r="J533" s="12" t="s">
        <v>95</v>
      </c>
      <c r="K533" s="12" t="s">
        <v>81</v>
      </c>
      <c r="L533" s="12" t="s">
        <v>96</v>
      </c>
      <c r="M533">
        <v>4.8099999999999996</v>
      </c>
      <c r="N533" s="12" t="s">
        <v>97</v>
      </c>
      <c r="O533" s="12" t="s">
        <v>98</v>
      </c>
      <c r="P533" s="12" t="s">
        <v>72</v>
      </c>
      <c r="Q533" s="13">
        <v>45079</v>
      </c>
      <c r="R533" s="13">
        <v>45107</v>
      </c>
      <c r="S533">
        <v>2023</v>
      </c>
      <c r="T533" s="12" t="s">
        <v>1147</v>
      </c>
      <c r="U533">
        <v>912</v>
      </c>
      <c r="V533">
        <v>24.696300000000001</v>
      </c>
      <c r="W533">
        <v>191.56</v>
      </c>
      <c r="X533">
        <v>0</v>
      </c>
      <c r="Y533">
        <v>0</v>
      </c>
      <c r="Z533">
        <v>22523.03</v>
      </c>
      <c r="AA533">
        <v>22714.59</v>
      </c>
      <c r="AB533" s="12" t="s">
        <v>738</v>
      </c>
      <c r="AC533">
        <v>24.696300000000001</v>
      </c>
      <c r="AD533">
        <v>1</v>
      </c>
      <c r="AE533">
        <v>1</v>
      </c>
      <c r="AF533">
        <v>0</v>
      </c>
      <c r="AG533">
        <v>22523.03</v>
      </c>
      <c r="AH533">
        <v>912</v>
      </c>
      <c r="AI533">
        <v>904</v>
      </c>
      <c r="AJ533">
        <v>8</v>
      </c>
      <c r="AK533">
        <v>1</v>
      </c>
      <c r="AL533">
        <v>1</v>
      </c>
      <c r="AM533">
        <v>99.12</v>
      </c>
      <c r="AN533">
        <v>25.126799999999999</v>
      </c>
      <c r="AO533">
        <v>197.57</v>
      </c>
      <c r="AP533" s="13">
        <v>45105</v>
      </c>
      <c r="AQ533">
        <v>-2</v>
      </c>
      <c r="AR533">
        <v>1</v>
      </c>
    </row>
    <row r="534" spans="1:44" x14ac:dyDescent="0.35">
      <c r="A534" s="12" t="s">
        <v>1165</v>
      </c>
      <c r="B534" s="12" t="s">
        <v>1166</v>
      </c>
      <c r="C534" s="12" t="s">
        <v>1167</v>
      </c>
      <c r="D534" s="12" t="s">
        <v>175</v>
      </c>
      <c r="E534" s="12" t="s">
        <v>65</v>
      </c>
      <c r="F534">
        <v>3</v>
      </c>
      <c r="G534">
        <v>5</v>
      </c>
      <c r="H534">
        <v>0</v>
      </c>
      <c r="I534" s="12" t="s">
        <v>143</v>
      </c>
      <c r="J534" s="12" t="s">
        <v>144</v>
      </c>
      <c r="K534" s="12" t="s">
        <v>133</v>
      </c>
      <c r="L534" s="12" t="s">
        <v>96</v>
      </c>
      <c r="M534">
        <v>5.43</v>
      </c>
      <c r="N534" s="12" t="s">
        <v>145</v>
      </c>
      <c r="O534" s="12" t="s">
        <v>146</v>
      </c>
      <c r="P534" s="12" t="s">
        <v>109</v>
      </c>
      <c r="Q534" s="13">
        <v>45079</v>
      </c>
      <c r="R534" s="13">
        <v>45115</v>
      </c>
      <c r="S534">
        <v>2023</v>
      </c>
      <c r="T534" s="12" t="s">
        <v>1147</v>
      </c>
      <c r="U534">
        <v>130</v>
      </c>
      <c r="V534">
        <v>248.16210000000001</v>
      </c>
      <c r="W534">
        <v>621.92999999999995</v>
      </c>
      <c r="X534">
        <v>0</v>
      </c>
      <c r="Y534">
        <v>0</v>
      </c>
      <c r="Z534">
        <v>32261.07</v>
      </c>
      <c r="AA534">
        <v>32883</v>
      </c>
      <c r="AB534" s="12" t="s">
        <v>1168</v>
      </c>
      <c r="AC534">
        <v>248.16210000000001</v>
      </c>
      <c r="AD534">
        <v>1</v>
      </c>
      <c r="AE534">
        <v>1</v>
      </c>
      <c r="AF534">
        <v>0</v>
      </c>
      <c r="AG534">
        <v>32261.07</v>
      </c>
      <c r="AH534">
        <v>130</v>
      </c>
      <c r="AI534">
        <v>128</v>
      </c>
      <c r="AJ534">
        <v>2</v>
      </c>
      <c r="AK534">
        <v>1</v>
      </c>
      <c r="AL534">
        <v>1</v>
      </c>
      <c r="AM534">
        <v>98.46</v>
      </c>
      <c r="AN534">
        <v>256.89850000000001</v>
      </c>
      <c r="AO534">
        <v>496.32</v>
      </c>
      <c r="AP534" s="13">
        <v>45113</v>
      </c>
      <c r="AQ534">
        <v>-2</v>
      </c>
      <c r="AR534">
        <v>1</v>
      </c>
    </row>
    <row r="535" spans="1:44" x14ac:dyDescent="0.35">
      <c r="A535" s="12" t="s">
        <v>1169</v>
      </c>
      <c r="B535" s="12" t="s">
        <v>482</v>
      </c>
      <c r="C535" s="12" t="s">
        <v>483</v>
      </c>
      <c r="D535" s="12" t="s">
        <v>78</v>
      </c>
      <c r="E535" s="12" t="s">
        <v>142</v>
      </c>
      <c r="F535">
        <v>2</v>
      </c>
      <c r="G535">
        <v>9</v>
      </c>
      <c r="H535">
        <v>0</v>
      </c>
      <c r="I535" s="12" t="s">
        <v>87</v>
      </c>
      <c r="J535" s="12" t="s">
        <v>88</v>
      </c>
      <c r="K535" s="12" t="s">
        <v>89</v>
      </c>
      <c r="L535" s="12" t="s">
        <v>69</v>
      </c>
      <c r="M535">
        <v>14.93</v>
      </c>
      <c r="N535" s="12" t="s">
        <v>70</v>
      </c>
      <c r="O535" s="12" t="s">
        <v>71</v>
      </c>
      <c r="P535" s="12" t="s">
        <v>72</v>
      </c>
      <c r="Q535" s="13">
        <v>45079</v>
      </c>
      <c r="R535" s="13">
        <v>45124</v>
      </c>
      <c r="S535">
        <v>2023</v>
      </c>
      <c r="T535" s="12" t="s">
        <v>1147</v>
      </c>
      <c r="U535">
        <v>187</v>
      </c>
      <c r="V535">
        <v>51.926699999999997</v>
      </c>
      <c r="W535">
        <v>186.06</v>
      </c>
      <c r="X535">
        <v>0</v>
      </c>
      <c r="Y535">
        <v>0</v>
      </c>
      <c r="Z535">
        <v>9710.2900000000009</v>
      </c>
      <c r="AA535">
        <v>9896.35</v>
      </c>
      <c r="AB535" s="12" t="s">
        <v>484</v>
      </c>
      <c r="AC535">
        <v>49.685899999999997</v>
      </c>
      <c r="AD535">
        <v>1</v>
      </c>
      <c r="AE535">
        <v>1</v>
      </c>
      <c r="AF535">
        <v>419.03</v>
      </c>
      <c r="AG535">
        <v>9291.26</v>
      </c>
      <c r="AH535">
        <v>187</v>
      </c>
      <c r="AI535">
        <v>186</v>
      </c>
      <c r="AJ535">
        <v>1</v>
      </c>
      <c r="AK535">
        <v>1</v>
      </c>
      <c r="AL535">
        <v>1</v>
      </c>
      <c r="AM535">
        <v>99.47</v>
      </c>
      <c r="AN535">
        <v>53.206200000000003</v>
      </c>
      <c r="AO535">
        <v>51.93</v>
      </c>
      <c r="AP535" s="13">
        <v>45121</v>
      </c>
      <c r="AQ535">
        <v>-3</v>
      </c>
      <c r="AR535">
        <v>1</v>
      </c>
    </row>
    <row r="536" spans="1:44" x14ac:dyDescent="0.35">
      <c r="A536" s="12" t="s">
        <v>1170</v>
      </c>
      <c r="B536" s="12" t="s">
        <v>972</v>
      </c>
      <c r="C536" s="12" t="s">
        <v>973</v>
      </c>
      <c r="D536" s="12" t="s">
        <v>130</v>
      </c>
      <c r="E536" s="12" t="s">
        <v>142</v>
      </c>
      <c r="F536">
        <v>2</v>
      </c>
      <c r="G536">
        <v>9</v>
      </c>
      <c r="H536">
        <v>0</v>
      </c>
      <c r="I536" s="12" t="s">
        <v>676</v>
      </c>
      <c r="J536" s="12" t="s">
        <v>677</v>
      </c>
      <c r="K536" s="12" t="s">
        <v>68</v>
      </c>
      <c r="L536" s="12" t="s">
        <v>96</v>
      </c>
      <c r="M536">
        <v>3.57</v>
      </c>
      <c r="N536" s="12" t="s">
        <v>135</v>
      </c>
      <c r="O536" s="12" t="s">
        <v>136</v>
      </c>
      <c r="P536" s="12" t="s">
        <v>137</v>
      </c>
      <c r="Q536" s="13">
        <v>45079</v>
      </c>
      <c r="R536" s="13">
        <v>45129</v>
      </c>
      <c r="S536">
        <v>2023</v>
      </c>
      <c r="T536" s="12" t="s">
        <v>1147</v>
      </c>
      <c r="U536">
        <v>127</v>
      </c>
      <c r="V536">
        <v>842.69190000000003</v>
      </c>
      <c r="W536">
        <v>692.03</v>
      </c>
      <c r="X536">
        <v>0</v>
      </c>
      <c r="Y536">
        <v>0</v>
      </c>
      <c r="Z536">
        <v>107021.87</v>
      </c>
      <c r="AA536">
        <v>107713.9</v>
      </c>
      <c r="AB536" s="12" t="s">
        <v>974</v>
      </c>
      <c r="AC536">
        <v>842.69190000000003</v>
      </c>
      <c r="AD536">
        <v>1</v>
      </c>
      <c r="AE536">
        <v>1</v>
      </c>
      <c r="AF536">
        <v>0</v>
      </c>
      <c r="AG536">
        <v>107021.87</v>
      </c>
      <c r="AH536">
        <v>127</v>
      </c>
      <c r="AI536">
        <v>126</v>
      </c>
      <c r="AJ536">
        <v>1</v>
      </c>
      <c r="AK536">
        <v>1</v>
      </c>
      <c r="AL536">
        <v>1</v>
      </c>
      <c r="AM536">
        <v>99.21</v>
      </c>
      <c r="AN536">
        <v>854.87220000000002</v>
      </c>
      <c r="AO536">
        <v>842.69</v>
      </c>
      <c r="AP536" s="13">
        <v>45126</v>
      </c>
      <c r="AQ536">
        <v>-3</v>
      </c>
      <c r="AR536">
        <v>1</v>
      </c>
    </row>
    <row r="537" spans="1:44" x14ac:dyDescent="0.35">
      <c r="A537" s="12" t="s">
        <v>1171</v>
      </c>
      <c r="B537" s="12" t="s">
        <v>513</v>
      </c>
      <c r="C537" s="12" t="s">
        <v>514</v>
      </c>
      <c r="D537" s="12" t="s">
        <v>269</v>
      </c>
      <c r="E537" s="12" t="s">
        <v>65</v>
      </c>
      <c r="F537">
        <v>1</v>
      </c>
      <c r="G537">
        <v>2</v>
      </c>
      <c r="H537">
        <v>1</v>
      </c>
      <c r="I537" s="12" t="s">
        <v>515</v>
      </c>
      <c r="J537" s="12" t="s">
        <v>516</v>
      </c>
      <c r="K537" s="12" t="s">
        <v>68</v>
      </c>
      <c r="L537" s="12" t="s">
        <v>134</v>
      </c>
      <c r="M537">
        <v>3.69</v>
      </c>
      <c r="N537" s="12" t="s">
        <v>135</v>
      </c>
      <c r="O537" s="12" t="s">
        <v>136</v>
      </c>
      <c r="P537" s="12" t="s">
        <v>137</v>
      </c>
      <c r="Q537" s="13">
        <v>45082</v>
      </c>
      <c r="R537" s="13">
        <v>45120</v>
      </c>
      <c r="S537">
        <v>2023</v>
      </c>
      <c r="T537" s="12" t="s">
        <v>1147</v>
      </c>
      <c r="U537">
        <v>148</v>
      </c>
      <c r="V537">
        <v>229.3486</v>
      </c>
      <c r="W537">
        <v>776.77</v>
      </c>
      <c r="X537">
        <v>0</v>
      </c>
      <c r="Y537">
        <v>0</v>
      </c>
      <c r="Z537">
        <v>33943.589999999997</v>
      </c>
      <c r="AA537">
        <v>34720.36</v>
      </c>
      <c r="AB537" s="12" t="s">
        <v>517</v>
      </c>
      <c r="AC537">
        <v>229.3486</v>
      </c>
      <c r="AD537">
        <v>1</v>
      </c>
      <c r="AE537">
        <v>1</v>
      </c>
      <c r="AF537">
        <v>0</v>
      </c>
      <c r="AG537">
        <v>33943.589999999997</v>
      </c>
      <c r="AH537">
        <v>148</v>
      </c>
      <c r="AI537">
        <v>146</v>
      </c>
      <c r="AJ537">
        <v>2</v>
      </c>
      <c r="AK537">
        <v>1</v>
      </c>
      <c r="AL537">
        <v>1</v>
      </c>
      <c r="AM537">
        <v>98.65</v>
      </c>
      <c r="AN537">
        <v>237.8107</v>
      </c>
      <c r="AO537">
        <v>458.7</v>
      </c>
      <c r="AP537" s="13">
        <v>45120</v>
      </c>
      <c r="AQ537">
        <v>0</v>
      </c>
      <c r="AR537">
        <v>1</v>
      </c>
    </row>
    <row r="538" spans="1:44" x14ac:dyDescent="0.35">
      <c r="A538" s="12" t="s">
        <v>1172</v>
      </c>
      <c r="B538" s="12" t="s">
        <v>261</v>
      </c>
      <c r="C538" s="12" t="s">
        <v>262</v>
      </c>
      <c r="D538" s="12" t="s">
        <v>114</v>
      </c>
      <c r="E538" s="12" t="s">
        <v>142</v>
      </c>
      <c r="F538">
        <v>1</v>
      </c>
      <c r="G538">
        <v>8</v>
      </c>
      <c r="H538">
        <v>1</v>
      </c>
      <c r="I538" s="12" t="s">
        <v>263</v>
      </c>
      <c r="J538" s="12" t="s">
        <v>264</v>
      </c>
      <c r="K538" s="12" t="s">
        <v>125</v>
      </c>
      <c r="L538" s="12" t="s">
        <v>82</v>
      </c>
      <c r="M538">
        <v>10.210000000000001</v>
      </c>
      <c r="N538" s="12" t="s">
        <v>70</v>
      </c>
      <c r="O538" s="12" t="s">
        <v>71</v>
      </c>
      <c r="P538" s="12" t="s">
        <v>72</v>
      </c>
      <c r="Q538" s="13">
        <v>45082</v>
      </c>
      <c r="R538" s="13">
        <v>45123</v>
      </c>
      <c r="S538">
        <v>2023</v>
      </c>
      <c r="T538" s="12" t="s">
        <v>1147</v>
      </c>
      <c r="U538">
        <v>59</v>
      </c>
      <c r="V538">
        <v>138.256</v>
      </c>
      <c r="W538">
        <v>49.62</v>
      </c>
      <c r="X538">
        <v>0</v>
      </c>
      <c r="Y538">
        <v>0</v>
      </c>
      <c r="Z538">
        <v>8157.1</v>
      </c>
      <c r="AA538">
        <v>8206.7199999999993</v>
      </c>
      <c r="AB538" s="12" t="s">
        <v>265</v>
      </c>
      <c r="AC538">
        <v>138.256</v>
      </c>
      <c r="AD538">
        <v>1</v>
      </c>
      <c r="AE538">
        <v>1</v>
      </c>
      <c r="AF538">
        <v>0</v>
      </c>
      <c r="AG538">
        <v>8157.1</v>
      </c>
      <c r="AH538">
        <v>59</v>
      </c>
      <c r="AI538">
        <v>58</v>
      </c>
      <c r="AJ538">
        <v>1</v>
      </c>
      <c r="AK538">
        <v>1</v>
      </c>
      <c r="AL538">
        <v>1</v>
      </c>
      <c r="AM538">
        <v>98.31</v>
      </c>
      <c r="AN538">
        <v>141.49520000000001</v>
      </c>
      <c r="AO538">
        <v>138.26</v>
      </c>
      <c r="AP538" s="13">
        <v>45121</v>
      </c>
      <c r="AQ538">
        <v>-2</v>
      </c>
      <c r="AR538">
        <v>1</v>
      </c>
    </row>
    <row r="539" spans="1:44" x14ac:dyDescent="0.35">
      <c r="A539" s="12" t="s">
        <v>1173</v>
      </c>
      <c r="B539" s="12" t="s">
        <v>249</v>
      </c>
      <c r="C539" s="12" t="s">
        <v>250</v>
      </c>
      <c r="D539" s="12" t="s">
        <v>64</v>
      </c>
      <c r="E539" s="12" t="s">
        <v>65</v>
      </c>
      <c r="F539">
        <v>2</v>
      </c>
      <c r="G539">
        <v>3</v>
      </c>
      <c r="H539">
        <v>0</v>
      </c>
      <c r="I539" s="12" t="s">
        <v>251</v>
      </c>
      <c r="J539" s="12" t="s">
        <v>252</v>
      </c>
      <c r="K539" s="12" t="s">
        <v>133</v>
      </c>
      <c r="L539" s="12" t="s">
        <v>69</v>
      </c>
      <c r="M539">
        <v>34.49</v>
      </c>
      <c r="N539" s="12" t="s">
        <v>70</v>
      </c>
      <c r="O539" s="12" t="s">
        <v>71</v>
      </c>
      <c r="P539" s="12" t="s">
        <v>72</v>
      </c>
      <c r="Q539" s="13">
        <v>45082</v>
      </c>
      <c r="R539" s="13">
        <v>45105</v>
      </c>
      <c r="S539">
        <v>2023</v>
      </c>
      <c r="T539" s="12" t="s">
        <v>1147</v>
      </c>
      <c r="U539">
        <v>207</v>
      </c>
      <c r="V539">
        <v>10.6486</v>
      </c>
      <c r="W539">
        <v>13.39</v>
      </c>
      <c r="X539">
        <v>0</v>
      </c>
      <c r="Y539">
        <v>0</v>
      </c>
      <c r="Z539">
        <v>2204.2600000000002</v>
      </c>
      <c r="AA539">
        <v>2217.65</v>
      </c>
      <c r="AB539" s="12" t="s">
        <v>253</v>
      </c>
      <c r="AC539">
        <v>10.6486</v>
      </c>
      <c r="AD539">
        <v>1</v>
      </c>
      <c r="AE539">
        <v>1</v>
      </c>
      <c r="AF539">
        <v>0</v>
      </c>
      <c r="AG539">
        <v>2204.2600000000002</v>
      </c>
      <c r="AH539">
        <v>207</v>
      </c>
      <c r="AI539">
        <v>204</v>
      </c>
      <c r="AJ539">
        <v>3</v>
      </c>
      <c r="AK539">
        <v>1</v>
      </c>
      <c r="AL539">
        <v>1</v>
      </c>
      <c r="AM539">
        <v>98.55</v>
      </c>
      <c r="AN539">
        <v>10.870799999999999</v>
      </c>
      <c r="AO539">
        <v>31.95</v>
      </c>
      <c r="AP539" s="13">
        <v>45104</v>
      </c>
      <c r="AQ539">
        <v>-1</v>
      </c>
      <c r="AR539">
        <v>1</v>
      </c>
    </row>
    <row r="540" spans="1:44" x14ac:dyDescent="0.35">
      <c r="A540" s="12" t="s">
        <v>1174</v>
      </c>
      <c r="B540" s="12" t="s">
        <v>876</v>
      </c>
      <c r="C540" s="12" t="s">
        <v>877</v>
      </c>
      <c r="D540" s="12" t="s">
        <v>269</v>
      </c>
      <c r="E540" s="12" t="s">
        <v>142</v>
      </c>
      <c r="F540">
        <v>3</v>
      </c>
      <c r="G540">
        <v>11</v>
      </c>
      <c r="H540">
        <v>0</v>
      </c>
      <c r="I540" s="12" t="s">
        <v>515</v>
      </c>
      <c r="J540" s="12" t="s">
        <v>516</v>
      </c>
      <c r="K540" s="12" t="s">
        <v>68</v>
      </c>
      <c r="L540" s="12" t="s">
        <v>134</v>
      </c>
      <c r="M540">
        <v>3.69</v>
      </c>
      <c r="N540" s="12" t="s">
        <v>135</v>
      </c>
      <c r="O540" s="12" t="s">
        <v>136</v>
      </c>
      <c r="P540" s="12" t="s">
        <v>137</v>
      </c>
      <c r="Q540" s="13">
        <v>45082</v>
      </c>
      <c r="R540" s="13">
        <v>45130</v>
      </c>
      <c r="S540">
        <v>2023</v>
      </c>
      <c r="T540" s="12" t="s">
        <v>1147</v>
      </c>
      <c r="U540">
        <v>114</v>
      </c>
      <c r="V540">
        <v>205.07480000000001</v>
      </c>
      <c r="W540">
        <v>570.73</v>
      </c>
      <c r="X540">
        <v>0</v>
      </c>
      <c r="Y540">
        <v>0</v>
      </c>
      <c r="Z540">
        <v>23378.53</v>
      </c>
      <c r="AA540">
        <v>23949.26</v>
      </c>
      <c r="AB540" s="12" t="s">
        <v>1175</v>
      </c>
      <c r="AC540">
        <v>205.07480000000001</v>
      </c>
      <c r="AD540">
        <v>1</v>
      </c>
      <c r="AE540">
        <v>1</v>
      </c>
      <c r="AF540">
        <v>0</v>
      </c>
      <c r="AG540">
        <v>23378.53</v>
      </c>
      <c r="AH540">
        <v>114</v>
      </c>
      <c r="AI540">
        <v>114</v>
      </c>
      <c r="AJ540">
        <v>0</v>
      </c>
      <c r="AK540">
        <v>1</v>
      </c>
      <c r="AL540">
        <v>1</v>
      </c>
      <c r="AM540">
        <v>100</v>
      </c>
      <c r="AN540">
        <v>210.0812</v>
      </c>
      <c r="AO540">
        <v>0</v>
      </c>
      <c r="AP540" s="13">
        <v>45136</v>
      </c>
      <c r="AQ540">
        <v>6</v>
      </c>
      <c r="AR540">
        <v>0</v>
      </c>
    </row>
    <row r="541" spans="1:44" x14ac:dyDescent="0.35">
      <c r="A541" s="12" t="s">
        <v>1176</v>
      </c>
      <c r="B541" s="12" t="s">
        <v>255</v>
      </c>
      <c r="C541" s="12" t="s">
        <v>256</v>
      </c>
      <c r="D541" s="12" t="s">
        <v>103</v>
      </c>
      <c r="E541" s="12" t="s">
        <v>65</v>
      </c>
      <c r="F541">
        <v>2</v>
      </c>
      <c r="G541">
        <v>4</v>
      </c>
      <c r="H541">
        <v>0</v>
      </c>
      <c r="I541" s="12" t="s">
        <v>251</v>
      </c>
      <c r="J541" s="12" t="s">
        <v>252</v>
      </c>
      <c r="K541" s="12" t="s">
        <v>133</v>
      </c>
      <c r="L541" s="12" t="s">
        <v>69</v>
      </c>
      <c r="M541">
        <v>34.49</v>
      </c>
      <c r="N541" s="12" t="s">
        <v>145</v>
      </c>
      <c r="O541" s="12" t="s">
        <v>146</v>
      </c>
      <c r="P541" s="12" t="s">
        <v>109</v>
      </c>
      <c r="Q541" s="13">
        <v>45082</v>
      </c>
      <c r="R541" s="13">
        <v>45106</v>
      </c>
      <c r="S541">
        <v>2023</v>
      </c>
      <c r="T541" s="12" t="s">
        <v>1147</v>
      </c>
      <c r="U541">
        <v>35</v>
      </c>
      <c r="V541">
        <v>95.085700000000003</v>
      </c>
      <c r="W541">
        <v>61.56</v>
      </c>
      <c r="X541">
        <v>0</v>
      </c>
      <c r="Y541">
        <v>0</v>
      </c>
      <c r="Z541">
        <v>3328</v>
      </c>
      <c r="AA541">
        <v>3389.56</v>
      </c>
      <c r="AB541" s="12" t="s">
        <v>257</v>
      </c>
      <c r="AC541">
        <v>95.085700000000003</v>
      </c>
      <c r="AD541">
        <v>1</v>
      </c>
      <c r="AE541">
        <v>1</v>
      </c>
      <c r="AF541">
        <v>0</v>
      </c>
      <c r="AG541">
        <v>3328</v>
      </c>
      <c r="AH541">
        <v>35</v>
      </c>
      <c r="AI541">
        <v>34</v>
      </c>
      <c r="AJ541">
        <v>1</v>
      </c>
      <c r="AK541">
        <v>1</v>
      </c>
      <c r="AL541">
        <v>1</v>
      </c>
      <c r="AM541">
        <v>97.14</v>
      </c>
      <c r="AN541">
        <v>99.692899999999995</v>
      </c>
      <c r="AO541">
        <v>95.09</v>
      </c>
      <c r="AP541" s="13">
        <v>45105</v>
      </c>
      <c r="AQ541">
        <v>-1</v>
      </c>
      <c r="AR541">
        <v>1</v>
      </c>
    </row>
    <row r="542" spans="1:44" x14ac:dyDescent="0.35">
      <c r="A542" s="12" t="s">
        <v>1177</v>
      </c>
      <c r="B542" s="12" t="s">
        <v>855</v>
      </c>
      <c r="C542" s="12" t="s">
        <v>856</v>
      </c>
      <c r="D542" s="12" t="s">
        <v>269</v>
      </c>
      <c r="E542" s="12" t="s">
        <v>65</v>
      </c>
      <c r="F542">
        <v>3</v>
      </c>
      <c r="G542">
        <v>5</v>
      </c>
      <c r="H542">
        <v>0</v>
      </c>
      <c r="I542" s="12" t="s">
        <v>94</v>
      </c>
      <c r="J542" s="12" t="s">
        <v>95</v>
      </c>
      <c r="K542" s="12" t="s">
        <v>81</v>
      </c>
      <c r="L542" s="12" t="s">
        <v>96</v>
      </c>
      <c r="M542">
        <v>4.8099999999999996</v>
      </c>
      <c r="N542" s="12" t="s">
        <v>135</v>
      </c>
      <c r="O542" s="12" t="s">
        <v>136</v>
      </c>
      <c r="P542" s="12" t="s">
        <v>137</v>
      </c>
      <c r="Q542" s="13">
        <v>45082</v>
      </c>
      <c r="R542" s="13">
        <v>45119</v>
      </c>
      <c r="S542">
        <v>2023</v>
      </c>
      <c r="T542" s="12" t="s">
        <v>1147</v>
      </c>
      <c r="U542">
        <v>137</v>
      </c>
      <c r="V542">
        <v>493.6902</v>
      </c>
      <c r="W542">
        <v>1130.3399999999999</v>
      </c>
      <c r="X542">
        <v>0</v>
      </c>
      <c r="Y542">
        <v>0</v>
      </c>
      <c r="Z542">
        <v>67635.56</v>
      </c>
      <c r="AA542">
        <v>68765.899999999994</v>
      </c>
      <c r="AB542" s="12" t="s">
        <v>857</v>
      </c>
      <c r="AC542">
        <v>493.6902</v>
      </c>
      <c r="AD542">
        <v>1</v>
      </c>
      <c r="AE542">
        <v>1</v>
      </c>
      <c r="AF542">
        <v>0</v>
      </c>
      <c r="AG542">
        <v>67635.56</v>
      </c>
      <c r="AH542">
        <v>137</v>
      </c>
      <c r="AI542">
        <v>135</v>
      </c>
      <c r="AJ542">
        <v>2</v>
      </c>
      <c r="AK542">
        <v>1</v>
      </c>
      <c r="AL542">
        <v>1</v>
      </c>
      <c r="AM542">
        <v>98.54</v>
      </c>
      <c r="AN542">
        <v>509.37700000000001</v>
      </c>
      <c r="AO542">
        <v>987.38</v>
      </c>
      <c r="AP542" s="13">
        <v>45123</v>
      </c>
      <c r="AQ542">
        <v>4</v>
      </c>
      <c r="AR542">
        <v>0</v>
      </c>
    </row>
    <row r="543" spans="1:44" x14ac:dyDescent="0.35">
      <c r="A543" s="12" t="s">
        <v>1178</v>
      </c>
      <c r="B543" s="12" t="s">
        <v>1179</v>
      </c>
      <c r="C543" s="12" t="s">
        <v>1180</v>
      </c>
      <c r="D543" s="12" t="s">
        <v>122</v>
      </c>
      <c r="E543" s="12" t="s">
        <v>142</v>
      </c>
      <c r="F543">
        <v>1</v>
      </c>
      <c r="G543">
        <v>8</v>
      </c>
      <c r="H543">
        <v>1</v>
      </c>
      <c r="I543" s="12" t="s">
        <v>143</v>
      </c>
      <c r="J543" s="12" t="s">
        <v>144</v>
      </c>
      <c r="K543" s="12" t="s">
        <v>133</v>
      </c>
      <c r="L543" s="12" t="s">
        <v>96</v>
      </c>
      <c r="M543">
        <v>5.43</v>
      </c>
      <c r="N543" s="12" t="s">
        <v>70</v>
      </c>
      <c r="O543" s="12" t="s">
        <v>71</v>
      </c>
      <c r="P543" s="12" t="s">
        <v>72</v>
      </c>
      <c r="Q543" s="13">
        <v>45082</v>
      </c>
      <c r="R543" s="13">
        <v>45118</v>
      </c>
      <c r="S543">
        <v>2023</v>
      </c>
      <c r="T543" s="12" t="s">
        <v>1147</v>
      </c>
      <c r="U543">
        <v>398</v>
      </c>
      <c r="V543">
        <v>52.674799999999998</v>
      </c>
      <c r="W543">
        <v>391</v>
      </c>
      <c r="X543">
        <v>0</v>
      </c>
      <c r="Y543">
        <v>0</v>
      </c>
      <c r="Z543">
        <v>20964.57</v>
      </c>
      <c r="AA543">
        <v>21355.57</v>
      </c>
      <c r="AB543" s="12" t="s">
        <v>1181</v>
      </c>
      <c r="AC543">
        <v>52.674799999999998</v>
      </c>
      <c r="AD543">
        <v>1</v>
      </c>
      <c r="AE543">
        <v>1</v>
      </c>
      <c r="AF543">
        <v>0</v>
      </c>
      <c r="AG543">
        <v>20964.57</v>
      </c>
      <c r="AH543">
        <v>398</v>
      </c>
      <c r="AI543">
        <v>394</v>
      </c>
      <c r="AJ543">
        <v>4</v>
      </c>
      <c r="AK543">
        <v>1</v>
      </c>
      <c r="AL543">
        <v>1</v>
      </c>
      <c r="AM543">
        <v>98.99</v>
      </c>
      <c r="AN543">
        <v>54.201999999999998</v>
      </c>
      <c r="AO543">
        <v>210.7</v>
      </c>
      <c r="AP543" s="13">
        <v>45117</v>
      </c>
      <c r="AQ543">
        <v>-1</v>
      </c>
      <c r="AR543">
        <v>1</v>
      </c>
    </row>
    <row r="544" spans="1:44" x14ac:dyDescent="0.35">
      <c r="A544" s="12" t="s">
        <v>1182</v>
      </c>
      <c r="B544" s="12" t="s">
        <v>941</v>
      </c>
      <c r="C544" s="12" t="s">
        <v>942</v>
      </c>
      <c r="D544" s="12" t="s">
        <v>130</v>
      </c>
      <c r="E544" s="12" t="s">
        <v>104</v>
      </c>
      <c r="F544">
        <v>2</v>
      </c>
      <c r="G544">
        <v>0</v>
      </c>
      <c r="H544">
        <v>0</v>
      </c>
      <c r="I544" s="12" t="s">
        <v>131</v>
      </c>
      <c r="J544" s="12" t="s">
        <v>132</v>
      </c>
      <c r="K544" s="12" t="s">
        <v>133</v>
      </c>
      <c r="L544" s="12" t="s">
        <v>134</v>
      </c>
      <c r="M544">
        <v>1.51</v>
      </c>
      <c r="N544" s="12" t="s">
        <v>135</v>
      </c>
      <c r="O544" s="12" t="s">
        <v>136</v>
      </c>
      <c r="P544" s="12" t="s">
        <v>137</v>
      </c>
      <c r="Q544" s="13">
        <v>45082</v>
      </c>
      <c r="R544" s="13">
        <v>45101</v>
      </c>
      <c r="S544">
        <v>2023</v>
      </c>
      <c r="T544" s="12" t="s">
        <v>1147</v>
      </c>
      <c r="U544">
        <v>67</v>
      </c>
      <c r="V544">
        <v>990.29020000000003</v>
      </c>
      <c r="W544">
        <v>959.31</v>
      </c>
      <c r="X544">
        <v>0</v>
      </c>
      <c r="Y544">
        <v>0</v>
      </c>
      <c r="Z544">
        <v>66349.440000000002</v>
      </c>
      <c r="AA544">
        <v>67308.75</v>
      </c>
      <c r="AB544" s="12" t="s">
        <v>943</v>
      </c>
      <c r="AC544">
        <v>990.29020000000003</v>
      </c>
      <c r="AD544">
        <v>1</v>
      </c>
      <c r="AE544">
        <v>1</v>
      </c>
      <c r="AF544">
        <v>0</v>
      </c>
      <c r="AG544">
        <v>66349.440000000002</v>
      </c>
      <c r="AH544">
        <v>67</v>
      </c>
      <c r="AI544">
        <v>62</v>
      </c>
      <c r="AJ544">
        <v>5</v>
      </c>
      <c r="AK544">
        <v>1</v>
      </c>
      <c r="AL544">
        <v>1</v>
      </c>
      <c r="AM544">
        <v>92.54</v>
      </c>
      <c r="AN544">
        <v>1085.6251</v>
      </c>
      <c r="AO544">
        <v>4951.45</v>
      </c>
      <c r="AP544" s="13">
        <v>45097</v>
      </c>
      <c r="AQ544">
        <v>-4</v>
      </c>
      <c r="AR544">
        <v>1</v>
      </c>
    </row>
    <row r="545" spans="1:44" x14ac:dyDescent="0.35">
      <c r="A545" s="12" t="s">
        <v>1183</v>
      </c>
      <c r="B545" s="12" t="s">
        <v>447</v>
      </c>
      <c r="C545" s="12" t="s">
        <v>448</v>
      </c>
      <c r="D545" s="12" t="s">
        <v>269</v>
      </c>
      <c r="E545" s="12" t="s">
        <v>65</v>
      </c>
      <c r="F545">
        <v>2</v>
      </c>
      <c r="G545">
        <v>2</v>
      </c>
      <c r="H545">
        <v>0</v>
      </c>
      <c r="I545" s="12" t="s">
        <v>94</v>
      </c>
      <c r="J545" s="12" t="s">
        <v>95</v>
      </c>
      <c r="K545" s="12" t="s">
        <v>81</v>
      </c>
      <c r="L545" s="12" t="s">
        <v>96</v>
      </c>
      <c r="M545">
        <v>4.8099999999999996</v>
      </c>
      <c r="N545" s="12" t="s">
        <v>135</v>
      </c>
      <c r="O545" s="12" t="s">
        <v>136</v>
      </c>
      <c r="P545" s="12" t="s">
        <v>137</v>
      </c>
      <c r="Q545" s="13">
        <v>45082</v>
      </c>
      <c r="R545" s="13">
        <v>45106</v>
      </c>
      <c r="S545">
        <v>2023</v>
      </c>
      <c r="T545" s="12" t="s">
        <v>1147</v>
      </c>
      <c r="U545">
        <v>36</v>
      </c>
      <c r="V545">
        <v>388.54930000000002</v>
      </c>
      <c r="W545">
        <v>113.26</v>
      </c>
      <c r="X545">
        <v>0</v>
      </c>
      <c r="Y545">
        <v>0</v>
      </c>
      <c r="Z545">
        <v>13987.77</v>
      </c>
      <c r="AA545">
        <v>14101.03</v>
      </c>
      <c r="AB545" s="12" t="s">
        <v>449</v>
      </c>
      <c r="AC545">
        <v>388.54930000000002</v>
      </c>
      <c r="AD545">
        <v>1</v>
      </c>
      <c r="AE545">
        <v>1</v>
      </c>
      <c r="AF545">
        <v>0</v>
      </c>
      <c r="AG545">
        <v>13987.77</v>
      </c>
      <c r="AH545">
        <v>36</v>
      </c>
      <c r="AI545">
        <v>36</v>
      </c>
      <c r="AJ545">
        <v>0</v>
      </c>
      <c r="AK545">
        <v>1</v>
      </c>
      <c r="AL545">
        <v>1</v>
      </c>
      <c r="AM545">
        <v>100</v>
      </c>
      <c r="AN545">
        <v>391.69540000000001</v>
      </c>
      <c r="AO545">
        <v>0</v>
      </c>
      <c r="AP545" s="13">
        <v>45106</v>
      </c>
      <c r="AQ545">
        <v>0</v>
      </c>
      <c r="AR545">
        <v>1</v>
      </c>
    </row>
    <row r="546" spans="1:44" x14ac:dyDescent="0.35">
      <c r="A546" s="12" t="s">
        <v>1184</v>
      </c>
      <c r="B546" s="12" t="s">
        <v>509</v>
      </c>
      <c r="C546" s="12" t="s">
        <v>510</v>
      </c>
      <c r="D546" s="12" t="s">
        <v>78</v>
      </c>
      <c r="E546" s="12" t="s">
        <v>142</v>
      </c>
      <c r="F546">
        <v>3</v>
      </c>
      <c r="G546">
        <v>11</v>
      </c>
      <c r="H546">
        <v>0</v>
      </c>
      <c r="I546" s="12" t="s">
        <v>176</v>
      </c>
      <c r="J546" s="12" t="s">
        <v>177</v>
      </c>
      <c r="K546" s="12" t="s">
        <v>125</v>
      </c>
      <c r="L546" s="12" t="s">
        <v>134</v>
      </c>
      <c r="M546">
        <v>1.75</v>
      </c>
      <c r="N546" s="12" t="s">
        <v>70</v>
      </c>
      <c r="O546" s="12" t="s">
        <v>71</v>
      </c>
      <c r="P546" s="12" t="s">
        <v>72</v>
      </c>
      <c r="Q546" s="13">
        <v>45082</v>
      </c>
      <c r="R546" s="13">
        <v>45128</v>
      </c>
      <c r="S546">
        <v>2023</v>
      </c>
      <c r="T546" s="12" t="s">
        <v>1147</v>
      </c>
      <c r="U546">
        <v>206</v>
      </c>
      <c r="V546">
        <v>144.51259999999999</v>
      </c>
      <c r="W546">
        <v>573.69000000000005</v>
      </c>
      <c r="X546">
        <v>0</v>
      </c>
      <c r="Y546">
        <v>0</v>
      </c>
      <c r="Z546">
        <v>29769.599999999999</v>
      </c>
      <c r="AA546">
        <v>30343.29</v>
      </c>
      <c r="AB546" s="12" t="s">
        <v>511</v>
      </c>
      <c r="AC546">
        <v>144.51259999999999</v>
      </c>
      <c r="AD546">
        <v>1</v>
      </c>
      <c r="AE546">
        <v>1</v>
      </c>
      <c r="AF546">
        <v>0</v>
      </c>
      <c r="AG546">
        <v>29769.599999999999</v>
      </c>
      <c r="AH546">
        <v>206</v>
      </c>
      <c r="AI546">
        <v>203</v>
      </c>
      <c r="AJ546">
        <v>3</v>
      </c>
      <c r="AK546">
        <v>1</v>
      </c>
      <c r="AL546">
        <v>1</v>
      </c>
      <c r="AM546">
        <v>98.54</v>
      </c>
      <c r="AN546">
        <v>149.4743</v>
      </c>
      <c r="AO546">
        <v>433.54</v>
      </c>
      <c r="AP546" s="13">
        <v>45125</v>
      </c>
      <c r="AQ546">
        <v>-3</v>
      </c>
      <c r="AR546">
        <v>1</v>
      </c>
    </row>
    <row r="547" spans="1:44" x14ac:dyDescent="0.35">
      <c r="A547" s="12" t="s">
        <v>1185</v>
      </c>
      <c r="B547" s="12" t="s">
        <v>412</v>
      </c>
      <c r="C547" s="12" t="s">
        <v>413</v>
      </c>
      <c r="D547" s="12" t="s">
        <v>269</v>
      </c>
      <c r="E547" s="12" t="s">
        <v>65</v>
      </c>
      <c r="F547">
        <v>1</v>
      </c>
      <c r="G547">
        <v>2</v>
      </c>
      <c r="H547">
        <v>1</v>
      </c>
      <c r="I547" s="12" t="s">
        <v>233</v>
      </c>
      <c r="J547" s="12" t="s">
        <v>234</v>
      </c>
      <c r="K547" s="12" t="s">
        <v>125</v>
      </c>
      <c r="L547" s="12" t="s">
        <v>96</v>
      </c>
      <c r="M547">
        <v>3.73</v>
      </c>
      <c r="N547" s="12" t="s">
        <v>135</v>
      </c>
      <c r="O547" s="12" t="s">
        <v>136</v>
      </c>
      <c r="P547" s="12" t="s">
        <v>137</v>
      </c>
      <c r="Q547" s="13">
        <v>45083</v>
      </c>
      <c r="R547" s="13">
        <v>45120</v>
      </c>
      <c r="S547">
        <v>2023</v>
      </c>
      <c r="T547" s="12" t="s">
        <v>1147</v>
      </c>
      <c r="U547">
        <v>141</v>
      </c>
      <c r="V547">
        <v>104.4832</v>
      </c>
      <c r="W547">
        <v>93.3</v>
      </c>
      <c r="X547">
        <v>0</v>
      </c>
      <c r="Y547">
        <v>0</v>
      </c>
      <c r="Z547">
        <v>14732.13</v>
      </c>
      <c r="AA547">
        <v>14825.43</v>
      </c>
      <c r="AB547" s="12" t="s">
        <v>414</v>
      </c>
      <c r="AC547">
        <v>104.4832</v>
      </c>
      <c r="AD547">
        <v>1</v>
      </c>
      <c r="AE547">
        <v>1</v>
      </c>
      <c r="AF547">
        <v>0</v>
      </c>
      <c r="AG547">
        <v>14732.13</v>
      </c>
      <c r="AH547">
        <v>141</v>
      </c>
      <c r="AI547">
        <v>139</v>
      </c>
      <c r="AJ547">
        <v>2</v>
      </c>
      <c r="AK547">
        <v>1</v>
      </c>
      <c r="AL547">
        <v>1</v>
      </c>
      <c r="AM547">
        <v>98.58</v>
      </c>
      <c r="AN547">
        <v>106.65779999999999</v>
      </c>
      <c r="AO547">
        <v>208.97</v>
      </c>
      <c r="AP547" s="13">
        <v>45117</v>
      </c>
      <c r="AQ547">
        <v>-3</v>
      </c>
      <c r="AR547">
        <v>1</v>
      </c>
    </row>
    <row r="548" spans="1:44" x14ac:dyDescent="0.35">
      <c r="A548" s="12" t="s">
        <v>1186</v>
      </c>
      <c r="B548" s="12" t="s">
        <v>472</v>
      </c>
      <c r="C548" s="12" t="s">
        <v>473</v>
      </c>
      <c r="D548" s="12" t="s">
        <v>122</v>
      </c>
      <c r="E548" s="12" t="s">
        <v>142</v>
      </c>
      <c r="F548">
        <v>2</v>
      </c>
      <c r="G548">
        <v>9</v>
      </c>
      <c r="H548">
        <v>0</v>
      </c>
      <c r="I548" s="12" t="s">
        <v>87</v>
      </c>
      <c r="J548" s="12" t="s">
        <v>88</v>
      </c>
      <c r="K548" s="12" t="s">
        <v>89</v>
      </c>
      <c r="L548" s="12" t="s">
        <v>69</v>
      </c>
      <c r="M548">
        <v>14.93</v>
      </c>
      <c r="N548" s="12" t="s">
        <v>97</v>
      </c>
      <c r="O548" s="12" t="s">
        <v>98</v>
      </c>
      <c r="P548" s="12" t="s">
        <v>72</v>
      </c>
      <c r="Q548" s="13">
        <v>45083</v>
      </c>
      <c r="R548" s="13">
        <v>45121</v>
      </c>
      <c r="S548">
        <v>2023</v>
      </c>
      <c r="T548" s="12" t="s">
        <v>1147</v>
      </c>
      <c r="U548">
        <v>598</v>
      </c>
      <c r="V548">
        <v>48.7896</v>
      </c>
      <c r="W548">
        <v>208.51</v>
      </c>
      <c r="X548">
        <v>0</v>
      </c>
      <c r="Y548">
        <v>0</v>
      </c>
      <c r="Z548">
        <v>29176.18</v>
      </c>
      <c r="AA548">
        <v>29384.69</v>
      </c>
      <c r="AB548" s="12" t="s">
        <v>1187</v>
      </c>
      <c r="AC548">
        <v>48.7896</v>
      </c>
      <c r="AD548">
        <v>1</v>
      </c>
      <c r="AE548">
        <v>1</v>
      </c>
      <c r="AF548">
        <v>0</v>
      </c>
      <c r="AG548">
        <v>29176.18</v>
      </c>
      <c r="AH548">
        <v>598</v>
      </c>
      <c r="AI548">
        <v>595</v>
      </c>
      <c r="AJ548">
        <v>3</v>
      </c>
      <c r="AK548">
        <v>1</v>
      </c>
      <c r="AL548">
        <v>1</v>
      </c>
      <c r="AM548">
        <v>99.5</v>
      </c>
      <c r="AN548">
        <v>49.386000000000003</v>
      </c>
      <c r="AO548">
        <v>146.37</v>
      </c>
      <c r="AP548" s="13">
        <v>45118</v>
      </c>
      <c r="AQ548">
        <v>-3</v>
      </c>
      <c r="AR548">
        <v>1</v>
      </c>
    </row>
    <row r="549" spans="1:44" x14ac:dyDescent="0.35">
      <c r="A549" s="12" t="s">
        <v>1188</v>
      </c>
      <c r="B549" s="12" t="s">
        <v>261</v>
      </c>
      <c r="C549" s="12" t="s">
        <v>262</v>
      </c>
      <c r="D549" s="12" t="s">
        <v>114</v>
      </c>
      <c r="E549" s="12" t="s">
        <v>142</v>
      </c>
      <c r="F549">
        <v>1</v>
      </c>
      <c r="G549">
        <v>8</v>
      </c>
      <c r="H549">
        <v>1</v>
      </c>
      <c r="I549" s="12" t="s">
        <v>263</v>
      </c>
      <c r="J549" s="12" t="s">
        <v>264</v>
      </c>
      <c r="K549" s="12" t="s">
        <v>125</v>
      </c>
      <c r="L549" s="12" t="s">
        <v>82</v>
      </c>
      <c r="M549">
        <v>10.210000000000001</v>
      </c>
      <c r="N549" s="12" t="s">
        <v>70</v>
      </c>
      <c r="O549" s="12" t="s">
        <v>71</v>
      </c>
      <c r="P549" s="12" t="s">
        <v>72</v>
      </c>
      <c r="Q549" s="13">
        <v>45083</v>
      </c>
      <c r="R549" s="13">
        <v>45132</v>
      </c>
      <c r="S549">
        <v>2023</v>
      </c>
      <c r="T549" s="12" t="s">
        <v>1147</v>
      </c>
      <c r="U549">
        <v>126</v>
      </c>
      <c r="V549">
        <v>138.256</v>
      </c>
      <c r="W549">
        <v>254.68</v>
      </c>
      <c r="X549">
        <v>0</v>
      </c>
      <c r="Y549">
        <v>0</v>
      </c>
      <c r="Z549">
        <v>17420.259999999998</v>
      </c>
      <c r="AA549">
        <v>17674.939999999999</v>
      </c>
      <c r="AB549" s="12" t="s">
        <v>265</v>
      </c>
      <c r="AC549">
        <v>138.256</v>
      </c>
      <c r="AD549">
        <v>1</v>
      </c>
      <c r="AE549">
        <v>1</v>
      </c>
      <c r="AF549">
        <v>0</v>
      </c>
      <c r="AG549">
        <v>17420.259999999998</v>
      </c>
      <c r="AH549">
        <v>126</v>
      </c>
      <c r="AI549">
        <v>123</v>
      </c>
      <c r="AJ549">
        <v>3</v>
      </c>
      <c r="AK549">
        <v>1</v>
      </c>
      <c r="AL549">
        <v>1</v>
      </c>
      <c r="AM549">
        <v>97.62</v>
      </c>
      <c r="AN549">
        <v>143.6987</v>
      </c>
      <c r="AO549">
        <v>414.77</v>
      </c>
      <c r="AP549" s="13">
        <v>45137</v>
      </c>
      <c r="AQ549">
        <v>5</v>
      </c>
      <c r="AR549">
        <v>0</v>
      </c>
    </row>
    <row r="550" spans="1:44" x14ac:dyDescent="0.35">
      <c r="A550" s="12" t="s">
        <v>1189</v>
      </c>
      <c r="B550" s="12" t="s">
        <v>155</v>
      </c>
      <c r="C550" s="12" t="s">
        <v>156</v>
      </c>
      <c r="D550" s="12" t="s">
        <v>130</v>
      </c>
      <c r="E550" s="12" t="s">
        <v>104</v>
      </c>
      <c r="F550">
        <v>3</v>
      </c>
      <c r="G550">
        <v>1</v>
      </c>
      <c r="H550">
        <v>0</v>
      </c>
      <c r="I550" s="12" t="s">
        <v>199</v>
      </c>
      <c r="J550" s="12" t="s">
        <v>200</v>
      </c>
      <c r="K550" s="12" t="s">
        <v>68</v>
      </c>
      <c r="L550" s="12" t="s">
        <v>96</v>
      </c>
      <c r="M550">
        <v>9.4700000000000006</v>
      </c>
      <c r="N550" s="12" t="s">
        <v>159</v>
      </c>
      <c r="O550" s="12" t="s">
        <v>160</v>
      </c>
      <c r="P550" s="12" t="s">
        <v>137</v>
      </c>
      <c r="Q550" s="13">
        <v>45083</v>
      </c>
      <c r="R550" s="13">
        <v>45095</v>
      </c>
      <c r="S550">
        <v>2023</v>
      </c>
      <c r="T550" s="12" t="s">
        <v>1147</v>
      </c>
      <c r="U550">
        <v>16</v>
      </c>
      <c r="V550">
        <v>210.8715</v>
      </c>
      <c r="W550">
        <v>63.08</v>
      </c>
      <c r="X550">
        <v>0</v>
      </c>
      <c r="Y550">
        <v>0</v>
      </c>
      <c r="Z550">
        <v>3373.94</v>
      </c>
      <c r="AA550">
        <v>3437.02</v>
      </c>
      <c r="AB550" s="12" t="s">
        <v>201</v>
      </c>
      <c r="AD550">
        <v>0</v>
      </c>
      <c r="AE550">
        <v>0</v>
      </c>
      <c r="AH550">
        <v>16</v>
      </c>
      <c r="AI550">
        <v>16</v>
      </c>
      <c r="AJ550">
        <v>0</v>
      </c>
      <c r="AK550">
        <v>1</v>
      </c>
      <c r="AL550">
        <v>1</v>
      </c>
      <c r="AM550">
        <v>100</v>
      </c>
      <c r="AN550">
        <v>214.81399999999999</v>
      </c>
      <c r="AO550">
        <v>0</v>
      </c>
      <c r="AP550" s="13">
        <v>45105</v>
      </c>
      <c r="AQ550">
        <v>10</v>
      </c>
      <c r="AR550">
        <v>0</v>
      </c>
    </row>
    <row r="551" spans="1:44" x14ac:dyDescent="0.35">
      <c r="A551" s="12" t="s">
        <v>1190</v>
      </c>
      <c r="B551" s="12" t="s">
        <v>773</v>
      </c>
      <c r="C551" s="12" t="s">
        <v>774</v>
      </c>
      <c r="D551" s="12" t="s">
        <v>64</v>
      </c>
      <c r="E551" s="12" t="s">
        <v>142</v>
      </c>
      <c r="F551">
        <v>1</v>
      </c>
      <c r="G551">
        <v>7</v>
      </c>
      <c r="H551">
        <v>1</v>
      </c>
      <c r="I551" s="12" t="s">
        <v>251</v>
      </c>
      <c r="J551" s="12" t="s">
        <v>252</v>
      </c>
      <c r="K551" s="12" t="s">
        <v>133</v>
      </c>
      <c r="L551" s="12" t="s">
        <v>69</v>
      </c>
      <c r="M551">
        <v>34.49</v>
      </c>
      <c r="N551" s="12" t="s">
        <v>97</v>
      </c>
      <c r="O551" s="12" t="s">
        <v>98</v>
      </c>
      <c r="P551" s="12" t="s">
        <v>72</v>
      </c>
      <c r="Q551" s="13">
        <v>45083</v>
      </c>
      <c r="R551" s="13">
        <v>45131</v>
      </c>
      <c r="S551">
        <v>2023</v>
      </c>
      <c r="T551" s="12" t="s">
        <v>1147</v>
      </c>
      <c r="U551">
        <v>780</v>
      </c>
      <c r="V551">
        <v>10.0604</v>
      </c>
      <c r="W551">
        <v>58.72</v>
      </c>
      <c r="X551">
        <v>0</v>
      </c>
      <c r="Y551">
        <v>0</v>
      </c>
      <c r="Z551">
        <v>7847.11</v>
      </c>
      <c r="AA551">
        <v>7905.83</v>
      </c>
      <c r="AB551" s="12" t="s">
        <v>775</v>
      </c>
      <c r="AC551">
        <v>10.0604</v>
      </c>
      <c r="AD551">
        <v>1</v>
      </c>
      <c r="AE551">
        <v>1</v>
      </c>
      <c r="AF551">
        <v>0</v>
      </c>
      <c r="AG551">
        <v>7847.11</v>
      </c>
      <c r="AH551">
        <v>780</v>
      </c>
      <c r="AI551">
        <v>774</v>
      </c>
      <c r="AJ551">
        <v>6</v>
      </c>
      <c r="AK551">
        <v>1</v>
      </c>
      <c r="AL551">
        <v>1</v>
      </c>
      <c r="AM551">
        <v>99.23</v>
      </c>
      <c r="AN551">
        <v>10.2143</v>
      </c>
      <c r="AO551">
        <v>60.36</v>
      </c>
      <c r="AP551" s="13">
        <v>45130</v>
      </c>
      <c r="AQ551">
        <v>-1</v>
      </c>
      <c r="AR551">
        <v>1</v>
      </c>
    </row>
    <row r="552" spans="1:44" x14ac:dyDescent="0.35">
      <c r="A552" s="12" t="s">
        <v>1191</v>
      </c>
      <c r="B552" s="12" t="s">
        <v>823</v>
      </c>
      <c r="C552" s="12" t="s">
        <v>824</v>
      </c>
      <c r="D552" s="12" t="s">
        <v>114</v>
      </c>
      <c r="E552" s="12" t="s">
        <v>142</v>
      </c>
      <c r="F552">
        <v>1</v>
      </c>
      <c r="G552">
        <v>8</v>
      </c>
      <c r="H552">
        <v>1</v>
      </c>
      <c r="I552" s="12" t="s">
        <v>515</v>
      </c>
      <c r="J552" s="12" t="s">
        <v>516</v>
      </c>
      <c r="K552" s="12" t="s">
        <v>68</v>
      </c>
      <c r="L552" s="12" t="s">
        <v>134</v>
      </c>
      <c r="M552">
        <v>3.69</v>
      </c>
      <c r="N552" s="12" t="s">
        <v>70</v>
      </c>
      <c r="O552" s="12" t="s">
        <v>71</v>
      </c>
      <c r="P552" s="12" t="s">
        <v>72</v>
      </c>
      <c r="Q552" s="13">
        <v>45083</v>
      </c>
      <c r="R552" s="13">
        <v>45125</v>
      </c>
      <c r="S552">
        <v>2023</v>
      </c>
      <c r="T552" s="12" t="s">
        <v>1147</v>
      </c>
      <c r="U552">
        <v>67</v>
      </c>
      <c r="V552">
        <v>361.73399999999998</v>
      </c>
      <c r="W552">
        <v>147.21</v>
      </c>
      <c r="X552">
        <v>0</v>
      </c>
      <c r="Y552">
        <v>0</v>
      </c>
      <c r="Z552">
        <v>24236.18</v>
      </c>
      <c r="AA552">
        <v>24383.39</v>
      </c>
      <c r="AB552" s="12" t="s">
        <v>825</v>
      </c>
      <c r="AC552">
        <v>361.73399999999998</v>
      </c>
      <c r="AD552">
        <v>1</v>
      </c>
      <c r="AE552">
        <v>1</v>
      </c>
      <c r="AF552">
        <v>0</v>
      </c>
      <c r="AG552">
        <v>24236.18</v>
      </c>
      <c r="AH552">
        <v>67</v>
      </c>
      <c r="AI552">
        <v>66</v>
      </c>
      <c r="AJ552">
        <v>1</v>
      </c>
      <c r="AK552">
        <v>1</v>
      </c>
      <c r="AL552">
        <v>1</v>
      </c>
      <c r="AM552">
        <v>98.51</v>
      </c>
      <c r="AN552">
        <v>369.44529999999997</v>
      </c>
      <c r="AO552">
        <v>361.73</v>
      </c>
      <c r="AP552" s="13">
        <v>45123</v>
      </c>
      <c r="AQ552">
        <v>-2</v>
      </c>
      <c r="AR552">
        <v>1</v>
      </c>
    </row>
    <row r="553" spans="1:44" x14ac:dyDescent="0.35">
      <c r="A553" s="12" t="s">
        <v>1192</v>
      </c>
      <c r="B553" s="12" t="s">
        <v>357</v>
      </c>
      <c r="C553" s="12" t="s">
        <v>358</v>
      </c>
      <c r="D553" s="12" t="s">
        <v>103</v>
      </c>
      <c r="E553" s="12" t="s">
        <v>104</v>
      </c>
      <c r="F553">
        <v>3</v>
      </c>
      <c r="G553">
        <v>1</v>
      </c>
      <c r="H553">
        <v>0</v>
      </c>
      <c r="I553" s="12" t="s">
        <v>105</v>
      </c>
      <c r="J553" s="12" t="s">
        <v>106</v>
      </c>
      <c r="K553" s="12" t="s">
        <v>81</v>
      </c>
      <c r="L553" s="12" t="s">
        <v>96</v>
      </c>
      <c r="M553">
        <v>5.01</v>
      </c>
      <c r="N553" s="12" t="s">
        <v>107</v>
      </c>
      <c r="O553" s="12" t="s">
        <v>108</v>
      </c>
      <c r="P553" s="12" t="s">
        <v>109</v>
      </c>
      <c r="Q553" s="13">
        <v>45083</v>
      </c>
      <c r="R553" s="13">
        <v>45106</v>
      </c>
      <c r="S553">
        <v>2023</v>
      </c>
      <c r="T553" s="12" t="s">
        <v>1147</v>
      </c>
      <c r="U553">
        <v>103</v>
      </c>
      <c r="V553">
        <v>106.6914</v>
      </c>
      <c r="W553">
        <v>228.71</v>
      </c>
      <c r="X553">
        <v>0</v>
      </c>
      <c r="Y553">
        <v>0</v>
      </c>
      <c r="Z553">
        <v>10989.21</v>
      </c>
      <c r="AA553">
        <v>11217.92</v>
      </c>
      <c r="AB553" s="12" t="s">
        <v>882</v>
      </c>
      <c r="AC553">
        <v>106.6914</v>
      </c>
      <c r="AD553">
        <v>1</v>
      </c>
      <c r="AE553">
        <v>1</v>
      </c>
      <c r="AF553">
        <v>0</v>
      </c>
      <c r="AG553">
        <v>10989.21</v>
      </c>
      <c r="AH553">
        <v>103</v>
      </c>
      <c r="AI553">
        <v>103</v>
      </c>
      <c r="AJ553">
        <v>0</v>
      </c>
      <c r="AK553">
        <v>1</v>
      </c>
      <c r="AL553">
        <v>1</v>
      </c>
      <c r="AM553">
        <v>100</v>
      </c>
      <c r="AN553">
        <v>108.9119</v>
      </c>
      <c r="AO553">
        <v>0</v>
      </c>
      <c r="AP553" s="13">
        <v>45112</v>
      </c>
      <c r="AQ553">
        <v>6</v>
      </c>
      <c r="AR553">
        <v>0</v>
      </c>
    </row>
    <row r="554" spans="1:44" x14ac:dyDescent="0.35">
      <c r="A554" s="12" t="s">
        <v>1193</v>
      </c>
      <c r="B554" s="12" t="s">
        <v>952</v>
      </c>
      <c r="C554" s="12" t="s">
        <v>953</v>
      </c>
      <c r="D554" s="12" t="s">
        <v>64</v>
      </c>
      <c r="E554" s="12" t="s">
        <v>142</v>
      </c>
      <c r="F554">
        <v>1</v>
      </c>
      <c r="G554">
        <v>8</v>
      </c>
      <c r="H554">
        <v>1</v>
      </c>
      <c r="I554" s="12" t="s">
        <v>131</v>
      </c>
      <c r="J554" s="12" t="s">
        <v>132</v>
      </c>
      <c r="K554" s="12" t="s">
        <v>133</v>
      </c>
      <c r="L554" s="12" t="s">
        <v>134</v>
      </c>
      <c r="M554">
        <v>1.51</v>
      </c>
      <c r="N554" s="12" t="s">
        <v>70</v>
      </c>
      <c r="O554" s="12" t="s">
        <v>71</v>
      </c>
      <c r="P554" s="12" t="s">
        <v>72</v>
      </c>
      <c r="Q554" s="13">
        <v>45083</v>
      </c>
      <c r="R554" s="13">
        <v>45120</v>
      </c>
      <c r="S554">
        <v>2023</v>
      </c>
      <c r="T554" s="12" t="s">
        <v>1147</v>
      </c>
      <c r="U554">
        <v>206</v>
      </c>
      <c r="V554">
        <v>31.146599999999999</v>
      </c>
      <c r="W554">
        <v>77.41</v>
      </c>
      <c r="X554">
        <v>0</v>
      </c>
      <c r="Y554">
        <v>0</v>
      </c>
      <c r="Z554">
        <v>6416.2</v>
      </c>
      <c r="AA554">
        <v>6493.61</v>
      </c>
      <c r="AB554" s="12" t="s">
        <v>954</v>
      </c>
      <c r="AC554">
        <v>31.146599999999999</v>
      </c>
      <c r="AD554">
        <v>1</v>
      </c>
      <c r="AE554">
        <v>1</v>
      </c>
      <c r="AF554">
        <v>0</v>
      </c>
      <c r="AG554">
        <v>6416.2</v>
      </c>
      <c r="AH554">
        <v>206</v>
      </c>
      <c r="AI554">
        <v>204</v>
      </c>
      <c r="AJ554">
        <v>2</v>
      </c>
      <c r="AK554">
        <v>1</v>
      </c>
      <c r="AL554">
        <v>1</v>
      </c>
      <c r="AM554">
        <v>99.03</v>
      </c>
      <c r="AN554">
        <v>31.831399999999999</v>
      </c>
      <c r="AO554">
        <v>62.29</v>
      </c>
      <c r="AP554" s="13">
        <v>45118</v>
      </c>
      <c r="AQ554">
        <v>-2</v>
      </c>
      <c r="AR554">
        <v>1</v>
      </c>
    </row>
    <row r="555" spans="1:44" x14ac:dyDescent="0.35">
      <c r="A555" s="12" t="s">
        <v>1194</v>
      </c>
      <c r="B555" s="12" t="s">
        <v>289</v>
      </c>
      <c r="C555" s="12" t="s">
        <v>290</v>
      </c>
      <c r="D555" s="12" t="s">
        <v>175</v>
      </c>
      <c r="E555" s="12" t="s">
        <v>104</v>
      </c>
      <c r="F555">
        <v>3</v>
      </c>
      <c r="G555">
        <v>1</v>
      </c>
      <c r="H555">
        <v>0</v>
      </c>
      <c r="I555" s="12" t="s">
        <v>157</v>
      </c>
      <c r="J555" s="12" t="s">
        <v>158</v>
      </c>
      <c r="K555" s="12" t="s">
        <v>117</v>
      </c>
      <c r="L555" s="12" t="s">
        <v>96</v>
      </c>
      <c r="M555">
        <v>4.72</v>
      </c>
      <c r="N555" s="12" t="s">
        <v>107</v>
      </c>
      <c r="O555" s="12" t="s">
        <v>108</v>
      </c>
      <c r="P555" s="12" t="s">
        <v>109</v>
      </c>
      <c r="Q555" s="13">
        <v>45083</v>
      </c>
      <c r="R555" s="13">
        <v>45105</v>
      </c>
      <c r="S555">
        <v>2023</v>
      </c>
      <c r="T555" s="12" t="s">
        <v>1147</v>
      </c>
      <c r="U555">
        <v>91</v>
      </c>
      <c r="V555">
        <v>183.28399999999999</v>
      </c>
      <c r="W555">
        <v>411.52</v>
      </c>
      <c r="X555">
        <v>0</v>
      </c>
      <c r="Y555">
        <v>0</v>
      </c>
      <c r="Z555">
        <v>16678.84</v>
      </c>
      <c r="AA555">
        <v>17090.36</v>
      </c>
      <c r="AB555" s="12" t="s">
        <v>291</v>
      </c>
      <c r="AC555">
        <v>194.9136</v>
      </c>
      <c r="AD555">
        <v>1</v>
      </c>
      <c r="AE555">
        <v>1</v>
      </c>
      <c r="AF555">
        <v>-1058.29</v>
      </c>
      <c r="AG555">
        <v>17737.14</v>
      </c>
      <c r="AH555">
        <v>91</v>
      </c>
      <c r="AI555">
        <v>90</v>
      </c>
      <c r="AJ555">
        <v>1</v>
      </c>
      <c r="AK555">
        <v>1</v>
      </c>
      <c r="AL555">
        <v>1</v>
      </c>
      <c r="AM555">
        <v>98.9</v>
      </c>
      <c r="AN555">
        <v>189.8929</v>
      </c>
      <c r="AO555">
        <v>183.28</v>
      </c>
      <c r="AP555" s="13">
        <v>45106</v>
      </c>
      <c r="AQ555">
        <v>1</v>
      </c>
      <c r="AR555">
        <v>0</v>
      </c>
    </row>
    <row r="556" spans="1:44" x14ac:dyDescent="0.35">
      <c r="A556" s="12" t="s">
        <v>1195</v>
      </c>
      <c r="B556" s="12" t="s">
        <v>482</v>
      </c>
      <c r="C556" s="12" t="s">
        <v>483</v>
      </c>
      <c r="D556" s="12" t="s">
        <v>78</v>
      </c>
      <c r="E556" s="12" t="s">
        <v>142</v>
      </c>
      <c r="F556">
        <v>2</v>
      </c>
      <c r="G556">
        <v>9</v>
      </c>
      <c r="H556">
        <v>0</v>
      </c>
      <c r="I556" s="12" t="s">
        <v>87</v>
      </c>
      <c r="J556" s="12" t="s">
        <v>88</v>
      </c>
      <c r="K556" s="12" t="s">
        <v>89</v>
      </c>
      <c r="L556" s="12" t="s">
        <v>69</v>
      </c>
      <c r="M556">
        <v>14.93</v>
      </c>
      <c r="N556" s="12" t="s">
        <v>70</v>
      </c>
      <c r="O556" s="12" t="s">
        <v>71</v>
      </c>
      <c r="P556" s="12" t="s">
        <v>72</v>
      </c>
      <c r="Q556" s="13">
        <v>45083</v>
      </c>
      <c r="R556" s="13">
        <v>45128</v>
      </c>
      <c r="S556">
        <v>2023</v>
      </c>
      <c r="T556" s="12" t="s">
        <v>1147</v>
      </c>
      <c r="U556">
        <v>190</v>
      </c>
      <c r="V556">
        <v>49.685899999999997</v>
      </c>
      <c r="W556">
        <v>94.27</v>
      </c>
      <c r="X556">
        <v>0</v>
      </c>
      <c r="Y556">
        <v>0</v>
      </c>
      <c r="Z556">
        <v>9440.32</v>
      </c>
      <c r="AA556">
        <v>9534.59</v>
      </c>
      <c r="AB556" s="12" t="s">
        <v>484</v>
      </c>
      <c r="AC556">
        <v>49.685899999999997</v>
      </c>
      <c r="AD556">
        <v>1</v>
      </c>
      <c r="AE556">
        <v>1</v>
      </c>
      <c r="AF556">
        <v>0</v>
      </c>
      <c r="AG556">
        <v>9440.32</v>
      </c>
      <c r="AH556">
        <v>190</v>
      </c>
      <c r="AI556">
        <v>186</v>
      </c>
      <c r="AJ556">
        <v>4</v>
      </c>
      <c r="AK556">
        <v>1</v>
      </c>
      <c r="AL556">
        <v>1</v>
      </c>
      <c r="AM556">
        <v>97.89</v>
      </c>
      <c r="AN556">
        <v>51.261200000000002</v>
      </c>
      <c r="AO556">
        <v>198.74</v>
      </c>
      <c r="AP556" s="13">
        <v>45135</v>
      </c>
      <c r="AQ556">
        <v>7</v>
      </c>
      <c r="AR556">
        <v>0</v>
      </c>
    </row>
    <row r="557" spans="1:44" x14ac:dyDescent="0.35">
      <c r="A557" s="12" t="s">
        <v>1196</v>
      </c>
      <c r="B557" s="12" t="s">
        <v>327</v>
      </c>
      <c r="C557" s="12" t="s">
        <v>328</v>
      </c>
      <c r="D557" s="12" t="s">
        <v>130</v>
      </c>
      <c r="E557" s="12" t="s">
        <v>104</v>
      </c>
      <c r="F557">
        <v>2</v>
      </c>
      <c r="G557">
        <v>0</v>
      </c>
      <c r="H557">
        <v>0</v>
      </c>
      <c r="I557" s="12" t="s">
        <v>94</v>
      </c>
      <c r="J557" s="12" t="s">
        <v>95</v>
      </c>
      <c r="K557" s="12" t="s">
        <v>81</v>
      </c>
      <c r="L557" s="12" t="s">
        <v>96</v>
      </c>
      <c r="M557">
        <v>4.8099999999999996</v>
      </c>
      <c r="N557" s="12" t="s">
        <v>159</v>
      </c>
      <c r="O557" s="12" t="s">
        <v>160</v>
      </c>
      <c r="P557" s="12" t="s">
        <v>137</v>
      </c>
      <c r="Q557" s="13">
        <v>45084</v>
      </c>
      <c r="R557" s="13">
        <v>45107</v>
      </c>
      <c r="S557">
        <v>2023</v>
      </c>
      <c r="T557" s="12" t="s">
        <v>1147</v>
      </c>
      <c r="U557">
        <v>96</v>
      </c>
      <c r="V557">
        <v>762.93029999999999</v>
      </c>
      <c r="W557">
        <v>468.77</v>
      </c>
      <c r="X557">
        <v>0</v>
      </c>
      <c r="Y557">
        <v>0</v>
      </c>
      <c r="Z557">
        <v>73241.31</v>
      </c>
      <c r="AA557">
        <v>73710.080000000002</v>
      </c>
      <c r="AB557" s="12" t="s">
        <v>329</v>
      </c>
      <c r="AC557">
        <v>762.93029999999999</v>
      </c>
      <c r="AD557">
        <v>1</v>
      </c>
      <c r="AE557">
        <v>1</v>
      </c>
      <c r="AF557">
        <v>0</v>
      </c>
      <c r="AG557">
        <v>73241.31</v>
      </c>
      <c r="AH557">
        <v>96</v>
      </c>
      <c r="AI557">
        <v>95</v>
      </c>
      <c r="AJ557">
        <v>1</v>
      </c>
      <c r="AK557">
        <v>1</v>
      </c>
      <c r="AL557">
        <v>1</v>
      </c>
      <c r="AM557">
        <v>98.96</v>
      </c>
      <c r="AN557">
        <v>775.89559999999994</v>
      </c>
      <c r="AO557">
        <v>762.93</v>
      </c>
      <c r="AP557" s="13">
        <v>45104</v>
      </c>
      <c r="AQ557">
        <v>-3</v>
      </c>
      <c r="AR557">
        <v>1</v>
      </c>
    </row>
    <row r="558" spans="1:44" x14ac:dyDescent="0.35">
      <c r="A558" s="12" t="s">
        <v>1197</v>
      </c>
      <c r="B558" s="12" t="s">
        <v>101</v>
      </c>
      <c r="C558" s="12" t="s">
        <v>102</v>
      </c>
      <c r="D558" s="12" t="s">
        <v>103</v>
      </c>
      <c r="E558" s="12" t="s">
        <v>104</v>
      </c>
      <c r="F558">
        <v>1</v>
      </c>
      <c r="G558">
        <v>0</v>
      </c>
      <c r="H558">
        <v>1</v>
      </c>
      <c r="I558" s="12" t="s">
        <v>105</v>
      </c>
      <c r="J558" s="12" t="s">
        <v>106</v>
      </c>
      <c r="K558" s="12" t="s">
        <v>81</v>
      </c>
      <c r="L558" s="12" t="s">
        <v>96</v>
      </c>
      <c r="M558">
        <v>5.01</v>
      </c>
      <c r="N558" s="12" t="s">
        <v>107</v>
      </c>
      <c r="O558" s="12" t="s">
        <v>108</v>
      </c>
      <c r="P558" s="12" t="s">
        <v>109</v>
      </c>
      <c r="Q558" s="13">
        <v>45084</v>
      </c>
      <c r="R558" s="13">
        <v>45105</v>
      </c>
      <c r="S558">
        <v>2023</v>
      </c>
      <c r="T558" s="12" t="s">
        <v>1147</v>
      </c>
      <c r="U558">
        <v>85</v>
      </c>
      <c r="V558">
        <v>207.4813</v>
      </c>
      <c r="W558">
        <v>124.11</v>
      </c>
      <c r="X558">
        <v>0</v>
      </c>
      <c r="Y558">
        <v>0</v>
      </c>
      <c r="Z558">
        <v>17635.91</v>
      </c>
      <c r="AA558">
        <v>17760.02</v>
      </c>
      <c r="AB558" s="12" t="s">
        <v>110</v>
      </c>
      <c r="AC558">
        <v>207.4813</v>
      </c>
      <c r="AD558">
        <v>1</v>
      </c>
      <c r="AE558">
        <v>1</v>
      </c>
      <c r="AF558">
        <v>0</v>
      </c>
      <c r="AG558">
        <v>17635.91</v>
      </c>
      <c r="AH558">
        <v>85</v>
      </c>
      <c r="AI558">
        <v>84</v>
      </c>
      <c r="AJ558">
        <v>1</v>
      </c>
      <c r="AK558">
        <v>1</v>
      </c>
      <c r="AL558">
        <v>1</v>
      </c>
      <c r="AM558">
        <v>98.82</v>
      </c>
      <c r="AN558">
        <v>211.4288</v>
      </c>
      <c r="AO558">
        <v>207.48</v>
      </c>
      <c r="AP558" s="13">
        <v>45104</v>
      </c>
      <c r="AQ558">
        <v>-1</v>
      </c>
      <c r="AR558">
        <v>1</v>
      </c>
    </row>
    <row r="559" spans="1:44" x14ac:dyDescent="0.35">
      <c r="A559" s="12" t="s">
        <v>1198</v>
      </c>
      <c r="B559" s="12" t="s">
        <v>513</v>
      </c>
      <c r="C559" s="12" t="s">
        <v>514</v>
      </c>
      <c r="D559" s="12" t="s">
        <v>269</v>
      </c>
      <c r="E559" s="12" t="s">
        <v>65</v>
      </c>
      <c r="F559">
        <v>1</v>
      </c>
      <c r="G559">
        <v>2</v>
      </c>
      <c r="H559">
        <v>1</v>
      </c>
      <c r="I559" s="12" t="s">
        <v>515</v>
      </c>
      <c r="J559" s="12" t="s">
        <v>516</v>
      </c>
      <c r="K559" s="12" t="s">
        <v>68</v>
      </c>
      <c r="L559" s="12" t="s">
        <v>134</v>
      </c>
      <c r="M559">
        <v>3.69</v>
      </c>
      <c r="N559" s="12" t="s">
        <v>135</v>
      </c>
      <c r="O559" s="12" t="s">
        <v>136</v>
      </c>
      <c r="P559" s="12" t="s">
        <v>137</v>
      </c>
      <c r="Q559" s="13">
        <v>45084</v>
      </c>
      <c r="R559" s="13">
        <v>45112</v>
      </c>
      <c r="S559">
        <v>2023</v>
      </c>
      <c r="T559" s="12" t="s">
        <v>1147</v>
      </c>
      <c r="U559">
        <v>69</v>
      </c>
      <c r="V559">
        <v>229.3486</v>
      </c>
      <c r="W559">
        <v>323.33</v>
      </c>
      <c r="X559">
        <v>0</v>
      </c>
      <c r="Y559">
        <v>0</v>
      </c>
      <c r="Z559">
        <v>15825.05</v>
      </c>
      <c r="AA559">
        <v>16148.38</v>
      </c>
      <c r="AB559" s="12" t="s">
        <v>517</v>
      </c>
      <c r="AC559">
        <v>229.3486</v>
      </c>
      <c r="AD559">
        <v>1</v>
      </c>
      <c r="AE559">
        <v>1</v>
      </c>
      <c r="AF559">
        <v>0</v>
      </c>
      <c r="AG559">
        <v>15825.05</v>
      </c>
      <c r="AH559">
        <v>69</v>
      </c>
      <c r="AI559">
        <v>68</v>
      </c>
      <c r="AJ559">
        <v>1</v>
      </c>
      <c r="AK559">
        <v>1</v>
      </c>
      <c r="AL559">
        <v>1</v>
      </c>
      <c r="AM559">
        <v>98.55</v>
      </c>
      <c r="AN559">
        <v>237.47620000000001</v>
      </c>
      <c r="AO559">
        <v>229.35</v>
      </c>
      <c r="AP559" s="13">
        <v>45109</v>
      </c>
      <c r="AQ559">
        <v>-3</v>
      </c>
      <c r="AR559">
        <v>1</v>
      </c>
    </row>
    <row r="560" spans="1:44" x14ac:dyDescent="0.35">
      <c r="A560" s="12" t="s">
        <v>1199</v>
      </c>
      <c r="B560" s="12" t="s">
        <v>76</v>
      </c>
      <c r="C560" s="12" t="s">
        <v>77</v>
      </c>
      <c r="D560" s="12" t="s">
        <v>78</v>
      </c>
      <c r="E560" s="12" t="s">
        <v>65</v>
      </c>
      <c r="F560">
        <v>2</v>
      </c>
      <c r="G560">
        <v>4</v>
      </c>
      <c r="H560">
        <v>0</v>
      </c>
      <c r="I560" s="12" t="s">
        <v>79</v>
      </c>
      <c r="J560" s="12" t="s">
        <v>80</v>
      </c>
      <c r="K560" s="12" t="s">
        <v>81</v>
      </c>
      <c r="L560" s="12" t="s">
        <v>82</v>
      </c>
      <c r="M560">
        <v>12.07</v>
      </c>
      <c r="N560" s="12" t="s">
        <v>70</v>
      </c>
      <c r="O560" s="12" t="s">
        <v>71</v>
      </c>
      <c r="P560" s="12" t="s">
        <v>72</v>
      </c>
      <c r="Q560" s="13">
        <v>45084</v>
      </c>
      <c r="R560" s="13">
        <v>45120</v>
      </c>
      <c r="S560">
        <v>2023</v>
      </c>
      <c r="T560" s="12" t="s">
        <v>1147</v>
      </c>
      <c r="U560">
        <v>257</v>
      </c>
      <c r="V560">
        <v>45.991</v>
      </c>
      <c r="W560">
        <v>149.58000000000001</v>
      </c>
      <c r="X560">
        <v>0</v>
      </c>
      <c r="Y560">
        <v>0</v>
      </c>
      <c r="Z560">
        <v>11819.69</v>
      </c>
      <c r="AA560">
        <v>11969.27</v>
      </c>
      <c r="AB560" s="12" t="s">
        <v>83</v>
      </c>
      <c r="AC560">
        <v>45.991</v>
      </c>
      <c r="AD560">
        <v>1</v>
      </c>
      <c r="AE560">
        <v>1</v>
      </c>
      <c r="AF560">
        <v>0</v>
      </c>
      <c r="AG560">
        <v>11819.69</v>
      </c>
      <c r="AH560">
        <v>257</v>
      </c>
      <c r="AI560">
        <v>251</v>
      </c>
      <c r="AJ560">
        <v>6</v>
      </c>
      <c r="AK560">
        <v>1</v>
      </c>
      <c r="AL560">
        <v>1</v>
      </c>
      <c r="AM560">
        <v>97.67</v>
      </c>
      <c r="AN560">
        <v>47.686300000000003</v>
      </c>
      <c r="AO560">
        <v>275.95</v>
      </c>
      <c r="AP560" s="13">
        <v>45121</v>
      </c>
      <c r="AQ560">
        <v>1</v>
      </c>
      <c r="AR560">
        <v>0</v>
      </c>
    </row>
    <row r="561" spans="1:44" x14ac:dyDescent="0.35">
      <c r="A561" s="12" t="s">
        <v>1200</v>
      </c>
      <c r="B561" s="12" t="s">
        <v>809</v>
      </c>
      <c r="C561" s="12" t="s">
        <v>810</v>
      </c>
      <c r="D561" s="12" t="s">
        <v>114</v>
      </c>
      <c r="E561" s="12" t="s">
        <v>65</v>
      </c>
      <c r="F561">
        <v>3</v>
      </c>
      <c r="G561">
        <v>5</v>
      </c>
      <c r="H561">
        <v>0</v>
      </c>
      <c r="I561" s="12" t="s">
        <v>804</v>
      </c>
      <c r="J561" s="12" t="s">
        <v>342</v>
      </c>
      <c r="K561" s="12" t="s">
        <v>117</v>
      </c>
      <c r="L561" s="12" t="s">
        <v>69</v>
      </c>
      <c r="M561">
        <v>30.07</v>
      </c>
      <c r="N561" s="12" t="s">
        <v>70</v>
      </c>
      <c r="O561" s="12" t="s">
        <v>71</v>
      </c>
      <c r="P561" s="12" t="s">
        <v>72</v>
      </c>
      <c r="Q561" s="13">
        <v>45084</v>
      </c>
      <c r="R561" s="13">
        <v>45119</v>
      </c>
      <c r="S561">
        <v>2023</v>
      </c>
      <c r="T561" s="12" t="s">
        <v>1147</v>
      </c>
      <c r="U561">
        <v>124</v>
      </c>
      <c r="V561">
        <v>342.49020000000002</v>
      </c>
      <c r="W561">
        <v>469.22</v>
      </c>
      <c r="X561">
        <v>0</v>
      </c>
      <c r="Y561">
        <v>0</v>
      </c>
      <c r="Z561">
        <v>42468.78</v>
      </c>
      <c r="AA561">
        <v>42938</v>
      </c>
      <c r="AB561" s="12" t="s">
        <v>880</v>
      </c>
      <c r="AC561">
        <v>323.22789999999998</v>
      </c>
      <c r="AD561">
        <v>1</v>
      </c>
      <c r="AE561">
        <v>1</v>
      </c>
      <c r="AF561">
        <v>2388.5300000000002</v>
      </c>
      <c r="AG561">
        <v>40080.26</v>
      </c>
      <c r="AH561">
        <v>124</v>
      </c>
      <c r="AI561">
        <v>122</v>
      </c>
      <c r="AJ561">
        <v>2</v>
      </c>
      <c r="AK561">
        <v>1</v>
      </c>
      <c r="AL561">
        <v>1</v>
      </c>
      <c r="AM561">
        <v>98.39</v>
      </c>
      <c r="AN561">
        <v>351.95089999999999</v>
      </c>
      <c r="AO561">
        <v>684.98</v>
      </c>
      <c r="AP561" s="13">
        <v>45116</v>
      </c>
      <c r="AQ561">
        <v>-3</v>
      </c>
      <c r="AR561">
        <v>1</v>
      </c>
    </row>
    <row r="562" spans="1:44" x14ac:dyDescent="0.35">
      <c r="A562" s="12" t="s">
        <v>1201</v>
      </c>
      <c r="B562" s="12" t="s">
        <v>362</v>
      </c>
      <c r="C562" s="12" t="s">
        <v>363</v>
      </c>
      <c r="D562" s="12" t="s">
        <v>78</v>
      </c>
      <c r="E562" s="12" t="s">
        <v>104</v>
      </c>
      <c r="F562">
        <v>3</v>
      </c>
      <c r="G562">
        <v>0</v>
      </c>
      <c r="H562">
        <v>0</v>
      </c>
      <c r="I562" s="12" t="s">
        <v>157</v>
      </c>
      <c r="J562" s="12" t="s">
        <v>158</v>
      </c>
      <c r="K562" s="12" t="s">
        <v>117</v>
      </c>
      <c r="L562" s="12" t="s">
        <v>96</v>
      </c>
      <c r="M562">
        <v>4.72</v>
      </c>
      <c r="N562" s="12" t="s">
        <v>97</v>
      </c>
      <c r="O562" s="12" t="s">
        <v>98</v>
      </c>
      <c r="P562" s="12" t="s">
        <v>72</v>
      </c>
      <c r="Q562" s="13">
        <v>45084</v>
      </c>
      <c r="R562" s="13">
        <v>45107</v>
      </c>
      <c r="S562">
        <v>2023</v>
      </c>
      <c r="T562" s="12" t="s">
        <v>1147</v>
      </c>
      <c r="U562">
        <v>209</v>
      </c>
      <c r="V562">
        <v>63.140599999999999</v>
      </c>
      <c r="W562">
        <v>83.58</v>
      </c>
      <c r="X562">
        <v>0</v>
      </c>
      <c r="Y562">
        <v>0</v>
      </c>
      <c r="Z562">
        <v>13196.39</v>
      </c>
      <c r="AA562">
        <v>13279.97</v>
      </c>
      <c r="AB562" s="12" t="s">
        <v>364</v>
      </c>
      <c r="AC562">
        <v>63.140599999999999</v>
      </c>
      <c r="AD562">
        <v>1</v>
      </c>
      <c r="AE562">
        <v>1</v>
      </c>
      <c r="AF562">
        <v>0</v>
      </c>
      <c r="AG562">
        <v>13196.39</v>
      </c>
      <c r="AH562">
        <v>209</v>
      </c>
      <c r="AI562">
        <v>207</v>
      </c>
      <c r="AJ562">
        <v>2</v>
      </c>
      <c r="AK562">
        <v>1</v>
      </c>
      <c r="AL562">
        <v>1</v>
      </c>
      <c r="AM562">
        <v>99.04</v>
      </c>
      <c r="AN562">
        <v>64.154399999999995</v>
      </c>
      <c r="AO562">
        <v>126.28</v>
      </c>
      <c r="AP562" s="13">
        <v>45108</v>
      </c>
      <c r="AQ562">
        <v>1</v>
      </c>
      <c r="AR562">
        <v>0</v>
      </c>
    </row>
    <row r="563" spans="1:44" x14ac:dyDescent="0.35">
      <c r="A563" s="12" t="s">
        <v>1202</v>
      </c>
      <c r="B563" s="12" t="s">
        <v>670</v>
      </c>
      <c r="C563" s="12" t="s">
        <v>671</v>
      </c>
      <c r="D563" s="12" t="s">
        <v>175</v>
      </c>
      <c r="E563" s="12" t="s">
        <v>142</v>
      </c>
      <c r="F563">
        <v>2</v>
      </c>
      <c r="G563">
        <v>9</v>
      </c>
      <c r="H563">
        <v>0</v>
      </c>
      <c r="I563" s="12" t="s">
        <v>105</v>
      </c>
      <c r="J563" s="12" t="s">
        <v>106</v>
      </c>
      <c r="K563" s="12" t="s">
        <v>81</v>
      </c>
      <c r="L563" s="12" t="s">
        <v>96</v>
      </c>
      <c r="M563">
        <v>5.01</v>
      </c>
      <c r="N563" s="12" t="s">
        <v>107</v>
      </c>
      <c r="O563" s="12" t="s">
        <v>108</v>
      </c>
      <c r="P563" s="12" t="s">
        <v>109</v>
      </c>
      <c r="Q563" s="13">
        <v>45084</v>
      </c>
      <c r="R563" s="13">
        <v>45129</v>
      </c>
      <c r="S563">
        <v>2023</v>
      </c>
      <c r="T563" s="12" t="s">
        <v>1147</v>
      </c>
      <c r="U563">
        <v>92</v>
      </c>
      <c r="V563">
        <v>151.31620000000001</v>
      </c>
      <c r="W563">
        <v>189.75</v>
      </c>
      <c r="X563">
        <v>0</v>
      </c>
      <c r="Y563">
        <v>0</v>
      </c>
      <c r="Z563">
        <v>13921.09</v>
      </c>
      <c r="AA563">
        <v>14110.84</v>
      </c>
      <c r="AB563" s="12" t="s">
        <v>1203</v>
      </c>
      <c r="AC563">
        <v>151.31620000000001</v>
      </c>
      <c r="AD563">
        <v>1</v>
      </c>
      <c r="AE563">
        <v>1</v>
      </c>
      <c r="AF563">
        <v>0</v>
      </c>
      <c r="AG563">
        <v>13921.09</v>
      </c>
      <c r="AH563">
        <v>92</v>
      </c>
      <c r="AI563">
        <v>91</v>
      </c>
      <c r="AJ563">
        <v>1</v>
      </c>
      <c r="AK563">
        <v>1</v>
      </c>
      <c r="AL563">
        <v>1</v>
      </c>
      <c r="AM563">
        <v>98.91</v>
      </c>
      <c r="AN563">
        <v>155.0642</v>
      </c>
      <c r="AO563">
        <v>151.32</v>
      </c>
      <c r="AP563" s="13">
        <v>45125</v>
      </c>
      <c r="AQ563">
        <v>-4</v>
      </c>
      <c r="AR563">
        <v>1</v>
      </c>
    </row>
    <row r="564" spans="1:44" x14ac:dyDescent="0.35">
      <c r="A564" s="12" t="s">
        <v>1204</v>
      </c>
      <c r="B564" s="12" t="s">
        <v>509</v>
      </c>
      <c r="C564" s="12" t="s">
        <v>510</v>
      </c>
      <c r="D564" s="12" t="s">
        <v>78</v>
      </c>
      <c r="E564" s="12" t="s">
        <v>142</v>
      </c>
      <c r="F564">
        <v>3</v>
      </c>
      <c r="G564">
        <v>11</v>
      </c>
      <c r="H564">
        <v>0</v>
      </c>
      <c r="I564" s="12" t="s">
        <v>275</v>
      </c>
      <c r="J564" s="12" t="s">
        <v>276</v>
      </c>
      <c r="K564" s="12" t="s">
        <v>89</v>
      </c>
      <c r="L564" s="12" t="s">
        <v>82</v>
      </c>
      <c r="M564">
        <v>14.26</v>
      </c>
      <c r="N564" s="12" t="s">
        <v>97</v>
      </c>
      <c r="O564" s="12" t="s">
        <v>98</v>
      </c>
      <c r="P564" s="12" t="s">
        <v>72</v>
      </c>
      <c r="Q564" s="13">
        <v>45084</v>
      </c>
      <c r="R564" s="13">
        <v>45134</v>
      </c>
      <c r="S564">
        <v>2023</v>
      </c>
      <c r="T564" s="12" t="s">
        <v>1147</v>
      </c>
      <c r="U564">
        <v>269</v>
      </c>
      <c r="V564">
        <v>144.51259999999999</v>
      </c>
      <c r="W564">
        <v>821.09</v>
      </c>
      <c r="X564">
        <v>0</v>
      </c>
      <c r="Y564">
        <v>0</v>
      </c>
      <c r="Z564">
        <v>38873.89</v>
      </c>
      <c r="AA564">
        <v>39694.980000000003</v>
      </c>
      <c r="AB564" s="12" t="s">
        <v>833</v>
      </c>
      <c r="AC564">
        <v>144.51259999999999</v>
      </c>
      <c r="AD564">
        <v>1</v>
      </c>
      <c r="AE564">
        <v>1</v>
      </c>
      <c r="AF564">
        <v>0</v>
      </c>
      <c r="AG564">
        <v>38873.89</v>
      </c>
      <c r="AH564">
        <v>269</v>
      </c>
      <c r="AI564">
        <v>267</v>
      </c>
      <c r="AJ564">
        <v>2</v>
      </c>
      <c r="AK564">
        <v>1</v>
      </c>
      <c r="AL564">
        <v>1</v>
      </c>
      <c r="AM564">
        <v>99.26</v>
      </c>
      <c r="AN564">
        <v>148.6703</v>
      </c>
      <c r="AO564">
        <v>289.02999999999997</v>
      </c>
      <c r="AP564" s="13">
        <v>45141</v>
      </c>
      <c r="AQ564">
        <v>7</v>
      </c>
      <c r="AR564">
        <v>0</v>
      </c>
    </row>
    <row r="565" spans="1:44" x14ac:dyDescent="0.35">
      <c r="A565" s="12" t="s">
        <v>1205</v>
      </c>
      <c r="B565" s="12" t="s">
        <v>544</v>
      </c>
      <c r="C565" s="12" t="s">
        <v>545</v>
      </c>
      <c r="D565" s="12" t="s">
        <v>175</v>
      </c>
      <c r="E565" s="12" t="s">
        <v>65</v>
      </c>
      <c r="F565">
        <v>3</v>
      </c>
      <c r="G565">
        <v>5</v>
      </c>
      <c r="H565">
        <v>0</v>
      </c>
      <c r="I565" s="12" t="s">
        <v>359</v>
      </c>
      <c r="J565" s="12" t="s">
        <v>360</v>
      </c>
      <c r="K565" s="12" t="s">
        <v>133</v>
      </c>
      <c r="L565" s="12" t="s">
        <v>82</v>
      </c>
      <c r="M565">
        <v>12.65</v>
      </c>
      <c r="N565" s="12" t="s">
        <v>145</v>
      </c>
      <c r="O565" s="12" t="s">
        <v>146</v>
      </c>
      <c r="P565" s="12" t="s">
        <v>109</v>
      </c>
      <c r="Q565" s="13">
        <v>45085</v>
      </c>
      <c r="R565" s="13">
        <v>45123</v>
      </c>
      <c r="S565">
        <v>2023</v>
      </c>
      <c r="T565" s="12" t="s">
        <v>1147</v>
      </c>
      <c r="U565">
        <v>147</v>
      </c>
      <c r="V565">
        <v>155.36940000000001</v>
      </c>
      <c r="W565">
        <v>176.15</v>
      </c>
      <c r="X565">
        <v>0</v>
      </c>
      <c r="Y565">
        <v>0</v>
      </c>
      <c r="Z565">
        <v>22839.3</v>
      </c>
      <c r="AA565">
        <v>23015.45</v>
      </c>
      <c r="AB565" s="12" t="s">
        <v>985</v>
      </c>
      <c r="AC565">
        <v>155.36940000000001</v>
      </c>
      <c r="AD565">
        <v>1</v>
      </c>
      <c r="AE565">
        <v>1</v>
      </c>
      <c r="AF565">
        <v>0</v>
      </c>
      <c r="AG565">
        <v>22839.3</v>
      </c>
      <c r="AH565">
        <v>147</v>
      </c>
      <c r="AI565">
        <v>146</v>
      </c>
      <c r="AJ565">
        <v>1</v>
      </c>
      <c r="AK565">
        <v>1</v>
      </c>
      <c r="AL565">
        <v>1</v>
      </c>
      <c r="AM565">
        <v>99.32</v>
      </c>
      <c r="AN565">
        <v>157.64009999999999</v>
      </c>
      <c r="AO565">
        <v>155.37</v>
      </c>
      <c r="AP565" s="13">
        <v>45122</v>
      </c>
      <c r="AQ565">
        <v>-1</v>
      </c>
      <c r="AR565">
        <v>1</v>
      </c>
    </row>
    <row r="566" spans="1:44" x14ac:dyDescent="0.35">
      <c r="A566" s="12" t="s">
        <v>1206</v>
      </c>
      <c r="B566" s="12" t="s">
        <v>412</v>
      </c>
      <c r="C566" s="12" t="s">
        <v>413</v>
      </c>
      <c r="D566" s="12" t="s">
        <v>269</v>
      </c>
      <c r="E566" s="12" t="s">
        <v>65</v>
      </c>
      <c r="F566">
        <v>1</v>
      </c>
      <c r="G566">
        <v>2</v>
      </c>
      <c r="H566">
        <v>1</v>
      </c>
      <c r="I566" s="12" t="s">
        <v>233</v>
      </c>
      <c r="J566" s="12" t="s">
        <v>234</v>
      </c>
      <c r="K566" s="12" t="s">
        <v>125</v>
      </c>
      <c r="L566" s="12" t="s">
        <v>96</v>
      </c>
      <c r="M566">
        <v>3.73</v>
      </c>
      <c r="N566" s="12" t="s">
        <v>135</v>
      </c>
      <c r="O566" s="12" t="s">
        <v>136</v>
      </c>
      <c r="P566" s="12" t="s">
        <v>137</v>
      </c>
      <c r="Q566" s="13">
        <v>45085</v>
      </c>
      <c r="R566" s="13">
        <v>45110</v>
      </c>
      <c r="S566">
        <v>2023</v>
      </c>
      <c r="T566" s="12" t="s">
        <v>1147</v>
      </c>
      <c r="U566">
        <v>47</v>
      </c>
      <c r="V566">
        <v>104.4832</v>
      </c>
      <c r="W566">
        <v>120.74</v>
      </c>
      <c r="X566">
        <v>0</v>
      </c>
      <c r="Y566">
        <v>0</v>
      </c>
      <c r="Z566">
        <v>4910.71</v>
      </c>
      <c r="AA566">
        <v>5031.45</v>
      </c>
      <c r="AB566" s="12" t="s">
        <v>414</v>
      </c>
      <c r="AC566">
        <v>104.4832</v>
      </c>
      <c r="AD566">
        <v>1</v>
      </c>
      <c r="AE566">
        <v>1</v>
      </c>
      <c r="AF566">
        <v>0</v>
      </c>
      <c r="AG566">
        <v>4910.71</v>
      </c>
      <c r="AH566">
        <v>47</v>
      </c>
      <c r="AI566">
        <v>46</v>
      </c>
      <c r="AJ566">
        <v>1</v>
      </c>
      <c r="AK566">
        <v>1</v>
      </c>
      <c r="AL566">
        <v>1</v>
      </c>
      <c r="AM566">
        <v>97.87</v>
      </c>
      <c r="AN566">
        <v>109.3794</v>
      </c>
      <c r="AO566">
        <v>104.48</v>
      </c>
      <c r="AP566" s="13">
        <v>45109</v>
      </c>
      <c r="AQ566">
        <v>-1</v>
      </c>
      <c r="AR566">
        <v>1</v>
      </c>
    </row>
    <row r="567" spans="1:44" x14ac:dyDescent="0.35">
      <c r="A567" s="12" t="s">
        <v>1207</v>
      </c>
      <c r="B567" s="12" t="s">
        <v>112</v>
      </c>
      <c r="C567" s="12" t="s">
        <v>113</v>
      </c>
      <c r="D567" s="12" t="s">
        <v>114</v>
      </c>
      <c r="E567" s="12" t="s">
        <v>104</v>
      </c>
      <c r="F567">
        <v>3</v>
      </c>
      <c r="G567">
        <v>1</v>
      </c>
      <c r="H567">
        <v>0</v>
      </c>
      <c r="I567" s="12" t="s">
        <v>227</v>
      </c>
      <c r="J567" s="12" t="s">
        <v>228</v>
      </c>
      <c r="K567" s="12" t="s">
        <v>89</v>
      </c>
      <c r="L567" s="12" t="s">
        <v>96</v>
      </c>
      <c r="M567">
        <v>9.15</v>
      </c>
      <c r="N567" s="12" t="s">
        <v>70</v>
      </c>
      <c r="O567" s="12" t="s">
        <v>71</v>
      </c>
      <c r="P567" s="12" t="s">
        <v>72</v>
      </c>
      <c r="Q567" s="13">
        <v>45085</v>
      </c>
      <c r="R567" s="13">
        <v>45100</v>
      </c>
      <c r="S567">
        <v>2023</v>
      </c>
      <c r="T567" s="12" t="s">
        <v>1147</v>
      </c>
      <c r="U567">
        <v>33</v>
      </c>
      <c r="V567">
        <v>264.17590000000001</v>
      </c>
      <c r="W567">
        <v>64.06</v>
      </c>
      <c r="X567">
        <v>0</v>
      </c>
      <c r="Y567">
        <v>0</v>
      </c>
      <c r="Z567">
        <v>8717.7999999999993</v>
      </c>
      <c r="AA567">
        <v>8781.86</v>
      </c>
      <c r="AB567" s="12" t="s">
        <v>282</v>
      </c>
      <c r="AC567">
        <v>264.17590000000001</v>
      </c>
      <c r="AD567">
        <v>1</v>
      </c>
      <c r="AE567">
        <v>1</v>
      </c>
      <c r="AF567">
        <v>0</v>
      </c>
      <c r="AG567">
        <v>8717.7999999999993</v>
      </c>
      <c r="AH567">
        <v>33</v>
      </c>
      <c r="AI567">
        <v>32</v>
      </c>
      <c r="AJ567">
        <v>1</v>
      </c>
      <c r="AK567">
        <v>1</v>
      </c>
      <c r="AL567">
        <v>1</v>
      </c>
      <c r="AM567">
        <v>96.97</v>
      </c>
      <c r="AN567">
        <v>274.43329999999997</v>
      </c>
      <c r="AO567">
        <v>264.18</v>
      </c>
      <c r="AP567" s="13">
        <v>45100</v>
      </c>
      <c r="AQ567">
        <v>0</v>
      </c>
      <c r="AR567">
        <v>1</v>
      </c>
    </row>
    <row r="568" spans="1:44" x14ac:dyDescent="0.35">
      <c r="A568" s="12" t="s">
        <v>1208</v>
      </c>
      <c r="B568" s="12" t="s">
        <v>112</v>
      </c>
      <c r="C568" s="12" t="s">
        <v>113</v>
      </c>
      <c r="D568" s="12" t="s">
        <v>114</v>
      </c>
      <c r="E568" s="12" t="s">
        <v>104</v>
      </c>
      <c r="F568">
        <v>3</v>
      </c>
      <c r="G568">
        <v>1</v>
      </c>
      <c r="H568">
        <v>0</v>
      </c>
      <c r="I568" s="12" t="s">
        <v>227</v>
      </c>
      <c r="J568" s="12" t="s">
        <v>228</v>
      </c>
      <c r="K568" s="12" t="s">
        <v>89</v>
      </c>
      <c r="L568" s="12" t="s">
        <v>96</v>
      </c>
      <c r="M568">
        <v>9.15</v>
      </c>
      <c r="N568" s="12" t="s">
        <v>70</v>
      </c>
      <c r="O568" s="12" t="s">
        <v>71</v>
      </c>
      <c r="P568" s="12" t="s">
        <v>72</v>
      </c>
      <c r="Q568" s="13">
        <v>45085</v>
      </c>
      <c r="R568" s="13">
        <v>45108</v>
      </c>
      <c r="S568">
        <v>2023</v>
      </c>
      <c r="T568" s="12" t="s">
        <v>1147</v>
      </c>
      <c r="U568">
        <v>96</v>
      </c>
      <c r="V568">
        <v>264.17590000000001</v>
      </c>
      <c r="W568">
        <v>623.61</v>
      </c>
      <c r="X568">
        <v>0</v>
      </c>
      <c r="Y568">
        <v>0</v>
      </c>
      <c r="Z568">
        <v>25360.89</v>
      </c>
      <c r="AA568">
        <v>25984.5</v>
      </c>
      <c r="AB568" s="12" t="s">
        <v>282</v>
      </c>
      <c r="AC568">
        <v>264.17590000000001</v>
      </c>
      <c r="AD568">
        <v>1</v>
      </c>
      <c r="AE568">
        <v>1</v>
      </c>
      <c r="AF568">
        <v>0</v>
      </c>
      <c r="AG568">
        <v>25360.89</v>
      </c>
      <c r="AH568">
        <v>96</v>
      </c>
      <c r="AI568">
        <v>95</v>
      </c>
      <c r="AJ568">
        <v>1</v>
      </c>
      <c r="AK568">
        <v>1</v>
      </c>
      <c r="AL568">
        <v>1</v>
      </c>
      <c r="AM568">
        <v>98.96</v>
      </c>
      <c r="AN568">
        <v>273.52100000000002</v>
      </c>
      <c r="AO568">
        <v>264.18</v>
      </c>
      <c r="AP568" s="13">
        <v>45105</v>
      </c>
      <c r="AQ568">
        <v>-3</v>
      </c>
      <c r="AR568">
        <v>1</v>
      </c>
    </row>
    <row r="569" spans="1:44" x14ac:dyDescent="0.35">
      <c r="A569" s="12" t="s">
        <v>1209</v>
      </c>
      <c r="B569" s="12" t="s">
        <v>685</v>
      </c>
      <c r="C569" s="12" t="s">
        <v>686</v>
      </c>
      <c r="D569" s="12" t="s">
        <v>175</v>
      </c>
      <c r="E569" s="12" t="s">
        <v>104</v>
      </c>
      <c r="F569">
        <v>2</v>
      </c>
      <c r="G569">
        <v>0</v>
      </c>
      <c r="H569">
        <v>0</v>
      </c>
      <c r="I569" s="12" t="s">
        <v>195</v>
      </c>
      <c r="J569" s="12" t="s">
        <v>196</v>
      </c>
      <c r="K569" s="12" t="s">
        <v>117</v>
      </c>
      <c r="L569" s="12" t="s">
        <v>134</v>
      </c>
      <c r="M569">
        <v>4.7699999999999996</v>
      </c>
      <c r="N569" s="12" t="s">
        <v>145</v>
      </c>
      <c r="O569" s="12" t="s">
        <v>146</v>
      </c>
      <c r="P569" s="12" t="s">
        <v>109</v>
      </c>
      <c r="Q569" s="13">
        <v>45085</v>
      </c>
      <c r="R569" s="13">
        <v>45106</v>
      </c>
      <c r="S569">
        <v>2023</v>
      </c>
      <c r="T569" s="12" t="s">
        <v>1147</v>
      </c>
      <c r="U569">
        <v>81</v>
      </c>
      <c r="V569">
        <v>221.7389</v>
      </c>
      <c r="W569">
        <v>172</v>
      </c>
      <c r="X569">
        <v>0</v>
      </c>
      <c r="Y569">
        <v>0</v>
      </c>
      <c r="Z569">
        <v>17960.849999999999</v>
      </c>
      <c r="AA569">
        <v>18132.849999999999</v>
      </c>
      <c r="AB569" s="12" t="s">
        <v>1210</v>
      </c>
      <c r="AC569">
        <v>221.7389</v>
      </c>
      <c r="AD569">
        <v>1</v>
      </c>
      <c r="AE569">
        <v>1</v>
      </c>
      <c r="AF569">
        <v>0</v>
      </c>
      <c r="AG569">
        <v>17960.849999999999</v>
      </c>
      <c r="AH569">
        <v>81</v>
      </c>
      <c r="AI569">
        <v>80</v>
      </c>
      <c r="AJ569">
        <v>1</v>
      </c>
      <c r="AK569">
        <v>1</v>
      </c>
      <c r="AL569">
        <v>1</v>
      </c>
      <c r="AM569">
        <v>98.77</v>
      </c>
      <c r="AN569">
        <v>226.66059999999999</v>
      </c>
      <c r="AO569">
        <v>221.74</v>
      </c>
      <c r="AP569" s="13">
        <v>45106</v>
      </c>
      <c r="AQ569">
        <v>0</v>
      </c>
      <c r="AR569">
        <v>1</v>
      </c>
    </row>
    <row r="570" spans="1:44" x14ac:dyDescent="0.35">
      <c r="A570" s="12" t="s">
        <v>1211</v>
      </c>
      <c r="B570" s="12" t="s">
        <v>1068</v>
      </c>
      <c r="C570" s="12" t="s">
        <v>1069</v>
      </c>
      <c r="D570" s="12" t="s">
        <v>122</v>
      </c>
      <c r="E570" s="12" t="s">
        <v>65</v>
      </c>
      <c r="F570">
        <v>2</v>
      </c>
      <c r="G570">
        <v>2</v>
      </c>
      <c r="H570">
        <v>0</v>
      </c>
      <c r="I570" s="12" t="s">
        <v>79</v>
      </c>
      <c r="J570" s="12" t="s">
        <v>80</v>
      </c>
      <c r="K570" s="12" t="s">
        <v>81</v>
      </c>
      <c r="L570" s="12" t="s">
        <v>82</v>
      </c>
      <c r="M570">
        <v>12.07</v>
      </c>
      <c r="N570" s="12" t="s">
        <v>97</v>
      </c>
      <c r="O570" s="12" t="s">
        <v>98</v>
      </c>
      <c r="P570" s="12" t="s">
        <v>72</v>
      </c>
      <c r="Q570" s="13">
        <v>45085</v>
      </c>
      <c r="R570" s="13">
        <v>45119</v>
      </c>
      <c r="S570">
        <v>2023</v>
      </c>
      <c r="T570" s="12" t="s">
        <v>1147</v>
      </c>
      <c r="U570">
        <v>1500</v>
      </c>
      <c r="V570">
        <v>21.667100000000001</v>
      </c>
      <c r="W570">
        <v>277.58</v>
      </c>
      <c r="X570">
        <v>0</v>
      </c>
      <c r="Y570">
        <v>0</v>
      </c>
      <c r="Z570">
        <v>32500.65</v>
      </c>
      <c r="AA570">
        <v>32778.230000000003</v>
      </c>
      <c r="AB570" s="12" t="s">
        <v>1070</v>
      </c>
      <c r="AC570">
        <v>21.667100000000001</v>
      </c>
      <c r="AD570">
        <v>1</v>
      </c>
      <c r="AE570">
        <v>1</v>
      </c>
      <c r="AF570">
        <v>0</v>
      </c>
      <c r="AG570">
        <v>32500.65</v>
      </c>
      <c r="AH570">
        <v>1500</v>
      </c>
      <c r="AI570">
        <v>1483</v>
      </c>
      <c r="AJ570">
        <v>17</v>
      </c>
      <c r="AK570">
        <v>1</v>
      </c>
      <c r="AL570">
        <v>1</v>
      </c>
      <c r="AM570">
        <v>98.87</v>
      </c>
      <c r="AN570">
        <v>22.102699999999999</v>
      </c>
      <c r="AO570">
        <v>368.34</v>
      </c>
      <c r="AP570" s="13">
        <v>45116</v>
      </c>
      <c r="AQ570">
        <v>-3</v>
      </c>
      <c r="AR570">
        <v>1</v>
      </c>
    </row>
    <row r="571" spans="1:44" x14ac:dyDescent="0.35">
      <c r="A571" s="12" t="s">
        <v>1212</v>
      </c>
      <c r="B571" s="12" t="s">
        <v>173</v>
      </c>
      <c r="C571" s="12" t="s">
        <v>174</v>
      </c>
      <c r="D571" s="12" t="s">
        <v>175</v>
      </c>
      <c r="E571" s="12" t="s">
        <v>104</v>
      </c>
      <c r="F571">
        <v>3</v>
      </c>
      <c r="G571">
        <v>1</v>
      </c>
      <c r="H571">
        <v>0</v>
      </c>
      <c r="I571" s="12" t="s">
        <v>176</v>
      </c>
      <c r="J571" s="12" t="s">
        <v>177</v>
      </c>
      <c r="K571" s="12" t="s">
        <v>125</v>
      </c>
      <c r="L571" s="12" t="s">
        <v>134</v>
      </c>
      <c r="M571">
        <v>1.75</v>
      </c>
      <c r="N571" s="12" t="s">
        <v>107</v>
      </c>
      <c r="O571" s="12" t="s">
        <v>108</v>
      </c>
      <c r="P571" s="12" t="s">
        <v>109</v>
      </c>
      <c r="Q571" s="13">
        <v>45085</v>
      </c>
      <c r="R571" s="13">
        <v>45099</v>
      </c>
      <c r="S571">
        <v>2023</v>
      </c>
      <c r="T571" s="12" t="s">
        <v>1147</v>
      </c>
      <c r="U571">
        <v>26</v>
      </c>
      <c r="V571">
        <v>83.126400000000004</v>
      </c>
      <c r="W571">
        <v>39.85</v>
      </c>
      <c r="X571">
        <v>0</v>
      </c>
      <c r="Y571">
        <v>0</v>
      </c>
      <c r="Z571">
        <v>2161.29</v>
      </c>
      <c r="AA571">
        <v>2201.14</v>
      </c>
      <c r="AB571" s="12" t="s">
        <v>178</v>
      </c>
      <c r="AC571">
        <v>79.9559</v>
      </c>
      <c r="AD571">
        <v>1</v>
      </c>
      <c r="AE571">
        <v>1</v>
      </c>
      <c r="AF571">
        <v>82.43</v>
      </c>
      <c r="AG571">
        <v>2078.85</v>
      </c>
      <c r="AH571">
        <v>26</v>
      </c>
      <c r="AI571">
        <v>26</v>
      </c>
      <c r="AJ571">
        <v>0</v>
      </c>
      <c r="AK571">
        <v>1</v>
      </c>
      <c r="AL571">
        <v>1</v>
      </c>
      <c r="AM571">
        <v>100</v>
      </c>
      <c r="AN571">
        <v>84.659099999999995</v>
      </c>
      <c r="AO571">
        <v>0</v>
      </c>
      <c r="AP571" s="13">
        <v>45096</v>
      </c>
      <c r="AQ571">
        <v>-3</v>
      </c>
      <c r="AR571">
        <v>1</v>
      </c>
    </row>
    <row r="572" spans="1:44" x14ac:dyDescent="0.35">
      <c r="A572" s="12" t="s">
        <v>1213</v>
      </c>
      <c r="B572" s="12" t="s">
        <v>728</v>
      </c>
      <c r="C572" s="12" t="s">
        <v>729</v>
      </c>
      <c r="D572" s="12" t="s">
        <v>269</v>
      </c>
      <c r="E572" s="12" t="s">
        <v>65</v>
      </c>
      <c r="F572">
        <v>2</v>
      </c>
      <c r="G572">
        <v>3</v>
      </c>
      <c r="H572">
        <v>0</v>
      </c>
      <c r="I572" s="12" t="s">
        <v>310</v>
      </c>
      <c r="J572" s="12" t="s">
        <v>311</v>
      </c>
      <c r="K572" s="12" t="s">
        <v>81</v>
      </c>
      <c r="L572" s="12" t="s">
        <v>69</v>
      </c>
      <c r="M572">
        <v>28.3</v>
      </c>
      <c r="N572" s="12" t="s">
        <v>159</v>
      </c>
      <c r="O572" s="12" t="s">
        <v>160</v>
      </c>
      <c r="P572" s="12" t="s">
        <v>137</v>
      </c>
      <c r="Q572" s="13">
        <v>45085</v>
      </c>
      <c r="R572" s="13">
        <v>45115</v>
      </c>
      <c r="S572">
        <v>2023</v>
      </c>
      <c r="T572" s="12" t="s">
        <v>1147</v>
      </c>
      <c r="U572">
        <v>82</v>
      </c>
      <c r="V572">
        <v>374.99740000000003</v>
      </c>
      <c r="W572">
        <v>238.34</v>
      </c>
      <c r="X572">
        <v>0</v>
      </c>
      <c r="Y572">
        <v>0</v>
      </c>
      <c r="Z572">
        <v>30749.79</v>
      </c>
      <c r="AA572">
        <v>30988.13</v>
      </c>
      <c r="AB572" s="12" t="s">
        <v>730</v>
      </c>
      <c r="AC572">
        <v>374.99740000000003</v>
      </c>
      <c r="AD572">
        <v>1</v>
      </c>
      <c r="AE572">
        <v>1</v>
      </c>
      <c r="AF572">
        <v>0</v>
      </c>
      <c r="AG572">
        <v>30749.79</v>
      </c>
      <c r="AH572">
        <v>82</v>
      </c>
      <c r="AI572">
        <v>81</v>
      </c>
      <c r="AJ572">
        <v>1</v>
      </c>
      <c r="AK572">
        <v>1</v>
      </c>
      <c r="AL572">
        <v>1</v>
      </c>
      <c r="AM572">
        <v>98.78</v>
      </c>
      <c r="AN572">
        <v>382.56950000000001</v>
      </c>
      <c r="AO572">
        <v>375</v>
      </c>
      <c r="AP572" s="13">
        <v>45112</v>
      </c>
      <c r="AQ572">
        <v>-3</v>
      </c>
      <c r="AR572">
        <v>1</v>
      </c>
    </row>
    <row r="573" spans="1:44" x14ac:dyDescent="0.35">
      <c r="A573" s="12" t="s">
        <v>1214</v>
      </c>
      <c r="B573" s="12" t="s">
        <v>952</v>
      </c>
      <c r="C573" s="12" t="s">
        <v>953</v>
      </c>
      <c r="D573" s="12" t="s">
        <v>64</v>
      </c>
      <c r="E573" s="12" t="s">
        <v>142</v>
      </c>
      <c r="F573">
        <v>1</v>
      </c>
      <c r="G573">
        <v>8</v>
      </c>
      <c r="H573">
        <v>1</v>
      </c>
      <c r="I573" s="12" t="s">
        <v>131</v>
      </c>
      <c r="J573" s="12" t="s">
        <v>132</v>
      </c>
      <c r="K573" s="12" t="s">
        <v>133</v>
      </c>
      <c r="L573" s="12" t="s">
        <v>134</v>
      </c>
      <c r="M573">
        <v>1.51</v>
      </c>
      <c r="N573" s="12" t="s">
        <v>97</v>
      </c>
      <c r="O573" s="12" t="s">
        <v>98</v>
      </c>
      <c r="P573" s="12" t="s">
        <v>72</v>
      </c>
      <c r="Q573" s="13">
        <v>45085</v>
      </c>
      <c r="R573" s="13">
        <v>45121</v>
      </c>
      <c r="S573">
        <v>2023</v>
      </c>
      <c r="T573" s="12" t="s">
        <v>1147</v>
      </c>
      <c r="U573">
        <v>188</v>
      </c>
      <c r="V573">
        <v>31.146599999999999</v>
      </c>
      <c r="W573">
        <v>94.17</v>
      </c>
      <c r="X573">
        <v>0</v>
      </c>
      <c r="Y573">
        <v>0</v>
      </c>
      <c r="Z573">
        <v>5855.56</v>
      </c>
      <c r="AA573">
        <v>5949.73</v>
      </c>
      <c r="AB573" s="12" t="s">
        <v>954</v>
      </c>
      <c r="AC573">
        <v>31.146599999999999</v>
      </c>
      <c r="AD573">
        <v>1</v>
      </c>
      <c r="AE573">
        <v>1</v>
      </c>
      <c r="AF573">
        <v>0</v>
      </c>
      <c r="AG573">
        <v>5855.56</v>
      </c>
      <c r="AH573">
        <v>188</v>
      </c>
      <c r="AI573">
        <v>187</v>
      </c>
      <c r="AJ573">
        <v>1</v>
      </c>
      <c r="AK573">
        <v>1</v>
      </c>
      <c r="AL573">
        <v>1</v>
      </c>
      <c r="AM573">
        <v>99.47</v>
      </c>
      <c r="AN573">
        <v>31.816700000000001</v>
      </c>
      <c r="AO573">
        <v>31.15</v>
      </c>
      <c r="AP573" s="13">
        <v>45118</v>
      </c>
      <c r="AQ573">
        <v>-3</v>
      </c>
      <c r="AR573">
        <v>1</v>
      </c>
    </row>
    <row r="574" spans="1:44" x14ac:dyDescent="0.35">
      <c r="A574" s="12" t="s">
        <v>1215</v>
      </c>
      <c r="B574" s="12" t="s">
        <v>454</v>
      </c>
      <c r="C574" s="12" t="s">
        <v>455</v>
      </c>
      <c r="D574" s="12" t="s">
        <v>122</v>
      </c>
      <c r="E574" s="12" t="s">
        <v>104</v>
      </c>
      <c r="F574">
        <v>3</v>
      </c>
      <c r="G574">
        <v>1</v>
      </c>
      <c r="H574">
        <v>0</v>
      </c>
      <c r="I574" s="12" t="s">
        <v>243</v>
      </c>
      <c r="J574" s="12" t="s">
        <v>244</v>
      </c>
      <c r="K574" s="12" t="s">
        <v>81</v>
      </c>
      <c r="L574" s="12" t="s">
        <v>82</v>
      </c>
      <c r="M574">
        <v>9.2200000000000006</v>
      </c>
      <c r="N574" s="12" t="s">
        <v>97</v>
      </c>
      <c r="O574" s="12" t="s">
        <v>98</v>
      </c>
      <c r="P574" s="12" t="s">
        <v>72</v>
      </c>
      <c r="Q574" s="13">
        <v>45085</v>
      </c>
      <c r="R574" s="13">
        <v>45107</v>
      </c>
      <c r="S574">
        <v>2023</v>
      </c>
      <c r="T574" s="12" t="s">
        <v>1147</v>
      </c>
      <c r="U574">
        <v>1235</v>
      </c>
      <c r="V574">
        <v>21.796199999999999</v>
      </c>
      <c r="W574">
        <v>520.39</v>
      </c>
      <c r="X574">
        <v>0</v>
      </c>
      <c r="Y574">
        <v>0</v>
      </c>
      <c r="Z574">
        <v>26918.31</v>
      </c>
      <c r="AA574">
        <v>27438.7</v>
      </c>
      <c r="AB574" s="12" t="s">
        <v>884</v>
      </c>
      <c r="AC574">
        <v>21.796199999999999</v>
      </c>
      <c r="AD574">
        <v>1</v>
      </c>
      <c r="AE574">
        <v>1</v>
      </c>
      <c r="AF574">
        <v>0</v>
      </c>
      <c r="AG574">
        <v>26918.31</v>
      </c>
      <c r="AH574">
        <v>1235</v>
      </c>
      <c r="AI574">
        <v>1228</v>
      </c>
      <c r="AJ574">
        <v>7</v>
      </c>
      <c r="AK574">
        <v>1</v>
      </c>
      <c r="AL574">
        <v>1</v>
      </c>
      <c r="AM574">
        <v>99.43</v>
      </c>
      <c r="AN574">
        <v>22.344200000000001</v>
      </c>
      <c r="AO574">
        <v>152.57</v>
      </c>
      <c r="AP574" s="13">
        <v>45104</v>
      </c>
      <c r="AQ574">
        <v>-3</v>
      </c>
      <c r="AR574">
        <v>1</v>
      </c>
    </row>
    <row r="575" spans="1:44" x14ac:dyDescent="0.35">
      <c r="A575" s="12" t="s">
        <v>1216</v>
      </c>
      <c r="B575" s="12" t="s">
        <v>1179</v>
      </c>
      <c r="C575" s="12" t="s">
        <v>1180</v>
      </c>
      <c r="D575" s="12" t="s">
        <v>122</v>
      </c>
      <c r="E575" s="12" t="s">
        <v>142</v>
      </c>
      <c r="F575">
        <v>1</v>
      </c>
      <c r="G575">
        <v>8</v>
      </c>
      <c r="H575">
        <v>1</v>
      </c>
      <c r="I575" s="12" t="s">
        <v>143</v>
      </c>
      <c r="J575" s="12" t="s">
        <v>144</v>
      </c>
      <c r="K575" s="12" t="s">
        <v>133</v>
      </c>
      <c r="L575" s="12" t="s">
        <v>96</v>
      </c>
      <c r="M575">
        <v>5.43</v>
      </c>
      <c r="N575" s="12" t="s">
        <v>97</v>
      </c>
      <c r="O575" s="12" t="s">
        <v>98</v>
      </c>
      <c r="P575" s="12" t="s">
        <v>72</v>
      </c>
      <c r="Q575" s="13">
        <v>45085</v>
      </c>
      <c r="R575" s="13">
        <v>45132</v>
      </c>
      <c r="S575">
        <v>2023</v>
      </c>
      <c r="T575" s="12" t="s">
        <v>1147</v>
      </c>
      <c r="U575">
        <v>1413</v>
      </c>
      <c r="V575">
        <v>54.726500000000001</v>
      </c>
      <c r="W575">
        <v>1014.06</v>
      </c>
      <c r="X575">
        <v>0</v>
      </c>
      <c r="Y575">
        <v>0</v>
      </c>
      <c r="Z575">
        <v>77328.539999999994</v>
      </c>
      <c r="AA575">
        <v>78342.600000000006</v>
      </c>
      <c r="AB575" s="12" t="s">
        <v>1181</v>
      </c>
      <c r="AC575">
        <v>52.674799999999998</v>
      </c>
      <c r="AD575">
        <v>1</v>
      </c>
      <c r="AE575">
        <v>1</v>
      </c>
      <c r="AF575">
        <v>2899.05</v>
      </c>
      <c r="AG575">
        <v>74429.490000000005</v>
      </c>
      <c r="AH575">
        <v>1413</v>
      </c>
      <c r="AI575">
        <v>1408</v>
      </c>
      <c r="AJ575">
        <v>5</v>
      </c>
      <c r="AK575">
        <v>1</v>
      </c>
      <c r="AL575">
        <v>1</v>
      </c>
      <c r="AM575">
        <v>99.65</v>
      </c>
      <c r="AN575">
        <v>55.641100000000002</v>
      </c>
      <c r="AO575">
        <v>273.63</v>
      </c>
      <c r="AP575" s="13">
        <v>45132</v>
      </c>
      <c r="AQ575">
        <v>0</v>
      </c>
      <c r="AR575">
        <v>1</v>
      </c>
    </row>
    <row r="576" spans="1:44" x14ac:dyDescent="0.35">
      <c r="A576" s="12" t="s">
        <v>1217</v>
      </c>
      <c r="B576" s="12" t="s">
        <v>941</v>
      </c>
      <c r="C576" s="12" t="s">
        <v>942</v>
      </c>
      <c r="D576" s="12" t="s">
        <v>130</v>
      </c>
      <c r="E576" s="12" t="s">
        <v>104</v>
      </c>
      <c r="F576">
        <v>2</v>
      </c>
      <c r="G576">
        <v>0</v>
      </c>
      <c r="H576">
        <v>0</v>
      </c>
      <c r="I576" s="12" t="s">
        <v>151</v>
      </c>
      <c r="J576" s="12" t="s">
        <v>152</v>
      </c>
      <c r="K576" s="12" t="s">
        <v>125</v>
      </c>
      <c r="L576" s="12" t="s">
        <v>69</v>
      </c>
      <c r="M576">
        <v>36.479999999999997</v>
      </c>
      <c r="N576" s="12" t="s">
        <v>159</v>
      </c>
      <c r="O576" s="12" t="s">
        <v>160</v>
      </c>
      <c r="P576" s="12" t="s">
        <v>137</v>
      </c>
      <c r="Q576" s="13">
        <v>45085</v>
      </c>
      <c r="R576" s="13">
        <v>45113</v>
      </c>
      <c r="S576">
        <v>2023</v>
      </c>
      <c r="T576" s="12" t="s">
        <v>1147</v>
      </c>
      <c r="U576">
        <v>137</v>
      </c>
      <c r="V576">
        <v>1027.8675000000001</v>
      </c>
      <c r="W576">
        <v>3025.86</v>
      </c>
      <c r="X576">
        <v>0</v>
      </c>
      <c r="Y576">
        <v>0</v>
      </c>
      <c r="Z576">
        <v>140817.85</v>
      </c>
      <c r="AA576">
        <v>143843.71</v>
      </c>
      <c r="AB576" s="12" t="s">
        <v>1082</v>
      </c>
      <c r="AC576">
        <v>990.29020000000003</v>
      </c>
      <c r="AD576">
        <v>1</v>
      </c>
      <c r="AE576">
        <v>1</v>
      </c>
      <c r="AF576">
        <v>5148.09</v>
      </c>
      <c r="AG576">
        <v>135669.76000000001</v>
      </c>
      <c r="AH576">
        <v>137</v>
      </c>
      <c r="AI576">
        <v>136</v>
      </c>
      <c r="AJ576">
        <v>1</v>
      </c>
      <c r="AK576">
        <v>1</v>
      </c>
      <c r="AL576">
        <v>1</v>
      </c>
      <c r="AM576">
        <v>99.27</v>
      </c>
      <c r="AN576">
        <v>1057.6742999999999</v>
      </c>
      <c r="AO576">
        <v>1027.8699999999999</v>
      </c>
      <c r="AP576" s="13">
        <v>45114</v>
      </c>
      <c r="AQ576">
        <v>1</v>
      </c>
      <c r="AR576">
        <v>0</v>
      </c>
    </row>
    <row r="577" spans="1:44" x14ac:dyDescent="0.35">
      <c r="A577" s="12" t="s">
        <v>1218</v>
      </c>
      <c r="B577" s="12" t="s">
        <v>602</v>
      </c>
      <c r="C577" s="12" t="s">
        <v>603</v>
      </c>
      <c r="D577" s="12" t="s">
        <v>114</v>
      </c>
      <c r="E577" s="12" t="s">
        <v>142</v>
      </c>
      <c r="F577">
        <v>2</v>
      </c>
      <c r="G577">
        <v>10</v>
      </c>
      <c r="H577">
        <v>0</v>
      </c>
      <c r="I577" s="12" t="s">
        <v>263</v>
      </c>
      <c r="J577" s="12" t="s">
        <v>264</v>
      </c>
      <c r="K577" s="12" t="s">
        <v>125</v>
      </c>
      <c r="L577" s="12" t="s">
        <v>82</v>
      </c>
      <c r="M577">
        <v>10.210000000000001</v>
      </c>
      <c r="N577" s="12" t="s">
        <v>97</v>
      </c>
      <c r="O577" s="12" t="s">
        <v>98</v>
      </c>
      <c r="P577" s="12" t="s">
        <v>72</v>
      </c>
      <c r="Q577" s="13">
        <v>45085</v>
      </c>
      <c r="R577" s="13">
        <v>45131</v>
      </c>
      <c r="S577">
        <v>2023</v>
      </c>
      <c r="T577" s="12" t="s">
        <v>1147</v>
      </c>
      <c r="U577">
        <v>102</v>
      </c>
      <c r="V577">
        <v>213.4624</v>
      </c>
      <c r="W577">
        <v>281.98</v>
      </c>
      <c r="X577">
        <v>0</v>
      </c>
      <c r="Y577">
        <v>0</v>
      </c>
      <c r="Z577">
        <v>21773.16</v>
      </c>
      <c r="AA577">
        <v>22055.14</v>
      </c>
      <c r="AB577" s="12" t="s">
        <v>691</v>
      </c>
      <c r="AC577">
        <v>213.4624</v>
      </c>
      <c r="AD577">
        <v>1</v>
      </c>
      <c r="AE577">
        <v>1</v>
      </c>
      <c r="AF577">
        <v>0</v>
      </c>
      <c r="AG577">
        <v>21773.16</v>
      </c>
      <c r="AH577">
        <v>102</v>
      </c>
      <c r="AI577">
        <v>100</v>
      </c>
      <c r="AJ577">
        <v>2</v>
      </c>
      <c r="AK577">
        <v>1</v>
      </c>
      <c r="AL577">
        <v>1</v>
      </c>
      <c r="AM577">
        <v>98.04</v>
      </c>
      <c r="AN577">
        <v>220.5514</v>
      </c>
      <c r="AO577">
        <v>426.92</v>
      </c>
      <c r="AP577" s="13">
        <v>45128</v>
      </c>
      <c r="AQ577">
        <v>-3</v>
      </c>
      <c r="AR577">
        <v>1</v>
      </c>
    </row>
    <row r="578" spans="1:44" x14ac:dyDescent="0.35">
      <c r="A578" s="12" t="s">
        <v>1219</v>
      </c>
      <c r="B578" s="12" t="s">
        <v>1220</v>
      </c>
      <c r="C578" s="12" t="s">
        <v>1221</v>
      </c>
      <c r="D578" s="12" t="s">
        <v>175</v>
      </c>
      <c r="E578" s="12" t="s">
        <v>104</v>
      </c>
      <c r="F578">
        <v>3</v>
      </c>
      <c r="G578">
        <v>1</v>
      </c>
      <c r="H578">
        <v>0</v>
      </c>
      <c r="I578" s="12" t="s">
        <v>515</v>
      </c>
      <c r="J578" s="12" t="s">
        <v>516</v>
      </c>
      <c r="K578" s="12" t="s">
        <v>68</v>
      </c>
      <c r="L578" s="12" t="s">
        <v>134</v>
      </c>
      <c r="M578">
        <v>3.69</v>
      </c>
      <c r="N578" s="12" t="s">
        <v>145</v>
      </c>
      <c r="O578" s="12" t="s">
        <v>146</v>
      </c>
      <c r="P578" s="12" t="s">
        <v>109</v>
      </c>
      <c r="Q578" s="13">
        <v>45086</v>
      </c>
      <c r="R578" s="13">
        <v>45109</v>
      </c>
      <c r="S578">
        <v>2023</v>
      </c>
      <c r="T578" s="12" t="s">
        <v>1147</v>
      </c>
      <c r="U578">
        <v>99</v>
      </c>
      <c r="V578">
        <v>138.98759999999999</v>
      </c>
      <c r="W578">
        <v>98.96</v>
      </c>
      <c r="X578">
        <v>0</v>
      </c>
      <c r="Y578">
        <v>0</v>
      </c>
      <c r="Z578">
        <v>13759.77</v>
      </c>
      <c r="AA578">
        <v>13858.73</v>
      </c>
      <c r="AB578" s="12" t="s">
        <v>1222</v>
      </c>
      <c r="AC578">
        <v>138.98759999999999</v>
      </c>
      <c r="AD578">
        <v>1</v>
      </c>
      <c r="AE578">
        <v>1</v>
      </c>
      <c r="AF578">
        <v>0</v>
      </c>
      <c r="AG578">
        <v>13759.77</v>
      </c>
      <c r="AH578">
        <v>99</v>
      </c>
      <c r="AI578">
        <v>98</v>
      </c>
      <c r="AJ578">
        <v>1</v>
      </c>
      <c r="AK578">
        <v>1</v>
      </c>
      <c r="AL578">
        <v>1</v>
      </c>
      <c r="AM578">
        <v>98.99</v>
      </c>
      <c r="AN578">
        <v>141.41560000000001</v>
      </c>
      <c r="AO578">
        <v>138.99</v>
      </c>
      <c r="AP578" s="13">
        <v>45106</v>
      </c>
      <c r="AQ578">
        <v>-3</v>
      </c>
      <c r="AR578">
        <v>1</v>
      </c>
    </row>
    <row r="579" spans="1:44" x14ac:dyDescent="0.35">
      <c r="A579" s="12" t="s">
        <v>1223</v>
      </c>
      <c r="B579" s="12" t="s">
        <v>395</v>
      </c>
      <c r="C579" s="12" t="s">
        <v>396</v>
      </c>
      <c r="D579" s="12" t="s">
        <v>130</v>
      </c>
      <c r="E579" s="12" t="s">
        <v>104</v>
      </c>
      <c r="F579">
        <v>3</v>
      </c>
      <c r="G579">
        <v>1</v>
      </c>
      <c r="H579">
        <v>0</v>
      </c>
      <c r="I579" s="12" t="s">
        <v>341</v>
      </c>
      <c r="J579" s="12" t="s">
        <v>342</v>
      </c>
      <c r="K579" s="12" t="s">
        <v>117</v>
      </c>
      <c r="L579" s="12" t="s">
        <v>82</v>
      </c>
      <c r="M579">
        <v>18.36</v>
      </c>
      <c r="N579" s="12" t="s">
        <v>135</v>
      </c>
      <c r="O579" s="12" t="s">
        <v>136</v>
      </c>
      <c r="P579" s="12" t="s">
        <v>137</v>
      </c>
      <c r="Q579" s="13">
        <v>45086</v>
      </c>
      <c r="R579" s="13">
        <v>45107</v>
      </c>
      <c r="S579">
        <v>2023</v>
      </c>
      <c r="T579" s="12" t="s">
        <v>1147</v>
      </c>
      <c r="U579">
        <v>83</v>
      </c>
      <c r="V579">
        <v>190.43799999999999</v>
      </c>
      <c r="W579">
        <v>339.49</v>
      </c>
      <c r="X579">
        <v>0</v>
      </c>
      <c r="Y579">
        <v>0</v>
      </c>
      <c r="Z579">
        <v>15806.35</v>
      </c>
      <c r="AA579">
        <v>16145.84</v>
      </c>
      <c r="AB579" s="12" t="s">
        <v>397</v>
      </c>
      <c r="AC579">
        <v>190.43799999999999</v>
      </c>
      <c r="AD579">
        <v>1</v>
      </c>
      <c r="AE579">
        <v>1</v>
      </c>
      <c r="AF579">
        <v>0</v>
      </c>
      <c r="AG579">
        <v>15806.35</v>
      </c>
      <c r="AH579">
        <v>83</v>
      </c>
      <c r="AI579">
        <v>83</v>
      </c>
      <c r="AJ579">
        <v>0</v>
      </c>
      <c r="AK579">
        <v>1</v>
      </c>
      <c r="AL579">
        <v>1</v>
      </c>
      <c r="AM579">
        <v>100</v>
      </c>
      <c r="AN579">
        <v>194.5282</v>
      </c>
      <c r="AO579">
        <v>0</v>
      </c>
      <c r="AP579" s="13">
        <v>45109</v>
      </c>
      <c r="AQ579">
        <v>2</v>
      </c>
      <c r="AR579">
        <v>0</v>
      </c>
    </row>
    <row r="580" spans="1:44" x14ac:dyDescent="0.35">
      <c r="A580" s="12" t="s">
        <v>1224</v>
      </c>
      <c r="B580" s="12" t="s">
        <v>1068</v>
      </c>
      <c r="C580" s="12" t="s">
        <v>1069</v>
      </c>
      <c r="D580" s="12" t="s">
        <v>122</v>
      </c>
      <c r="E580" s="12" t="s">
        <v>65</v>
      </c>
      <c r="F580">
        <v>2</v>
      </c>
      <c r="G580">
        <v>2</v>
      </c>
      <c r="H580">
        <v>0</v>
      </c>
      <c r="I580" s="12" t="s">
        <v>79</v>
      </c>
      <c r="J580" s="12" t="s">
        <v>80</v>
      </c>
      <c r="K580" s="12" t="s">
        <v>81</v>
      </c>
      <c r="L580" s="12" t="s">
        <v>82</v>
      </c>
      <c r="M580">
        <v>12.07</v>
      </c>
      <c r="N580" s="12" t="s">
        <v>97</v>
      </c>
      <c r="O580" s="12" t="s">
        <v>98</v>
      </c>
      <c r="P580" s="12" t="s">
        <v>72</v>
      </c>
      <c r="Q580" s="13">
        <v>45086</v>
      </c>
      <c r="R580" s="13">
        <v>45107</v>
      </c>
      <c r="S580">
        <v>2023</v>
      </c>
      <c r="T580" s="12" t="s">
        <v>1147</v>
      </c>
      <c r="U580">
        <v>216</v>
      </c>
      <c r="V580">
        <v>21.667100000000001</v>
      </c>
      <c r="W580">
        <v>66.05</v>
      </c>
      <c r="X580">
        <v>0</v>
      </c>
      <c r="Y580">
        <v>0</v>
      </c>
      <c r="Z580">
        <v>4680.09</v>
      </c>
      <c r="AA580">
        <v>4746.1400000000003</v>
      </c>
      <c r="AB580" s="12" t="s">
        <v>1070</v>
      </c>
      <c r="AC580">
        <v>21.667100000000001</v>
      </c>
      <c r="AD580">
        <v>1</v>
      </c>
      <c r="AE580">
        <v>1</v>
      </c>
      <c r="AF580">
        <v>0</v>
      </c>
      <c r="AG580">
        <v>4680.09</v>
      </c>
      <c r="AH580">
        <v>216</v>
      </c>
      <c r="AI580">
        <v>214</v>
      </c>
      <c r="AJ580">
        <v>2</v>
      </c>
      <c r="AK580">
        <v>1</v>
      </c>
      <c r="AL580">
        <v>1</v>
      </c>
      <c r="AM580">
        <v>99.07</v>
      </c>
      <c r="AN580">
        <v>22.1782</v>
      </c>
      <c r="AO580">
        <v>43.33</v>
      </c>
      <c r="AP580" s="13">
        <v>45105</v>
      </c>
      <c r="AQ580">
        <v>-2</v>
      </c>
      <c r="AR580">
        <v>1</v>
      </c>
    </row>
    <row r="581" spans="1:44" x14ac:dyDescent="0.35">
      <c r="A581" s="12" t="s">
        <v>1225</v>
      </c>
      <c r="B581" s="12" t="s">
        <v>621</v>
      </c>
      <c r="C581" s="12" t="s">
        <v>622</v>
      </c>
      <c r="D581" s="12" t="s">
        <v>103</v>
      </c>
      <c r="E581" s="12" t="s">
        <v>65</v>
      </c>
      <c r="F581">
        <v>1</v>
      </c>
      <c r="G581">
        <v>2</v>
      </c>
      <c r="H581">
        <v>1</v>
      </c>
      <c r="I581" s="12" t="s">
        <v>486</v>
      </c>
      <c r="J581" s="12" t="s">
        <v>487</v>
      </c>
      <c r="K581" s="12" t="s">
        <v>125</v>
      </c>
      <c r="L581" s="12" t="s">
        <v>69</v>
      </c>
      <c r="M581">
        <v>36.86</v>
      </c>
      <c r="N581" s="12" t="s">
        <v>145</v>
      </c>
      <c r="O581" s="12" t="s">
        <v>146</v>
      </c>
      <c r="P581" s="12" t="s">
        <v>109</v>
      </c>
      <c r="Q581" s="13">
        <v>45086</v>
      </c>
      <c r="R581" s="13">
        <v>45115</v>
      </c>
      <c r="S581">
        <v>2023</v>
      </c>
      <c r="T581" s="12" t="s">
        <v>1147</v>
      </c>
      <c r="U581">
        <v>73</v>
      </c>
      <c r="V581">
        <v>201.42019999999999</v>
      </c>
      <c r="W581">
        <v>366.73</v>
      </c>
      <c r="X581">
        <v>0</v>
      </c>
      <c r="Y581">
        <v>0</v>
      </c>
      <c r="Z581">
        <v>14703.67</v>
      </c>
      <c r="AA581">
        <v>15070.4</v>
      </c>
      <c r="AB581" s="12" t="s">
        <v>623</v>
      </c>
      <c r="AC581">
        <v>201.42019999999999</v>
      </c>
      <c r="AD581">
        <v>1</v>
      </c>
      <c r="AE581">
        <v>1</v>
      </c>
      <c r="AF581">
        <v>0</v>
      </c>
      <c r="AG581">
        <v>14703.67</v>
      </c>
      <c r="AH581">
        <v>73</v>
      </c>
      <c r="AI581">
        <v>73</v>
      </c>
      <c r="AJ581">
        <v>0</v>
      </c>
      <c r="AK581">
        <v>1</v>
      </c>
      <c r="AL581">
        <v>1</v>
      </c>
      <c r="AM581">
        <v>100</v>
      </c>
      <c r="AN581">
        <v>206.44390000000001</v>
      </c>
      <c r="AO581">
        <v>0</v>
      </c>
      <c r="AP581" s="13">
        <v>45113</v>
      </c>
      <c r="AQ581">
        <v>-2</v>
      </c>
      <c r="AR581">
        <v>1</v>
      </c>
    </row>
    <row r="582" spans="1:44" x14ac:dyDescent="0.35">
      <c r="A582" s="12" t="s">
        <v>1226</v>
      </c>
      <c r="B582" s="12" t="s">
        <v>755</v>
      </c>
      <c r="C582" s="12" t="s">
        <v>756</v>
      </c>
      <c r="D582" s="12" t="s">
        <v>78</v>
      </c>
      <c r="E582" s="12" t="s">
        <v>65</v>
      </c>
      <c r="F582">
        <v>2</v>
      </c>
      <c r="G582">
        <v>2</v>
      </c>
      <c r="H582">
        <v>0</v>
      </c>
      <c r="I582" s="12" t="s">
        <v>359</v>
      </c>
      <c r="J582" s="12" t="s">
        <v>360</v>
      </c>
      <c r="K582" s="12" t="s">
        <v>133</v>
      </c>
      <c r="L582" s="12" t="s">
        <v>82</v>
      </c>
      <c r="M582">
        <v>12.65</v>
      </c>
      <c r="N582" s="12" t="s">
        <v>70</v>
      </c>
      <c r="O582" s="12" t="s">
        <v>71</v>
      </c>
      <c r="P582" s="12" t="s">
        <v>72</v>
      </c>
      <c r="Q582" s="13">
        <v>45086</v>
      </c>
      <c r="R582" s="13">
        <v>45119</v>
      </c>
      <c r="S582">
        <v>2023</v>
      </c>
      <c r="T582" s="12" t="s">
        <v>1147</v>
      </c>
      <c r="U582">
        <v>214</v>
      </c>
      <c r="V582">
        <v>45.472499999999997</v>
      </c>
      <c r="W582">
        <v>78.5</v>
      </c>
      <c r="X582">
        <v>0</v>
      </c>
      <c r="Y582">
        <v>0</v>
      </c>
      <c r="Z582">
        <v>9731.1200000000008</v>
      </c>
      <c r="AA582">
        <v>9809.6200000000008</v>
      </c>
      <c r="AB582" s="12" t="s">
        <v>759</v>
      </c>
      <c r="AC582">
        <v>45.472499999999997</v>
      </c>
      <c r="AD582">
        <v>1</v>
      </c>
      <c r="AE582">
        <v>1</v>
      </c>
      <c r="AF582">
        <v>0</v>
      </c>
      <c r="AG582">
        <v>9731.1200000000008</v>
      </c>
      <c r="AH582">
        <v>214</v>
      </c>
      <c r="AI582">
        <v>212</v>
      </c>
      <c r="AJ582">
        <v>2</v>
      </c>
      <c r="AK582">
        <v>1</v>
      </c>
      <c r="AL582">
        <v>1</v>
      </c>
      <c r="AM582">
        <v>99.07</v>
      </c>
      <c r="AN582">
        <v>46.271799999999999</v>
      </c>
      <c r="AO582">
        <v>90.95</v>
      </c>
      <c r="AP582" s="13">
        <v>45117</v>
      </c>
      <c r="AQ582">
        <v>-2</v>
      </c>
      <c r="AR582">
        <v>1</v>
      </c>
    </row>
    <row r="583" spans="1:44" x14ac:dyDescent="0.35">
      <c r="A583" s="12" t="s">
        <v>1227</v>
      </c>
      <c r="B583" s="12" t="s">
        <v>732</v>
      </c>
      <c r="C583" s="12" t="s">
        <v>733</v>
      </c>
      <c r="D583" s="12" t="s">
        <v>114</v>
      </c>
      <c r="E583" s="12" t="s">
        <v>104</v>
      </c>
      <c r="F583">
        <v>3</v>
      </c>
      <c r="G583">
        <v>1</v>
      </c>
      <c r="H583">
        <v>0</v>
      </c>
      <c r="I583" s="12" t="s">
        <v>199</v>
      </c>
      <c r="J583" s="12" t="s">
        <v>200</v>
      </c>
      <c r="K583" s="12" t="s">
        <v>68</v>
      </c>
      <c r="L583" s="12" t="s">
        <v>96</v>
      </c>
      <c r="M583">
        <v>9.4700000000000006</v>
      </c>
      <c r="N583" s="12" t="s">
        <v>70</v>
      </c>
      <c r="O583" s="12" t="s">
        <v>71</v>
      </c>
      <c r="P583" s="12" t="s">
        <v>72</v>
      </c>
      <c r="Q583" s="13">
        <v>45086</v>
      </c>
      <c r="R583" s="13">
        <v>45105</v>
      </c>
      <c r="S583">
        <v>2023</v>
      </c>
      <c r="T583" s="12" t="s">
        <v>1147</v>
      </c>
      <c r="U583">
        <v>66</v>
      </c>
      <c r="V583">
        <v>314.15269999999998</v>
      </c>
      <c r="W583">
        <v>312.95999999999998</v>
      </c>
      <c r="X583">
        <v>0</v>
      </c>
      <c r="Y583">
        <v>0</v>
      </c>
      <c r="Z583">
        <v>20734.080000000002</v>
      </c>
      <c r="AA583">
        <v>21047.040000000001</v>
      </c>
      <c r="AB583" s="12" t="s">
        <v>734</v>
      </c>
      <c r="AC583">
        <v>314.15269999999998</v>
      </c>
      <c r="AD583">
        <v>1</v>
      </c>
      <c r="AE583">
        <v>1</v>
      </c>
      <c r="AF583">
        <v>0</v>
      </c>
      <c r="AG583">
        <v>20734.080000000002</v>
      </c>
      <c r="AH583">
        <v>66</v>
      </c>
      <c r="AI583">
        <v>65</v>
      </c>
      <c r="AJ583">
        <v>1</v>
      </c>
      <c r="AK583">
        <v>1</v>
      </c>
      <c r="AL583">
        <v>1</v>
      </c>
      <c r="AM583">
        <v>98.48</v>
      </c>
      <c r="AN583">
        <v>323.80059999999997</v>
      </c>
      <c r="AO583">
        <v>314.14999999999998</v>
      </c>
      <c r="AP583" s="13">
        <v>45104</v>
      </c>
      <c r="AQ583">
        <v>-1</v>
      </c>
      <c r="AR583">
        <v>1</v>
      </c>
    </row>
    <row r="584" spans="1:44" x14ac:dyDescent="0.35">
      <c r="A584" s="12" t="s">
        <v>1228</v>
      </c>
      <c r="B584" s="12" t="s">
        <v>193</v>
      </c>
      <c r="C584" s="12" t="s">
        <v>194</v>
      </c>
      <c r="D584" s="12" t="s">
        <v>114</v>
      </c>
      <c r="E584" s="12" t="s">
        <v>65</v>
      </c>
      <c r="F584">
        <v>3</v>
      </c>
      <c r="G584">
        <v>4</v>
      </c>
      <c r="H584">
        <v>0</v>
      </c>
      <c r="I584" s="12" t="s">
        <v>143</v>
      </c>
      <c r="J584" s="12" t="s">
        <v>144</v>
      </c>
      <c r="K584" s="12" t="s">
        <v>133</v>
      </c>
      <c r="L584" s="12" t="s">
        <v>96</v>
      </c>
      <c r="M584">
        <v>5.43</v>
      </c>
      <c r="N584" s="12" t="s">
        <v>97</v>
      </c>
      <c r="O584" s="12" t="s">
        <v>98</v>
      </c>
      <c r="P584" s="12" t="s">
        <v>72</v>
      </c>
      <c r="Q584" s="13">
        <v>45086</v>
      </c>
      <c r="R584" s="13">
        <v>45109</v>
      </c>
      <c r="S584">
        <v>2023</v>
      </c>
      <c r="T584" s="12" t="s">
        <v>1147</v>
      </c>
      <c r="U584">
        <v>27</v>
      </c>
      <c r="V584">
        <v>107.28270000000001</v>
      </c>
      <c r="W584">
        <v>60.02</v>
      </c>
      <c r="X584">
        <v>0</v>
      </c>
      <c r="Y584">
        <v>0</v>
      </c>
      <c r="Z584">
        <v>2896.63</v>
      </c>
      <c r="AA584">
        <v>2956.65</v>
      </c>
      <c r="AB584" s="12" t="s">
        <v>213</v>
      </c>
      <c r="AC584">
        <v>107.28270000000001</v>
      </c>
      <c r="AD584">
        <v>1</v>
      </c>
      <c r="AE584">
        <v>1</v>
      </c>
      <c r="AF584">
        <v>0</v>
      </c>
      <c r="AG584">
        <v>2896.63</v>
      </c>
      <c r="AH584">
        <v>27</v>
      </c>
      <c r="AI584">
        <v>26</v>
      </c>
      <c r="AJ584">
        <v>1</v>
      </c>
      <c r="AK584">
        <v>1</v>
      </c>
      <c r="AL584">
        <v>1</v>
      </c>
      <c r="AM584">
        <v>96.3</v>
      </c>
      <c r="AN584">
        <v>113.7174</v>
      </c>
      <c r="AO584">
        <v>107.28</v>
      </c>
      <c r="AP584" s="13">
        <v>45107</v>
      </c>
      <c r="AQ584">
        <v>-2</v>
      </c>
      <c r="AR584">
        <v>1</v>
      </c>
    </row>
    <row r="585" spans="1:44" x14ac:dyDescent="0.35">
      <c r="A585" s="12" t="s">
        <v>1229</v>
      </c>
      <c r="B585" s="12" t="s">
        <v>289</v>
      </c>
      <c r="C585" s="12" t="s">
        <v>290</v>
      </c>
      <c r="D585" s="12" t="s">
        <v>175</v>
      </c>
      <c r="E585" s="12" t="s">
        <v>104</v>
      </c>
      <c r="F585">
        <v>3</v>
      </c>
      <c r="G585">
        <v>1</v>
      </c>
      <c r="H585">
        <v>0</v>
      </c>
      <c r="I585" s="12" t="s">
        <v>157</v>
      </c>
      <c r="J585" s="12" t="s">
        <v>158</v>
      </c>
      <c r="K585" s="12" t="s">
        <v>117</v>
      </c>
      <c r="L585" s="12" t="s">
        <v>96</v>
      </c>
      <c r="M585">
        <v>4.72</v>
      </c>
      <c r="N585" s="12" t="s">
        <v>107</v>
      </c>
      <c r="O585" s="12" t="s">
        <v>108</v>
      </c>
      <c r="P585" s="12" t="s">
        <v>109</v>
      </c>
      <c r="Q585" s="13">
        <v>45086</v>
      </c>
      <c r="R585" s="13">
        <v>45104</v>
      </c>
      <c r="S585">
        <v>2023</v>
      </c>
      <c r="T585" s="12" t="s">
        <v>1147</v>
      </c>
      <c r="U585">
        <v>58</v>
      </c>
      <c r="V585">
        <v>194.9136</v>
      </c>
      <c r="W585">
        <v>249.78</v>
      </c>
      <c r="X585">
        <v>0</v>
      </c>
      <c r="Y585">
        <v>0</v>
      </c>
      <c r="Z585">
        <v>11304.99</v>
      </c>
      <c r="AA585">
        <v>11554.77</v>
      </c>
      <c r="AB585" s="12" t="s">
        <v>291</v>
      </c>
      <c r="AC585">
        <v>194.9136</v>
      </c>
      <c r="AD585">
        <v>1</v>
      </c>
      <c r="AE585">
        <v>1</v>
      </c>
      <c r="AF585">
        <v>0</v>
      </c>
      <c r="AG585">
        <v>11304.99</v>
      </c>
      <c r="AH585">
        <v>58</v>
      </c>
      <c r="AI585">
        <v>58</v>
      </c>
      <c r="AJ585">
        <v>0</v>
      </c>
      <c r="AK585">
        <v>1</v>
      </c>
      <c r="AL585">
        <v>1</v>
      </c>
      <c r="AM585">
        <v>100</v>
      </c>
      <c r="AN585">
        <v>199.22020000000001</v>
      </c>
      <c r="AO585">
        <v>0</v>
      </c>
      <c r="AP585" s="13">
        <v>45109</v>
      </c>
      <c r="AQ585">
        <v>5</v>
      </c>
      <c r="AR585">
        <v>0</v>
      </c>
    </row>
    <row r="586" spans="1:44" x14ac:dyDescent="0.35">
      <c r="A586" s="12" t="s">
        <v>1230</v>
      </c>
      <c r="B586" s="12" t="s">
        <v>1179</v>
      </c>
      <c r="C586" s="12" t="s">
        <v>1180</v>
      </c>
      <c r="D586" s="12" t="s">
        <v>122</v>
      </c>
      <c r="E586" s="12" t="s">
        <v>142</v>
      </c>
      <c r="F586">
        <v>1</v>
      </c>
      <c r="G586">
        <v>8</v>
      </c>
      <c r="H586">
        <v>1</v>
      </c>
      <c r="I586" s="12" t="s">
        <v>143</v>
      </c>
      <c r="J586" s="12" t="s">
        <v>144</v>
      </c>
      <c r="K586" s="12" t="s">
        <v>133</v>
      </c>
      <c r="L586" s="12" t="s">
        <v>96</v>
      </c>
      <c r="M586">
        <v>5.43</v>
      </c>
      <c r="N586" s="12" t="s">
        <v>97</v>
      </c>
      <c r="O586" s="12" t="s">
        <v>98</v>
      </c>
      <c r="P586" s="12" t="s">
        <v>72</v>
      </c>
      <c r="Q586" s="13">
        <v>45086</v>
      </c>
      <c r="R586" s="13">
        <v>45131</v>
      </c>
      <c r="S586">
        <v>2023</v>
      </c>
      <c r="T586" s="12" t="s">
        <v>1147</v>
      </c>
      <c r="U586">
        <v>1267</v>
      </c>
      <c r="V586">
        <v>52.674799999999998</v>
      </c>
      <c r="W586">
        <v>1596.58</v>
      </c>
      <c r="X586">
        <v>0</v>
      </c>
      <c r="Y586">
        <v>0</v>
      </c>
      <c r="Z586">
        <v>66738.97</v>
      </c>
      <c r="AA586">
        <v>68335.55</v>
      </c>
      <c r="AB586" s="12" t="s">
        <v>1181</v>
      </c>
      <c r="AC586">
        <v>52.674799999999998</v>
      </c>
      <c r="AD586">
        <v>1</v>
      </c>
      <c r="AE586">
        <v>1</v>
      </c>
      <c r="AF586">
        <v>0</v>
      </c>
      <c r="AG586">
        <v>66738.97</v>
      </c>
      <c r="AH586">
        <v>1267</v>
      </c>
      <c r="AI586">
        <v>1263</v>
      </c>
      <c r="AJ586">
        <v>4</v>
      </c>
      <c r="AK586">
        <v>1</v>
      </c>
      <c r="AL586">
        <v>1</v>
      </c>
      <c r="AM586">
        <v>99.68</v>
      </c>
      <c r="AN586">
        <v>54.105699999999999</v>
      </c>
      <c r="AO586">
        <v>210.7</v>
      </c>
      <c r="AP586" s="13">
        <v>45128</v>
      </c>
      <c r="AQ586">
        <v>-3</v>
      </c>
      <c r="AR586">
        <v>1</v>
      </c>
    </row>
    <row r="587" spans="1:44" x14ac:dyDescent="0.35">
      <c r="A587" s="12" t="s">
        <v>1231</v>
      </c>
      <c r="B587" s="12" t="s">
        <v>891</v>
      </c>
      <c r="C587" s="12" t="s">
        <v>892</v>
      </c>
      <c r="D587" s="12" t="s">
        <v>122</v>
      </c>
      <c r="E587" s="12" t="s">
        <v>65</v>
      </c>
      <c r="F587">
        <v>3</v>
      </c>
      <c r="G587">
        <v>5</v>
      </c>
      <c r="H587">
        <v>0</v>
      </c>
      <c r="I587" s="12" t="s">
        <v>195</v>
      </c>
      <c r="J587" s="12" t="s">
        <v>196</v>
      </c>
      <c r="K587" s="12" t="s">
        <v>117</v>
      </c>
      <c r="L587" s="12" t="s">
        <v>134</v>
      </c>
      <c r="M587">
        <v>4.7699999999999996</v>
      </c>
      <c r="N587" s="12" t="s">
        <v>70</v>
      </c>
      <c r="O587" s="12" t="s">
        <v>71</v>
      </c>
      <c r="P587" s="12" t="s">
        <v>72</v>
      </c>
      <c r="Q587" s="13">
        <v>45089</v>
      </c>
      <c r="R587" s="13">
        <v>45123</v>
      </c>
      <c r="S587">
        <v>2023</v>
      </c>
      <c r="T587" s="12" t="s">
        <v>1147</v>
      </c>
      <c r="U587">
        <v>1566</v>
      </c>
      <c r="V587">
        <v>39.456000000000003</v>
      </c>
      <c r="W587">
        <v>695.49</v>
      </c>
      <c r="X587">
        <v>0</v>
      </c>
      <c r="Y587">
        <v>0</v>
      </c>
      <c r="Z587">
        <v>61788.1</v>
      </c>
      <c r="AA587">
        <v>62483.59</v>
      </c>
      <c r="AB587" s="12" t="s">
        <v>893</v>
      </c>
      <c r="AC587">
        <v>39.456000000000003</v>
      </c>
      <c r="AD587">
        <v>1</v>
      </c>
      <c r="AE587">
        <v>1</v>
      </c>
      <c r="AF587">
        <v>0</v>
      </c>
      <c r="AG587">
        <v>61788.1</v>
      </c>
      <c r="AH587">
        <v>1566</v>
      </c>
      <c r="AI587">
        <v>1563</v>
      </c>
      <c r="AJ587">
        <v>3</v>
      </c>
      <c r="AK587">
        <v>1</v>
      </c>
      <c r="AL587">
        <v>1</v>
      </c>
      <c r="AM587">
        <v>99.81</v>
      </c>
      <c r="AN587">
        <v>39.976700000000001</v>
      </c>
      <c r="AO587">
        <v>118.37</v>
      </c>
      <c r="AP587" s="13">
        <v>45124</v>
      </c>
      <c r="AQ587">
        <v>1</v>
      </c>
      <c r="AR587">
        <v>0</v>
      </c>
    </row>
    <row r="588" spans="1:44" x14ac:dyDescent="0.35">
      <c r="A588" s="12" t="s">
        <v>1232</v>
      </c>
      <c r="B588" s="12" t="s">
        <v>802</v>
      </c>
      <c r="C588" s="12" t="s">
        <v>803</v>
      </c>
      <c r="D588" s="12" t="s">
        <v>114</v>
      </c>
      <c r="E588" s="12" t="s">
        <v>65</v>
      </c>
      <c r="F588">
        <v>3</v>
      </c>
      <c r="G588">
        <v>5</v>
      </c>
      <c r="H588">
        <v>0</v>
      </c>
      <c r="I588" s="12" t="s">
        <v>804</v>
      </c>
      <c r="J588" s="12" t="s">
        <v>342</v>
      </c>
      <c r="K588" s="12" t="s">
        <v>117</v>
      </c>
      <c r="L588" s="12" t="s">
        <v>69</v>
      </c>
      <c r="M588">
        <v>30.07</v>
      </c>
      <c r="N588" s="12" t="s">
        <v>70</v>
      </c>
      <c r="O588" s="12" t="s">
        <v>71</v>
      </c>
      <c r="P588" s="12" t="s">
        <v>72</v>
      </c>
      <c r="Q588" s="13">
        <v>45089</v>
      </c>
      <c r="R588" s="13">
        <v>45122</v>
      </c>
      <c r="S588">
        <v>2023</v>
      </c>
      <c r="T588" s="12" t="s">
        <v>1147</v>
      </c>
      <c r="U588">
        <v>110</v>
      </c>
      <c r="V588">
        <v>369.09309999999999</v>
      </c>
      <c r="W588">
        <v>685.93</v>
      </c>
      <c r="X588">
        <v>0</v>
      </c>
      <c r="Y588">
        <v>0</v>
      </c>
      <c r="Z588">
        <v>40600.239999999998</v>
      </c>
      <c r="AA588">
        <v>41286.17</v>
      </c>
      <c r="AB588" s="12" t="s">
        <v>805</v>
      </c>
      <c r="AC588">
        <v>362.99209999999999</v>
      </c>
      <c r="AD588">
        <v>2</v>
      </c>
      <c r="AE588">
        <v>1</v>
      </c>
      <c r="AF588">
        <v>671.11</v>
      </c>
      <c r="AG588">
        <v>39929.129999999997</v>
      </c>
      <c r="AH588">
        <v>110</v>
      </c>
      <c r="AI588">
        <v>108</v>
      </c>
      <c r="AJ588">
        <v>2</v>
      </c>
      <c r="AK588">
        <v>1</v>
      </c>
      <c r="AL588">
        <v>1</v>
      </c>
      <c r="AM588">
        <v>98.18</v>
      </c>
      <c r="AN588">
        <v>382.27940000000001</v>
      </c>
      <c r="AO588">
        <v>738.19</v>
      </c>
      <c r="AP588" s="13">
        <v>45121</v>
      </c>
      <c r="AQ588">
        <v>-1</v>
      </c>
      <c r="AR588">
        <v>1</v>
      </c>
    </row>
    <row r="589" spans="1:44" x14ac:dyDescent="0.35">
      <c r="A589" s="12" t="s">
        <v>1233</v>
      </c>
      <c r="B589" s="12" t="s">
        <v>112</v>
      </c>
      <c r="C589" s="12" t="s">
        <v>113</v>
      </c>
      <c r="D589" s="12" t="s">
        <v>114</v>
      </c>
      <c r="E589" s="12" t="s">
        <v>104</v>
      </c>
      <c r="F589">
        <v>3</v>
      </c>
      <c r="G589">
        <v>1</v>
      </c>
      <c r="H589">
        <v>0</v>
      </c>
      <c r="I589" s="12" t="s">
        <v>227</v>
      </c>
      <c r="J589" s="12" t="s">
        <v>228</v>
      </c>
      <c r="K589" s="12" t="s">
        <v>89</v>
      </c>
      <c r="L589" s="12" t="s">
        <v>96</v>
      </c>
      <c r="M589">
        <v>9.15</v>
      </c>
      <c r="N589" s="12" t="s">
        <v>97</v>
      </c>
      <c r="O589" s="12" t="s">
        <v>98</v>
      </c>
      <c r="P589" s="12" t="s">
        <v>72</v>
      </c>
      <c r="Q589" s="13">
        <v>45089</v>
      </c>
      <c r="R589" s="13">
        <v>45103</v>
      </c>
      <c r="S589">
        <v>2023</v>
      </c>
      <c r="T589" s="12" t="s">
        <v>1147</v>
      </c>
      <c r="U589">
        <v>26</v>
      </c>
      <c r="V589">
        <v>264.17590000000001</v>
      </c>
      <c r="W589">
        <v>133.37</v>
      </c>
      <c r="X589">
        <v>0</v>
      </c>
      <c r="Y589">
        <v>0</v>
      </c>
      <c r="Z589">
        <v>6868.57</v>
      </c>
      <c r="AA589">
        <v>7001.94</v>
      </c>
      <c r="AB589" s="12" t="s">
        <v>282</v>
      </c>
      <c r="AC589">
        <v>264.17590000000001</v>
      </c>
      <c r="AD589">
        <v>1</v>
      </c>
      <c r="AE589">
        <v>1</v>
      </c>
      <c r="AF589">
        <v>0</v>
      </c>
      <c r="AG589">
        <v>6868.57</v>
      </c>
      <c r="AH589">
        <v>26</v>
      </c>
      <c r="AI589">
        <v>25</v>
      </c>
      <c r="AJ589">
        <v>1</v>
      </c>
      <c r="AK589">
        <v>1</v>
      </c>
      <c r="AL589">
        <v>1</v>
      </c>
      <c r="AM589">
        <v>96.15</v>
      </c>
      <c r="AN589">
        <v>280.07769999999999</v>
      </c>
      <c r="AO589">
        <v>264.18</v>
      </c>
      <c r="AP589" s="13">
        <v>45102</v>
      </c>
      <c r="AQ589">
        <v>-1</v>
      </c>
      <c r="AR589">
        <v>1</v>
      </c>
    </row>
    <row r="590" spans="1:44" x14ac:dyDescent="0.35">
      <c r="A590" s="12" t="s">
        <v>1234</v>
      </c>
      <c r="B590" s="12" t="s">
        <v>617</v>
      </c>
      <c r="C590" s="12" t="s">
        <v>618</v>
      </c>
      <c r="D590" s="12" t="s">
        <v>78</v>
      </c>
      <c r="E590" s="12" t="s">
        <v>65</v>
      </c>
      <c r="F590">
        <v>2</v>
      </c>
      <c r="G590">
        <v>4</v>
      </c>
      <c r="H590">
        <v>0</v>
      </c>
      <c r="I590" s="12" t="s">
        <v>341</v>
      </c>
      <c r="J590" s="12" t="s">
        <v>342</v>
      </c>
      <c r="K590" s="12" t="s">
        <v>117</v>
      </c>
      <c r="L590" s="12" t="s">
        <v>82</v>
      </c>
      <c r="M590">
        <v>18.36</v>
      </c>
      <c r="N590" s="12" t="s">
        <v>70</v>
      </c>
      <c r="O590" s="12" t="s">
        <v>71</v>
      </c>
      <c r="P590" s="12" t="s">
        <v>72</v>
      </c>
      <c r="Q590" s="13">
        <v>45089</v>
      </c>
      <c r="R590" s="13">
        <v>45115</v>
      </c>
      <c r="S590">
        <v>2023</v>
      </c>
      <c r="T590" s="12" t="s">
        <v>1147</v>
      </c>
      <c r="U590">
        <v>117</v>
      </c>
      <c r="V590">
        <v>108.2711</v>
      </c>
      <c r="W590">
        <v>133.55000000000001</v>
      </c>
      <c r="X590">
        <v>0</v>
      </c>
      <c r="Y590">
        <v>0</v>
      </c>
      <c r="Z590">
        <v>12667.72</v>
      </c>
      <c r="AA590">
        <v>12801.27</v>
      </c>
      <c r="AB590" s="12" t="s">
        <v>619</v>
      </c>
      <c r="AC590">
        <v>108.2711</v>
      </c>
      <c r="AD590">
        <v>1</v>
      </c>
      <c r="AE590">
        <v>1</v>
      </c>
      <c r="AF590">
        <v>0</v>
      </c>
      <c r="AG590">
        <v>12667.72</v>
      </c>
      <c r="AH590">
        <v>117</v>
      </c>
      <c r="AI590">
        <v>115</v>
      </c>
      <c r="AJ590">
        <v>2</v>
      </c>
      <c r="AK590">
        <v>1</v>
      </c>
      <c r="AL590">
        <v>1</v>
      </c>
      <c r="AM590">
        <v>98.29</v>
      </c>
      <c r="AN590">
        <v>111.3154</v>
      </c>
      <c r="AO590">
        <v>216.54</v>
      </c>
      <c r="AP590" s="13">
        <v>45113</v>
      </c>
      <c r="AQ590">
        <v>-2</v>
      </c>
      <c r="AR590">
        <v>1</v>
      </c>
    </row>
    <row r="591" spans="1:44" x14ac:dyDescent="0.35">
      <c r="A591" s="12" t="s">
        <v>1235</v>
      </c>
      <c r="B591" s="12" t="s">
        <v>420</v>
      </c>
      <c r="C591" s="12" t="s">
        <v>421</v>
      </c>
      <c r="D591" s="12" t="s">
        <v>269</v>
      </c>
      <c r="E591" s="12" t="s">
        <v>104</v>
      </c>
      <c r="F591">
        <v>2</v>
      </c>
      <c r="G591">
        <v>0</v>
      </c>
      <c r="H591">
        <v>0</v>
      </c>
      <c r="I591" s="12" t="s">
        <v>380</v>
      </c>
      <c r="J591" s="12" t="s">
        <v>381</v>
      </c>
      <c r="K591" s="12" t="s">
        <v>89</v>
      </c>
      <c r="L591" s="12" t="s">
        <v>96</v>
      </c>
      <c r="M591">
        <v>10.210000000000001</v>
      </c>
      <c r="N591" s="12" t="s">
        <v>135</v>
      </c>
      <c r="O591" s="12" t="s">
        <v>136</v>
      </c>
      <c r="P591" s="12" t="s">
        <v>137</v>
      </c>
      <c r="Q591" s="13">
        <v>45089</v>
      </c>
      <c r="R591" s="13">
        <v>45113</v>
      </c>
      <c r="S591">
        <v>2023</v>
      </c>
      <c r="T591" s="12" t="s">
        <v>1147</v>
      </c>
      <c r="U591">
        <v>110</v>
      </c>
      <c r="V591">
        <v>146.53960000000001</v>
      </c>
      <c r="W591">
        <v>159.01</v>
      </c>
      <c r="X591">
        <v>0</v>
      </c>
      <c r="Y591">
        <v>0</v>
      </c>
      <c r="Z591">
        <v>16119.36</v>
      </c>
      <c r="AA591">
        <v>16278.37</v>
      </c>
      <c r="AB591" s="12" t="s">
        <v>422</v>
      </c>
      <c r="AC591">
        <v>146.53960000000001</v>
      </c>
      <c r="AD591">
        <v>1</v>
      </c>
      <c r="AE591">
        <v>1</v>
      </c>
      <c r="AF591">
        <v>0</v>
      </c>
      <c r="AG591">
        <v>16119.36</v>
      </c>
      <c r="AH591">
        <v>110</v>
      </c>
      <c r="AI591">
        <v>109</v>
      </c>
      <c r="AJ591">
        <v>1</v>
      </c>
      <c r="AK591">
        <v>1</v>
      </c>
      <c r="AL591">
        <v>1</v>
      </c>
      <c r="AM591">
        <v>99.09</v>
      </c>
      <c r="AN591">
        <v>149.34280000000001</v>
      </c>
      <c r="AO591">
        <v>146.54</v>
      </c>
      <c r="AP591" s="13">
        <v>45112</v>
      </c>
      <c r="AQ591">
        <v>-1</v>
      </c>
      <c r="AR591">
        <v>1</v>
      </c>
    </row>
    <row r="592" spans="1:44" x14ac:dyDescent="0.35">
      <c r="A592" s="12" t="s">
        <v>1236</v>
      </c>
      <c r="B592" s="12" t="s">
        <v>339</v>
      </c>
      <c r="C592" s="12" t="s">
        <v>340</v>
      </c>
      <c r="D592" s="12" t="s">
        <v>103</v>
      </c>
      <c r="E592" s="12" t="s">
        <v>142</v>
      </c>
      <c r="F592">
        <v>2</v>
      </c>
      <c r="G592">
        <v>9</v>
      </c>
      <c r="H592">
        <v>0</v>
      </c>
      <c r="I592" s="12" t="s">
        <v>169</v>
      </c>
      <c r="J592" s="12" t="s">
        <v>170</v>
      </c>
      <c r="K592" s="12" t="s">
        <v>89</v>
      </c>
      <c r="L592" s="12" t="s">
        <v>134</v>
      </c>
      <c r="M592">
        <v>1.37</v>
      </c>
      <c r="N592" s="12" t="s">
        <v>145</v>
      </c>
      <c r="O592" s="12" t="s">
        <v>146</v>
      </c>
      <c r="P592" s="12" t="s">
        <v>109</v>
      </c>
      <c r="Q592" s="13">
        <v>45089</v>
      </c>
      <c r="R592" s="13">
        <v>45140</v>
      </c>
      <c r="S592">
        <v>2023</v>
      </c>
      <c r="T592" s="12" t="s">
        <v>1147</v>
      </c>
      <c r="U592">
        <v>138</v>
      </c>
      <c r="V592">
        <v>249.9879</v>
      </c>
      <c r="W592">
        <v>423.01</v>
      </c>
      <c r="X592">
        <v>0</v>
      </c>
      <c r="Y592">
        <v>0</v>
      </c>
      <c r="Z592">
        <v>34498.33</v>
      </c>
      <c r="AA592">
        <v>34921.339999999997</v>
      </c>
      <c r="AB592" s="12" t="s">
        <v>345</v>
      </c>
      <c r="AC592">
        <v>249.9879</v>
      </c>
      <c r="AD592">
        <v>1</v>
      </c>
      <c r="AE592">
        <v>1</v>
      </c>
      <c r="AF592">
        <v>0</v>
      </c>
      <c r="AG592">
        <v>34498.33</v>
      </c>
      <c r="AH592">
        <v>138</v>
      </c>
      <c r="AI592">
        <v>137</v>
      </c>
      <c r="AJ592">
        <v>1</v>
      </c>
      <c r="AK592">
        <v>1</v>
      </c>
      <c r="AL592">
        <v>1</v>
      </c>
      <c r="AM592">
        <v>99.28</v>
      </c>
      <c r="AN592">
        <v>254.90029999999999</v>
      </c>
      <c r="AO592">
        <v>249.99</v>
      </c>
      <c r="AP592" s="13">
        <v>45138</v>
      </c>
      <c r="AQ592">
        <v>-2</v>
      </c>
      <c r="AR592">
        <v>1</v>
      </c>
    </row>
    <row r="593" spans="1:44" x14ac:dyDescent="0.35">
      <c r="A593" s="12" t="s">
        <v>1237</v>
      </c>
      <c r="B593" s="12" t="s">
        <v>128</v>
      </c>
      <c r="C593" s="12" t="s">
        <v>129</v>
      </c>
      <c r="D593" s="12" t="s">
        <v>130</v>
      </c>
      <c r="E593" s="12" t="s">
        <v>65</v>
      </c>
      <c r="F593">
        <v>3</v>
      </c>
      <c r="G593">
        <v>5</v>
      </c>
      <c r="H593">
        <v>0</v>
      </c>
      <c r="I593" s="12" t="s">
        <v>131</v>
      </c>
      <c r="J593" s="12" t="s">
        <v>132</v>
      </c>
      <c r="K593" s="12" t="s">
        <v>133</v>
      </c>
      <c r="L593" s="12" t="s">
        <v>134</v>
      </c>
      <c r="M593">
        <v>1.51</v>
      </c>
      <c r="N593" s="12" t="s">
        <v>135</v>
      </c>
      <c r="O593" s="12" t="s">
        <v>136</v>
      </c>
      <c r="P593" s="12" t="s">
        <v>137</v>
      </c>
      <c r="Q593" s="13">
        <v>45089</v>
      </c>
      <c r="R593" s="13">
        <v>45118</v>
      </c>
      <c r="S593">
        <v>2023</v>
      </c>
      <c r="T593" s="12" t="s">
        <v>1147</v>
      </c>
      <c r="U593">
        <v>72</v>
      </c>
      <c r="V593">
        <v>501.92320000000001</v>
      </c>
      <c r="W593">
        <v>779.46</v>
      </c>
      <c r="X593">
        <v>0</v>
      </c>
      <c r="Y593">
        <v>0</v>
      </c>
      <c r="Z593">
        <v>36138.47</v>
      </c>
      <c r="AA593">
        <v>36917.93</v>
      </c>
      <c r="AB593" s="12" t="s">
        <v>138</v>
      </c>
      <c r="AC593">
        <v>501.92320000000001</v>
      </c>
      <c r="AD593">
        <v>1</v>
      </c>
      <c r="AE593">
        <v>1</v>
      </c>
      <c r="AF593">
        <v>0</v>
      </c>
      <c r="AG593">
        <v>36138.47</v>
      </c>
      <c r="AH593">
        <v>72</v>
      </c>
      <c r="AI593">
        <v>66</v>
      </c>
      <c r="AJ593">
        <v>6</v>
      </c>
      <c r="AK593">
        <v>1</v>
      </c>
      <c r="AL593">
        <v>1</v>
      </c>
      <c r="AM593">
        <v>91.67</v>
      </c>
      <c r="AN593">
        <v>559.36260000000004</v>
      </c>
      <c r="AO593">
        <v>3011.54</v>
      </c>
      <c r="AP593" s="13">
        <v>45118</v>
      </c>
      <c r="AQ593">
        <v>0</v>
      </c>
      <c r="AR593">
        <v>1</v>
      </c>
    </row>
    <row r="594" spans="1:44" x14ac:dyDescent="0.35">
      <c r="A594" s="12" t="s">
        <v>1238</v>
      </c>
      <c r="B594" s="12" t="s">
        <v>221</v>
      </c>
      <c r="C594" s="12" t="s">
        <v>222</v>
      </c>
      <c r="D594" s="12" t="s">
        <v>114</v>
      </c>
      <c r="E594" s="12" t="s">
        <v>142</v>
      </c>
      <c r="F594">
        <v>3</v>
      </c>
      <c r="G594">
        <v>11</v>
      </c>
      <c r="H594">
        <v>0</v>
      </c>
      <c r="I594" s="12" t="s">
        <v>105</v>
      </c>
      <c r="J594" s="12" t="s">
        <v>106</v>
      </c>
      <c r="K594" s="12" t="s">
        <v>81</v>
      </c>
      <c r="L594" s="12" t="s">
        <v>96</v>
      </c>
      <c r="M594">
        <v>5.01</v>
      </c>
      <c r="N594" s="12" t="s">
        <v>97</v>
      </c>
      <c r="O594" s="12" t="s">
        <v>98</v>
      </c>
      <c r="P594" s="12" t="s">
        <v>72</v>
      </c>
      <c r="Q594" s="13">
        <v>45089</v>
      </c>
      <c r="R594" s="13">
        <v>45135</v>
      </c>
      <c r="S594">
        <v>2023</v>
      </c>
      <c r="T594" s="12" t="s">
        <v>1147</v>
      </c>
      <c r="U594">
        <v>100</v>
      </c>
      <c r="V594">
        <v>239.12739999999999</v>
      </c>
      <c r="W594">
        <v>596.21</v>
      </c>
      <c r="X594">
        <v>0</v>
      </c>
      <c r="Y594">
        <v>0</v>
      </c>
      <c r="Z594">
        <v>23912.74</v>
      </c>
      <c r="AA594">
        <v>24508.95</v>
      </c>
      <c r="AB594" s="12" t="s">
        <v>1239</v>
      </c>
      <c r="AC594">
        <v>239.12739999999999</v>
      </c>
      <c r="AD594">
        <v>1</v>
      </c>
      <c r="AE594">
        <v>1</v>
      </c>
      <c r="AF594">
        <v>0</v>
      </c>
      <c r="AG594">
        <v>23912.74</v>
      </c>
      <c r="AH594">
        <v>100</v>
      </c>
      <c r="AI594">
        <v>99</v>
      </c>
      <c r="AJ594">
        <v>1</v>
      </c>
      <c r="AK594">
        <v>1</v>
      </c>
      <c r="AL594">
        <v>1</v>
      </c>
      <c r="AM594">
        <v>99</v>
      </c>
      <c r="AN594">
        <v>247.5652</v>
      </c>
      <c r="AO594">
        <v>239.13</v>
      </c>
      <c r="AP594" s="13">
        <v>45135</v>
      </c>
      <c r="AQ594">
        <v>0</v>
      </c>
      <c r="AR594">
        <v>1</v>
      </c>
    </row>
    <row r="595" spans="1:44" x14ac:dyDescent="0.35">
      <c r="A595" s="12" t="s">
        <v>1240</v>
      </c>
      <c r="B595" s="12" t="s">
        <v>323</v>
      </c>
      <c r="C595" s="12" t="s">
        <v>324</v>
      </c>
      <c r="D595" s="12" t="s">
        <v>64</v>
      </c>
      <c r="E595" s="12" t="s">
        <v>142</v>
      </c>
      <c r="F595">
        <v>1</v>
      </c>
      <c r="G595">
        <v>7</v>
      </c>
      <c r="H595">
        <v>1</v>
      </c>
      <c r="I595" s="12" t="s">
        <v>143</v>
      </c>
      <c r="J595" s="12" t="s">
        <v>144</v>
      </c>
      <c r="K595" s="12" t="s">
        <v>133</v>
      </c>
      <c r="L595" s="12" t="s">
        <v>96</v>
      </c>
      <c r="M595">
        <v>5.43</v>
      </c>
      <c r="N595" s="12" t="s">
        <v>97</v>
      </c>
      <c r="O595" s="12" t="s">
        <v>98</v>
      </c>
      <c r="P595" s="12" t="s">
        <v>72</v>
      </c>
      <c r="Q595" s="13">
        <v>45089</v>
      </c>
      <c r="R595" s="13">
        <v>45130</v>
      </c>
      <c r="S595">
        <v>2023</v>
      </c>
      <c r="T595" s="12" t="s">
        <v>1147</v>
      </c>
      <c r="U595">
        <v>411</v>
      </c>
      <c r="V595">
        <v>39.503399999999999</v>
      </c>
      <c r="W595">
        <v>190.43</v>
      </c>
      <c r="X595">
        <v>0</v>
      </c>
      <c r="Y595">
        <v>0</v>
      </c>
      <c r="Z595">
        <v>16235.9</v>
      </c>
      <c r="AA595">
        <v>16426.330000000002</v>
      </c>
      <c r="AB595" s="12" t="s">
        <v>325</v>
      </c>
      <c r="AC595">
        <v>39.503399999999999</v>
      </c>
      <c r="AD595">
        <v>1</v>
      </c>
      <c r="AE595">
        <v>1</v>
      </c>
      <c r="AF595">
        <v>0</v>
      </c>
      <c r="AG595">
        <v>16235.9</v>
      </c>
      <c r="AH595">
        <v>411</v>
      </c>
      <c r="AI595">
        <v>410</v>
      </c>
      <c r="AJ595">
        <v>1</v>
      </c>
      <c r="AK595">
        <v>1</v>
      </c>
      <c r="AL595">
        <v>1</v>
      </c>
      <c r="AM595">
        <v>99.76</v>
      </c>
      <c r="AN595">
        <v>40.0642</v>
      </c>
      <c r="AO595">
        <v>39.5</v>
      </c>
      <c r="AP595" s="13">
        <v>45130</v>
      </c>
      <c r="AQ595">
        <v>0</v>
      </c>
      <c r="AR595">
        <v>1</v>
      </c>
    </row>
    <row r="596" spans="1:44" x14ac:dyDescent="0.35">
      <c r="A596" s="12" t="s">
        <v>1241</v>
      </c>
      <c r="B596" s="12" t="s">
        <v>357</v>
      </c>
      <c r="C596" s="12" t="s">
        <v>358</v>
      </c>
      <c r="D596" s="12" t="s">
        <v>103</v>
      </c>
      <c r="E596" s="12" t="s">
        <v>104</v>
      </c>
      <c r="F596">
        <v>3</v>
      </c>
      <c r="G596">
        <v>1</v>
      </c>
      <c r="H596">
        <v>0</v>
      </c>
      <c r="I596" s="12" t="s">
        <v>359</v>
      </c>
      <c r="J596" s="12" t="s">
        <v>360</v>
      </c>
      <c r="K596" s="12" t="s">
        <v>133</v>
      </c>
      <c r="L596" s="12" t="s">
        <v>82</v>
      </c>
      <c r="M596">
        <v>12.65</v>
      </c>
      <c r="N596" s="12" t="s">
        <v>145</v>
      </c>
      <c r="O596" s="12" t="s">
        <v>146</v>
      </c>
      <c r="P596" s="12" t="s">
        <v>109</v>
      </c>
      <c r="Q596" s="13">
        <v>45090</v>
      </c>
      <c r="R596" s="13">
        <v>45112</v>
      </c>
      <c r="S596">
        <v>2023</v>
      </c>
      <c r="T596" s="12" t="s">
        <v>1147</v>
      </c>
      <c r="U596">
        <v>89</v>
      </c>
      <c r="V596">
        <v>114.8539</v>
      </c>
      <c r="W596">
        <v>125.41</v>
      </c>
      <c r="X596">
        <v>0</v>
      </c>
      <c r="Y596">
        <v>0</v>
      </c>
      <c r="Z596">
        <v>10222</v>
      </c>
      <c r="AA596">
        <v>10347.41</v>
      </c>
      <c r="AB596" s="12" t="s">
        <v>201</v>
      </c>
      <c r="AD596">
        <v>0</v>
      </c>
      <c r="AE596">
        <v>0</v>
      </c>
      <c r="AH596">
        <v>89</v>
      </c>
      <c r="AI596">
        <v>88</v>
      </c>
      <c r="AJ596">
        <v>1</v>
      </c>
      <c r="AK596">
        <v>1</v>
      </c>
      <c r="AL596">
        <v>1</v>
      </c>
      <c r="AM596">
        <v>98.88</v>
      </c>
      <c r="AN596">
        <v>117.5842</v>
      </c>
      <c r="AO596">
        <v>114.85</v>
      </c>
      <c r="AP596" s="13">
        <v>45112</v>
      </c>
      <c r="AQ596">
        <v>0</v>
      </c>
      <c r="AR596">
        <v>1</v>
      </c>
    </row>
    <row r="597" spans="1:44" x14ac:dyDescent="0.35">
      <c r="A597" s="12" t="s">
        <v>1242</v>
      </c>
      <c r="B597" s="12" t="s">
        <v>952</v>
      </c>
      <c r="C597" s="12" t="s">
        <v>953</v>
      </c>
      <c r="D597" s="12" t="s">
        <v>64</v>
      </c>
      <c r="E597" s="12" t="s">
        <v>142</v>
      </c>
      <c r="F597">
        <v>1</v>
      </c>
      <c r="G597">
        <v>8</v>
      </c>
      <c r="H597">
        <v>1</v>
      </c>
      <c r="I597" s="12" t="s">
        <v>131</v>
      </c>
      <c r="J597" s="12" t="s">
        <v>132</v>
      </c>
      <c r="K597" s="12" t="s">
        <v>133</v>
      </c>
      <c r="L597" s="12" t="s">
        <v>134</v>
      </c>
      <c r="M597">
        <v>1.51</v>
      </c>
      <c r="N597" s="12" t="s">
        <v>70</v>
      </c>
      <c r="O597" s="12" t="s">
        <v>71</v>
      </c>
      <c r="P597" s="12" t="s">
        <v>72</v>
      </c>
      <c r="Q597" s="13">
        <v>45090</v>
      </c>
      <c r="R597" s="13">
        <v>45140</v>
      </c>
      <c r="S597">
        <v>2023</v>
      </c>
      <c r="T597" s="12" t="s">
        <v>1147</v>
      </c>
      <c r="U597">
        <v>862</v>
      </c>
      <c r="V597">
        <v>31.146599999999999</v>
      </c>
      <c r="W597">
        <v>293.18</v>
      </c>
      <c r="X597">
        <v>0</v>
      </c>
      <c r="Y597">
        <v>0</v>
      </c>
      <c r="Z597">
        <v>26848.37</v>
      </c>
      <c r="AA597">
        <v>27141.55</v>
      </c>
      <c r="AB597" s="12" t="s">
        <v>954</v>
      </c>
      <c r="AC597">
        <v>31.146599999999999</v>
      </c>
      <c r="AD597">
        <v>1</v>
      </c>
      <c r="AE597">
        <v>1</v>
      </c>
      <c r="AF597">
        <v>0</v>
      </c>
      <c r="AG597">
        <v>26848.37</v>
      </c>
      <c r="AH597">
        <v>862</v>
      </c>
      <c r="AI597">
        <v>853</v>
      </c>
      <c r="AJ597">
        <v>9</v>
      </c>
      <c r="AK597">
        <v>1</v>
      </c>
      <c r="AL597">
        <v>1</v>
      </c>
      <c r="AM597">
        <v>98.96</v>
      </c>
      <c r="AN597">
        <v>31.818899999999999</v>
      </c>
      <c r="AO597">
        <v>280.32</v>
      </c>
      <c r="AP597" s="13">
        <v>45147</v>
      </c>
      <c r="AQ597">
        <v>7</v>
      </c>
      <c r="AR597">
        <v>0</v>
      </c>
    </row>
    <row r="598" spans="1:44" x14ac:dyDescent="0.35">
      <c r="A598" s="12" t="s">
        <v>1243</v>
      </c>
      <c r="B598" s="12" t="s">
        <v>732</v>
      </c>
      <c r="C598" s="12" t="s">
        <v>733</v>
      </c>
      <c r="D598" s="12" t="s">
        <v>114</v>
      </c>
      <c r="E598" s="12" t="s">
        <v>104</v>
      </c>
      <c r="F598">
        <v>3</v>
      </c>
      <c r="G598">
        <v>1</v>
      </c>
      <c r="H598">
        <v>0</v>
      </c>
      <c r="I598" s="12" t="s">
        <v>199</v>
      </c>
      <c r="J598" s="12" t="s">
        <v>200</v>
      </c>
      <c r="K598" s="12" t="s">
        <v>68</v>
      </c>
      <c r="L598" s="12" t="s">
        <v>96</v>
      </c>
      <c r="M598">
        <v>9.4700000000000006</v>
      </c>
      <c r="N598" s="12" t="s">
        <v>97</v>
      </c>
      <c r="O598" s="12" t="s">
        <v>98</v>
      </c>
      <c r="P598" s="12" t="s">
        <v>72</v>
      </c>
      <c r="Q598" s="13">
        <v>45090</v>
      </c>
      <c r="R598" s="13">
        <v>45116</v>
      </c>
      <c r="S598">
        <v>2023</v>
      </c>
      <c r="T598" s="12" t="s">
        <v>1147</v>
      </c>
      <c r="U598">
        <v>119</v>
      </c>
      <c r="V598">
        <v>314.15269999999998</v>
      </c>
      <c r="W598">
        <v>607.67999999999995</v>
      </c>
      <c r="X598">
        <v>0</v>
      </c>
      <c r="Y598">
        <v>0</v>
      </c>
      <c r="Z598">
        <v>37384.17</v>
      </c>
      <c r="AA598">
        <v>37991.85</v>
      </c>
      <c r="AB598" s="12" t="s">
        <v>734</v>
      </c>
      <c r="AC598">
        <v>314.15269999999998</v>
      </c>
      <c r="AD598">
        <v>1</v>
      </c>
      <c r="AE598">
        <v>1</v>
      </c>
      <c r="AF598">
        <v>0</v>
      </c>
      <c r="AG598">
        <v>37384.17</v>
      </c>
      <c r="AH598">
        <v>119</v>
      </c>
      <c r="AI598">
        <v>117</v>
      </c>
      <c r="AJ598">
        <v>2</v>
      </c>
      <c r="AK598">
        <v>1</v>
      </c>
      <c r="AL598">
        <v>1</v>
      </c>
      <c r="AM598">
        <v>98.32</v>
      </c>
      <c r="AN598">
        <v>324.7167</v>
      </c>
      <c r="AO598">
        <v>628.30999999999995</v>
      </c>
      <c r="AP598" s="13">
        <v>45116</v>
      </c>
      <c r="AQ598">
        <v>0</v>
      </c>
      <c r="AR598">
        <v>1</v>
      </c>
    </row>
    <row r="599" spans="1:44" x14ac:dyDescent="0.35">
      <c r="A599" s="12" t="s">
        <v>1244</v>
      </c>
      <c r="B599" s="12" t="s">
        <v>957</v>
      </c>
      <c r="C599" s="12" t="s">
        <v>958</v>
      </c>
      <c r="D599" s="12" t="s">
        <v>103</v>
      </c>
      <c r="E599" s="12" t="s">
        <v>142</v>
      </c>
      <c r="F599">
        <v>1</v>
      </c>
      <c r="G599">
        <v>7</v>
      </c>
      <c r="H599">
        <v>1</v>
      </c>
      <c r="I599" s="12" t="s">
        <v>183</v>
      </c>
      <c r="J599" s="12" t="s">
        <v>184</v>
      </c>
      <c r="K599" s="12" t="s">
        <v>133</v>
      </c>
      <c r="L599" s="12" t="s">
        <v>82</v>
      </c>
      <c r="M599">
        <v>8.6199999999999992</v>
      </c>
      <c r="N599" s="12" t="s">
        <v>145</v>
      </c>
      <c r="O599" s="12" t="s">
        <v>146</v>
      </c>
      <c r="P599" s="12" t="s">
        <v>109</v>
      </c>
      <c r="Q599" s="13">
        <v>45090</v>
      </c>
      <c r="R599" s="13">
        <v>45133</v>
      </c>
      <c r="S599">
        <v>2023</v>
      </c>
      <c r="T599" s="12" t="s">
        <v>1147</v>
      </c>
      <c r="U599">
        <v>76</v>
      </c>
      <c r="V599">
        <v>199.1737</v>
      </c>
      <c r="W599">
        <v>360.67</v>
      </c>
      <c r="X599">
        <v>0</v>
      </c>
      <c r="Y599">
        <v>0</v>
      </c>
      <c r="Z599">
        <v>15137.2</v>
      </c>
      <c r="AA599">
        <v>15497.87</v>
      </c>
      <c r="AB599" s="12" t="s">
        <v>959</v>
      </c>
      <c r="AC599">
        <v>199.1737</v>
      </c>
      <c r="AD599">
        <v>1</v>
      </c>
      <c r="AE599">
        <v>1</v>
      </c>
      <c r="AF599">
        <v>0</v>
      </c>
      <c r="AG599">
        <v>15137.2</v>
      </c>
      <c r="AH599">
        <v>76</v>
      </c>
      <c r="AI599">
        <v>75</v>
      </c>
      <c r="AJ599">
        <v>1</v>
      </c>
      <c r="AK599">
        <v>1</v>
      </c>
      <c r="AL599">
        <v>1</v>
      </c>
      <c r="AM599">
        <v>98.68</v>
      </c>
      <c r="AN599">
        <v>206.63829999999999</v>
      </c>
      <c r="AO599">
        <v>199.17</v>
      </c>
      <c r="AP599" s="13">
        <v>45142</v>
      </c>
      <c r="AQ599">
        <v>9</v>
      </c>
      <c r="AR599">
        <v>0</v>
      </c>
    </row>
    <row r="600" spans="1:44" x14ac:dyDescent="0.35">
      <c r="A600" s="12" t="s">
        <v>1245</v>
      </c>
      <c r="B600" s="12" t="s">
        <v>869</v>
      </c>
      <c r="C600" s="12" t="s">
        <v>870</v>
      </c>
      <c r="D600" s="12" t="s">
        <v>130</v>
      </c>
      <c r="E600" s="12" t="s">
        <v>104</v>
      </c>
      <c r="F600">
        <v>2</v>
      </c>
      <c r="G600">
        <v>0</v>
      </c>
      <c r="H600">
        <v>0</v>
      </c>
      <c r="I600" s="12" t="s">
        <v>515</v>
      </c>
      <c r="J600" s="12" t="s">
        <v>516</v>
      </c>
      <c r="K600" s="12" t="s">
        <v>68</v>
      </c>
      <c r="L600" s="12" t="s">
        <v>134</v>
      </c>
      <c r="M600">
        <v>3.69</v>
      </c>
      <c r="N600" s="12" t="s">
        <v>135</v>
      </c>
      <c r="O600" s="12" t="s">
        <v>136</v>
      </c>
      <c r="P600" s="12" t="s">
        <v>137</v>
      </c>
      <c r="Q600" s="13">
        <v>45090</v>
      </c>
      <c r="R600" s="13">
        <v>45113</v>
      </c>
      <c r="S600">
        <v>2023</v>
      </c>
      <c r="T600" s="12" t="s">
        <v>1147</v>
      </c>
      <c r="U600">
        <v>101</v>
      </c>
      <c r="V600">
        <v>583.34230000000002</v>
      </c>
      <c r="W600">
        <v>843.1</v>
      </c>
      <c r="X600">
        <v>0</v>
      </c>
      <c r="Y600">
        <v>0</v>
      </c>
      <c r="Z600">
        <v>58917.57</v>
      </c>
      <c r="AA600">
        <v>59760.67</v>
      </c>
      <c r="AB600" s="12" t="s">
        <v>871</v>
      </c>
      <c r="AC600">
        <v>583.34230000000002</v>
      </c>
      <c r="AD600">
        <v>1</v>
      </c>
      <c r="AE600">
        <v>1</v>
      </c>
      <c r="AF600">
        <v>0</v>
      </c>
      <c r="AG600">
        <v>58917.57</v>
      </c>
      <c r="AH600">
        <v>101</v>
      </c>
      <c r="AI600">
        <v>100</v>
      </c>
      <c r="AJ600">
        <v>1</v>
      </c>
      <c r="AK600">
        <v>1</v>
      </c>
      <c r="AL600">
        <v>1</v>
      </c>
      <c r="AM600">
        <v>99.01</v>
      </c>
      <c r="AN600">
        <v>597.60670000000005</v>
      </c>
      <c r="AO600">
        <v>583.34</v>
      </c>
      <c r="AP600" s="13">
        <v>45114</v>
      </c>
      <c r="AQ600">
        <v>1</v>
      </c>
      <c r="AR600">
        <v>0</v>
      </c>
    </row>
    <row r="601" spans="1:44" x14ac:dyDescent="0.35">
      <c r="A601" s="12" t="s">
        <v>1246</v>
      </c>
      <c r="B601" s="12" t="s">
        <v>1013</v>
      </c>
      <c r="C601" s="12" t="s">
        <v>1014</v>
      </c>
      <c r="D601" s="12" t="s">
        <v>78</v>
      </c>
      <c r="E601" s="12" t="s">
        <v>65</v>
      </c>
      <c r="F601">
        <v>2</v>
      </c>
      <c r="G601">
        <v>3</v>
      </c>
      <c r="H601">
        <v>0</v>
      </c>
      <c r="I601" s="12" t="s">
        <v>123</v>
      </c>
      <c r="J601" s="12" t="s">
        <v>124</v>
      </c>
      <c r="K601" s="12" t="s">
        <v>125</v>
      </c>
      <c r="L601" s="12" t="s">
        <v>82</v>
      </c>
      <c r="M601">
        <v>6.75</v>
      </c>
      <c r="N601" s="12" t="s">
        <v>70</v>
      </c>
      <c r="O601" s="12" t="s">
        <v>71</v>
      </c>
      <c r="P601" s="12" t="s">
        <v>72</v>
      </c>
      <c r="Q601" s="13">
        <v>45090</v>
      </c>
      <c r="R601" s="13">
        <v>45116</v>
      </c>
      <c r="S601">
        <v>2023</v>
      </c>
      <c r="T601" s="12" t="s">
        <v>1147</v>
      </c>
      <c r="U601">
        <v>123</v>
      </c>
      <c r="V601">
        <v>125.2653</v>
      </c>
      <c r="W601">
        <v>391.94</v>
      </c>
      <c r="X601">
        <v>0</v>
      </c>
      <c r="Y601">
        <v>0</v>
      </c>
      <c r="Z601">
        <v>15407.63</v>
      </c>
      <c r="AA601">
        <v>15799.57</v>
      </c>
      <c r="AB601" s="12" t="s">
        <v>1015</v>
      </c>
      <c r="AC601">
        <v>125.2653</v>
      </c>
      <c r="AD601">
        <v>1</v>
      </c>
      <c r="AE601">
        <v>1</v>
      </c>
      <c r="AF601">
        <v>0</v>
      </c>
      <c r="AG601">
        <v>15407.63</v>
      </c>
      <c r="AH601">
        <v>123</v>
      </c>
      <c r="AI601">
        <v>120</v>
      </c>
      <c r="AJ601">
        <v>3</v>
      </c>
      <c r="AK601">
        <v>1</v>
      </c>
      <c r="AL601">
        <v>1</v>
      </c>
      <c r="AM601">
        <v>97.56</v>
      </c>
      <c r="AN601">
        <v>131.66309999999999</v>
      </c>
      <c r="AO601">
        <v>375.8</v>
      </c>
      <c r="AP601" s="13">
        <v>45115</v>
      </c>
      <c r="AQ601">
        <v>-1</v>
      </c>
      <c r="AR601">
        <v>1</v>
      </c>
    </row>
    <row r="602" spans="1:44" x14ac:dyDescent="0.35">
      <c r="A602" s="12" t="s">
        <v>1247</v>
      </c>
      <c r="B602" s="12" t="s">
        <v>674</v>
      </c>
      <c r="C602" s="12" t="s">
        <v>675</v>
      </c>
      <c r="D602" s="12" t="s">
        <v>269</v>
      </c>
      <c r="E602" s="12" t="s">
        <v>142</v>
      </c>
      <c r="F602">
        <v>1</v>
      </c>
      <c r="G602">
        <v>7</v>
      </c>
      <c r="H602">
        <v>1</v>
      </c>
      <c r="I602" s="12" t="s">
        <v>676</v>
      </c>
      <c r="J602" s="12" t="s">
        <v>677</v>
      </c>
      <c r="K602" s="12" t="s">
        <v>68</v>
      </c>
      <c r="L602" s="12" t="s">
        <v>96</v>
      </c>
      <c r="M602">
        <v>3.57</v>
      </c>
      <c r="N602" s="12" t="s">
        <v>135</v>
      </c>
      <c r="O602" s="12" t="s">
        <v>136</v>
      </c>
      <c r="P602" s="12" t="s">
        <v>137</v>
      </c>
      <c r="Q602" s="13">
        <v>45091</v>
      </c>
      <c r="R602" s="13">
        <v>45126</v>
      </c>
      <c r="S602">
        <v>2023</v>
      </c>
      <c r="T602" s="12" t="s">
        <v>1147</v>
      </c>
      <c r="U602">
        <v>10</v>
      </c>
      <c r="V602">
        <v>355.32960000000003</v>
      </c>
      <c r="W602">
        <v>57.22</v>
      </c>
      <c r="X602">
        <v>0</v>
      </c>
      <c r="Y602">
        <v>0</v>
      </c>
      <c r="Z602">
        <v>3553.3</v>
      </c>
      <c r="AA602">
        <v>3610.52</v>
      </c>
      <c r="AB602" s="12" t="s">
        <v>678</v>
      </c>
      <c r="AC602">
        <v>355.32960000000003</v>
      </c>
      <c r="AD602">
        <v>1</v>
      </c>
      <c r="AE602">
        <v>1</v>
      </c>
      <c r="AF602">
        <v>0</v>
      </c>
      <c r="AG602">
        <v>3553.3</v>
      </c>
      <c r="AH602">
        <v>10</v>
      </c>
      <c r="AI602">
        <v>10</v>
      </c>
      <c r="AJ602">
        <v>0</v>
      </c>
      <c r="AK602">
        <v>1</v>
      </c>
      <c r="AL602">
        <v>1</v>
      </c>
      <c r="AM602">
        <v>100</v>
      </c>
      <c r="AN602">
        <v>361.05160000000001</v>
      </c>
      <c r="AO602">
        <v>0</v>
      </c>
      <c r="AP602" s="13">
        <v>45123</v>
      </c>
      <c r="AQ602">
        <v>-3</v>
      </c>
      <c r="AR602">
        <v>1</v>
      </c>
    </row>
    <row r="603" spans="1:44" x14ac:dyDescent="0.35">
      <c r="A603" s="12" t="s">
        <v>1248</v>
      </c>
      <c r="B603" s="12" t="s">
        <v>149</v>
      </c>
      <c r="C603" s="12" t="s">
        <v>150</v>
      </c>
      <c r="D603" s="12" t="s">
        <v>78</v>
      </c>
      <c r="E603" s="12" t="s">
        <v>65</v>
      </c>
      <c r="F603">
        <v>2</v>
      </c>
      <c r="G603">
        <v>2</v>
      </c>
      <c r="H603">
        <v>0</v>
      </c>
      <c r="I603" s="12" t="s">
        <v>151</v>
      </c>
      <c r="J603" s="12" t="s">
        <v>152</v>
      </c>
      <c r="K603" s="12" t="s">
        <v>125</v>
      </c>
      <c r="L603" s="12" t="s">
        <v>69</v>
      </c>
      <c r="M603">
        <v>36.479999999999997</v>
      </c>
      <c r="N603" s="12" t="s">
        <v>70</v>
      </c>
      <c r="O603" s="12" t="s">
        <v>71</v>
      </c>
      <c r="P603" s="12" t="s">
        <v>72</v>
      </c>
      <c r="Q603" s="13">
        <v>45091</v>
      </c>
      <c r="R603" s="13">
        <v>45129</v>
      </c>
      <c r="S603">
        <v>2023</v>
      </c>
      <c r="T603" s="12" t="s">
        <v>1147</v>
      </c>
      <c r="U603">
        <v>294</v>
      </c>
      <c r="V603">
        <v>76.092399999999998</v>
      </c>
      <c r="W603">
        <v>209.74</v>
      </c>
      <c r="X603">
        <v>0</v>
      </c>
      <c r="Y603">
        <v>0</v>
      </c>
      <c r="Z603">
        <v>22371.17</v>
      </c>
      <c r="AA603">
        <v>22580.91</v>
      </c>
      <c r="AB603" s="12" t="s">
        <v>153</v>
      </c>
      <c r="AC603">
        <v>76.092399999999998</v>
      </c>
      <c r="AD603">
        <v>1</v>
      </c>
      <c r="AE603">
        <v>1</v>
      </c>
      <c r="AF603">
        <v>0</v>
      </c>
      <c r="AG603">
        <v>22371.17</v>
      </c>
      <c r="AH603">
        <v>294</v>
      </c>
      <c r="AI603">
        <v>290</v>
      </c>
      <c r="AJ603">
        <v>4</v>
      </c>
      <c r="AK603">
        <v>1</v>
      </c>
      <c r="AL603">
        <v>1</v>
      </c>
      <c r="AM603">
        <v>98.64</v>
      </c>
      <c r="AN603">
        <v>77.865200000000002</v>
      </c>
      <c r="AO603">
        <v>304.37</v>
      </c>
      <c r="AP603" s="13">
        <v>45128</v>
      </c>
      <c r="AQ603">
        <v>-1</v>
      </c>
      <c r="AR603">
        <v>1</v>
      </c>
    </row>
    <row r="604" spans="1:44" x14ac:dyDescent="0.35">
      <c r="A604" s="12" t="s">
        <v>1249</v>
      </c>
      <c r="B604" s="12" t="s">
        <v>613</v>
      </c>
      <c r="C604" s="12" t="s">
        <v>614</v>
      </c>
      <c r="D604" s="12" t="s">
        <v>130</v>
      </c>
      <c r="E604" s="12" t="s">
        <v>104</v>
      </c>
      <c r="F604">
        <v>3</v>
      </c>
      <c r="G604">
        <v>1</v>
      </c>
      <c r="H604">
        <v>0</v>
      </c>
      <c r="I604" s="12" t="s">
        <v>676</v>
      </c>
      <c r="J604" s="12" t="s">
        <v>677</v>
      </c>
      <c r="K604" s="12" t="s">
        <v>68</v>
      </c>
      <c r="L604" s="12" t="s">
        <v>96</v>
      </c>
      <c r="M604">
        <v>3.57</v>
      </c>
      <c r="N604" s="12" t="s">
        <v>159</v>
      </c>
      <c r="O604" s="12" t="s">
        <v>160</v>
      </c>
      <c r="P604" s="12" t="s">
        <v>137</v>
      </c>
      <c r="Q604" s="13">
        <v>45091</v>
      </c>
      <c r="R604" s="13">
        <v>45112</v>
      </c>
      <c r="S604">
        <v>2023</v>
      </c>
      <c r="T604" s="12" t="s">
        <v>1147</v>
      </c>
      <c r="U604">
        <v>81</v>
      </c>
      <c r="V604">
        <v>195.35140000000001</v>
      </c>
      <c r="W604">
        <v>399.63</v>
      </c>
      <c r="X604">
        <v>0</v>
      </c>
      <c r="Y604">
        <v>0</v>
      </c>
      <c r="Z604">
        <v>15823.46</v>
      </c>
      <c r="AA604">
        <v>16223.09</v>
      </c>
      <c r="AB604" s="12" t="s">
        <v>724</v>
      </c>
      <c r="AC604">
        <v>195.35140000000001</v>
      </c>
      <c r="AD604">
        <v>1</v>
      </c>
      <c r="AE604">
        <v>1</v>
      </c>
      <c r="AF604">
        <v>0</v>
      </c>
      <c r="AG604">
        <v>15823.46</v>
      </c>
      <c r="AH604">
        <v>81</v>
      </c>
      <c r="AI604">
        <v>80</v>
      </c>
      <c r="AJ604">
        <v>1</v>
      </c>
      <c r="AK604">
        <v>1</v>
      </c>
      <c r="AL604">
        <v>1</v>
      </c>
      <c r="AM604">
        <v>98.77</v>
      </c>
      <c r="AN604">
        <v>202.78870000000001</v>
      </c>
      <c r="AO604">
        <v>195.35</v>
      </c>
      <c r="AP604" s="13">
        <v>45110</v>
      </c>
      <c r="AQ604">
        <v>-2</v>
      </c>
      <c r="AR604">
        <v>1</v>
      </c>
    </row>
    <row r="605" spans="1:44" x14ac:dyDescent="0.35">
      <c r="A605" s="12" t="s">
        <v>1250</v>
      </c>
      <c r="B605" s="12" t="s">
        <v>284</v>
      </c>
      <c r="C605" s="12" t="s">
        <v>285</v>
      </c>
      <c r="D605" s="12" t="s">
        <v>269</v>
      </c>
      <c r="E605" s="12" t="s">
        <v>104</v>
      </c>
      <c r="F605">
        <v>3</v>
      </c>
      <c r="G605">
        <v>1</v>
      </c>
      <c r="H605">
        <v>0</v>
      </c>
      <c r="I605" s="12" t="s">
        <v>243</v>
      </c>
      <c r="J605" s="12" t="s">
        <v>244</v>
      </c>
      <c r="K605" s="12" t="s">
        <v>81</v>
      </c>
      <c r="L605" s="12" t="s">
        <v>82</v>
      </c>
      <c r="M605">
        <v>9.2200000000000006</v>
      </c>
      <c r="N605" s="12" t="s">
        <v>159</v>
      </c>
      <c r="O605" s="12" t="s">
        <v>160</v>
      </c>
      <c r="P605" s="12" t="s">
        <v>137</v>
      </c>
      <c r="Q605" s="13">
        <v>45091</v>
      </c>
      <c r="R605" s="13">
        <v>45119</v>
      </c>
      <c r="S605">
        <v>2023</v>
      </c>
      <c r="T605" s="12" t="s">
        <v>1147</v>
      </c>
      <c r="U605">
        <v>139</v>
      </c>
      <c r="V605">
        <v>397.87</v>
      </c>
      <c r="W605">
        <v>704.62</v>
      </c>
      <c r="X605">
        <v>0</v>
      </c>
      <c r="Y605">
        <v>0</v>
      </c>
      <c r="Z605">
        <v>55303.93</v>
      </c>
      <c r="AA605">
        <v>56008.55</v>
      </c>
      <c r="AB605" s="12" t="s">
        <v>1251</v>
      </c>
      <c r="AC605">
        <v>397.87</v>
      </c>
      <c r="AD605">
        <v>1</v>
      </c>
      <c r="AE605">
        <v>1</v>
      </c>
      <c r="AF605">
        <v>0</v>
      </c>
      <c r="AG605">
        <v>55303.93</v>
      </c>
      <c r="AH605">
        <v>139</v>
      </c>
      <c r="AI605">
        <v>138</v>
      </c>
      <c r="AJ605">
        <v>1</v>
      </c>
      <c r="AK605">
        <v>1</v>
      </c>
      <c r="AL605">
        <v>1</v>
      </c>
      <c r="AM605">
        <v>99.28</v>
      </c>
      <c r="AN605">
        <v>405.85910000000001</v>
      </c>
      <c r="AO605">
        <v>397.87</v>
      </c>
      <c r="AP605" s="13">
        <v>45118</v>
      </c>
      <c r="AQ605">
        <v>-1</v>
      </c>
      <c r="AR605">
        <v>1</v>
      </c>
    </row>
    <row r="606" spans="1:44" x14ac:dyDescent="0.35">
      <c r="A606" s="12" t="s">
        <v>1252</v>
      </c>
      <c r="B606" s="12" t="s">
        <v>399</v>
      </c>
      <c r="C606" s="12" t="s">
        <v>400</v>
      </c>
      <c r="D606" s="12" t="s">
        <v>114</v>
      </c>
      <c r="E606" s="12" t="s">
        <v>65</v>
      </c>
      <c r="F606">
        <v>1</v>
      </c>
      <c r="G606">
        <v>2</v>
      </c>
      <c r="H606">
        <v>1</v>
      </c>
      <c r="I606" s="12" t="s">
        <v>151</v>
      </c>
      <c r="J606" s="12" t="s">
        <v>152</v>
      </c>
      <c r="K606" s="12" t="s">
        <v>125</v>
      </c>
      <c r="L606" s="12" t="s">
        <v>69</v>
      </c>
      <c r="M606">
        <v>36.479999999999997</v>
      </c>
      <c r="N606" s="12" t="s">
        <v>97</v>
      </c>
      <c r="O606" s="12" t="s">
        <v>98</v>
      </c>
      <c r="P606" s="12" t="s">
        <v>72</v>
      </c>
      <c r="Q606" s="13">
        <v>45091</v>
      </c>
      <c r="R606" s="13">
        <v>45120</v>
      </c>
      <c r="S606">
        <v>2023</v>
      </c>
      <c r="T606" s="12" t="s">
        <v>1147</v>
      </c>
      <c r="U606">
        <v>73</v>
      </c>
      <c r="V606">
        <v>296.81490000000002</v>
      </c>
      <c r="W606">
        <v>181.02</v>
      </c>
      <c r="X606">
        <v>0</v>
      </c>
      <c r="Y606">
        <v>0</v>
      </c>
      <c r="Z606">
        <v>21667.49</v>
      </c>
      <c r="AA606">
        <v>21848.51</v>
      </c>
      <c r="AB606" s="12" t="s">
        <v>401</v>
      </c>
      <c r="AC606">
        <v>296.81490000000002</v>
      </c>
      <c r="AD606">
        <v>1</v>
      </c>
      <c r="AE606">
        <v>1</v>
      </c>
      <c r="AF606">
        <v>0</v>
      </c>
      <c r="AG606">
        <v>21667.49</v>
      </c>
      <c r="AH606">
        <v>73</v>
      </c>
      <c r="AI606">
        <v>72</v>
      </c>
      <c r="AJ606">
        <v>1</v>
      </c>
      <c r="AK606">
        <v>1</v>
      </c>
      <c r="AL606">
        <v>1</v>
      </c>
      <c r="AM606">
        <v>98.63</v>
      </c>
      <c r="AN606">
        <v>303.45150000000001</v>
      </c>
      <c r="AO606">
        <v>296.81</v>
      </c>
      <c r="AP606" s="13">
        <v>45118</v>
      </c>
      <c r="AQ606">
        <v>-2</v>
      </c>
      <c r="AR606">
        <v>1</v>
      </c>
    </row>
    <row r="607" spans="1:44" x14ac:dyDescent="0.35">
      <c r="A607" s="12" t="s">
        <v>1253</v>
      </c>
      <c r="B607" s="12" t="s">
        <v>1075</v>
      </c>
      <c r="C607" s="12" t="s">
        <v>1076</v>
      </c>
      <c r="D607" s="12" t="s">
        <v>103</v>
      </c>
      <c r="E607" s="12" t="s">
        <v>65</v>
      </c>
      <c r="F607">
        <v>2</v>
      </c>
      <c r="G607">
        <v>4</v>
      </c>
      <c r="H607">
        <v>0</v>
      </c>
      <c r="I607" s="12" t="s">
        <v>183</v>
      </c>
      <c r="J607" s="12" t="s">
        <v>184</v>
      </c>
      <c r="K607" s="12" t="s">
        <v>133</v>
      </c>
      <c r="L607" s="12" t="s">
        <v>82</v>
      </c>
      <c r="M607">
        <v>8.6199999999999992</v>
      </c>
      <c r="N607" s="12" t="s">
        <v>107</v>
      </c>
      <c r="O607" s="12" t="s">
        <v>108</v>
      </c>
      <c r="P607" s="12" t="s">
        <v>109</v>
      </c>
      <c r="Q607" s="13">
        <v>45091</v>
      </c>
      <c r="R607" s="13">
        <v>45121</v>
      </c>
      <c r="S607">
        <v>2023</v>
      </c>
      <c r="T607" s="12" t="s">
        <v>1147</v>
      </c>
      <c r="U607">
        <v>86</v>
      </c>
      <c r="V607">
        <v>68.470200000000006</v>
      </c>
      <c r="W607">
        <v>49.72</v>
      </c>
      <c r="X607">
        <v>0</v>
      </c>
      <c r="Y607">
        <v>0</v>
      </c>
      <c r="Z607">
        <v>5888.44</v>
      </c>
      <c r="AA607">
        <v>5938.16</v>
      </c>
      <c r="AB607" s="12" t="s">
        <v>1163</v>
      </c>
      <c r="AC607">
        <v>68.470200000000006</v>
      </c>
      <c r="AD607">
        <v>1</v>
      </c>
      <c r="AE607">
        <v>1</v>
      </c>
      <c r="AF607">
        <v>0</v>
      </c>
      <c r="AG607">
        <v>5888.44</v>
      </c>
      <c r="AH607">
        <v>86</v>
      </c>
      <c r="AI607">
        <v>85</v>
      </c>
      <c r="AJ607">
        <v>1</v>
      </c>
      <c r="AK607">
        <v>1</v>
      </c>
      <c r="AL607">
        <v>1</v>
      </c>
      <c r="AM607">
        <v>98.84</v>
      </c>
      <c r="AN607">
        <v>69.860699999999994</v>
      </c>
      <c r="AO607">
        <v>68.47</v>
      </c>
      <c r="AP607" s="13">
        <v>45124</v>
      </c>
      <c r="AQ607">
        <v>3</v>
      </c>
      <c r="AR607">
        <v>0</v>
      </c>
    </row>
    <row r="608" spans="1:44" x14ac:dyDescent="0.35">
      <c r="A608" s="12" t="s">
        <v>1254</v>
      </c>
      <c r="B608" s="12" t="s">
        <v>149</v>
      </c>
      <c r="C608" s="12" t="s">
        <v>150</v>
      </c>
      <c r="D608" s="12" t="s">
        <v>78</v>
      </c>
      <c r="E608" s="12" t="s">
        <v>65</v>
      </c>
      <c r="F608">
        <v>2</v>
      </c>
      <c r="G608">
        <v>2</v>
      </c>
      <c r="H608">
        <v>0</v>
      </c>
      <c r="I608" s="12" t="s">
        <v>151</v>
      </c>
      <c r="J608" s="12" t="s">
        <v>152</v>
      </c>
      <c r="K608" s="12" t="s">
        <v>125</v>
      </c>
      <c r="L608" s="12" t="s">
        <v>69</v>
      </c>
      <c r="M608">
        <v>36.479999999999997</v>
      </c>
      <c r="N608" s="12" t="s">
        <v>70</v>
      </c>
      <c r="O608" s="12" t="s">
        <v>71</v>
      </c>
      <c r="P608" s="12" t="s">
        <v>72</v>
      </c>
      <c r="Q608" s="13">
        <v>45092</v>
      </c>
      <c r="R608" s="13">
        <v>45124</v>
      </c>
      <c r="S608">
        <v>2023</v>
      </c>
      <c r="T608" s="12" t="s">
        <v>1147</v>
      </c>
      <c r="U608">
        <v>202</v>
      </c>
      <c r="V608">
        <v>76.092399999999998</v>
      </c>
      <c r="W608">
        <v>394.4</v>
      </c>
      <c r="X608">
        <v>0</v>
      </c>
      <c r="Y608">
        <v>0</v>
      </c>
      <c r="Z608">
        <v>15370.66</v>
      </c>
      <c r="AA608">
        <v>15765.06</v>
      </c>
      <c r="AB608" s="12" t="s">
        <v>153</v>
      </c>
      <c r="AC608">
        <v>76.092399999999998</v>
      </c>
      <c r="AD608">
        <v>1</v>
      </c>
      <c r="AE608">
        <v>1</v>
      </c>
      <c r="AF608">
        <v>0</v>
      </c>
      <c r="AG608">
        <v>15370.66</v>
      </c>
      <c r="AH608">
        <v>202</v>
      </c>
      <c r="AI608">
        <v>197</v>
      </c>
      <c r="AJ608">
        <v>5</v>
      </c>
      <c r="AK608">
        <v>1</v>
      </c>
      <c r="AL608">
        <v>1</v>
      </c>
      <c r="AM608">
        <v>97.52</v>
      </c>
      <c r="AN608">
        <v>80.025700000000001</v>
      </c>
      <c r="AO608">
        <v>380.46</v>
      </c>
      <c r="AP608" s="13">
        <v>45124</v>
      </c>
      <c r="AQ608">
        <v>0</v>
      </c>
      <c r="AR608">
        <v>1</v>
      </c>
    </row>
    <row r="609" spans="1:44" x14ac:dyDescent="0.35">
      <c r="A609" s="12" t="s">
        <v>1255</v>
      </c>
      <c r="B609" s="12" t="s">
        <v>465</v>
      </c>
      <c r="C609" s="12" t="s">
        <v>466</v>
      </c>
      <c r="D609" s="12" t="s">
        <v>78</v>
      </c>
      <c r="E609" s="12" t="s">
        <v>142</v>
      </c>
      <c r="F609">
        <v>3</v>
      </c>
      <c r="G609">
        <v>11</v>
      </c>
      <c r="H609">
        <v>0</v>
      </c>
      <c r="I609" s="12" t="s">
        <v>195</v>
      </c>
      <c r="J609" s="12" t="s">
        <v>196</v>
      </c>
      <c r="K609" s="12" t="s">
        <v>117</v>
      </c>
      <c r="L609" s="12" t="s">
        <v>134</v>
      </c>
      <c r="M609">
        <v>4.7699999999999996</v>
      </c>
      <c r="N609" s="12" t="s">
        <v>70</v>
      </c>
      <c r="O609" s="12" t="s">
        <v>71</v>
      </c>
      <c r="P609" s="12" t="s">
        <v>72</v>
      </c>
      <c r="Q609" s="13">
        <v>45092</v>
      </c>
      <c r="R609" s="13">
        <v>45134</v>
      </c>
      <c r="S609">
        <v>2023</v>
      </c>
      <c r="T609" s="12" t="s">
        <v>1147</v>
      </c>
      <c r="U609">
        <v>154</v>
      </c>
      <c r="V609">
        <v>110.11579999999999</v>
      </c>
      <c r="W609">
        <v>361.89</v>
      </c>
      <c r="X609">
        <v>0</v>
      </c>
      <c r="Y609">
        <v>0</v>
      </c>
      <c r="Z609">
        <v>16957.830000000002</v>
      </c>
      <c r="AA609">
        <v>17319.72</v>
      </c>
      <c r="AB609" s="12" t="s">
        <v>467</v>
      </c>
      <c r="AC609">
        <v>110.11579999999999</v>
      </c>
      <c r="AD609">
        <v>1</v>
      </c>
      <c r="AE609">
        <v>1</v>
      </c>
      <c r="AF609">
        <v>0</v>
      </c>
      <c r="AG609">
        <v>16957.830000000002</v>
      </c>
      <c r="AH609">
        <v>154</v>
      </c>
      <c r="AI609">
        <v>152</v>
      </c>
      <c r="AJ609">
        <v>2</v>
      </c>
      <c r="AK609">
        <v>1</v>
      </c>
      <c r="AL609">
        <v>1</v>
      </c>
      <c r="AM609">
        <v>98.7</v>
      </c>
      <c r="AN609">
        <v>113.9455</v>
      </c>
      <c r="AO609">
        <v>220.23</v>
      </c>
      <c r="AP609" s="13">
        <v>45133</v>
      </c>
      <c r="AQ609">
        <v>-1</v>
      </c>
      <c r="AR609">
        <v>1</v>
      </c>
    </row>
    <row r="610" spans="1:44" x14ac:dyDescent="0.35">
      <c r="A610" s="12" t="s">
        <v>1256</v>
      </c>
      <c r="B610" s="12" t="s">
        <v>120</v>
      </c>
      <c r="C610" s="12" t="s">
        <v>121</v>
      </c>
      <c r="D610" s="12" t="s">
        <v>122</v>
      </c>
      <c r="E610" s="12" t="s">
        <v>65</v>
      </c>
      <c r="F610">
        <v>3</v>
      </c>
      <c r="G610">
        <v>4</v>
      </c>
      <c r="H610">
        <v>0</v>
      </c>
      <c r="I610" s="12" t="s">
        <v>209</v>
      </c>
      <c r="J610" s="12" t="s">
        <v>210</v>
      </c>
      <c r="K610" s="12" t="s">
        <v>133</v>
      </c>
      <c r="L610" s="12" t="s">
        <v>96</v>
      </c>
      <c r="M610">
        <v>7.82</v>
      </c>
      <c r="N610" s="12" t="s">
        <v>97</v>
      </c>
      <c r="O610" s="12" t="s">
        <v>98</v>
      </c>
      <c r="P610" s="12" t="s">
        <v>72</v>
      </c>
      <c r="Q610" s="13">
        <v>45092</v>
      </c>
      <c r="R610" s="13">
        <v>45126</v>
      </c>
      <c r="S610">
        <v>2023</v>
      </c>
      <c r="T610" s="12" t="s">
        <v>1147</v>
      </c>
      <c r="U610">
        <v>1515</v>
      </c>
      <c r="V610">
        <v>57.262099999999997</v>
      </c>
      <c r="W610">
        <v>795.29</v>
      </c>
      <c r="X610">
        <v>0</v>
      </c>
      <c r="Y610">
        <v>0</v>
      </c>
      <c r="Z610">
        <v>86752.08</v>
      </c>
      <c r="AA610">
        <v>87547.37</v>
      </c>
      <c r="AB610" s="12" t="s">
        <v>201</v>
      </c>
      <c r="AD610">
        <v>0</v>
      </c>
      <c r="AE610">
        <v>0</v>
      </c>
      <c r="AH610">
        <v>1515</v>
      </c>
      <c r="AI610">
        <v>1504</v>
      </c>
      <c r="AJ610">
        <v>11</v>
      </c>
      <c r="AK610">
        <v>1</v>
      </c>
      <c r="AL610">
        <v>1</v>
      </c>
      <c r="AM610">
        <v>99.27</v>
      </c>
      <c r="AN610">
        <v>58.209699999999998</v>
      </c>
      <c r="AO610">
        <v>629.88</v>
      </c>
      <c r="AP610" s="13">
        <v>45129</v>
      </c>
      <c r="AQ610">
        <v>3</v>
      </c>
      <c r="AR610">
        <v>0</v>
      </c>
    </row>
    <row r="611" spans="1:44" x14ac:dyDescent="0.35">
      <c r="A611" s="12" t="s">
        <v>1257</v>
      </c>
      <c r="B611" s="12" t="s">
        <v>357</v>
      </c>
      <c r="C611" s="12" t="s">
        <v>358</v>
      </c>
      <c r="D611" s="12" t="s">
        <v>103</v>
      </c>
      <c r="E611" s="12" t="s">
        <v>104</v>
      </c>
      <c r="F611">
        <v>3</v>
      </c>
      <c r="G611">
        <v>1</v>
      </c>
      <c r="H611">
        <v>0</v>
      </c>
      <c r="I611" s="12" t="s">
        <v>105</v>
      </c>
      <c r="J611" s="12" t="s">
        <v>106</v>
      </c>
      <c r="K611" s="12" t="s">
        <v>81</v>
      </c>
      <c r="L611" s="12" t="s">
        <v>96</v>
      </c>
      <c r="M611">
        <v>5.01</v>
      </c>
      <c r="N611" s="12" t="s">
        <v>107</v>
      </c>
      <c r="O611" s="12" t="s">
        <v>108</v>
      </c>
      <c r="P611" s="12" t="s">
        <v>109</v>
      </c>
      <c r="Q611" s="13">
        <v>45092</v>
      </c>
      <c r="R611" s="13">
        <v>45105</v>
      </c>
      <c r="S611">
        <v>2023</v>
      </c>
      <c r="T611" s="12" t="s">
        <v>1147</v>
      </c>
      <c r="U611">
        <v>19</v>
      </c>
      <c r="V611">
        <v>106.6914</v>
      </c>
      <c r="W611">
        <v>15.45</v>
      </c>
      <c r="X611">
        <v>0</v>
      </c>
      <c r="Y611">
        <v>0</v>
      </c>
      <c r="Z611">
        <v>2027.14</v>
      </c>
      <c r="AA611">
        <v>2042.59</v>
      </c>
      <c r="AB611" s="12" t="s">
        <v>882</v>
      </c>
      <c r="AC611">
        <v>106.6914</v>
      </c>
      <c r="AD611">
        <v>1</v>
      </c>
      <c r="AE611">
        <v>1</v>
      </c>
      <c r="AF611">
        <v>0</v>
      </c>
      <c r="AG611">
        <v>2027.14</v>
      </c>
      <c r="AH611">
        <v>19</v>
      </c>
      <c r="AI611">
        <v>19</v>
      </c>
      <c r="AJ611">
        <v>0</v>
      </c>
      <c r="AK611">
        <v>1</v>
      </c>
      <c r="AL611">
        <v>1</v>
      </c>
      <c r="AM611">
        <v>100</v>
      </c>
      <c r="AN611">
        <v>107.5046</v>
      </c>
      <c r="AO611">
        <v>0</v>
      </c>
      <c r="AP611" s="13">
        <v>45105</v>
      </c>
      <c r="AQ611">
        <v>0</v>
      </c>
      <c r="AR611">
        <v>1</v>
      </c>
    </row>
    <row r="612" spans="1:44" x14ac:dyDescent="0.35">
      <c r="A612" s="12" t="s">
        <v>1258</v>
      </c>
      <c r="B612" s="12" t="s">
        <v>848</v>
      </c>
      <c r="C612" s="12" t="s">
        <v>849</v>
      </c>
      <c r="D612" s="12" t="s">
        <v>103</v>
      </c>
      <c r="E612" s="12" t="s">
        <v>65</v>
      </c>
      <c r="F612">
        <v>2</v>
      </c>
      <c r="G612">
        <v>4</v>
      </c>
      <c r="H612">
        <v>0</v>
      </c>
      <c r="I612" s="12" t="s">
        <v>87</v>
      </c>
      <c r="J612" s="12" t="s">
        <v>88</v>
      </c>
      <c r="K612" s="12" t="s">
        <v>89</v>
      </c>
      <c r="L612" s="12" t="s">
        <v>69</v>
      </c>
      <c r="M612">
        <v>14.93</v>
      </c>
      <c r="N612" s="12" t="s">
        <v>107</v>
      </c>
      <c r="O612" s="12" t="s">
        <v>108</v>
      </c>
      <c r="P612" s="12" t="s">
        <v>109</v>
      </c>
      <c r="Q612" s="13">
        <v>45093</v>
      </c>
      <c r="R612" s="13">
        <v>45125</v>
      </c>
      <c r="S612">
        <v>2023</v>
      </c>
      <c r="T612" s="12" t="s">
        <v>1147</v>
      </c>
      <c r="U612">
        <v>98</v>
      </c>
      <c r="V612">
        <v>123.8275</v>
      </c>
      <c r="W612">
        <v>159.04</v>
      </c>
      <c r="X612">
        <v>0</v>
      </c>
      <c r="Y612">
        <v>0</v>
      </c>
      <c r="Z612">
        <v>12135.1</v>
      </c>
      <c r="AA612">
        <v>12294.14</v>
      </c>
      <c r="AB612" s="12" t="s">
        <v>850</v>
      </c>
      <c r="AC612">
        <v>123.8275</v>
      </c>
      <c r="AD612">
        <v>1</v>
      </c>
      <c r="AE612">
        <v>1</v>
      </c>
      <c r="AF612">
        <v>0</v>
      </c>
      <c r="AG612">
        <v>12135.1</v>
      </c>
      <c r="AH612">
        <v>98</v>
      </c>
      <c r="AI612">
        <v>97</v>
      </c>
      <c r="AJ612">
        <v>1</v>
      </c>
      <c r="AK612">
        <v>1</v>
      </c>
      <c r="AL612">
        <v>1</v>
      </c>
      <c r="AM612">
        <v>98.98</v>
      </c>
      <c r="AN612">
        <v>126.7437</v>
      </c>
      <c r="AO612">
        <v>123.83</v>
      </c>
      <c r="AP612" s="13">
        <v>45130</v>
      </c>
      <c r="AQ612">
        <v>5</v>
      </c>
      <c r="AR612">
        <v>0</v>
      </c>
    </row>
    <row r="613" spans="1:44" x14ac:dyDescent="0.35">
      <c r="A613" s="12" t="s">
        <v>1259</v>
      </c>
      <c r="B613" s="12" t="s">
        <v>308</v>
      </c>
      <c r="C613" s="12" t="s">
        <v>309</v>
      </c>
      <c r="D613" s="12" t="s">
        <v>122</v>
      </c>
      <c r="E613" s="12" t="s">
        <v>142</v>
      </c>
      <c r="F613">
        <v>1</v>
      </c>
      <c r="G613">
        <v>6</v>
      </c>
      <c r="H613">
        <v>1</v>
      </c>
      <c r="I613" s="12" t="s">
        <v>310</v>
      </c>
      <c r="J613" s="12" t="s">
        <v>311</v>
      </c>
      <c r="K613" s="12" t="s">
        <v>81</v>
      </c>
      <c r="L613" s="12" t="s">
        <v>69</v>
      </c>
      <c r="M613">
        <v>28.3</v>
      </c>
      <c r="N613" s="12" t="s">
        <v>70</v>
      </c>
      <c r="O613" s="12" t="s">
        <v>71</v>
      </c>
      <c r="P613" s="12" t="s">
        <v>72</v>
      </c>
      <c r="Q613" s="13">
        <v>45093</v>
      </c>
      <c r="R613" s="13">
        <v>45138</v>
      </c>
      <c r="S613">
        <v>2023</v>
      </c>
      <c r="T613" s="12" t="s">
        <v>1147</v>
      </c>
      <c r="U613">
        <v>1252</v>
      </c>
      <c r="V613">
        <v>59.409700000000001</v>
      </c>
      <c r="W613">
        <v>1113.5999999999999</v>
      </c>
      <c r="X613">
        <v>0</v>
      </c>
      <c r="Y613">
        <v>0</v>
      </c>
      <c r="Z613">
        <v>74380.94</v>
      </c>
      <c r="AA613">
        <v>75494.539999999994</v>
      </c>
      <c r="AB613" s="12" t="s">
        <v>312</v>
      </c>
      <c r="AC613">
        <v>59.409700000000001</v>
      </c>
      <c r="AD613">
        <v>1</v>
      </c>
      <c r="AE613">
        <v>1</v>
      </c>
      <c r="AF613">
        <v>0</v>
      </c>
      <c r="AG613">
        <v>74380.94</v>
      </c>
      <c r="AH613">
        <v>1252</v>
      </c>
      <c r="AI613">
        <v>1248</v>
      </c>
      <c r="AJ613">
        <v>4</v>
      </c>
      <c r="AK613">
        <v>1</v>
      </c>
      <c r="AL613">
        <v>1</v>
      </c>
      <c r="AM613">
        <v>99.68</v>
      </c>
      <c r="AN613">
        <v>60.492400000000004</v>
      </c>
      <c r="AO613">
        <v>237.64</v>
      </c>
      <c r="AP613" s="13">
        <v>45137</v>
      </c>
      <c r="AQ613">
        <v>-1</v>
      </c>
      <c r="AR613">
        <v>1</v>
      </c>
    </row>
    <row r="614" spans="1:44" x14ac:dyDescent="0.35">
      <c r="A614" s="12" t="s">
        <v>1260</v>
      </c>
      <c r="B614" s="12" t="s">
        <v>465</v>
      </c>
      <c r="C614" s="12" t="s">
        <v>466</v>
      </c>
      <c r="D614" s="12" t="s">
        <v>78</v>
      </c>
      <c r="E614" s="12" t="s">
        <v>142</v>
      </c>
      <c r="F614">
        <v>3</v>
      </c>
      <c r="G614">
        <v>11</v>
      </c>
      <c r="H614">
        <v>0</v>
      </c>
      <c r="I614" s="12" t="s">
        <v>195</v>
      </c>
      <c r="J614" s="12" t="s">
        <v>196</v>
      </c>
      <c r="K614" s="12" t="s">
        <v>117</v>
      </c>
      <c r="L614" s="12" t="s">
        <v>134</v>
      </c>
      <c r="M614">
        <v>4.7699999999999996</v>
      </c>
      <c r="N614" s="12" t="s">
        <v>70</v>
      </c>
      <c r="O614" s="12" t="s">
        <v>71</v>
      </c>
      <c r="P614" s="12" t="s">
        <v>72</v>
      </c>
      <c r="Q614" s="13">
        <v>45093</v>
      </c>
      <c r="R614" s="13">
        <v>45137</v>
      </c>
      <c r="S614">
        <v>2023</v>
      </c>
      <c r="T614" s="12" t="s">
        <v>1147</v>
      </c>
      <c r="U614">
        <v>179</v>
      </c>
      <c r="V614">
        <v>110.11579999999999</v>
      </c>
      <c r="W614">
        <v>391.27</v>
      </c>
      <c r="X614">
        <v>0</v>
      </c>
      <c r="Y614">
        <v>0</v>
      </c>
      <c r="Z614">
        <v>19710.73</v>
      </c>
      <c r="AA614">
        <v>20102</v>
      </c>
      <c r="AB614" s="12" t="s">
        <v>467</v>
      </c>
      <c r="AC614">
        <v>110.11579999999999</v>
      </c>
      <c r="AD614">
        <v>1</v>
      </c>
      <c r="AE614">
        <v>1</v>
      </c>
      <c r="AF614">
        <v>0</v>
      </c>
      <c r="AG614">
        <v>19710.73</v>
      </c>
      <c r="AH614">
        <v>179</v>
      </c>
      <c r="AI614">
        <v>178</v>
      </c>
      <c r="AJ614">
        <v>1</v>
      </c>
      <c r="AK614">
        <v>1</v>
      </c>
      <c r="AL614">
        <v>1</v>
      </c>
      <c r="AM614">
        <v>99.44</v>
      </c>
      <c r="AN614">
        <v>112.93259999999999</v>
      </c>
      <c r="AO614">
        <v>110.12</v>
      </c>
      <c r="AP614" s="13">
        <v>45135</v>
      </c>
      <c r="AQ614">
        <v>-2</v>
      </c>
      <c r="AR614">
        <v>1</v>
      </c>
    </row>
    <row r="615" spans="1:44" x14ac:dyDescent="0.35">
      <c r="A615" s="12" t="s">
        <v>1261</v>
      </c>
      <c r="B615" s="12" t="s">
        <v>273</v>
      </c>
      <c r="C615" s="12" t="s">
        <v>274</v>
      </c>
      <c r="D615" s="12" t="s">
        <v>175</v>
      </c>
      <c r="E615" s="12" t="s">
        <v>104</v>
      </c>
      <c r="F615">
        <v>3</v>
      </c>
      <c r="G615">
        <v>1</v>
      </c>
      <c r="H615">
        <v>0</v>
      </c>
      <c r="I615" s="12" t="s">
        <v>275</v>
      </c>
      <c r="J615" s="12" t="s">
        <v>276</v>
      </c>
      <c r="K615" s="12" t="s">
        <v>89</v>
      </c>
      <c r="L615" s="12" t="s">
        <v>82</v>
      </c>
      <c r="M615">
        <v>14.26</v>
      </c>
      <c r="N615" s="12" t="s">
        <v>107</v>
      </c>
      <c r="O615" s="12" t="s">
        <v>108</v>
      </c>
      <c r="P615" s="12" t="s">
        <v>109</v>
      </c>
      <c r="Q615" s="13">
        <v>45093</v>
      </c>
      <c r="R615" s="13">
        <v>45111</v>
      </c>
      <c r="S615">
        <v>2023</v>
      </c>
      <c r="T615" s="12" t="s">
        <v>1147</v>
      </c>
      <c r="U615">
        <v>60</v>
      </c>
      <c r="V615">
        <v>113.5119</v>
      </c>
      <c r="W615">
        <v>148.57</v>
      </c>
      <c r="X615">
        <v>0</v>
      </c>
      <c r="Y615">
        <v>0</v>
      </c>
      <c r="Z615">
        <v>6810.71</v>
      </c>
      <c r="AA615">
        <v>6959.28</v>
      </c>
      <c r="AB615" s="12" t="s">
        <v>277</v>
      </c>
      <c r="AC615">
        <v>117.48480000000001</v>
      </c>
      <c r="AD615">
        <v>2</v>
      </c>
      <c r="AE615">
        <v>1</v>
      </c>
      <c r="AF615">
        <v>-238.37</v>
      </c>
      <c r="AG615">
        <v>7049.09</v>
      </c>
      <c r="AH615">
        <v>60</v>
      </c>
      <c r="AI615">
        <v>59</v>
      </c>
      <c r="AJ615">
        <v>1</v>
      </c>
      <c r="AK615">
        <v>1</v>
      </c>
      <c r="AL615">
        <v>1</v>
      </c>
      <c r="AM615">
        <v>98.33</v>
      </c>
      <c r="AN615">
        <v>117.95399999999999</v>
      </c>
      <c r="AO615">
        <v>113.51</v>
      </c>
      <c r="AP615" s="13">
        <v>45111</v>
      </c>
      <c r="AQ615">
        <v>0</v>
      </c>
      <c r="AR615">
        <v>1</v>
      </c>
    </row>
    <row r="616" spans="1:44" x14ac:dyDescent="0.35">
      <c r="A616" s="12" t="s">
        <v>1262</v>
      </c>
      <c r="B616" s="12" t="s">
        <v>809</v>
      </c>
      <c r="C616" s="12" t="s">
        <v>810</v>
      </c>
      <c r="D616" s="12" t="s">
        <v>114</v>
      </c>
      <c r="E616" s="12" t="s">
        <v>65</v>
      </c>
      <c r="F616">
        <v>3</v>
      </c>
      <c r="G616">
        <v>5</v>
      </c>
      <c r="H616">
        <v>0</v>
      </c>
      <c r="I616" s="12" t="s">
        <v>804</v>
      </c>
      <c r="J616" s="12" t="s">
        <v>342</v>
      </c>
      <c r="K616" s="12" t="s">
        <v>117</v>
      </c>
      <c r="L616" s="12" t="s">
        <v>69</v>
      </c>
      <c r="M616">
        <v>30.07</v>
      </c>
      <c r="N616" s="12" t="s">
        <v>70</v>
      </c>
      <c r="O616" s="12" t="s">
        <v>71</v>
      </c>
      <c r="P616" s="12" t="s">
        <v>72</v>
      </c>
      <c r="Q616" s="13">
        <v>45093</v>
      </c>
      <c r="R616" s="13">
        <v>45121</v>
      </c>
      <c r="S616">
        <v>2023</v>
      </c>
      <c r="T616" s="12" t="s">
        <v>1147</v>
      </c>
      <c r="U616">
        <v>68</v>
      </c>
      <c r="V616">
        <v>323.22789999999998</v>
      </c>
      <c r="W616">
        <v>431.52</v>
      </c>
      <c r="X616">
        <v>709.1</v>
      </c>
      <c r="Y616">
        <v>1</v>
      </c>
      <c r="Z616">
        <v>21979.5</v>
      </c>
      <c r="AA616">
        <v>23120.12</v>
      </c>
      <c r="AB616" s="12" t="s">
        <v>880</v>
      </c>
      <c r="AC616">
        <v>323.22789999999998</v>
      </c>
      <c r="AD616">
        <v>1</v>
      </c>
      <c r="AE616">
        <v>1</v>
      </c>
      <c r="AF616">
        <v>0</v>
      </c>
      <c r="AG616">
        <v>21979.5</v>
      </c>
      <c r="AH616">
        <v>68</v>
      </c>
      <c r="AI616">
        <v>67</v>
      </c>
      <c r="AJ616">
        <v>1</v>
      </c>
      <c r="AK616">
        <v>1</v>
      </c>
      <c r="AL616">
        <v>1</v>
      </c>
      <c r="AM616">
        <v>98.53</v>
      </c>
      <c r="AN616">
        <v>345.07639999999998</v>
      </c>
      <c r="AO616">
        <v>323.23</v>
      </c>
      <c r="AP616" s="13">
        <v>45118</v>
      </c>
      <c r="AQ616">
        <v>-3</v>
      </c>
      <c r="AR616">
        <v>1</v>
      </c>
    </row>
    <row r="617" spans="1:44" x14ac:dyDescent="0.35">
      <c r="A617" s="12" t="s">
        <v>1263</v>
      </c>
      <c r="B617" s="12" t="s">
        <v>357</v>
      </c>
      <c r="C617" s="12" t="s">
        <v>358</v>
      </c>
      <c r="D617" s="12" t="s">
        <v>103</v>
      </c>
      <c r="E617" s="12" t="s">
        <v>104</v>
      </c>
      <c r="F617">
        <v>3</v>
      </c>
      <c r="G617">
        <v>1</v>
      </c>
      <c r="H617">
        <v>0</v>
      </c>
      <c r="I617" s="12" t="s">
        <v>105</v>
      </c>
      <c r="J617" s="12" t="s">
        <v>106</v>
      </c>
      <c r="K617" s="12" t="s">
        <v>81</v>
      </c>
      <c r="L617" s="12" t="s">
        <v>96</v>
      </c>
      <c r="M617">
        <v>5.01</v>
      </c>
      <c r="N617" s="12" t="s">
        <v>145</v>
      </c>
      <c r="O617" s="12" t="s">
        <v>146</v>
      </c>
      <c r="P617" s="12" t="s">
        <v>109</v>
      </c>
      <c r="Q617" s="13">
        <v>45093</v>
      </c>
      <c r="R617" s="13">
        <v>45109</v>
      </c>
      <c r="S617">
        <v>2023</v>
      </c>
      <c r="T617" s="12" t="s">
        <v>1147</v>
      </c>
      <c r="U617">
        <v>43</v>
      </c>
      <c r="V617">
        <v>106.6914</v>
      </c>
      <c r="W617">
        <v>68.84</v>
      </c>
      <c r="X617">
        <v>0</v>
      </c>
      <c r="Y617">
        <v>0</v>
      </c>
      <c r="Z617">
        <v>4587.7299999999996</v>
      </c>
      <c r="AA617">
        <v>4656.57</v>
      </c>
      <c r="AB617" s="12" t="s">
        <v>882</v>
      </c>
      <c r="AC617">
        <v>106.6914</v>
      </c>
      <c r="AD617">
        <v>1</v>
      </c>
      <c r="AE617">
        <v>1</v>
      </c>
      <c r="AF617">
        <v>0</v>
      </c>
      <c r="AG617">
        <v>4587.7299999999996</v>
      </c>
      <c r="AH617">
        <v>43</v>
      </c>
      <c r="AI617">
        <v>43</v>
      </c>
      <c r="AJ617">
        <v>0</v>
      </c>
      <c r="AK617">
        <v>1</v>
      </c>
      <c r="AL617">
        <v>1</v>
      </c>
      <c r="AM617">
        <v>100</v>
      </c>
      <c r="AN617">
        <v>108.2923</v>
      </c>
      <c r="AO617">
        <v>0</v>
      </c>
      <c r="AP617" s="13">
        <v>45107</v>
      </c>
      <c r="AQ617">
        <v>-2</v>
      </c>
      <c r="AR617">
        <v>1</v>
      </c>
    </row>
    <row r="618" spans="1:44" x14ac:dyDescent="0.35">
      <c r="A618" s="12" t="s">
        <v>1264</v>
      </c>
      <c r="B618" s="12" t="s">
        <v>855</v>
      </c>
      <c r="C618" s="12" t="s">
        <v>856</v>
      </c>
      <c r="D618" s="12" t="s">
        <v>269</v>
      </c>
      <c r="E618" s="12" t="s">
        <v>65</v>
      </c>
      <c r="F618">
        <v>3</v>
      </c>
      <c r="G618">
        <v>5</v>
      </c>
      <c r="H618">
        <v>0</v>
      </c>
      <c r="I618" s="12" t="s">
        <v>94</v>
      </c>
      <c r="J618" s="12" t="s">
        <v>95</v>
      </c>
      <c r="K618" s="12" t="s">
        <v>81</v>
      </c>
      <c r="L618" s="12" t="s">
        <v>96</v>
      </c>
      <c r="M618">
        <v>4.8099999999999996</v>
      </c>
      <c r="N618" s="12" t="s">
        <v>135</v>
      </c>
      <c r="O618" s="12" t="s">
        <v>136</v>
      </c>
      <c r="P618" s="12" t="s">
        <v>137</v>
      </c>
      <c r="Q618" s="13">
        <v>45093</v>
      </c>
      <c r="R618" s="13">
        <v>45130</v>
      </c>
      <c r="S618">
        <v>2023</v>
      </c>
      <c r="T618" s="12" t="s">
        <v>1147</v>
      </c>
      <c r="U618">
        <v>137</v>
      </c>
      <c r="V618">
        <v>493.6902</v>
      </c>
      <c r="W618">
        <v>936.4</v>
      </c>
      <c r="X618">
        <v>0</v>
      </c>
      <c r="Y618">
        <v>0</v>
      </c>
      <c r="Z618">
        <v>67635.56</v>
      </c>
      <c r="AA618">
        <v>68571.960000000006</v>
      </c>
      <c r="AB618" s="12" t="s">
        <v>857</v>
      </c>
      <c r="AC618">
        <v>493.6902</v>
      </c>
      <c r="AD618">
        <v>1</v>
      </c>
      <c r="AE618">
        <v>1</v>
      </c>
      <c r="AF618">
        <v>0</v>
      </c>
      <c r="AG618">
        <v>67635.56</v>
      </c>
      <c r="AH618">
        <v>137</v>
      </c>
      <c r="AI618">
        <v>136</v>
      </c>
      <c r="AJ618">
        <v>1</v>
      </c>
      <c r="AK618">
        <v>1</v>
      </c>
      <c r="AL618">
        <v>1</v>
      </c>
      <c r="AM618">
        <v>99.27</v>
      </c>
      <c r="AN618">
        <v>504.2056</v>
      </c>
      <c r="AO618">
        <v>493.69</v>
      </c>
      <c r="AP618" s="13">
        <v>45127</v>
      </c>
      <c r="AQ618">
        <v>-3</v>
      </c>
      <c r="AR618">
        <v>1</v>
      </c>
    </row>
    <row r="619" spans="1:44" x14ac:dyDescent="0.35">
      <c r="A619" s="12" t="s">
        <v>1265</v>
      </c>
      <c r="B619" s="12" t="s">
        <v>869</v>
      </c>
      <c r="C619" s="12" t="s">
        <v>870</v>
      </c>
      <c r="D619" s="12" t="s">
        <v>130</v>
      </c>
      <c r="E619" s="12" t="s">
        <v>104</v>
      </c>
      <c r="F619">
        <v>2</v>
      </c>
      <c r="G619">
        <v>0</v>
      </c>
      <c r="H619">
        <v>0</v>
      </c>
      <c r="I619" s="12" t="s">
        <v>515</v>
      </c>
      <c r="J619" s="12" t="s">
        <v>516</v>
      </c>
      <c r="K619" s="12" t="s">
        <v>68</v>
      </c>
      <c r="L619" s="12" t="s">
        <v>134</v>
      </c>
      <c r="M619">
        <v>3.69</v>
      </c>
      <c r="N619" s="12" t="s">
        <v>135</v>
      </c>
      <c r="O619" s="12" t="s">
        <v>136</v>
      </c>
      <c r="P619" s="12" t="s">
        <v>137</v>
      </c>
      <c r="Q619" s="13">
        <v>45093</v>
      </c>
      <c r="R619" s="13">
        <v>45109</v>
      </c>
      <c r="S619">
        <v>2023</v>
      </c>
      <c r="T619" s="12" t="s">
        <v>1147</v>
      </c>
      <c r="U619">
        <v>42</v>
      </c>
      <c r="V619">
        <v>583.34230000000002</v>
      </c>
      <c r="W619">
        <v>399.83</v>
      </c>
      <c r="X619">
        <v>0</v>
      </c>
      <c r="Y619">
        <v>0</v>
      </c>
      <c r="Z619">
        <v>24500.38</v>
      </c>
      <c r="AA619">
        <v>24900.21</v>
      </c>
      <c r="AB619" s="12" t="s">
        <v>871</v>
      </c>
      <c r="AC619">
        <v>583.34230000000002</v>
      </c>
      <c r="AD619">
        <v>1</v>
      </c>
      <c r="AE619">
        <v>1</v>
      </c>
      <c r="AF619">
        <v>0</v>
      </c>
      <c r="AG619">
        <v>24500.38</v>
      </c>
      <c r="AH619">
        <v>42</v>
      </c>
      <c r="AI619">
        <v>42</v>
      </c>
      <c r="AJ619">
        <v>0</v>
      </c>
      <c r="AK619">
        <v>1</v>
      </c>
      <c r="AL619">
        <v>1</v>
      </c>
      <c r="AM619">
        <v>100</v>
      </c>
      <c r="AN619">
        <v>592.86210000000005</v>
      </c>
      <c r="AO619">
        <v>0</v>
      </c>
      <c r="AP619" s="13">
        <v>45107</v>
      </c>
      <c r="AQ619">
        <v>-2</v>
      </c>
      <c r="AR619">
        <v>1</v>
      </c>
    </row>
    <row r="620" spans="1:44" x14ac:dyDescent="0.35">
      <c r="A620" s="12" t="s">
        <v>1266</v>
      </c>
      <c r="B620" s="12" t="s">
        <v>76</v>
      </c>
      <c r="C620" s="12" t="s">
        <v>77</v>
      </c>
      <c r="D620" s="12" t="s">
        <v>78</v>
      </c>
      <c r="E620" s="12" t="s">
        <v>65</v>
      </c>
      <c r="F620">
        <v>2</v>
      </c>
      <c r="G620">
        <v>4</v>
      </c>
      <c r="H620">
        <v>0</v>
      </c>
      <c r="I620" s="12" t="s">
        <v>151</v>
      </c>
      <c r="J620" s="12" t="s">
        <v>152</v>
      </c>
      <c r="K620" s="12" t="s">
        <v>125</v>
      </c>
      <c r="L620" s="12" t="s">
        <v>69</v>
      </c>
      <c r="M620">
        <v>36.479999999999997</v>
      </c>
      <c r="N620" s="12" t="s">
        <v>97</v>
      </c>
      <c r="O620" s="12" t="s">
        <v>98</v>
      </c>
      <c r="P620" s="12" t="s">
        <v>72</v>
      </c>
      <c r="Q620" s="13">
        <v>45096</v>
      </c>
      <c r="R620" s="13">
        <v>45129</v>
      </c>
      <c r="S620">
        <v>2023</v>
      </c>
      <c r="T620" s="12" t="s">
        <v>1147</v>
      </c>
      <c r="U620">
        <v>223</v>
      </c>
      <c r="V620">
        <v>43.357500000000002</v>
      </c>
      <c r="W620">
        <v>240.42</v>
      </c>
      <c r="X620">
        <v>0</v>
      </c>
      <c r="Y620">
        <v>0</v>
      </c>
      <c r="Z620">
        <v>9668.7199999999993</v>
      </c>
      <c r="AA620">
        <v>9909.14</v>
      </c>
      <c r="AB620" s="12" t="s">
        <v>1267</v>
      </c>
      <c r="AC620">
        <v>45.991</v>
      </c>
      <c r="AD620">
        <v>1</v>
      </c>
      <c r="AE620">
        <v>1</v>
      </c>
      <c r="AF620">
        <v>-587.27</v>
      </c>
      <c r="AG620">
        <v>10255.99</v>
      </c>
      <c r="AH620">
        <v>223</v>
      </c>
      <c r="AI620">
        <v>220</v>
      </c>
      <c r="AJ620">
        <v>3</v>
      </c>
      <c r="AK620">
        <v>1</v>
      </c>
      <c r="AL620">
        <v>1</v>
      </c>
      <c r="AM620">
        <v>98.65</v>
      </c>
      <c r="AN620">
        <v>45.041600000000003</v>
      </c>
      <c r="AO620">
        <v>130.07</v>
      </c>
      <c r="AP620" s="13">
        <v>45129</v>
      </c>
      <c r="AQ620">
        <v>0</v>
      </c>
      <c r="AR620">
        <v>1</v>
      </c>
    </row>
    <row r="621" spans="1:44" x14ac:dyDescent="0.35">
      <c r="A621" s="12" t="s">
        <v>1268</v>
      </c>
      <c r="B621" s="12" t="s">
        <v>241</v>
      </c>
      <c r="C621" s="12" t="s">
        <v>242</v>
      </c>
      <c r="D621" s="12" t="s">
        <v>103</v>
      </c>
      <c r="E621" s="12" t="s">
        <v>142</v>
      </c>
      <c r="F621">
        <v>3</v>
      </c>
      <c r="G621">
        <v>11</v>
      </c>
      <c r="H621">
        <v>0</v>
      </c>
      <c r="I621" s="12" t="s">
        <v>243</v>
      </c>
      <c r="J621" s="12" t="s">
        <v>244</v>
      </c>
      <c r="K621" s="12" t="s">
        <v>81</v>
      </c>
      <c r="L621" s="12" t="s">
        <v>82</v>
      </c>
      <c r="M621">
        <v>9.2200000000000006</v>
      </c>
      <c r="N621" s="12" t="s">
        <v>145</v>
      </c>
      <c r="O621" s="12" t="s">
        <v>146</v>
      </c>
      <c r="P621" s="12" t="s">
        <v>109</v>
      </c>
      <c r="Q621" s="13">
        <v>45096</v>
      </c>
      <c r="R621" s="13">
        <v>45133</v>
      </c>
      <c r="S621">
        <v>2023</v>
      </c>
      <c r="T621" s="12" t="s">
        <v>1147</v>
      </c>
      <c r="U621">
        <v>32</v>
      </c>
      <c r="V621">
        <v>164.8845</v>
      </c>
      <c r="W621">
        <v>111.32</v>
      </c>
      <c r="X621">
        <v>0</v>
      </c>
      <c r="Y621">
        <v>0</v>
      </c>
      <c r="Z621">
        <v>5276.3</v>
      </c>
      <c r="AA621">
        <v>5387.62</v>
      </c>
      <c r="AB621" s="12" t="s">
        <v>245</v>
      </c>
      <c r="AC621">
        <v>164.8845</v>
      </c>
      <c r="AD621">
        <v>1</v>
      </c>
      <c r="AE621">
        <v>1</v>
      </c>
      <c r="AF621">
        <v>0</v>
      </c>
      <c r="AG621">
        <v>5276.3</v>
      </c>
      <c r="AH621">
        <v>32</v>
      </c>
      <c r="AI621">
        <v>32</v>
      </c>
      <c r="AJ621">
        <v>0</v>
      </c>
      <c r="AK621">
        <v>1</v>
      </c>
      <c r="AL621">
        <v>1</v>
      </c>
      <c r="AM621">
        <v>100</v>
      </c>
      <c r="AN621">
        <v>168.36330000000001</v>
      </c>
      <c r="AO621">
        <v>0</v>
      </c>
      <c r="AP621" s="13">
        <v>45131</v>
      </c>
      <c r="AQ621">
        <v>-2</v>
      </c>
      <c r="AR621">
        <v>1</v>
      </c>
    </row>
    <row r="622" spans="1:44" x14ac:dyDescent="0.35">
      <c r="A622" s="12" t="s">
        <v>1269</v>
      </c>
      <c r="B622" s="12" t="s">
        <v>477</v>
      </c>
      <c r="C622" s="12" t="s">
        <v>478</v>
      </c>
      <c r="D622" s="12" t="s">
        <v>130</v>
      </c>
      <c r="E622" s="12" t="s">
        <v>104</v>
      </c>
      <c r="F622">
        <v>3</v>
      </c>
      <c r="G622">
        <v>1</v>
      </c>
      <c r="H622">
        <v>0</v>
      </c>
      <c r="I622" s="12" t="s">
        <v>380</v>
      </c>
      <c r="J622" s="12" t="s">
        <v>381</v>
      </c>
      <c r="K622" s="12" t="s">
        <v>89</v>
      </c>
      <c r="L622" s="12" t="s">
        <v>96</v>
      </c>
      <c r="M622">
        <v>10.210000000000001</v>
      </c>
      <c r="N622" s="12" t="s">
        <v>159</v>
      </c>
      <c r="O622" s="12" t="s">
        <v>160</v>
      </c>
      <c r="P622" s="12" t="s">
        <v>137</v>
      </c>
      <c r="Q622" s="13">
        <v>45096</v>
      </c>
      <c r="R622" s="13">
        <v>45112</v>
      </c>
      <c r="S622">
        <v>2023</v>
      </c>
      <c r="T622" s="12" t="s">
        <v>1147</v>
      </c>
      <c r="U622">
        <v>45</v>
      </c>
      <c r="V622">
        <v>778.59670000000006</v>
      </c>
      <c r="W622">
        <v>760.2</v>
      </c>
      <c r="X622">
        <v>0</v>
      </c>
      <c r="Y622">
        <v>0</v>
      </c>
      <c r="Z622">
        <v>35036.85</v>
      </c>
      <c r="AA622">
        <v>35797.050000000003</v>
      </c>
      <c r="AB622" s="12" t="s">
        <v>1094</v>
      </c>
      <c r="AC622">
        <v>778.59670000000006</v>
      </c>
      <c r="AD622">
        <v>1</v>
      </c>
      <c r="AE622">
        <v>1</v>
      </c>
      <c r="AF622">
        <v>0</v>
      </c>
      <c r="AG622">
        <v>35036.85</v>
      </c>
      <c r="AH622">
        <v>45</v>
      </c>
      <c r="AI622">
        <v>44</v>
      </c>
      <c r="AJ622">
        <v>1</v>
      </c>
      <c r="AK622">
        <v>1</v>
      </c>
      <c r="AL622">
        <v>1</v>
      </c>
      <c r="AM622">
        <v>97.78</v>
      </c>
      <c r="AN622">
        <v>813.56939999999997</v>
      </c>
      <c r="AO622">
        <v>778.6</v>
      </c>
      <c r="AP622" s="13">
        <v>45111</v>
      </c>
      <c r="AQ622">
        <v>-1</v>
      </c>
      <c r="AR622">
        <v>1</v>
      </c>
    </row>
    <row r="623" spans="1:44" x14ac:dyDescent="0.35">
      <c r="A623" s="12" t="s">
        <v>1270</v>
      </c>
      <c r="B623" s="12" t="s">
        <v>827</v>
      </c>
      <c r="C623" s="12" t="s">
        <v>828</v>
      </c>
      <c r="D623" s="12" t="s">
        <v>175</v>
      </c>
      <c r="E623" s="12" t="s">
        <v>104</v>
      </c>
      <c r="F623">
        <v>2</v>
      </c>
      <c r="G623">
        <v>0</v>
      </c>
      <c r="H623">
        <v>0</v>
      </c>
      <c r="I623" s="12" t="s">
        <v>183</v>
      </c>
      <c r="J623" s="12" t="s">
        <v>184</v>
      </c>
      <c r="K623" s="12" t="s">
        <v>133</v>
      </c>
      <c r="L623" s="12" t="s">
        <v>82</v>
      </c>
      <c r="M623">
        <v>8.6199999999999992</v>
      </c>
      <c r="N623" s="12" t="s">
        <v>145</v>
      </c>
      <c r="O623" s="12" t="s">
        <v>146</v>
      </c>
      <c r="P623" s="12" t="s">
        <v>109</v>
      </c>
      <c r="Q623" s="13">
        <v>45096</v>
      </c>
      <c r="R623" s="13">
        <v>45121</v>
      </c>
      <c r="S623">
        <v>2023</v>
      </c>
      <c r="T623" s="12" t="s">
        <v>1147</v>
      </c>
      <c r="U623">
        <v>117</v>
      </c>
      <c r="V623">
        <v>107.794</v>
      </c>
      <c r="W623">
        <v>311.61</v>
      </c>
      <c r="X623">
        <v>0</v>
      </c>
      <c r="Y623">
        <v>0</v>
      </c>
      <c r="Z623">
        <v>12611.9</v>
      </c>
      <c r="AA623">
        <v>12923.51</v>
      </c>
      <c r="AB623" s="12" t="s">
        <v>829</v>
      </c>
      <c r="AC623">
        <v>107.794</v>
      </c>
      <c r="AD623">
        <v>1</v>
      </c>
      <c r="AE623">
        <v>1</v>
      </c>
      <c r="AF623">
        <v>0</v>
      </c>
      <c r="AG623">
        <v>12611.9</v>
      </c>
      <c r="AH623">
        <v>117</v>
      </c>
      <c r="AI623">
        <v>116</v>
      </c>
      <c r="AJ623">
        <v>1</v>
      </c>
      <c r="AK623">
        <v>1</v>
      </c>
      <c r="AL623">
        <v>1</v>
      </c>
      <c r="AM623">
        <v>99.15</v>
      </c>
      <c r="AN623">
        <v>111.4096</v>
      </c>
      <c r="AO623">
        <v>107.79</v>
      </c>
      <c r="AP623" s="13">
        <v>45121</v>
      </c>
      <c r="AQ623">
        <v>0</v>
      </c>
      <c r="AR623">
        <v>1</v>
      </c>
    </row>
    <row r="624" spans="1:44" x14ac:dyDescent="0.35">
      <c r="A624" s="12" t="s">
        <v>1271</v>
      </c>
      <c r="B624" s="12" t="s">
        <v>740</v>
      </c>
      <c r="C624" s="12" t="s">
        <v>741</v>
      </c>
      <c r="D624" s="12" t="s">
        <v>64</v>
      </c>
      <c r="E624" s="12" t="s">
        <v>104</v>
      </c>
      <c r="F624">
        <v>2</v>
      </c>
      <c r="G624">
        <v>0</v>
      </c>
      <c r="H624">
        <v>0</v>
      </c>
      <c r="I624" s="12" t="s">
        <v>183</v>
      </c>
      <c r="J624" s="12" t="s">
        <v>184</v>
      </c>
      <c r="K624" s="12" t="s">
        <v>133</v>
      </c>
      <c r="L624" s="12" t="s">
        <v>82</v>
      </c>
      <c r="M624">
        <v>8.6199999999999992</v>
      </c>
      <c r="N624" s="12" t="s">
        <v>70</v>
      </c>
      <c r="O624" s="12" t="s">
        <v>71</v>
      </c>
      <c r="P624" s="12" t="s">
        <v>72</v>
      </c>
      <c r="Q624" s="13">
        <v>45096</v>
      </c>
      <c r="R624" s="13">
        <v>45116</v>
      </c>
      <c r="S624">
        <v>2023</v>
      </c>
      <c r="T624" s="12" t="s">
        <v>1147</v>
      </c>
      <c r="U624">
        <v>504</v>
      </c>
      <c r="V624">
        <v>41.2042</v>
      </c>
      <c r="W624">
        <v>499.42</v>
      </c>
      <c r="X624">
        <v>0</v>
      </c>
      <c r="Y624">
        <v>0</v>
      </c>
      <c r="Z624">
        <v>20766.919999999998</v>
      </c>
      <c r="AA624">
        <v>21266.34</v>
      </c>
      <c r="AB624" s="12" t="s">
        <v>742</v>
      </c>
      <c r="AC624">
        <v>41.2042</v>
      </c>
      <c r="AD624">
        <v>1</v>
      </c>
      <c r="AE624">
        <v>1</v>
      </c>
      <c r="AF624">
        <v>0</v>
      </c>
      <c r="AG624">
        <v>20766.919999999998</v>
      </c>
      <c r="AH624">
        <v>504</v>
      </c>
      <c r="AI624">
        <v>498</v>
      </c>
      <c r="AJ624">
        <v>6</v>
      </c>
      <c r="AK624">
        <v>1</v>
      </c>
      <c r="AL624">
        <v>1</v>
      </c>
      <c r="AM624">
        <v>98.81</v>
      </c>
      <c r="AN624">
        <v>42.703499999999998</v>
      </c>
      <c r="AO624">
        <v>247.23</v>
      </c>
      <c r="AP624" s="13">
        <v>45116</v>
      </c>
      <c r="AQ624">
        <v>0</v>
      </c>
      <c r="AR624">
        <v>1</v>
      </c>
    </row>
    <row r="625" spans="1:44" x14ac:dyDescent="0.35">
      <c r="A625" s="12" t="s">
        <v>1272</v>
      </c>
      <c r="B625" s="12" t="s">
        <v>747</v>
      </c>
      <c r="C625" s="12" t="s">
        <v>748</v>
      </c>
      <c r="D625" s="12" t="s">
        <v>114</v>
      </c>
      <c r="E625" s="12" t="s">
        <v>104</v>
      </c>
      <c r="F625">
        <v>2</v>
      </c>
      <c r="G625">
        <v>0</v>
      </c>
      <c r="H625">
        <v>0</v>
      </c>
      <c r="I625" s="12" t="s">
        <v>380</v>
      </c>
      <c r="J625" s="12" t="s">
        <v>381</v>
      </c>
      <c r="K625" s="12" t="s">
        <v>89</v>
      </c>
      <c r="L625" s="12" t="s">
        <v>96</v>
      </c>
      <c r="M625">
        <v>10.210000000000001</v>
      </c>
      <c r="N625" s="12" t="s">
        <v>97</v>
      </c>
      <c r="O625" s="12" t="s">
        <v>98</v>
      </c>
      <c r="P625" s="12" t="s">
        <v>72</v>
      </c>
      <c r="Q625" s="13">
        <v>45097</v>
      </c>
      <c r="R625" s="13">
        <v>45113</v>
      </c>
      <c r="S625">
        <v>2023</v>
      </c>
      <c r="T625" s="12" t="s">
        <v>1147</v>
      </c>
      <c r="U625">
        <v>48</v>
      </c>
      <c r="V625">
        <v>245.56890000000001</v>
      </c>
      <c r="W625">
        <v>118.31</v>
      </c>
      <c r="X625">
        <v>0</v>
      </c>
      <c r="Y625">
        <v>0</v>
      </c>
      <c r="Z625">
        <v>11787.31</v>
      </c>
      <c r="AA625">
        <v>11905.62</v>
      </c>
      <c r="AB625" s="12" t="s">
        <v>896</v>
      </c>
      <c r="AC625">
        <v>245.56890000000001</v>
      </c>
      <c r="AD625">
        <v>1</v>
      </c>
      <c r="AE625">
        <v>1</v>
      </c>
      <c r="AF625">
        <v>0</v>
      </c>
      <c r="AG625">
        <v>11787.31</v>
      </c>
      <c r="AH625">
        <v>48</v>
      </c>
      <c r="AI625">
        <v>47</v>
      </c>
      <c r="AJ625">
        <v>1</v>
      </c>
      <c r="AK625">
        <v>1</v>
      </c>
      <c r="AL625">
        <v>1</v>
      </c>
      <c r="AM625">
        <v>97.92</v>
      </c>
      <c r="AN625">
        <v>253.31100000000001</v>
      </c>
      <c r="AO625">
        <v>245.57</v>
      </c>
      <c r="AP625" s="13">
        <v>45118</v>
      </c>
      <c r="AQ625">
        <v>5</v>
      </c>
      <c r="AR625">
        <v>0</v>
      </c>
    </row>
    <row r="626" spans="1:44" x14ac:dyDescent="0.35">
      <c r="A626" s="12" t="s">
        <v>1273</v>
      </c>
      <c r="B626" s="12" t="s">
        <v>331</v>
      </c>
      <c r="C626" s="12" t="s">
        <v>332</v>
      </c>
      <c r="D626" s="12" t="s">
        <v>122</v>
      </c>
      <c r="E626" s="12" t="s">
        <v>142</v>
      </c>
      <c r="F626">
        <v>3</v>
      </c>
      <c r="G626">
        <v>11</v>
      </c>
      <c r="H626">
        <v>0</v>
      </c>
      <c r="I626" s="12" t="s">
        <v>263</v>
      </c>
      <c r="J626" s="12" t="s">
        <v>264</v>
      </c>
      <c r="K626" s="12" t="s">
        <v>125</v>
      </c>
      <c r="L626" s="12" t="s">
        <v>82</v>
      </c>
      <c r="M626">
        <v>10.210000000000001</v>
      </c>
      <c r="N626" s="12" t="s">
        <v>97</v>
      </c>
      <c r="O626" s="12" t="s">
        <v>98</v>
      </c>
      <c r="P626" s="12" t="s">
        <v>72</v>
      </c>
      <c r="Q626" s="13">
        <v>45097</v>
      </c>
      <c r="R626" s="13">
        <v>45146</v>
      </c>
      <c r="S626">
        <v>2023</v>
      </c>
      <c r="T626" s="12" t="s">
        <v>1147</v>
      </c>
      <c r="U626">
        <v>1641</v>
      </c>
      <c r="V626">
        <v>25.871400000000001</v>
      </c>
      <c r="W626">
        <v>1021.54</v>
      </c>
      <c r="X626">
        <v>0</v>
      </c>
      <c r="Y626">
        <v>0</v>
      </c>
      <c r="Z626">
        <v>42454.97</v>
      </c>
      <c r="AA626">
        <v>43476.51</v>
      </c>
      <c r="AB626" s="12" t="s">
        <v>333</v>
      </c>
      <c r="AC626">
        <v>25.052199999999999</v>
      </c>
      <c r="AD626">
        <v>1</v>
      </c>
      <c r="AE626">
        <v>1</v>
      </c>
      <c r="AF626">
        <v>1344.31</v>
      </c>
      <c r="AG626">
        <v>41110.660000000003</v>
      </c>
      <c r="AH626">
        <v>1641</v>
      </c>
      <c r="AI626">
        <v>1624</v>
      </c>
      <c r="AJ626">
        <v>17</v>
      </c>
      <c r="AK626">
        <v>1</v>
      </c>
      <c r="AL626">
        <v>1</v>
      </c>
      <c r="AM626">
        <v>98.96</v>
      </c>
      <c r="AN626">
        <v>26.7712</v>
      </c>
      <c r="AO626">
        <v>439.81</v>
      </c>
      <c r="AP626" s="13">
        <v>45143</v>
      </c>
      <c r="AQ626">
        <v>-3</v>
      </c>
      <c r="AR626">
        <v>1</v>
      </c>
    </row>
    <row r="627" spans="1:44" x14ac:dyDescent="0.35">
      <c r="A627" s="12" t="s">
        <v>1274</v>
      </c>
      <c r="B627" s="12" t="s">
        <v>454</v>
      </c>
      <c r="C627" s="12" t="s">
        <v>455</v>
      </c>
      <c r="D627" s="12" t="s">
        <v>122</v>
      </c>
      <c r="E627" s="12" t="s">
        <v>104</v>
      </c>
      <c r="F627">
        <v>3</v>
      </c>
      <c r="G627">
        <v>1</v>
      </c>
      <c r="H627">
        <v>0</v>
      </c>
      <c r="I627" s="12" t="s">
        <v>87</v>
      </c>
      <c r="J627" s="12" t="s">
        <v>88</v>
      </c>
      <c r="K627" s="12" t="s">
        <v>89</v>
      </c>
      <c r="L627" s="12" t="s">
        <v>69</v>
      </c>
      <c r="M627">
        <v>14.93</v>
      </c>
      <c r="N627" s="12" t="s">
        <v>70</v>
      </c>
      <c r="O627" s="12" t="s">
        <v>71</v>
      </c>
      <c r="P627" s="12" t="s">
        <v>72</v>
      </c>
      <c r="Q627" s="13">
        <v>45097</v>
      </c>
      <c r="R627" s="13">
        <v>45111</v>
      </c>
      <c r="S627">
        <v>2023</v>
      </c>
      <c r="T627" s="12" t="s">
        <v>1147</v>
      </c>
      <c r="U627">
        <v>430</v>
      </c>
      <c r="V627">
        <v>21.796199999999999</v>
      </c>
      <c r="W627">
        <v>95.64</v>
      </c>
      <c r="X627">
        <v>0</v>
      </c>
      <c r="Y627">
        <v>0</v>
      </c>
      <c r="Z627">
        <v>9372.3700000000008</v>
      </c>
      <c r="AA627">
        <v>9468.01</v>
      </c>
      <c r="AB627" s="12" t="s">
        <v>456</v>
      </c>
      <c r="AC627">
        <v>21.796199999999999</v>
      </c>
      <c r="AD627">
        <v>1</v>
      </c>
      <c r="AE627">
        <v>1</v>
      </c>
      <c r="AF627">
        <v>0</v>
      </c>
      <c r="AG627">
        <v>9372.3700000000008</v>
      </c>
      <c r="AH627">
        <v>430</v>
      </c>
      <c r="AI627">
        <v>429</v>
      </c>
      <c r="AJ627">
        <v>1</v>
      </c>
      <c r="AK627">
        <v>1</v>
      </c>
      <c r="AL627">
        <v>1</v>
      </c>
      <c r="AM627">
        <v>99.77</v>
      </c>
      <c r="AN627">
        <v>22.069900000000001</v>
      </c>
      <c r="AO627">
        <v>21.8</v>
      </c>
      <c r="AP627" s="13">
        <v>45111</v>
      </c>
      <c r="AQ627">
        <v>0</v>
      </c>
      <c r="AR627">
        <v>1</v>
      </c>
    </row>
    <row r="628" spans="1:44" x14ac:dyDescent="0.35">
      <c r="A628" s="12" t="s">
        <v>1275</v>
      </c>
      <c r="B628" s="12" t="s">
        <v>1166</v>
      </c>
      <c r="C628" s="12" t="s">
        <v>1167</v>
      </c>
      <c r="D628" s="12" t="s">
        <v>175</v>
      </c>
      <c r="E628" s="12" t="s">
        <v>65</v>
      </c>
      <c r="F628">
        <v>3</v>
      </c>
      <c r="G628">
        <v>5</v>
      </c>
      <c r="H628">
        <v>0</v>
      </c>
      <c r="I628" s="12" t="s">
        <v>143</v>
      </c>
      <c r="J628" s="12" t="s">
        <v>144</v>
      </c>
      <c r="K628" s="12" t="s">
        <v>133</v>
      </c>
      <c r="L628" s="12" t="s">
        <v>96</v>
      </c>
      <c r="M628">
        <v>5.43</v>
      </c>
      <c r="N628" s="12" t="s">
        <v>107</v>
      </c>
      <c r="O628" s="12" t="s">
        <v>108</v>
      </c>
      <c r="P628" s="12" t="s">
        <v>109</v>
      </c>
      <c r="Q628" s="13">
        <v>45097</v>
      </c>
      <c r="R628" s="13">
        <v>45134</v>
      </c>
      <c r="S628">
        <v>2023</v>
      </c>
      <c r="T628" s="12" t="s">
        <v>1147</v>
      </c>
      <c r="U628">
        <v>142</v>
      </c>
      <c r="V628">
        <v>248.16210000000001</v>
      </c>
      <c r="W628">
        <v>546.37</v>
      </c>
      <c r="X628">
        <v>0</v>
      </c>
      <c r="Y628">
        <v>0</v>
      </c>
      <c r="Z628">
        <v>35239.019999999997</v>
      </c>
      <c r="AA628">
        <v>35785.39</v>
      </c>
      <c r="AB628" s="12" t="s">
        <v>1168</v>
      </c>
      <c r="AC628">
        <v>248.16210000000001</v>
      </c>
      <c r="AD628">
        <v>1</v>
      </c>
      <c r="AE628">
        <v>1</v>
      </c>
      <c r="AF628">
        <v>0</v>
      </c>
      <c r="AG628">
        <v>35239.019999999997</v>
      </c>
      <c r="AH628">
        <v>142</v>
      </c>
      <c r="AI628">
        <v>140</v>
      </c>
      <c r="AJ628">
        <v>2</v>
      </c>
      <c r="AK628">
        <v>1</v>
      </c>
      <c r="AL628">
        <v>1</v>
      </c>
      <c r="AM628">
        <v>98.59</v>
      </c>
      <c r="AN628">
        <v>255.60990000000001</v>
      </c>
      <c r="AO628">
        <v>496.32</v>
      </c>
      <c r="AP628" s="13">
        <v>45132</v>
      </c>
      <c r="AQ628">
        <v>-2</v>
      </c>
      <c r="AR628">
        <v>1</v>
      </c>
    </row>
    <row r="629" spans="1:44" x14ac:dyDescent="0.35">
      <c r="A629" s="12" t="s">
        <v>1276</v>
      </c>
      <c r="B629" s="12" t="s">
        <v>447</v>
      </c>
      <c r="C629" s="12" t="s">
        <v>448</v>
      </c>
      <c r="D629" s="12" t="s">
        <v>269</v>
      </c>
      <c r="E629" s="12" t="s">
        <v>65</v>
      </c>
      <c r="F629">
        <v>2</v>
      </c>
      <c r="G629">
        <v>2</v>
      </c>
      <c r="H629">
        <v>0</v>
      </c>
      <c r="I629" s="12" t="s">
        <v>94</v>
      </c>
      <c r="J629" s="12" t="s">
        <v>95</v>
      </c>
      <c r="K629" s="12" t="s">
        <v>81</v>
      </c>
      <c r="L629" s="12" t="s">
        <v>96</v>
      </c>
      <c r="M629">
        <v>4.8099999999999996</v>
      </c>
      <c r="N629" s="12" t="s">
        <v>159</v>
      </c>
      <c r="O629" s="12" t="s">
        <v>160</v>
      </c>
      <c r="P629" s="12" t="s">
        <v>137</v>
      </c>
      <c r="Q629" s="13">
        <v>45097</v>
      </c>
      <c r="R629" s="13">
        <v>45134</v>
      </c>
      <c r="S629">
        <v>2023</v>
      </c>
      <c r="T629" s="12" t="s">
        <v>1147</v>
      </c>
      <c r="U629">
        <v>137</v>
      </c>
      <c r="V629">
        <v>388.54930000000002</v>
      </c>
      <c r="W629">
        <v>1298.6300000000001</v>
      </c>
      <c r="X629">
        <v>0</v>
      </c>
      <c r="Y629">
        <v>0</v>
      </c>
      <c r="Z629">
        <v>53231.25</v>
      </c>
      <c r="AA629">
        <v>54529.88</v>
      </c>
      <c r="AB629" s="12" t="s">
        <v>449</v>
      </c>
      <c r="AC629">
        <v>388.54930000000002</v>
      </c>
      <c r="AD629">
        <v>1</v>
      </c>
      <c r="AE629">
        <v>1</v>
      </c>
      <c r="AF629">
        <v>0</v>
      </c>
      <c r="AG629">
        <v>53231.25</v>
      </c>
      <c r="AH629">
        <v>137</v>
      </c>
      <c r="AI629">
        <v>136</v>
      </c>
      <c r="AJ629">
        <v>1</v>
      </c>
      <c r="AK629">
        <v>1</v>
      </c>
      <c r="AL629">
        <v>1</v>
      </c>
      <c r="AM629">
        <v>99.27</v>
      </c>
      <c r="AN629">
        <v>400.95499999999998</v>
      </c>
      <c r="AO629">
        <v>388.55</v>
      </c>
      <c r="AP629" s="13">
        <v>45131</v>
      </c>
      <c r="AQ629">
        <v>-3</v>
      </c>
      <c r="AR629">
        <v>1</v>
      </c>
    </row>
    <row r="630" spans="1:44" x14ac:dyDescent="0.35">
      <c r="A630" s="12" t="s">
        <v>1277</v>
      </c>
      <c r="B630" s="12" t="s">
        <v>149</v>
      </c>
      <c r="C630" s="12" t="s">
        <v>150</v>
      </c>
      <c r="D630" s="12" t="s">
        <v>78</v>
      </c>
      <c r="E630" s="12" t="s">
        <v>65</v>
      </c>
      <c r="F630">
        <v>2</v>
      </c>
      <c r="G630">
        <v>2</v>
      </c>
      <c r="H630">
        <v>0</v>
      </c>
      <c r="I630" s="12" t="s">
        <v>151</v>
      </c>
      <c r="J630" s="12" t="s">
        <v>152</v>
      </c>
      <c r="K630" s="12" t="s">
        <v>125</v>
      </c>
      <c r="L630" s="12" t="s">
        <v>69</v>
      </c>
      <c r="M630">
        <v>36.479999999999997</v>
      </c>
      <c r="N630" s="12" t="s">
        <v>70</v>
      </c>
      <c r="O630" s="12" t="s">
        <v>71</v>
      </c>
      <c r="P630" s="12" t="s">
        <v>72</v>
      </c>
      <c r="Q630" s="13">
        <v>45098</v>
      </c>
      <c r="R630" s="13">
        <v>45121</v>
      </c>
      <c r="S630">
        <v>2023</v>
      </c>
      <c r="T630" s="12" t="s">
        <v>1147</v>
      </c>
      <c r="U630">
        <v>76</v>
      </c>
      <c r="V630">
        <v>76.092399999999998</v>
      </c>
      <c r="W630">
        <v>115.59</v>
      </c>
      <c r="X630">
        <v>0</v>
      </c>
      <c r="Y630">
        <v>0</v>
      </c>
      <c r="Z630">
        <v>5783.02</v>
      </c>
      <c r="AA630">
        <v>5898.61</v>
      </c>
      <c r="AB630" s="12" t="s">
        <v>153</v>
      </c>
      <c r="AC630">
        <v>76.092399999999998</v>
      </c>
      <c r="AD630">
        <v>1</v>
      </c>
      <c r="AE630">
        <v>1</v>
      </c>
      <c r="AF630">
        <v>0</v>
      </c>
      <c r="AG630">
        <v>5783.02</v>
      </c>
      <c r="AH630">
        <v>76</v>
      </c>
      <c r="AI630">
        <v>76</v>
      </c>
      <c r="AJ630">
        <v>0</v>
      </c>
      <c r="AK630">
        <v>1</v>
      </c>
      <c r="AL630">
        <v>1</v>
      </c>
      <c r="AM630">
        <v>100</v>
      </c>
      <c r="AN630">
        <v>77.613299999999995</v>
      </c>
      <c r="AO630">
        <v>0</v>
      </c>
      <c r="AP630" s="13">
        <v>45119</v>
      </c>
      <c r="AQ630">
        <v>-2</v>
      </c>
      <c r="AR630">
        <v>1</v>
      </c>
    </row>
    <row r="631" spans="1:44" x14ac:dyDescent="0.35">
      <c r="A631" s="12" t="s">
        <v>1278</v>
      </c>
      <c r="B631" s="12" t="s">
        <v>766</v>
      </c>
      <c r="C631" s="12" t="s">
        <v>767</v>
      </c>
      <c r="D631" s="12" t="s">
        <v>175</v>
      </c>
      <c r="E631" s="12" t="s">
        <v>65</v>
      </c>
      <c r="F631">
        <v>3</v>
      </c>
      <c r="G631">
        <v>5</v>
      </c>
      <c r="H631">
        <v>0</v>
      </c>
      <c r="I631" s="12" t="s">
        <v>157</v>
      </c>
      <c r="J631" s="12" t="s">
        <v>158</v>
      </c>
      <c r="K631" s="12" t="s">
        <v>117</v>
      </c>
      <c r="L631" s="12" t="s">
        <v>96</v>
      </c>
      <c r="M631">
        <v>4.72</v>
      </c>
      <c r="N631" s="12" t="s">
        <v>145</v>
      </c>
      <c r="O631" s="12" t="s">
        <v>146</v>
      </c>
      <c r="P631" s="12" t="s">
        <v>109</v>
      </c>
      <c r="Q631" s="13">
        <v>45098</v>
      </c>
      <c r="R631" s="13">
        <v>45127</v>
      </c>
      <c r="S631">
        <v>2023</v>
      </c>
      <c r="T631" s="12" t="s">
        <v>1147</v>
      </c>
      <c r="U631">
        <v>75</v>
      </c>
      <c r="V631">
        <v>90.237700000000004</v>
      </c>
      <c r="W631">
        <v>77.489999999999995</v>
      </c>
      <c r="X631">
        <v>0</v>
      </c>
      <c r="Y631">
        <v>0</v>
      </c>
      <c r="Z631">
        <v>6767.83</v>
      </c>
      <c r="AA631">
        <v>6845.32</v>
      </c>
      <c r="AB631" s="12" t="s">
        <v>1279</v>
      </c>
      <c r="AC631">
        <v>86.977900000000005</v>
      </c>
      <c r="AD631">
        <v>1</v>
      </c>
      <c r="AE631">
        <v>1</v>
      </c>
      <c r="AF631">
        <v>244.49</v>
      </c>
      <c r="AG631">
        <v>6523.34</v>
      </c>
      <c r="AH631">
        <v>75</v>
      </c>
      <c r="AI631">
        <v>74</v>
      </c>
      <c r="AJ631">
        <v>1</v>
      </c>
      <c r="AK631">
        <v>1</v>
      </c>
      <c r="AL631">
        <v>1</v>
      </c>
      <c r="AM631">
        <v>98.67</v>
      </c>
      <c r="AN631">
        <v>92.504300000000001</v>
      </c>
      <c r="AO631">
        <v>90.24</v>
      </c>
      <c r="AP631" s="13">
        <v>45129</v>
      </c>
      <c r="AQ631">
        <v>2</v>
      </c>
      <c r="AR631">
        <v>0</v>
      </c>
    </row>
    <row r="632" spans="1:44" x14ac:dyDescent="0.35">
      <c r="A632" s="12" t="s">
        <v>1280</v>
      </c>
      <c r="B632" s="12" t="s">
        <v>465</v>
      </c>
      <c r="C632" s="12" t="s">
        <v>466</v>
      </c>
      <c r="D632" s="12" t="s">
        <v>78</v>
      </c>
      <c r="E632" s="12" t="s">
        <v>142</v>
      </c>
      <c r="F632">
        <v>3</v>
      </c>
      <c r="G632">
        <v>11</v>
      </c>
      <c r="H632">
        <v>0</v>
      </c>
      <c r="I632" s="12" t="s">
        <v>195</v>
      </c>
      <c r="J632" s="12" t="s">
        <v>196</v>
      </c>
      <c r="K632" s="12" t="s">
        <v>117</v>
      </c>
      <c r="L632" s="12" t="s">
        <v>134</v>
      </c>
      <c r="M632">
        <v>4.7699999999999996</v>
      </c>
      <c r="N632" s="12" t="s">
        <v>97</v>
      </c>
      <c r="O632" s="12" t="s">
        <v>98</v>
      </c>
      <c r="P632" s="12" t="s">
        <v>72</v>
      </c>
      <c r="Q632" s="13">
        <v>45098</v>
      </c>
      <c r="R632" s="13">
        <v>45148</v>
      </c>
      <c r="S632">
        <v>2023</v>
      </c>
      <c r="T632" s="12" t="s">
        <v>1147</v>
      </c>
      <c r="U632">
        <v>270</v>
      </c>
      <c r="V632">
        <v>110.11579999999999</v>
      </c>
      <c r="W632">
        <v>311.68</v>
      </c>
      <c r="X632">
        <v>945.71</v>
      </c>
      <c r="Y632">
        <v>1</v>
      </c>
      <c r="Z632">
        <v>29731.27</v>
      </c>
      <c r="AA632">
        <v>30988.66</v>
      </c>
      <c r="AB632" s="12" t="s">
        <v>467</v>
      </c>
      <c r="AC632">
        <v>110.11579999999999</v>
      </c>
      <c r="AD632">
        <v>1</v>
      </c>
      <c r="AE632">
        <v>1</v>
      </c>
      <c r="AF632">
        <v>0</v>
      </c>
      <c r="AG632">
        <v>29731.27</v>
      </c>
      <c r="AH632">
        <v>270</v>
      </c>
      <c r="AI632">
        <v>264</v>
      </c>
      <c r="AJ632">
        <v>6</v>
      </c>
      <c r="AK632">
        <v>1</v>
      </c>
      <c r="AL632">
        <v>1</v>
      </c>
      <c r="AM632">
        <v>97.78</v>
      </c>
      <c r="AN632">
        <v>117.3813</v>
      </c>
      <c r="AO632">
        <v>660.69</v>
      </c>
      <c r="AP632" s="13">
        <v>45146</v>
      </c>
      <c r="AQ632">
        <v>-2</v>
      </c>
      <c r="AR632">
        <v>1</v>
      </c>
    </row>
    <row r="633" spans="1:44" x14ac:dyDescent="0.35">
      <c r="A633" s="12" t="s">
        <v>1281</v>
      </c>
      <c r="B633" s="12" t="s">
        <v>85</v>
      </c>
      <c r="C633" s="12" t="s">
        <v>86</v>
      </c>
      <c r="D633" s="12" t="s">
        <v>78</v>
      </c>
      <c r="E633" s="12" t="s">
        <v>65</v>
      </c>
      <c r="F633">
        <v>3</v>
      </c>
      <c r="G633">
        <v>5</v>
      </c>
      <c r="H633">
        <v>0</v>
      </c>
      <c r="I633" s="12" t="s">
        <v>87</v>
      </c>
      <c r="J633" s="12" t="s">
        <v>88</v>
      </c>
      <c r="K633" s="12" t="s">
        <v>89</v>
      </c>
      <c r="L633" s="12" t="s">
        <v>69</v>
      </c>
      <c r="M633">
        <v>14.93</v>
      </c>
      <c r="N633" s="12" t="s">
        <v>70</v>
      </c>
      <c r="O633" s="12" t="s">
        <v>71</v>
      </c>
      <c r="P633" s="12" t="s">
        <v>72</v>
      </c>
      <c r="Q633" s="13">
        <v>45098</v>
      </c>
      <c r="R633" s="13">
        <v>45122</v>
      </c>
      <c r="S633">
        <v>2023</v>
      </c>
      <c r="T633" s="12" t="s">
        <v>1147</v>
      </c>
      <c r="U633">
        <v>85</v>
      </c>
      <c r="V633">
        <v>147.55000000000001</v>
      </c>
      <c r="W633">
        <v>174.74</v>
      </c>
      <c r="X633">
        <v>0</v>
      </c>
      <c r="Y633">
        <v>0</v>
      </c>
      <c r="Z633">
        <v>12541.75</v>
      </c>
      <c r="AA633">
        <v>12716.49</v>
      </c>
      <c r="AB633" s="12" t="s">
        <v>90</v>
      </c>
      <c r="AC633">
        <v>147.55000000000001</v>
      </c>
      <c r="AD633">
        <v>1</v>
      </c>
      <c r="AE633">
        <v>1</v>
      </c>
      <c r="AF633">
        <v>0</v>
      </c>
      <c r="AG633">
        <v>12541.75</v>
      </c>
      <c r="AH633">
        <v>85</v>
      </c>
      <c r="AI633">
        <v>83</v>
      </c>
      <c r="AJ633">
        <v>2</v>
      </c>
      <c r="AK633">
        <v>1</v>
      </c>
      <c r="AL633">
        <v>1</v>
      </c>
      <c r="AM633">
        <v>97.65</v>
      </c>
      <c r="AN633">
        <v>153.2107</v>
      </c>
      <c r="AO633">
        <v>295.10000000000002</v>
      </c>
      <c r="AP633" s="13">
        <v>45119</v>
      </c>
      <c r="AQ633">
        <v>-3</v>
      </c>
      <c r="AR633">
        <v>1</v>
      </c>
    </row>
    <row r="634" spans="1:44" x14ac:dyDescent="0.35">
      <c r="A634" s="12" t="s">
        <v>1282</v>
      </c>
      <c r="B634" s="12" t="s">
        <v>972</v>
      </c>
      <c r="C634" s="12" t="s">
        <v>973</v>
      </c>
      <c r="D634" s="12" t="s">
        <v>130</v>
      </c>
      <c r="E634" s="12" t="s">
        <v>142</v>
      </c>
      <c r="F634">
        <v>2</v>
      </c>
      <c r="G634">
        <v>9</v>
      </c>
      <c r="H634">
        <v>0</v>
      </c>
      <c r="I634" s="12" t="s">
        <v>66</v>
      </c>
      <c r="J634" s="12" t="s">
        <v>67</v>
      </c>
      <c r="K634" s="12" t="s">
        <v>68</v>
      </c>
      <c r="L634" s="12" t="s">
        <v>69</v>
      </c>
      <c r="M634">
        <v>17.66</v>
      </c>
      <c r="N634" s="12" t="s">
        <v>159</v>
      </c>
      <c r="O634" s="12" t="s">
        <v>160</v>
      </c>
      <c r="P634" s="12" t="s">
        <v>137</v>
      </c>
      <c r="Q634" s="13">
        <v>45098</v>
      </c>
      <c r="R634" s="13">
        <v>45143</v>
      </c>
      <c r="S634">
        <v>2023</v>
      </c>
      <c r="T634" s="12" t="s">
        <v>1147</v>
      </c>
      <c r="U634">
        <v>94</v>
      </c>
      <c r="V634">
        <v>842.69190000000003</v>
      </c>
      <c r="W634">
        <v>1436.1</v>
      </c>
      <c r="X634">
        <v>0</v>
      </c>
      <c r="Y634">
        <v>0</v>
      </c>
      <c r="Z634">
        <v>79213.039999999994</v>
      </c>
      <c r="AA634">
        <v>80649.14</v>
      </c>
      <c r="AB634" s="12" t="s">
        <v>1283</v>
      </c>
      <c r="AC634">
        <v>842.69190000000003</v>
      </c>
      <c r="AD634">
        <v>1</v>
      </c>
      <c r="AE634">
        <v>1</v>
      </c>
      <c r="AF634">
        <v>0</v>
      </c>
      <c r="AG634">
        <v>79213.039999999994</v>
      </c>
      <c r="AH634">
        <v>94</v>
      </c>
      <c r="AI634">
        <v>93</v>
      </c>
      <c r="AJ634">
        <v>1</v>
      </c>
      <c r="AK634">
        <v>1</v>
      </c>
      <c r="AL634">
        <v>1</v>
      </c>
      <c r="AM634">
        <v>98.94</v>
      </c>
      <c r="AN634">
        <v>867.19500000000005</v>
      </c>
      <c r="AO634">
        <v>842.69</v>
      </c>
      <c r="AP634" s="13">
        <v>45143</v>
      </c>
      <c r="AQ634">
        <v>0</v>
      </c>
      <c r="AR634">
        <v>1</v>
      </c>
    </row>
    <row r="635" spans="1:44" x14ac:dyDescent="0.35">
      <c r="A635" s="12" t="s">
        <v>1284</v>
      </c>
      <c r="B635" s="12" t="s">
        <v>437</v>
      </c>
      <c r="C635" s="12" t="s">
        <v>438</v>
      </c>
      <c r="D635" s="12" t="s">
        <v>269</v>
      </c>
      <c r="E635" s="12" t="s">
        <v>65</v>
      </c>
      <c r="F635">
        <v>2</v>
      </c>
      <c r="G635">
        <v>4</v>
      </c>
      <c r="H635">
        <v>0</v>
      </c>
      <c r="I635" s="12" t="s">
        <v>183</v>
      </c>
      <c r="J635" s="12" t="s">
        <v>184</v>
      </c>
      <c r="K635" s="12" t="s">
        <v>133</v>
      </c>
      <c r="L635" s="12" t="s">
        <v>82</v>
      </c>
      <c r="M635">
        <v>8.6199999999999992</v>
      </c>
      <c r="N635" s="12" t="s">
        <v>159</v>
      </c>
      <c r="O635" s="12" t="s">
        <v>160</v>
      </c>
      <c r="P635" s="12" t="s">
        <v>137</v>
      </c>
      <c r="Q635" s="13">
        <v>45099</v>
      </c>
      <c r="R635" s="13">
        <v>45120</v>
      </c>
      <c r="S635">
        <v>2023</v>
      </c>
      <c r="T635" s="12" t="s">
        <v>1147</v>
      </c>
      <c r="U635">
        <v>13</v>
      </c>
      <c r="V635">
        <v>473.21539999999999</v>
      </c>
      <c r="W635">
        <v>110.06</v>
      </c>
      <c r="X635">
        <v>0</v>
      </c>
      <c r="Y635">
        <v>0</v>
      </c>
      <c r="Z635">
        <v>6151.8</v>
      </c>
      <c r="AA635">
        <v>6261.86</v>
      </c>
      <c r="AB635" s="12" t="s">
        <v>917</v>
      </c>
      <c r="AC635">
        <v>473.21539999999999</v>
      </c>
      <c r="AD635">
        <v>1</v>
      </c>
      <c r="AE635">
        <v>1</v>
      </c>
      <c r="AF635">
        <v>0</v>
      </c>
      <c r="AG635">
        <v>6151.8</v>
      </c>
      <c r="AH635">
        <v>13</v>
      </c>
      <c r="AI635">
        <v>13</v>
      </c>
      <c r="AJ635">
        <v>0</v>
      </c>
      <c r="AK635">
        <v>1</v>
      </c>
      <c r="AL635">
        <v>1</v>
      </c>
      <c r="AM635">
        <v>100</v>
      </c>
      <c r="AN635">
        <v>481.6816</v>
      </c>
      <c r="AO635">
        <v>0</v>
      </c>
      <c r="AP635" s="13">
        <v>45130</v>
      </c>
      <c r="AQ635">
        <v>10</v>
      </c>
      <c r="AR635">
        <v>0</v>
      </c>
    </row>
    <row r="636" spans="1:44" x14ac:dyDescent="0.35">
      <c r="A636" s="12" t="s">
        <v>1285</v>
      </c>
      <c r="B636" s="12" t="s">
        <v>412</v>
      </c>
      <c r="C636" s="12" t="s">
        <v>413</v>
      </c>
      <c r="D636" s="12" t="s">
        <v>269</v>
      </c>
      <c r="E636" s="12" t="s">
        <v>65</v>
      </c>
      <c r="F636">
        <v>1</v>
      </c>
      <c r="G636">
        <v>2</v>
      </c>
      <c r="H636">
        <v>1</v>
      </c>
      <c r="I636" s="12" t="s">
        <v>233</v>
      </c>
      <c r="J636" s="12" t="s">
        <v>234</v>
      </c>
      <c r="K636" s="12" t="s">
        <v>125</v>
      </c>
      <c r="L636" s="12" t="s">
        <v>96</v>
      </c>
      <c r="M636">
        <v>3.73</v>
      </c>
      <c r="N636" s="12" t="s">
        <v>159</v>
      </c>
      <c r="O636" s="12" t="s">
        <v>160</v>
      </c>
      <c r="P636" s="12" t="s">
        <v>137</v>
      </c>
      <c r="Q636" s="13">
        <v>45099</v>
      </c>
      <c r="R636" s="13">
        <v>45125</v>
      </c>
      <c r="S636">
        <v>2023</v>
      </c>
      <c r="T636" s="12" t="s">
        <v>1147</v>
      </c>
      <c r="U636">
        <v>49</v>
      </c>
      <c r="V636">
        <v>104.4832</v>
      </c>
      <c r="W636">
        <v>74.16</v>
      </c>
      <c r="X636">
        <v>0</v>
      </c>
      <c r="Y636">
        <v>0</v>
      </c>
      <c r="Z636">
        <v>5119.68</v>
      </c>
      <c r="AA636">
        <v>5193.84</v>
      </c>
      <c r="AB636" s="12" t="s">
        <v>414</v>
      </c>
      <c r="AC636">
        <v>104.4832</v>
      </c>
      <c r="AD636">
        <v>1</v>
      </c>
      <c r="AE636">
        <v>1</v>
      </c>
      <c r="AF636">
        <v>0</v>
      </c>
      <c r="AG636">
        <v>5119.68</v>
      </c>
      <c r="AH636">
        <v>49</v>
      </c>
      <c r="AI636">
        <v>49</v>
      </c>
      <c r="AJ636">
        <v>0</v>
      </c>
      <c r="AK636">
        <v>1</v>
      </c>
      <c r="AL636">
        <v>1</v>
      </c>
      <c r="AM636">
        <v>100</v>
      </c>
      <c r="AN636">
        <v>105.9967</v>
      </c>
      <c r="AO636">
        <v>0</v>
      </c>
      <c r="AP636" s="13">
        <v>45125</v>
      </c>
      <c r="AQ636">
        <v>0</v>
      </c>
      <c r="AR636">
        <v>1</v>
      </c>
    </row>
    <row r="637" spans="1:44" x14ac:dyDescent="0.35">
      <c r="A637" s="12" t="s">
        <v>1286</v>
      </c>
      <c r="B637" s="12" t="s">
        <v>503</v>
      </c>
      <c r="C637" s="12" t="s">
        <v>504</v>
      </c>
      <c r="D637" s="12" t="s">
        <v>103</v>
      </c>
      <c r="E637" s="12" t="s">
        <v>104</v>
      </c>
      <c r="F637">
        <v>3</v>
      </c>
      <c r="G637">
        <v>1</v>
      </c>
      <c r="H637">
        <v>0</v>
      </c>
      <c r="I637" s="12" t="s">
        <v>209</v>
      </c>
      <c r="J637" s="12" t="s">
        <v>210</v>
      </c>
      <c r="K637" s="12" t="s">
        <v>133</v>
      </c>
      <c r="L637" s="12" t="s">
        <v>96</v>
      </c>
      <c r="M637">
        <v>7.82</v>
      </c>
      <c r="N637" s="12" t="s">
        <v>107</v>
      </c>
      <c r="O637" s="12" t="s">
        <v>108</v>
      </c>
      <c r="P637" s="12" t="s">
        <v>109</v>
      </c>
      <c r="Q637" s="13">
        <v>45099</v>
      </c>
      <c r="R637" s="13">
        <v>45125</v>
      </c>
      <c r="S637">
        <v>2023</v>
      </c>
      <c r="T637" s="12" t="s">
        <v>1147</v>
      </c>
      <c r="U637">
        <v>125</v>
      </c>
      <c r="V637">
        <v>158.00909999999999</v>
      </c>
      <c r="W637">
        <v>326.72000000000003</v>
      </c>
      <c r="X637">
        <v>0</v>
      </c>
      <c r="Y637">
        <v>0</v>
      </c>
      <c r="Z637">
        <v>19751.14</v>
      </c>
      <c r="AA637">
        <v>20077.86</v>
      </c>
      <c r="AB637" s="12" t="s">
        <v>505</v>
      </c>
      <c r="AC637">
        <v>158.00909999999999</v>
      </c>
      <c r="AD637">
        <v>1</v>
      </c>
      <c r="AE637">
        <v>1</v>
      </c>
      <c r="AF637">
        <v>0</v>
      </c>
      <c r="AG637">
        <v>19751.14</v>
      </c>
      <c r="AH637">
        <v>125</v>
      </c>
      <c r="AI637">
        <v>125</v>
      </c>
      <c r="AJ637">
        <v>0</v>
      </c>
      <c r="AK637">
        <v>1</v>
      </c>
      <c r="AL637">
        <v>1</v>
      </c>
      <c r="AM637">
        <v>100</v>
      </c>
      <c r="AN637">
        <v>160.62289999999999</v>
      </c>
      <c r="AO637">
        <v>0</v>
      </c>
      <c r="AP637" s="13">
        <v>45127</v>
      </c>
      <c r="AQ637">
        <v>2</v>
      </c>
      <c r="AR637">
        <v>0</v>
      </c>
    </row>
    <row r="638" spans="1:44" x14ac:dyDescent="0.35">
      <c r="A638" s="12" t="s">
        <v>1287</v>
      </c>
      <c r="B638" s="12" t="s">
        <v>308</v>
      </c>
      <c r="C638" s="12" t="s">
        <v>309</v>
      </c>
      <c r="D638" s="12" t="s">
        <v>122</v>
      </c>
      <c r="E638" s="12" t="s">
        <v>142</v>
      </c>
      <c r="F638">
        <v>1</v>
      </c>
      <c r="G638">
        <v>6</v>
      </c>
      <c r="H638">
        <v>1</v>
      </c>
      <c r="I638" s="12" t="s">
        <v>310</v>
      </c>
      <c r="J638" s="12" t="s">
        <v>311</v>
      </c>
      <c r="K638" s="12" t="s">
        <v>81</v>
      </c>
      <c r="L638" s="12" t="s">
        <v>69</v>
      </c>
      <c r="M638">
        <v>28.3</v>
      </c>
      <c r="N638" s="12" t="s">
        <v>70</v>
      </c>
      <c r="O638" s="12" t="s">
        <v>71</v>
      </c>
      <c r="P638" s="12" t="s">
        <v>72</v>
      </c>
      <c r="Q638" s="13">
        <v>45099</v>
      </c>
      <c r="R638" s="13">
        <v>45138</v>
      </c>
      <c r="S638">
        <v>2023</v>
      </c>
      <c r="T638" s="12" t="s">
        <v>1147</v>
      </c>
      <c r="U638">
        <v>631</v>
      </c>
      <c r="V638">
        <v>59.409700000000001</v>
      </c>
      <c r="W638">
        <v>621.03</v>
      </c>
      <c r="X638">
        <v>0</v>
      </c>
      <c r="Y638">
        <v>0</v>
      </c>
      <c r="Z638">
        <v>37487.519999999997</v>
      </c>
      <c r="AA638">
        <v>38108.550000000003</v>
      </c>
      <c r="AB638" s="12" t="s">
        <v>312</v>
      </c>
      <c r="AC638">
        <v>59.409700000000001</v>
      </c>
      <c r="AD638">
        <v>1</v>
      </c>
      <c r="AE638">
        <v>1</v>
      </c>
      <c r="AF638">
        <v>0</v>
      </c>
      <c r="AG638">
        <v>37487.519999999997</v>
      </c>
      <c r="AH638">
        <v>631</v>
      </c>
      <c r="AI638">
        <v>625</v>
      </c>
      <c r="AJ638">
        <v>6</v>
      </c>
      <c r="AK638">
        <v>1</v>
      </c>
      <c r="AL638">
        <v>1</v>
      </c>
      <c r="AM638">
        <v>99.05</v>
      </c>
      <c r="AN638">
        <v>60.973700000000001</v>
      </c>
      <c r="AO638">
        <v>356.46</v>
      </c>
      <c r="AP638" s="13">
        <v>45135</v>
      </c>
      <c r="AQ638">
        <v>-3</v>
      </c>
      <c r="AR638">
        <v>1</v>
      </c>
    </row>
    <row r="639" spans="1:44" x14ac:dyDescent="0.35">
      <c r="A639" s="12" t="s">
        <v>1288</v>
      </c>
      <c r="B639" s="12" t="s">
        <v>490</v>
      </c>
      <c r="C639" s="12" t="s">
        <v>491</v>
      </c>
      <c r="D639" s="12" t="s">
        <v>130</v>
      </c>
      <c r="E639" s="12" t="s">
        <v>104</v>
      </c>
      <c r="F639">
        <v>3</v>
      </c>
      <c r="G639">
        <v>1</v>
      </c>
      <c r="H639">
        <v>0</v>
      </c>
      <c r="I639" s="12" t="s">
        <v>123</v>
      </c>
      <c r="J639" s="12" t="s">
        <v>124</v>
      </c>
      <c r="K639" s="12" t="s">
        <v>125</v>
      </c>
      <c r="L639" s="12" t="s">
        <v>82</v>
      </c>
      <c r="M639">
        <v>6.75</v>
      </c>
      <c r="N639" s="12" t="s">
        <v>159</v>
      </c>
      <c r="O639" s="12" t="s">
        <v>160</v>
      </c>
      <c r="P639" s="12" t="s">
        <v>137</v>
      </c>
      <c r="Q639" s="13">
        <v>45099</v>
      </c>
      <c r="R639" s="13">
        <v>45111</v>
      </c>
      <c r="S639">
        <v>2023</v>
      </c>
      <c r="T639" s="12" t="s">
        <v>1147</v>
      </c>
      <c r="U639">
        <v>11</v>
      </c>
      <c r="V639">
        <v>297.19900000000001</v>
      </c>
      <c r="W639">
        <v>39.76</v>
      </c>
      <c r="X639">
        <v>0</v>
      </c>
      <c r="Y639">
        <v>0</v>
      </c>
      <c r="Z639">
        <v>3269.19</v>
      </c>
      <c r="AA639">
        <v>3308.95</v>
      </c>
      <c r="AB639" s="12" t="s">
        <v>1289</v>
      </c>
      <c r="AC639">
        <v>297.19900000000001</v>
      </c>
      <c r="AD639">
        <v>1</v>
      </c>
      <c r="AE639">
        <v>1</v>
      </c>
      <c r="AF639">
        <v>0</v>
      </c>
      <c r="AG639">
        <v>3269.19</v>
      </c>
      <c r="AH639">
        <v>11</v>
      </c>
      <c r="AI639">
        <v>11</v>
      </c>
      <c r="AJ639">
        <v>0</v>
      </c>
      <c r="AK639">
        <v>1</v>
      </c>
      <c r="AL639">
        <v>1</v>
      </c>
      <c r="AM639">
        <v>100</v>
      </c>
      <c r="AN639">
        <v>300.81349999999998</v>
      </c>
      <c r="AO639">
        <v>0</v>
      </c>
      <c r="AP639" s="13">
        <v>45112</v>
      </c>
      <c r="AQ639">
        <v>1</v>
      </c>
      <c r="AR639">
        <v>0</v>
      </c>
    </row>
    <row r="640" spans="1:44" x14ac:dyDescent="0.35">
      <c r="A640" s="12" t="s">
        <v>1290</v>
      </c>
      <c r="B640" s="12" t="s">
        <v>458</v>
      </c>
      <c r="C640" s="12" t="s">
        <v>459</v>
      </c>
      <c r="D640" s="12" t="s">
        <v>64</v>
      </c>
      <c r="E640" s="12" t="s">
        <v>104</v>
      </c>
      <c r="F640">
        <v>2</v>
      </c>
      <c r="G640">
        <v>0</v>
      </c>
      <c r="H640">
        <v>0</v>
      </c>
      <c r="I640" s="12" t="s">
        <v>199</v>
      </c>
      <c r="J640" s="12" t="s">
        <v>200</v>
      </c>
      <c r="K640" s="12" t="s">
        <v>68</v>
      </c>
      <c r="L640" s="12" t="s">
        <v>96</v>
      </c>
      <c r="M640">
        <v>9.4700000000000006</v>
      </c>
      <c r="N640" s="12" t="s">
        <v>70</v>
      </c>
      <c r="O640" s="12" t="s">
        <v>71</v>
      </c>
      <c r="P640" s="12" t="s">
        <v>72</v>
      </c>
      <c r="Q640" s="13">
        <v>45099</v>
      </c>
      <c r="R640" s="13">
        <v>45121</v>
      </c>
      <c r="S640">
        <v>2023</v>
      </c>
      <c r="T640" s="12" t="s">
        <v>1147</v>
      </c>
      <c r="U640">
        <v>606</v>
      </c>
      <c r="V640">
        <v>24.782299999999999</v>
      </c>
      <c r="W640">
        <v>359.37</v>
      </c>
      <c r="X640">
        <v>0</v>
      </c>
      <c r="Y640">
        <v>0</v>
      </c>
      <c r="Z640">
        <v>15018.07</v>
      </c>
      <c r="AA640">
        <v>15377.44</v>
      </c>
      <c r="AB640" s="12" t="s">
        <v>460</v>
      </c>
      <c r="AC640">
        <v>24.782299999999999</v>
      </c>
      <c r="AD640">
        <v>1</v>
      </c>
      <c r="AE640">
        <v>1</v>
      </c>
      <c r="AF640">
        <v>0</v>
      </c>
      <c r="AG640">
        <v>15018.07</v>
      </c>
      <c r="AH640">
        <v>606</v>
      </c>
      <c r="AI640">
        <v>600</v>
      </c>
      <c r="AJ640">
        <v>6</v>
      </c>
      <c r="AK640">
        <v>1</v>
      </c>
      <c r="AL640">
        <v>1</v>
      </c>
      <c r="AM640">
        <v>99.01</v>
      </c>
      <c r="AN640">
        <v>25.629100000000001</v>
      </c>
      <c r="AO640">
        <v>148.69</v>
      </c>
      <c r="AP640" s="13">
        <v>45121</v>
      </c>
      <c r="AQ640">
        <v>0</v>
      </c>
      <c r="AR640">
        <v>1</v>
      </c>
    </row>
    <row r="641" spans="1:44" x14ac:dyDescent="0.35">
      <c r="A641" s="12" t="s">
        <v>1291</v>
      </c>
      <c r="B641" s="12" t="s">
        <v>391</v>
      </c>
      <c r="C641" s="12" t="s">
        <v>392</v>
      </c>
      <c r="D641" s="12" t="s">
        <v>114</v>
      </c>
      <c r="E641" s="12" t="s">
        <v>65</v>
      </c>
      <c r="F641">
        <v>2</v>
      </c>
      <c r="G641">
        <v>2</v>
      </c>
      <c r="H641">
        <v>0</v>
      </c>
      <c r="I641" s="12" t="s">
        <v>310</v>
      </c>
      <c r="J641" s="12" t="s">
        <v>311</v>
      </c>
      <c r="K641" s="12" t="s">
        <v>81</v>
      </c>
      <c r="L641" s="12" t="s">
        <v>69</v>
      </c>
      <c r="M641">
        <v>28.3</v>
      </c>
      <c r="N641" s="12" t="s">
        <v>97</v>
      </c>
      <c r="O641" s="12" t="s">
        <v>98</v>
      </c>
      <c r="P641" s="12" t="s">
        <v>72</v>
      </c>
      <c r="Q641" s="13">
        <v>45099</v>
      </c>
      <c r="R641" s="13">
        <v>45132</v>
      </c>
      <c r="S641">
        <v>2023</v>
      </c>
      <c r="T641" s="12" t="s">
        <v>1147</v>
      </c>
      <c r="U641">
        <v>103</v>
      </c>
      <c r="V641">
        <v>210.18960000000001</v>
      </c>
      <c r="W641">
        <v>478.58</v>
      </c>
      <c r="X641">
        <v>0</v>
      </c>
      <c r="Y641">
        <v>0</v>
      </c>
      <c r="Z641">
        <v>21649.53</v>
      </c>
      <c r="AA641">
        <v>22128.11</v>
      </c>
      <c r="AB641" s="12" t="s">
        <v>393</v>
      </c>
      <c r="AC641">
        <v>223.56530000000001</v>
      </c>
      <c r="AD641">
        <v>1</v>
      </c>
      <c r="AE641">
        <v>1</v>
      </c>
      <c r="AF641">
        <v>-1377.7</v>
      </c>
      <c r="AG641">
        <v>23027.23</v>
      </c>
      <c r="AH641">
        <v>103</v>
      </c>
      <c r="AI641">
        <v>102</v>
      </c>
      <c r="AJ641">
        <v>1</v>
      </c>
      <c r="AK641">
        <v>1</v>
      </c>
      <c r="AL641">
        <v>1</v>
      </c>
      <c r="AM641">
        <v>99.03</v>
      </c>
      <c r="AN641">
        <v>216.94220000000001</v>
      </c>
      <c r="AO641">
        <v>210.19</v>
      </c>
      <c r="AP641" s="13">
        <v>45129</v>
      </c>
      <c r="AQ641">
        <v>-3</v>
      </c>
      <c r="AR641">
        <v>1</v>
      </c>
    </row>
    <row r="642" spans="1:44" x14ac:dyDescent="0.35">
      <c r="A642" s="12" t="s">
        <v>1292</v>
      </c>
      <c r="B642" s="12" t="s">
        <v>494</v>
      </c>
      <c r="C642" s="12" t="s">
        <v>495</v>
      </c>
      <c r="D642" s="12" t="s">
        <v>175</v>
      </c>
      <c r="E642" s="12" t="s">
        <v>65</v>
      </c>
      <c r="F642">
        <v>2</v>
      </c>
      <c r="G642">
        <v>3</v>
      </c>
      <c r="H642">
        <v>0</v>
      </c>
      <c r="I642" s="12" t="s">
        <v>515</v>
      </c>
      <c r="J642" s="12" t="s">
        <v>516</v>
      </c>
      <c r="K642" s="12" t="s">
        <v>68</v>
      </c>
      <c r="L642" s="12" t="s">
        <v>134</v>
      </c>
      <c r="M642">
        <v>3.69</v>
      </c>
      <c r="N642" s="12" t="s">
        <v>145</v>
      </c>
      <c r="O642" s="12" t="s">
        <v>146</v>
      </c>
      <c r="P642" s="12" t="s">
        <v>109</v>
      </c>
      <c r="Q642" s="13">
        <v>45099</v>
      </c>
      <c r="R642" s="13">
        <v>45136</v>
      </c>
      <c r="S642">
        <v>2023</v>
      </c>
      <c r="T642" s="12" t="s">
        <v>1147</v>
      </c>
      <c r="U642">
        <v>138</v>
      </c>
      <c r="V642">
        <v>161.94200000000001</v>
      </c>
      <c r="W642">
        <v>477.31</v>
      </c>
      <c r="X642">
        <v>0</v>
      </c>
      <c r="Y642">
        <v>0</v>
      </c>
      <c r="Z642">
        <v>22348</v>
      </c>
      <c r="AA642">
        <v>22825.31</v>
      </c>
      <c r="AB642" s="12" t="s">
        <v>982</v>
      </c>
      <c r="AC642">
        <v>161.94200000000001</v>
      </c>
      <c r="AD642">
        <v>1</v>
      </c>
      <c r="AE642">
        <v>1</v>
      </c>
      <c r="AF642">
        <v>0</v>
      </c>
      <c r="AG642">
        <v>22348</v>
      </c>
      <c r="AH642">
        <v>138</v>
      </c>
      <c r="AI642">
        <v>136</v>
      </c>
      <c r="AJ642">
        <v>2</v>
      </c>
      <c r="AK642">
        <v>1</v>
      </c>
      <c r="AL642">
        <v>1</v>
      </c>
      <c r="AM642">
        <v>98.55</v>
      </c>
      <c r="AN642">
        <v>167.8331</v>
      </c>
      <c r="AO642">
        <v>323.88</v>
      </c>
      <c r="AP642" s="13">
        <v>45136</v>
      </c>
      <c r="AQ642">
        <v>0</v>
      </c>
      <c r="AR642">
        <v>1</v>
      </c>
    </row>
    <row r="643" spans="1:44" x14ac:dyDescent="0.35">
      <c r="A643" s="12" t="s">
        <v>1293</v>
      </c>
      <c r="B643" s="12" t="s">
        <v>293</v>
      </c>
      <c r="C643" s="12" t="s">
        <v>294</v>
      </c>
      <c r="D643" s="12" t="s">
        <v>114</v>
      </c>
      <c r="E643" s="12" t="s">
        <v>142</v>
      </c>
      <c r="F643">
        <v>1</v>
      </c>
      <c r="G643">
        <v>6</v>
      </c>
      <c r="H643">
        <v>1</v>
      </c>
      <c r="I643" s="12" t="s">
        <v>195</v>
      </c>
      <c r="J643" s="12" t="s">
        <v>196</v>
      </c>
      <c r="K643" s="12" t="s">
        <v>117</v>
      </c>
      <c r="L643" s="12" t="s">
        <v>134</v>
      </c>
      <c r="M643">
        <v>4.7699999999999996</v>
      </c>
      <c r="N643" s="12" t="s">
        <v>97</v>
      </c>
      <c r="O643" s="12" t="s">
        <v>98</v>
      </c>
      <c r="P643" s="12" t="s">
        <v>72</v>
      </c>
      <c r="Q643" s="13">
        <v>45099</v>
      </c>
      <c r="R643" s="13">
        <v>45151</v>
      </c>
      <c r="S643">
        <v>2023</v>
      </c>
      <c r="T643" s="12" t="s">
        <v>1147</v>
      </c>
      <c r="U643">
        <v>148</v>
      </c>
      <c r="V643">
        <v>206.0489</v>
      </c>
      <c r="W643">
        <v>783.27</v>
      </c>
      <c r="X643">
        <v>0</v>
      </c>
      <c r="Y643">
        <v>0</v>
      </c>
      <c r="Z643">
        <v>30495.24</v>
      </c>
      <c r="AA643">
        <v>31278.51</v>
      </c>
      <c r="AB643" s="12" t="s">
        <v>295</v>
      </c>
      <c r="AC643">
        <v>206.0489</v>
      </c>
      <c r="AD643">
        <v>1</v>
      </c>
      <c r="AE643">
        <v>1</v>
      </c>
      <c r="AF643">
        <v>0</v>
      </c>
      <c r="AG643">
        <v>30495.24</v>
      </c>
      <c r="AH643">
        <v>148</v>
      </c>
      <c r="AI643">
        <v>145</v>
      </c>
      <c r="AJ643">
        <v>3</v>
      </c>
      <c r="AK643">
        <v>1</v>
      </c>
      <c r="AL643">
        <v>1</v>
      </c>
      <c r="AM643">
        <v>97.97</v>
      </c>
      <c r="AN643">
        <v>215.71379999999999</v>
      </c>
      <c r="AO643">
        <v>618.15</v>
      </c>
      <c r="AP643" s="13">
        <v>45147</v>
      </c>
      <c r="AQ643">
        <v>-4</v>
      </c>
      <c r="AR643">
        <v>1</v>
      </c>
    </row>
    <row r="644" spans="1:44" x14ac:dyDescent="0.35">
      <c r="A644" s="12" t="s">
        <v>1294</v>
      </c>
      <c r="B644" s="12" t="s">
        <v>293</v>
      </c>
      <c r="C644" s="12" t="s">
        <v>294</v>
      </c>
      <c r="D644" s="12" t="s">
        <v>114</v>
      </c>
      <c r="E644" s="12" t="s">
        <v>142</v>
      </c>
      <c r="F644">
        <v>1</v>
      </c>
      <c r="G644">
        <v>6</v>
      </c>
      <c r="H644">
        <v>1</v>
      </c>
      <c r="I644" s="12" t="s">
        <v>195</v>
      </c>
      <c r="J644" s="12" t="s">
        <v>196</v>
      </c>
      <c r="K644" s="12" t="s">
        <v>117</v>
      </c>
      <c r="L644" s="12" t="s">
        <v>134</v>
      </c>
      <c r="M644">
        <v>4.7699999999999996</v>
      </c>
      <c r="N644" s="12" t="s">
        <v>97</v>
      </c>
      <c r="O644" s="12" t="s">
        <v>98</v>
      </c>
      <c r="P644" s="12" t="s">
        <v>72</v>
      </c>
      <c r="Q644" s="13">
        <v>45099</v>
      </c>
      <c r="R644" s="13">
        <v>45151</v>
      </c>
      <c r="S644">
        <v>2023</v>
      </c>
      <c r="T644" s="12" t="s">
        <v>1147</v>
      </c>
      <c r="U644">
        <v>148</v>
      </c>
      <c r="V644">
        <v>206.0489</v>
      </c>
      <c r="W644">
        <v>783.27</v>
      </c>
      <c r="X644">
        <v>0</v>
      </c>
      <c r="Y644">
        <v>0</v>
      </c>
      <c r="Z644">
        <v>30495.24</v>
      </c>
      <c r="AA644">
        <v>31278.51</v>
      </c>
      <c r="AB644" s="12" t="s">
        <v>295</v>
      </c>
      <c r="AC644">
        <v>206.0489</v>
      </c>
      <c r="AD644">
        <v>1</v>
      </c>
      <c r="AE644">
        <v>1</v>
      </c>
      <c r="AF644">
        <v>0</v>
      </c>
      <c r="AG644">
        <v>30495.24</v>
      </c>
      <c r="AK644">
        <v>0</v>
      </c>
      <c r="AL644">
        <v>0</v>
      </c>
      <c r="AO644">
        <v>0</v>
      </c>
      <c r="AP644" s="13"/>
    </row>
    <row r="645" spans="1:44" x14ac:dyDescent="0.35">
      <c r="A645" s="12" t="s">
        <v>1295</v>
      </c>
      <c r="B645" s="12" t="s">
        <v>706</v>
      </c>
      <c r="C645" s="12" t="s">
        <v>707</v>
      </c>
      <c r="D645" s="12" t="s">
        <v>130</v>
      </c>
      <c r="E645" s="12" t="s">
        <v>142</v>
      </c>
      <c r="F645">
        <v>1</v>
      </c>
      <c r="G645">
        <v>8</v>
      </c>
      <c r="H645">
        <v>1</v>
      </c>
      <c r="I645" s="12" t="s">
        <v>263</v>
      </c>
      <c r="J645" s="12" t="s">
        <v>264</v>
      </c>
      <c r="K645" s="12" t="s">
        <v>125</v>
      </c>
      <c r="L645" s="12" t="s">
        <v>82</v>
      </c>
      <c r="M645">
        <v>10.210000000000001</v>
      </c>
      <c r="N645" s="12" t="s">
        <v>159</v>
      </c>
      <c r="O645" s="12" t="s">
        <v>160</v>
      </c>
      <c r="P645" s="12" t="s">
        <v>137</v>
      </c>
      <c r="Q645" s="13">
        <v>45100</v>
      </c>
      <c r="R645" s="13">
        <v>45144</v>
      </c>
      <c r="S645">
        <v>2023</v>
      </c>
      <c r="T645" s="12" t="s">
        <v>1147</v>
      </c>
      <c r="U645">
        <v>84</v>
      </c>
      <c r="V645">
        <v>277.71210000000002</v>
      </c>
      <c r="W645">
        <v>193.92</v>
      </c>
      <c r="X645">
        <v>0</v>
      </c>
      <c r="Y645">
        <v>0</v>
      </c>
      <c r="Z645">
        <v>23327.82</v>
      </c>
      <c r="AA645">
        <v>23521.74</v>
      </c>
      <c r="AB645" s="12" t="s">
        <v>708</v>
      </c>
      <c r="AC645">
        <v>277.71210000000002</v>
      </c>
      <c r="AD645">
        <v>1</v>
      </c>
      <c r="AE645">
        <v>1</v>
      </c>
      <c r="AF645">
        <v>0</v>
      </c>
      <c r="AG645">
        <v>23327.82</v>
      </c>
      <c r="AH645">
        <v>84</v>
      </c>
      <c r="AI645">
        <v>83</v>
      </c>
      <c r="AJ645">
        <v>1</v>
      </c>
      <c r="AK645">
        <v>1</v>
      </c>
      <c r="AL645">
        <v>1</v>
      </c>
      <c r="AM645">
        <v>98.81</v>
      </c>
      <c r="AN645">
        <v>283.39440000000002</v>
      </c>
      <c r="AO645">
        <v>277.70999999999998</v>
      </c>
      <c r="AP645" s="13">
        <v>45144</v>
      </c>
      <c r="AQ645">
        <v>0</v>
      </c>
      <c r="AR645">
        <v>1</v>
      </c>
    </row>
    <row r="646" spans="1:44" x14ac:dyDescent="0.35">
      <c r="A646" s="12" t="s">
        <v>1296</v>
      </c>
      <c r="B646" s="12" t="s">
        <v>990</v>
      </c>
      <c r="C646" s="12" t="s">
        <v>991</v>
      </c>
      <c r="D646" s="12" t="s">
        <v>122</v>
      </c>
      <c r="E646" s="12" t="s">
        <v>142</v>
      </c>
      <c r="F646">
        <v>1</v>
      </c>
      <c r="G646">
        <v>6</v>
      </c>
      <c r="H646">
        <v>1</v>
      </c>
      <c r="I646" s="12" t="s">
        <v>217</v>
      </c>
      <c r="J646" s="12" t="s">
        <v>218</v>
      </c>
      <c r="K646" s="12" t="s">
        <v>68</v>
      </c>
      <c r="L646" s="12" t="s">
        <v>82</v>
      </c>
      <c r="M646">
        <v>14.24</v>
      </c>
      <c r="N646" s="12" t="s">
        <v>97</v>
      </c>
      <c r="O646" s="12" t="s">
        <v>98</v>
      </c>
      <c r="P646" s="12" t="s">
        <v>72</v>
      </c>
      <c r="Q646" s="13">
        <v>45100</v>
      </c>
      <c r="R646" s="13">
        <v>45147</v>
      </c>
      <c r="S646">
        <v>2023</v>
      </c>
      <c r="T646" s="12" t="s">
        <v>1147</v>
      </c>
      <c r="U646">
        <v>1433</v>
      </c>
      <c r="V646">
        <v>33.697499999999998</v>
      </c>
      <c r="W646">
        <v>402.8</v>
      </c>
      <c r="X646">
        <v>0</v>
      </c>
      <c r="Y646">
        <v>0</v>
      </c>
      <c r="Z646">
        <v>48288.52</v>
      </c>
      <c r="AA646">
        <v>48691.32</v>
      </c>
      <c r="AB646" s="12" t="s">
        <v>992</v>
      </c>
      <c r="AC646">
        <v>33.697499999999998</v>
      </c>
      <c r="AD646">
        <v>1</v>
      </c>
      <c r="AE646">
        <v>1</v>
      </c>
      <c r="AF646">
        <v>0</v>
      </c>
      <c r="AG646">
        <v>48288.52</v>
      </c>
      <c r="AH646">
        <v>1433</v>
      </c>
      <c r="AI646">
        <v>1422</v>
      </c>
      <c r="AJ646">
        <v>11</v>
      </c>
      <c r="AK646">
        <v>1</v>
      </c>
      <c r="AL646">
        <v>1</v>
      </c>
      <c r="AM646">
        <v>99.23</v>
      </c>
      <c r="AN646">
        <v>34.241399999999999</v>
      </c>
      <c r="AO646">
        <v>370.67</v>
      </c>
      <c r="AP646" s="13">
        <v>45145</v>
      </c>
      <c r="AQ646">
        <v>-2</v>
      </c>
      <c r="AR646">
        <v>1</v>
      </c>
    </row>
    <row r="647" spans="1:44" x14ac:dyDescent="0.35">
      <c r="A647" s="12" t="s">
        <v>1297</v>
      </c>
      <c r="B647" s="12" t="s">
        <v>855</v>
      </c>
      <c r="C647" s="12" t="s">
        <v>856</v>
      </c>
      <c r="D647" s="12" t="s">
        <v>269</v>
      </c>
      <c r="E647" s="12" t="s">
        <v>65</v>
      </c>
      <c r="F647">
        <v>3</v>
      </c>
      <c r="G647">
        <v>5</v>
      </c>
      <c r="H647">
        <v>0</v>
      </c>
      <c r="I647" s="12" t="s">
        <v>94</v>
      </c>
      <c r="J647" s="12" t="s">
        <v>95</v>
      </c>
      <c r="K647" s="12" t="s">
        <v>81</v>
      </c>
      <c r="L647" s="12" t="s">
        <v>96</v>
      </c>
      <c r="M647">
        <v>4.8099999999999996</v>
      </c>
      <c r="N647" s="12" t="s">
        <v>159</v>
      </c>
      <c r="O647" s="12" t="s">
        <v>160</v>
      </c>
      <c r="P647" s="12" t="s">
        <v>137</v>
      </c>
      <c r="Q647" s="13">
        <v>45100</v>
      </c>
      <c r="R647" s="13">
        <v>45136</v>
      </c>
      <c r="S647">
        <v>2023</v>
      </c>
      <c r="T647" s="12" t="s">
        <v>1147</v>
      </c>
      <c r="U647">
        <v>134</v>
      </c>
      <c r="V647">
        <v>493.6902</v>
      </c>
      <c r="W647">
        <v>778.51</v>
      </c>
      <c r="X647">
        <v>0</v>
      </c>
      <c r="Y647">
        <v>0</v>
      </c>
      <c r="Z647">
        <v>66154.490000000005</v>
      </c>
      <c r="AA647">
        <v>66933</v>
      </c>
      <c r="AB647" s="12" t="s">
        <v>857</v>
      </c>
      <c r="AC647">
        <v>493.6902</v>
      </c>
      <c r="AD647">
        <v>1</v>
      </c>
      <c r="AE647">
        <v>1</v>
      </c>
      <c r="AF647">
        <v>0</v>
      </c>
      <c r="AG647">
        <v>66154.490000000005</v>
      </c>
      <c r="AH647">
        <v>134</v>
      </c>
      <c r="AI647">
        <v>133</v>
      </c>
      <c r="AJ647">
        <v>1</v>
      </c>
      <c r="AK647">
        <v>1</v>
      </c>
      <c r="AL647">
        <v>1</v>
      </c>
      <c r="AM647">
        <v>99.25</v>
      </c>
      <c r="AN647">
        <v>503.25560000000002</v>
      </c>
      <c r="AO647">
        <v>493.69</v>
      </c>
      <c r="AP647" s="13">
        <v>45134</v>
      </c>
      <c r="AQ647">
        <v>-2</v>
      </c>
      <c r="AR647">
        <v>1</v>
      </c>
    </row>
    <row r="648" spans="1:44" x14ac:dyDescent="0.35">
      <c r="A648" s="12" t="s">
        <v>1298</v>
      </c>
      <c r="B648" s="12" t="s">
        <v>532</v>
      </c>
      <c r="C648" s="12" t="s">
        <v>533</v>
      </c>
      <c r="D648" s="12" t="s">
        <v>114</v>
      </c>
      <c r="E648" s="12" t="s">
        <v>65</v>
      </c>
      <c r="F648">
        <v>2</v>
      </c>
      <c r="G648">
        <v>3</v>
      </c>
      <c r="H648">
        <v>0</v>
      </c>
      <c r="I648" s="12" t="s">
        <v>115</v>
      </c>
      <c r="J648" s="12" t="s">
        <v>116</v>
      </c>
      <c r="K648" s="12" t="s">
        <v>117</v>
      </c>
      <c r="L648" s="12" t="s">
        <v>82</v>
      </c>
      <c r="M648">
        <v>17.170000000000002</v>
      </c>
      <c r="N648" s="12" t="s">
        <v>97</v>
      </c>
      <c r="O648" s="12" t="s">
        <v>98</v>
      </c>
      <c r="P648" s="12" t="s">
        <v>72</v>
      </c>
      <c r="Q648" s="13">
        <v>45100</v>
      </c>
      <c r="R648" s="13">
        <v>45135</v>
      </c>
      <c r="S648">
        <v>2023</v>
      </c>
      <c r="T648" s="12" t="s">
        <v>1147</v>
      </c>
      <c r="U648">
        <v>121</v>
      </c>
      <c r="V648">
        <v>250.00970000000001</v>
      </c>
      <c r="W648">
        <v>244.79</v>
      </c>
      <c r="X648">
        <v>0</v>
      </c>
      <c r="Y648">
        <v>0</v>
      </c>
      <c r="Z648">
        <v>30251.17</v>
      </c>
      <c r="AA648">
        <v>30495.96</v>
      </c>
      <c r="AB648" s="12" t="s">
        <v>859</v>
      </c>
      <c r="AC648">
        <v>250.00970000000001</v>
      </c>
      <c r="AD648">
        <v>1</v>
      </c>
      <c r="AE648">
        <v>1</v>
      </c>
      <c r="AF648">
        <v>0</v>
      </c>
      <c r="AG648">
        <v>30251.17</v>
      </c>
      <c r="AH648">
        <v>121</v>
      </c>
      <c r="AI648">
        <v>120</v>
      </c>
      <c r="AJ648">
        <v>1</v>
      </c>
      <c r="AK648">
        <v>1</v>
      </c>
      <c r="AL648">
        <v>1</v>
      </c>
      <c r="AM648">
        <v>99.17</v>
      </c>
      <c r="AN648">
        <v>254.13300000000001</v>
      </c>
      <c r="AO648">
        <v>250.01</v>
      </c>
      <c r="AP648" s="13">
        <v>45134</v>
      </c>
      <c r="AQ648">
        <v>-1</v>
      </c>
      <c r="AR648">
        <v>1</v>
      </c>
    </row>
    <row r="649" spans="1:44" x14ac:dyDescent="0.35">
      <c r="A649" s="12" t="s">
        <v>1299</v>
      </c>
      <c r="B649" s="12" t="s">
        <v>670</v>
      </c>
      <c r="C649" s="12" t="s">
        <v>671</v>
      </c>
      <c r="D649" s="12" t="s">
        <v>175</v>
      </c>
      <c r="E649" s="12" t="s">
        <v>142</v>
      </c>
      <c r="F649">
        <v>2</v>
      </c>
      <c r="G649">
        <v>9</v>
      </c>
      <c r="H649">
        <v>0</v>
      </c>
      <c r="I649" s="12" t="s">
        <v>105</v>
      </c>
      <c r="J649" s="12" t="s">
        <v>106</v>
      </c>
      <c r="K649" s="12" t="s">
        <v>81</v>
      </c>
      <c r="L649" s="12" t="s">
        <v>96</v>
      </c>
      <c r="M649">
        <v>5.01</v>
      </c>
      <c r="N649" s="12" t="s">
        <v>107</v>
      </c>
      <c r="O649" s="12" t="s">
        <v>108</v>
      </c>
      <c r="P649" s="12" t="s">
        <v>109</v>
      </c>
      <c r="Q649" s="13">
        <v>45100</v>
      </c>
      <c r="R649" s="13">
        <v>45152</v>
      </c>
      <c r="S649">
        <v>2023</v>
      </c>
      <c r="T649" s="12" t="s">
        <v>1147</v>
      </c>
      <c r="U649">
        <v>142</v>
      </c>
      <c r="V649">
        <v>151.31620000000001</v>
      </c>
      <c r="W649">
        <v>496.87</v>
      </c>
      <c r="X649">
        <v>0</v>
      </c>
      <c r="Y649">
        <v>0</v>
      </c>
      <c r="Z649">
        <v>21486.9</v>
      </c>
      <c r="AA649">
        <v>21983.77</v>
      </c>
      <c r="AB649" s="12" t="s">
        <v>1203</v>
      </c>
      <c r="AC649">
        <v>151.31620000000001</v>
      </c>
      <c r="AD649">
        <v>1</v>
      </c>
      <c r="AE649">
        <v>1</v>
      </c>
      <c r="AF649">
        <v>0</v>
      </c>
      <c r="AG649">
        <v>21486.9</v>
      </c>
      <c r="AH649">
        <v>142</v>
      </c>
      <c r="AI649">
        <v>140</v>
      </c>
      <c r="AJ649">
        <v>2</v>
      </c>
      <c r="AK649">
        <v>1</v>
      </c>
      <c r="AL649">
        <v>1</v>
      </c>
      <c r="AM649">
        <v>98.59</v>
      </c>
      <c r="AN649">
        <v>157.02690000000001</v>
      </c>
      <c r="AO649">
        <v>302.63</v>
      </c>
      <c r="AP649" s="13">
        <v>45156</v>
      </c>
      <c r="AQ649">
        <v>4</v>
      </c>
      <c r="AR649">
        <v>0</v>
      </c>
    </row>
    <row r="650" spans="1:44" x14ac:dyDescent="0.35">
      <c r="A650" s="12" t="s">
        <v>1300</v>
      </c>
      <c r="B650" s="12" t="s">
        <v>972</v>
      </c>
      <c r="C650" s="12" t="s">
        <v>973</v>
      </c>
      <c r="D650" s="12" t="s">
        <v>130</v>
      </c>
      <c r="E650" s="12" t="s">
        <v>142</v>
      </c>
      <c r="F650">
        <v>2</v>
      </c>
      <c r="G650">
        <v>9</v>
      </c>
      <c r="H650">
        <v>0</v>
      </c>
      <c r="I650" s="12" t="s">
        <v>66</v>
      </c>
      <c r="J650" s="12" t="s">
        <v>67</v>
      </c>
      <c r="K650" s="12" t="s">
        <v>68</v>
      </c>
      <c r="L650" s="12" t="s">
        <v>69</v>
      </c>
      <c r="M650">
        <v>17.66</v>
      </c>
      <c r="N650" s="12" t="s">
        <v>159</v>
      </c>
      <c r="O650" s="12" t="s">
        <v>160</v>
      </c>
      <c r="P650" s="12" t="s">
        <v>137</v>
      </c>
      <c r="Q650" s="13">
        <v>45100</v>
      </c>
      <c r="R650" s="13">
        <v>45144</v>
      </c>
      <c r="S650">
        <v>2023</v>
      </c>
      <c r="T650" s="12" t="s">
        <v>1147</v>
      </c>
      <c r="U650">
        <v>82</v>
      </c>
      <c r="V650">
        <v>878.68280000000004</v>
      </c>
      <c r="W650">
        <v>686.77</v>
      </c>
      <c r="X650">
        <v>0</v>
      </c>
      <c r="Y650">
        <v>0</v>
      </c>
      <c r="Z650">
        <v>72051.990000000005</v>
      </c>
      <c r="AA650">
        <v>72738.759999999995</v>
      </c>
      <c r="AB650" s="12" t="s">
        <v>1283</v>
      </c>
      <c r="AC650">
        <v>842.69190000000003</v>
      </c>
      <c r="AD650">
        <v>1</v>
      </c>
      <c r="AE650">
        <v>1</v>
      </c>
      <c r="AF650">
        <v>2951.25</v>
      </c>
      <c r="AG650">
        <v>69100.740000000005</v>
      </c>
      <c r="AH650">
        <v>82</v>
      </c>
      <c r="AI650">
        <v>81</v>
      </c>
      <c r="AJ650">
        <v>1</v>
      </c>
      <c r="AK650">
        <v>1</v>
      </c>
      <c r="AL650">
        <v>1</v>
      </c>
      <c r="AM650">
        <v>98.78</v>
      </c>
      <c r="AN650">
        <v>898.00940000000003</v>
      </c>
      <c r="AO650">
        <v>878.68</v>
      </c>
      <c r="AP650" s="13">
        <v>45143</v>
      </c>
      <c r="AQ650">
        <v>-1</v>
      </c>
      <c r="AR650">
        <v>1</v>
      </c>
    </row>
    <row r="651" spans="1:44" x14ac:dyDescent="0.35">
      <c r="A651" s="12" t="s">
        <v>1301</v>
      </c>
      <c r="B651" s="12" t="s">
        <v>561</v>
      </c>
      <c r="C651" s="12" t="s">
        <v>562</v>
      </c>
      <c r="D651" s="12" t="s">
        <v>130</v>
      </c>
      <c r="E651" s="12" t="s">
        <v>142</v>
      </c>
      <c r="F651">
        <v>1</v>
      </c>
      <c r="G651">
        <v>9</v>
      </c>
      <c r="H651">
        <v>1</v>
      </c>
      <c r="I651" s="12" t="s">
        <v>223</v>
      </c>
      <c r="J651" s="12" t="s">
        <v>224</v>
      </c>
      <c r="K651" s="12" t="s">
        <v>81</v>
      </c>
      <c r="L651" s="12" t="s">
        <v>134</v>
      </c>
      <c r="M651">
        <v>2.4900000000000002</v>
      </c>
      <c r="N651" s="12" t="s">
        <v>159</v>
      </c>
      <c r="O651" s="12" t="s">
        <v>160</v>
      </c>
      <c r="P651" s="12" t="s">
        <v>137</v>
      </c>
      <c r="Q651" s="13">
        <v>45100</v>
      </c>
      <c r="R651" s="13">
        <v>45139</v>
      </c>
      <c r="S651">
        <v>2023</v>
      </c>
      <c r="T651" s="12" t="s">
        <v>1147</v>
      </c>
      <c r="U651">
        <v>41</v>
      </c>
      <c r="V651">
        <v>603.56020000000001</v>
      </c>
      <c r="W651">
        <v>171.61</v>
      </c>
      <c r="X651">
        <v>0</v>
      </c>
      <c r="Y651">
        <v>0</v>
      </c>
      <c r="Z651">
        <v>24745.97</v>
      </c>
      <c r="AA651">
        <v>24917.58</v>
      </c>
      <c r="AB651" s="12" t="s">
        <v>563</v>
      </c>
      <c r="AC651">
        <v>603.56020000000001</v>
      </c>
      <c r="AD651">
        <v>1</v>
      </c>
      <c r="AE651">
        <v>1</v>
      </c>
      <c r="AF651">
        <v>0</v>
      </c>
      <c r="AG651">
        <v>24745.97</v>
      </c>
      <c r="AH651">
        <v>41</v>
      </c>
      <c r="AI651">
        <v>41</v>
      </c>
      <c r="AJ651">
        <v>0</v>
      </c>
      <c r="AK651">
        <v>1</v>
      </c>
      <c r="AL651">
        <v>1</v>
      </c>
      <c r="AM651">
        <v>100</v>
      </c>
      <c r="AN651">
        <v>607.74580000000003</v>
      </c>
      <c r="AO651">
        <v>0</v>
      </c>
      <c r="AP651" s="13">
        <v>45136</v>
      </c>
      <c r="AQ651">
        <v>-3</v>
      </c>
      <c r="AR651">
        <v>1</v>
      </c>
    </row>
    <row r="652" spans="1:44" x14ac:dyDescent="0.35">
      <c r="A652" s="12" t="s">
        <v>1302</v>
      </c>
      <c r="B652" s="12" t="s">
        <v>548</v>
      </c>
      <c r="C652" s="12" t="s">
        <v>549</v>
      </c>
      <c r="D652" s="12" t="s">
        <v>78</v>
      </c>
      <c r="E652" s="12" t="s">
        <v>104</v>
      </c>
      <c r="F652">
        <v>3</v>
      </c>
      <c r="G652">
        <v>1</v>
      </c>
      <c r="H652">
        <v>0</v>
      </c>
      <c r="I652" s="12" t="s">
        <v>223</v>
      </c>
      <c r="J652" s="12" t="s">
        <v>224</v>
      </c>
      <c r="K652" s="12" t="s">
        <v>81</v>
      </c>
      <c r="L652" s="12" t="s">
        <v>134</v>
      </c>
      <c r="M652">
        <v>2.4900000000000002</v>
      </c>
      <c r="N652" s="12" t="s">
        <v>70</v>
      </c>
      <c r="O652" s="12" t="s">
        <v>71</v>
      </c>
      <c r="P652" s="12" t="s">
        <v>72</v>
      </c>
      <c r="Q652" s="13">
        <v>45103</v>
      </c>
      <c r="R652" s="13">
        <v>45121</v>
      </c>
      <c r="S652">
        <v>2023</v>
      </c>
      <c r="T652" s="12" t="s">
        <v>1147</v>
      </c>
      <c r="U652">
        <v>131</v>
      </c>
      <c r="V652">
        <v>62.471600000000002</v>
      </c>
      <c r="W652">
        <v>209.33</v>
      </c>
      <c r="X652">
        <v>0</v>
      </c>
      <c r="Y652">
        <v>0</v>
      </c>
      <c r="Z652">
        <v>8183.78</v>
      </c>
      <c r="AA652">
        <v>8393.11</v>
      </c>
      <c r="AB652" s="12" t="s">
        <v>550</v>
      </c>
      <c r="AC652">
        <v>62.471600000000002</v>
      </c>
      <c r="AD652">
        <v>1</v>
      </c>
      <c r="AE652">
        <v>1</v>
      </c>
      <c r="AF652">
        <v>0</v>
      </c>
      <c r="AG652">
        <v>8183.78</v>
      </c>
      <c r="AH652">
        <v>131</v>
      </c>
      <c r="AI652">
        <v>128</v>
      </c>
      <c r="AJ652">
        <v>3</v>
      </c>
      <c r="AK652">
        <v>1</v>
      </c>
      <c r="AL652">
        <v>1</v>
      </c>
      <c r="AM652">
        <v>97.71</v>
      </c>
      <c r="AN652">
        <v>65.571200000000005</v>
      </c>
      <c r="AO652">
        <v>187.41</v>
      </c>
      <c r="AP652" s="13">
        <v>45121</v>
      </c>
      <c r="AQ652">
        <v>0</v>
      </c>
      <c r="AR652">
        <v>1</v>
      </c>
    </row>
    <row r="653" spans="1:44" x14ac:dyDescent="0.35">
      <c r="A653" s="12" t="s">
        <v>1303</v>
      </c>
      <c r="B653" s="12" t="s">
        <v>843</v>
      </c>
      <c r="C653" s="12" t="s">
        <v>844</v>
      </c>
      <c r="D653" s="12" t="s">
        <v>175</v>
      </c>
      <c r="E653" s="12" t="s">
        <v>65</v>
      </c>
      <c r="F653">
        <v>3</v>
      </c>
      <c r="G653">
        <v>5</v>
      </c>
      <c r="H653">
        <v>0</v>
      </c>
      <c r="I653" s="12" t="s">
        <v>359</v>
      </c>
      <c r="J653" s="12" t="s">
        <v>360</v>
      </c>
      <c r="K653" s="12" t="s">
        <v>133</v>
      </c>
      <c r="L653" s="12" t="s">
        <v>82</v>
      </c>
      <c r="M653">
        <v>12.65</v>
      </c>
      <c r="N653" s="12" t="s">
        <v>145</v>
      </c>
      <c r="O653" s="12" t="s">
        <v>146</v>
      </c>
      <c r="P653" s="12" t="s">
        <v>109</v>
      </c>
      <c r="Q653" s="13">
        <v>45103</v>
      </c>
      <c r="R653" s="13">
        <v>45128</v>
      </c>
      <c r="S653">
        <v>2023</v>
      </c>
      <c r="T653" s="12" t="s">
        <v>1147</v>
      </c>
      <c r="U653">
        <v>44</v>
      </c>
      <c r="V653">
        <v>267.03480000000002</v>
      </c>
      <c r="W653">
        <v>205.37</v>
      </c>
      <c r="X653">
        <v>0</v>
      </c>
      <c r="Y653">
        <v>0</v>
      </c>
      <c r="Z653">
        <v>11749.53</v>
      </c>
      <c r="AA653">
        <v>11954.9</v>
      </c>
      <c r="AB653" s="12" t="s">
        <v>845</v>
      </c>
      <c r="AC653">
        <v>267.03480000000002</v>
      </c>
      <c r="AD653">
        <v>1</v>
      </c>
      <c r="AE653">
        <v>1</v>
      </c>
      <c r="AF653">
        <v>0</v>
      </c>
      <c r="AG653">
        <v>11749.53</v>
      </c>
      <c r="AH653">
        <v>44</v>
      </c>
      <c r="AI653">
        <v>44</v>
      </c>
      <c r="AJ653">
        <v>0</v>
      </c>
      <c r="AK653">
        <v>1</v>
      </c>
      <c r="AL653">
        <v>1</v>
      </c>
      <c r="AM653">
        <v>100</v>
      </c>
      <c r="AN653">
        <v>271.70229999999998</v>
      </c>
      <c r="AO653">
        <v>0</v>
      </c>
      <c r="AP653" s="13">
        <v>45131</v>
      </c>
      <c r="AQ653">
        <v>3</v>
      </c>
      <c r="AR653">
        <v>0</v>
      </c>
    </row>
    <row r="654" spans="1:44" x14ac:dyDescent="0.35">
      <c r="A654" s="12" t="s">
        <v>1304</v>
      </c>
      <c r="B654" s="12" t="s">
        <v>613</v>
      </c>
      <c r="C654" s="12" t="s">
        <v>614</v>
      </c>
      <c r="D654" s="12" t="s">
        <v>130</v>
      </c>
      <c r="E654" s="12" t="s">
        <v>104</v>
      </c>
      <c r="F654">
        <v>3</v>
      </c>
      <c r="G654">
        <v>1</v>
      </c>
      <c r="H654">
        <v>0</v>
      </c>
      <c r="I654" s="12" t="s">
        <v>66</v>
      </c>
      <c r="J654" s="12" t="s">
        <v>67</v>
      </c>
      <c r="K654" s="12" t="s">
        <v>68</v>
      </c>
      <c r="L654" s="12" t="s">
        <v>69</v>
      </c>
      <c r="M654">
        <v>17.66</v>
      </c>
      <c r="N654" s="12" t="s">
        <v>159</v>
      </c>
      <c r="O654" s="12" t="s">
        <v>160</v>
      </c>
      <c r="P654" s="12" t="s">
        <v>137</v>
      </c>
      <c r="Q654" s="13">
        <v>45103</v>
      </c>
      <c r="R654" s="13">
        <v>45127</v>
      </c>
      <c r="S654">
        <v>2023</v>
      </c>
      <c r="T654" s="12" t="s">
        <v>1147</v>
      </c>
      <c r="U654">
        <v>104</v>
      </c>
      <c r="V654">
        <v>195.35140000000001</v>
      </c>
      <c r="W654">
        <v>254.25</v>
      </c>
      <c r="X654">
        <v>0</v>
      </c>
      <c r="Y654">
        <v>0</v>
      </c>
      <c r="Z654">
        <v>20316.55</v>
      </c>
      <c r="AA654">
        <v>20570.8</v>
      </c>
      <c r="AB654" s="12" t="s">
        <v>615</v>
      </c>
      <c r="AC654">
        <v>195.35140000000001</v>
      </c>
      <c r="AD654">
        <v>1</v>
      </c>
      <c r="AE654">
        <v>1</v>
      </c>
      <c r="AF654">
        <v>0</v>
      </c>
      <c r="AG654">
        <v>20316.55</v>
      </c>
      <c r="AH654">
        <v>104</v>
      </c>
      <c r="AI654">
        <v>103</v>
      </c>
      <c r="AJ654">
        <v>1</v>
      </c>
      <c r="AK654">
        <v>1</v>
      </c>
      <c r="AL654">
        <v>1</v>
      </c>
      <c r="AM654">
        <v>99.04</v>
      </c>
      <c r="AN654">
        <v>199.7165</v>
      </c>
      <c r="AO654">
        <v>195.35</v>
      </c>
      <c r="AP654" s="13">
        <v>45127</v>
      </c>
      <c r="AQ654">
        <v>0</v>
      </c>
      <c r="AR654">
        <v>1</v>
      </c>
    </row>
    <row r="655" spans="1:44" x14ac:dyDescent="0.35">
      <c r="A655" s="12" t="s">
        <v>1305</v>
      </c>
      <c r="B655" s="12" t="s">
        <v>617</v>
      </c>
      <c r="C655" s="12" t="s">
        <v>618</v>
      </c>
      <c r="D655" s="12" t="s">
        <v>78</v>
      </c>
      <c r="E655" s="12" t="s">
        <v>65</v>
      </c>
      <c r="F655">
        <v>2</v>
      </c>
      <c r="G655">
        <v>4</v>
      </c>
      <c r="H655">
        <v>0</v>
      </c>
      <c r="I655" s="12" t="s">
        <v>341</v>
      </c>
      <c r="J655" s="12" t="s">
        <v>342</v>
      </c>
      <c r="K655" s="12" t="s">
        <v>117</v>
      </c>
      <c r="L655" s="12" t="s">
        <v>82</v>
      </c>
      <c r="M655">
        <v>18.36</v>
      </c>
      <c r="N655" s="12" t="s">
        <v>97</v>
      </c>
      <c r="O655" s="12" t="s">
        <v>98</v>
      </c>
      <c r="P655" s="12" t="s">
        <v>72</v>
      </c>
      <c r="Q655" s="13">
        <v>45103</v>
      </c>
      <c r="R655" s="13">
        <v>45131</v>
      </c>
      <c r="S655">
        <v>2023</v>
      </c>
      <c r="T655" s="12" t="s">
        <v>1147</v>
      </c>
      <c r="U655">
        <v>149</v>
      </c>
      <c r="V655">
        <v>108.2711</v>
      </c>
      <c r="W655">
        <v>188.69</v>
      </c>
      <c r="X655">
        <v>0</v>
      </c>
      <c r="Y655">
        <v>0</v>
      </c>
      <c r="Z655">
        <v>16132.39</v>
      </c>
      <c r="AA655">
        <v>16321.08</v>
      </c>
      <c r="AB655" s="12" t="s">
        <v>619</v>
      </c>
      <c r="AC655">
        <v>108.2711</v>
      </c>
      <c r="AD655">
        <v>1</v>
      </c>
      <c r="AE655">
        <v>1</v>
      </c>
      <c r="AF655">
        <v>0</v>
      </c>
      <c r="AG655">
        <v>16132.39</v>
      </c>
      <c r="AH655">
        <v>149</v>
      </c>
      <c r="AI655">
        <v>145</v>
      </c>
      <c r="AJ655">
        <v>4</v>
      </c>
      <c r="AK655">
        <v>1</v>
      </c>
      <c r="AL655">
        <v>1</v>
      </c>
      <c r="AM655">
        <v>97.32</v>
      </c>
      <c r="AN655">
        <v>112.5592</v>
      </c>
      <c r="AO655">
        <v>433.08</v>
      </c>
      <c r="AP655" s="13">
        <v>45136</v>
      </c>
      <c r="AQ655">
        <v>5</v>
      </c>
      <c r="AR655">
        <v>0</v>
      </c>
    </row>
    <row r="656" spans="1:44" x14ac:dyDescent="0.35">
      <c r="A656" s="12" t="s">
        <v>1306</v>
      </c>
      <c r="B656" s="12" t="s">
        <v>167</v>
      </c>
      <c r="C656" s="12" t="s">
        <v>168</v>
      </c>
      <c r="D656" s="12" t="s">
        <v>64</v>
      </c>
      <c r="E656" s="12" t="s">
        <v>104</v>
      </c>
      <c r="F656">
        <v>3</v>
      </c>
      <c r="G656">
        <v>1</v>
      </c>
      <c r="H656">
        <v>0</v>
      </c>
      <c r="I656" s="12" t="s">
        <v>195</v>
      </c>
      <c r="J656" s="12" t="s">
        <v>196</v>
      </c>
      <c r="K656" s="12" t="s">
        <v>117</v>
      </c>
      <c r="L656" s="12" t="s">
        <v>134</v>
      </c>
      <c r="M656">
        <v>4.7699999999999996</v>
      </c>
      <c r="N656" s="12" t="s">
        <v>97</v>
      </c>
      <c r="O656" s="12" t="s">
        <v>98</v>
      </c>
      <c r="P656" s="12" t="s">
        <v>72</v>
      </c>
      <c r="Q656" s="13">
        <v>45103</v>
      </c>
      <c r="R656" s="13">
        <v>45118</v>
      </c>
      <c r="S656">
        <v>2023</v>
      </c>
      <c r="T656" s="12" t="s">
        <v>1147</v>
      </c>
      <c r="U656">
        <v>274</v>
      </c>
      <c r="V656">
        <v>31.158100000000001</v>
      </c>
      <c r="W656">
        <v>70.28</v>
      </c>
      <c r="X656">
        <v>0</v>
      </c>
      <c r="Y656">
        <v>0</v>
      </c>
      <c r="Z656">
        <v>8537.32</v>
      </c>
      <c r="AA656">
        <v>8607.6</v>
      </c>
      <c r="AB656" s="12" t="s">
        <v>201</v>
      </c>
      <c r="AD656">
        <v>0</v>
      </c>
      <c r="AE656">
        <v>0</v>
      </c>
      <c r="AH656">
        <v>274</v>
      </c>
      <c r="AI656">
        <v>270</v>
      </c>
      <c r="AJ656">
        <v>4</v>
      </c>
      <c r="AK656">
        <v>1</v>
      </c>
      <c r="AL656">
        <v>1</v>
      </c>
      <c r="AM656">
        <v>98.54</v>
      </c>
      <c r="AN656">
        <v>31.88</v>
      </c>
      <c r="AO656">
        <v>124.63</v>
      </c>
      <c r="AP656" s="13">
        <v>45117</v>
      </c>
      <c r="AQ656">
        <v>-1</v>
      </c>
      <c r="AR656">
        <v>1</v>
      </c>
    </row>
    <row r="657" spans="1:44" x14ac:dyDescent="0.35">
      <c r="A657" s="12" t="s">
        <v>1307</v>
      </c>
      <c r="B657" s="12" t="s">
        <v>773</v>
      </c>
      <c r="C657" s="12" t="s">
        <v>774</v>
      </c>
      <c r="D657" s="12" t="s">
        <v>64</v>
      </c>
      <c r="E657" s="12" t="s">
        <v>142</v>
      </c>
      <c r="F657">
        <v>1</v>
      </c>
      <c r="G657">
        <v>7</v>
      </c>
      <c r="H657">
        <v>1</v>
      </c>
      <c r="I657" s="12" t="s">
        <v>251</v>
      </c>
      <c r="J657" s="12" t="s">
        <v>252</v>
      </c>
      <c r="K657" s="12" t="s">
        <v>133</v>
      </c>
      <c r="L657" s="12" t="s">
        <v>69</v>
      </c>
      <c r="M657">
        <v>34.49</v>
      </c>
      <c r="N657" s="12" t="s">
        <v>97</v>
      </c>
      <c r="O657" s="12" t="s">
        <v>98</v>
      </c>
      <c r="P657" s="12" t="s">
        <v>72</v>
      </c>
      <c r="Q657" s="13">
        <v>45103</v>
      </c>
      <c r="R657" s="13">
        <v>45147</v>
      </c>
      <c r="S657">
        <v>2023</v>
      </c>
      <c r="T657" s="12" t="s">
        <v>1147</v>
      </c>
      <c r="U657">
        <v>599</v>
      </c>
      <c r="V657">
        <v>10.0604</v>
      </c>
      <c r="W657">
        <v>51.88</v>
      </c>
      <c r="X657">
        <v>0</v>
      </c>
      <c r="Y657">
        <v>0</v>
      </c>
      <c r="Z657">
        <v>6026.18</v>
      </c>
      <c r="AA657">
        <v>6078.06</v>
      </c>
      <c r="AB657" s="12" t="s">
        <v>775</v>
      </c>
      <c r="AC657">
        <v>10.0604</v>
      </c>
      <c r="AD657">
        <v>1</v>
      </c>
      <c r="AE657">
        <v>1</v>
      </c>
      <c r="AF657">
        <v>0</v>
      </c>
      <c r="AG657">
        <v>6026.18</v>
      </c>
      <c r="AH657">
        <v>599</v>
      </c>
      <c r="AI657">
        <v>593</v>
      </c>
      <c r="AJ657">
        <v>6</v>
      </c>
      <c r="AK657">
        <v>1</v>
      </c>
      <c r="AL657">
        <v>1</v>
      </c>
      <c r="AM657">
        <v>99</v>
      </c>
      <c r="AN657">
        <v>10.249700000000001</v>
      </c>
      <c r="AO657">
        <v>60.36</v>
      </c>
      <c r="AP657" s="13">
        <v>45144</v>
      </c>
      <c r="AQ657">
        <v>-3</v>
      </c>
      <c r="AR657">
        <v>1</v>
      </c>
    </row>
    <row r="658" spans="1:44" x14ac:dyDescent="0.35">
      <c r="A658" s="12" t="s">
        <v>1308</v>
      </c>
      <c r="B658" s="12" t="s">
        <v>302</v>
      </c>
      <c r="C658" s="12" t="s">
        <v>303</v>
      </c>
      <c r="D658" s="12" t="s">
        <v>78</v>
      </c>
      <c r="E658" s="12" t="s">
        <v>65</v>
      </c>
      <c r="F658">
        <v>2</v>
      </c>
      <c r="G658">
        <v>3</v>
      </c>
      <c r="H658">
        <v>0</v>
      </c>
      <c r="I658" s="12" t="s">
        <v>243</v>
      </c>
      <c r="J658" s="12" t="s">
        <v>244</v>
      </c>
      <c r="K658" s="12" t="s">
        <v>81</v>
      </c>
      <c r="L658" s="12" t="s">
        <v>82</v>
      </c>
      <c r="M658">
        <v>9.2200000000000006</v>
      </c>
      <c r="N658" s="12" t="s">
        <v>97</v>
      </c>
      <c r="O658" s="12" t="s">
        <v>98</v>
      </c>
      <c r="P658" s="12" t="s">
        <v>72</v>
      </c>
      <c r="Q658" s="13">
        <v>45103</v>
      </c>
      <c r="R658" s="13">
        <v>45126</v>
      </c>
      <c r="S658">
        <v>2023</v>
      </c>
      <c r="T658" s="12" t="s">
        <v>1147</v>
      </c>
      <c r="U658">
        <v>73</v>
      </c>
      <c r="V658">
        <v>144.41300000000001</v>
      </c>
      <c r="W658">
        <v>217.59</v>
      </c>
      <c r="X658">
        <v>0</v>
      </c>
      <c r="Y658">
        <v>0</v>
      </c>
      <c r="Z658">
        <v>10542.15</v>
      </c>
      <c r="AA658">
        <v>10759.74</v>
      </c>
      <c r="AB658" s="12" t="s">
        <v>304</v>
      </c>
      <c r="AC658">
        <v>144.41300000000001</v>
      </c>
      <c r="AD658">
        <v>1</v>
      </c>
      <c r="AE658">
        <v>1</v>
      </c>
      <c r="AF658">
        <v>0</v>
      </c>
      <c r="AG658">
        <v>10542.15</v>
      </c>
      <c r="AH658">
        <v>73</v>
      </c>
      <c r="AI658">
        <v>72</v>
      </c>
      <c r="AJ658">
        <v>1</v>
      </c>
      <c r="AK658">
        <v>1</v>
      </c>
      <c r="AL658">
        <v>1</v>
      </c>
      <c r="AM658">
        <v>98.63</v>
      </c>
      <c r="AN658">
        <v>149.4408</v>
      </c>
      <c r="AO658">
        <v>144.41</v>
      </c>
      <c r="AP658" s="13">
        <v>45125</v>
      </c>
      <c r="AQ658">
        <v>-1</v>
      </c>
      <c r="AR658">
        <v>1</v>
      </c>
    </row>
    <row r="659" spans="1:44" x14ac:dyDescent="0.35">
      <c r="A659" s="12" t="s">
        <v>1309</v>
      </c>
      <c r="B659" s="12" t="s">
        <v>458</v>
      </c>
      <c r="C659" s="12" t="s">
        <v>459</v>
      </c>
      <c r="D659" s="12" t="s">
        <v>64</v>
      </c>
      <c r="E659" s="12" t="s">
        <v>104</v>
      </c>
      <c r="F659">
        <v>2</v>
      </c>
      <c r="G659">
        <v>0</v>
      </c>
      <c r="H659">
        <v>0</v>
      </c>
      <c r="I659" s="12" t="s">
        <v>143</v>
      </c>
      <c r="J659" s="12" t="s">
        <v>144</v>
      </c>
      <c r="K659" s="12" t="s">
        <v>133</v>
      </c>
      <c r="L659" s="12" t="s">
        <v>96</v>
      </c>
      <c r="M659">
        <v>5.43</v>
      </c>
      <c r="N659" s="12" t="s">
        <v>97</v>
      </c>
      <c r="O659" s="12" t="s">
        <v>98</v>
      </c>
      <c r="P659" s="12" t="s">
        <v>72</v>
      </c>
      <c r="Q659" s="13">
        <v>45103</v>
      </c>
      <c r="R659" s="13">
        <v>45131</v>
      </c>
      <c r="S659">
        <v>2023</v>
      </c>
      <c r="T659" s="12" t="s">
        <v>1147</v>
      </c>
      <c r="U659">
        <v>902</v>
      </c>
      <c r="V659">
        <v>24.782299999999999</v>
      </c>
      <c r="W659">
        <v>528.58000000000004</v>
      </c>
      <c r="X659">
        <v>0</v>
      </c>
      <c r="Y659">
        <v>0</v>
      </c>
      <c r="Z659">
        <v>22353.63</v>
      </c>
      <c r="AA659">
        <v>22882.21</v>
      </c>
      <c r="AB659" s="12" t="s">
        <v>480</v>
      </c>
      <c r="AC659">
        <v>24.782299999999999</v>
      </c>
      <c r="AD659">
        <v>1</v>
      </c>
      <c r="AE659">
        <v>1</v>
      </c>
      <c r="AF659">
        <v>0</v>
      </c>
      <c r="AG659">
        <v>22353.63</v>
      </c>
      <c r="AH659">
        <v>902</v>
      </c>
      <c r="AI659">
        <v>900</v>
      </c>
      <c r="AJ659">
        <v>2</v>
      </c>
      <c r="AK659">
        <v>1</v>
      </c>
      <c r="AL659">
        <v>1</v>
      </c>
      <c r="AM659">
        <v>99.78</v>
      </c>
      <c r="AN659">
        <v>25.424700000000001</v>
      </c>
      <c r="AO659">
        <v>49.56</v>
      </c>
      <c r="AP659" s="13">
        <v>45129</v>
      </c>
      <c r="AQ659">
        <v>-2</v>
      </c>
      <c r="AR659">
        <v>1</v>
      </c>
    </row>
    <row r="660" spans="1:44" x14ac:dyDescent="0.35">
      <c r="A660" s="12" t="s">
        <v>1310</v>
      </c>
      <c r="B660" s="12" t="s">
        <v>787</v>
      </c>
      <c r="C660" s="12" t="s">
        <v>788</v>
      </c>
      <c r="D660" s="12" t="s">
        <v>269</v>
      </c>
      <c r="E660" s="12" t="s">
        <v>65</v>
      </c>
      <c r="F660">
        <v>2</v>
      </c>
      <c r="G660">
        <v>3</v>
      </c>
      <c r="H660">
        <v>0</v>
      </c>
      <c r="I660" s="12" t="s">
        <v>143</v>
      </c>
      <c r="J660" s="12" t="s">
        <v>144</v>
      </c>
      <c r="K660" s="12" t="s">
        <v>133</v>
      </c>
      <c r="L660" s="12" t="s">
        <v>96</v>
      </c>
      <c r="M660">
        <v>5.43</v>
      </c>
      <c r="N660" s="12" t="s">
        <v>159</v>
      </c>
      <c r="O660" s="12" t="s">
        <v>160</v>
      </c>
      <c r="P660" s="12" t="s">
        <v>137</v>
      </c>
      <c r="Q660" s="13">
        <v>45103</v>
      </c>
      <c r="R660" s="13">
        <v>45136</v>
      </c>
      <c r="S660">
        <v>2023</v>
      </c>
      <c r="T660" s="12" t="s">
        <v>1147</v>
      </c>
      <c r="U660">
        <v>108</v>
      </c>
      <c r="V660">
        <v>354.36430000000001</v>
      </c>
      <c r="W660">
        <v>330.14</v>
      </c>
      <c r="X660">
        <v>0</v>
      </c>
      <c r="Y660">
        <v>0</v>
      </c>
      <c r="Z660">
        <v>38271.339999999997</v>
      </c>
      <c r="AA660">
        <v>38601.480000000003</v>
      </c>
      <c r="AB660" s="12" t="s">
        <v>789</v>
      </c>
      <c r="AC660">
        <v>354.36430000000001</v>
      </c>
      <c r="AD660">
        <v>1</v>
      </c>
      <c r="AE660">
        <v>1</v>
      </c>
      <c r="AF660">
        <v>0</v>
      </c>
      <c r="AG660">
        <v>38271.339999999997</v>
      </c>
      <c r="AH660">
        <v>108</v>
      </c>
      <c r="AI660">
        <v>106</v>
      </c>
      <c r="AJ660">
        <v>2</v>
      </c>
      <c r="AK660">
        <v>1</v>
      </c>
      <c r="AL660">
        <v>1</v>
      </c>
      <c r="AM660">
        <v>98.15</v>
      </c>
      <c r="AN660">
        <v>364.16489999999999</v>
      </c>
      <c r="AO660">
        <v>708.73</v>
      </c>
      <c r="AP660" s="13">
        <v>45134</v>
      </c>
      <c r="AQ660">
        <v>-2</v>
      </c>
      <c r="AR660">
        <v>1</v>
      </c>
    </row>
    <row r="661" spans="1:44" x14ac:dyDescent="0.35">
      <c r="A661" s="12" t="s">
        <v>1311</v>
      </c>
      <c r="B661" s="12" t="s">
        <v>494</v>
      </c>
      <c r="C661" s="12" t="s">
        <v>495</v>
      </c>
      <c r="D661" s="12" t="s">
        <v>175</v>
      </c>
      <c r="E661" s="12" t="s">
        <v>65</v>
      </c>
      <c r="F661">
        <v>2</v>
      </c>
      <c r="G661">
        <v>3</v>
      </c>
      <c r="H661">
        <v>0</v>
      </c>
      <c r="I661" s="12" t="s">
        <v>515</v>
      </c>
      <c r="J661" s="12" t="s">
        <v>516</v>
      </c>
      <c r="K661" s="12" t="s">
        <v>68</v>
      </c>
      <c r="L661" s="12" t="s">
        <v>134</v>
      </c>
      <c r="M661">
        <v>3.69</v>
      </c>
      <c r="N661" s="12" t="s">
        <v>145</v>
      </c>
      <c r="O661" s="12" t="s">
        <v>146</v>
      </c>
      <c r="P661" s="12" t="s">
        <v>109</v>
      </c>
      <c r="Q661" s="13">
        <v>45103</v>
      </c>
      <c r="R661" s="13">
        <v>45127</v>
      </c>
      <c r="S661">
        <v>2023</v>
      </c>
      <c r="T661" s="12" t="s">
        <v>1147</v>
      </c>
      <c r="U661">
        <v>34</v>
      </c>
      <c r="V661">
        <v>161.94200000000001</v>
      </c>
      <c r="W661">
        <v>123.09</v>
      </c>
      <c r="X661">
        <v>0</v>
      </c>
      <c r="Y661">
        <v>0</v>
      </c>
      <c r="Z661">
        <v>5506.03</v>
      </c>
      <c r="AA661">
        <v>5629.12</v>
      </c>
      <c r="AB661" s="12" t="s">
        <v>982</v>
      </c>
      <c r="AC661">
        <v>161.94200000000001</v>
      </c>
      <c r="AD661">
        <v>1</v>
      </c>
      <c r="AE661">
        <v>1</v>
      </c>
      <c r="AF661">
        <v>0</v>
      </c>
      <c r="AG661">
        <v>5506.03</v>
      </c>
      <c r="AH661">
        <v>34</v>
      </c>
      <c r="AI661">
        <v>34</v>
      </c>
      <c r="AJ661">
        <v>0</v>
      </c>
      <c r="AK661">
        <v>1</v>
      </c>
      <c r="AL661">
        <v>1</v>
      </c>
      <c r="AM661">
        <v>100</v>
      </c>
      <c r="AN661">
        <v>165.56229999999999</v>
      </c>
      <c r="AO661">
        <v>0</v>
      </c>
      <c r="AP661" s="13">
        <v>45127</v>
      </c>
      <c r="AQ661">
        <v>0</v>
      </c>
      <c r="AR661">
        <v>1</v>
      </c>
    </row>
    <row r="662" spans="1:44" x14ac:dyDescent="0.35">
      <c r="A662" s="12" t="s">
        <v>1312</v>
      </c>
      <c r="B662" s="12" t="s">
        <v>395</v>
      </c>
      <c r="C662" s="12" t="s">
        <v>396</v>
      </c>
      <c r="D662" s="12" t="s">
        <v>130</v>
      </c>
      <c r="E662" s="12" t="s">
        <v>104</v>
      </c>
      <c r="F662">
        <v>3</v>
      </c>
      <c r="G662">
        <v>1</v>
      </c>
      <c r="H662">
        <v>0</v>
      </c>
      <c r="I662" s="12" t="s">
        <v>804</v>
      </c>
      <c r="J662" s="12" t="s">
        <v>342</v>
      </c>
      <c r="K662" s="12" t="s">
        <v>117</v>
      </c>
      <c r="L662" s="12" t="s">
        <v>69</v>
      </c>
      <c r="M662">
        <v>30.07</v>
      </c>
      <c r="N662" s="12" t="s">
        <v>159</v>
      </c>
      <c r="O662" s="12" t="s">
        <v>160</v>
      </c>
      <c r="P662" s="12" t="s">
        <v>137</v>
      </c>
      <c r="Q662" s="13">
        <v>45104</v>
      </c>
      <c r="R662" s="13">
        <v>45124</v>
      </c>
      <c r="S662">
        <v>2023</v>
      </c>
      <c r="T662" s="12" t="s">
        <v>1147</v>
      </c>
      <c r="U662">
        <v>78</v>
      </c>
      <c r="V662">
        <v>190.43799999999999</v>
      </c>
      <c r="W662">
        <v>144.87</v>
      </c>
      <c r="X662">
        <v>0</v>
      </c>
      <c r="Y662">
        <v>0</v>
      </c>
      <c r="Z662">
        <v>14854.16</v>
      </c>
      <c r="AA662">
        <v>14999.03</v>
      </c>
      <c r="AB662" s="12" t="s">
        <v>907</v>
      </c>
      <c r="AC662">
        <v>190.43799999999999</v>
      </c>
      <c r="AD662">
        <v>1</v>
      </c>
      <c r="AE662">
        <v>1</v>
      </c>
      <c r="AF662">
        <v>0</v>
      </c>
      <c r="AG662">
        <v>14854.16</v>
      </c>
      <c r="AH662">
        <v>78</v>
      </c>
      <c r="AI662">
        <v>77</v>
      </c>
      <c r="AJ662">
        <v>1</v>
      </c>
      <c r="AK662">
        <v>1</v>
      </c>
      <c r="AL662">
        <v>1</v>
      </c>
      <c r="AM662">
        <v>98.72</v>
      </c>
      <c r="AN662">
        <v>194.79259999999999</v>
      </c>
      <c r="AO662">
        <v>190.44</v>
      </c>
      <c r="AP662" s="13">
        <v>45122</v>
      </c>
      <c r="AQ662">
        <v>-2</v>
      </c>
      <c r="AR662">
        <v>1</v>
      </c>
    </row>
    <row r="663" spans="1:44" x14ac:dyDescent="0.35">
      <c r="A663" s="12" t="s">
        <v>1313</v>
      </c>
      <c r="B663" s="12" t="s">
        <v>408</v>
      </c>
      <c r="C663" s="12" t="s">
        <v>409</v>
      </c>
      <c r="D663" s="12" t="s">
        <v>130</v>
      </c>
      <c r="E663" s="12" t="s">
        <v>65</v>
      </c>
      <c r="F663">
        <v>3</v>
      </c>
      <c r="G663">
        <v>5</v>
      </c>
      <c r="H663">
        <v>0</v>
      </c>
      <c r="I663" s="12" t="s">
        <v>105</v>
      </c>
      <c r="J663" s="12" t="s">
        <v>106</v>
      </c>
      <c r="K663" s="12" t="s">
        <v>81</v>
      </c>
      <c r="L663" s="12" t="s">
        <v>96</v>
      </c>
      <c r="M663">
        <v>5.01</v>
      </c>
      <c r="N663" s="12" t="s">
        <v>159</v>
      </c>
      <c r="O663" s="12" t="s">
        <v>160</v>
      </c>
      <c r="P663" s="12" t="s">
        <v>137</v>
      </c>
      <c r="Q663" s="13">
        <v>45104</v>
      </c>
      <c r="R663" s="13">
        <v>45134</v>
      </c>
      <c r="S663">
        <v>2023</v>
      </c>
      <c r="T663" s="12" t="s">
        <v>1147</v>
      </c>
      <c r="U663">
        <v>83</v>
      </c>
      <c r="V663">
        <v>770.47230000000002</v>
      </c>
      <c r="W663">
        <v>1604.18</v>
      </c>
      <c r="X663">
        <v>0</v>
      </c>
      <c r="Y663">
        <v>0</v>
      </c>
      <c r="Z663">
        <v>63949.2</v>
      </c>
      <c r="AA663">
        <v>65553.38</v>
      </c>
      <c r="AB663" s="12" t="s">
        <v>410</v>
      </c>
      <c r="AC663">
        <v>770.47230000000002</v>
      </c>
      <c r="AD663">
        <v>1</v>
      </c>
      <c r="AE663">
        <v>1</v>
      </c>
      <c r="AF663">
        <v>0</v>
      </c>
      <c r="AG663">
        <v>63949.2</v>
      </c>
      <c r="AH663">
        <v>83</v>
      </c>
      <c r="AI663">
        <v>82</v>
      </c>
      <c r="AJ663">
        <v>1</v>
      </c>
      <c r="AK663">
        <v>1</v>
      </c>
      <c r="AL663">
        <v>1</v>
      </c>
      <c r="AM663">
        <v>98.8</v>
      </c>
      <c r="AN663">
        <v>799.43150000000003</v>
      </c>
      <c r="AO663">
        <v>770.47</v>
      </c>
      <c r="AP663" s="13">
        <v>45131</v>
      </c>
      <c r="AQ663">
        <v>-3</v>
      </c>
      <c r="AR663">
        <v>1</v>
      </c>
    </row>
    <row r="664" spans="1:44" x14ac:dyDescent="0.35">
      <c r="A664" s="12" t="s">
        <v>1314</v>
      </c>
      <c r="B664" s="12" t="s">
        <v>555</v>
      </c>
      <c r="C664" s="12" t="s">
        <v>556</v>
      </c>
      <c r="D664" s="12" t="s">
        <v>114</v>
      </c>
      <c r="E664" s="12" t="s">
        <v>142</v>
      </c>
      <c r="F664">
        <v>1</v>
      </c>
      <c r="G664">
        <v>6</v>
      </c>
      <c r="H664">
        <v>1</v>
      </c>
      <c r="I664" s="12" t="s">
        <v>151</v>
      </c>
      <c r="J664" s="12" t="s">
        <v>152</v>
      </c>
      <c r="K664" s="12" t="s">
        <v>125</v>
      </c>
      <c r="L664" s="12" t="s">
        <v>69</v>
      </c>
      <c r="M664">
        <v>36.479999999999997</v>
      </c>
      <c r="N664" s="12" t="s">
        <v>70</v>
      </c>
      <c r="O664" s="12" t="s">
        <v>71</v>
      </c>
      <c r="P664" s="12" t="s">
        <v>72</v>
      </c>
      <c r="Q664" s="13">
        <v>45104</v>
      </c>
      <c r="R664" s="13">
        <v>45151</v>
      </c>
      <c r="S664">
        <v>2023</v>
      </c>
      <c r="T664" s="12" t="s">
        <v>1147</v>
      </c>
      <c r="U664">
        <v>108</v>
      </c>
      <c r="V664">
        <v>290.42770000000002</v>
      </c>
      <c r="W664">
        <v>280.12</v>
      </c>
      <c r="X664">
        <v>0</v>
      </c>
      <c r="Y664">
        <v>0</v>
      </c>
      <c r="Z664">
        <v>31366.19</v>
      </c>
      <c r="AA664">
        <v>31646.31</v>
      </c>
      <c r="AB664" s="12" t="s">
        <v>557</v>
      </c>
      <c r="AC664">
        <v>290.42770000000002</v>
      </c>
      <c r="AD664">
        <v>1</v>
      </c>
      <c r="AE664">
        <v>1</v>
      </c>
      <c r="AF664">
        <v>0</v>
      </c>
      <c r="AG664">
        <v>31366.19</v>
      </c>
      <c r="AH664">
        <v>108</v>
      </c>
      <c r="AI664">
        <v>106</v>
      </c>
      <c r="AJ664">
        <v>2</v>
      </c>
      <c r="AK664">
        <v>1</v>
      </c>
      <c r="AL664">
        <v>1</v>
      </c>
      <c r="AM664">
        <v>98.15</v>
      </c>
      <c r="AN664">
        <v>298.55009999999999</v>
      </c>
      <c r="AO664">
        <v>580.86</v>
      </c>
      <c r="AP664" s="13">
        <v>45151</v>
      </c>
      <c r="AQ664">
        <v>0</v>
      </c>
      <c r="AR664">
        <v>1</v>
      </c>
    </row>
    <row r="665" spans="1:44" x14ac:dyDescent="0.35">
      <c r="A665" s="12" t="s">
        <v>1315</v>
      </c>
      <c r="B665" s="12" t="s">
        <v>1075</v>
      </c>
      <c r="C665" s="12" t="s">
        <v>1076</v>
      </c>
      <c r="D665" s="12" t="s">
        <v>103</v>
      </c>
      <c r="E665" s="12" t="s">
        <v>65</v>
      </c>
      <c r="F665">
        <v>2</v>
      </c>
      <c r="G665">
        <v>4</v>
      </c>
      <c r="H665">
        <v>0</v>
      </c>
      <c r="I665" s="12" t="s">
        <v>183</v>
      </c>
      <c r="J665" s="12" t="s">
        <v>184</v>
      </c>
      <c r="K665" s="12" t="s">
        <v>133</v>
      </c>
      <c r="L665" s="12" t="s">
        <v>82</v>
      </c>
      <c r="M665">
        <v>8.6199999999999992</v>
      </c>
      <c r="N665" s="12" t="s">
        <v>107</v>
      </c>
      <c r="O665" s="12" t="s">
        <v>108</v>
      </c>
      <c r="P665" s="12" t="s">
        <v>109</v>
      </c>
      <c r="Q665" s="13">
        <v>45104</v>
      </c>
      <c r="R665" s="13">
        <v>45131</v>
      </c>
      <c r="S665">
        <v>2023</v>
      </c>
      <c r="T665" s="12" t="s">
        <v>1147</v>
      </c>
      <c r="U665">
        <v>63</v>
      </c>
      <c r="V665">
        <v>68.470200000000006</v>
      </c>
      <c r="W665">
        <v>67.319999999999993</v>
      </c>
      <c r="X665">
        <v>0</v>
      </c>
      <c r="Y665">
        <v>0</v>
      </c>
      <c r="Z665">
        <v>4313.62</v>
      </c>
      <c r="AA665">
        <v>4380.9399999999996</v>
      </c>
      <c r="AB665" s="12" t="s">
        <v>1163</v>
      </c>
      <c r="AC665">
        <v>68.470200000000006</v>
      </c>
      <c r="AD665">
        <v>1</v>
      </c>
      <c r="AE665">
        <v>1</v>
      </c>
      <c r="AF665">
        <v>0</v>
      </c>
      <c r="AG665">
        <v>4313.62</v>
      </c>
      <c r="AH665">
        <v>63</v>
      </c>
      <c r="AI665">
        <v>63</v>
      </c>
      <c r="AJ665">
        <v>0</v>
      </c>
      <c r="AK665">
        <v>1</v>
      </c>
      <c r="AL665">
        <v>1</v>
      </c>
      <c r="AM665">
        <v>100</v>
      </c>
      <c r="AN665">
        <v>69.538799999999995</v>
      </c>
      <c r="AO665">
        <v>0</v>
      </c>
      <c r="AP665" s="13">
        <v>45129</v>
      </c>
      <c r="AQ665">
        <v>-2</v>
      </c>
      <c r="AR665">
        <v>1</v>
      </c>
    </row>
    <row r="666" spans="1:44" x14ac:dyDescent="0.35">
      <c r="A666" s="12" t="s">
        <v>1316</v>
      </c>
      <c r="B666" s="12" t="s">
        <v>267</v>
      </c>
      <c r="C666" s="12" t="s">
        <v>268</v>
      </c>
      <c r="D666" s="12" t="s">
        <v>269</v>
      </c>
      <c r="E666" s="12" t="s">
        <v>142</v>
      </c>
      <c r="F666">
        <v>1</v>
      </c>
      <c r="G666">
        <v>8</v>
      </c>
      <c r="H666">
        <v>1</v>
      </c>
      <c r="I666" s="12" t="s">
        <v>94</v>
      </c>
      <c r="J666" s="12" t="s">
        <v>95</v>
      </c>
      <c r="K666" s="12" t="s">
        <v>81</v>
      </c>
      <c r="L666" s="12" t="s">
        <v>96</v>
      </c>
      <c r="M666">
        <v>4.8099999999999996</v>
      </c>
      <c r="N666" s="12" t="s">
        <v>159</v>
      </c>
      <c r="O666" s="12" t="s">
        <v>160</v>
      </c>
      <c r="P666" s="12" t="s">
        <v>137</v>
      </c>
      <c r="Q666" s="13">
        <v>45104</v>
      </c>
      <c r="R666" s="13">
        <v>45148</v>
      </c>
      <c r="S666">
        <v>2023</v>
      </c>
      <c r="T666" s="12" t="s">
        <v>1147</v>
      </c>
      <c r="U666">
        <v>83</v>
      </c>
      <c r="V666">
        <v>247.31829999999999</v>
      </c>
      <c r="W666">
        <v>496.83</v>
      </c>
      <c r="X666">
        <v>0</v>
      </c>
      <c r="Y666">
        <v>0</v>
      </c>
      <c r="Z666">
        <v>20527.419999999998</v>
      </c>
      <c r="AA666">
        <v>21024.25</v>
      </c>
      <c r="AB666" s="12" t="s">
        <v>270</v>
      </c>
      <c r="AC666">
        <v>247.31829999999999</v>
      </c>
      <c r="AD666">
        <v>1</v>
      </c>
      <c r="AE666">
        <v>1</v>
      </c>
      <c r="AF666">
        <v>0</v>
      </c>
      <c r="AG666">
        <v>20527.419999999998</v>
      </c>
      <c r="AH666">
        <v>83</v>
      </c>
      <c r="AI666">
        <v>82</v>
      </c>
      <c r="AJ666">
        <v>1</v>
      </c>
      <c r="AK666">
        <v>1</v>
      </c>
      <c r="AL666">
        <v>1</v>
      </c>
      <c r="AM666">
        <v>98.8</v>
      </c>
      <c r="AN666">
        <v>256.39330000000001</v>
      </c>
      <c r="AO666">
        <v>247.32</v>
      </c>
      <c r="AP666" s="13">
        <v>45152</v>
      </c>
      <c r="AQ666">
        <v>4</v>
      </c>
      <c r="AR666">
        <v>0</v>
      </c>
    </row>
    <row r="667" spans="1:44" x14ac:dyDescent="0.35">
      <c r="A667" s="12" t="s">
        <v>1317</v>
      </c>
      <c r="B667" s="12" t="s">
        <v>602</v>
      </c>
      <c r="C667" s="12" t="s">
        <v>603</v>
      </c>
      <c r="D667" s="12" t="s">
        <v>114</v>
      </c>
      <c r="E667" s="12" t="s">
        <v>142</v>
      </c>
      <c r="F667">
        <v>2</v>
      </c>
      <c r="G667">
        <v>10</v>
      </c>
      <c r="H667">
        <v>0</v>
      </c>
      <c r="I667" s="12" t="s">
        <v>263</v>
      </c>
      <c r="J667" s="12" t="s">
        <v>264</v>
      </c>
      <c r="K667" s="12" t="s">
        <v>125</v>
      </c>
      <c r="L667" s="12" t="s">
        <v>82</v>
      </c>
      <c r="M667">
        <v>10.210000000000001</v>
      </c>
      <c r="N667" s="12" t="s">
        <v>70</v>
      </c>
      <c r="O667" s="12" t="s">
        <v>71</v>
      </c>
      <c r="P667" s="12" t="s">
        <v>72</v>
      </c>
      <c r="Q667" s="13">
        <v>45104</v>
      </c>
      <c r="R667" s="13">
        <v>45142</v>
      </c>
      <c r="S667">
        <v>2023</v>
      </c>
      <c r="T667" s="12" t="s">
        <v>1147</v>
      </c>
      <c r="U667">
        <v>37</v>
      </c>
      <c r="V667">
        <v>213.4624</v>
      </c>
      <c r="W667">
        <v>58.68</v>
      </c>
      <c r="X667">
        <v>0</v>
      </c>
      <c r="Y667">
        <v>0</v>
      </c>
      <c r="Z667">
        <v>7898.11</v>
      </c>
      <c r="AA667">
        <v>7956.79</v>
      </c>
      <c r="AB667" s="12" t="s">
        <v>691</v>
      </c>
      <c r="AC667">
        <v>213.4624</v>
      </c>
      <c r="AD667">
        <v>1</v>
      </c>
      <c r="AE667">
        <v>1</v>
      </c>
      <c r="AF667">
        <v>0</v>
      </c>
      <c r="AG667">
        <v>7898.11</v>
      </c>
      <c r="AH667">
        <v>37</v>
      </c>
      <c r="AI667">
        <v>36</v>
      </c>
      <c r="AJ667">
        <v>1</v>
      </c>
      <c r="AK667">
        <v>1</v>
      </c>
      <c r="AL667">
        <v>1</v>
      </c>
      <c r="AM667">
        <v>97.3</v>
      </c>
      <c r="AN667">
        <v>221.02189999999999</v>
      </c>
      <c r="AO667">
        <v>213.46</v>
      </c>
      <c r="AP667" s="13">
        <v>45141</v>
      </c>
      <c r="AQ667">
        <v>-1</v>
      </c>
      <c r="AR667">
        <v>1</v>
      </c>
    </row>
    <row r="668" spans="1:44" x14ac:dyDescent="0.35">
      <c r="A668" s="12" t="s">
        <v>1318</v>
      </c>
      <c r="B668" s="12" t="s">
        <v>565</v>
      </c>
      <c r="C668" s="12" t="s">
        <v>566</v>
      </c>
      <c r="D668" s="12" t="s">
        <v>122</v>
      </c>
      <c r="E668" s="12" t="s">
        <v>104</v>
      </c>
      <c r="F668">
        <v>3</v>
      </c>
      <c r="G668">
        <v>1</v>
      </c>
      <c r="H668">
        <v>0</v>
      </c>
      <c r="I668" s="12" t="s">
        <v>87</v>
      </c>
      <c r="J668" s="12" t="s">
        <v>88</v>
      </c>
      <c r="K668" s="12" t="s">
        <v>89</v>
      </c>
      <c r="L668" s="12" t="s">
        <v>69</v>
      </c>
      <c r="M668">
        <v>14.93</v>
      </c>
      <c r="N668" s="12" t="s">
        <v>70</v>
      </c>
      <c r="O668" s="12" t="s">
        <v>71</v>
      </c>
      <c r="P668" s="12" t="s">
        <v>72</v>
      </c>
      <c r="Q668" s="13">
        <v>45105</v>
      </c>
      <c r="R668" s="13">
        <v>45128</v>
      </c>
      <c r="S668">
        <v>2023</v>
      </c>
      <c r="T668" s="12" t="s">
        <v>1147</v>
      </c>
      <c r="U668">
        <v>1368</v>
      </c>
      <c r="V668">
        <v>36.2883</v>
      </c>
      <c r="W668">
        <v>1278.22</v>
      </c>
      <c r="X668">
        <v>0</v>
      </c>
      <c r="Y668">
        <v>0</v>
      </c>
      <c r="Z668">
        <v>49642.39</v>
      </c>
      <c r="AA668">
        <v>50920.61</v>
      </c>
      <c r="AB668" s="12" t="s">
        <v>567</v>
      </c>
      <c r="AC668">
        <v>36.2883</v>
      </c>
      <c r="AD668">
        <v>1</v>
      </c>
      <c r="AE668">
        <v>1</v>
      </c>
      <c r="AF668">
        <v>0</v>
      </c>
      <c r="AG668">
        <v>49642.39</v>
      </c>
      <c r="AH668">
        <v>1368</v>
      </c>
      <c r="AI668">
        <v>1353</v>
      </c>
      <c r="AJ668">
        <v>15</v>
      </c>
      <c r="AK668">
        <v>1</v>
      </c>
      <c r="AL668">
        <v>1</v>
      </c>
      <c r="AM668">
        <v>98.9</v>
      </c>
      <c r="AN668">
        <v>37.635300000000001</v>
      </c>
      <c r="AO668">
        <v>544.32000000000005</v>
      </c>
      <c r="AP668" s="13">
        <v>45125</v>
      </c>
      <c r="AQ668">
        <v>-3</v>
      </c>
      <c r="AR668">
        <v>1</v>
      </c>
    </row>
    <row r="669" spans="1:44" x14ac:dyDescent="0.35">
      <c r="A669" s="12" t="s">
        <v>1319</v>
      </c>
      <c r="B669" s="12" t="s">
        <v>350</v>
      </c>
      <c r="C669" s="12" t="s">
        <v>351</v>
      </c>
      <c r="D669" s="12" t="s">
        <v>64</v>
      </c>
      <c r="E669" s="12" t="s">
        <v>104</v>
      </c>
      <c r="F669">
        <v>3</v>
      </c>
      <c r="G669">
        <v>1</v>
      </c>
      <c r="H669">
        <v>0</v>
      </c>
      <c r="I669" s="12" t="s">
        <v>486</v>
      </c>
      <c r="J669" s="12" t="s">
        <v>487</v>
      </c>
      <c r="K669" s="12" t="s">
        <v>125</v>
      </c>
      <c r="L669" s="12" t="s">
        <v>69</v>
      </c>
      <c r="M669">
        <v>36.86</v>
      </c>
      <c r="N669" s="12" t="s">
        <v>70</v>
      </c>
      <c r="O669" s="12" t="s">
        <v>71</v>
      </c>
      <c r="P669" s="12" t="s">
        <v>72</v>
      </c>
      <c r="Q669" s="13">
        <v>45105</v>
      </c>
      <c r="R669" s="13">
        <v>45129</v>
      </c>
      <c r="S669">
        <v>2023</v>
      </c>
      <c r="T669" s="12" t="s">
        <v>1147</v>
      </c>
      <c r="U669">
        <v>727</v>
      </c>
      <c r="V669">
        <v>8.7273999999999994</v>
      </c>
      <c r="W669">
        <v>108.31</v>
      </c>
      <c r="X669">
        <v>0</v>
      </c>
      <c r="Y669">
        <v>0</v>
      </c>
      <c r="Z669">
        <v>6344.82</v>
      </c>
      <c r="AA669">
        <v>6453.13</v>
      </c>
      <c r="AB669" s="12" t="s">
        <v>488</v>
      </c>
      <c r="AC669">
        <v>8.7273999999999994</v>
      </c>
      <c r="AD669">
        <v>1</v>
      </c>
      <c r="AE669">
        <v>1</v>
      </c>
      <c r="AF669">
        <v>0</v>
      </c>
      <c r="AG669">
        <v>6344.82</v>
      </c>
      <c r="AH669">
        <v>727</v>
      </c>
      <c r="AI669">
        <v>720</v>
      </c>
      <c r="AJ669">
        <v>7</v>
      </c>
      <c r="AK669">
        <v>1</v>
      </c>
      <c r="AL669">
        <v>1</v>
      </c>
      <c r="AM669">
        <v>99.04</v>
      </c>
      <c r="AN669">
        <v>8.9626999999999999</v>
      </c>
      <c r="AO669">
        <v>61.09</v>
      </c>
      <c r="AP669" s="13">
        <v>45126</v>
      </c>
      <c r="AQ669">
        <v>-3</v>
      </c>
      <c r="AR669">
        <v>1</v>
      </c>
    </row>
    <row r="670" spans="1:44" x14ac:dyDescent="0.35">
      <c r="A670" s="12" t="s">
        <v>1320</v>
      </c>
      <c r="B670" s="12" t="s">
        <v>465</v>
      </c>
      <c r="C670" s="12" t="s">
        <v>466</v>
      </c>
      <c r="D670" s="12" t="s">
        <v>78</v>
      </c>
      <c r="E670" s="12" t="s">
        <v>142</v>
      </c>
      <c r="F670">
        <v>3</v>
      </c>
      <c r="G670">
        <v>11</v>
      </c>
      <c r="H670">
        <v>0</v>
      </c>
      <c r="I670" s="12" t="s">
        <v>195</v>
      </c>
      <c r="J670" s="12" t="s">
        <v>196</v>
      </c>
      <c r="K670" s="12" t="s">
        <v>117</v>
      </c>
      <c r="L670" s="12" t="s">
        <v>134</v>
      </c>
      <c r="M670">
        <v>4.7699999999999996</v>
      </c>
      <c r="N670" s="12" t="s">
        <v>70</v>
      </c>
      <c r="O670" s="12" t="s">
        <v>71</v>
      </c>
      <c r="P670" s="12" t="s">
        <v>72</v>
      </c>
      <c r="Q670" s="13">
        <v>45105</v>
      </c>
      <c r="R670" s="13">
        <v>45157</v>
      </c>
      <c r="S670">
        <v>2023</v>
      </c>
      <c r="T670" s="12" t="s">
        <v>1147</v>
      </c>
      <c r="U670">
        <v>292</v>
      </c>
      <c r="V670">
        <v>115.45659999999999</v>
      </c>
      <c r="W670">
        <v>286.41000000000003</v>
      </c>
      <c r="X670">
        <v>0</v>
      </c>
      <c r="Y670">
        <v>0</v>
      </c>
      <c r="Z670">
        <v>33713.33</v>
      </c>
      <c r="AA670">
        <v>33999.74</v>
      </c>
      <c r="AB670" s="12" t="s">
        <v>467</v>
      </c>
      <c r="AC670">
        <v>110.11579999999999</v>
      </c>
      <c r="AD670">
        <v>1</v>
      </c>
      <c r="AE670">
        <v>1</v>
      </c>
      <c r="AF670">
        <v>1559.51</v>
      </c>
      <c r="AG670">
        <v>32153.81</v>
      </c>
      <c r="AH670">
        <v>292</v>
      </c>
      <c r="AI670">
        <v>289</v>
      </c>
      <c r="AJ670">
        <v>3</v>
      </c>
      <c r="AK670">
        <v>1</v>
      </c>
      <c r="AL670">
        <v>1</v>
      </c>
      <c r="AM670">
        <v>98.97</v>
      </c>
      <c r="AN670">
        <v>117.6461</v>
      </c>
      <c r="AO670">
        <v>346.37</v>
      </c>
      <c r="AP670" s="13">
        <v>45161</v>
      </c>
      <c r="AQ670">
        <v>4</v>
      </c>
      <c r="AR670">
        <v>0</v>
      </c>
    </row>
    <row r="671" spans="1:44" x14ac:dyDescent="0.35">
      <c r="A671" s="12" t="s">
        <v>1321</v>
      </c>
      <c r="B671" s="12" t="s">
        <v>273</v>
      </c>
      <c r="C671" s="12" t="s">
        <v>274</v>
      </c>
      <c r="D671" s="12" t="s">
        <v>175</v>
      </c>
      <c r="E671" s="12" t="s">
        <v>104</v>
      </c>
      <c r="F671">
        <v>3</v>
      </c>
      <c r="G671">
        <v>1</v>
      </c>
      <c r="H671">
        <v>0</v>
      </c>
      <c r="I671" s="12" t="s">
        <v>275</v>
      </c>
      <c r="J671" s="12" t="s">
        <v>276</v>
      </c>
      <c r="K671" s="12" t="s">
        <v>89</v>
      </c>
      <c r="L671" s="12" t="s">
        <v>82</v>
      </c>
      <c r="M671">
        <v>14.26</v>
      </c>
      <c r="N671" s="12" t="s">
        <v>107</v>
      </c>
      <c r="O671" s="12" t="s">
        <v>108</v>
      </c>
      <c r="P671" s="12" t="s">
        <v>109</v>
      </c>
      <c r="Q671" s="13">
        <v>45105</v>
      </c>
      <c r="R671" s="13">
        <v>45133</v>
      </c>
      <c r="S671">
        <v>2023</v>
      </c>
      <c r="T671" s="12" t="s">
        <v>1147</v>
      </c>
      <c r="U671">
        <v>137</v>
      </c>
      <c r="V671">
        <v>118.5926</v>
      </c>
      <c r="W671">
        <v>363.17</v>
      </c>
      <c r="X671">
        <v>0</v>
      </c>
      <c r="Y671">
        <v>0</v>
      </c>
      <c r="Z671">
        <v>16247.19</v>
      </c>
      <c r="AA671">
        <v>16610.36</v>
      </c>
      <c r="AB671" s="12" t="s">
        <v>277</v>
      </c>
      <c r="AC671">
        <v>117.48480000000001</v>
      </c>
      <c r="AD671">
        <v>2</v>
      </c>
      <c r="AE671">
        <v>1</v>
      </c>
      <c r="AF671">
        <v>151.77000000000001</v>
      </c>
      <c r="AG671">
        <v>16095.42</v>
      </c>
      <c r="AH671">
        <v>137</v>
      </c>
      <c r="AI671">
        <v>136</v>
      </c>
      <c r="AJ671">
        <v>1</v>
      </c>
      <c r="AK671">
        <v>1</v>
      </c>
      <c r="AL671">
        <v>1</v>
      </c>
      <c r="AM671">
        <v>99.27</v>
      </c>
      <c r="AN671">
        <v>122.13500000000001</v>
      </c>
      <c r="AO671">
        <v>118.59</v>
      </c>
      <c r="AP671" s="13">
        <v>45131</v>
      </c>
      <c r="AQ671">
        <v>-2</v>
      </c>
      <c r="AR671">
        <v>1</v>
      </c>
    </row>
    <row r="672" spans="1:44" x14ac:dyDescent="0.35">
      <c r="A672" s="12" t="s">
        <v>1322</v>
      </c>
      <c r="B672" s="12" t="s">
        <v>732</v>
      </c>
      <c r="C672" s="12" t="s">
        <v>733</v>
      </c>
      <c r="D672" s="12" t="s">
        <v>114</v>
      </c>
      <c r="E672" s="12" t="s">
        <v>104</v>
      </c>
      <c r="F672">
        <v>3</v>
      </c>
      <c r="G672">
        <v>1</v>
      </c>
      <c r="H672">
        <v>0</v>
      </c>
      <c r="I672" s="12" t="s">
        <v>199</v>
      </c>
      <c r="J672" s="12" t="s">
        <v>200</v>
      </c>
      <c r="K672" s="12" t="s">
        <v>68</v>
      </c>
      <c r="L672" s="12" t="s">
        <v>96</v>
      </c>
      <c r="M672">
        <v>9.4700000000000006</v>
      </c>
      <c r="N672" s="12" t="s">
        <v>97</v>
      </c>
      <c r="O672" s="12" t="s">
        <v>98</v>
      </c>
      <c r="P672" s="12" t="s">
        <v>72</v>
      </c>
      <c r="Q672" s="13">
        <v>45105</v>
      </c>
      <c r="R672" s="13">
        <v>45133</v>
      </c>
      <c r="S672">
        <v>2023</v>
      </c>
      <c r="T672" s="12" t="s">
        <v>1147</v>
      </c>
      <c r="U672">
        <v>134</v>
      </c>
      <c r="V672">
        <v>314.15269999999998</v>
      </c>
      <c r="W672">
        <v>913.4</v>
      </c>
      <c r="X672">
        <v>0</v>
      </c>
      <c r="Y672">
        <v>0</v>
      </c>
      <c r="Z672">
        <v>42096.46</v>
      </c>
      <c r="AA672">
        <v>43009.86</v>
      </c>
      <c r="AB672" s="12" t="s">
        <v>734</v>
      </c>
      <c r="AC672">
        <v>314.15269999999998</v>
      </c>
      <c r="AD672">
        <v>1</v>
      </c>
      <c r="AE672">
        <v>1</v>
      </c>
      <c r="AF672">
        <v>0</v>
      </c>
      <c r="AG672">
        <v>42096.46</v>
      </c>
      <c r="AH672">
        <v>134</v>
      </c>
      <c r="AI672">
        <v>132</v>
      </c>
      <c r="AJ672">
        <v>2</v>
      </c>
      <c r="AK672">
        <v>1</v>
      </c>
      <c r="AL672">
        <v>1</v>
      </c>
      <c r="AM672">
        <v>98.51</v>
      </c>
      <c r="AN672">
        <v>325.83229999999998</v>
      </c>
      <c r="AO672">
        <v>628.30999999999995</v>
      </c>
      <c r="AP672" s="13">
        <v>45143</v>
      </c>
      <c r="AQ672">
        <v>10</v>
      </c>
      <c r="AR672">
        <v>0</v>
      </c>
    </row>
    <row r="673" spans="1:44" x14ac:dyDescent="0.35">
      <c r="A673" s="12" t="s">
        <v>1323</v>
      </c>
      <c r="B673" s="12" t="s">
        <v>362</v>
      </c>
      <c r="C673" s="12" t="s">
        <v>363</v>
      </c>
      <c r="D673" s="12" t="s">
        <v>78</v>
      </c>
      <c r="E673" s="12" t="s">
        <v>104</v>
      </c>
      <c r="F673">
        <v>3</v>
      </c>
      <c r="G673">
        <v>0</v>
      </c>
      <c r="H673">
        <v>0</v>
      </c>
      <c r="I673" s="12" t="s">
        <v>157</v>
      </c>
      <c r="J673" s="12" t="s">
        <v>158</v>
      </c>
      <c r="K673" s="12" t="s">
        <v>117</v>
      </c>
      <c r="L673" s="12" t="s">
        <v>96</v>
      </c>
      <c r="M673">
        <v>4.72</v>
      </c>
      <c r="N673" s="12" t="s">
        <v>70</v>
      </c>
      <c r="O673" s="12" t="s">
        <v>71</v>
      </c>
      <c r="P673" s="12" t="s">
        <v>72</v>
      </c>
      <c r="Q673" s="13">
        <v>45105</v>
      </c>
      <c r="R673" s="13">
        <v>45129</v>
      </c>
      <c r="S673">
        <v>2023</v>
      </c>
      <c r="T673" s="12" t="s">
        <v>1147</v>
      </c>
      <c r="U673">
        <v>222</v>
      </c>
      <c r="V673">
        <v>63.140599999999999</v>
      </c>
      <c r="W673">
        <v>267.93</v>
      </c>
      <c r="X673">
        <v>0</v>
      </c>
      <c r="Y673">
        <v>0</v>
      </c>
      <c r="Z673">
        <v>14017.21</v>
      </c>
      <c r="AA673">
        <v>14285.14</v>
      </c>
      <c r="AB673" s="12" t="s">
        <v>364</v>
      </c>
      <c r="AC673">
        <v>63.140599999999999</v>
      </c>
      <c r="AD673">
        <v>1</v>
      </c>
      <c r="AE673">
        <v>1</v>
      </c>
      <c r="AF673">
        <v>0</v>
      </c>
      <c r="AG673">
        <v>14017.21</v>
      </c>
      <c r="AH673">
        <v>222</v>
      </c>
      <c r="AI673">
        <v>221</v>
      </c>
      <c r="AJ673">
        <v>1</v>
      </c>
      <c r="AK673">
        <v>1</v>
      </c>
      <c r="AL673">
        <v>1</v>
      </c>
      <c r="AM673">
        <v>99.55</v>
      </c>
      <c r="AN673">
        <v>64.6387</v>
      </c>
      <c r="AO673">
        <v>63.14</v>
      </c>
      <c r="AP673" s="13">
        <v>45127</v>
      </c>
      <c r="AQ673">
        <v>-2</v>
      </c>
      <c r="AR673">
        <v>1</v>
      </c>
    </row>
    <row r="674" spans="1:44" x14ac:dyDescent="0.35">
      <c r="A674" s="12" t="s">
        <v>1324</v>
      </c>
      <c r="B674" s="12" t="s">
        <v>238</v>
      </c>
      <c r="C674" s="12" t="s">
        <v>239</v>
      </c>
      <c r="D674" s="12" t="s">
        <v>122</v>
      </c>
      <c r="E674" s="12" t="s">
        <v>65</v>
      </c>
      <c r="F674">
        <v>3</v>
      </c>
      <c r="G674">
        <v>4</v>
      </c>
      <c r="H674">
        <v>0</v>
      </c>
      <c r="I674" s="12" t="s">
        <v>79</v>
      </c>
      <c r="J674" s="12" t="s">
        <v>80</v>
      </c>
      <c r="K674" s="12" t="s">
        <v>81</v>
      </c>
      <c r="L674" s="12" t="s">
        <v>82</v>
      </c>
      <c r="M674">
        <v>12.07</v>
      </c>
      <c r="N674" s="12" t="s">
        <v>70</v>
      </c>
      <c r="O674" s="12" t="s">
        <v>71</v>
      </c>
      <c r="P674" s="12" t="s">
        <v>72</v>
      </c>
      <c r="Q674" s="13">
        <v>45105</v>
      </c>
      <c r="R674" s="13">
        <v>45138</v>
      </c>
      <c r="S674">
        <v>2023</v>
      </c>
      <c r="T674" s="12" t="s">
        <v>1147</v>
      </c>
      <c r="U674">
        <v>1483</v>
      </c>
      <c r="V674">
        <v>37.143599999999999</v>
      </c>
      <c r="W674">
        <v>345.63</v>
      </c>
      <c r="X674">
        <v>0</v>
      </c>
      <c r="Y674">
        <v>0</v>
      </c>
      <c r="Z674">
        <v>55083.96</v>
      </c>
      <c r="AA674">
        <v>55429.59</v>
      </c>
      <c r="AB674" s="12" t="s">
        <v>297</v>
      </c>
      <c r="AC674">
        <v>37.143599999999999</v>
      </c>
      <c r="AD674">
        <v>1</v>
      </c>
      <c r="AE674">
        <v>1</v>
      </c>
      <c r="AF674">
        <v>0</v>
      </c>
      <c r="AG674">
        <v>55083.96</v>
      </c>
      <c r="AH674">
        <v>1483</v>
      </c>
      <c r="AI674">
        <v>1469</v>
      </c>
      <c r="AJ674">
        <v>14</v>
      </c>
      <c r="AK674">
        <v>1</v>
      </c>
      <c r="AL674">
        <v>1</v>
      </c>
      <c r="AM674">
        <v>99.06</v>
      </c>
      <c r="AN674">
        <v>37.732900000000001</v>
      </c>
      <c r="AO674">
        <v>520.01</v>
      </c>
      <c r="AP674" s="13">
        <v>45135</v>
      </c>
      <c r="AQ674">
        <v>-3</v>
      </c>
      <c r="AR674">
        <v>1</v>
      </c>
    </row>
    <row r="675" spans="1:44" x14ac:dyDescent="0.35">
      <c r="A675" s="12" t="s">
        <v>1325</v>
      </c>
      <c r="B675" s="12" t="s">
        <v>437</v>
      </c>
      <c r="C675" s="12" t="s">
        <v>438</v>
      </c>
      <c r="D675" s="12" t="s">
        <v>269</v>
      </c>
      <c r="E675" s="12" t="s">
        <v>65</v>
      </c>
      <c r="F675">
        <v>2</v>
      </c>
      <c r="G675">
        <v>4</v>
      </c>
      <c r="H675">
        <v>0</v>
      </c>
      <c r="I675" s="12" t="s">
        <v>115</v>
      </c>
      <c r="J675" s="12" t="s">
        <v>116</v>
      </c>
      <c r="K675" s="12" t="s">
        <v>117</v>
      </c>
      <c r="L675" s="12" t="s">
        <v>82</v>
      </c>
      <c r="M675">
        <v>17.170000000000002</v>
      </c>
      <c r="N675" s="12" t="s">
        <v>135</v>
      </c>
      <c r="O675" s="12" t="s">
        <v>136</v>
      </c>
      <c r="P675" s="12" t="s">
        <v>137</v>
      </c>
      <c r="Q675" s="13">
        <v>45106</v>
      </c>
      <c r="R675" s="13">
        <v>45141</v>
      </c>
      <c r="S675">
        <v>2023</v>
      </c>
      <c r="T675" s="12" t="s">
        <v>1147</v>
      </c>
      <c r="U675">
        <v>125</v>
      </c>
      <c r="V675">
        <v>473.21539999999999</v>
      </c>
      <c r="W675">
        <v>1158.57</v>
      </c>
      <c r="X675">
        <v>0</v>
      </c>
      <c r="Y675">
        <v>0</v>
      </c>
      <c r="Z675">
        <v>59151.93</v>
      </c>
      <c r="AA675">
        <v>60310.5</v>
      </c>
      <c r="AB675" s="12" t="s">
        <v>439</v>
      </c>
      <c r="AC675">
        <v>473.21539999999999</v>
      </c>
      <c r="AD675">
        <v>1</v>
      </c>
      <c r="AE675">
        <v>1</v>
      </c>
      <c r="AF675">
        <v>0</v>
      </c>
      <c r="AG675">
        <v>59151.93</v>
      </c>
      <c r="AH675">
        <v>125</v>
      </c>
      <c r="AI675">
        <v>123</v>
      </c>
      <c r="AJ675">
        <v>2</v>
      </c>
      <c r="AK675">
        <v>1</v>
      </c>
      <c r="AL675">
        <v>1</v>
      </c>
      <c r="AM675">
        <v>98.4</v>
      </c>
      <c r="AN675">
        <v>490.32920000000001</v>
      </c>
      <c r="AO675">
        <v>946.43</v>
      </c>
      <c r="AP675" s="13">
        <v>45138</v>
      </c>
      <c r="AQ675">
        <v>-3</v>
      </c>
      <c r="AR675">
        <v>1</v>
      </c>
    </row>
    <row r="676" spans="1:44" x14ac:dyDescent="0.35">
      <c r="A676" s="12" t="s">
        <v>1326</v>
      </c>
      <c r="B676" s="12" t="s">
        <v>112</v>
      </c>
      <c r="C676" s="12" t="s">
        <v>113</v>
      </c>
      <c r="D676" s="12" t="s">
        <v>114</v>
      </c>
      <c r="E676" s="12" t="s">
        <v>104</v>
      </c>
      <c r="F676">
        <v>3</v>
      </c>
      <c r="G676">
        <v>1</v>
      </c>
      <c r="H676">
        <v>0</v>
      </c>
      <c r="I676" s="12" t="s">
        <v>227</v>
      </c>
      <c r="J676" s="12" t="s">
        <v>228</v>
      </c>
      <c r="K676" s="12" t="s">
        <v>89</v>
      </c>
      <c r="L676" s="12" t="s">
        <v>96</v>
      </c>
      <c r="M676">
        <v>9.15</v>
      </c>
      <c r="N676" s="12" t="s">
        <v>70</v>
      </c>
      <c r="O676" s="12" t="s">
        <v>71</v>
      </c>
      <c r="P676" s="12" t="s">
        <v>72</v>
      </c>
      <c r="Q676" s="13">
        <v>45106</v>
      </c>
      <c r="R676" s="13">
        <v>45119</v>
      </c>
      <c r="S676">
        <v>2023</v>
      </c>
      <c r="T676" s="12" t="s">
        <v>1147</v>
      </c>
      <c r="U676">
        <v>21</v>
      </c>
      <c r="V676">
        <v>264.17590000000001</v>
      </c>
      <c r="W676">
        <v>128.6</v>
      </c>
      <c r="X676">
        <v>0</v>
      </c>
      <c r="Y676">
        <v>0</v>
      </c>
      <c r="Z676">
        <v>5547.69</v>
      </c>
      <c r="AA676">
        <v>5676.29</v>
      </c>
      <c r="AB676" s="12" t="s">
        <v>282</v>
      </c>
      <c r="AC676">
        <v>264.17590000000001</v>
      </c>
      <c r="AD676">
        <v>1</v>
      </c>
      <c r="AE676">
        <v>1</v>
      </c>
      <c r="AF676">
        <v>0</v>
      </c>
      <c r="AG676">
        <v>5547.69</v>
      </c>
      <c r="AH676">
        <v>21</v>
      </c>
      <c r="AI676">
        <v>21</v>
      </c>
      <c r="AJ676">
        <v>0</v>
      </c>
      <c r="AK676">
        <v>1</v>
      </c>
      <c r="AL676">
        <v>1</v>
      </c>
      <c r="AM676">
        <v>100</v>
      </c>
      <c r="AN676">
        <v>270.29969999999997</v>
      </c>
      <c r="AO676">
        <v>0</v>
      </c>
      <c r="AP676" s="13">
        <v>45119</v>
      </c>
      <c r="AQ676">
        <v>0</v>
      </c>
      <c r="AR676">
        <v>1</v>
      </c>
    </row>
    <row r="677" spans="1:44" x14ac:dyDescent="0.35">
      <c r="A677" s="12" t="s">
        <v>1327</v>
      </c>
      <c r="B677" s="12" t="s">
        <v>472</v>
      </c>
      <c r="C677" s="12" t="s">
        <v>473</v>
      </c>
      <c r="D677" s="12" t="s">
        <v>122</v>
      </c>
      <c r="E677" s="12" t="s">
        <v>142</v>
      </c>
      <c r="F677">
        <v>2</v>
      </c>
      <c r="G677">
        <v>9</v>
      </c>
      <c r="H677">
        <v>0</v>
      </c>
      <c r="I677" s="12" t="s">
        <v>209</v>
      </c>
      <c r="J677" s="12" t="s">
        <v>210</v>
      </c>
      <c r="K677" s="12" t="s">
        <v>133</v>
      </c>
      <c r="L677" s="12" t="s">
        <v>96</v>
      </c>
      <c r="M677">
        <v>7.82</v>
      </c>
      <c r="N677" s="12" t="s">
        <v>97</v>
      </c>
      <c r="O677" s="12" t="s">
        <v>98</v>
      </c>
      <c r="P677" s="12" t="s">
        <v>72</v>
      </c>
      <c r="Q677" s="13">
        <v>45106</v>
      </c>
      <c r="R677" s="13">
        <v>45145</v>
      </c>
      <c r="S677">
        <v>2023</v>
      </c>
      <c r="T677" s="12" t="s">
        <v>1147</v>
      </c>
      <c r="U677">
        <v>642</v>
      </c>
      <c r="V677">
        <v>48.7896</v>
      </c>
      <c r="W677">
        <v>192.38</v>
      </c>
      <c r="X677">
        <v>0</v>
      </c>
      <c r="Y677">
        <v>0</v>
      </c>
      <c r="Z677">
        <v>31322.92</v>
      </c>
      <c r="AA677">
        <v>31515.3</v>
      </c>
      <c r="AB677" s="12" t="s">
        <v>474</v>
      </c>
      <c r="AC677">
        <v>48.7896</v>
      </c>
      <c r="AD677">
        <v>1</v>
      </c>
      <c r="AE677">
        <v>1</v>
      </c>
      <c r="AF677">
        <v>0</v>
      </c>
      <c r="AG677">
        <v>31322.92</v>
      </c>
      <c r="AH677">
        <v>642</v>
      </c>
      <c r="AI677">
        <v>637</v>
      </c>
      <c r="AJ677">
        <v>5</v>
      </c>
      <c r="AK677">
        <v>1</v>
      </c>
      <c r="AL677">
        <v>1</v>
      </c>
      <c r="AM677">
        <v>99.22</v>
      </c>
      <c r="AN677">
        <v>49.474600000000002</v>
      </c>
      <c r="AO677">
        <v>243.95</v>
      </c>
      <c r="AP677" s="13">
        <v>45143</v>
      </c>
      <c r="AQ677">
        <v>-2</v>
      </c>
      <c r="AR677">
        <v>1</v>
      </c>
    </row>
    <row r="678" spans="1:44" x14ac:dyDescent="0.35">
      <c r="A678" s="12" t="s">
        <v>1328</v>
      </c>
      <c r="B678" s="12" t="s">
        <v>646</v>
      </c>
      <c r="C678" s="12" t="s">
        <v>647</v>
      </c>
      <c r="D678" s="12" t="s">
        <v>175</v>
      </c>
      <c r="E678" s="12" t="s">
        <v>104</v>
      </c>
      <c r="F678">
        <v>3</v>
      </c>
      <c r="G678">
        <v>1</v>
      </c>
      <c r="H678">
        <v>0</v>
      </c>
      <c r="I678" s="12" t="s">
        <v>227</v>
      </c>
      <c r="J678" s="12" t="s">
        <v>228</v>
      </c>
      <c r="K678" s="12" t="s">
        <v>89</v>
      </c>
      <c r="L678" s="12" t="s">
        <v>96</v>
      </c>
      <c r="M678">
        <v>9.15</v>
      </c>
      <c r="N678" s="12" t="s">
        <v>107</v>
      </c>
      <c r="O678" s="12" t="s">
        <v>108</v>
      </c>
      <c r="P678" s="12" t="s">
        <v>109</v>
      </c>
      <c r="Q678" s="13">
        <v>45106</v>
      </c>
      <c r="R678" s="13">
        <v>45126</v>
      </c>
      <c r="S678">
        <v>2023</v>
      </c>
      <c r="T678" s="12" t="s">
        <v>1147</v>
      </c>
      <c r="U678">
        <v>76</v>
      </c>
      <c r="V678">
        <v>216.21350000000001</v>
      </c>
      <c r="W678">
        <v>297.85000000000002</v>
      </c>
      <c r="X678">
        <v>0</v>
      </c>
      <c r="Y678">
        <v>0</v>
      </c>
      <c r="Z678">
        <v>16432.23</v>
      </c>
      <c r="AA678">
        <v>16730.080000000002</v>
      </c>
      <c r="AB678" s="12" t="s">
        <v>781</v>
      </c>
      <c r="AC678">
        <v>216.21350000000001</v>
      </c>
      <c r="AD678">
        <v>1</v>
      </c>
      <c r="AE678">
        <v>1</v>
      </c>
      <c r="AF678">
        <v>0</v>
      </c>
      <c r="AG678">
        <v>16432.23</v>
      </c>
      <c r="AH678">
        <v>76</v>
      </c>
      <c r="AI678">
        <v>76</v>
      </c>
      <c r="AJ678">
        <v>0</v>
      </c>
      <c r="AK678">
        <v>1</v>
      </c>
      <c r="AL678">
        <v>1</v>
      </c>
      <c r="AM678">
        <v>100</v>
      </c>
      <c r="AN678">
        <v>220.1326</v>
      </c>
      <c r="AO678">
        <v>0</v>
      </c>
      <c r="AP678" s="13">
        <v>45123</v>
      </c>
      <c r="AQ678">
        <v>-3</v>
      </c>
      <c r="AR678">
        <v>1</v>
      </c>
    </row>
    <row r="679" spans="1:44" x14ac:dyDescent="0.35">
      <c r="A679" s="12" t="s">
        <v>1329</v>
      </c>
      <c r="B679" s="12" t="s">
        <v>308</v>
      </c>
      <c r="C679" s="12" t="s">
        <v>309</v>
      </c>
      <c r="D679" s="12" t="s">
        <v>122</v>
      </c>
      <c r="E679" s="12" t="s">
        <v>142</v>
      </c>
      <c r="F679">
        <v>1</v>
      </c>
      <c r="G679">
        <v>6</v>
      </c>
      <c r="H679">
        <v>1</v>
      </c>
      <c r="I679" s="12" t="s">
        <v>310</v>
      </c>
      <c r="J679" s="12" t="s">
        <v>311</v>
      </c>
      <c r="K679" s="12" t="s">
        <v>81</v>
      </c>
      <c r="L679" s="12" t="s">
        <v>69</v>
      </c>
      <c r="M679">
        <v>28.3</v>
      </c>
      <c r="N679" s="12" t="s">
        <v>70</v>
      </c>
      <c r="O679" s="12" t="s">
        <v>71</v>
      </c>
      <c r="P679" s="12" t="s">
        <v>72</v>
      </c>
      <c r="Q679" s="13">
        <v>45106</v>
      </c>
      <c r="R679" s="13">
        <v>45144</v>
      </c>
      <c r="S679">
        <v>2023</v>
      </c>
      <c r="T679" s="12" t="s">
        <v>1147</v>
      </c>
      <c r="U679">
        <v>576</v>
      </c>
      <c r="V679">
        <v>59.409700000000001</v>
      </c>
      <c r="W679">
        <v>422.99</v>
      </c>
      <c r="X679">
        <v>0</v>
      </c>
      <c r="Y679">
        <v>0</v>
      </c>
      <c r="Z679">
        <v>34219.99</v>
      </c>
      <c r="AA679">
        <v>34642.980000000003</v>
      </c>
      <c r="AB679" s="12" t="s">
        <v>312</v>
      </c>
      <c r="AC679">
        <v>59.409700000000001</v>
      </c>
      <c r="AD679">
        <v>1</v>
      </c>
      <c r="AE679">
        <v>1</v>
      </c>
      <c r="AF679">
        <v>0</v>
      </c>
      <c r="AG679">
        <v>34219.99</v>
      </c>
      <c r="AH679">
        <v>576</v>
      </c>
      <c r="AI679">
        <v>569</v>
      </c>
      <c r="AJ679">
        <v>7</v>
      </c>
      <c r="AK679">
        <v>1</v>
      </c>
      <c r="AL679">
        <v>1</v>
      </c>
      <c r="AM679">
        <v>98.78</v>
      </c>
      <c r="AN679">
        <v>60.884</v>
      </c>
      <c r="AO679">
        <v>415.87</v>
      </c>
      <c r="AP679" s="13">
        <v>45142</v>
      </c>
      <c r="AQ679">
        <v>-2</v>
      </c>
      <c r="AR679">
        <v>1</v>
      </c>
    </row>
    <row r="680" spans="1:44" x14ac:dyDescent="0.35">
      <c r="A680" s="12" t="s">
        <v>1330</v>
      </c>
      <c r="B680" s="12" t="s">
        <v>555</v>
      </c>
      <c r="C680" s="12" t="s">
        <v>556</v>
      </c>
      <c r="D680" s="12" t="s">
        <v>114</v>
      </c>
      <c r="E680" s="12" t="s">
        <v>142</v>
      </c>
      <c r="F680">
        <v>1</v>
      </c>
      <c r="G680">
        <v>6</v>
      </c>
      <c r="H680">
        <v>1</v>
      </c>
      <c r="I680" s="12" t="s">
        <v>151</v>
      </c>
      <c r="J680" s="12" t="s">
        <v>152</v>
      </c>
      <c r="K680" s="12" t="s">
        <v>125</v>
      </c>
      <c r="L680" s="12" t="s">
        <v>69</v>
      </c>
      <c r="M680">
        <v>36.479999999999997</v>
      </c>
      <c r="N680" s="12" t="s">
        <v>70</v>
      </c>
      <c r="O680" s="12" t="s">
        <v>71</v>
      </c>
      <c r="P680" s="12" t="s">
        <v>72</v>
      </c>
      <c r="Q680" s="13">
        <v>45106</v>
      </c>
      <c r="R680" s="13">
        <v>45153</v>
      </c>
      <c r="S680">
        <v>2023</v>
      </c>
      <c r="T680" s="12" t="s">
        <v>1147</v>
      </c>
      <c r="U680">
        <v>105</v>
      </c>
      <c r="V680">
        <v>290.42770000000002</v>
      </c>
      <c r="W680">
        <v>387.23</v>
      </c>
      <c r="X680">
        <v>0</v>
      </c>
      <c r="Y680">
        <v>0</v>
      </c>
      <c r="Z680">
        <v>30494.91</v>
      </c>
      <c r="AA680">
        <v>30882.14</v>
      </c>
      <c r="AB680" s="12" t="s">
        <v>557</v>
      </c>
      <c r="AC680">
        <v>290.42770000000002</v>
      </c>
      <c r="AD680">
        <v>1</v>
      </c>
      <c r="AE680">
        <v>1</v>
      </c>
      <c r="AF680">
        <v>0</v>
      </c>
      <c r="AG680">
        <v>30494.91</v>
      </c>
      <c r="AH680">
        <v>105</v>
      </c>
      <c r="AI680">
        <v>104</v>
      </c>
      <c r="AJ680">
        <v>1</v>
      </c>
      <c r="AK680">
        <v>1</v>
      </c>
      <c r="AL680">
        <v>1</v>
      </c>
      <c r="AM680">
        <v>99.05</v>
      </c>
      <c r="AN680">
        <v>296.9436</v>
      </c>
      <c r="AO680">
        <v>290.43</v>
      </c>
      <c r="AP680" s="13">
        <v>45150</v>
      </c>
      <c r="AQ680">
        <v>-3</v>
      </c>
      <c r="AR680">
        <v>1</v>
      </c>
    </row>
    <row r="681" spans="1:44" x14ac:dyDescent="0.35">
      <c r="A681" s="12" t="s">
        <v>1331</v>
      </c>
      <c r="B681" s="12" t="s">
        <v>747</v>
      </c>
      <c r="C681" s="12" t="s">
        <v>748</v>
      </c>
      <c r="D681" s="12" t="s">
        <v>114</v>
      </c>
      <c r="E681" s="12" t="s">
        <v>104</v>
      </c>
      <c r="F681">
        <v>2</v>
      </c>
      <c r="G681">
        <v>0</v>
      </c>
      <c r="H681">
        <v>0</v>
      </c>
      <c r="I681" s="12" t="s">
        <v>380</v>
      </c>
      <c r="J681" s="12" t="s">
        <v>381</v>
      </c>
      <c r="K681" s="12" t="s">
        <v>89</v>
      </c>
      <c r="L681" s="12" t="s">
        <v>96</v>
      </c>
      <c r="M681">
        <v>10.210000000000001</v>
      </c>
      <c r="N681" s="12" t="s">
        <v>70</v>
      </c>
      <c r="O681" s="12" t="s">
        <v>71</v>
      </c>
      <c r="P681" s="12" t="s">
        <v>72</v>
      </c>
      <c r="Q681" s="13">
        <v>45106</v>
      </c>
      <c r="R681" s="13">
        <v>45133</v>
      </c>
      <c r="S681">
        <v>2023</v>
      </c>
      <c r="T681" s="12" t="s">
        <v>1147</v>
      </c>
      <c r="U681">
        <v>128</v>
      </c>
      <c r="V681">
        <v>245.56890000000001</v>
      </c>
      <c r="W681">
        <v>360.45</v>
      </c>
      <c r="X681">
        <v>0</v>
      </c>
      <c r="Y681">
        <v>0</v>
      </c>
      <c r="Z681">
        <v>31432.82</v>
      </c>
      <c r="AA681">
        <v>31793.27</v>
      </c>
      <c r="AB681" s="12" t="s">
        <v>896</v>
      </c>
      <c r="AC681">
        <v>245.56890000000001</v>
      </c>
      <c r="AD681">
        <v>1</v>
      </c>
      <c r="AE681">
        <v>1</v>
      </c>
      <c r="AF681">
        <v>0</v>
      </c>
      <c r="AG681">
        <v>31432.82</v>
      </c>
      <c r="AH681">
        <v>128</v>
      </c>
      <c r="AI681">
        <v>126</v>
      </c>
      <c r="AJ681">
        <v>2</v>
      </c>
      <c r="AK681">
        <v>1</v>
      </c>
      <c r="AL681">
        <v>1</v>
      </c>
      <c r="AM681">
        <v>98.44</v>
      </c>
      <c r="AN681">
        <v>252.32749999999999</v>
      </c>
      <c r="AO681">
        <v>491.14</v>
      </c>
      <c r="AP681" s="13">
        <v>45130</v>
      </c>
      <c r="AQ681">
        <v>-3</v>
      </c>
      <c r="AR681">
        <v>1</v>
      </c>
    </row>
    <row r="682" spans="1:44" x14ac:dyDescent="0.35">
      <c r="A682" s="12" t="s">
        <v>1332</v>
      </c>
      <c r="B682" s="12" t="s">
        <v>728</v>
      </c>
      <c r="C682" s="12" t="s">
        <v>729</v>
      </c>
      <c r="D682" s="12" t="s">
        <v>269</v>
      </c>
      <c r="E682" s="12" t="s">
        <v>65</v>
      </c>
      <c r="F682">
        <v>2</v>
      </c>
      <c r="G682">
        <v>3</v>
      </c>
      <c r="H682">
        <v>0</v>
      </c>
      <c r="I682" s="12" t="s">
        <v>310</v>
      </c>
      <c r="J682" s="12" t="s">
        <v>311</v>
      </c>
      <c r="K682" s="12" t="s">
        <v>81</v>
      </c>
      <c r="L682" s="12" t="s">
        <v>69</v>
      </c>
      <c r="M682">
        <v>28.3</v>
      </c>
      <c r="N682" s="12" t="s">
        <v>135</v>
      </c>
      <c r="O682" s="12" t="s">
        <v>136</v>
      </c>
      <c r="P682" s="12" t="s">
        <v>137</v>
      </c>
      <c r="Q682" s="13">
        <v>45106</v>
      </c>
      <c r="R682" s="13">
        <v>45132</v>
      </c>
      <c r="S682">
        <v>2023</v>
      </c>
      <c r="T682" s="12" t="s">
        <v>1147</v>
      </c>
      <c r="U682">
        <v>49</v>
      </c>
      <c r="V682">
        <v>374.99740000000003</v>
      </c>
      <c r="W682">
        <v>169.79</v>
      </c>
      <c r="X682">
        <v>0</v>
      </c>
      <c r="Y682">
        <v>0</v>
      </c>
      <c r="Z682">
        <v>18374.87</v>
      </c>
      <c r="AA682">
        <v>18544.66</v>
      </c>
      <c r="AB682" s="12" t="s">
        <v>730</v>
      </c>
      <c r="AC682">
        <v>374.99740000000003</v>
      </c>
      <c r="AD682">
        <v>1</v>
      </c>
      <c r="AE682">
        <v>1</v>
      </c>
      <c r="AF682">
        <v>0</v>
      </c>
      <c r="AG682">
        <v>18374.87</v>
      </c>
      <c r="AH682">
        <v>49</v>
      </c>
      <c r="AI682">
        <v>48</v>
      </c>
      <c r="AJ682">
        <v>1</v>
      </c>
      <c r="AK682">
        <v>1</v>
      </c>
      <c r="AL682">
        <v>1</v>
      </c>
      <c r="AM682">
        <v>97.96</v>
      </c>
      <c r="AN682">
        <v>386.34710000000001</v>
      </c>
      <c r="AO682">
        <v>375</v>
      </c>
      <c r="AP682" s="13">
        <v>45130</v>
      </c>
      <c r="AQ682">
        <v>-2</v>
      </c>
      <c r="AR682">
        <v>1</v>
      </c>
    </row>
    <row r="683" spans="1:44" x14ac:dyDescent="0.35">
      <c r="A683" s="12" t="s">
        <v>1333</v>
      </c>
      <c r="B683" s="12" t="s">
        <v>454</v>
      </c>
      <c r="C683" s="12" t="s">
        <v>455</v>
      </c>
      <c r="D683" s="12" t="s">
        <v>122</v>
      </c>
      <c r="E683" s="12" t="s">
        <v>104</v>
      </c>
      <c r="F683">
        <v>3</v>
      </c>
      <c r="G683">
        <v>1</v>
      </c>
      <c r="H683">
        <v>0</v>
      </c>
      <c r="I683" s="12" t="s">
        <v>87</v>
      </c>
      <c r="J683" s="12" t="s">
        <v>88</v>
      </c>
      <c r="K683" s="12" t="s">
        <v>89</v>
      </c>
      <c r="L683" s="12" t="s">
        <v>69</v>
      </c>
      <c r="M683">
        <v>14.93</v>
      </c>
      <c r="N683" s="12" t="s">
        <v>97</v>
      </c>
      <c r="O683" s="12" t="s">
        <v>98</v>
      </c>
      <c r="P683" s="12" t="s">
        <v>72</v>
      </c>
      <c r="Q683" s="13">
        <v>45106</v>
      </c>
      <c r="R683" s="13">
        <v>45128</v>
      </c>
      <c r="S683">
        <v>2023</v>
      </c>
      <c r="T683" s="12" t="s">
        <v>1147</v>
      </c>
      <c r="U683">
        <v>1250</v>
      </c>
      <c r="V683">
        <v>21.796199999999999</v>
      </c>
      <c r="W683">
        <v>622.24</v>
      </c>
      <c r="X683">
        <v>0</v>
      </c>
      <c r="Y683">
        <v>0</v>
      </c>
      <c r="Z683">
        <v>27245.25</v>
      </c>
      <c r="AA683">
        <v>27867.49</v>
      </c>
      <c r="AB683" s="12" t="s">
        <v>456</v>
      </c>
      <c r="AC683">
        <v>21.796199999999999</v>
      </c>
      <c r="AD683">
        <v>1</v>
      </c>
      <c r="AE683">
        <v>1</v>
      </c>
      <c r="AF683">
        <v>0</v>
      </c>
      <c r="AG683">
        <v>27245.25</v>
      </c>
      <c r="AH683">
        <v>1250</v>
      </c>
      <c r="AI683">
        <v>1241</v>
      </c>
      <c r="AJ683">
        <v>9</v>
      </c>
      <c r="AK683">
        <v>1</v>
      </c>
      <c r="AL683">
        <v>1</v>
      </c>
      <c r="AM683">
        <v>99.28</v>
      </c>
      <c r="AN683">
        <v>22.4557</v>
      </c>
      <c r="AO683">
        <v>196.17</v>
      </c>
      <c r="AP683" s="13">
        <v>45128</v>
      </c>
      <c r="AQ683">
        <v>0</v>
      </c>
      <c r="AR683">
        <v>1</v>
      </c>
    </row>
    <row r="684" spans="1:44" x14ac:dyDescent="0.35">
      <c r="A684" s="12" t="s">
        <v>1334</v>
      </c>
      <c r="B684" s="12" t="s">
        <v>1013</v>
      </c>
      <c r="C684" s="12" t="s">
        <v>1014</v>
      </c>
      <c r="D684" s="12" t="s">
        <v>78</v>
      </c>
      <c r="E684" s="12" t="s">
        <v>65</v>
      </c>
      <c r="F684">
        <v>2</v>
      </c>
      <c r="G684">
        <v>3</v>
      </c>
      <c r="H684">
        <v>0</v>
      </c>
      <c r="I684" s="12" t="s">
        <v>123</v>
      </c>
      <c r="J684" s="12" t="s">
        <v>124</v>
      </c>
      <c r="K684" s="12" t="s">
        <v>125</v>
      </c>
      <c r="L684" s="12" t="s">
        <v>82</v>
      </c>
      <c r="M684">
        <v>6.75</v>
      </c>
      <c r="N684" s="12" t="s">
        <v>70</v>
      </c>
      <c r="O684" s="12" t="s">
        <v>71</v>
      </c>
      <c r="P684" s="12" t="s">
        <v>72</v>
      </c>
      <c r="Q684" s="13">
        <v>45106</v>
      </c>
      <c r="R684" s="13">
        <v>45127</v>
      </c>
      <c r="S684">
        <v>2023</v>
      </c>
      <c r="T684" s="12" t="s">
        <v>1147</v>
      </c>
      <c r="U684">
        <v>48</v>
      </c>
      <c r="V684">
        <v>125.2653</v>
      </c>
      <c r="W684">
        <v>61.73</v>
      </c>
      <c r="X684">
        <v>0</v>
      </c>
      <c r="Y684">
        <v>0</v>
      </c>
      <c r="Z684">
        <v>6012.73</v>
      </c>
      <c r="AA684">
        <v>6074.46</v>
      </c>
      <c r="AB684" s="12" t="s">
        <v>1015</v>
      </c>
      <c r="AC684">
        <v>125.2653</v>
      </c>
      <c r="AD684">
        <v>1</v>
      </c>
      <c r="AE684">
        <v>1</v>
      </c>
      <c r="AF684">
        <v>0</v>
      </c>
      <c r="AG684">
        <v>6012.73</v>
      </c>
      <c r="AH684">
        <v>48</v>
      </c>
      <c r="AI684">
        <v>48</v>
      </c>
      <c r="AJ684">
        <v>0</v>
      </c>
      <c r="AK684">
        <v>1</v>
      </c>
      <c r="AL684">
        <v>1</v>
      </c>
      <c r="AM684">
        <v>100</v>
      </c>
      <c r="AN684">
        <v>126.5513</v>
      </c>
      <c r="AO684">
        <v>0</v>
      </c>
      <c r="AP684" s="13">
        <v>45130</v>
      </c>
      <c r="AQ684">
        <v>3</v>
      </c>
      <c r="AR684">
        <v>0</v>
      </c>
    </row>
    <row r="685" spans="1:44" x14ac:dyDescent="0.35">
      <c r="A685" s="12" t="s">
        <v>1335</v>
      </c>
      <c r="B685" s="12" t="s">
        <v>140</v>
      </c>
      <c r="C685" s="12" t="s">
        <v>141</v>
      </c>
      <c r="D685" s="12" t="s">
        <v>103</v>
      </c>
      <c r="E685" s="12" t="s">
        <v>142</v>
      </c>
      <c r="F685">
        <v>1</v>
      </c>
      <c r="G685">
        <v>7</v>
      </c>
      <c r="H685">
        <v>1</v>
      </c>
      <c r="I685" s="12" t="s">
        <v>143</v>
      </c>
      <c r="J685" s="12" t="s">
        <v>144</v>
      </c>
      <c r="K685" s="12" t="s">
        <v>133</v>
      </c>
      <c r="L685" s="12" t="s">
        <v>96</v>
      </c>
      <c r="M685">
        <v>5.43</v>
      </c>
      <c r="N685" s="12" t="s">
        <v>107</v>
      </c>
      <c r="O685" s="12" t="s">
        <v>108</v>
      </c>
      <c r="P685" s="12" t="s">
        <v>109</v>
      </c>
      <c r="Q685" s="13">
        <v>45106</v>
      </c>
      <c r="R685" s="13">
        <v>45143</v>
      </c>
      <c r="S685">
        <v>2023</v>
      </c>
      <c r="T685" s="12" t="s">
        <v>1147</v>
      </c>
      <c r="U685">
        <v>31</v>
      </c>
      <c r="V685">
        <v>211.78559999999999</v>
      </c>
      <c r="W685">
        <v>153.4</v>
      </c>
      <c r="X685">
        <v>0</v>
      </c>
      <c r="Y685">
        <v>0</v>
      </c>
      <c r="Z685">
        <v>6565.35</v>
      </c>
      <c r="AA685">
        <v>6718.75</v>
      </c>
      <c r="AB685" s="12" t="s">
        <v>147</v>
      </c>
      <c r="AC685">
        <v>211.78559999999999</v>
      </c>
      <c r="AD685">
        <v>1</v>
      </c>
      <c r="AE685">
        <v>1</v>
      </c>
      <c r="AF685">
        <v>0</v>
      </c>
      <c r="AG685">
        <v>6565.35</v>
      </c>
      <c r="AH685">
        <v>31</v>
      </c>
      <c r="AI685">
        <v>31</v>
      </c>
      <c r="AJ685">
        <v>0</v>
      </c>
      <c r="AK685">
        <v>1</v>
      </c>
      <c r="AL685">
        <v>1</v>
      </c>
      <c r="AM685">
        <v>100</v>
      </c>
      <c r="AN685">
        <v>216.73400000000001</v>
      </c>
      <c r="AO685">
        <v>0</v>
      </c>
      <c r="AP685" s="13">
        <v>45142</v>
      </c>
      <c r="AQ685">
        <v>-1</v>
      </c>
      <c r="AR685">
        <v>1</v>
      </c>
    </row>
    <row r="686" spans="1:44" x14ac:dyDescent="0.35">
      <c r="A686" s="12" t="s">
        <v>1336</v>
      </c>
      <c r="B686" s="12" t="s">
        <v>482</v>
      </c>
      <c r="C686" s="12" t="s">
        <v>483</v>
      </c>
      <c r="D686" s="12" t="s">
        <v>78</v>
      </c>
      <c r="E686" s="12" t="s">
        <v>142</v>
      </c>
      <c r="F686">
        <v>2</v>
      </c>
      <c r="G686">
        <v>9</v>
      </c>
      <c r="H686">
        <v>0</v>
      </c>
      <c r="I686" s="12" t="s">
        <v>87</v>
      </c>
      <c r="J686" s="12" t="s">
        <v>88</v>
      </c>
      <c r="K686" s="12" t="s">
        <v>89</v>
      </c>
      <c r="L686" s="12" t="s">
        <v>69</v>
      </c>
      <c r="M686">
        <v>14.93</v>
      </c>
      <c r="N686" s="12" t="s">
        <v>70</v>
      </c>
      <c r="O686" s="12" t="s">
        <v>71</v>
      </c>
      <c r="P686" s="12" t="s">
        <v>72</v>
      </c>
      <c r="Q686" s="13">
        <v>45106</v>
      </c>
      <c r="R686" s="13">
        <v>45150</v>
      </c>
      <c r="S686">
        <v>2023</v>
      </c>
      <c r="T686" s="12" t="s">
        <v>1147</v>
      </c>
      <c r="U686">
        <v>172</v>
      </c>
      <c r="V686">
        <v>49.685899999999997</v>
      </c>
      <c r="W686">
        <v>220.88</v>
      </c>
      <c r="X686">
        <v>0</v>
      </c>
      <c r="Y686">
        <v>0</v>
      </c>
      <c r="Z686">
        <v>8545.9699999999993</v>
      </c>
      <c r="AA686">
        <v>8766.85</v>
      </c>
      <c r="AB686" s="12" t="s">
        <v>484</v>
      </c>
      <c r="AC686">
        <v>49.685899999999997</v>
      </c>
      <c r="AD686">
        <v>1</v>
      </c>
      <c r="AE686">
        <v>1</v>
      </c>
      <c r="AF686">
        <v>0</v>
      </c>
      <c r="AG686">
        <v>8545.9699999999993</v>
      </c>
      <c r="AH686">
        <v>172</v>
      </c>
      <c r="AI686">
        <v>170</v>
      </c>
      <c r="AJ686">
        <v>2</v>
      </c>
      <c r="AK686">
        <v>1</v>
      </c>
      <c r="AL686">
        <v>1</v>
      </c>
      <c r="AM686">
        <v>98.84</v>
      </c>
      <c r="AN686">
        <v>51.569699999999997</v>
      </c>
      <c r="AO686">
        <v>99.37</v>
      </c>
      <c r="AP686" s="13">
        <v>45147</v>
      </c>
      <c r="AQ686">
        <v>-3</v>
      </c>
      <c r="AR686">
        <v>1</v>
      </c>
    </row>
    <row r="687" spans="1:44" x14ac:dyDescent="0.35">
      <c r="A687" s="12" t="s">
        <v>1337</v>
      </c>
      <c r="B687" s="12" t="s">
        <v>963</v>
      </c>
      <c r="C687" s="12" t="s">
        <v>964</v>
      </c>
      <c r="D687" s="12" t="s">
        <v>114</v>
      </c>
      <c r="E687" s="12" t="s">
        <v>142</v>
      </c>
      <c r="F687">
        <v>1</v>
      </c>
      <c r="G687">
        <v>6</v>
      </c>
      <c r="H687">
        <v>1</v>
      </c>
      <c r="I687" s="12" t="s">
        <v>176</v>
      </c>
      <c r="J687" s="12" t="s">
        <v>177</v>
      </c>
      <c r="K687" s="12" t="s">
        <v>125</v>
      </c>
      <c r="L687" s="12" t="s">
        <v>134</v>
      </c>
      <c r="M687">
        <v>1.75</v>
      </c>
      <c r="N687" s="12" t="s">
        <v>70</v>
      </c>
      <c r="O687" s="12" t="s">
        <v>71</v>
      </c>
      <c r="P687" s="12" t="s">
        <v>72</v>
      </c>
      <c r="Q687" s="13">
        <v>45107</v>
      </c>
      <c r="R687" s="13">
        <v>45152</v>
      </c>
      <c r="S687">
        <v>2023</v>
      </c>
      <c r="T687" s="12" t="s">
        <v>1147</v>
      </c>
      <c r="U687">
        <v>92</v>
      </c>
      <c r="V687">
        <v>194.73220000000001</v>
      </c>
      <c r="W687">
        <v>399.68</v>
      </c>
      <c r="X687">
        <v>0</v>
      </c>
      <c r="Y687">
        <v>0</v>
      </c>
      <c r="Z687">
        <v>17915.36</v>
      </c>
      <c r="AA687">
        <v>18315.04</v>
      </c>
      <c r="AB687" s="12" t="s">
        <v>965</v>
      </c>
      <c r="AC687">
        <v>194.73220000000001</v>
      </c>
      <c r="AD687">
        <v>1</v>
      </c>
      <c r="AE687">
        <v>1</v>
      </c>
      <c r="AF687">
        <v>0</v>
      </c>
      <c r="AG687">
        <v>17915.36</v>
      </c>
      <c r="AH687">
        <v>92</v>
      </c>
      <c r="AI687">
        <v>92</v>
      </c>
      <c r="AJ687">
        <v>0</v>
      </c>
      <c r="AK687">
        <v>1</v>
      </c>
      <c r="AL687">
        <v>1</v>
      </c>
      <c r="AM687">
        <v>100</v>
      </c>
      <c r="AN687">
        <v>199.07650000000001</v>
      </c>
      <c r="AO687">
        <v>0</v>
      </c>
      <c r="AP687" s="13">
        <v>45149</v>
      </c>
      <c r="AQ687">
        <v>-3</v>
      </c>
      <c r="AR687">
        <v>1</v>
      </c>
    </row>
    <row r="688" spans="1:44" x14ac:dyDescent="0.35">
      <c r="A688" s="12" t="s">
        <v>1338</v>
      </c>
      <c r="B688" s="12" t="s">
        <v>249</v>
      </c>
      <c r="C688" s="12" t="s">
        <v>250</v>
      </c>
      <c r="D688" s="12" t="s">
        <v>64</v>
      </c>
      <c r="E688" s="12" t="s">
        <v>65</v>
      </c>
      <c r="F688">
        <v>2</v>
      </c>
      <c r="G688">
        <v>3</v>
      </c>
      <c r="H688">
        <v>0</v>
      </c>
      <c r="I688" s="12" t="s">
        <v>251</v>
      </c>
      <c r="J688" s="12" t="s">
        <v>252</v>
      </c>
      <c r="K688" s="12" t="s">
        <v>133</v>
      </c>
      <c r="L688" s="12" t="s">
        <v>69</v>
      </c>
      <c r="M688">
        <v>34.49</v>
      </c>
      <c r="N688" s="12" t="s">
        <v>97</v>
      </c>
      <c r="O688" s="12" t="s">
        <v>98</v>
      </c>
      <c r="P688" s="12" t="s">
        <v>72</v>
      </c>
      <c r="Q688" s="13">
        <v>45107</v>
      </c>
      <c r="R688" s="13">
        <v>45139</v>
      </c>
      <c r="S688">
        <v>2023</v>
      </c>
      <c r="T688" s="12" t="s">
        <v>1147</v>
      </c>
      <c r="U688">
        <v>661</v>
      </c>
      <c r="V688">
        <v>10.6486</v>
      </c>
      <c r="W688">
        <v>61.31</v>
      </c>
      <c r="X688">
        <v>0</v>
      </c>
      <c r="Y688">
        <v>0</v>
      </c>
      <c r="Z688">
        <v>7038.72</v>
      </c>
      <c r="AA688">
        <v>7100.03</v>
      </c>
      <c r="AB688" s="12" t="s">
        <v>253</v>
      </c>
      <c r="AC688">
        <v>10.6486</v>
      </c>
      <c r="AD688">
        <v>1</v>
      </c>
      <c r="AE688">
        <v>1</v>
      </c>
      <c r="AF688">
        <v>0</v>
      </c>
      <c r="AG688">
        <v>7038.72</v>
      </c>
      <c r="AH688">
        <v>661</v>
      </c>
      <c r="AI688">
        <v>653</v>
      </c>
      <c r="AJ688">
        <v>8</v>
      </c>
      <c r="AK688">
        <v>1</v>
      </c>
      <c r="AL688">
        <v>1</v>
      </c>
      <c r="AM688">
        <v>98.79</v>
      </c>
      <c r="AN688">
        <v>10.8729</v>
      </c>
      <c r="AO688">
        <v>85.19</v>
      </c>
      <c r="AP688" s="13">
        <v>45137</v>
      </c>
      <c r="AQ688">
        <v>-2</v>
      </c>
      <c r="AR688">
        <v>1</v>
      </c>
    </row>
    <row r="689" spans="1:44" x14ac:dyDescent="0.35">
      <c r="A689" s="12" t="s">
        <v>1339</v>
      </c>
      <c r="B689" s="12" t="s">
        <v>249</v>
      </c>
      <c r="C689" s="12" t="s">
        <v>250</v>
      </c>
      <c r="D689" s="12" t="s">
        <v>64</v>
      </c>
      <c r="E689" s="12" t="s">
        <v>65</v>
      </c>
      <c r="F689">
        <v>2</v>
      </c>
      <c r="G689">
        <v>3</v>
      </c>
      <c r="H689">
        <v>0</v>
      </c>
      <c r="I689" s="12" t="s">
        <v>251</v>
      </c>
      <c r="J689" s="12" t="s">
        <v>252</v>
      </c>
      <c r="K689" s="12" t="s">
        <v>133</v>
      </c>
      <c r="L689" s="12" t="s">
        <v>69</v>
      </c>
      <c r="M689">
        <v>34.49</v>
      </c>
      <c r="N689" s="12" t="s">
        <v>70</v>
      </c>
      <c r="O689" s="12" t="s">
        <v>71</v>
      </c>
      <c r="P689" s="12" t="s">
        <v>72</v>
      </c>
      <c r="Q689" s="13">
        <v>45107</v>
      </c>
      <c r="R689" s="13">
        <v>45131</v>
      </c>
      <c r="S689">
        <v>2023</v>
      </c>
      <c r="T689" s="12" t="s">
        <v>1147</v>
      </c>
      <c r="U689">
        <v>295</v>
      </c>
      <c r="V689">
        <v>10.6486</v>
      </c>
      <c r="W689">
        <v>75</v>
      </c>
      <c r="X689">
        <v>0</v>
      </c>
      <c r="Y689">
        <v>0</v>
      </c>
      <c r="Z689">
        <v>3141.34</v>
      </c>
      <c r="AA689">
        <v>3216.34</v>
      </c>
      <c r="AB689" s="12" t="s">
        <v>253</v>
      </c>
      <c r="AC689">
        <v>10.6486</v>
      </c>
      <c r="AD689">
        <v>1</v>
      </c>
      <c r="AE689">
        <v>1</v>
      </c>
      <c r="AF689">
        <v>0</v>
      </c>
      <c r="AG689">
        <v>3141.34</v>
      </c>
      <c r="AH689">
        <v>295</v>
      </c>
      <c r="AI689">
        <v>290</v>
      </c>
      <c r="AJ689">
        <v>5</v>
      </c>
      <c r="AK689">
        <v>1</v>
      </c>
      <c r="AL689">
        <v>1</v>
      </c>
      <c r="AM689">
        <v>98.31</v>
      </c>
      <c r="AN689">
        <v>11.0908</v>
      </c>
      <c r="AO689">
        <v>53.24</v>
      </c>
      <c r="AP689" s="13">
        <v>45130</v>
      </c>
      <c r="AQ689">
        <v>-1</v>
      </c>
      <c r="AR689">
        <v>1</v>
      </c>
    </row>
    <row r="690" spans="1:44" x14ac:dyDescent="0.35">
      <c r="A690" s="12" t="s">
        <v>1340</v>
      </c>
      <c r="B690" s="12" t="s">
        <v>1026</v>
      </c>
      <c r="C690" s="12" t="s">
        <v>1027</v>
      </c>
      <c r="D690" s="12" t="s">
        <v>122</v>
      </c>
      <c r="E690" s="12" t="s">
        <v>104</v>
      </c>
      <c r="F690">
        <v>3</v>
      </c>
      <c r="G690">
        <v>1</v>
      </c>
      <c r="H690">
        <v>0</v>
      </c>
      <c r="I690" s="12" t="s">
        <v>183</v>
      </c>
      <c r="J690" s="12" t="s">
        <v>184</v>
      </c>
      <c r="K690" s="12" t="s">
        <v>133</v>
      </c>
      <c r="L690" s="12" t="s">
        <v>82</v>
      </c>
      <c r="M690">
        <v>8.6199999999999992</v>
      </c>
      <c r="N690" s="12" t="s">
        <v>70</v>
      </c>
      <c r="O690" s="12" t="s">
        <v>71</v>
      </c>
      <c r="P690" s="12" t="s">
        <v>72</v>
      </c>
      <c r="Q690" s="13">
        <v>45107</v>
      </c>
      <c r="R690" s="13">
        <v>45131</v>
      </c>
      <c r="S690">
        <v>2023</v>
      </c>
      <c r="T690" s="12" t="s">
        <v>1147</v>
      </c>
      <c r="U690">
        <v>1473</v>
      </c>
      <c r="V690">
        <v>41.886099999999999</v>
      </c>
      <c r="W690">
        <v>726.05</v>
      </c>
      <c r="X690">
        <v>0</v>
      </c>
      <c r="Y690">
        <v>0</v>
      </c>
      <c r="Z690">
        <v>61698.23</v>
      </c>
      <c r="AA690">
        <v>62424.28</v>
      </c>
      <c r="AB690" s="12" t="s">
        <v>1116</v>
      </c>
      <c r="AC690">
        <v>41.886099999999999</v>
      </c>
      <c r="AD690">
        <v>1</v>
      </c>
      <c r="AE690">
        <v>1</v>
      </c>
      <c r="AF690">
        <v>0</v>
      </c>
      <c r="AG690">
        <v>61698.23</v>
      </c>
      <c r="AH690">
        <v>1473</v>
      </c>
      <c r="AI690">
        <v>1466</v>
      </c>
      <c r="AJ690">
        <v>7</v>
      </c>
      <c r="AK690">
        <v>1</v>
      </c>
      <c r="AL690">
        <v>1</v>
      </c>
      <c r="AM690">
        <v>99.52</v>
      </c>
      <c r="AN690">
        <v>42.581400000000002</v>
      </c>
      <c r="AO690">
        <v>293.2</v>
      </c>
      <c r="AP690" s="13">
        <v>45135</v>
      </c>
      <c r="AQ690">
        <v>4</v>
      </c>
      <c r="AR690">
        <v>0</v>
      </c>
    </row>
    <row r="691" spans="1:44" x14ac:dyDescent="0.35">
      <c r="A691" s="12" t="s">
        <v>1341</v>
      </c>
      <c r="B691" s="12" t="s">
        <v>293</v>
      </c>
      <c r="C691" s="12" t="s">
        <v>294</v>
      </c>
      <c r="D691" s="12" t="s">
        <v>114</v>
      </c>
      <c r="E691" s="12" t="s">
        <v>142</v>
      </c>
      <c r="F691">
        <v>1</v>
      </c>
      <c r="G691">
        <v>6</v>
      </c>
      <c r="H691">
        <v>1</v>
      </c>
      <c r="I691" s="12" t="s">
        <v>195</v>
      </c>
      <c r="J691" s="12" t="s">
        <v>196</v>
      </c>
      <c r="K691" s="12" t="s">
        <v>117</v>
      </c>
      <c r="L691" s="12" t="s">
        <v>134</v>
      </c>
      <c r="M691">
        <v>4.7699999999999996</v>
      </c>
      <c r="N691" s="12" t="s">
        <v>70</v>
      </c>
      <c r="O691" s="12" t="s">
        <v>71</v>
      </c>
      <c r="P691" s="12" t="s">
        <v>72</v>
      </c>
      <c r="Q691" s="13">
        <v>45107</v>
      </c>
      <c r="R691" s="13">
        <v>45148</v>
      </c>
      <c r="S691">
        <v>2023</v>
      </c>
      <c r="T691" s="12" t="s">
        <v>1147</v>
      </c>
      <c r="U691">
        <v>63</v>
      </c>
      <c r="V691">
        <v>206.0489</v>
      </c>
      <c r="W691">
        <v>217.9</v>
      </c>
      <c r="X691">
        <v>0</v>
      </c>
      <c r="Y691">
        <v>0</v>
      </c>
      <c r="Z691">
        <v>12981.08</v>
      </c>
      <c r="AA691">
        <v>13198.98</v>
      </c>
      <c r="AB691" s="12" t="s">
        <v>295</v>
      </c>
      <c r="AC691">
        <v>206.0489</v>
      </c>
      <c r="AD691">
        <v>1</v>
      </c>
      <c r="AE691">
        <v>1</v>
      </c>
      <c r="AF691">
        <v>0</v>
      </c>
      <c r="AG691">
        <v>12981.08</v>
      </c>
      <c r="AH691">
        <v>63</v>
      </c>
      <c r="AI691">
        <v>62</v>
      </c>
      <c r="AJ691">
        <v>1</v>
      </c>
      <c r="AK691">
        <v>1</v>
      </c>
      <c r="AL691">
        <v>1</v>
      </c>
      <c r="AM691">
        <v>98.41</v>
      </c>
      <c r="AN691">
        <v>212.88679999999999</v>
      </c>
      <c r="AO691">
        <v>206.05</v>
      </c>
      <c r="AP691" s="13">
        <v>45145</v>
      </c>
      <c r="AQ691">
        <v>-3</v>
      </c>
      <c r="AR691">
        <v>1</v>
      </c>
    </row>
    <row r="692" spans="1:44" x14ac:dyDescent="0.35">
      <c r="A692" s="12" t="s">
        <v>1342</v>
      </c>
      <c r="B692" s="12" t="s">
        <v>891</v>
      </c>
      <c r="C692" s="12" t="s">
        <v>892</v>
      </c>
      <c r="D692" s="12" t="s">
        <v>122</v>
      </c>
      <c r="E692" s="12" t="s">
        <v>65</v>
      </c>
      <c r="F692">
        <v>3</v>
      </c>
      <c r="G692">
        <v>5</v>
      </c>
      <c r="H692">
        <v>0</v>
      </c>
      <c r="I692" s="12" t="s">
        <v>195</v>
      </c>
      <c r="J692" s="12" t="s">
        <v>196</v>
      </c>
      <c r="K692" s="12" t="s">
        <v>117</v>
      </c>
      <c r="L692" s="12" t="s">
        <v>134</v>
      </c>
      <c r="M692">
        <v>4.7699999999999996</v>
      </c>
      <c r="N692" s="12" t="s">
        <v>97</v>
      </c>
      <c r="O692" s="12" t="s">
        <v>98</v>
      </c>
      <c r="P692" s="12" t="s">
        <v>72</v>
      </c>
      <c r="Q692" s="13">
        <v>45110</v>
      </c>
      <c r="R692" s="13">
        <v>45143</v>
      </c>
      <c r="S692">
        <v>2023</v>
      </c>
      <c r="T692" s="12" t="s">
        <v>1343</v>
      </c>
      <c r="U692">
        <v>1453</v>
      </c>
      <c r="V692">
        <v>39.456000000000003</v>
      </c>
      <c r="W692">
        <v>1110.21</v>
      </c>
      <c r="X692">
        <v>0</v>
      </c>
      <c r="Y692">
        <v>0</v>
      </c>
      <c r="Z692">
        <v>57329.57</v>
      </c>
      <c r="AA692">
        <v>58439.78</v>
      </c>
      <c r="AB692" s="12" t="s">
        <v>893</v>
      </c>
      <c r="AC692">
        <v>39.456000000000003</v>
      </c>
      <c r="AD692">
        <v>1</v>
      </c>
      <c r="AE692">
        <v>1</v>
      </c>
      <c r="AF692">
        <v>0</v>
      </c>
      <c r="AG692">
        <v>57329.57</v>
      </c>
      <c r="AH692">
        <v>1453</v>
      </c>
      <c r="AI692">
        <v>1439</v>
      </c>
      <c r="AJ692">
        <v>14</v>
      </c>
      <c r="AK692">
        <v>1</v>
      </c>
      <c r="AL692">
        <v>1</v>
      </c>
      <c r="AM692">
        <v>99.04</v>
      </c>
      <c r="AN692">
        <v>40.611400000000003</v>
      </c>
      <c r="AO692">
        <v>552.38</v>
      </c>
      <c r="AP692" s="13">
        <v>45140</v>
      </c>
      <c r="AQ692">
        <v>-3</v>
      </c>
      <c r="AR692">
        <v>1</v>
      </c>
    </row>
    <row r="693" spans="1:44" x14ac:dyDescent="0.35">
      <c r="A693" s="12" t="s">
        <v>1344</v>
      </c>
      <c r="B693" s="12" t="s">
        <v>548</v>
      </c>
      <c r="C693" s="12" t="s">
        <v>549</v>
      </c>
      <c r="D693" s="12" t="s">
        <v>78</v>
      </c>
      <c r="E693" s="12" t="s">
        <v>104</v>
      </c>
      <c r="F693">
        <v>3</v>
      </c>
      <c r="G693">
        <v>1</v>
      </c>
      <c r="H693">
        <v>0</v>
      </c>
      <c r="I693" s="12" t="s">
        <v>223</v>
      </c>
      <c r="J693" s="12" t="s">
        <v>224</v>
      </c>
      <c r="K693" s="12" t="s">
        <v>81</v>
      </c>
      <c r="L693" s="12" t="s">
        <v>134</v>
      </c>
      <c r="M693">
        <v>2.4900000000000002</v>
      </c>
      <c r="N693" s="12" t="s">
        <v>97</v>
      </c>
      <c r="O693" s="12" t="s">
        <v>98</v>
      </c>
      <c r="P693" s="12" t="s">
        <v>72</v>
      </c>
      <c r="Q693" s="13">
        <v>45110</v>
      </c>
      <c r="R693" s="13">
        <v>45136</v>
      </c>
      <c r="S693">
        <v>2023</v>
      </c>
      <c r="T693" s="12" t="s">
        <v>1343</v>
      </c>
      <c r="U693">
        <v>242</v>
      </c>
      <c r="V693">
        <v>62.471600000000002</v>
      </c>
      <c r="W693">
        <v>389.6</v>
      </c>
      <c r="X693">
        <v>0</v>
      </c>
      <c r="Y693">
        <v>0</v>
      </c>
      <c r="Z693">
        <v>15118.13</v>
      </c>
      <c r="AA693">
        <v>15507.73</v>
      </c>
      <c r="AB693" s="12" t="s">
        <v>550</v>
      </c>
      <c r="AC693">
        <v>62.471600000000002</v>
      </c>
      <c r="AD693">
        <v>1</v>
      </c>
      <c r="AE693">
        <v>1</v>
      </c>
      <c r="AF693">
        <v>0</v>
      </c>
      <c r="AG693">
        <v>15118.13</v>
      </c>
      <c r="AH693">
        <v>242</v>
      </c>
      <c r="AI693">
        <v>239</v>
      </c>
      <c r="AJ693">
        <v>3</v>
      </c>
      <c r="AK693">
        <v>1</v>
      </c>
      <c r="AL693">
        <v>1</v>
      </c>
      <c r="AM693">
        <v>98.76</v>
      </c>
      <c r="AN693">
        <v>64.885900000000007</v>
      </c>
      <c r="AO693">
        <v>187.41</v>
      </c>
      <c r="AP693" s="13">
        <v>45139</v>
      </c>
      <c r="AQ693">
        <v>3</v>
      </c>
      <c r="AR693">
        <v>0</v>
      </c>
    </row>
    <row r="694" spans="1:44" x14ac:dyDescent="0.35">
      <c r="A694" s="12" t="s">
        <v>1345</v>
      </c>
      <c r="B694" s="12" t="s">
        <v>1054</v>
      </c>
      <c r="C694" s="12" t="s">
        <v>1055</v>
      </c>
      <c r="D694" s="12" t="s">
        <v>122</v>
      </c>
      <c r="E694" s="12" t="s">
        <v>65</v>
      </c>
      <c r="F694">
        <v>1</v>
      </c>
      <c r="G694">
        <v>2</v>
      </c>
      <c r="H694">
        <v>1</v>
      </c>
      <c r="I694" s="12" t="s">
        <v>176</v>
      </c>
      <c r="J694" s="12" t="s">
        <v>177</v>
      </c>
      <c r="K694" s="12" t="s">
        <v>125</v>
      </c>
      <c r="L694" s="12" t="s">
        <v>134</v>
      </c>
      <c r="M694">
        <v>1.75</v>
      </c>
      <c r="N694" s="12" t="s">
        <v>97</v>
      </c>
      <c r="O694" s="12" t="s">
        <v>98</v>
      </c>
      <c r="P694" s="12" t="s">
        <v>72</v>
      </c>
      <c r="Q694" s="13">
        <v>45110</v>
      </c>
      <c r="R694" s="13">
        <v>45133</v>
      </c>
      <c r="S694">
        <v>2023</v>
      </c>
      <c r="T694" s="12" t="s">
        <v>1343</v>
      </c>
      <c r="U694">
        <v>460</v>
      </c>
      <c r="V694">
        <v>46.916699999999999</v>
      </c>
      <c r="W694">
        <v>432.26</v>
      </c>
      <c r="X694">
        <v>0</v>
      </c>
      <c r="Y694">
        <v>0</v>
      </c>
      <c r="Z694">
        <v>21581.68</v>
      </c>
      <c r="AA694">
        <v>22013.94</v>
      </c>
      <c r="AB694" s="12" t="s">
        <v>1056</v>
      </c>
      <c r="AC694">
        <v>46.916699999999999</v>
      </c>
      <c r="AD694">
        <v>1</v>
      </c>
      <c r="AE694">
        <v>1</v>
      </c>
      <c r="AF694">
        <v>0</v>
      </c>
      <c r="AG694">
        <v>21581.68</v>
      </c>
      <c r="AH694">
        <v>460</v>
      </c>
      <c r="AI694">
        <v>459</v>
      </c>
      <c r="AJ694">
        <v>1</v>
      </c>
      <c r="AK694">
        <v>1</v>
      </c>
      <c r="AL694">
        <v>1</v>
      </c>
      <c r="AM694">
        <v>99.78</v>
      </c>
      <c r="AN694">
        <v>47.960700000000003</v>
      </c>
      <c r="AO694">
        <v>46.92</v>
      </c>
      <c r="AP694" s="13">
        <v>45131</v>
      </c>
      <c r="AQ694">
        <v>-2</v>
      </c>
      <c r="AR694">
        <v>1</v>
      </c>
    </row>
    <row r="695" spans="1:44" x14ac:dyDescent="0.35">
      <c r="A695" s="12" t="s">
        <v>1346</v>
      </c>
      <c r="B695" s="12" t="s">
        <v>416</v>
      </c>
      <c r="C695" s="12" t="s">
        <v>417</v>
      </c>
      <c r="D695" s="12" t="s">
        <v>78</v>
      </c>
      <c r="E695" s="12" t="s">
        <v>65</v>
      </c>
      <c r="F695">
        <v>3</v>
      </c>
      <c r="G695">
        <v>5</v>
      </c>
      <c r="H695">
        <v>0</v>
      </c>
      <c r="I695" s="12" t="s">
        <v>169</v>
      </c>
      <c r="J695" s="12" t="s">
        <v>170</v>
      </c>
      <c r="K695" s="12" t="s">
        <v>89</v>
      </c>
      <c r="L695" s="12" t="s">
        <v>134</v>
      </c>
      <c r="M695">
        <v>1.37</v>
      </c>
      <c r="N695" s="12" t="s">
        <v>97</v>
      </c>
      <c r="O695" s="12" t="s">
        <v>98</v>
      </c>
      <c r="P695" s="12" t="s">
        <v>72</v>
      </c>
      <c r="Q695" s="13">
        <v>45110</v>
      </c>
      <c r="R695" s="13">
        <v>45135</v>
      </c>
      <c r="S695">
        <v>2023</v>
      </c>
      <c r="T695" s="12" t="s">
        <v>1343</v>
      </c>
      <c r="U695">
        <v>110</v>
      </c>
      <c r="V695">
        <v>144.15710000000001</v>
      </c>
      <c r="W695">
        <v>219.2</v>
      </c>
      <c r="X695">
        <v>0</v>
      </c>
      <c r="Y695">
        <v>0</v>
      </c>
      <c r="Z695">
        <v>15857.28</v>
      </c>
      <c r="AA695">
        <v>16076.48</v>
      </c>
      <c r="AB695" s="12" t="s">
        <v>418</v>
      </c>
      <c r="AC695">
        <v>144.15710000000001</v>
      </c>
      <c r="AD695">
        <v>1</v>
      </c>
      <c r="AE695">
        <v>1</v>
      </c>
      <c r="AF695">
        <v>0</v>
      </c>
      <c r="AG695">
        <v>15857.28</v>
      </c>
      <c r="AH695">
        <v>110</v>
      </c>
      <c r="AI695">
        <v>108</v>
      </c>
      <c r="AJ695">
        <v>2</v>
      </c>
      <c r="AK695">
        <v>1</v>
      </c>
      <c r="AL695">
        <v>1</v>
      </c>
      <c r="AM695">
        <v>98.18</v>
      </c>
      <c r="AN695">
        <v>148.8563</v>
      </c>
      <c r="AO695">
        <v>288.31</v>
      </c>
      <c r="AP695" s="13">
        <v>45135</v>
      </c>
      <c r="AQ695">
        <v>0</v>
      </c>
      <c r="AR695">
        <v>1</v>
      </c>
    </row>
    <row r="696" spans="1:44" x14ac:dyDescent="0.35">
      <c r="A696" s="12" t="s">
        <v>1347</v>
      </c>
      <c r="B696" s="12" t="s">
        <v>909</v>
      </c>
      <c r="C696" s="12" t="s">
        <v>910</v>
      </c>
      <c r="D696" s="12" t="s">
        <v>269</v>
      </c>
      <c r="E696" s="12" t="s">
        <v>65</v>
      </c>
      <c r="F696">
        <v>3</v>
      </c>
      <c r="G696">
        <v>4</v>
      </c>
      <c r="H696">
        <v>0</v>
      </c>
      <c r="I696" s="12" t="s">
        <v>199</v>
      </c>
      <c r="J696" s="12" t="s">
        <v>200</v>
      </c>
      <c r="K696" s="12" t="s">
        <v>68</v>
      </c>
      <c r="L696" s="12" t="s">
        <v>96</v>
      </c>
      <c r="M696">
        <v>9.4700000000000006</v>
      </c>
      <c r="N696" s="12" t="s">
        <v>135</v>
      </c>
      <c r="O696" s="12" t="s">
        <v>136</v>
      </c>
      <c r="P696" s="12" t="s">
        <v>137</v>
      </c>
      <c r="Q696" s="13">
        <v>45110</v>
      </c>
      <c r="R696" s="13">
        <v>45143</v>
      </c>
      <c r="S696">
        <v>2023</v>
      </c>
      <c r="T696" s="12" t="s">
        <v>1343</v>
      </c>
      <c r="U696">
        <v>105</v>
      </c>
      <c r="V696">
        <v>108.32040000000001</v>
      </c>
      <c r="W696">
        <v>116.55</v>
      </c>
      <c r="X696">
        <v>0</v>
      </c>
      <c r="Y696">
        <v>0</v>
      </c>
      <c r="Z696">
        <v>11373.64</v>
      </c>
      <c r="AA696">
        <v>11490.19</v>
      </c>
      <c r="AB696" s="12" t="s">
        <v>911</v>
      </c>
      <c r="AC696">
        <v>108.32040000000001</v>
      </c>
      <c r="AD696">
        <v>1</v>
      </c>
      <c r="AE696">
        <v>1</v>
      </c>
      <c r="AF696">
        <v>0</v>
      </c>
      <c r="AG696">
        <v>11373.64</v>
      </c>
      <c r="AH696">
        <v>105</v>
      </c>
      <c r="AI696">
        <v>105</v>
      </c>
      <c r="AJ696">
        <v>0</v>
      </c>
      <c r="AK696">
        <v>1</v>
      </c>
      <c r="AL696">
        <v>1</v>
      </c>
      <c r="AM696">
        <v>100</v>
      </c>
      <c r="AN696">
        <v>109.43040000000001</v>
      </c>
      <c r="AO696">
        <v>0</v>
      </c>
      <c r="AP696" s="13">
        <v>45142</v>
      </c>
      <c r="AQ696">
        <v>-1</v>
      </c>
      <c r="AR696">
        <v>1</v>
      </c>
    </row>
    <row r="697" spans="1:44" x14ac:dyDescent="0.35">
      <c r="A697" s="12" t="s">
        <v>1348</v>
      </c>
      <c r="B697" s="12" t="s">
        <v>555</v>
      </c>
      <c r="C697" s="12" t="s">
        <v>556</v>
      </c>
      <c r="D697" s="12" t="s">
        <v>114</v>
      </c>
      <c r="E697" s="12" t="s">
        <v>142</v>
      </c>
      <c r="F697">
        <v>1</v>
      </c>
      <c r="G697">
        <v>6</v>
      </c>
      <c r="H697">
        <v>1</v>
      </c>
      <c r="I697" s="12" t="s">
        <v>151</v>
      </c>
      <c r="J697" s="12" t="s">
        <v>152</v>
      </c>
      <c r="K697" s="12" t="s">
        <v>125</v>
      </c>
      <c r="L697" s="12" t="s">
        <v>69</v>
      </c>
      <c r="M697">
        <v>36.479999999999997</v>
      </c>
      <c r="N697" s="12" t="s">
        <v>70</v>
      </c>
      <c r="O697" s="12" t="s">
        <v>71</v>
      </c>
      <c r="P697" s="12" t="s">
        <v>72</v>
      </c>
      <c r="Q697" s="13">
        <v>45110</v>
      </c>
      <c r="R697" s="13">
        <v>45155</v>
      </c>
      <c r="S697">
        <v>2023</v>
      </c>
      <c r="T697" s="12" t="s">
        <v>1343</v>
      </c>
      <c r="U697">
        <v>95</v>
      </c>
      <c r="V697">
        <v>290.42770000000002</v>
      </c>
      <c r="W697">
        <v>308.52</v>
      </c>
      <c r="X697">
        <v>0</v>
      </c>
      <c r="Y697">
        <v>0</v>
      </c>
      <c r="Z697">
        <v>27590.63</v>
      </c>
      <c r="AA697">
        <v>27899.15</v>
      </c>
      <c r="AB697" s="12" t="s">
        <v>557</v>
      </c>
      <c r="AC697">
        <v>290.42770000000002</v>
      </c>
      <c r="AD697">
        <v>1</v>
      </c>
      <c r="AE697">
        <v>1</v>
      </c>
      <c r="AF697">
        <v>0</v>
      </c>
      <c r="AG697">
        <v>27590.63</v>
      </c>
      <c r="AH697">
        <v>95</v>
      </c>
      <c r="AI697">
        <v>93</v>
      </c>
      <c r="AJ697">
        <v>2</v>
      </c>
      <c r="AK697">
        <v>1</v>
      </c>
      <c r="AL697">
        <v>1</v>
      </c>
      <c r="AM697">
        <v>97.89</v>
      </c>
      <c r="AN697">
        <v>299.99090000000001</v>
      </c>
      <c r="AO697">
        <v>580.86</v>
      </c>
      <c r="AP697" s="13">
        <v>45154</v>
      </c>
      <c r="AQ697">
        <v>-1</v>
      </c>
      <c r="AR697">
        <v>1</v>
      </c>
    </row>
    <row r="698" spans="1:44" x14ac:dyDescent="0.35">
      <c r="A698" s="12" t="s">
        <v>1349</v>
      </c>
      <c r="B698" s="12" t="s">
        <v>569</v>
      </c>
      <c r="C698" s="12" t="s">
        <v>570</v>
      </c>
      <c r="D698" s="12" t="s">
        <v>114</v>
      </c>
      <c r="E698" s="12" t="s">
        <v>142</v>
      </c>
      <c r="F698">
        <v>1</v>
      </c>
      <c r="G698">
        <v>6</v>
      </c>
      <c r="H698">
        <v>1</v>
      </c>
      <c r="I698" s="12" t="s">
        <v>123</v>
      </c>
      <c r="J698" s="12" t="s">
        <v>124</v>
      </c>
      <c r="K698" s="12" t="s">
        <v>125</v>
      </c>
      <c r="L698" s="12" t="s">
        <v>82</v>
      </c>
      <c r="M698">
        <v>6.75</v>
      </c>
      <c r="N698" s="12" t="s">
        <v>70</v>
      </c>
      <c r="O698" s="12" t="s">
        <v>71</v>
      </c>
      <c r="P698" s="12" t="s">
        <v>72</v>
      </c>
      <c r="Q698" s="13">
        <v>45110</v>
      </c>
      <c r="R698" s="13">
        <v>45151</v>
      </c>
      <c r="S698">
        <v>2023</v>
      </c>
      <c r="T698" s="12" t="s">
        <v>1343</v>
      </c>
      <c r="U698">
        <v>57</v>
      </c>
      <c r="V698">
        <v>349.9393</v>
      </c>
      <c r="W698">
        <v>503.41</v>
      </c>
      <c r="X698">
        <v>0</v>
      </c>
      <c r="Y698">
        <v>0</v>
      </c>
      <c r="Z698">
        <v>19946.54</v>
      </c>
      <c r="AA698">
        <v>20449.95</v>
      </c>
      <c r="AB698" s="12" t="s">
        <v>571</v>
      </c>
      <c r="AC698">
        <v>349.9393</v>
      </c>
      <c r="AD698">
        <v>1</v>
      </c>
      <c r="AE698">
        <v>1</v>
      </c>
      <c r="AF698">
        <v>0</v>
      </c>
      <c r="AG698">
        <v>19946.54</v>
      </c>
      <c r="AH698">
        <v>57</v>
      </c>
      <c r="AI698">
        <v>56</v>
      </c>
      <c r="AJ698">
        <v>1</v>
      </c>
      <c r="AK698">
        <v>1</v>
      </c>
      <c r="AL698">
        <v>1</v>
      </c>
      <c r="AM698">
        <v>98.25</v>
      </c>
      <c r="AN698">
        <v>365.17770000000002</v>
      </c>
      <c r="AO698">
        <v>349.94</v>
      </c>
      <c r="AP698" s="13">
        <v>45148</v>
      </c>
      <c r="AQ698">
        <v>-3</v>
      </c>
      <c r="AR698">
        <v>1</v>
      </c>
    </row>
    <row r="699" spans="1:44" x14ac:dyDescent="0.35">
      <c r="A699" s="12" t="s">
        <v>1350</v>
      </c>
      <c r="B699" s="12" t="s">
        <v>990</v>
      </c>
      <c r="C699" s="12" t="s">
        <v>991</v>
      </c>
      <c r="D699" s="12" t="s">
        <v>122</v>
      </c>
      <c r="E699" s="12" t="s">
        <v>142</v>
      </c>
      <c r="F699">
        <v>1</v>
      </c>
      <c r="G699">
        <v>6</v>
      </c>
      <c r="H699">
        <v>1</v>
      </c>
      <c r="I699" s="12" t="s">
        <v>217</v>
      </c>
      <c r="J699" s="12" t="s">
        <v>218</v>
      </c>
      <c r="K699" s="12" t="s">
        <v>68</v>
      </c>
      <c r="L699" s="12" t="s">
        <v>82</v>
      </c>
      <c r="M699">
        <v>14.24</v>
      </c>
      <c r="N699" s="12" t="s">
        <v>70</v>
      </c>
      <c r="O699" s="12" t="s">
        <v>71</v>
      </c>
      <c r="P699" s="12" t="s">
        <v>72</v>
      </c>
      <c r="Q699" s="13">
        <v>45110</v>
      </c>
      <c r="R699" s="13">
        <v>45158</v>
      </c>
      <c r="S699">
        <v>2023</v>
      </c>
      <c r="T699" s="12" t="s">
        <v>1343</v>
      </c>
      <c r="U699">
        <v>1531</v>
      </c>
      <c r="V699">
        <v>33.697499999999998</v>
      </c>
      <c r="W699">
        <v>444.63</v>
      </c>
      <c r="X699">
        <v>0</v>
      </c>
      <c r="Y699">
        <v>0</v>
      </c>
      <c r="Z699">
        <v>51590.87</v>
      </c>
      <c r="AA699">
        <v>52035.5</v>
      </c>
      <c r="AB699" s="12" t="s">
        <v>992</v>
      </c>
      <c r="AC699">
        <v>33.697499999999998</v>
      </c>
      <c r="AD699">
        <v>1</v>
      </c>
      <c r="AE699">
        <v>1</v>
      </c>
      <c r="AF699">
        <v>0</v>
      </c>
      <c r="AG699">
        <v>51590.87</v>
      </c>
      <c r="AH699">
        <v>1531</v>
      </c>
      <c r="AI699">
        <v>1520</v>
      </c>
      <c r="AJ699">
        <v>11</v>
      </c>
      <c r="AK699">
        <v>1</v>
      </c>
      <c r="AL699">
        <v>1</v>
      </c>
      <c r="AM699">
        <v>99.28</v>
      </c>
      <c r="AN699">
        <v>34.233899999999998</v>
      </c>
      <c r="AO699">
        <v>370.67</v>
      </c>
      <c r="AP699" s="13">
        <v>45158</v>
      </c>
      <c r="AQ699">
        <v>0</v>
      </c>
      <c r="AR699">
        <v>1</v>
      </c>
    </row>
    <row r="700" spans="1:44" x14ac:dyDescent="0.35">
      <c r="A700" s="12" t="s">
        <v>1351</v>
      </c>
      <c r="B700" s="12" t="s">
        <v>357</v>
      </c>
      <c r="C700" s="12" t="s">
        <v>358</v>
      </c>
      <c r="D700" s="12" t="s">
        <v>103</v>
      </c>
      <c r="E700" s="12" t="s">
        <v>104</v>
      </c>
      <c r="F700">
        <v>3</v>
      </c>
      <c r="G700">
        <v>1</v>
      </c>
      <c r="H700">
        <v>0</v>
      </c>
      <c r="I700" s="12" t="s">
        <v>105</v>
      </c>
      <c r="J700" s="12" t="s">
        <v>106</v>
      </c>
      <c r="K700" s="12" t="s">
        <v>81</v>
      </c>
      <c r="L700" s="12" t="s">
        <v>96</v>
      </c>
      <c r="M700">
        <v>5.01</v>
      </c>
      <c r="N700" s="12" t="s">
        <v>107</v>
      </c>
      <c r="O700" s="12" t="s">
        <v>108</v>
      </c>
      <c r="P700" s="12" t="s">
        <v>109</v>
      </c>
      <c r="Q700" s="13">
        <v>45110</v>
      </c>
      <c r="R700" s="13">
        <v>45135</v>
      </c>
      <c r="S700">
        <v>2023</v>
      </c>
      <c r="T700" s="12" t="s">
        <v>1343</v>
      </c>
      <c r="U700">
        <v>117</v>
      </c>
      <c r="V700">
        <v>106.6914</v>
      </c>
      <c r="W700">
        <v>123.1</v>
      </c>
      <c r="X700">
        <v>0</v>
      </c>
      <c r="Y700">
        <v>0</v>
      </c>
      <c r="Z700">
        <v>12482.89</v>
      </c>
      <c r="AA700">
        <v>12605.99</v>
      </c>
      <c r="AB700" s="12" t="s">
        <v>882</v>
      </c>
      <c r="AC700">
        <v>106.6914</v>
      </c>
      <c r="AD700">
        <v>1</v>
      </c>
      <c r="AE700">
        <v>1</v>
      </c>
      <c r="AF700">
        <v>0</v>
      </c>
      <c r="AG700">
        <v>12482.89</v>
      </c>
      <c r="AH700">
        <v>117</v>
      </c>
      <c r="AI700">
        <v>116</v>
      </c>
      <c r="AJ700">
        <v>1</v>
      </c>
      <c r="AK700">
        <v>1</v>
      </c>
      <c r="AL700">
        <v>1</v>
      </c>
      <c r="AM700">
        <v>99.15</v>
      </c>
      <c r="AN700">
        <v>108.6724</v>
      </c>
      <c r="AO700">
        <v>106.69</v>
      </c>
      <c r="AP700" s="13">
        <v>45135</v>
      </c>
      <c r="AQ700">
        <v>0</v>
      </c>
      <c r="AR700">
        <v>1</v>
      </c>
    </row>
    <row r="701" spans="1:44" x14ac:dyDescent="0.35">
      <c r="A701" s="12" t="s">
        <v>1352</v>
      </c>
      <c r="B701" s="12" t="s">
        <v>1026</v>
      </c>
      <c r="C701" s="12" t="s">
        <v>1027</v>
      </c>
      <c r="D701" s="12" t="s">
        <v>122</v>
      </c>
      <c r="E701" s="12" t="s">
        <v>104</v>
      </c>
      <c r="F701">
        <v>3</v>
      </c>
      <c r="G701">
        <v>1</v>
      </c>
      <c r="H701">
        <v>0</v>
      </c>
      <c r="I701" s="12" t="s">
        <v>604</v>
      </c>
      <c r="J701" s="12" t="s">
        <v>605</v>
      </c>
      <c r="K701" s="12" t="s">
        <v>68</v>
      </c>
      <c r="L701" s="12" t="s">
        <v>82</v>
      </c>
      <c r="M701">
        <v>7.24</v>
      </c>
      <c r="N701" s="12" t="s">
        <v>97</v>
      </c>
      <c r="O701" s="12" t="s">
        <v>98</v>
      </c>
      <c r="P701" s="12" t="s">
        <v>72</v>
      </c>
      <c r="Q701" s="13">
        <v>45110</v>
      </c>
      <c r="R701" s="13">
        <v>45129</v>
      </c>
      <c r="S701">
        <v>2023</v>
      </c>
      <c r="T701" s="12" t="s">
        <v>1343</v>
      </c>
      <c r="U701">
        <v>962</v>
      </c>
      <c r="V701">
        <v>41.886099999999999</v>
      </c>
      <c r="W701">
        <v>359.78</v>
      </c>
      <c r="X701">
        <v>0</v>
      </c>
      <c r="Y701">
        <v>0</v>
      </c>
      <c r="Z701">
        <v>40294.43</v>
      </c>
      <c r="AA701">
        <v>40654.21</v>
      </c>
      <c r="AB701" s="12" t="s">
        <v>1028</v>
      </c>
      <c r="AC701">
        <v>41.886099999999999</v>
      </c>
      <c r="AD701">
        <v>1</v>
      </c>
      <c r="AE701">
        <v>1</v>
      </c>
      <c r="AF701">
        <v>0</v>
      </c>
      <c r="AG701">
        <v>40294.43</v>
      </c>
      <c r="AH701">
        <v>962</v>
      </c>
      <c r="AI701">
        <v>954</v>
      </c>
      <c r="AJ701">
        <v>8</v>
      </c>
      <c r="AK701">
        <v>1</v>
      </c>
      <c r="AL701">
        <v>1</v>
      </c>
      <c r="AM701">
        <v>99.17</v>
      </c>
      <c r="AN701">
        <v>42.6145</v>
      </c>
      <c r="AO701">
        <v>335.09</v>
      </c>
      <c r="AP701" s="13">
        <v>45126</v>
      </c>
      <c r="AQ701">
        <v>-3</v>
      </c>
      <c r="AR701">
        <v>1</v>
      </c>
    </row>
    <row r="702" spans="1:44" x14ac:dyDescent="0.35">
      <c r="A702" s="12" t="s">
        <v>1353</v>
      </c>
      <c r="B702" s="12" t="s">
        <v>640</v>
      </c>
      <c r="C702" s="12" t="s">
        <v>641</v>
      </c>
      <c r="D702" s="12" t="s">
        <v>130</v>
      </c>
      <c r="E702" s="12" t="s">
        <v>104</v>
      </c>
      <c r="F702">
        <v>3</v>
      </c>
      <c r="G702">
        <v>0</v>
      </c>
      <c r="H702">
        <v>0</v>
      </c>
      <c r="I702" s="12" t="s">
        <v>209</v>
      </c>
      <c r="J702" s="12" t="s">
        <v>210</v>
      </c>
      <c r="K702" s="12" t="s">
        <v>133</v>
      </c>
      <c r="L702" s="12" t="s">
        <v>96</v>
      </c>
      <c r="M702">
        <v>7.82</v>
      </c>
      <c r="N702" s="12" t="s">
        <v>135</v>
      </c>
      <c r="O702" s="12" t="s">
        <v>136</v>
      </c>
      <c r="P702" s="12" t="s">
        <v>137</v>
      </c>
      <c r="Q702" s="13">
        <v>45110</v>
      </c>
      <c r="R702" s="13">
        <v>45131</v>
      </c>
      <c r="S702">
        <v>2023</v>
      </c>
      <c r="T702" s="12" t="s">
        <v>1343</v>
      </c>
      <c r="U702">
        <v>84</v>
      </c>
      <c r="V702">
        <v>1008.4116</v>
      </c>
      <c r="W702">
        <v>1964.35</v>
      </c>
      <c r="X702">
        <v>0</v>
      </c>
      <c r="Y702">
        <v>0</v>
      </c>
      <c r="Z702">
        <v>84706.57</v>
      </c>
      <c r="AA702">
        <v>86670.92</v>
      </c>
      <c r="AB702" s="12" t="s">
        <v>642</v>
      </c>
      <c r="AC702">
        <v>1008.4116</v>
      </c>
      <c r="AD702">
        <v>1</v>
      </c>
      <c r="AE702">
        <v>1</v>
      </c>
      <c r="AF702">
        <v>0</v>
      </c>
      <c r="AG702">
        <v>84706.57</v>
      </c>
      <c r="AH702">
        <v>84</v>
      </c>
      <c r="AI702">
        <v>84</v>
      </c>
      <c r="AJ702">
        <v>0</v>
      </c>
      <c r="AK702">
        <v>1</v>
      </c>
      <c r="AL702">
        <v>1</v>
      </c>
      <c r="AM702">
        <v>100</v>
      </c>
      <c r="AN702">
        <v>1031.7967000000001</v>
      </c>
      <c r="AO702">
        <v>0</v>
      </c>
      <c r="AP702" s="13">
        <v>45129</v>
      </c>
      <c r="AQ702">
        <v>-2</v>
      </c>
      <c r="AR702">
        <v>1</v>
      </c>
    </row>
    <row r="703" spans="1:44" x14ac:dyDescent="0.35">
      <c r="A703" s="12" t="s">
        <v>1354</v>
      </c>
      <c r="B703" s="12" t="s">
        <v>447</v>
      </c>
      <c r="C703" s="12" t="s">
        <v>448</v>
      </c>
      <c r="D703" s="12" t="s">
        <v>269</v>
      </c>
      <c r="E703" s="12" t="s">
        <v>65</v>
      </c>
      <c r="F703">
        <v>2</v>
      </c>
      <c r="G703">
        <v>2</v>
      </c>
      <c r="H703">
        <v>0</v>
      </c>
      <c r="I703" s="12" t="s">
        <v>94</v>
      </c>
      <c r="J703" s="12" t="s">
        <v>95</v>
      </c>
      <c r="K703" s="12" t="s">
        <v>81</v>
      </c>
      <c r="L703" s="12" t="s">
        <v>96</v>
      </c>
      <c r="M703">
        <v>4.8099999999999996</v>
      </c>
      <c r="N703" s="12" t="s">
        <v>159</v>
      </c>
      <c r="O703" s="12" t="s">
        <v>160</v>
      </c>
      <c r="P703" s="12" t="s">
        <v>137</v>
      </c>
      <c r="Q703" s="13">
        <v>45110</v>
      </c>
      <c r="R703" s="13">
        <v>45140</v>
      </c>
      <c r="S703">
        <v>2023</v>
      </c>
      <c r="T703" s="12" t="s">
        <v>1343</v>
      </c>
      <c r="U703">
        <v>87</v>
      </c>
      <c r="V703">
        <v>388.54930000000002</v>
      </c>
      <c r="W703">
        <v>490.85</v>
      </c>
      <c r="X703">
        <v>0</v>
      </c>
      <c r="Y703">
        <v>0</v>
      </c>
      <c r="Z703">
        <v>33803.79</v>
      </c>
      <c r="AA703">
        <v>34294.639999999999</v>
      </c>
      <c r="AB703" s="12" t="s">
        <v>449</v>
      </c>
      <c r="AC703">
        <v>388.54930000000002</v>
      </c>
      <c r="AD703">
        <v>1</v>
      </c>
      <c r="AE703">
        <v>1</v>
      </c>
      <c r="AF703">
        <v>0</v>
      </c>
      <c r="AG703">
        <v>33803.79</v>
      </c>
      <c r="AH703">
        <v>87</v>
      </c>
      <c r="AI703">
        <v>87</v>
      </c>
      <c r="AJ703">
        <v>0</v>
      </c>
      <c r="AK703">
        <v>1</v>
      </c>
      <c r="AL703">
        <v>1</v>
      </c>
      <c r="AM703">
        <v>100</v>
      </c>
      <c r="AN703">
        <v>394.19130000000001</v>
      </c>
      <c r="AO703">
        <v>0</v>
      </c>
      <c r="AP703" s="13">
        <v>45140</v>
      </c>
      <c r="AQ703">
        <v>0</v>
      </c>
      <c r="AR703">
        <v>1</v>
      </c>
    </row>
    <row r="704" spans="1:44" x14ac:dyDescent="0.35">
      <c r="A704" s="12" t="s">
        <v>1355</v>
      </c>
      <c r="B704" s="12" t="s">
        <v>902</v>
      </c>
      <c r="C704" s="12" t="s">
        <v>903</v>
      </c>
      <c r="D704" s="12" t="s">
        <v>122</v>
      </c>
      <c r="E704" s="12" t="s">
        <v>142</v>
      </c>
      <c r="F704">
        <v>1</v>
      </c>
      <c r="G704">
        <v>6</v>
      </c>
      <c r="H704">
        <v>1</v>
      </c>
      <c r="I704" s="12" t="s">
        <v>105</v>
      </c>
      <c r="J704" s="12" t="s">
        <v>106</v>
      </c>
      <c r="K704" s="12" t="s">
        <v>81</v>
      </c>
      <c r="L704" s="12" t="s">
        <v>96</v>
      </c>
      <c r="M704">
        <v>5.01</v>
      </c>
      <c r="N704" s="12" t="s">
        <v>70</v>
      </c>
      <c r="O704" s="12" t="s">
        <v>71</v>
      </c>
      <c r="P704" s="12" t="s">
        <v>72</v>
      </c>
      <c r="Q704" s="13">
        <v>45110</v>
      </c>
      <c r="R704" s="13">
        <v>45155</v>
      </c>
      <c r="S704">
        <v>2023</v>
      </c>
      <c r="T704" s="12" t="s">
        <v>1343</v>
      </c>
      <c r="U704">
        <v>1274</v>
      </c>
      <c r="V704">
        <v>39.402200000000001</v>
      </c>
      <c r="W704">
        <v>501.62</v>
      </c>
      <c r="X704">
        <v>0</v>
      </c>
      <c r="Y704">
        <v>0</v>
      </c>
      <c r="Z704">
        <v>50198.400000000001</v>
      </c>
      <c r="AA704">
        <v>50700.02</v>
      </c>
      <c r="AB704" s="12" t="s">
        <v>904</v>
      </c>
      <c r="AC704">
        <v>41.861199999999997</v>
      </c>
      <c r="AD704">
        <v>1</v>
      </c>
      <c r="AE704">
        <v>1</v>
      </c>
      <c r="AF704">
        <v>-3132.77</v>
      </c>
      <c r="AG704">
        <v>53331.17</v>
      </c>
      <c r="AH704">
        <v>1274</v>
      </c>
      <c r="AI704">
        <v>1259</v>
      </c>
      <c r="AJ704">
        <v>15</v>
      </c>
      <c r="AK704">
        <v>1</v>
      </c>
      <c r="AL704">
        <v>1</v>
      </c>
      <c r="AM704">
        <v>98.82</v>
      </c>
      <c r="AN704">
        <v>40.270099999999999</v>
      </c>
      <c r="AO704">
        <v>591.03</v>
      </c>
      <c r="AP704" s="13">
        <v>45154</v>
      </c>
      <c r="AQ704">
        <v>-1</v>
      </c>
      <c r="AR704">
        <v>1</v>
      </c>
    </row>
    <row r="705" spans="1:44" x14ac:dyDescent="0.35">
      <c r="A705" s="12" t="s">
        <v>1356</v>
      </c>
      <c r="B705" s="12" t="s">
        <v>837</v>
      </c>
      <c r="C705" s="12" t="s">
        <v>838</v>
      </c>
      <c r="D705" s="12" t="s">
        <v>114</v>
      </c>
      <c r="E705" s="12" t="s">
        <v>104</v>
      </c>
      <c r="F705">
        <v>2</v>
      </c>
      <c r="G705">
        <v>0</v>
      </c>
      <c r="H705">
        <v>0</v>
      </c>
      <c r="I705" s="12" t="s">
        <v>199</v>
      </c>
      <c r="J705" s="12" t="s">
        <v>200</v>
      </c>
      <c r="K705" s="12" t="s">
        <v>68</v>
      </c>
      <c r="L705" s="12" t="s">
        <v>96</v>
      </c>
      <c r="M705">
        <v>9.4700000000000006</v>
      </c>
      <c r="N705" s="12" t="s">
        <v>97</v>
      </c>
      <c r="O705" s="12" t="s">
        <v>98</v>
      </c>
      <c r="P705" s="12" t="s">
        <v>72</v>
      </c>
      <c r="Q705" s="13">
        <v>45111</v>
      </c>
      <c r="R705" s="13">
        <v>45139</v>
      </c>
      <c r="S705">
        <v>2023</v>
      </c>
      <c r="T705" s="12" t="s">
        <v>1343</v>
      </c>
      <c r="U705">
        <v>136</v>
      </c>
      <c r="V705">
        <v>71.121200000000002</v>
      </c>
      <c r="W705">
        <v>157.33000000000001</v>
      </c>
      <c r="X705">
        <v>315.36</v>
      </c>
      <c r="Y705">
        <v>1</v>
      </c>
      <c r="Z705">
        <v>9672.48</v>
      </c>
      <c r="AA705">
        <v>10145.17</v>
      </c>
      <c r="AB705" s="12" t="s">
        <v>839</v>
      </c>
      <c r="AC705">
        <v>71.121200000000002</v>
      </c>
      <c r="AD705">
        <v>1</v>
      </c>
      <c r="AE705">
        <v>1</v>
      </c>
      <c r="AF705">
        <v>0</v>
      </c>
      <c r="AG705">
        <v>9672.48</v>
      </c>
      <c r="AH705">
        <v>136</v>
      </c>
      <c r="AI705">
        <v>135</v>
      </c>
      <c r="AJ705">
        <v>1</v>
      </c>
      <c r="AK705">
        <v>1</v>
      </c>
      <c r="AL705">
        <v>1</v>
      </c>
      <c r="AM705">
        <v>99.26</v>
      </c>
      <c r="AN705">
        <v>75.1494</v>
      </c>
      <c r="AO705">
        <v>71.12</v>
      </c>
      <c r="AP705" s="13">
        <v>45139</v>
      </c>
      <c r="AQ705">
        <v>0</v>
      </c>
      <c r="AR705">
        <v>1</v>
      </c>
    </row>
    <row r="706" spans="1:44" x14ac:dyDescent="0.35">
      <c r="A706" s="12" t="s">
        <v>1357</v>
      </c>
      <c r="B706" s="12" t="s">
        <v>503</v>
      </c>
      <c r="C706" s="12" t="s">
        <v>504</v>
      </c>
      <c r="D706" s="12" t="s">
        <v>103</v>
      </c>
      <c r="E706" s="12" t="s">
        <v>104</v>
      </c>
      <c r="F706">
        <v>3</v>
      </c>
      <c r="G706">
        <v>1</v>
      </c>
      <c r="H706">
        <v>0</v>
      </c>
      <c r="I706" s="12" t="s">
        <v>251</v>
      </c>
      <c r="J706" s="12" t="s">
        <v>252</v>
      </c>
      <c r="K706" s="12" t="s">
        <v>133</v>
      </c>
      <c r="L706" s="12" t="s">
        <v>69</v>
      </c>
      <c r="M706">
        <v>34.49</v>
      </c>
      <c r="N706" s="12" t="s">
        <v>145</v>
      </c>
      <c r="O706" s="12" t="s">
        <v>146</v>
      </c>
      <c r="P706" s="12" t="s">
        <v>109</v>
      </c>
      <c r="Q706" s="13">
        <v>45111</v>
      </c>
      <c r="R706" s="13">
        <v>45134</v>
      </c>
      <c r="S706">
        <v>2023</v>
      </c>
      <c r="T706" s="12" t="s">
        <v>1343</v>
      </c>
      <c r="U706">
        <v>102</v>
      </c>
      <c r="V706">
        <v>158.00909999999999</v>
      </c>
      <c r="W706">
        <v>285.92</v>
      </c>
      <c r="X706">
        <v>0</v>
      </c>
      <c r="Y706">
        <v>0</v>
      </c>
      <c r="Z706">
        <v>16116.93</v>
      </c>
      <c r="AA706">
        <v>16402.849999999999</v>
      </c>
      <c r="AB706" s="12" t="s">
        <v>1358</v>
      </c>
      <c r="AC706">
        <v>158.00909999999999</v>
      </c>
      <c r="AD706">
        <v>1</v>
      </c>
      <c r="AE706">
        <v>1</v>
      </c>
      <c r="AF706">
        <v>0</v>
      </c>
      <c r="AG706">
        <v>16116.93</v>
      </c>
      <c r="AH706">
        <v>102</v>
      </c>
      <c r="AI706">
        <v>100</v>
      </c>
      <c r="AJ706">
        <v>2</v>
      </c>
      <c r="AK706">
        <v>1</v>
      </c>
      <c r="AL706">
        <v>1</v>
      </c>
      <c r="AM706">
        <v>98.04</v>
      </c>
      <c r="AN706">
        <v>164.02850000000001</v>
      </c>
      <c r="AO706">
        <v>316.02</v>
      </c>
      <c r="AP706" s="13">
        <v>45134</v>
      </c>
      <c r="AQ706">
        <v>0</v>
      </c>
      <c r="AR706">
        <v>1</v>
      </c>
    </row>
    <row r="707" spans="1:44" x14ac:dyDescent="0.35">
      <c r="A707" s="12" t="s">
        <v>1359</v>
      </c>
      <c r="B707" s="12" t="s">
        <v>267</v>
      </c>
      <c r="C707" s="12" t="s">
        <v>268</v>
      </c>
      <c r="D707" s="12" t="s">
        <v>269</v>
      </c>
      <c r="E707" s="12" t="s">
        <v>142</v>
      </c>
      <c r="F707">
        <v>1</v>
      </c>
      <c r="G707">
        <v>8</v>
      </c>
      <c r="H707">
        <v>1</v>
      </c>
      <c r="I707" s="12" t="s">
        <v>94</v>
      </c>
      <c r="J707" s="12" t="s">
        <v>95</v>
      </c>
      <c r="K707" s="12" t="s">
        <v>81</v>
      </c>
      <c r="L707" s="12" t="s">
        <v>96</v>
      </c>
      <c r="M707">
        <v>4.8099999999999996</v>
      </c>
      <c r="N707" s="12" t="s">
        <v>159</v>
      </c>
      <c r="O707" s="12" t="s">
        <v>160</v>
      </c>
      <c r="P707" s="12" t="s">
        <v>137</v>
      </c>
      <c r="Q707" s="13">
        <v>45111</v>
      </c>
      <c r="R707" s="13">
        <v>45157</v>
      </c>
      <c r="S707">
        <v>2023</v>
      </c>
      <c r="T707" s="12" t="s">
        <v>1343</v>
      </c>
      <c r="U707">
        <v>101</v>
      </c>
      <c r="V707">
        <v>247.31829999999999</v>
      </c>
      <c r="W707">
        <v>228.68</v>
      </c>
      <c r="X707">
        <v>0</v>
      </c>
      <c r="Y707">
        <v>0</v>
      </c>
      <c r="Z707">
        <v>24979.15</v>
      </c>
      <c r="AA707">
        <v>25207.83</v>
      </c>
      <c r="AB707" s="12" t="s">
        <v>270</v>
      </c>
      <c r="AC707">
        <v>247.31829999999999</v>
      </c>
      <c r="AD707">
        <v>1</v>
      </c>
      <c r="AE707">
        <v>1</v>
      </c>
      <c r="AF707">
        <v>0</v>
      </c>
      <c r="AG707">
        <v>24979.15</v>
      </c>
      <c r="AH707">
        <v>101</v>
      </c>
      <c r="AI707">
        <v>100</v>
      </c>
      <c r="AJ707">
        <v>1</v>
      </c>
      <c r="AK707">
        <v>1</v>
      </c>
      <c r="AL707">
        <v>1</v>
      </c>
      <c r="AM707">
        <v>99.01</v>
      </c>
      <c r="AN707">
        <v>252.07830000000001</v>
      </c>
      <c r="AO707">
        <v>247.32</v>
      </c>
      <c r="AP707" s="13">
        <v>45154</v>
      </c>
      <c r="AQ707">
        <v>-3</v>
      </c>
      <c r="AR707">
        <v>1</v>
      </c>
    </row>
    <row r="708" spans="1:44" x14ac:dyDescent="0.35">
      <c r="A708" s="12" t="s">
        <v>1360</v>
      </c>
      <c r="B708" s="12" t="s">
        <v>255</v>
      </c>
      <c r="C708" s="12" t="s">
        <v>256</v>
      </c>
      <c r="D708" s="12" t="s">
        <v>103</v>
      </c>
      <c r="E708" s="12" t="s">
        <v>65</v>
      </c>
      <c r="F708">
        <v>2</v>
      </c>
      <c r="G708">
        <v>4</v>
      </c>
      <c r="H708">
        <v>0</v>
      </c>
      <c r="I708" s="12" t="s">
        <v>143</v>
      </c>
      <c r="J708" s="12" t="s">
        <v>144</v>
      </c>
      <c r="K708" s="12" t="s">
        <v>133</v>
      </c>
      <c r="L708" s="12" t="s">
        <v>96</v>
      </c>
      <c r="M708">
        <v>5.43</v>
      </c>
      <c r="N708" s="12" t="s">
        <v>145</v>
      </c>
      <c r="O708" s="12" t="s">
        <v>146</v>
      </c>
      <c r="P708" s="12" t="s">
        <v>109</v>
      </c>
      <c r="Q708" s="13">
        <v>45111</v>
      </c>
      <c r="R708" s="13">
        <v>45135</v>
      </c>
      <c r="S708">
        <v>2023</v>
      </c>
      <c r="T708" s="12" t="s">
        <v>1343</v>
      </c>
      <c r="U708">
        <v>39</v>
      </c>
      <c r="V708">
        <v>95.085700000000003</v>
      </c>
      <c r="W708">
        <v>58</v>
      </c>
      <c r="X708">
        <v>0</v>
      </c>
      <c r="Y708">
        <v>0</v>
      </c>
      <c r="Z708">
        <v>3708.34</v>
      </c>
      <c r="AA708">
        <v>3766.34</v>
      </c>
      <c r="AB708" s="12" t="s">
        <v>366</v>
      </c>
      <c r="AC708">
        <v>95.085700000000003</v>
      </c>
      <c r="AD708">
        <v>1</v>
      </c>
      <c r="AE708">
        <v>1</v>
      </c>
      <c r="AF708">
        <v>0</v>
      </c>
      <c r="AG708">
        <v>3708.34</v>
      </c>
      <c r="AH708">
        <v>39</v>
      </c>
      <c r="AI708">
        <v>39</v>
      </c>
      <c r="AJ708">
        <v>0</v>
      </c>
      <c r="AK708">
        <v>1</v>
      </c>
      <c r="AL708">
        <v>1</v>
      </c>
      <c r="AM708">
        <v>100</v>
      </c>
      <c r="AN708">
        <v>96.572900000000004</v>
      </c>
      <c r="AO708">
        <v>0</v>
      </c>
      <c r="AP708" s="13">
        <v>45134</v>
      </c>
      <c r="AQ708">
        <v>-1</v>
      </c>
      <c r="AR708">
        <v>1</v>
      </c>
    </row>
    <row r="709" spans="1:44" x14ac:dyDescent="0.35">
      <c r="A709" s="12" t="s">
        <v>1361</v>
      </c>
      <c r="B709" s="12" t="s">
        <v>957</v>
      </c>
      <c r="C709" s="12" t="s">
        <v>958</v>
      </c>
      <c r="D709" s="12" t="s">
        <v>103</v>
      </c>
      <c r="E709" s="12" t="s">
        <v>142</v>
      </c>
      <c r="F709">
        <v>1</v>
      </c>
      <c r="G709">
        <v>7</v>
      </c>
      <c r="H709">
        <v>1</v>
      </c>
      <c r="I709" s="12" t="s">
        <v>183</v>
      </c>
      <c r="J709" s="12" t="s">
        <v>184</v>
      </c>
      <c r="K709" s="12" t="s">
        <v>133</v>
      </c>
      <c r="L709" s="12" t="s">
        <v>82</v>
      </c>
      <c r="M709">
        <v>8.6199999999999992</v>
      </c>
      <c r="N709" s="12" t="s">
        <v>145</v>
      </c>
      <c r="O709" s="12" t="s">
        <v>146</v>
      </c>
      <c r="P709" s="12" t="s">
        <v>109</v>
      </c>
      <c r="Q709" s="13">
        <v>45111</v>
      </c>
      <c r="R709" s="13">
        <v>45146</v>
      </c>
      <c r="S709">
        <v>2023</v>
      </c>
      <c r="T709" s="12" t="s">
        <v>1343</v>
      </c>
      <c r="U709">
        <v>17</v>
      </c>
      <c r="V709">
        <v>199.1737</v>
      </c>
      <c r="W709">
        <v>79.8</v>
      </c>
      <c r="X709">
        <v>0</v>
      </c>
      <c r="Y709">
        <v>0</v>
      </c>
      <c r="Z709">
        <v>3385.95</v>
      </c>
      <c r="AA709">
        <v>3465.75</v>
      </c>
      <c r="AB709" s="12" t="s">
        <v>959</v>
      </c>
      <c r="AC709">
        <v>199.1737</v>
      </c>
      <c r="AD709">
        <v>1</v>
      </c>
      <c r="AE709">
        <v>1</v>
      </c>
      <c r="AF709">
        <v>0</v>
      </c>
      <c r="AG709">
        <v>3385.95</v>
      </c>
      <c r="AH709">
        <v>17</v>
      </c>
      <c r="AI709">
        <v>17</v>
      </c>
      <c r="AJ709">
        <v>0</v>
      </c>
      <c r="AK709">
        <v>1</v>
      </c>
      <c r="AL709">
        <v>1</v>
      </c>
      <c r="AM709">
        <v>100</v>
      </c>
      <c r="AN709">
        <v>203.86779999999999</v>
      </c>
      <c r="AO709">
        <v>0</v>
      </c>
      <c r="AP709" s="13">
        <v>45143</v>
      </c>
      <c r="AQ709">
        <v>-3</v>
      </c>
      <c r="AR709">
        <v>1</v>
      </c>
    </row>
    <row r="710" spans="1:44" x14ac:dyDescent="0.35">
      <c r="A710" s="12" t="s">
        <v>1362</v>
      </c>
      <c r="B710" s="12" t="s">
        <v>736</v>
      </c>
      <c r="C710" s="12" t="s">
        <v>737</v>
      </c>
      <c r="D710" s="12" t="s">
        <v>64</v>
      </c>
      <c r="E710" s="12" t="s">
        <v>104</v>
      </c>
      <c r="F710">
        <v>3</v>
      </c>
      <c r="G710">
        <v>1</v>
      </c>
      <c r="H710">
        <v>0</v>
      </c>
      <c r="I710" s="12" t="s">
        <v>94</v>
      </c>
      <c r="J710" s="12" t="s">
        <v>95</v>
      </c>
      <c r="K710" s="12" t="s">
        <v>81</v>
      </c>
      <c r="L710" s="12" t="s">
        <v>96</v>
      </c>
      <c r="M710">
        <v>4.8099999999999996</v>
      </c>
      <c r="N710" s="12" t="s">
        <v>70</v>
      </c>
      <c r="O710" s="12" t="s">
        <v>71</v>
      </c>
      <c r="P710" s="12" t="s">
        <v>72</v>
      </c>
      <c r="Q710" s="13">
        <v>45111</v>
      </c>
      <c r="R710" s="13">
        <v>45129</v>
      </c>
      <c r="S710">
        <v>2023</v>
      </c>
      <c r="T710" s="12" t="s">
        <v>1343</v>
      </c>
      <c r="U710">
        <v>446</v>
      </c>
      <c r="V710">
        <v>24.696300000000001</v>
      </c>
      <c r="W710">
        <v>84.8</v>
      </c>
      <c r="X710">
        <v>0</v>
      </c>
      <c r="Y710">
        <v>0</v>
      </c>
      <c r="Z710">
        <v>11014.55</v>
      </c>
      <c r="AA710">
        <v>11099.35</v>
      </c>
      <c r="AB710" s="12" t="s">
        <v>738</v>
      </c>
      <c r="AC710">
        <v>24.696300000000001</v>
      </c>
      <c r="AD710">
        <v>1</v>
      </c>
      <c r="AE710">
        <v>1</v>
      </c>
      <c r="AF710">
        <v>0</v>
      </c>
      <c r="AG710">
        <v>11014.55</v>
      </c>
      <c r="AH710">
        <v>446</v>
      </c>
      <c r="AI710">
        <v>441</v>
      </c>
      <c r="AJ710">
        <v>5</v>
      </c>
      <c r="AK710">
        <v>1</v>
      </c>
      <c r="AL710">
        <v>1</v>
      </c>
      <c r="AM710">
        <v>98.88</v>
      </c>
      <c r="AN710">
        <v>25.168600000000001</v>
      </c>
      <c r="AO710">
        <v>123.48</v>
      </c>
      <c r="AP710" s="13">
        <v>45126</v>
      </c>
      <c r="AQ710">
        <v>-3</v>
      </c>
      <c r="AR710">
        <v>1</v>
      </c>
    </row>
    <row r="711" spans="1:44" x14ac:dyDescent="0.35">
      <c r="A711" s="12" t="s">
        <v>1363</v>
      </c>
      <c r="B711" s="12" t="s">
        <v>482</v>
      </c>
      <c r="C711" s="12" t="s">
        <v>483</v>
      </c>
      <c r="D711" s="12" t="s">
        <v>78</v>
      </c>
      <c r="E711" s="12" t="s">
        <v>142</v>
      </c>
      <c r="F711">
        <v>2</v>
      </c>
      <c r="G711">
        <v>9</v>
      </c>
      <c r="H711">
        <v>0</v>
      </c>
      <c r="I711" s="12" t="s">
        <v>87</v>
      </c>
      <c r="J711" s="12" t="s">
        <v>88</v>
      </c>
      <c r="K711" s="12" t="s">
        <v>89</v>
      </c>
      <c r="L711" s="12" t="s">
        <v>69</v>
      </c>
      <c r="M711">
        <v>14.93</v>
      </c>
      <c r="N711" s="12" t="s">
        <v>97</v>
      </c>
      <c r="O711" s="12" t="s">
        <v>98</v>
      </c>
      <c r="P711" s="12" t="s">
        <v>72</v>
      </c>
      <c r="Q711" s="13">
        <v>45111</v>
      </c>
      <c r="R711" s="13">
        <v>45162</v>
      </c>
      <c r="S711">
        <v>2023</v>
      </c>
      <c r="T711" s="12" t="s">
        <v>1343</v>
      </c>
      <c r="U711">
        <v>277</v>
      </c>
      <c r="V711">
        <v>50.704999999999998</v>
      </c>
      <c r="W711">
        <v>137.72999999999999</v>
      </c>
      <c r="X711">
        <v>0</v>
      </c>
      <c r="Y711">
        <v>0</v>
      </c>
      <c r="Z711">
        <v>14045.29</v>
      </c>
      <c r="AA711">
        <v>14183.02</v>
      </c>
      <c r="AB711" s="12" t="s">
        <v>484</v>
      </c>
      <c r="AC711">
        <v>49.685899999999997</v>
      </c>
      <c r="AD711">
        <v>1</v>
      </c>
      <c r="AE711">
        <v>1</v>
      </c>
      <c r="AF711">
        <v>282.29000000000002</v>
      </c>
      <c r="AG711">
        <v>13762.99</v>
      </c>
      <c r="AH711">
        <v>277</v>
      </c>
      <c r="AI711">
        <v>273</v>
      </c>
      <c r="AJ711">
        <v>4</v>
      </c>
      <c r="AK711">
        <v>1</v>
      </c>
      <c r="AL711">
        <v>1</v>
      </c>
      <c r="AM711">
        <v>98.56</v>
      </c>
      <c r="AN711">
        <v>51.952399999999997</v>
      </c>
      <c r="AO711">
        <v>202.82</v>
      </c>
      <c r="AP711" s="13">
        <v>45162</v>
      </c>
      <c r="AQ711">
        <v>0</v>
      </c>
      <c r="AR711">
        <v>1</v>
      </c>
    </row>
    <row r="712" spans="1:44" x14ac:dyDescent="0.35">
      <c r="A712" s="12" t="s">
        <v>1364</v>
      </c>
      <c r="B712" s="12" t="s">
        <v>221</v>
      </c>
      <c r="C712" s="12" t="s">
        <v>222</v>
      </c>
      <c r="D712" s="12" t="s">
        <v>114</v>
      </c>
      <c r="E712" s="12" t="s">
        <v>142</v>
      </c>
      <c r="F712">
        <v>3</v>
      </c>
      <c r="G712">
        <v>11</v>
      </c>
      <c r="H712">
        <v>0</v>
      </c>
      <c r="I712" s="12" t="s">
        <v>105</v>
      </c>
      <c r="J712" s="12" t="s">
        <v>106</v>
      </c>
      <c r="K712" s="12" t="s">
        <v>81</v>
      </c>
      <c r="L712" s="12" t="s">
        <v>96</v>
      </c>
      <c r="M712">
        <v>5.01</v>
      </c>
      <c r="N712" s="12" t="s">
        <v>70</v>
      </c>
      <c r="O712" s="12" t="s">
        <v>71</v>
      </c>
      <c r="P712" s="12" t="s">
        <v>72</v>
      </c>
      <c r="Q712" s="13">
        <v>45111</v>
      </c>
      <c r="R712" s="13">
        <v>45161</v>
      </c>
      <c r="S712">
        <v>2023</v>
      </c>
      <c r="T712" s="12" t="s">
        <v>1343</v>
      </c>
      <c r="U712">
        <v>127</v>
      </c>
      <c r="V712">
        <v>225.4281</v>
      </c>
      <c r="W712">
        <v>372.54</v>
      </c>
      <c r="X712">
        <v>0</v>
      </c>
      <c r="Y712">
        <v>0</v>
      </c>
      <c r="Z712">
        <v>28629.37</v>
      </c>
      <c r="AA712">
        <v>29001.91</v>
      </c>
      <c r="AB712" s="12" t="s">
        <v>1239</v>
      </c>
      <c r="AC712">
        <v>239.12739999999999</v>
      </c>
      <c r="AD712">
        <v>1</v>
      </c>
      <c r="AE712">
        <v>1</v>
      </c>
      <c r="AF712">
        <v>-1739.81</v>
      </c>
      <c r="AG712">
        <v>30369.18</v>
      </c>
      <c r="AH712">
        <v>127</v>
      </c>
      <c r="AI712">
        <v>125</v>
      </c>
      <c r="AJ712">
        <v>2</v>
      </c>
      <c r="AK712">
        <v>1</v>
      </c>
      <c r="AL712">
        <v>1</v>
      </c>
      <c r="AM712">
        <v>98.43</v>
      </c>
      <c r="AN712">
        <v>232.0153</v>
      </c>
      <c r="AO712">
        <v>450.86</v>
      </c>
      <c r="AP712" s="13">
        <v>45159</v>
      </c>
      <c r="AQ712">
        <v>-2</v>
      </c>
      <c r="AR712">
        <v>1</v>
      </c>
    </row>
    <row r="713" spans="1:44" x14ac:dyDescent="0.35">
      <c r="A713" s="12" t="s">
        <v>1365</v>
      </c>
      <c r="B713" s="12" t="s">
        <v>972</v>
      </c>
      <c r="C713" s="12" t="s">
        <v>973</v>
      </c>
      <c r="D713" s="12" t="s">
        <v>130</v>
      </c>
      <c r="E713" s="12" t="s">
        <v>142</v>
      </c>
      <c r="F713">
        <v>2</v>
      </c>
      <c r="G713">
        <v>9</v>
      </c>
      <c r="H713">
        <v>0</v>
      </c>
      <c r="I713" s="12" t="s">
        <v>676</v>
      </c>
      <c r="J713" s="12" t="s">
        <v>677</v>
      </c>
      <c r="K713" s="12" t="s">
        <v>68</v>
      </c>
      <c r="L713" s="12" t="s">
        <v>96</v>
      </c>
      <c r="M713">
        <v>3.57</v>
      </c>
      <c r="N713" s="12" t="s">
        <v>135</v>
      </c>
      <c r="O713" s="12" t="s">
        <v>136</v>
      </c>
      <c r="P713" s="12" t="s">
        <v>137</v>
      </c>
      <c r="Q713" s="13">
        <v>45111</v>
      </c>
      <c r="R713" s="13">
        <v>45157</v>
      </c>
      <c r="S713">
        <v>2023</v>
      </c>
      <c r="T713" s="12" t="s">
        <v>1343</v>
      </c>
      <c r="U713">
        <v>96</v>
      </c>
      <c r="V713">
        <v>842.69190000000003</v>
      </c>
      <c r="W713">
        <v>1575.66</v>
      </c>
      <c r="X713">
        <v>0</v>
      </c>
      <c r="Y713">
        <v>0</v>
      </c>
      <c r="Z713">
        <v>80898.42</v>
      </c>
      <c r="AA713">
        <v>82474.080000000002</v>
      </c>
      <c r="AB713" s="12" t="s">
        <v>974</v>
      </c>
      <c r="AC713">
        <v>842.69190000000003</v>
      </c>
      <c r="AD713">
        <v>1</v>
      </c>
      <c r="AE713">
        <v>1</v>
      </c>
      <c r="AF713">
        <v>0</v>
      </c>
      <c r="AG713">
        <v>80898.42</v>
      </c>
      <c r="AH713">
        <v>96</v>
      </c>
      <c r="AI713">
        <v>95</v>
      </c>
      <c r="AJ713">
        <v>1</v>
      </c>
      <c r="AK713">
        <v>1</v>
      </c>
      <c r="AL713">
        <v>1</v>
      </c>
      <c r="AM713">
        <v>98.96</v>
      </c>
      <c r="AN713">
        <v>868.14819999999997</v>
      </c>
      <c r="AO713">
        <v>842.69</v>
      </c>
      <c r="AP713" s="13">
        <v>45156</v>
      </c>
      <c r="AQ713">
        <v>-1</v>
      </c>
      <c r="AR713">
        <v>1</v>
      </c>
    </row>
    <row r="714" spans="1:44" x14ac:dyDescent="0.35">
      <c r="A714" s="12" t="s">
        <v>1366</v>
      </c>
      <c r="B714" s="12" t="s">
        <v>112</v>
      </c>
      <c r="C714" s="12" t="s">
        <v>113</v>
      </c>
      <c r="D714" s="12" t="s">
        <v>114</v>
      </c>
      <c r="E714" s="12" t="s">
        <v>104</v>
      </c>
      <c r="F714">
        <v>3</v>
      </c>
      <c r="G714">
        <v>1</v>
      </c>
      <c r="H714">
        <v>0</v>
      </c>
      <c r="I714" s="12" t="s">
        <v>227</v>
      </c>
      <c r="J714" s="12" t="s">
        <v>228</v>
      </c>
      <c r="K714" s="12" t="s">
        <v>89</v>
      </c>
      <c r="L714" s="12" t="s">
        <v>96</v>
      </c>
      <c r="M714">
        <v>9.15</v>
      </c>
      <c r="N714" s="12" t="s">
        <v>70</v>
      </c>
      <c r="O714" s="12" t="s">
        <v>71</v>
      </c>
      <c r="P714" s="12" t="s">
        <v>72</v>
      </c>
      <c r="Q714" s="13">
        <v>45112</v>
      </c>
      <c r="R714" s="13">
        <v>45129</v>
      </c>
      <c r="S714">
        <v>2023</v>
      </c>
      <c r="T714" s="12" t="s">
        <v>1343</v>
      </c>
      <c r="U714">
        <v>53</v>
      </c>
      <c r="V714">
        <v>273.79239999999999</v>
      </c>
      <c r="W714">
        <v>221.22</v>
      </c>
      <c r="X714">
        <v>0</v>
      </c>
      <c r="Y714">
        <v>0</v>
      </c>
      <c r="Z714">
        <v>14511</v>
      </c>
      <c r="AA714">
        <v>14732.22</v>
      </c>
      <c r="AB714" s="12" t="s">
        <v>282</v>
      </c>
      <c r="AC714">
        <v>264.17590000000001</v>
      </c>
      <c r="AD714">
        <v>1</v>
      </c>
      <c r="AE714">
        <v>1</v>
      </c>
      <c r="AF714">
        <v>509.67</v>
      </c>
      <c r="AG714">
        <v>14001.32</v>
      </c>
      <c r="AH714">
        <v>53</v>
      </c>
      <c r="AI714">
        <v>52</v>
      </c>
      <c r="AJ714">
        <v>1</v>
      </c>
      <c r="AK714">
        <v>1</v>
      </c>
      <c r="AL714">
        <v>1</v>
      </c>
      <c r="AM714">
        <v>98.11</v>
      </c>
      <c r="AN714">
        <v>283.31189999999998</v>
      </c>
      <c r="AO714">
        <v>273.79000000000002</v>
      </c>
      <c r="AP714" s="13">
        <v>45139</v>
      </c>
      <c r="AQ714">
        <v>10</v>
      </c>
      <c r="AR714">
        <v>0</v>
      </c>
    </row>
    <row r="715" spans="1:44" x14ac:dyDescent="0.35">
      <c r="A715" s="12" t="s">
        <v>1367</v>
      </c>
      <c r="B715" s="12" t="s">
        <v>416</v>
      </c>
      <c r="C715" s="12" t="s">
        <v>417</v>
      </c>
      <c r="D715" s="12" t="s">
        <v>78</v>
      </c>
      <c r="E715" s="12" t="s">
        <v>65</v>
      </c>
      <c r="F715">
        <v>3</v>
      </c>
      <c r="G715">
        <v>5</v>
      </c>
      <c r="H715">
        <v>0</v>
      </c>
      <c r="I715" s="12" t="s">
        <v>87</v>
      </c>
      <c r="J715" s="12" t="s">
        <v>88</v>
      </c>
      <c r="K715" s="12" t="s">
        <v>89</v>
      </c>
      <c r="L715" s="12" t="s">
        <v>69</v>
      </c>
      <c r="M715">
        <v>14.93</v>
      </c>
      <c r="N715" s="12" t="s">
        <v>97</v>
      </c>
      <c r="O715" s="12" t="s">
        <v>98</v>
      </c>
      <c r="P715" s="12" t="s">
        <v>72</v>
      </c>
      <c r="Q715" s="13">
        <v>45112</v>
      </c>
      <c r="R715" s="13">
        <v>45143</v>
      </c>
      <c r="S715">
        <v>2023</v>
      </c>
      <c r="T715" s="12" t="s">
        <v>1343</v>
      </c>
      <c r="U715">
        <v>196</v>
      </c>
      <c r="V715">
        <v>144.15710000000001</v>
      </c>
      <c r="W715">
        <v>242.78</v>
      </c>
      <c r="X715">
        <v>0</v>
      </c>
      <c r="Y715">
        <v>0</v>
      </c>
      <c r="Z715">
        <v>28254.79</v>
      </c>
      <c r="AA715">
        <v>28497.57</v>
      </c>
      <c r="AB715" s="12" t="s">
        <v>595</v>
      </c>
      <c r="AC715">
        <v>144.15710000000001</v>
      </c>
      <c r="AD715">
        <v>1</v>
      </c>
      <c r="AE715">
        <v>1</v>
      </c>
      <c r="AF715">
        <v>0</v>
      </c>
      <c r="AG715">
        <v>28254.79</v>
      </c>
      <c r="AH715">
        <v>196</v>
      </c>
      <c r="AI715">
        <v>195</v>
      </c>
      <c r="AJ715">
        <v>1</v>
      </c>
      <c r="AK715">
        <v>1</v>
      </c>
      <c r="AL715">
        <v>1</v>
      </c>
      <c r="AM715">
        <v>99.49</v>
      </c>
      <c r="AN715">
        <v>146.1414</v>
      </c>
      <c r="AO715">
        <v>144.16</v>
      </c>
      <c r="AP715" s="13">
        <v>45141</v>
      </c>
      <c r="AQ715">
        <v>-2</v>
      </c>
      <c r="AR715">
        <v>1</v>
      </c>
    </row>
    <row r="716" spans="1:44" x14ac:dyDescent="0.35">
      <c r="A716" s="12" t="s">
        <v>1368</v>
      </c>
      <c r="B716" s="12" t="s">
        <v>399</v>
      </c>
      <c r="C716" s="12" t="s">
        <v>400</v>
      </c>
      <c r="D716" s="12" t="s">
        <v>114</v>
      </c>
      <c r="E716" s="12" t="s">
        <v>65</v>
      </c>
      <c r="F716">
        <v>1</v>
      </c>
      <c r="G716">
        <v>2</v>
      </c>
      <c r="H716">
        <v>1</v>
      </c>
      <c r="I716" s="12" t="s">
        <v>151</v>
      </c>
      <c r="J716" s="12" t="s">
        <v>152</v>
      </c>
      <c r="K716" s="12" t="s">
        <v>125</v>
      </c>
      <c r="L716" s="12" t="s">
        <v>69</v>
      </c>
      <c r="M716">
        <v>36.479999999999997</v>
      </c>
      <c r="N716" s="12" t="s">
        <v>97</v>
      </c>
      <c r="O716" s="12" t="s">
        <v>98</v>
      </c>
      <c r="P716" s="12" t="s">
        <v>72</v>
      </c>
      <c r="Q716" s="13">
        <v>45112</v>
      </c>
      <c r="R716" s="13">
        <v>45148</v>
      </c>
      <c r="S716">
        <v>2023</v>
      </c>
      <c r="T716" s="12" t="s">
        <v>1343</v>
      </c>
      <c r="U716">
        <v>126</v>
      </c>
      <c r="V716">
        <v>296.81490000000002</v>
      </c>
      <c r="W716">
        <v>791.89</v>
      </c>
      <c r="X716">
        <v>0</v>
      </c>
      <c r="Y716">
        <v>0</v>
      </c>
      <c r="Z716">
        <v>37398.68</v>
      </c>
      <c r="AA716">
        <v>38190.57</v>
      </c>
      <c r="AB716" s="12" t="s">
        <v>401</v>
      </c>
      <c r="AC716">
        <v>296.81490000000002</v>
      </c>
      <c r="AD716">
        <v>1</v>
      </c>
      <c r="AE716">
        <v>1</v>
      </c>
      <c r="AF716">
        <v>0</v>
      </c>
      <c r="AG716">
        <v>37398.68</v>
      </c>
      <c r="AH716">
        <v>126</v>
      </c>
      <c r="AI716">
        <v>125</v>
      </c>
      <c r="AJ716">
        <v>1</v>
      </c>
      <c r="AK716">
        <v>1</v>
      </c>
      <c r="AL716">
        <v>1</v>
      </c>
      <c r="AM716">
        <v>99.21</v>
      </c>
      <c r="AN716">
        <v>305.52449999999999</v>
      </c>
      <c r="AO716">
        <v>296.81</v>
      </c>
      <c r="AP716" s="13">
        <v>45148</v>
      </c>
      <c r="AQ716">
        <v>0</v>
      </c>
      <c r="AR716">
        <v>1</v>
      </c>
    </row>
    <row r="717" spans="1:44" x14ac:dyDescent="0.35">
      <c r="A717" s="12" t="s">
        <v>1369</v>
      </c>
      <c r="B717" s="12" t="s">
        <v>1068</v>
      </c>
      <c r="C717" s="12" t="s">
        <v>1069</v>
      </c>
      <c r="D717" s="12" t="s">
        <v>122</v>
      </c>
      <c r="E717" s="12" t="s">
        <v>65</v>
      </c>
      <c r="F717">
        <v>2</v>
      </c>
      <c r="G717">
        <v>2</v>
      </c>
      <c r="H717">
        <v>0</v>
      </c>
      <c r="I717" s="12" t="s">
        <v>195</v>
      </c>
      <c r="J717" s="12" t="s">
        <v>196</v>
      </c>
      <c r="K717" s="12" t="s">
        <v>117</v>
      </c>
      <c r="L717" s="12" t="s">
        <v>134</v>
      </c>
      <c r="M717">
        <v>4.7699999999999996</v>
      </c>
      <c r="N717" s="12" t="s">
        <v>97</v>
      </c>
      <c r="O717" s="12" t="s">
        <v>98</v>
      </c>
      <c r="P717" s="12" t="s">
        <v>72</v>
      </c>
      <c r="Q717" s="13">
        <v>45112</v>
      </c>
      <c r="R717" s="13">
        <v>45138</v>
      </c>
      <c r="S717">
        <v>2023</v>
      </c>
      <c r="T717" s="12" t="s">
        <v>1343</v>
      </c>
      <c r="U717">
        <v>747</v>
      </c>
      <c r="V717">
        <v>21.667100000000001</v>
      </c>
      <c r="W717">
        <v>369.57</v>
      </c>
      <c r="X717">
        <v>0</v>
      </c>
      <c r="Y717">
        <v>0</v>
      </c>
      <c r="Z717">
        <v>16185.32</v>
      </c>
      <c r="AA717">
        <v>16554.89</v>
      </c>
      <c r="AB717" s="12" t="s">
        <v>1370</v>
      </c>
      <c r="AC717">
        <v>21.667100000000001</v>
      </c>
      <c r="AD717">
        <v>1</v>
      </c>
      <c r="AE717">
        <v>1</v>
      </c>
      <c r="AF717">
        <v>0</v>
      </c>
      <c r="AG717">
        <v>16185.32</v>
      </c>
      <c r="AH717">
        <v>747</v>
      </c>
      <c r="AI717">
        <v>739</v>
      </c>
      <c r="AJ717">
        <v>8</v>
      </c>
      <c r="AK717">
        <v>1</v>
      </c>
      <c r="AL717">
        <v>1</v>
      </c>
      <c r="AM717">
        <v>98.93</v>
      </c>
      <c r="AN717">
        <v>22.401800000000001</v>
      </c>
      <c r="AO717">
        <v>173.34</v>
      </c>
      <c r="AP717" s="13">
        <v>45135</v>
      </c>
      <c r="AQ717">
        <v>-3</v>
      </c>
      <c r="AR717">
        <v>1</v>
      </c>
    </row>
    <row r="718" spans="1:44" x14ac:dyDescent="0.35">
      <c r="A718" s="12" t="s">
        <v>1371</v>
      </c>
      <c r="B718" s="12" t="s">
        <v>1068</v>
      </c>
      <c r="C718" s="12" t="s">
        <v>1069</v>
      </c>
      <c r="D718" s="12" t="s">
        <v>122</v>
      </c>
      <c r="E718" s="12" t="s">
        <v>65</v>
      </c>
      <c r="F718">
        <v>2</v>
      </c>
      <c r="G718">
        <v>2</v>
      </c>
      <c r="H718">
        <v>0</v>
      </c>
      <c r="I718" s="12" t="s">
        <v>79</v>
      </c>
      <c r="J718" s="12" t="s">
        <v>80</v>
      </c>
      <c r="K718" s="12" t="s">
        <v>81</v>
      </c>
      <c r="L718" s="12" t="s">
        <v>82</v>
      </c>
      <c r="M718">
        <v>12.07</v>
      </c>
      <c r="N718" s="12" t="s">
        <v>70</v>
      </c>
      <c r="O718" s="12" t="s">
        <v>71</v>
      </c>
      <c r="P718" s="12" t="s">
        <v>72</v>
      </c>
      <c r="Q718" s="13">
        <v>45112</v>
      </c>
      <c r="R718" s="13">
        <v>45150</v>
      </c>
      <c r="S718">
        <v>2023</v>
      </c>
      <c r="T718" s="12" t="s">
        <v>1343</v>
      </c>
      <c r="U718">
        <v>1934</v>
      </c>
      <c r="V718">
        <v>22.206399999999999</v>
      </c>
      <c r="W718">
        <v>762.47</v>
      </c>
      <c r="X718">
        <v>0</v>
      </c>
      <c r="Y718">
        <v>0</v>
      </c>
      <c r="Z718">
        <v>42947.18</v>
      </c>
      <c r="AA718">
        <v>43709.65</v>
      </c>
      <c r="AB718" s="12" t="s">
        <v>1070</v>
      </c>
      <c r="AC718">
        <v>21.667100000000001</v>
      </c>
      <c r="AD718">
        <v>1</v>
      </c>
      <c r="AE718">
        <v>1</v>
      </c>
      <c r="AF718">
        <v>1043.01</v>
      </c>
      <c r="AG718">
        <v>41904.17</v>
      </c>
      <c r="AH718">
        <v>1934</v>
      </c>
      <c r="AI718">
        <v>1921</v>
      </c>
      <c r="AJ718">
        <v>13</v>
      </c>
      <c r="AK718">
        <v>1</v>
      </c>
      <c r="AL718">
        <v>1</v>
      </c>
      <c r="AM718">
        <v>99.33</v>
      </c>
      <c r="AN718">
        <v>22.753599999999999</v>
      </c>
      <c r="AO718">
        <v>288.68</v>
      </c>
      <c r="AP718" s="13">
        <v>45148</v>
      </c>
      <c r="AQ718">
        <v>-2</v>
      </c>
      <c r="AR718">
        <v>1</v>
      </c>
    </row>
    <row r="719" spans="1:44" x14ac:dyDescent="0.35">
      <c r="A719" s="12" t="s">
        <v>1372</v>
      </c>
      <c r="B719" s="12" t="s">
        <v>876</v>
      </c>
      <c r="C719" s="12" t="s">
        <v>877</v>
      </c>
      <c r="D719" s="12" t="s">
        <v>269</v>
      </c>
      <c r="E719" s="12" t="s">
        <v>142</v>
      </c>
      <c r="F719">
        <v>3</v>
      </c>
      <c r="G719">
        <v>11</v>
      </c>
      <c r="H719">
        <v>0</v>
      </c>
      <c r="I719" s="12" t="s">
        <v>515</v>
      </c>
      <c r="J719" s="12" t="s">
        <v>516</v>
      </c>
      <c r="K719" s="12" t="s">
        <v>68</v>
      </c>
      <c r="L719" s="12" t="s">
        <v>134</v>
      </c>
      <c r="M719">
        <v>3.69</v>
      </c>
      <c r="N719" s="12" t="s">
        <v>159</v>
      </c>
      <c r="O719" s="12" t="s">
        <v>160</v>
      </c>
      <c r="P719" s="12" t="s">
        <v>137</v>
      </c>
      <c r="Q719" s="13">
        <v>45112</v>
      </c>
      <c r="R719" s="13">
        <v>45151</v>
      </c>
      <c r="S719">
        <v>2023</v>
      </c>
      <c r="T719" s="12" t="s">
        <v>1343</v>
      </c>
      <c r="U719">
        <v>42</v>
      </c>
      <c r="V719">
        <v>193.3151</v>
      </c>
      <c r="W719">
        <v>129.31</v>
      </c>
      <c r="X719">
        <v>0</v>
      </c>
      <c r="Y719">
        <v>0</v>
      </c>
      <c r="Z719">
        <v>8119.23</v>
      </c>
      <c r="AA719">
        <v>8248.5400000000009</v>
      </c>
      <c r="AB719" s="12" t="s">
        <v>1175</v>
      </c>
      <c r="AC719">
        <v>205.07480000000001</v>
      </c>
      <c r="AD719">
        <v>1</v>
      </c>
      <c r="AE719">
        <v>1</v>
      </c>
      <c r="AF719">
        <v>-493.91</v>
      </c>
      <c r="AG719">
        <v>8613.14</v>
      </c>
      <c r="AH719">
        <v>42</v>
      </c>
      <c r="AI719">
        <v>42</v>
      </c>
      <c r="AJ719">
        <v>0</v>
      </c>
      <c r="AK719">
        <v>1</v>
      </c>
      <c r="AL719">
        <v>1</v>
      </c>
      <c r="AM719">
        <v>100</v>
      </c>
      <c r="AN719">
        <v>196.3939</v>
      </c>
      <c r="AO719">
        <v>0</v>
      </c>
      <c r="AP719" s="13">
        <v>45149</v>
      </c>
      <c r="AQ719">
        <v>-2</v>
      </c>
      <c r="AR719">
        <v>1</v>
      </c>
    </row>
    <row r="720" spans="1:44" x14ac:dyDescent="0.35">
      <c r="A720" s="12" t="s">
        <v>1373</v>
      </c>
      <c r="B720" s="12" t="s">
        <v>155</v>
      </c>
      <c r="C720" s="12" t="s">
        <v>156</v>
      </c>
      <c r="D720" s="12" t="s">
        <v>130</v>
      </c>
      <c r="E720" s="12" t="s">
        <v>104</v>
      </c>
      <c r="F720">
        <v>3</v>
      </c>
      <c r="G720">
        <v>1</v>
      </c>
      <c r="H720">
        <v>0</v>
      </c>
      <c r="I720" s="12" t="s">
        <v>199</v>
      </c>
      <c r="J720" s="12" t="s">
        <v>200</v>
      </c>
      <c r="K720" s="12" t="s">
        <v>68</v>
      </c>
      <c r="L720" s="12" t="s">
        <v>96</v>
      </c>
      <c r="M720">
        <v>9.4700000000000006</v>
      </c>
      <c r="N720" s="12" t="s">
        <v>159</v>
      </c>
      <c r="O720" s="12" t="s">
        <v>160</v>
      </c>
      <c r="P720" s="12" t="s">
        <v>137</v>
      </c>
      <c r="Q720" s="13">
        <v>45112</v>
      </c>
      <c r="R720" s="13">
        <v>45130</v>
      </c>
      <c r="S720">
        <v>2023</v>
      </c>
      <c r="T720" s="12" t="s">
        <v>1343</v>
      </c>
      <c r="U720">
        <v>61</v>
      </c>
      <c r="V720">
        <v>231.19820000000001</v>
      </c>
      <c r="W720">
        <v>308.60000000000002</v>
      </c>
      <c r="X720">
        <v>0</v>
      </c>
      <c r="Y720">
        <v>0</v>
      </c>
      <c r="Z720">
        <v>14103.09</v>
      </c>
      <c r="AA720">
        <v>14411.69</v>
      </c>
      <c r="AB720" s="12" t="s">
        <v>201</v>
      </c>
      <c r="AD720">
        <v>0</v>
      </c>
      <c r="AE720">
        <v>0</v>
      </c>
      <c r="AH720">
        <v>61</v>
      </c>
      <c r="AI720">
        <v>61</v>
      </c>
      <c r="AJ720">
        <v>0</v>
      </c>
      <c r="AK720">
        <v>1</v>
      </c>
      <c r="AL720">
        <v>1</v>
      </c>
      <c r="AM720">
        <v>100</v>
      </c>
      <c r="AN720">
        <v>236.25720000000001</v>
      </c>
      <c r="AO720">
        <v>0</v>
      </c>
      <c r="AP720" s="13">
        <v>45129</v>
      </c>
      <c r="AQ720">
        <v>-1</v>
      </c>
      <c r="AR720">
        <v>1</v>
      </c>
    </row>
    <row r="721" spans="1:44" x14ac:dyDescent="0.35">
      <c r="A721" s="12" t="s">
        <v>1374</v>
      </c>
      <c r="B721" s="12" t="s">
        <v>728</v>
      </c>
      <c r="C721" s="12" t="s">
        <v>729</v>
      </c>
      <c r="D721" s="12" t="s">
        <v>269</v>
      </c>
      <c r="E721" s="12" t="s">
        <v>65</v>
      </c>
      <c r="F721">
        <v>2</v>
      </c>
      <c r="G721">
        <v>3</v>
      </c>
      <c r="H721">
        <v>0</v>
      </c>
      <c r="I721" s="12" t="s">
        <v>310</v>
      </c>
      <c r="J721" s="12" t="s">
        <v>311</v>
      </c>
      <c r="K721" s="12" t="s">
        <v>81</v>
      </c>
      <c r="L721" s="12" t="s">
        <v>69</v>
      </c>
      <c r="M721">
        <v>28.3</v>
      </c>
      <c r="N721" s="12" t="s">
        <v>159</v>
      </c>
      <c r="O721" s="12" t="s">
        <v>160</v>
      </c>
      <c r="P721" s="12" t="s">
        <v>137</v>
      </c>
      <c r="Q721" s="13">
        <v>45112</v>
      </c>
      <c r="R721" s="13">
        <v>45145</v>
      </c>
      <c r="S721">
        <v>2023</v>
      </c>
      <c r="T721" s="12" t="s">
        <v>1343</v>
      </c>
      <c r="U721">
        <v>110</v>
      </c>
      <c r="V721">
        <v>374.99740000000003</v>
      </c>
      <c r="W721">
        <v>274.39999999999998</v>
      </c>
      <c r="X721">
        <v>0</v>
      </c>
      <c r="Y721">
        <v>0</v>
      </c>
      <c r="Z721">
        <v>41249.71</v>
      </c>
      <c r="AA721">
        <v>41524.11</v>
      </c>
      <c r="AB721" s="12" t="s">
        <v>730</v>
      </c>
      <c r="AC721">
        <v>374.99740000000003</v>
      </c>
      <c r="AD721">
        <v>1</v>
      </c>
      <c r="AE721">
        <v>1</v>
      </c>
      <c r="AF721">
        <v>0</v>
      </c>
      <c r="AG721">
        <v>41249.71</v>
      </c>
      <c r="AH721">
        <v>110</v>
      </c>
      <c r="AI721">
        <v>109</v>
      </c>
      <c r="AJ721">
        <v>1</v>
      </c>
      <c r="AK721">
        <v>1</v>
      </c>
      <c r="AL721">
        <v>1</v>
      </c>
      <c r="AM721">
        <v>99.09</v>
      </c>
      <c r="AN721">
        <v>380.95519999999999</v>
      </c>
      <c r="AO721">
        <v>375</v>
      </c>
      <c r="AP721" s="13">
        <v>45144</v>
      </c>
      <c r="AQ721">
        <v>-1</v>
      </c>
      <c r="AR721">
        <v>1</v>
      </c>
    </row>
    <row r="722" spans="1:44" x14ac:dyDescent="0.35">
      <c r="A722" s="12" t="s">
        <v>1375</v>
      </c>
      <c r="B722" s="12" t="s">
        <v>494</v>
      </c>
      <c r="C722" s="12" t="s">
        <v>495</v>
      </c>
      <c r="D722" s="12" t="s">
        <v>175</v>
      </c>
      <c r="E722" s="12" t="s">
        <v>65</v>
      </c>
      <c r="F722">
        <v>2</v>
      </c>
      <c r="G722">
        <v>3</v>
      </c>
      <c r="H722">
        <v>0</v>
      </c>
      <c r="I722" s="12" t="s">
        <v>515</v>
      </c>
      <c r="J722" s="12" t="s">
        <v>516</v>
      </c>
      <c r="K722" s="12" t="s">
        <v>68</v>
      </c>
      <c r="L722" s="12" t="s">
        <v>134</v>
      </c>
      <c r="M722">
        <v>3.69</v>
      </c>
      <c r="N722" s="12" t="s">
        <v>107</v>
      </c>
      <c r="O722" s="12" t="s">
        <v>108</v>
      </c>
      <c r="P722" s="12" t="s">
        <v>109</v>
      </c>
      <c r="Q722" s="13">
        <v>45112</v>
      </c>
      <c r="R722" s="13">
        <v>45143</v>
      </c>
      <c r="S722">
        <v>2023</v>
      </c>
      <c r="T722" s="12" t="s">
        <v>1343</v>
      </c>
      <c r="U722">
        <v>88</v>
      </c>
      <c r="V722">
        <v>161.94200000000001</v>
      </c>
      <c r="W722">
        <v>200.81</v>
      </c>
      <c r="X722">
        <v>0</v>
      </c>
      <c r="Y722">
        <v>0</v>
      </c>
      <c r="Z722">
        <v>14250.9</v>
      </c>
      <c r="AA722">
        <v>14451.71</v>
      </c>
      <c r="AB722" s="12" t="s">
        <v>982</v>
      </c>
      <c r="AC722">
        <v>161.94200000000001</v>
      </c>
      <c r="AD722">
        <v>1</v>
      </c>
      <c r="AE722">
        <v>1</v>
      </c>
      <c r="AF722">
        <v>0</v>
      </c>
      <c r="AG722">
        <v>14250.9</v>
      </c>
      <c r="AH722">
        <v>88</v>
      </c>
      <c r="AI722">
        <v>87</v>
      </c>
      <c r="AJ722">
        <v>1</v>
      </c>
      <c r="AK722">
        <v>1</v>
      </c>
      <c r="AL722">
        <v>1</v>
      </c>
      <c r="AM722">
        <v>98.86</v>
      </c>
      <c r="AN722">
        <v>166.11160000000001</v>
      </c>
      <c r="AO722">
        <v>161.94</v>
      </c>
      <c r="AP722" s="13">
        <v>45146</v>
      </c>
      <c r="AQ722">
        <v>3</v>
      </c>
      <c r="AR722">
        <v>0</v>
      </c>
    </row>
    <row r="723" spans="1:44" x14ac:dyDescent="0.35">
      <c r="A723" s="12" t="s">
        <v>1376</v>
      </c>
      <c r="B723" s="12" t="s">
        <v>674</v>
      </c>
      <c r="C723" s="12" t="s">
        <v>675</v>
      </c>
      <c r="D723" s="12" t="s">
        <v>269</v>
      </c>
      <c r="E723" s="12" t="s">
        <v>142</v>
      </c>
      <c r="F723">
        <v>1</v>
      </c>
      <c r="G723">
        <v>7</v>
      </c>
      <c r="H723">
        <v>1</v>
      </c>
      <c r="I723" s="12" t="s">
        <v>676</v>
      </c>
      <c r="J723" s="12" t="s">
        <v>677</v>
      </c>
      <c r="K723" s="12" t="s">
        <v>68</v>
      </c>
      <c r="L723" s="12" t="s">
        <v>96</v>
      </c>
      <c r="M723">
        <v>3.57</v>
      </c>
      <c r="N723" s="12" t="s">
        <v>159</v>
      </c>
      <c r="O723" s="12" t="s">
        <v>160</v>
      </c>
      <c r="P723" s="12" t="s">
        <v>137</v>
      </c>
      <c r="Q723" s="13">
        <v>45113</v>
      </c>
      <c r="R723" s="13">
        <v>45153</v>
      </c>
      <c r="S723">
        <v>2023</v>
      </c>
      <c r="T723" s="12" t="s">
        <v>1343</v>
      </c>
      <c r="U723">
        <v>49</v>
      </c>
      <c r="V723">
        <v>355.32960000000003</v>
      </c>
      <c r="W723">
        <v>256.63</v>
      </c>
      <c r="X723">
        <v>0</v>
      </c>
      <c r="Y723">
        <v>0</v>
      </c>
      <c r="Z723">
        <v>17411.150000000001</v>
      </c>
      <c r="AA723">
        <v>17667.78</v>
      </c>
      <c r="AB723" s="12" t="s">
        <v>678</v>
      </c>
      <c r="AC723">
        <v>355.32960000000003</v>
      </c>
      <c r="AD723">
        <v>1</v>
      </c>
      <c r="AE723">
        <v>1</v>
      </c>
      <c r="AF723">
        <v>0</v>
      </c>
      <c r="AG723">
        <v>17411.150000000001</v>
      </c>
      <c r="AH723">
        <v>49</v>
      </c>
      <c r="AI723">
        <v>48</v>
      </c>
      <c r="AJ723">
        <v>1</v>
      </c>
      <c r="AK723">
        <v>1</v>
      </c>
      <c r="AL723">
        <v>1</v>
      </c>
      <c r="AM723">
        <v>97.96</v>
      </c>
      <c r="AN723">
        <v>368.0788</v>
      </c>
      <c r="AO723">
        <v>355.33</v>
      </c>
      <c r="AP723" s="13">
        <v>45152</v>
      </c>
      <c r="AQ723">
        <v>-1</v>
      </c>
      <c r="AR723">
        <v>1</v>
      </c>
    </row>
    <row r="724" spans="1:44" x14ac:dyDescent="0.35">
      <c r="A724" s="12" t="s">
        <v>1377</v>
      </c>
      <c r="B724" s="12" t="s">
        <v>630</v>
      </c>
      <c r="C724" s="12" t="s">
        <v>631</v>
      </c>
      <c r="D724" s="12" t="s">
        <v>130</v>
      </c>
      <c r="E724" s="12" t="s">
        <v>65</v>
      </c>
      <c r="F724">
        <v>1</v>
      </c>
      <c r="G724">
        <v>2</v>
      </c>
      <c r="H724">
        <v>1</v>
      </c>
      <c r="I724" s="12" t="s">
        <v>335</v>
      </c>
      <c r="J724" s="12" t="s">
        <v>336</v>
      </c>
      <c r="K724" s="12" t="s">
        <v>89</v>
      </c>
      <c r="L724" s="12" t="s">
        <v>82</v>
      </c>
      <c r="M724">
        <v>16</v>
      </c>
      <c r="N724" s="12" t="s">
        <v>135</v>
      </c>
      <c r="O724" s="12" t="s">
        <v>136</v>
      </c>
      <c r="P724" s="12" t="s">
        <v>137</v>
      </c>
      <c r="Q724" s="13">
        <v>45113</v>
      </c>
      <c r="R724" s="13">
        <v>45146</v>
      </c>
      <c r="S724">
        <v>2023</v>
      </c>
      <c r="T724" s="12" t="s">
        <v>1343</v>
      </c>
      <c r="U724">
        <v>104</v>
      </c>
      <c r="V724">
        <v>448.44209999999998</v>
      </c>
      <c r="W724">
        <v>290.63</v>
      </c>
      <c r="X724">
        <v>0</v>
      </c>
      <c r="Y724">
        <v>0</v>
      </c>
      <c r="Z724">
        <v>46637.98</v>
      </c>
      <c r="AA724">
        <v>46928.61</v>
      </c>
      <c r="AB724" s="12" t="s">
        <v>632</v>
      </c>
      <c r="AC724">
        <v>448.44209999999998</v>
      </c>
      <c r="AD724">
        <v>1</v>
      </c>
      <c r="AE724">
        <v>1</v>
      </c>
      <c r="AF724">
        <v>0</v>
      </c>
      <c r="AG724">
        <v>46637.98</v>
      </c>
      <c r="AH724">
        <v>104</v>
      </c>
      <c r="AI724">
        <v>103</v>
      </c>
      <c r="AJ724">
        <v>1</v>
      </c>
      <c r="AK724">
        <v>1</v>
      </c>
      <c r="AL724">
        <v>1</v>
      </c>
      <c r="AM724">
        <v>99.04</v>
      </c>
      <c r="AN724">
        <v>455.61759999999998</v>
      </c>
      <c r="AO724">
        <v>448.44</v>
      </c>
      <c r="AP724" s="13">
        <v>45145</v>
      </c>
      <c r="AQ724">
        <v>-1</v>
      </c>
      <c r="AR724">
        <v>1</v>
      </c>
    </row>
    <row r="725" spans="1:44" x14ac:dyDescent="0.35">
      <c r="A725" s="12" t="s">
        <v>1378</v>
      </c>
      <c r="B725" s="12" t="s">
        <v>284</v>
      </c>
      <c r="C725" s="12" t="s">
        <v>285</v>
      </c>
      <c r="D725" s="12" t="s">
        <v>269</v>
      </c>
      <c r="E725" s="12" t="s">
        <v>104</v>
      </c>
      <c r="F725">
        <v>3</v>
      </c>
      <c r="G725">
        <v>1</v>
      </c>
      <c r="H725">
        <v>0</v>
      </c>
      <c r="I725" s="12" t="s">
        <v>199</v>
      </c>
      <c r="J725" s="12" t="s">
        <v>200</v>
      </c>
      <c r="K725" s="12" t="s">
        <v>68</v>
      </c>
      <c r="L725" s="12" t="s">
        <v>96</v>
      </c>
      <c r="M725">
        <v>9.4700000000000006</v>
      </c>
      <c r="N725" s="12" t="s">
        <v>135</v>
      </c>
      <c r="O725" s="12" t="s">
        <v>136</v>
      </c>
      <c r="P725" s="12" t="s">
        <v>137</v>
      </c>
      <c r="Q725" s="13">
        <v>45113</v>
      </c>
      <c r="R725" s="13">
        <v>45140</v>
      </c>
      <c r="S725">
        <v>2023</v>
      </c>
      <c r="T725" s="12" t="s">
        <v>1343</v>
      </c>
      <c r="U725">
        <v>128</v>
      </c>
      <c r="V725">
        <v>375.14139999999998</v>
      </c>
      <c r="W725">
        <v>850.42</v>
      </c>
      <c r="X725">
        <v>0</v>
      </c>
      <c r="Y725">
        <v>0</v>
      </c>
      <c r="Z725">
        <v>48018.1</v>
      </c>
      <c r="AA725">
        <v>48868.52</v>
      </c>
      <c r="AB725" s="12" t="s">
        <v>286</v>
      </c>
      <c r="AC725">
        <v>397.87</v>
      </c>
      <c r="AD725">
        <v>1</v>
      </c>
      <c r="AE725">
        <v>1</v>
      </c>
      <c r="AF725">
        <v>-2909.26</v>
      </c>
      <c r="AG725">
        <v>50927.360000000001</v>
      </c>
      <c r="AH725">
        <v>128</v>
      </c>
      <c r="AI725">
        <v>126</v>
      </c>
      <c r="AJ725">
        <v>2</v>
      </c>
      <c r="AK725">
        <v>1</v>
      </c>
      <c r="AL725">
        <v>1</v>
      </c>
      <c r="AM725">
        <v>98.44</v>
      </c>
      <c r="AN725">
        <v>387.84539999999998</v>
      </c>
      <c r="AO725">
        <v>750.28</v>
      </c>
      <c r="AP725" s="13">
        <v>45138</v>
      </c>
      <c r="AQ725">
        <v>-2</v>
      </c>
      <c r="AR725">
        <v>1</v>
      </c>
    </row>
    <row r="726" spans="1:44" x14ac:dyDescent="0.35">
      <c r="A726" s="12" t="s">
        <v>1379</v>
      </c>
      <c r="B726" s="12" t="s">
        <v>909</v>
      </c>
      <c r="C726" s="12" t="s">
        <v>910</v>
      </c>
      <c r="D726" s="12" t="s">
        <v>269</v>
      </c>
      <c r="E726" s="12" t="s">
        <v>65</v>
      </c>
      <c r="F726">
        <v>3</v>
      </c>
      <c r="G726">
        <v>4</v>
      </c>
      <c r="H726">
        <v>0</v>
      </c>
      <c r="I726" s="12" t="s">
        <v>199</v>
      </c>
      <c r="J726" s="12" t="s">
        <v>200</v>
      </c>
      <c r="K726" s="12" t="s">
        <v>68</v>
      </c>
      <c r="L726" s="12" t="s">
        <v>96</v>
      </c>
      <c r="M726">
        <v>9.4700000000000006</v>
      </c>
      <c r="N726" s="12" t="s">
        <v>159</v>
      </c>
      <c r="O726" s="12" t="s">
        <v>160</v>
      </c>
      <c r="P726" s="12" t="s">
        <v>137</v>
      </c>
      <c r="Q726" s="13">
        <v>45113</v>
      </c>
      <c r="R726" s="13">
        <v>45139</v>
      </c>
      <c r="S726">
        <v>2023</v>
      </c>
      <c r="T726" s="12" t="s">
        <v>1343</v>
      </c>
      <c r="U726">
        <v>50</v>
      </c>
      <c r="V726">
        <v>108.32040000000001</v>
      </c>
      <c r="W726">
        <v>87.35</v>
      </c>
      <c r="X726">
        <v>0</v>
      </c>
      <c r="Y726">
        <v>0</v>
      </c>
      <c r="Z726">
        <v>5416.02</v>
      </c>
      <c r="AA726">
        <v>5503.37</v>
      </c>
      <c r="AB726" s="12" t="s">
        <v>911</v>
      </c>
      <c r="AC726">
        <v>108.32040000000001</v>
      </c>
      <c r="AD726">
        <v>1</v>
      </c>
      <c r="AE726">
        <v>1</v>
      </c>
      <c r="AF726">
        <v>0</v>
      </c>
      <c r="AG726">
        <v>5416.02</v>
      </c>
      <c r="AH726">
        <v>50</v>
      </c>
      <c r="AI726">
        <v>50</v>
      </c>
      <c r="AJ726">
        <v>0</v>
      </c>
      <c r="AK726">
        <v>1</v>
      </c>
      <c r="AL726">
        <v>1</v>
      </c>
      <c r="AM726">
        <v>100</v>
      </c>
      <c r="AN726">
        <v>110.06740000000001</v>
      </c>
      <c r="AO726">
        <v>0</v>
      </c>
      <c r="AP726" s="13">
        <v>45139</v>
      </c>
      <c r="AQ726">
        <v>0</v>
      </c>
      <c r="AR726">
        <v>1</v>
      </c>
    </row>
    <row r="727" spans="1:44" x14ac:dyDescent="0.35">
      <c r="A727" s="12" t="s">
        <v>1380</v>
      </c>
      <c r="B727" s="12" t="s">
        <v>736</v>
      </c>
      <c r="C727" s="12" t="s">
        <v>737</v>
      </c>
      <c r="D727" s="12" t="s">
        <v>64</v>
      </c>
      <c r="E727" s="12" t="s">
        <v>104</v>
      </c>
      <c r="F727">
        <v>3</v>
      </c>
      <c r="G727">
        <v>1</v>
      </c>
      <c r="H727">
        <v>0</v>
      </c>
      <c r="I727" s="12" t="s">
        <v>94</v>
      </c>
      <c r="J727" s="12" t="s">
        <v>95</v>
      </c>
      <c r="K727" s="12" t="s">
        <v>81</v>
      </c>
      <c r="L727" s="12" t="s">
        <v>96</v>
      </c>
      <c r="M727">
        <v>4.8099999999999996</v>
      </c>
      <c r="N727" s="12" t="s">
        <v>70</v>
      </c>
      <c r="O727" s="12" t="s">
        <v>71</v>
      </c>
      <c r="P727" s="12" t="s">
        <v>72</v>
      </c>
      <c r="Q727" s="13">
        <v>45113</v>
      </c>
      <c r="R727" s="13">
        <v>45125</v>
      </c>
      <c r="S727">
        <v>2023</v>
      </c>
      <c r="T727" s="12" t="s">
        <v>1343</v>
      </c>
      <c r="U727">
        <v>102</v>
      </c>
      <c r="V727">
        <v>24.696300000000001</v>
      </c>
      <c r="W727">
        <v>63.54</v>
      </c>
      <c r="X727">
        <v>0</v>
      </c>
      <c r="Y727">
        <v>0</v>
      </c>
      <c r="Z727">
        <v>2519.02</v>
      </c>
      <c r="AA727">
        <v>2582.56</v>
      </c>
      <c r="AB727" s="12" t="s">
        <v>738</v>
      </c>
      <c r="AC727">
        <v>24.696300000000001</v>
      </c>
      <c r="AD727">
        <v>1</v>
      </c>
      <c r="AE727">
        <v>1</v>
      </c>
      <c r="AF727">
        <v>0</v>
      </c>
      <c r="AG727">
        <v>2519.02</v>
      </c>
      <c r="AH727">
        <v>102</v>
      </c>
      <c r="AI727">
        <v>101</v>
      </c>
      <c r="AJ727">
        <v>1</v>
      </c>
      <c r="AK727">
        <v>1</v>
      </c>
      <c r="AL727">
        <v>1</v>
      </c>
      <c r="AM727">
        <v>99.02</v>
      </c>
      <c r="AN727">
        <v>25.569900000000001</v>
      </c>
      <c r="AO727">
        <v>24.7</v>
      </c>
      <c r="AP727" s="13">
        <v>45129</v>
      </c>
      <c r="AQ727">
        <v>4</v>
      </c>
      <c r="AR727">
        <v>0</v>
      </c>
    </row>
    <row r="728" spans="1:44" x14ac:dyDescent="0.35">
      <c r="A728" s="12" t="s">
        <v>1381</v>
      </c>
      <c r="B728" s="12" t="s">
        <v>640</v>
      </c>
      <c r="C728" s="12" t="s">
        <v>641</v>
      </c>
      <c r="D728" s="12" t="s">
        <v>130</v>
      </c>
      <c r="E728" s="12" t="s">
        <v>104</v>
      </c>
      <c r="F728">
        <v>3</v>
      </c>
      <c r="G728">
        <v>0</v>
      </c>
      <c r="H728">
        <v>0</v>
      </c>
      <c r="I728" s="12" t="s">
        <v>209</v>
      </c>
      <c r="J728" s="12" t="s">
        <v>210</v>
      </c>
      <c r="K728" s="12" t="s">
        <v>133</v>
      </c>
      <c r="L728" s="12" t="s">
        <v>96</v>
      </c>
      <c r="M728">
        <v>7.82</v>
      </c>
      <c r="N728" s="12" t="s">
        <v>135</v>
      </c>
      <c r="O728" s="12" t="s">
        <v>136</v>
      </c>
      <c r="P728" s="12" t="s">
        <v>137</v>
      </c>
      <c r="Q728" s="13">
        <v>45113</v>
      </c>
      <c r="R728" s="13">
        <v>45137</v>
      </c>
      <c r="S728">
        <v>2023</v>
      </c>
      <c r="T728" s="12" t="s">
        <v>1343</v>
      </c>
      <c r="U728">
        <v>109</v>
      </c>
      <c r="V728">
        <v>1008.4116</v>
      </c>
      <c r="W728">
        <v>2275.5100000000002</v>
      </c>
      <c r="X728">
        <v>0</v>
      </c>
      <c r="Y728">
        <v>0</v>
      </c>
      <c r="Z728">
        <v>109916.86</v>
      </c>
      <c r="AA728">
        <v>112192.37</v>
      </c>
      <c r="AB728" s="12" t="s">
        <v>642</v>
      </c>
      <c r="AC728">
        <v>1008.4116</v>
      </c>
      <c r="AD728">
        <v>1</v>
      </c>
      <c r="AE728">
        <v>1</v>
      </c>
      <c r="AF728">
        <v>0</v>
      </c>
      <c r="AG728">
        <v>109916.86</v>
      </c>
      <c r="AH728">
        <v>109</v>
      </c>
      <c r="AI728">
        <v>108</v>
      </c>
      <c r="AJ728">
        <v>1</v>
      </c>
      <c r="AK728">
        <v>1</v>
      </c>
      <c r="AL728">
        <v>1</v>
      </c>
      <c r="AM728">
        <v>99.08</v>
      </c>
      <c r="AN728">
        <v>1038.8182999999999</v>
      </c>
      <c r="AO728">
        <v>1008.41</v>
      </c>
      <c r="AP728" s="13">
        <v>45136</v>
      </c>
      <c r="AQ728">
        <v>-1</v>
      </c>
      <c r="AR728">
        <v>1</v>
      </c>
    </row>
    <row r="729" spans="1:44" x14ac:dyDescent="0.35">
      <c r="A729" s="12" t="s">
        <v>1382</v>
      </c>
      <c r="B729" s="12" t="s">
        <v>802</v>
      </c>
      <c r="C729" s="12" t="s">
        <v>803</v>
      </c>
      <c r="D729" s="12" t="s">
        <v>114</v>
      </c>
      <c r="E729" s="12" t="s">
        <v>65</v>
      </c>
      <c r="F729">
        <v>3</v>
      </c>
      <c r="G729">
        <v>5</v>
      </c>
      <c r="H729">
        <v>0</v>
      </c>
      <c r="I729" s="12" t="s">
        <v>87</v>
      </c>
      <c r="J729" s="12" t="s">
        <v>88</v>
      </c>
      <c r="K729" s="12" t="s">
        <v>89</v>
      </c>
      <c r="L729" s="12" t="s">
        <v>69</v>
      </c>
      <c r="M729">
        <v>14.93</v>
      </c>
      <c r="N729" s="12" t="s">
        <v>97</v>
      </c>
      <c r="O729" s="12" t="s">
        <v>98</v>
      </c>
      <c r="P729" s="12" t="s">
        <v>72</v>
      </c>
      <c r="Q729" s="13">
        <v>45114</v>
      </c>
      <c r="R729" s="13">
        <v>45148</v>
      </c>
      <c r="S729">
        <v>2023</v>
      </c>
      <c r="T729" s="12" t="s">
        <v>1343</v>
      </c>
      <c r="U729">
        <v>114</v>
      </c>
      <c r="V729">
        <v>350.71699999999998</v>
      </c>
      <c r="W729">
        <v>638.75</v>
      </c>
      <c r="X729">
        <v>0</v>
      </c>
      <c r="Y729">
        <v>0</v>
      </c>
      <c r="Z729">
        <v>39981.74</v>
      </c>
      <c r="AA729">
        <v>40620.49</v>
      </c>
      <c r="AB729" s="12" t="s">
        <v>1063</v>
      </c>
      <c r="AC729">
        <v>350.71699999999998</v>
      </c>
      <c r="AD729">
        <v>1</v>
      </c>
      <c r="AE729">
        <v>1</v>
      </c>
      <c r="AF729">
        <v>0</v>
      </c>
      <c r="AG729">
        <v>39981.74</v>
      </c>
      <c r="AH729">
        <v>114</v>
      </c>
      <c r="AI729">
        <v>111</v>
      </c>
      <c r="AJ729">
        <v>3</v>
      </c>
      <c r="AK729">
        <v>1</v>
      </c>
      <c r="AL729">
        <v>1</v>
      </c>
      <c r="AM729">
        <v>97.37</v>
      </c>
      <c r="AN729">
        <v>365.95030000000003</v>
      </c>
      <c r="AO729">
        <v>1052.1500000000001</v>
      </c>
      <c r="AP729" s="13">
        <v>45146</v>
      </c>
      <c r="AQ729">
        <v>-2</v>
      </c>
      <c r="AR729">
        <v>1</v>
      </c>
    </row>
    <row r="730" spans="1:44" x14ac:dyDescent="0.35">
      <c r="A730" s="12" t="s">
        <v>1383</v>
      </c>
      <c r="B730" s="12" t="s">
        <v>1034</v>
      </c>
      <c r="C730" s="12" t="s">
        <v>1035</v>
      </c>
      <c r="D730" s="12" t="s">
        <v>64</v>
      </c>
      <c r="E730" s="12" t="s">
        <v>104</v>
      </c>
      <c r="F730">
        <v>2</v>
      </c>
      <c r="G730">
        <v>0</v>
      </c>
      <c r="H730">
        <v>0</v>
      </c>
      <c r="I730" s="12" t="s">
        <v>157</v>
      </c>
      <c r="J730" s="12" t="s">
        <v>158</v>
      </c>
      <c r="K730" s="12" t="s">
        <v>117</v>
      </c>
      <c r="L730" s="12" t="s">
        <v>96</v>
      </c>
      <c r="M730">
        <v>4.72</v>
      </c>
      <c r="N730" s="12" t="s">
        <v>70</v>
      </c>
      <c r="O730" s="12" t="s">
        <v>71</v>
      </c>
      <c r="P730" s="12" t="s">
        <v>72</v>
      </c>
      <c r="Q730" s="13">
        <v>45114</v>
      </c>
      <c r="R730" s="13">
        <v>45143</v>
      </c>
      <c r="S730">
        <v>2023</v>
      </c>
      <c r="T730" s="12" t="s">
        <v>1343</v>
      </c>
      <c r="U730">
        <v>999</v>
      </c>
      <c r="V730">
        <v>9.9979999999999993</v>
      </c>
      <c r="W730">
        <v>160.36000000000001</v>
      </c>
      <c r="X730">
        <v>0</v>
      </c>
      <c r="Y730">
        <v>0</v>
      </c>
      <c r="Z730">
        <v>9988</v>
      </c>
      <c r="AA730">
        <v>10148.36</v>
      </c>
      <c r="AB730" s="12" t="s">
        <v>1036</v>
      </c>
      <c r="AC730">
        <v>9.9979999999999993</v>
      </c>
      <c r="AD730">
        <v>1</v>
      </c>
      <c r="AE730">
        <v>1</v>
      </c>
      <c r="AF730">
        <v>0</v>
      </c>
      <c r="AG730">
        <v>9988</v>
      </c>
      <c r="AH730">
        <v>999</v>
      </c>
      <c r="AI730">
        <v>991</v>
      </c>
      <c r="AJ730">
        <v>8</v>
      </c>
      <c r="AK730">
        <v>1</v>
      </c>
      <c r="AL730">
        <v>1</v>
      </c>
      <c r="AM730">
        <v>99.2</v>
      </c>
      <c r="AN730">
        <v>10.240500000000001</v>
      </c>
      <c r="AO730">
        <v>79.98</v>
      </c>
      <c r="AP730" s="13">
        <v>45141</v>
      </c>
      <c r="AQ730">
        <v>-2</v>
      </c>
      <c r="AR730">
        <v>1</v>
      </c>
    </row>
    <row r="731" spans="1:44" x14ac:dyDescent="0.35">
      <c r="A731" s="12" t="s">
        <v>1384</v>
      </c>
      <c r="B731" s="12" t="s">
        <v>378</v>
      </c>
      <c r="C731" s="12" t="s">
        <v>379</v>
      </c>
      <c r="D731" s="12" t="s">
        <v>64</v>
      </c>
      <c r="E731" s="12" t="s">
        <v>104</v>
      </c>
      <c r="F731">
        <v>3</v>
      </c>
      <c r="G731">
        <v>1</v>
      </c>
      <c r="H731">
        <v>0</v>
      </c>
      <c r="I731" s="12" t="s">
        <v>335</v>
      </c>
      <c r="J731" s="12" t="s">
        <v>336</v>
      </c>
      <c r="K731" s="12" t="s">
        <v>89</v>
      </c>
      <c r="L731" s="12" t="s">
        <v>82</v>
      </c>
      <c r="M731">
        <v>16</v>
      </c>
      <c r="N731" s="12" t="s">
        <v>97</v>
      </c>
      <c r="O731" s="12" t="s">
        <v>98</v>
      </c>
      <c r="P731" s="12" t="s">
        <v>72</v>
      </c>
      <c r="Q731" s="13">
        <v>45114</v>
      </c>
      <c r="R731" s="13">
        <v>45137</v>
      </c>
      <c r="S731">
        <v>2023</v>
      </c>
      <c r="T731" s="12" t="s">
        <v>1343</v>
      </c>
      <c r="U731">
        <v>664</v>
      </c>
      <c r="V731">
        <v>19.014700000000001</v>
      </c>
      <c r="W731">
        <v>286.47000000000003</v>
      </c>
      <c r="X731">
        <v>0</v>
      </c>
      <c r="Y731">
        <v>0</v>
      </c>
      <c r="Z731">
        <v>12625.76</v>
      </c>
      <c r="AA731">
        <v>12912.23</v>
      </c>
      <c r="AB731" s="12" t="s">
        <v>201</v>
      </c>
      <c r="AD731">
        <v>0</v>
      </c>
      <c r="AE731">
        <v>0</v>
      </c>
      <c r="AH731">
        <v>664</v>
      </c>
      <c r="AI731">
        <v>656</v>
      </c>
      <c r="AJ731">
        <v>8</v>
      </c>
      <c r="AK731">
        <v>1</v>
      </c>
      <c r="AL731">
        <v>1</v>
      </c>
      <c r="AM731">
        <v>98.8</v>
      </c>
      <c r="AN731">
        <v>19.683299999999999</v>
      </c>
      <c r="AO731">
        <v>152.12</v>
      </c>
      <c r="AP731" s="13">
        <v>45135</v>
      </c>
      <c r="AQ731">
        <v>-2</v>
      </c>
      <c r="AR731">
        <v>1</v>
      </c>
    </row>
    <row r="732" spans="1:44" x14ac:dyDescent="0.35">
      <c r="A732" s="12" t="s">
        <v>1385</v>
      </c>
      <c r="B732" s="12" t="s">
        <v>728</v>
      </c>
      <c r="C732" s="12" t="s">
        <v>729</v>
      </c>
      <c r="D732" s="12" t="s">
        <v>269</v>
      </c>
      <c r="E732" s="12" t="s">
        <v>65</v>
      </c>
      <c r="F732">
        <v>2</v>
      </c>
      <c r="G732">
        <v>3</v>
      </c>
      <c r="H732">
        <v>0</v>
      </c>
      <c r="I732" s="12" t="s">
        <v>243</v>
      </c>
      <c r="J732" s="12" t="s">
        <v>244</v>
      </c>
      <c r="K732" s="12" t="s">
        <v>81</v>
      </c>
      <c r="L732" s="12" t="s">
        <v>82</v>
      </c>
      <c r="M732">
        <v>9.2200000000000006</v>
      </c>
      <c r="N732" s="12" t="s">
        <v>159</v>
      </c>
      <c r="O732" s="12" t="s">
        <v>160</v>
      </c>
      <c r="P732" s="12" t="s">
        <v>137</v>
      </c>
      <c r="Q732" s="13">
        <v>45114</v>
      </c>
      <c r="R732" s="13">
        <v>45145</v>
      </c>
      <c r="S732">
        <v>2023</v>
      </c>
      <c r="T732" s="12" t="s">
        <v>1343</v>
      </c>
      <c r="U732">
        <v>88</v>
      </c>
      <c r="V732">
        <v>374.99740000000003</v>
      </c>
      <c r="W732">
        <v>378.08</v>
      </c>
      <c r="X732">
        <v>0</v>
      </c>
      <c r="Y732">
        <v>0</v>
      </c>
      <c r="Z732">
        <v>32999.769999999997</v>
      </c>
      <c r="AA732">
        <v>33377.85</v>
      </c>
      <c r="AB732" s="12" t="s">
        <v>783</v>
      </c>
      <c r="AC732">
        <v>374.99740000000003</v>
      </c>
      <c r="AD732">
        <v>1</v>
      </c>
      <c r="AE732">
        <v>1</v>
      </c>
      <c r="AF732">
        <v>0</v>
      </c>
      <c r="AG732">
        <v>32999.769999999997</v>
      </c>
      <c r="AH732">
        <v>88</v>
      </c>
      <c r="AI732">
        <v>87</v>
      </c>
      <c r="AJ732">
        <v>1</v>
      </c>
      <c r="AK732">
        <v>1</v>
      </c>
      <c r="AL732">
        <v>1</v>
      </c>
      <c r="AM732">
        <v>98.86</v>
      </c>
      <c r="AN732">
        <v>383.65350000000001</v>
      </c>
      <c r="AO732">
        <v>375</v>
      </c>
      <c r="AP732" s="13">
        <v>45150</v>
      </c>
      <c r="AQ732">
        <v>5</v>
      </c>
      <c r="AR732">
        <v>0</v>
      </c>
    </row>
    <row r="733" spans="1:44" x14ac:dyDescent="0.35">
      <c r="A733" s="12" t="s">
        <v>1386</v>
      </c>
      <c r="B733" s="12" t="s">
        <v>231</v>
      </c>
      <c r="C733" s="12" t="s">
        <v>232</v>
      </c>
      <c r="D733" s="12" t="s">
        <v>130</v>
      </c>
      <c r="E733" s="12" t="s">
        <v>65</v>
      </c>
      <c r="F733">
        <v>1</v>
      </c>
      <c r="G733">
        <v>2</v>
      </c>
      <c r="H733">
        <v>1</v>
      </c>
      <c r="I733" s="12" t="s">
        <v>233</v>
      </c>
      <c r="J733" s="12" t="s">
        <v>234</v>
      </c>
      <c r="K733" s="12" t="s">
        <v>125</v>
      </c>
      <c r="L733" s="12" t="s">
        <v>96</v>
      </c>
      <c r="M733">
        <v>3.73</v>
      </c>
      <c r="N733" s="12" t="s">
        <v>135</v>
      </c>
      <c r="O733" s="12" t="s">
        <v>136</v>
      </c>
      <c r="P733" s="12" t="s">
        <v>137</v>
      </c>
      <c r="Q733" s="13">
        <v>45114</v>
      </c>
      <c r="R733" s="13">
        <v>45152</v>
      </c>
      <c r="S733">
        <v>2023</v>
      </c>
      <c r="T733" s="12" t="s">
        <v>1343</v>
      </c>
      <c r="U733">
        <v>144</v>
      </c>
      <c r="V733">
        <v>416.40039999999999</v>
      </c>
      <c r="W733">
        <v>380.92</v>
      </c>
      <c r="X733">
        <v>0</v>
      </c>
      <c r="Y733">
        <v>0</v>
      </c>
      <c r="Z733">
        <v>59961.66</v>
      </c>
      <c r="AA733">
        <v>60342.58</v>
      </c>
      <c r="AB733" s="12" t="s">
        <v>235</v>
      </c>
      <c r="AC733">
        <v>416.40039999999999</v>
      </c>
      <c r="AD733">
        <v>1</v>
      </c>
      <c r="AE733">
        <v>1</v>
      </c>
      <c r="AF733">
        <v>0</v>
      </c>
      <c r="AG733">
        <v>59961.66</v>
      </c>
      <c r="AH733">
        <v>144</v>
      </c>
      <c r="AI733">
        <v>142</v>
      </c>
      <c r="AJ733">
        <v>2</v>
      </c>
      <c r="AK733">
        <v>1</v>
      </c>
      <c r="AL733">
        <v>1</v>
      </c>
      <c r="AM733">
        <v>98.61</v>
      </c>
      <c r="AN733">
        <v>424.9477</v>
      </c>
      <c r="AO733">
        <v>832.8</v>
      </c>
      <c r="AP733" s="13">
        <v>45151</v>
      </c>
      <c r="AQ733">
        <v>-1</v>
      </c>
      <c r="AR733">
        <v>1</v>
      </c>
    </row>
    <row r="734" spans="1:44" x14ac:dyDescent="0.35">
      <c r="A734" s="12" t="s">
        <v>1387</v>
      </c>
      <c r="B734" s="12" t="s">
        <v>972</v>
      </c>
      <c r="C734" s="12" t="s">
        <v>973</v>
      </c>
      <c r="D734" s="12" t="s">
        <v>130</v>
      </c>
      <c r="E734" s="12" t="s">
        <v>142</v>
      </c>
      <c r="F734">
        <v>2</v>
      </c>
      <c r="G734">
        <v>9</v>
      </c>
      <c r="H734">
        <v>0</v>
      </c>
      <c r="I734" s="12" t="s">
        <v>676</v>
      </c>
      <c r="J734" s="12" t="s">
        <v>677</v>
      </c>
      <c r="K734" s="12" t="s">
        <v>68</v>
      </c>
      <c r="L734" s="12" t="s">
        <v>96</v>
      </c>
      <c r="M734">
        <v>3.57</v>
      </c>
      <c r="N734" s="12" t="s">
        <v>135</v>
      </c>
      <c r="O734" s="12" t="s">
        <v>136</v>
      </c>
      <c r="P734" s="12" t="s">
        <v>137</v>
      </c>
      <c r="Q734" s="13">
        <v>45114</v>
      </c>
      <c r="R734" s="13">
        <v>45149</v>
      </c>
      <c r="S734">
        <v>2023</v>
      </c>
      <c r="T734" s="12" t="s">
        <v>1343</v>
      </c>
      <c r="U734">
        <v>11</v>
      </c>
      <c r="V734">
        <v>842.69190000000003</v>
      </c>
      <c r="W734">
        <v>169.48</v>
      </c>
      <c r="X734">
        <v>0</v>
      </c>
      <c r="Y734">
        <v>0</v>
      </c>
      <c r="Z734">
        <v>9269.61</v>
      </c>
      <c r="AA734">
        <v>9439.09</v>
      </c>
      <c r="AB734" s="12" t="s">
        <v>974</v>
      </c>
      <c r="AC734">
        <v>842.69190000000003</v>
      </c>
      <c r="AD734">
        <v>1</v>
      </c>
      <c r="AE734">
        <v>1</v>
      </c>
      <c r="AF734">
        <v>0</v>
      </c>
      <c r="AG734">
        <v>9269.61</v>
      </c>
      <c r="AH734">
        <v>11</v>
      </c>
      <c r="AI734">
        <v>11</v>
      </c>
      <c r="AJ734">
        <v>0</v>
      </c>
      <c r="AK734">
        <v>1</v>
      </c>
      <c r="AL734">
        <v>1</v>
      </c>
      <c r="AM734">
        <v>100</v>
      </c>
      <c r="AN734">
        <v>858.0992</v>
      </c>
      <c r="AO734">
        <v>0</v>
      </c>
      <c r="AP734" s="13">
        <v>45150</v>
      </c>
      <c r="AQ734">
        <v>1</v>
      </c>
      <c r="AR734">
        <v>0</v>
      </c>
    </row>
    <row r="735" spans="1:44" x14ac:dyDescent="0.35">
      <c r="A735" s="12" t="s">
        <v>1388</v>
      </c>
      <c r="B735" s="12" t="s">
        <v>163</v>
      </c>
      <c r="C735" s="12" t="s">
        <v>164</v>
      </c>
      <c r="D735" s="12" t="s">
        <v>64</v>
      </c>
      <c r="E735" s="12" t="s">
        <v>104</v>
      </c>
      <c r="F735">
        <v>2</v>
      </c>
      <c r="G735">
        <v>0</v>
      </c>
      <c r="H735">
        <v>0</v>
      </c>
      <c r="I735" s="12" t="s">
        <v>183</v>
      </c>
      <c r="J735" s="12" t="s">
        <v>184</v>
      </c>
      <c r="K735" s="12" t="s">
        <v>133</v>
      </c>
      <c r="L735" s="12" t="s">
        <v>82</v>
      </c>
      <c r="M735">
        <v>8.6199999999999992</v>
      </c>
      <c r="N735" s="12" t="s">
        <v>97</v>
      </c>
      <c r="O735" s="12" t="s">
        <v>98</v>
      </c>
      <c r="P735" s="12" t="s">
        <v>72</v>
      </c>
      <c r="Q735" s="13">
        <v>45117</v>
      </c>
      <c r="R735" s="13">
        <v>45146</v>
      </c>
      <c r="S735">
        <v>2023</v>
      </c>
      <c r="T735" s="12" t="s">
        <v>1343</v>
      </c>
      <c r="U735">
        <v>983</v>
      </c>
      <c r="V735">
        <v>12.8643</v>
      </c>
      <c r="W735">
        <v>240.73</v>
      </c>
      <c r="X735">
        <v>0</v>
      </c>
      <c r="Y735">
        <v>0</v>
      </c>
      <c r="Z735">
        <v>12645.61</v>
      </c>
      <c r="AA735">
        <v>12886.34</v>
      </c>
      <c r="AB735" s="12" t="s">
        <v>185</v>
      </c>
      <c r="AC735">
        <v>12.8643</v>
      </c>
      <c r="AD735">
        <v>1</v>
      </c>
      <c r="AE735">
        <v>1</v>
      </c>
      <c r="AF735">
        <v>0</v>
      </c>
      <c r="AG735">
        <v>12645.61</v>
      </c>
      <c r="AH735">
        <v>983</v>
      </c>
      <c r="AI735">
        <v>969</v>
      </c>
      <c r="AJ735">
        <v>14</v>
      </c>
      <c r="AK735">
        <v>1</v>
      </c>
      <c r="AL735">
        <v>1</v>
      </c>
      <c r="AM735">
        <v>98.58</v>
      </c>
      <c r="AN735">
        <v>13.2986</v>
      </c>
      <c r="AO735">
        <v>180.1</v>
      </c>
      <c r="AP735" s="13">
        <v>45143</v>
      </c>
      <c r="AQ735">
        <v>-3</v>
      </c>
      <c r="AR735">
        <v>1</v>
      </c>
    </row>
    <row r="736" spans="1:44" x14ac:dyDescent="0.35">
      <c r="A736" s="12" t="s">
        <v>1389</v>
      </c>
      <c r="B736" s="12" t="s">
        <v>963</v>
      </c>
      <c r="C736" s="12" t="s">
        <v>964</v>
      </c>
      <c r="D736" s="12" t="s">
        <v>114</v>
      </c>
      <c r="E736" s="12" t="s">
        <v>142</v>
      </c>
      <c r="F736">
        <v>1</v>
      </c>
      <c r="G736">
        <v>6</v>
      </c>
      <c r="H736">
        <v>1</v>
      </c>
      <c r="I736" s="12" t="s">
        <v>176</v>
      </c>
      <c r="J736" s="12" t="s">
        <v>177</v>
      </c>
      <c r="K736" s="12" t="s">
        <v>125</v>
      </c>
      <c r="L736" s="12" t="s">
        <v>134</v>
      </c>
      <c r="M736">
        <v>1.75</v>
      </c>
      <c r="N736" s="12" t="s">
        <v>70</v>
      </c>
      <c r="O736" s="12" t="s">
        <v>71</v>
      </c>
      <c r="P736" s="12" t="s">
        <v>72</v>
      </c>
      <c r="Q736" s="13">
        <v>45117</v>
      </c>
      <c r="R736" s="13">
        <v>45165</v>
      </c>
      <c r="S736">
        <v>2023</v>
      </c>
      <c r="T736" s="12" t="s">
        <v>1343</v>
      </c>
      <c r="U736">
        <v>112</v>
      </c>
      <c r="V736">
        <v>194.73220000000001</v>
      </c>
      <c r="W736">
        <v>505.91</v>
      </c>
      <c r="X736">
        <v>0</v>
      </c>
      <c r="Y736">
        <v>0</v>
      </c>
      <c r="Z736">
        <v>21810.01</v>
      </c>
      <c r="AA736">
        <v>22315.919999999998</v>
      </c>
      <c r="AB736" s="12" t="s">
        <v>965</v>
      </c>
      <c r="AC736">
        <v>194.73220000000001</v>
      </c>
      <c r="AD736">
        <v>1</v>
      </c>
      <c r="AE736">
        <v>1</v>
      </c>
      <c r="AF736">
        <v>0</v>
      </c>
      <c r="AG736">
        <v>21810.01</v>
      </c>
      <c r="AH736">
        <v>112</v>
      </c>
      <c r="AI736">
        <v>111</v>
      </c>
      <c r="AJ736">
        <v>1</v>
      </c>
      <c r="AK736">
        <v>1</v>
      </c>
      <c r="AL736">
        <v>1</v>
      </c>
      <c r="AM736">
        <v>99.11</v>
      </c>
      <c r="AN736">
        <v>201.04429999999999</v>
      </c>
      <c r="AO736">
        <v>194.73</v>
      </c>
      <c r="AP736" s="13">
        <v>45163</v>
      </c>
      <c r="AQ736">
        <v>-2</v>
      </c>
      <c r="AR736">
        <v>1</v>
      </c>
    </row>
    <row r="737" spans="1:44" x14ac:dyDescent="0.35">
      <c r="A737" s="12" t="s">
        <v>1390</v>
      </c>
      <c r="B737" s="12" t="s">
        <v>1075</v>
      </c>
      <c r="C737" s="12" t="s">
        <v>1076</v>
      </c>
      <c r="D737" s="12" t="s">
        <v>103</v>
      </c>
      <c r="E737" s="12" t="s">
        <v>65</v>
      </c>
      <c r="F737">
        <v>2</v>
      </c>
      <c r="G737">
        <v>4</v>
      </c>
      <c r="H737">
        <v>0</v>
      </c>
      <c r="I737" s="12" t="s">
        <v>183</v>
      </c>
      <c r="J737" s="12" t="s">
        <v>184</v>
      </c>
      <c r="K737" s="12" t="s">
        <v>133</v>
      </c>
      <c r="L737" s="12" t="s">
        <v>82</v>
      </c>
      <c r="M737">
        <v>8.6199999999999992</v>
      </c>
      <c r="N737" s="12" t="s">
        <v>107</v>
      </c>
      <c r="O737" s="12" t="s">
        <v>108</v>
      </c>
      <c r="P737" s="12" t="s">
        <v>109</v>
      </c>
      <c r="Q737" s="13">
        <v>45117</v>
      </c>
      <c r="R737" s="13">
        <v>45153</v>
      </c>
      <c r="S737">
        <v>2023</v>
      </c>
      <c r="T737" s="12" t="s">
        <v>1343</v>
      </c>
      <c r="U737">
        <v>130</v>
      </c>
      <c r="V737">
        <v>68.470200000000006</v>
      </c>
      <c r="W737">
        <v>179.76</v>
      </c>
      <c r="X737">
        <v>0</v>
      </c>
      <c r="Y737">
        <v>0</v>
      </c>
      <c r="Z737">
        <v>8901.1299999999992</v>
      </c>
      <c r="AA737">
        <v>9080.89</v>
      </c>
      <c r="AB737" s="12" t="s">
        <v>1163</v>
      </c>
      <c r="AC737">
        <v>68.470200000000006</v>
      </c>
      <c r="AD737">
        <v>1</v>
      </c>
      <c r="AE737">
        <v>1</v>
      </c>
      <c r="AF737">
        <v>0</v>
      </c>
      <c r="AG737">
        <v>8901.1299999999992</v>
      </c>
      <c r="AH737">
        <v>130</v>
      </c>
      <c r="AI737">
        <v>129</v>
      </c>
      <c r="AJ737">
        <v>1</v>
      </c>
      <c r="AK737">
        <v>1</v>
      </c>
      <c r="AL737">
        <v>1</v>
      </c>
      <c r="AM737">
        <v>99.23</v>
      </c>
      <c r="AN737">
        <v>70.394499999999994</v>
      </c>
      <c r="AO737">
        <v>68.47</v>
      </c>
      <c r="AP737" s="13">
        <v>45151</v>
      </c>
      <c r="AQ737">
        <v>-2</v>
      </c>
      <c r="AR737">
        <v>1</v>
      </c>
    </row>
    <row r="738" spans="1:44" x14ac:dyDescent="0.35">
      <c r="A738" s="12" t="s">
        <v>1391</v>
      </c>
      <c r="B738" s="12" t="s">
        <v>952</v>
      </c>
      <c r="C738" s="12" t="s">
        <v>953</v>
      </c>
      <c r="D738" s="12" t="s">
        <v>64</v>
      </c>
      <c r="E738" s="12" t="s">
        <v>142</v>
      </c>
      <c r="F738">
        <v>1</v>
      </c>
      <c r="G738">
        <v>8</v>
      </c>
      <c r="H738">
        <v>1</v>
      </c>
      <c r="I738" s="12" t="s">
        <v>131</v>
      </c>
      <c r="J738" s="12" t="s">
        <v>132</v>
      </c>
      <c r="K738" s="12" t="s">
        <v>133</v>
      </c>
      <c r="L738" s="12" t="s">
        <v>134</v>
      </c>
      <c r="M738">
        <v>1.51</v>
      </c>
      <c r="N738" s="12" t="s">
        <v>70</v>
      </c>
      <c r="O738" s="12" t="s">
        <v>71</v>
      </c>
      <c r="P738" s="12" t="s">
        <v>72</v>
      </c>
      <c r="Q738" s="13">
        <v>45117</v>
      </c>
      <c r="R738" s="13">
        <v>45157</v>
      </c>
      <c r="S738">
        <v>2023</v>
      </c>
      <c r="T738" s="12" t="s">
        <v>1343</v>
      </c>
      <c r="U738">
        <v>386</v>
      </c>
      <c r="V738">
        <v>31.146599999999999</v>
      </c>
      <c r="W738">
        <v>112.13</v>
      </c>
      <c r="X738">
        <v>0</v>
      </c>
      <c r="Y738">
        <v>0</v>
      </c>
      <c r="Z738">
        <v>12022.59</v>
      </c>
      <c r="AA738">
        <v>12134.72</v>
      </c>
      <c r="AB738" s="12" t="s">
        <v>954</v>
      </c>
      <c r="AC738">
        <v>31.146599999999999</v>
      </c>
      <c r="AD738">
        <v>1</v>
      </c>
      <c r="AE738">
        <v>1</v>
      </c>
      <c r="AF738">
        <v>0</v>
      </c>
      <c r="AG738">
        <v>12022.59</v>
      </c>
      <c r="AH738">
        <v>386</v>
      </c>
      <c r="AI738">
        <v>384</v>
      </c>
      <c r="AJ738">
        <v>2</v>
      </c>
      <c r="AK738">
        <v>1</v>
      </c>
      <c r="AL738">
        <v>1</v>
      </c>
      <c r="AM738">
        <v>99.48</v>
      </c>
      <c r="AN738">
        <v>31.6008</v>
      </c>
      <c r="AO738">
        <v>62.29</v>
      </c>
      <c r="AP738" s="13">
        <v>45157</v>
      </c>
      <c r="AQ738">
        <v>0</v>
      </c>
      <c r="AR738">
        <v>1</v>
      </c>
    </row>
    <row r="739" spans="1:44" x14ac:dyDescent="0.35">
      <c r="A739" s="12" t="s">
        <v>1392</v>
      </c>
      <c r="B739" s="12" t="s">
        <v>140</v>
      </c>
      <c r="C739" s="12" t="s">
        <v>141</v>
      </c>
      <c r="D739" s="12" t="s">
        <v>103</v>
      </c>
      <c r="E739" s="12" t="s">
        <v>142</v>
      </c>
      <c r="F739">
        <v>1</v>
      </c>
      <c r="G739">
        <v>7</v>
      </c>
      <c r="H739">
        <v>1</v>
      </c>
      <c r="I739" s="12" t="s">
        <v>143</v>
      </c>
      <c r="J739" s="12" t="s">
        <v>144</v>
      </c>
      <c r="K739" s="12" t="s">
        <v>133</v>
      </c>
      <c r="L739" s="12" t="s">
        <v>96</v>
      </c>
      <c r="M739">
        <v>5.43</v>
      </c>
      <c r="N739" s="12" t="s">
        <v>107</v>
      </c>
      <c r="O739" s="12" t="s">
        <v>108</v>
      </c>
      <c r="P739" s="12" t="s">
        <v>109</v>
      </c>
      <c r="Q739" s="13">
        <v>45117</v>
      </c>
      <c r="R739" s="13">
        <v>45153</v>
      </c>
      <c r="S739">
        <v>2023</v>
      </c>
      <c r="T739" s="12" t="s">
        <v>1343</v>
      </c>
      <c r="U739">
        <v>22</v>
      </c>
      <c r="V739">
        <v>211.78559999999999</v>
      </c>
      <c r="W739">
        <v>116.88</v>
      </c>
      <c r="X739">
        <v>0</v>
      </c>
      <c r="Y739">
        <v>0</v>
      </c>
      <c r="Z739">
        <v>4659.28</v>
      </c>
      <c r="AA739">
        <v>4776.16</v>
      </c>
      <c r="AB739" s="12" t="s">
        <v>147</v>
      </c>
      <c r="AC739">
        <v>211.78559999999999</v>
      </c>
      <c r="AD739">
        <v>1</v>
      </c>
      <c r="AE739">
        <v>1</v>
      </c>
      <c r="AF739">
        <v>0</v>
      </c>
      <c r="AG739">
        <v>4659.28</v>
      </c>
      <c r="AH739">
        <v>22</v>
      </c>
      <c r="AI739">
        <v>22</v>
      </c>
      <c r="AJ739">
        <v>0</v>
      </c>
      <c r="AK739">
        <v>1</v>
      </c>
      <c r="AL739">
        <v>1</v>
      </c>
      <c r="AM739">
        <v>100</v>
      </c>
      <c r="AN739">
        <v>217.09829999999999</v>
      </c>
      <c r="AO739">
        <v>0</v>
      </c>
      <c r="AP739" s="13">
        <v>45151</v>
      </c>
      <c r="AQ739">
        <v>-2</v>
      </c>
      <c r="AR739">
        <v>1</v>
      </c>
    </row>
    <row r="740" spans="1:44" x14ac:dyDescent="0.35">
      <c r="A740" s="12" t="s">
        <v>1393</v>
      </c>
      <c r="B740" s="12" t="s">
        <v>924</v>
      </c>
      <c r="C740" s="12" t="s">
        <v>925</v>
      </c>
      <c r="D740" s="12" t="s">
        <v>103</v>
      </c>
      <c r="E740" s="12" t="s">
        <v>104</v>
      </c>
      <c r="F740">
        <v>2</v>
      </c>
      <c r="G740">
        <v>0</v>
      </c>
      <c r="H740">
        <v>0</v>
      </c>
      <c r="I740" s="12" t="s">
        <v>335</v>
      </c>
      <c r="J740" s="12" t="s">
        <v>336</v>
      </c>
      <c r="K740" s="12" t="s">
        <v>89</v>
      </c>
      <c r="L740" s="12" t="s">
        <v>82</v>
      </c>
      <c r="M740">
        <v>16</v>
      </c>
      <c r="N740" s="12" t="s">
        <v>145</v>
      </c>
      <c r="O740" s="12" t="s">
        <v>146</v>
      </c>
      <c r="P740" s="12" t="s">
        <v>109</v>
      </c>
      <c r="Q740" s="13">
        <v>45117</v>
      </c>
      <c r="R740" s="13">
        <v>45137</v>
      </c>
      <c r="S740">
        <v>2023</v>
      </c>
      <c r="T740" s="12" t="s">
        <v>1343</v>
      </c>
      <c r="U740">
        <v>79</v>
      </c>
      <c r="V740">
        <v>161.51509999999999</v>
      </c>
      <c r="W740">
        <v>285.74</v>
      </c>
      <c r="X740">
        <v>0</v>
      </c>
      <c r="Y740">
        <v>0</v>
      </c>
      <c r="Z740">
        <v>12759.69</v>
      </c>
      <c r="AA740">
        <v>13045.43</v>
      </c>
      <c r="AB740" s="12" t="s">
        <v>926</v>
      </c>
      <c r="AC740">
        <v>161.51509999999999</v>
      </c>
      <c r="AD740">
        <v>1</v>
      </c>
      <c r="AE740">
        <v>1</v>
      </c>
      <c r="AF740">
        <v>0</v>
      </c>
      <c r="AG740">
        <v>12759.69</v>
      </c>
      <c r="AH740">
        <v>79</v>
      </c>
      <c r="AI740">
        <v>79</v>
      </c>
      <c r="AJ740">
        <v>0</v>
      </c>
      <c r="AK740">
        <v>1</v>
      </c>
      <c r="AL740">
        <v>1</v>
      </c>
      <c r="AM740">
        <v>100</v>
      </c>
      <c r="AN740">
        <v>165.13210000000001</v>
      </c>
      <c r="AO740">
        <v>0</v>
      </c>
      <c r="AP740" s="13">
        <v>45142</v>
      </c>
      <c r="AQ740">
        <v>5</v>
      </c>
      <c r="AR740">
        <v>0</v>
      </c>
    </row>
    <row r="741" spans="1:44" x14ac:dyDescent="0.35">
      <c r="A741" s="12" t="s">
        <v>1394</v>
      </c>
      <c r="B741" s="12" t="s">
        <v>891</v>
      </c>
      <c r="C741" s="12" t="s">
        <v>892</v>
      </c>
      <c r="D741" s="12" t="s">
        <v>122</v>
      </c>
      <c r="E741" s="12" t="s">
        <v>65</v>
      </c>
      <c r="F741">
        <v>3</v>
      </c>
      <c r="G741">
        <v>5</v>
      </c>
      <c r="H741">
        <v>0</v>
      </c>
      <c r="I741" s="12" t="s">
        <v>195</v>
      </c>
      <c r="J741" s="12" t="s">
        <v>196</v>
      </c>
      <c r="K741" s="12" t="s">
        <v>117</v>
      </c>
      <c r="L741" s="12" t="s">
        <v>134</v>
      </c>
      <c r="M741">
        <v>4.7699999999999996</v>
      </c>
      <c r="N741" s="12" t="s">
        <v>70</v>
      </c>
      <c r="O741" s="12" t="s">
        <v>71</v>
      </c>
      <c r="P741" s="12" t="s">
        <v>72</v>
      </c>
      <c r="Q741" s="13">
        <v>45118</v>
      </c>
      <c r="R741" s="13">
        <v>45143</v>
      </c>
      <c r="S741">
        <v>2023</v>
      </c>
      <c r="T741" s="12" t="s">
        <v>1343</v>
      </c>
      <c r="U741">
        <v>646</v>
      </c>
      <c r="V741">
        <v>39.456000000000003</v>
      </c>
      <c r="W741">
        <v>377.35</v>
      </c>
      <c r="X741">
        <v>0</v>
      </c>
      <c r="Y741">
        <v>0</v>
      </c>
      <c r="Z741">
        <v>25488.58</v>
      </c>
      <c r="AA741">
        <v>25865.93</v>
      </c>
      <c r="AB741" s="12" t="s">
        <v>893</v>
      </c>
      <c r="AC741">
        <v>39.456000000000003</v>
      </c>
      <c r="AD741">
        <v>1</v>
      </c>
      <c r="AE741">
        <v>1</v>
      </c>
      <c r="AF741">
        <v>0</v>
      </c>
      <c r="AG741">
        <v>25488.58</v>
      </c>
      <c r="AH741">
        <v>646</v>
      </c>
      <c r="AI741">
        <v>643</v>
      </c>
      <c r="AJ741">
        <v>3</v>
      </c>
      <c r="AK741">
        <v>1</v>
      </c>
      <c r="AL741">
        <v>1</v>
      </c>
      <c r="AM741">
        <v>99.54</v>
      </c>
      <c r="AN741">
        <v>40.226900000000001</v>
      </c>
      <c r="AO741">
        <v>118.37</v>
      </c>
      <c r="AP741" s="13">
        <v>45142</v>
      </c>
      <c r="AQ741">
        <v>-1</v>
      </c>
      <c r="AR741">
        <v>1</v>
      </c>
    </row>
    <row r="742" spans="1:44" x14ac:dyDescent="0.35">
      <c r="A742" s="12" t="s">
        <v>1395</v>
      </c>
      <c r="B742" s="12" t="s">
        <v>503</v>
      </c>
      <c r="C742" s="12" t="s">
        <v>504</v>
      </c>
      <c r="D742" s="12" t="s">
        <v>103</v>
      </c>
      <c r="E742" s="12" t="s">
        <v>104</v>
      </c>
      <c r="F742">
        <v>3</v>
      </c>
      <c r="G742">
        <v>1</v>
      </c>
      <c r="H742">
        <v>0</v>
      </c>
      <c r="I742" s="12" t="s">
        <v>209</v>
      </c>
      <c r="J742" s="12" t="s">
        <v>210</v>
      </c>
      <c r="K742" s="12" t="s">
        <v>133</v>
      </c>
      <c r="L742" s="12" t="s">
        <v>96</v>
      </c>
      <c r="M742">
        <v>7.82</v>
      </c>
      <c r="N742" s="12" t="s">
        <v>107</v>
      </c>
      <c r="O742" s="12" t="s">
        <v>108</v>
      </c>
      <c r="P742" s="12" t="s">
        <v>109</v>
      </c>
      <c r="Q742" s="13">
        <v>45118</v>
      </c>
      <c r="R742" s="13">
        <v>45137</v>
      </c>
      <c r="S742">
        <v>2023</v>
      </c>
      <c r="T742" s="12" t="s">
        <v>1343</v>
      </c>
      <c r="U742">
        <v>70</v>
      </c>
      <c r="V742">
        <v>158.00909999999999</v>
      </c>
      <c r="W742">
        <v>174.05</v>
      </c>
      <c r="X742">
        <v>0</v>
      </c>
      <c r="Y742">
        <v>0</v>
      </c>
      <c r="Z742">
        <v>11060.64</v>
      </c>
      <c r="AA742">
        <v>11234.69</v>
      </c>
      <c r="AB742" s="12" t="s">
        <v>505</v>
      </c>
      <c r="AC742">
        <v>158.00909999999999</v>
      </c>
      <c r="AD742">
        <v>1</v>
      </c>
      <c r="AE742">
        <v>1</v>
      </c>
      <c r="AF742">
        <v>0</v>
      </c>
      <c r="AG742">
        <v>11060.64</v>
      </c>
      <c r="AH742">
        <v>70</v>
      </c>
      <c r="AI742">
        <v>69</v>
      </c>
      <c r="AJ742">
        <v>1</v>
      </c>
      <c r="AK742">
        <v>1</v>
      </c>
      <c r="AL742">
        <v>1</v>
      </c>
      <c r="AM742">
        <v>98.57</v>
      </c>
      <c r="AN742">
        <v>162.82159999999999</v>
      </c>
      <c r="AO742">
        <v>158.01</v>
      </c>
      <c r="AP742" s="13">
        <v>45134</v>
      </c>
      <c r="AQ742">
        <v>-3</v>
      </c>
      <c r="AR742">
        <v>1</v>
      </c>
    </row>
    <row r="743" spans="1:44" x14ac:dyDescent="0.35">
      <c r="A743" s="12" t="s">
        <v>1396</v>
      </c>
      <c r="B743" s="12" t="s">
        <v>555</v>
      </c>
      <c r="C743" s="12" t="s">
        <v>556</v>
      </c>
      <c r="D743" s="12" t="s">
        <v>114</v>
      </c>
      <c r="E743" s="12" t="s">
        <v>142</v>
      </c>
      <c r="F743">
        <v>1</v>
      </c>
      <c r="G743">
        <v>6</v>
      </c>
      <c r="H743">
        <v>1</v>
      </c>
      <c r="I743" s="12" t="s">
        <v>151</v>
      </c>
      <c r="J743" s="12" t="s">
        <v>152</v>
      </c>
      <c r="K743" s="12" t="s">
        <v>125</v>
      </c>
      <c r="L743" s="12" t="s">
        <v>69</v>
      </c>
      <c r="M743">
        <v>36.479999999999997</v>
      </c>
      <c r="N743" s="12" t="s">
        <v>97</v>
      </c>
      <c r="O743" s="12" t="s">
        <v>98</v>
      </c>
      <c r="P743" s="12" t="s">
        <v>72</v>
      </c>
      <c r="Q743" s="13">
        <v>45118</v>
      </c>
      <c r="R743" s="13">
        <v>45158</v>
      </c>
      <c r="S743">
        <v>2023</v>
      </c>
      <c r="T743" s="12" t="s">
        <v>1343</v>
      </c>
      <c r="U743">
        <v>52</v>
      </c>
      <c r="V743">
        <v>290.42770000000002</v>
      </c>
      <c r="W743">
        <v>232.22</v>
      </c>
      <c r="X743">
        <v>0</v>
      </c>
      <c r="Y743">
        <v>0</v>
      </c>
      <c r="Z743">
        <v>15102.24</v>
      </c>
      <c r="AA743">
        <v>15334.46</v>
      </c>
      <c r="AB743" s="12" t="s">
        <v>557</v>
      </c>
      <c r="AC743">
        <v>290.42770000000002</v>
      </c>
      <c r="AD743">
        <v>1</v>
      </c>
      <c r="AE743">
        <v>1</v>
      </c>
      <c r="AF743">
        <v>0</v>
      </c>
      <c r="AG743">
        <v>15102.24</v>
      </c>
      <c r="AH743">
        <v>52</v>
      </c>
      <c r="AI743">
        <v>52</v>
      </c>
      <c r="AJ743">
        <v>0</v>
      </c>
      <c r="AK743">
        <v>1</v>
      </c>
      <c r="AL743">
        <v>1</v>
      </c>
      <c r="AM743">
        <v>100</v>
      </c>
      <c r="AN743">
        <v>294.89350000000002</v>
      </c>
      <c r="AO743">
        <v>0</v>
      </c>
      <c r="AP743" s="13">
        <v>45158</v>
      </c>
      <c r="AQ743">
        <v>0</v>
      </c>
      <c r="AR743">
        <v>1</v>
      </c>
    </row>
    <row r="744" spans="1:44" x14ac:dyDescent="0.35">
      <c r="A744" s="12" t="s">
        <v>1397</v>
      </c>
      <c r="B744" s="12" t="s">
        <v>755</v>
      </c>
      <c r="C744" s="12" t="s">
        <v>756</v>
      </c>
      <c r="D744" s="12" t="s">
        <v>78</v>
      </c>
      <c r="E744" s="12" t="s">
        <v>65</v>
      </c>
      <c r="F744">
        <v>2</v>
      </c>
      <c r="G744">
        <v>2</v>
      </c>
      <c r="H744">
        <v>0</v>
      </c>
      <c r="I744" s="12" t="s">
        <v>359</v>
      </c>
      <c r="J744" s="12" t="s">
        <v>360</v>
      </c>
      <c r="K744" s="12" t="s">
        <v>133</v>
      </c>
      <c r="L744" s="12" t="s">
        <v>82</v>
      </c>
      <c r="M744">
        <v>12.65</v>
      </c>
      <c r="N744" s="12" t="s">
        <v>70</v>
      </c>
      <c r="O744" s="12" t="s">
        <v>71</v>
      </c>
      <c r="P744" s="12" t="s">
        <v>72</v>
      </c>
      <c r="Q744" s="13">
        <v>45118</v>
      </c>
      <c r="R744" s="13">
        <v>45156</v>
      </c>
      <c r="S744">
        <v>2023</v>
      </c>
      <c r="T744" s="12" t="s">
        <v>1343</v>
      </c>
      <c r="U744">
        <v>290</v>
      </c>
      <c r="V744">
        <v>42.831499999999998</v>
      </c>
      <c r="W744">
        <v>266.72000000000003</v>
      </c>
      <c r="X744">
        <v>0</v>
      </c>
      <c r="Y744">
        <v>0</v>
      </c>
      <c r="Z744">
        <v>12421.14</v>
      </c>
      <c r="AA744">
        <v>12687.86</v>
      </c>
      <c r="AB744" s="12" t="s">
        <v>759</v>
      </c>
      <c r="AC744">
        <v>45.472499999999997</v>
      </c>
      <c r="AD744">
        <v>1</v>
      </c>
      <c r="AE744">
        <v>1</v>
      </c>
      <c r="AF744">
        <v>-765.89</v>
      </c>
      <c r="AG744">
        <v>13187.03</v>
      </c>
      <c r="AH744">
        <v>290</v>
      </c>
      <c r="AI744">
        <v>287</v>
      </c>
      <c r="AJ744">
        <v>3</v>
      </c>
      <c r="AK744">
        <v>1</v>
      </c>
      <c r="AL744">
        <v>1</v>
      </c>
      <c r="AM744">
        <v>98.97</v>
      </c>
      <c r="AN744">
        <v>44.208599999999997</v>
      </c>
      <c r="AO744">
        <v>128.49</v>
      </c>
      <c r="AP744" s="13">
        <v>45156</v>
      </c>
      <c r="AQ744">
        <v>0</v>
      </c>
      <c r="AR744">
        <v>1</v>
      </c>
    </row>
    <row r="745" spans="1:44" x14ac:dyDescent="0.35">
      <c r="A745" s="12" t="s">
        <v>1398</v>
      </c>
      <c r="B745" s="12" t="s">
        <v>773</v>
      </c>
      <c r="C745" s="12" t="s">
        <v>774</v>
      </c>
      <c r="D745" s="12" t="s">
        <v>64</v>
      </c>
      <c r="E745" s="12" t="s">
        <v>142</v>
      </c>
      <c r="F745">
        <v>1</v>
      </c>
      <c r="G745">
        <v>7</v>
      </c>
      <c r="H745">
        <v>1</v>
      </c>
      <c r="I745" s="12" t="s">
        <v>251</v>
      </c>
      <c r="J745" s="12" t="s">
        <v>252</v>
      </c>
      <c r="K745" s="12" t="s">
        <v>133</v>
      </c>
      <c r="L745" s="12" t="s">
        <v>69</v>
      </c>
      <c r="M745">
        <v>34.49</v>
      </c>
      <c r="N745" s="12" t="s">
        <v>70</v>
      </c>
      <c r="O745" s="12" t="s">
        <v>71</v>
      </c>
      <c r="P745" s="12" t="s">
        <v>72</v>
      </c>
      <c r="Q745" s="13">
        <v>45118</v>
      </c>
      <c r="R745" s="13">
        <v>45160</v>
      </c>
      <c r="S745">
        <v>2023</v>
      </c>
      <c r="T745" s="12" t="s">
        <v>1343</v>
      </c>
      <c r="U745">
        <v>479</v>
      </c>
      <c r="V745">
        <v>10.0604</v>
      </c>
      <c r="W745">
        <v>105.19</v>
      </c>
      <c r="X745">
        <v>0</v>
      </c>
      <c r="Y745">
        <v>0</v>
      </c>
      <c r="Z745">
        <v>4818.93</v>
      </c>
      <c r="AA745">
        <v>4924.12</v>
      </c>
      <c r="AB745" s="12" t="s">
        <v>775</v>
      </c>
      <c r="AC745">
        <v>10.0604</v>
      </c>
      <c r="AD745">
        <v>1</v>
      </c>
      <c r="AE745">
        <v>1</v>
      </c>
      <c r="AF745">
        <v>0</v>
      </c>
      <c r="AG745">
        <v>4818.93</v>
      </c>
      <c r="AH745">
        <v>479</v>
      </c>
      <c r="AI745">
        <v>477</v>
      </c>
      <c r="AJ745">
        <v>2</v>
      </c>
      <c r="AK745">
        <v>1</v>
      </c>
      <c r="AL745">
        <v>1</v>
      </c>
      <c r="AM745">
        <v>99.58</v>
      </c>
      <c r="AN745">
        <v>10.3231</v>
      </c>
      <c r="AO745">
        <v>20.12</v>
      </c>
      <c r="AP745" s="13">
        <v>45158</v>
      </c>
      <c r="AQ745">
        <v>-2</v>
      </c>
      <c r="AR745">
        <v>1</v>
      </c>
    </row>
    <row r="746" spans="1:44" x14ac:dyDescent="0.35">
      <c r="A746" s="12" t="s">
        <v>1399</v>
      </c>
      <c r="B746" s="12" t="s">
        <v>657</v>
      </c>
      <c r="C746" s="12" t="s">
        <v>658</v>
      </c>
      <c r="D746" s="12" t="s">
        <v>175</v>
      </c>
      <c r="E746" s="12" t="s">
        <v>65</v>
      </c>
      <c r="F746">
        <v>1</v>
      </c>
      <c r="G746">
        <v>2</v>
      </c>
      <c r="H746">
        <v>1</v>
      </c>
      <c r="I746" s="12" t="s">
        <v>183</v>
      </c>
      <c r="J746" s="12" t="s">
        <v>184</v>
      </c>
      <c r="K746" s="12" t="s">
        <v>133</v>
      </c>
      <c r="L746" s="12" t="s">
        <v>82</v>
      </c>
      <c r="M746">
        <v>8.6199999999999992</v>
      </c>
      <c r="N746" s="12" t="s">
        <v>107</v>
      </c>
      <c r="O746" s="12" t="s">
        <v>108</v>
      </c>
      <c r="P746" s="12" t="s">
        <v>109</v>
      </c>
      <c r="Q746" s="13">
        <v>45118</v>
      </c>
      <c r="R746" s="13">
        <v>45143</v>
      </c>
      <c r="S746">
        <v>2023</v>
      </c>
      <c r="T746" s="12" t="s">
        <v>1343</v>
      </c>
      <c r="U746">
        <v>45</v>
      </c>
      <c r="V746">
        <v>153.8561</v>
      </c>
      <c r="W746">
        <v>94.15</v>
      </c>
      <c r="X746">
        <v>0</v>
      </c>
      <c r="Y746">
        <v>0</v>
      </c>
      <c r="Z746">
        <v>6923.52</v>
      </c>
      <c r="AA746">
        <v>7017.67</v>
      </c>
      <c r="AB746" s="12" t="s">
        <v>659</v>
      </c>
      <c r="AC746">
        <v>153.8561</v>
      </c>
      <c r="AD746">
        <v>1</v>
      </c>
      <c r="AE746">
        <v>1</v>
      </c>
      <c r="AF746">
        <v>0</v>
      </c>
      <c r="AG746">
        <v>6923.52</v>
      </c>
      <c r="AH746">
        <v>45</v>
      </c>
      <c r="AI746">
        <v>45</v>
      </c>
      <c r="AJ746">
        <v>0</v>
      </c>
      <c r="AK746">
        <v>1</v>
      </c>
      <c r="AL746">
        <v>1</v>
      </c>
      <c r="AM746">
        <v>100</v>
      </c>
      <c r="AN746">
        <v>155.94829999999999</v>
      </c>
      <c r="AO746">
        <v>0</v>
      </c>
      <c r="AP746" s="13">
        <v>45141</v>
      </c>
      <c r="AQ746">
        <v>-2</v>
      </c>
      <c r="AR746">
        <v>1</v>
      </c>
    </row>
    <row r="747" spans="1:44" x14ac:dyDescent="0.35">
      <c r="A747" s="12" t="s">
        <v>1400</v>
      </c>
      <c r="B747" s="12" t="s">
        <v>855</v>
      </c>
      <c r="C747" s="12" t="s">
        <v>856</v>
      </c>
      <c r="D747" s="12" t="s">
        <v>269</v>
      </c>
      <c r="E747" s="12" t="s">
        <v>65</v>
      </c>
      <c r="F747">
        <v>3</v>
      </c>
      <c r="G747">
        <v>5</v>
      </c>
      <c r="H747">
        <v>0</v>
      </c>
      <c r="I747" s="12" t="s">
        <v>94</v>
      </c>
      <c r="J747" s="12" t="s">
        <v>95</v>
      </c>
      <c r="K747" s="12" t="s">
        <v>81</v>
      </c>
      <c r="L747" s="12" t="s">
        <v>96</v>
      </c>
      <c r="M747">
        <v>4.8099999999999996</v>
      </c>
      <c r="N747" s="12" t="s">
        <v>159</v>
      </c>
      <c r="O747" s="12" t="s">
        <v>160</v>
      </c>
      <c r="P747" s="12" t="s">
        <v>137</v>
      </c>
      <c r="Q747" s="13">
        <v>45118</v>
      </c>
      <c r="R747" s="13">
        <v>45144</v>
      </c>
      <c r="S747">
        <v>2023</v>
      </c>
      <c r="T747" s="12" t="s">
        <v>1343</v>
      </c>
      <c r="U747">
        <v>51</v>
      </c>
      <c r="V747">
        <v>493.6902</v>
      </c>
      <c r="W747">
        <v>286.37</v>
      </c>
      <c r="X747">
        <v>0</v>
      </c>
      <c r="Y747">
        <v>0</v>
      </c>
      <c r="Z747">
        <v>25178.2</v>
      </c>
      <c r="AA747">
        <v>25464.57</v>
      </c>
      <c r="AB747" s="12" t="s">
        <v>857</v>
      </c>
      <c r="AC747">
        <v>493.6902</v>
      </c>
      <c r="AD747">
        <v>1</v>
      </c>
      <c r="AE747">
        <v>1</v>
      </c>
      <c r="AF747">
        <v>0</v>
      </c>
      <c r="AG747">
        <v>25178.2</v>
      </c>
      <c r="AH747">
        <v>51</v>
      </c>
      <c r="AI747">
        <v>51</v>
      </c>
      <c r="AJ747">
        <v>0</v>
      </c>
      <c r="AK747">
        <v>1</v>
      </c>
      <c r="AL747">
        <v>1</v>
      </c>
      <c r="AM747">
        <v>100</v>
      </c>
      <c r="AN747">
        <v>499.30529999999999</v>
      </c>
      <c r="AO747">
        <v>0</v>
      </c>
      <c r="AP747" s="13">
        <v>45144</v>
      </c>
      <c r="AQ747">
        <v>0</v>
      </c>
      <c r="AR747">
        <v>1</v>
      </c>
    </row>
    <row r="748" spans="1:44" x14ac:dyDescent="0.35">
      <c r="A748" s="12" t="s">
        <v>1401</v>
      </c>
      <c r="B748" s="12" t="s">
        <v>193</v>
      </c>
      <c r="C748" s="12" t="s">
        <v>194</v>
      </c>
      <c r="D748" s="12" t="s">
        <v>114</v>
      </c>
      <c r="E748" s="12" t="s">
        <v>65</v>
      </c>
      <c r="F748">
        <v>3</v>
      </c>
      <c r="G748">
        <v>4</v>
      </c>
      <c r="H748">
        <v>0</v>
      </c>
      <c r="I748" s="12" t="s">
        <v>195</v>
      </c>
      <c r="J748" s="12" t="s">
        <v>196</v>
      </c>
      <c r="K748" s="12" t="s">
        <v>117</v>
      </c>
      <c r="L748" s="12" t="s">
        <v>134</v>
      </c>
      <c r="M748">
        <v>4.7699999999999996</v>
      </c>
      <c r="N748" s="12" t="s">
        <v>70</v>
      </c>
      <c r="O748" s="12" t="s">
        <v>71</v>
      </c>
      <c r="P748" s="12" t="s">
        <v>72</v>
      </c>
      <c r="Q748" s="13">
        <v>45118</v>
      </c>
      <c r="R748" s="13">
        <v>45153</v>
      </c>
      <c r="S748">
        <v>2023</v>
      </c>
      <c r="T748" s="12" t="s">
        <v>1343</v>
      </c>
      <c r="U748">
        <v>123</v>
      </c>
      <c r="V748">
        <v>107.28270000000001</v>
      </c>
      <c r="W748">
        <v>235.54</v>
      </c>
      <c r="X748">
        <v>0</v>
      </c>
      <c r="Y748">
        <v>0</v>
      </c>
      <c r="Z748">
        <v>13195.77</v>
      </c>
      <c r="AA748">
        <v>13431.31</v>
      </c>
      <c r="AB748" s="12" t="s">
        <v>197</v>
      </c>
      <c r="AC748">
        <v>107.28270000000001</v>
      </c>
      <c r="AD748">
        <v>1</v>
      </c>
      <c r="AE748">
        <v>1</v>
      </c>
      <c r="AF748">
        <v>0</v>
      </c>
      <c r="AG748">
        <v>13195.77</v>
      </c>
      <c r="AH748">
        <v>123</v>
      </c>
      <c r="AI748">
        <v>122</v>
      </c>
      <c r="AJ748">
        <v>1</v>
      </c>
      <c r="AK748">
        <v>1</v>
      </c>
      <c r="AL748">
        <v>1</v>
      </c>
      <c r="AM748">
        <v>99.19</v>
      </c>
      <c r="AN748">
        <v>110.09269999999999</v>
      </c>
      <c r="AO748">
        <v>107.28</v>
      </c>
      <c r="AP748" s="13">
        <v>45153</v>
      </c>
      <c r="AQ748">
        <v>0</v>
      </c>
      <c r="AR748">
        <v>1</v>
      </c>
    </row>
    <row r="749" spans="1:44" x14ac:dyDescent="0.35">
      <c r="A749" s="12" t="s">
        <v>1402</v>
      </c>
      <c r="B749" s="12" t="s">
        <v>509</v>
      </c>
      <c r="C749" s="12" t="s">
        <v>510</v>
      </c>
      <c r="D749" s="12" t="s">
        <v>78</v>
      </c>
      <c r="E749" s="12" t="s">
        <v>142</v>
      </c>
      <c r="F749">
        <v>3</v>
      </c>
      <c r="G749">
        <v>11</v>
      </c>
      <c r="H749">
        <v>0</v>
      </c>
      <c r="I749" s="12" t="s">
        <v>176</v>
      </c>
      <c r="J749" s="12" t="s">
        <v>177</v>
      </c>
      <c r="K749" s="12" t="s">
        <v>125</v>
      </c>
      <c r="L749" s="12" t="s">
        <v>134</v>
      </c>
      <c r="M749">
        <v>1.75</v>
      </c>
      <c r="N749" s="12" t="s">
        <v>70</v>
      </c>
      <c r="O749" s="12" t="s">
        <v>71</v>
      </c>
      <c r="P749" s="12" t="s">
        <v>72</v>
      </c>
      <c r="Q749" s="13">
        <v>45118</v>
      </c>
      <c r="R749" s="13">
        <v>45165</v>
      </c>
      <c r="S749">
        <v>2023</v>
      </c>
      <c r="T749" s="12" t="s">
        <v>1343</v>
      </c>
      <c r="U749">
        <v>227</v>
      </c>
      <c r="V749">
        <v>135.94329999999999</v>
      </c>
      <c r="W749">
        <v>474.89</v>
      </c>
      <c r="X749">
        <v>0</v>
      </c>
      <c r="Y749">
        <v>0</v>
      </c>
      <c r="Z749">
        <v>30859.13</v>
      </c>
      <c r="AA749">
        <v>31334.02</v>
      </c>
      <c r="AB749" s="12" t="s">
        <v>511</v>
      </c>
      <c r="AC749">
        <v>144.51259999999999</v>
      </c>
      <c r="AD749">
        <v>1</v>
      </c>
      <c r="AE749">
        <v>1</v>
      </c>
      <c r="AF749">
        <v>-1945.23</v>
      </c>
      <c r="AG749">
        <v>32804.36</v>
      </c>
      <c r="AH749">
        <v>227</v>
      </c>
      <c r="AI749">
        <v>224</v>
      </c>
      <c r="AJ749">
        <v>3</v>
      </c>
      <c r="AK749">
        <v>1</v>
      </c>
      <c r="AL749">
        <v>1</v>
      </c>
      <c r="AM749">
        <v>98.68</v>
      </c>
      <c r="AN749">
        <v>139.88399999999999</v>
      </c>
      <c r="AO749">
        <v>407.83</v>
      </c>
      <c r="AP749" s="13">
        <v>45162</v>
      </c>
      <c r="AQ749">
        <v>-3</v>
      </c>
      <c r="AR749">
        <v>1</v>
      </c>
    </row>
    <row r="750" spans="1:44" x14ac:dyDescent="0.35">
      <c r="A750" s="12" t="s">
        <v>1403</v>
      </c>
      <c r="B750" s="12" t="s">
        <v>323</v>
      </c>
      <c r="C750" s="12" t="s">
        <v>324</v>
      </c>
      <c r="D750" s="12" t="s">
        <v>64</v>
      </c>
      <c r="E750" s="12" t="s">
        <v>142</v>
      </c>
      <c r="F750">
        <v>1</v>
      </c>
      <c r="G750">
        <v>7</v>
      </c>
      <c r="H750">
        <v>1</v>
      </c>
      <c r="I750" s="12" t="s">
        <v>143</v>
      </c>
      <c r="J750" s="12" t="s">
        <v>144</v>
      </c>
      <c r="K750" s="12" t="s">
        <v>133</v>
      </c>
      <c r="L750" s="12" t="s">
        <v>96</v>
      </c>
      <c r="M750">
        <v>5.43</v>
      </c>
      <c r="N750" s="12" t="s">
        <v>70</v>
      </c>
      <c r="O750" s="12" t="s">
        <v>71</v>
      </c>
      <c r="P750" s="12" t="s">
        <v>72</v>
      </c>
      <c r="Q750" s="13">
        <v>45118</v>
      </c>
      <c r="R750" s="13">
        <v>45165</v>
      </c>
      <c r="S750">
        <v>2023</v>
      </c>
      <c r="T750" s="12" t="s">
        <v>1343</v>
      </c>
      <c r="U750">
        <v>711</v>
      </c>
      <c r="V750">
        <v>39.503399999999999</v>
      </c>
      <c r="W750">
        <v>275.44</v>
      </c>
      <c r="X750">
        <v>0</v>
      </c>
      <c r="Y750">
        <v>0</v>
      </c>
      <c r="Z750">
        <v>28086.92</v>
      </c>
      <c r="AA750">
        <v>28362.36</v>
      </c>
      <c r="AB750" s="12" t="s">
        <v>325</v>
      </c>
      <c r="AC750">
        <v>39.503399999999999</v>
      </c>
      <c r="AD750">
        <v>1</v>
      </c>
      <c r="AE750">
        <v>1</v>
      </c>
      <c r="AF750">
        <v>0</v>
      </c>
      <c r="AG750">
        <v>28086.92</v>
      </c>
      <c r="AH750">
        <v>711</v>
      </c>
      <c r="AI750">
        <v>706</v>
      </c>
      <c r="AJ750">
        <v>5</v>
      </c>
      <c r="AK750">
        <v>1</v>
      </c>
      <c r="AL750">
        <v>1</v>
      </c>
      <c r="AM750">
        <v>99.3</v>
      </c>
      <c r="AN750">
        <v>40.173299999999998</v>
      </c>
      <c r="AO750">
        <v>197.52</v>
      </c>
      <c r="AP750" s="13">
        <v>45163</v>
      </c>
      <c r="AQ750">
        <v>-2</v>
      </c>
      <c r="AR750">
        <v>1</v>
      </c>
    </row>
    <row r="751" spans="1:44" x14ac:dyDescent="0.35">
      <c r="A751" s="12" t="s">
        <v>1404</v>
      </c>
      <c r="B751" s="12" t="s">
        <v>238</v>
      </c>
      <c r="C751" s="12" t="s">
        <v>239</v>
      </c>
      <c r="D751" s="12" t="s">
        <v>122</v>
      </c>
      <c r="E751" s="12" t="s">
        <v>65</v>
      </c>
      <c r="F751">
        <v>3</v>
      </c>
      <c r="G751">
        <v>4</v>
      </c>
      <c r="H751">
        <v>0</v>
      </c>
      <c r="I751" s="12" t="s">
        <v>79</v>
      </c>
      <c r="J751" s="12" t="s">
        <v>80</v>
      </c>
      <c r="K751" s="12" t="s">
        <v>81</v>
      </c>
      <c r="L751" s="12" t="s">
        <v>82</v>
      </c>
      <c r="M751">
        <v>12.07</v>
      </c>
      <c r="N751" s="12" t="s">
        <v>70</v>
      </c>
      <c r="O751" s="12" t="s">
        <v>71</v>
      </c>
      <c r="P751" s="12" t="s">
        <v>72</v>
      </c>
      <c r="Q751" s="13">
        <v>45118</v>
      </c>
      <c r="R751" s="13">
        <v>45141</v>
      </c>
      <c r="S751">
        <v>2023</v>
      </c>
      <c r="T751" s="12" t="s">
        <v>1343</v>
      </c>
      <c r="U751">
        <v>422</v>
      </c>
      <c r="V751">
        <v>37.143599999999999</v>
      </c>
      <c r="W751">
        <v>317.76</v>
      </c>
      <c r="X751">
        <v>0</v>
      </c>
      <c r="Y751">
        <v>0</v>
      </c>
      <c r="Z751">
        <v>15674.6</v>
      </c>
      <c r="AA751">
        <v>15992.36</v>
      </c>
      <c r="AB751" s="12" t="s">
        <v>297</v>
      </c>
      <c r="AC751">
        <v>37.143599999999999</v>
      </c>
      <c r="AD751">
        <v>1</v>
      </c>
      <c r="AE751">
        <v>1</v>
      </c>
      <c r="AF751">
        <v>0</v>
      </c>
      <c r="AG751">
        <v>15674.6</v>
      </c>
      <c r="AH751">
        <v>422</v>
      </c>
      <c r="AI751">
        <v>420</v>
      </c>
      <c r="AJ751">
        <v>2</v>
      </c>
      <c r="AK751">
        <v>1</v>
      </c>
      <c r="AL751">
        <v>1</v>
      </c>
      <c r="AM751">
        <v>99.53</v>
      </c>
      <c r="AN751">
        <v>38.076999999999998</v>
      </c>
      <c r="AO751">
        <v>74.290000000000006</v>
      </c>
      <c r="AP751" s="13">
        <v>45139</v>
      </c>
      <c r="AQ751">
        <v>-2</v>
      </c>
      <c r="AR751">
        <v>1</v>
      </c>
    </row>
    <row r="752" spans="1:44" x14ac:dyDescent="0.35">
      <c r="A752" s="12" t="s">
        <v>1405</v>
      </c>
      <c r="B752" s="12" t="s">
        <v>891</v>
      </c>
      <c r="C752" s="12" t="s">
        <v>892</v>
      </c>
      <c r="D752" s="12" t="s">
        <v>122</v>
      </c>
      <c r="E752" s="12" t="s">
        <v>65</v>
      </c>
      <c r="F752">
        <v>3</v>
      </c>
      <c r="G752">
        <v>5</v>
      </c>
      <c r="H752">
        <v>0</v>
      </c>
      <c r="I752" s="12" t="s">
        <v>169</v>
      </c>
      <c r="J752" s="12" t="s">
        <v>170</v>
      </c>
      <c r="K752" s="12" t="s">
        <v>89</v>
      </c>
      <c r="L752" s="12" t="s">
        <v>134</v>
      </c>
      <c r="M752">
        <v>1.37</v>
      </c>
      <c r="N752" s="12" t="s">
        <v>97</v>
      </c>
      <c r="O752" s="12" t="s">
        <v>98</v>
      </c>
      <c r="P752" s="12" t="s">
        <v>72</v>
      </c>
      <c r="Q752" s="13">
        <v>45119</v>
      </c>
      <c r="R752" s="13">
        <v>45141</v>
      </c>
      <c r="S752">
        <v>2023</v>
      </c>
      <c r="T752" s="12" t="s">
        <v>1343</v>
      </c>
      <c r="U752">
        <v>323</v>
      </c>
      <c r="V752">
        <v>37.125300000000003</v>
      </c>
      <c r="W752">
        <v>93.96</v>
      </c>
      <c r="X752">
        <v>0</v>
      </c>
      <c r="Y752">
        <v>0</v>
      </c>
      <c r="Z752">
        <v>11991.47</v>
      </c>
      <c r="AA752">
        <v>12085.43</v>
      </c>
      <c r="AB752" s="12" t="s">
        <v>1406</v>
      </c>
      <c r="AC752">
        <v>39.456000000000003</v>
      </c>
      <c r="AD752">
        <v>1</v>
      </c>
      <c r="AE752">
        <v>1</v>
      </c>
      <c r="AF752">
        <v>-752.82</v>
      </c>
      <c r="AG752">
        <v>12744.29</v>
      </c>
      <c r="AH752">
        <v>323</v>
      </c>
      <c r="AI752">
        <v>322</v>
      </c>
      <c r="AJ752">
        <v>1</v>
      </c>
      <c r="AK752">
        <v>1</v>
      </c>
      <c r="AL752">
        <v>1</v>
      </c>
      <c r="AM752">
        <v>99.69</v>
      </c>
      <c r="AN752">
        <v>37.532400000000003</v>
      </c>
      <c r="AO752">
        <v>37.130000000000003</v>
      </c>
      <c r="AP752" s="13">
        <v>45141</v>
      </c>
      <c r="AQ752">
        <v>0</v>
      </c>
      <c r="AR752">
        <v>1</v>
      </c>
    </row>
    <row r="753" spans="1:44" x14ac:dyDescent="0.35">
      <c r="A753" s="12" t="s">
        <v>1407</v>
      </c>
      <c r="B753" s="12" t="s">
        <v>963</v>
      </c>
      <c r="C753" s="12" t="s">
        <v>964</v>
      </c>
      <c r="D753" s="12" t="s">
        <v>114</v>
      </c>
      <c r="E753" s="12" t="s">
        <v>142</v>
      </c>
      <c r="F753">
        <v>1</v>
      </c>
      <c r="G753">
        <v>6</v>
      </c>
      <c r="H753">
        <v>1</v>
      </c>
      <c r="I753" s="12" t="s">
        <v>176</v>
      </c>
      <c r="J753" s="12" t="s">
        <v>177</v>
      </c>
      <c r="K753" s="12" t="s">
        <v>125</v>
      </c>
      <c r="L753" s="12" t="s">
        <v>134</v>
      </c>
      <c r="M753">
        <v>1.75</v>
      </c>
      <c r="N753" s="12" t="s">
        <v>97</v>
      </c>
      <c r="O753" s="12" t="s">
        <v>98</v>
      </c>
      <c r="P753" s="12" t="s">
        <v>72</v>
      </c>
      <c r="Q753" s="13">
        <v>45119</v>
      </c>
      <c r="R753" s="13">
        <v>45171</v>
      </c>
      <c r="S753">
        <v>2023</v>
      </c>
      <c r="T753" s="12" t="s">
        <v>1343</v>
      </c>
      <c r="U753">
        <v>149</v>
      </c>
      <c r="V753">
        <v>194.73220000000001</v>
      </c>
      <c r="W753">
        <v>621.30999999999995</v>
      </c>
      <c r="X753">
        <v>0</v>
      </c>
      <c r="Y753">
        <v>0</v>
      </c>
      <c r="Z753">
        <v>29015.1</v>
      </c>
      <c r="AA753">
        <v>29636.41</v>
      </c>
      <c r="AB753" s="12" t="s">
        <v>965</v>
      </c>
      <c r="AC753">
        <v>194.73220000000001</v>
      </c>
      <c r="AD753">
        <v>1</v>
      </c>
      <c r="AE753">
        <v>1</v>
      </c>
      <c r="AF753">
        <v>0</v>
      </c>
      <c r="AG753">
        <v>29015.1</v>
      </c>
      <c r="AH753">
        <v>149</v>
      </c>
      <c r="AI753">
        <v>147</v>
      </c>
      <c r="AJ753">
        <v>2</v>
      </c>
      <c r="AK753">
        <v>1</v>
      </c>
      <c r="AL753">
        <v>1</v>
      </c>
      <c r="AM753">
        <v>98.66</v>
      </c>
      <c r="AN753">
        <v>201.60820000000001</v>
      </c>
      <c r="AO753">
        <v>389.46</v>
      </c>
      <c r="AP753" s="13">
        <v>45169</v>
      </c>
      <c r="AQ753">
        <v>-2</v>
      </c>
      <c r="AR753">
        <v>1</v>
      </c>
    </row>
    <row r="754" spans="1:44" x14ac:dyDescent="0.35">
      <c r="A754" s="12" t="s">
        <v>1408</v>
      </c>
      <c r="B754" s="12" t="s">
        <v>548</v>
      </c>
      <c r="C754" s="12" t="s">
        <v>549</v>
      </c>
      <c r="D754" s="12" t="s">
        <v>78</v>
      </c>
      <c r="E754" s="12" t="s">
        <v>104</v>
      </c>
      <c r="F754">
        <v>3</v>
      </c>
      <c r="G754">
        <v>1</v>
      </c>
      <c r="H754">
        <v>0</v>
      </c>
      <c r="I754" s="12" t="s">
        <v>199</v>
      </c>
      <c r="J754" s="12" t="s">
        <v>200</v>
      </c>
      <c r="K754" s="12" t="s">
        <v>68</v>
      </c>
      <c r="L754" s="12" t="s">
        <v>96</v>
      </c>
      <c r="M754">
        <v>9.4700000000000006</v>
      </c>
      <c r="N754" s="12" t="s">
        <v>97</v>
      </c>
      <c r="O754" s="12" t="s">
        <v>98</v>
      </c>
      <c r="P754" s="12" t="s">
        <v>72</v>
      </c>
      <c r="Q754" s="13">
        <v>45119</v>
      </c>
      <c r="R754" s="13">
        <v>45148</v>
      </c>
      <c r="S754">
        <v>2023</v>
      </c>
      <c r="T754" s="12" t="s">
        <v>1343</v>
      </c>
      <c r="U754">
        <v>286</v>
      </c>
      <c r="V754">
        <v>62.471600000000002</v>
      </c>
      <c r="W754">
        <v>381.94</v>
      </c>
      <c r="X754">
        <v>0</v>
      </c>
      <c r="Y754">
        <v>0</v>
      </c>
      <c r="Z754">
        <v>17866.88</v>
      </c>
      <c r="AA754">
        <v>18248.82</v>
      </c>
      <c r="AB754" s="12" t="s">
        <v>930</v>
      </c>
      <c r="AC754">
        <v>62.471600000000002</v>
      </c>
      <c r="AD754">
        <v>1</v>
      </c>
      <c r="AE754">
        <v>1</v>
      </c>
      <c r="AF754">
        <v>0</v>
      </c>
      <c r="AG754">
        <v>17866.88</v>
      </c>
      <c r="AH754">
        <v>286</v>
      </c>
      <c r="AI754">
        <v>281</v>
      </c>
      <c r="AJ754">
        <v>5</v>
      </c>
      <c r="AK754">
        <v>1</v>
      </c>
      <c r="AL754">
        <v>1</v>
      </c>
      <c r="AM754">
        <v>98.25</v>
      </c>
      <c r="AN754">
        <v>64.942400000000006</v>
      </c>
      <c r="AO754">
        <v>312.36</v>
      </c>
      <c r="AP754" s="13">
        <v>45145</v>
      </c>
      <c r="AQ754">
        <v>-3</v>
      </c>
      <c r="AR754">
        <v>1</v>
      </c>
    </row>
    <row r="755" spans="1:44" x14ac:dyDescent="0.35">
      <c r="A755" s="12" t="s">
        <v>1409</v>
      </c>
      <c r="B755" s="12" t="s">
        <v>62</v>
      </c>
      <c r="C755" s="12" t="s">
        <v>63</v>
      </c>
      <c r="D755" s="12" t="s">
        <v>64</v>
      </c>
      <c r="E755" s="12" t="s">
        <v>65</v>
      </c>
      <c r="F755">
        <v>1</v>
      </c>
      <c r="G755">
        <v>2</v>
      </c>
      <c r="H755">
        <v>1</v>
      </c>
      <c r="I755" s="12" t="s">
        <v>66</v>
      </c>
      <c r="J755" s="12" t="s">
        <v>67</v>
      </c>
      <c r="K755" s="12" t="s">
        <v>68</v>
      </c>
      <c r="L755" s="12" t="s">
        <v>69</v>
      </c>
      <c r="M755">
        <v>17.66</v>
      </c>
      <c r="N755" s="12" t="s">
        <v>97</v>
      </c>
      <c r="O755" s="12" t="s">
        <v>98</v>
      </c>
      <c r="P755" s="12" t="s">
        <v>72</v>
      </c>
      <c r="Q755" s="13">
        <v>45119</v>
      </c>
      <c r="R755" s="13">
        <v>45142</v>
      </c>
      <c r="S755">
        <v>2023</v>
      </c>
      <c r="T755" s="12" t="s">
        <v>1343</v>
      </c>
      <c r="U755">
        <v>211</v>
      </c>
      <c r="V755">
        <v>24.687000000000001</v>
      </c>
      <c r="W755">
        <v>85.88</v>
      </c>
      <c r="X755">
        <v>0</v>
      </c>
      <c r="Y755">
        <v>0</v>
      </c>
      <c r="Z755">
        <v>5208.96</v>
      </c>
      <c r="AA755">
        <v>5294.84</v>
      </c>
      <c r="AB755" s="12" t="s">
        <v>74</v>
      </c>
      <c r="AC755">
        <v>24.687000000000001</v>
      </c>
      <c r="AD755">
        <v>1</v>
      </c>
      <c r="AE755">
        <v>1</v>
      </c>
      <c r="AF755">
        <v>0</v>
      </c>
      <c r="AG755">
        <v>5208.96</v>
      </c>
      <c r="AH755">
        <v>211</v>
      </c>
      <c r="AI755">
        <v>208</v>
      </c>
      <c r="AJ755">
        <v>3</v>
      </c>
      <c r="AK755">
        <v>1</v>
      </c>
      <c r="AL755">
        <v>1</v>
      </c>
      <c r="AM755">
        <v>98.58</v>
      </c>
      <c r="AN755">
        <v>25.4559</v>
      </c>
      <c r="AO755">
        <v>74.06</v>
      </c>
      <c r="AP755" s="13">
        <v>45139</v>
      </c>
      <c r="AQ755">
        <v>-3</v>
      </c>
      <c r="AR755">
        <v>1</v>
      </c>
    </row>
    <row r="756" spans="1:44" x14ac:dyDescent="0.35">
      <c r="A756" s="12" t="s">
        <v>1410</v>
      </c>
      <c r="B756" s="12" t="s">
        <v>408</v>
      </c>
      <c r="C756" s="12" t="s">
        <v>409</v>
      </c>
      <c r="D756" s="12" t="s">
        <v>130</v>
      </c>
      <c r="E756" s="12" t="s">
        <v>65</v>
      </c>
      <c r="F756">
        <v>3</v>
      </c>
      <c r="G756">
        <v>5</v>
      </c>
      <c r="H756">
        <v>0</v>
      </c>
      <c r="I756" s="12" t="s">
        <v>94</v>
      </c>
      <c r="J756" s="12" t="s">
        <v>95</v>
      </c>
      <c r="K756" s="12" t="s">
        <v>81</v>
      </c>
      <c r="L756" s="12" t="s">
        <v>96</v>
      </c>
      <c r="M756">
        <v>4.8099999999999996</v>
      </c>
      <c r="N756" s="12" t="s">
        <v>159</v>
      </c>
      <c r="O756" s="12" t="s">
        <v>160</v>
      </c>
      <c r="P756" s="12" t="s">
        <v>137</v>
      </c>
      <c r="Q756" s="13">
        <v>45119</v>
      </c>
      <c r="R756" s="13">
        <v>45152</v>
      </c>
      <c r="S756">
        <v>2023</v>
      </c>
      <c r="T756" s="12" t="s">
        <v>1343</v>
      </c>
      <c r="U756">
        <v>104</v>
      </c>
      <c r="V756">
        <v>770.47230000000002</v>
      </c>
      <c r="W756">
        <v>1140.8699999999999</v>
      </c>
      <c r="X756">
        <v>0</v>
      </c>
      <c r="Y756">
        <v>0</v>
      </c>
      <c r="Z756">
        <v>80129.119999999995</v>
      </c>
      <c r="AA756">
        <v>81269.990000000005</v>
      </c>
      <c r="AB756" s="12" t="s">
        <v>577</v>
      </c>
      <c r="AC756">
        <v>770.47230000000002</v>
      </c>
      <c r="AD756">
        <v>1</v>
      </c>
      <c r="AE756">
        <v>1</v>
      </c>
      <c r="AF756">
        <v>0</v>
      </c>
      <c r="AG756">
        <v>80129.119999999995</v>
      </c>
      <c r="AH756">
        <v>104</v>
      </c>
      <c r="AI756">
        <v>103</v>
      </c>
      <c r="AJ756">
        <v>1</v>
      </c>
      <c r="AK756">
        <v>1</v>
      </c>
      <c r="AL756">
        <v>1</v>
      </c>
      <c r="AM756">
        <v>99.04</v>
      </c>
      <c r="AN756">
        <v>789.029</v>
      </c>
      <c r="AO756">
        <v>770.47</v>
      </c>
      <c r="AP756" s="13">
        <v>45150</v>
      </c>
      <c r="AQ756">
        <v>-2</v>
      </c>
      <c r="AR756">
        <v>1</v>
      </c>
    </row>
    <row r="757" spans="1:44" x14ac:dyDescent="0.35">
      <c r="A757" s="12" t="s">
        <v>1411</v>
      </c>
      <c r="B757" s="12" t="s">
        <v>657</v>
      </c>
      <c r="C757" s="12" t="s">
        <v>658</v>
      </c>
      <c r="D757" s="12" t="s">
        <v>175</v>
      </c>
      <c r="E757" s="12" t="s">
        <v>65</v>
      </c>
      <c r="F757">
        <v>1</v>
      </c>
      <c r="G757">
        <v>2</v>
      </c>
      <c r="H757">
        <v>1</v>
      </c>
      <c r="I757" s="12" t="s">
        <v>183</v>
      </c>
      <c r="J757" s="12" t="s">
        <v>184</v>
      </c>
      <c r="K757" s="12" t="s">
        <v>133</v>
      </c>
      <c r="L757" s="12" t="s">
        <v>82</v>
      </c>
      <c r="M757">
        <v>8.6199999999999992</v>
      </c>
      <c r="N757" s="12" t="s">
        <v>145</v>
      </c>
      <c r="O757" s="12" t="s">
        <v>146</v>
      </c>
      <c r="P757" s="12" t="s">
        <v>109</v>
      </c>
      <c r="Q757" s="13">
        <v>45119</v>
      </c>
      <c r="R757" s="13">
        <v>45145</v>
      </c>
      <c r="S757">
        <v>2023</v>
      </c>
      <c r="T757" s="12" t="s">
        <v>1343</v>
      </c>
      <c r="U757">
        <v>49</v>
      </c>
      <c r="V757">
        <v>144.76900000000001</v>
      </c>
      <c r="W757">
        <v>170.95</v>
      </c>
      <c r="X757">
        <v>0</v>
      </c>
      <c r="Y757">
        <v>0</v>
      </c>
      <c r="Z757">
        <v>7093.68</v>
      </c>
      <c r="AA757">
        <v>7264.63</v>
      </c>
      <c r="AB757" s="12" t="s">
        <v>659</v>
      </c>
      <c r="AC757">
        <v>153.8561</v>
      </c>
      <c r="AD757">
        <v>1</v>
      </c>
      <c r="AE757">
        <v>1</v>
      </c>
      <c r="AF757">
        <v>-445.27</v>
      </c>
      <c r="AG757">
        <v>7538.95</v>
      </c>
      <c r="AH757">
        <v>49</v>
      </c>
      <c r="AI757">
        <v>48</v>
      </c>
      <c r="AJ757">
        <v>1</v>
      </c>
      <c r="AK757">
        <v>1</v>
      </c>
      <c r="AL757">
        <v>1</v>
      </c>
      <c r="AM757">
        <v>97.96</v>
      </c>
      <c r="AN757">
        <v>151.34649999999999</v>
      </c>
      <c r="AO757">
        <v>144.77000000000001</v>
      </c>
      <c r="AP757" s="13">
        <v>45147</v>
      </c>
      <c r="AQ757">
        <v>2</v>
      </c>
      <c r="AR757">
        <v>0</v>
      </c>
    </row>
    <row r="758" spans="1:44" x14ac:dyDescent="0.35">
      <c r="A758" s="12" t="s">
        <v>1412</v>
      </c>
      <c r="B758" s="12" t="s">
        <v>231</v>
      </c>
      <c r="C758" s="12" t="s">
        <v>232</v>
      </c>
      <c r="D758" s="12" t="s">
        <v>130</v>
      </c>
      <c r="E758" s="12" t="s">
        <v>65</v>
      </c>
      <c r="F758">
        <v>1</v>
      </c>
      <c r="G758">
        <v>2</v>
      </c>
      <c r="H758">
        <v>1</v>
      </c>
      <c r="I758" s="12" t="s">
        <v>233</v>
      </c>
      <c r="J758" s="12" t="s">
        <v>234</v>
      </c>
      <c r="K758" s="12" t="s">
        <v>125</v>
      </c>
      <c r="L758" s="12" t="s">
        <v>96</v>
      </c>
      <c r="M758">
        <v>3.73</v>
      </c>
      <c r="N758" s="12" t="s">
        <v>135</v>
      </c>
      <c r="O758" s="12" t="s">
        <v>136</v>
      </c>
      <c r="P758" s="12" t="s">
        <v>137</v>
      </c>
      <c r="Q758" s="13">
        <v>45119</v>
      </c>
      <c r="R758" s="13">
        <v>45157</v>
      </c>
      <c r="S758">
        <v>2023</v>
      </c>
      <c r="T758" s="12" t="s">
        <v>1343</v>
      </c>
      <c r="U758">
        <v>149</v>
      </c>
      <c r="V758">
        <v>416.40039999999999</v>
      </c>
      <c r="W758">
        <v>1214.21</v>
      </c>
      <c r="X758">
        <v>0</v>
      </c>
      <c r="Y758">
        <v>0</v>
      </c>
      <c r="Z758">
        <v>62043.66</v>
      </c>
      <c r="AA758">
        <v>63257.87</v>
      </c>
      <c r="AB758" s="12" t="s">
        <v>235</v>
      </c>
      <c r="AC758">
        <v>416.40039999999999</v>
      </c>
      <c r="AD758">
        <v>1</v>
      </c>
      <c r="AE758">
        <v>1</v>
      </c>
      <c r="AF758">
        <v>0</v>
      </c>
      <c r="AG758">
        <v>62043.66</v>
      </c>
      <c r="AH758">
        <v>149</v>
      </c>
      <c r="AI758">
        <v>148</v>
      </c>
      <c r="AJ758">
        <v>1</v>
      </c>
      <c r="AK758">
        <v>1</v>
      </c>
      <c r="AL758">
        <v>1</v>
      </c>
      <c r="AM758">
        <v>99.33</v>
      </c>
      <c r="AN758">
        <v>427.41800000000001</v>
      </c>
      <c r="AO758">
        <v>416.4</v>
      </c>
      <c r="AP758" s="13">
        <v>45155</v>
      </c>
      <c r="AQ758">
        <v>-2</v>
      </c>
      <c r="AR758">
        <v>1</v>
      </c>
    </row>
    <row r="759" spans="1:44" x14ac:dyDescent="0.35">
      <c r="A759" s="12" t="s">
        <v>1413</v>
      </c>
      <c r="B759" s="12" t="s">
        <v>1042</v>
      </c>
      <c r="C759" s="12" t="s">
        <v>1043</v>
      </c>
      <c r="D759" s="12" t="s">
        <v>269</v>
      </c>
      <c r="E759" s="12" t="s">
        <v>104</v>
      </c>
      <c r="F759">
        <v>2</v>
      </c>
      <c r="G759">
        <v>0</v>
      </c>
      <c r="H759">
        <v>0</v>
      </c>
      <c r="I759" s="12" t="s">
        <v>199</v>
      </c>
      <c r="J759" s="12" t="s">
        <v>200</v>
      </c>
      <c r="K759" s="12" t="s">
        <v>68</v>
      </c>
      <c r="L759" s="12" t="s">
        <v>96</v>
      </c>
      <c r="M759">
        <v>9.4700000000000006</v>
      </c>
      <c r="N759" s="12" t="s">
        <v>159</v>
      </c>
      <c r="O759" s="12" t="s">
        <v>160</v>
      </c>
      <c r="P759" s="12" t="s">
        <v>137</v>
      </c>
      <c r="Q759" s="13">
        <v>45119</v>
      </c>
      <c r="R759" s="13">
        <v>45141</v>
      </c>
      <c r="S759">
        <v>2023</v>
      </c>
      <c r="T759" s="12" t="s">
        <v>1343</v>
      </c>
      <c r="U759">
        <v>92</v>
      </c>
      <c r="V759">
        <v>290.76319999999998</v>
      </c>
      <c r="W759">
        <v>302.64999999999998</v>
      </c>
      <c r="X759">
        <v>0</v>
      </c>
      <c r="Y759">
        <v>0</v>
      </c>
      <c r="Z759">
        <v>26750.21</v>
      </c>
      <c r="AA759">
        <v>27052.86</v>
      </c>
      <c r="AB759" s="12" t="s">
        <v>1414</v>
      </c>
      <c r="AC759">
        <v>290.76319999999998</v>
      </c>
      <c r="AD759">
        <v>1</v>
      </c>
      <c r="AE759">
        <v>1</v>
      </c>
      <c r="AF759">
        <v>0</v>
      </c>
      <c r="AG759">
        <v>26750.21</v>
      </c>
      <c r="AH759">
        <v>92</v>
      </c>
      <c r="AI759">
        <v>91</v>
      </c>
      <c r="AJ759">
        <v>1</v>
      </c>
      <c r="AK759">
        <v>1</v>
      </c>
      <c r="AL759">
        <v>1</v>
      </c>
      <c r="AM759">
        <v>98.91</v>
      </c>
      <c r="AN759">
        <v>297.2842</v>
      </c>
      <c r="AO759">
        <v>290.76</v>
      </c>
      <c r="AP759" s="13">
        <v>45139</v>
      </c>
      <c r="AQ759">
        <v>-2</v>
      </c>
      <c r="AR759">
        <v>1</v>
      </c>
    </row>
    <row r="760" spans="1:44" x14ac:dyDescent="0.35">
      <c r="A760" s="12" t="s">
        <v>1415</v>
      </c>
      <c r="B760" s="12" t="s">
        <v>85</v>
      </c>
      <c r="C760" s="12" t="s">
        <v>86</v>
      </c>
      <c r="D760" s="12" t="s">
        <v>78</v>
      </c>
      <c r="E760" s="12" t="s">
        <v>65</v>
      </c>
      <c r="F760">
        <v>3</v>
      </c>
      <c r="G760">
        <v>5</v>
      </c>
      <c r="H760">
        <v>0</v>
      </c>
      <c r="I760" s="12" t="s">
        <v>87</v>
      </c>
      <c r="J760" s="12" t="s">
        <v>88</v>
      </c>
      <c r="K760" s="12" t="s">
        <v>89</v>
      </c>
      <c r="L760" s="12" t="s">
        <v>69</v>
      </c>
      <c r="M760">
        <v>14.93</v>
      </c>
      <c r="N760" s="12" t="s">
        <v>70</v>
      </c>
      <c r="O760" s="12" t="s">
        <v>71</v>
      </c>
      <c r="P760" s="12" t="s">
        <v>72</v>
      </c>
      <c r="Q760" s="13">
        <v>45119</v>
      </c>
      <c r="R760" s="13">
        <v>45141</v>
      </c>
      <c r="S760">
        <v>2023</v>
      </c>
      <c r="T760" s="12" t="s">
        <v>1343</v>
      </c>
      <c r="U760">
        <v>62</v>
      </c>
      <c r="V760">
        <v>147.55000000000001</v>
      </c>
      <c r="W760">
        <v>189.59</v>
      </c>
      <c r="X760">
        <v>0</v>
      </c>
      <c r="Y760">
        <v>0</v>
      </c>
      <c r="Z760">
        <v>9148.1</v>
      </c>
      <c r="AA760">
        <v>9337.69</v>
      </c>
      <c r="AB760" s="12" t="s">
        <v>90</v>
      </c>
      <c r="AC760">
        <v>147.55000000000001</v>
      </c>
      <c r="AD760">
        <v>1</v>
      </c>
      <c r="AE760">
        <v>1</v>
      </c>
      <c r="AF760">
        <v>0</v>
      </c>
      <c r="AG760">
        <v>9148.1</v>
      </c>
      <c r="AH760">
        <v>62</v>
      </c>
      <c r="AI760">
        <v>61</v>
      </c>
      <c r="AJ760">
        <v>1</v>
      </c>
      <c r="AK760">
        <v>1</v>
      </c>
      <c r="AL760">
        <v>1</v>
      </c>
      <c r="AM760">
        <v>98.39</v>
      </c>
      <c r="AN760">
        <v>153.07689999999999</v>
      </c>
      <c r="AO760">
        <v>147.55000000000001</v>
      </c>
      <c r="AP760" s="13">
        <v>45146</v>
      </c>
      <c r="AQ760">
        <v>5</v>
      </c>
      <c r="AR760">
        <v>0</v>
      </c>
    </row>
    <row r="761" spans="1:44" x14ac:dyDescent="0.35">
      <c r="A761" s="12" t="s">
        <v>1416</v>
      </c>
      <c r="B761" s="12" t="s">
        <v>85</v>
      </c>
      <c r="C761" s="12" t="s">
        <v>86</v>
      </c>
      <c r="D761" s="12" t="s">
        <v>78</v>
      </c>
      <c r="E761" s="12" t="s">
        <v>65</v>
      </c>
      <c r="F761">
        <v>3</v>
      </c>
      <c r="G761">
        <v>5</v>
      </c>
      <c r="H761">
        <v>0</v>
      </c>
      <c r="I761" s="12" t="s">
        <v>195</v>
      </c>
      <c r="J761" s="12" t="s">
        <v>196</v>
      </c>
      <c r="K761" s="12" t="s">
        <v>117</v>
      </c>
      <c r="L761" s="12" t="s">
        <v>134</v>
      </c>
      <c r="M761">
        <v>4.7699999999999996</v>
      </c>
      <c r="N761" s="12" t="s">
        <v>97</v>
      </c>
      <c r="O761" s="12" t="s">
        <v>98</v>
      </c>
      <c r="P761" s="12" t="s">
        <v>72</v>
      </c>
      <c r="Q761" s="13">
        <v>45119</v>
      </c>
      <c r="R761" s="13">
        <v>45144</v>
      </c>
      <c r="S761">
        <v>2023</v>
      </c>
      <c r="T761" s="12" t="s">
        <v>1343</v>
      </c>
      <c r="U761">
        <v>111</v>
      </c>
      <c r="V761">
        <v>147.55000000000001</v>
      </c>
      <c r="W761">
        <v>250.95</v>
      </c>
      <c r="X761">
        <v>0</v>
      </c>
      <c r="Y761">
        <v>0</v>
      </c>
      <c r="Z761">
        <v>16378.05</v>
      </c>
      <c r="AA761">
        <v>16629</v>
      </c>
      <c r="AB761" s="12" t="s">
        <v>1417</v>
      </c>
      <c r="AC761">
        <v>147.55000000000001</v>
      </c>
      <c r="AD761">
        <v>1</v>
      </c>
      <c r="AE761">
        <v>1</v>
      </c>
      <c r="AF761">
        <v>0</v>
      </c>
      <c r="AG761">
        <v>16378.05</v>
      </c>
      <c r="AH761">
        <v>111</v>
      </c>
      <c r="AI761">
        <v>109</v>
      </c>
      <c r="AJ761">
        <v>2</v>
      </c>
      <c r="AK761">
        <v>1</v>
      </c>
      <c r="AL761">
        <v>1</v>
      </c>
      <c r="AM761">
        <v>98.2</v>
      </c>
      <c r="AN761">
        <v>152.55959999999999</v>
      </c>
      <c r="AO761">
        <v>295.10000000000002</v>
      </c>
      <c r="AP761" s="13">
        <v>45143</v>
      </c>
      <c r="AQ761">
        <v>-1</v>
      </c>
      <c r="AR761">
        <v>1</v>
      </c>
    </row>
    <row r="762" spans="1:44" x14ac:dyDescent="0.35">
      <c r="A762" s="12" t="s">
        <v>1418</v>
      </c>
      <c r="B762" s="12" t="s">
        <v>395</v>
      </c>
      <c r="C762" s="12" t="s">
        <v>396</v>
      </c>
      <c r="D762" s="12" t="s">
        <v>130</v>
      </c>
      <c r="E762" s="12" t="s">
        <v>104</v>
      </c>
      <c r="F762">
        <v>3</v>
      </c>
      <c r="G762">
        <v>1</v>
      </c>
      <c r="H762">
        <v>0</v>
      </c>
      <c r="I762" s="12" t="s">
        <v>341</v>
      </c>
      <c r="J762" s="12" t="s">
        <v>342</v>
      </c>
      <c r="K762" s="12" t="s">
        <v>117</v>
      </c>
      <c r="L762" s="12" t="s">
        <v>82</v>
      </c>
      <c r="M762">
        <v>18.36</v>
      </c>
      <c r="N762" s="12" t="s">
        <v>135</v>
      </c>
      <c r="O762" s="12" t="s">
        <v>136</v>
      </c>
      <c r="P762" s="12" t="s">
        <v>137</v>
      </c>
      <c r="Q762" s="13">
        <v>45120</v>
      </c>
      <c r="R762" s="13">
        <v>45133</v>
      </c>
      <c r="S762">
        <v>2023</v>
      </c>
      <c r="T762" s="12" t="s">
        <v>1343</v>
      </c>
      <c r="U762">
        <v>22</v>
      </c>
      <c r="V762">
        <v>190.43799999999999</v>
      </c>
      <c r="W762">
        <v>68.67</v>
      </c>
      <c r="X762">
        <v>0</v>
      </c>
      <c r="Y762">
        <v>0</v>
      </c>
      <c r="Z762">
        <v>4189.6400000000003</v>
      </c>
      <c r="AA762">
        <v>4258.3100000000004</v>
      </c>
      <c r="AB762" s="12" t="s">
        <v>397</v>
      </c>
      <c r="AC762">
        <v>190.43799999999999</v>
      </c>
      <c r="AD762">
        <v>1</v>
      </c>
      <c r="AE762">
        <v>1</v>
      </c>
      <c r="AF762">
        <v>0</v>
      </c>
      <c r="AG762">
        <v>4189.6400000000003</v>
      </c>
      <c r="AH762">
        <v>22</v>
      </c>
      <c r="AI762">
        <v>22</v>
      </c>
      <c r="AJ762">
        <v>0</v>
      </c>
      <c r="AK762">
        <v>1</v>
      </c>
      <c r="AL762">
        <v>1</v>
      </c>
      <c r="AM762">
        <v>100</v>
      </c>
      <c r="AN762">
        <v>193.55940000000001</v>
      </c>
      <c r="AO762">
        <v>0</v>
      </c>
      <c r="AP762" s="13">
        <v>45131</v>
      </c>
      <c r="AQ762">
        <v>-2</v>
      </c>
      <c r="AR762">
        <v>1</v>
      </c>
    </row>
    <row r="763" spans="1:44" x14ac:dyDescent="0.35">
      <c r="A763" s="12" t="s">
        <v>1419</v>
      </c>
      <c r="B763" s="12" t="s">
        <v>1068</v>
      </c>
      <c r="C763" s="12" t="s">
        <v>1069</v>
      </c>
      <c r="D763" s="12" t="s">
        <v>122</v>
      </c>
      <c r="E763" s="12" t="s">
        <v>65</v>
      </c>
      <c r="F763">
        <v>2</v>
      </c>
      <c r="G763">
        <v>2</v>
      </c>
      <c r="H763">
        <v>0</v>
      </c>
      <c r="I763" s="12" t="s">
        <v>79</v>
      </c>
      <c r="J763" s="12" t="s">
        <v>80</v>
      </c>
      <c r="K763" s="12" t="s">
        <v>81</v>
      </c>
      <c r="L763" s="12" t="s">
        <v>82</v>
      </c>
      <c r="M763">
        <v>12.07</v>
      </c>
      <c r="N763" s="12" t="s">
        <v>70</v>
      </c>
      <c r="O763" s="12" t="s">
        <v>71</v>
      </c>
      <c r="P763" s="12" t="s">
        <v>72</v>
      </c>
      <c r="Q763" s="13">
        <v>45120</v>
      </c>
      <c r="R763" s="13">
        <v>45151</v>
      </c>
      <c r="S763">
        <v>2023</v>
      </c>
      <c r="T763" s="12" t="s">
        <v>1343</v>
      </c>
      <c r="U763">
        <v>1292</v>
      </c>
      <c r="V763">
        <v>21.667100000000001</v>
      </c>
      <c r="W763">
        <v>290.11</v>
      </c>
      <c r="X763">
        <v>0</v>
      </c>
      <c r="Y763">
        <v>0</v>
      </c>
      <c r="Z763">
        <v>27993.89</v>
      </c>
      <c r="AA763">
        <v>28284</v>
      </c>
      <c r="AB763" s="12" t="s">
        <v>1070</v>
      </c>
      <c r="AC763">
        <v>21.667100000000001</v>
      </c>
      <c r="AD763">
        <v>1</v>
      </c>
      <c r="AE763">
        <v>1</v>
      </c>
      <c r="AF763">
        <v>0</v>
      </c>
      <c r="AG763">
        <v>27993.89</v>
      </c>
      <c r="AH763">
        <v>1292</v>
      </c>
      <c r="AI763">
        <v>1280</v>
      </c>
      <c r="AJ763">
        <v>12</v>
      </c>
      <c r="AK763">
        <v>1</v>
      </c>
      <c r="AL763">
        <v>1</v>
      </c>
      <c r="AM763">
        <v>99.07</v>
      </c>
      <c r="AN763">
        <v>22.096900000000002</v>
      </c>
      <c r="AO763">
        <v>260.01</v>
      </c>
      <c r="AP763" s="13">
        <v>45150</v>
      </c>
      <c r="AQ763">
        <v>-1</v>
      </c>
      <c r="AR763">
        <v>1</v>
      </c>
    </row>
    <row r="764" spans="1:44" x14ac:dyDescent="0.35">
      <c r="A764" s="12" t="s">
        <v>1420</v>
      </c>
      <c r="B764" s="12" t="s">
        <v>120</v>
      </c>
      <c r="C764" s="12" t="s">
        <v>121</v>
      </c>
      <c r="D764" s="12" t="s">
        <v>122</v>
      </c>
      <c r="E764" s="12" t="s">
        <v>65</v>
      </c>
      <c r="F764">
        <v>3</v>
      </c>
      <c r="G764">
        <v>4</v>
      </c>
      <c r="H764">
        <v>0</v>
      </c>
      <c r="I764" s="12" t="s">
        <v>123</v>
      </c>
      <c r="J764" s="12" t="s">
        <v>124</v>
      </c>
      <c r="K764" s="12" t="s">
        <v>125</v>
      </c>
      <c r="L764" s="12" t="s">
        <v>82</v>
      </c>
      <c r="M764">
        <v>6.75</v>
      </c>
      <c r="N764" s="12" t="s">
        <v>70</v>
      </c>
      <c r="O764" s="12" t="s">
        <v>71</v>
      </c>
      <c r="P764" s="12" t="s">
        <v>72</v>
      </c>
      <c r="Q764" s="13">
        <v>45120</v>
      </c>
      <c r="R764" s="13">
        <v>45147</v>
      </c>
      <c r="S764">
        <v>2023</v>
      </c>
      <c r="T764" s="12" t="s">
        <v>1343</v>
      </c>
      <c r="U764">
        <v>834</v>
      </c>
      <c r="V764">
        <v>55.544699999999999</v>
      </c>
      <c r="W764">
        <v>666.02</v>
      </c>
      <c r="X764">
        <v>0</v>
      </c>
      <c r="Y764">
        <v>0</v>
      </c>
      <c r="Z764">
        <v>46324.28</v>
      </c>
      <c r="AA764">
        <v>46990.3</v>
      </c>
      <c r="AB764" s="12" t="s">
        <v>126</v>
      </c>
      <c r="AC764">
        <v>55.544699999999999</v>
      </c>
      <c r="AD764">
        <v>1</v>
      </c>
      <c r="AE764">
        <v>1</v>
      </c>
      <c r="AF764">
        <v>0</v>
      </c>
      <c r="AG764">
        <v>46324.28</v>
      </c>
      <c r="AH764">
        <v>834</v>
      </c>
      <c r="AI764">
        <v>826</v>
      </c>
      <c r="AJ764">
        <v>8</v>
      </c>
      <c r="AK764">
        <v>1</v>
      </c>
      <c r="AL764">
        <v>1</v>
      </c>
      <c r="AM764">
        <v>99.04</v>
      </c>
      <c r="AN764">
        <v>56.889000000000003</v>
      </c>
      <c r="AO764">
        <v>444.36</v>
      </c>
      <c r="AP764" s="13">
        <v>45143</v>
      </c>
      <c r="AQ764">
        <v>-4</v>
      </c>
      <c r="AR764">
        <v>1</v>
      </c>
    </row>
    <row r="765" spans="1:44" x14ac:dyDescent="0.35">
      <c r="A765" s="12" t="s">
        <v>1421</v>
      </c>
      <c r="B765" s="12" t="s">
        <v>809</v>
      </c>
      <c r="C765" s="12" t="s">
        <v>810</v>
      </c>
      <c r="D765" s="12" t="s">
        <v>114</v>
      </c>
      <c r="E765" s="12" t="s">
        <v>65</v>
      </c>
      <c r="F765">
        <v>3</v>
      </c>
      <c r="G765">
        <v>5</v>
      </c>
      <c r="H765">
        <v>0</v>
      </c>
      <c r="I765" s="12" t="s">
        <v>804</v>
      </c>
      <c r="J765" s="12" t="s">
        <v>342</v>
      </c>
      <c r="K765" s="12" t="s">
        <v>117</v>
      </c>
      <c r="L765" s="12" t="s">
        <v>69</v>
      </c>
      <c r="M765">
        <v>30.07</v>
      </c>
      <c r="N765" s="12" t="s">
        <v>70</v>
      </c>
      <c r="O765" s="12" t="s">
        <v>71</v>
      </c>
      <c r="P765" s="12" t="s">
        <v>72</v>
      </c>
      <c r="Q765" s="13">
        <v>45120</v>
      </c>
      <c r="R765" s="13">
        <v>45144</v>
      </c>
      <c r="S765">
        <v>2023</v>
      </c>
      <c r="T765" s="12" t="s">
        <v>1343</v>
      </c>
      <c r="U765">
        <v>36</v>
      </c>
      <c r="V765">
        <v>304.02379999999999</v>
      </c>
      <c r="W765">
        <v>233.47</v>
      </c>
      <c r="X765">
        <v>0</v>
      </c>
      <c r="Y765">
        <v>0</v>
      </c>
      <c r="Z765">
        <v>10944.86</v>
      </c>
      <c r="AA765">
        <v>11178.33</v>
      </c>
      <c r="AB765" s="12" t="s">
        <v>880</v>
      </c>
      <c r="AC765">
        <v>323.22789999999998</v>
      </c>
      <c r="AD765">
        <v>1</v>
      </c>
      <c r="AE765">
        <v>1</v>
      </c>
      <c r="AF765">
        <v>-691.35</v>
      </c>
      <c r="AG765">
        <v>11636.2</v>
      </c>
      <c r="AH765">
        <v>36</v>
      </c>
      <c r="AI765">
        <v>36</v>
      </c>
      <c r="AJ765">
        <v>0</v>
      </c>
      <c r="AK765">
        <v>1</v>
      </c>
      <c r="AL765">
        <v>1</v>
      </c>
      <c r="AM765">
        <v>100</v>
      </c>
      <c r="AN765">
        <v>310.50909999999999</v>
      </c>
      <c r="AO765">
        <v>0</v>
      </c>
      <c r="AP765" s="13">
        <v>45143</v>
      </c>
      <c r="AQ765">
        <v>-1</v>
      </c>
      <c r="AR765">
        <v>1</v>
      </c>
    </row>
    <row r="766" spans="1:44" x14ac:dyDescent="0.35">
      <c r="A766" s="12" t="s">
        <v>1422</v>
      </c>
      <c r="B766" s="12" t="s">
        <v>454</v>
      </c>
      <c r="C766" s="12" t="s">
        <v>455</v>
      </c>
      <c r="D766" s="12" t="s">
        <v>122</v>
      </c>
      <c r="E766" s="12" t="s">
        <v>104</v>
      </c>
      <c r="F766">
        <v>3</v>
      </c>
      <c r="G766">
        <v>1</v>
      </c>
      <c r="H766">
        <v>0</v>
      </c>
      <c r="I766" s="12" t="s">
        <v>87</v>
      </c>
      <c r="J766" s="12" t="s">
        <v>88</v>
      </c>
      <c r="K766" s="12" t="s">
        <v>89</v>
      </c>
      <c r="L766" s="12" t="s">
        <v>69</v>
      </c>
      <c r="M766">
        <v>14.93</v>
      </c>
      <c r="N766" s="12" t="s">
        <v>97</v>
      </c>
      <c r="O766" s="12" t="s">
        <v>98</v>
      </c>
      <c r="P766" s="12" t="s">
        <v>72</v>
      </c>
      <c r="Q766" s="13">
        <v>45120</v>
      </c>
      <c r="R766" s="13">
        <v>45139</v>
      </c>
      <c r="S766">
        <v>2023</v>
      </c>
      <c r="T766" s="12" t="s">
        <v>1343</v>
      </c>
      <c r="U766">
        <v>906</v>
      </c>
      <c r="V766">
        <v>21.796199999999999</v>
      </c>
      <c r="W766">
        <v>351.45</v>
      </c>
      <c r="X766">
        <v>0</v>
      </c>
      <c r="Y766">
        <v>0</v>
      </c>
      <c r="Z766">
        <v>19747.36</v>
      </c>
      <c r="AA766">
        <v>20098.810000000001</v>
      </c>
      <c r="AB766" s="12" t="s">
        <v>456</v>
      </c>
      <c r="AC766">
        <v>21.796199999999999</v>
      </c>
      <c r="AD766">
        <v>1</v>
      </c>
      <c r="AE766">
        <v>1</v>
      </c>
      <c r="AF766">
        <v>0</v>
      </c>
      <c r="AG766">
        <v>19747.36</v>
      </c>
      <c r="AH766">
        <v>906</v>
      </c>
      <c r="AI766">
        <v>898</v>
      </c>
      <c r="AJ766">
        <v>8</v>
      </c>
      <c r="AK766">
        <v>1</v>
      </c>
      <c r="AL766">
        <v>1</v>
      </c>
      <c r="AM766">
        <v>99.12</v>
      </c>
      <c r="AN766">
        <v>22.381699999999999</v>
      </c>
      <c r="AO766">
        <v>174.37</v>
      </c>
      <c r="AP766" s="13">
        <v>45137</v>
      </c>
      <c r="AQ766">
        <v>-2</v>
      </c>
      <c r="AR766">
        <v>1</v>
      </c>
    </row>
    <row r="767" spans="1:44" x14ac:dyDescent="0.35">
      <c r="A767" s="12" t="s">
        <v>1423</v>
      </c>
      <c r="B767" s="12" t="s">
        <v>302</v>
      </c>
      <c r="C767" s="12" t="s">
        <v>303</v>
      </c>
      <c r="D767" s="12" t="s">
        <v>78</v>
      </c>
      <c r="E767" s="12" t="s">
        <v>65</v>
      </c>
      <c r="F767">
        <v>2</v>
      </c>
      <c r="G767">
        <v>3</v>
      </c>
      <c r="H767">
        <v>0</v>
      </c>
      <c r="I767" s="12" t="s">
        <v>243</v>
      </c>
      <c r="J767" s="12" t="s">
        <v>244</v>
      </c>
      <c r="K767" s="12" t="s">
        <v>81</v>
      </c>
      <c r="L767" s="12" t="s">
        <v>82</v>
      </c>
      <c r="M767">
        <v>9.2200000000000006</v>
      </c>
      <c r="N767" s="12" t="s">
        <v>97</v>
      </c>
      <c r="O767" s="12" t="s">
        <v>98</v>
      </c>
      <c r="P767" s="12" t="s">
        <v>72</v>
      </c>
      <c r="Q767" s="13">
        <v>45120</v>
      </c>
      <c r="R767" s="13">
        <v>45148</v>
      </c>
      <c r="S767">
        <v>2023</v>
      </c>
      <c r="T767" s="12" t="s">
        <v>1343</v>
      </c>
      <c r="U767">
        <v>147</v>
      </c>
      <c r="V767">
        <v>144.41300000000001</v>
      </c>
      <c r="W767">
        <v>132.87</v>
      </c>
      <c r="X767">
        <v>672.09</v>
      </c>
      <c r="Y767">
        <v>1</v>
      </c>
      <c r="Z767">
        <v>21228.71</v>
      </c>
      <c r="AA767">
        <v>22033.67</v>
      </c>
      <c r="AB767" s="12" t="s">
        <v>304</v>
      </c>
      <c r="AC767">
        <v>144.41300000000001</v>
      </c>
      <c r="AD767">
        <v>1</v>
      </c>
      <c r="AE767">
        <v>1</v>
      </c>
      <c r="AF767">
        <v>0</v>
      </c>
      <c r="AG767">
        <v>21228.71</v>
      </c>
      <c r="AH767">
        <v>147</v>
      </c>
      <c r="AI767">
        <v>145</v>
      </c>
      <c r="AJ767">
        <v>2</v>
      </c>
      <c r="AK767">
        <v>1</v>
      </c>
      <c r="AL767">
        <v>1</v>
      </c>
      <c r="AM767">
        <v>98.64</v>
      </c>
      <c r="AN767">
        <v>151.9564</v>
      </c>
      <c r="AO767">
        <v>288.83</v>
      </c>
      <c r="AP767" s="13">
        <v>45146</v>
      </c>
      <c r="AQ767">
        <v>-2</v>
      </c>
      <c r="AR767">
        <v>1</v>
      </c>
    </row>
    <row r="768" spans="1:44" x14ac:dyDescent="0.35">
      <c r="A768" s="12" t="s">
        <v>1424</v>
      </c>
      <c r="B768" s="12" t="s">
        <v>140</v>
      </c>
      <c r="C768" s="12" t="s">
        <v>141</v>
      </c>
      <c r="D768" s="12" t="s">
        <v>103</v>
      </c>
      <c r="E768" s="12" t="s">
        <v>142</v>
      </c>
      <c r="F768">
        <v>1</v>
      </c>
      <c r="G768">
        <v>7</v>
      </c>
      <c r="H768">
        <v>1</v>
      </c>
      <c r="I768" s="12" t="s">
        <v>143</v>
      </c>
      <c r="J768" s="12" t="s">
        <v>144</v>
      </c>
      <c r="K768" s="12" t="s">
        <v>133</v>
      </c>
      <c r="L768" s="12" t="s">
        <v>96</v>
      </c>
      <c r="M768">
        <v>5.43</v>
      </c>
      <c r="N768" s="12" t="s">
        <v>145</v>
      </c>
      <c r="O768" s="12" t="s">
        <v>146</v>
      </c>
      <c r="P768" s="12" t="s">
        <v>109</v>
      </c>
      <c r="Q768" s="13">
        <v>45120</v>
      </c>
      <c r="R768" s="13">
        <v>45166</v>
      </c>
      <c r="S768">
        <v>2023</v>
      </c>
      <c r="T768" s="12" t="s">
        <v>1343</v>
      </c>
      <c r="U768">
        <v>98</v>
      </c>
      <c r="V768">
        <v>211.78559999999999</v>
      </c>
      <c r="W768">
        <v>494.28</v>
      </c>
      <c r="X768">
        <v>0</v>
      </c>
      <c r="Y768">
        <v>0</v>
      </c>
      <c r="Z768">
        <v>20754.990000000002</v>
      </c>
      <c r="AA768">
        <v>21249.27</v>
      </c>
      <c r="AB768" s="12" t="s">
        <v>147</v>
      </c>
      <c r="AC768">
        <v>211.78559999999999</v>
      </c>
      <c r="AD768">
        <v>1</v>
      </c>
      <c r="AE768">
        <v>1</v>
      </c>
      <c r="AF768">
        <v>0</v>
      </c>
      <c r="AG768">
        <v>20754.990000000002</v>
      </c>
      <c r="AH768">
        <v>98</v>
      </c>
      <c r="AI768">
        <v>98</v>
      </c>
      <c r="AJ768">
        <v>0</v>
      </c>
      <c r="AK768">
        <v>1</v>
      </c>
      <c r="AL768">
        <v>1</v>
      </c>
      <c r="AM768">
        <v>100</v>
      </c>
      <c r="AN768">
        <v>216.82929999999999</v>
      </c>
      <c r="AO768">
        <v>0</v>
      </c>
      <c r="AP768" s="13">
        <v>45166</v>
      </c>
      <c r="AQ768">
        <v>0</v>
      </c>
      <c r="AR768">
        <v>1</v>
      </c>
    </row>
    <row r="769" spans="1:44" x14ac:dyDescent="0.35">
      <c r="A769" s="12" t="s">
        <v>1425</v>
      </c>
      <c r="B769" s="12" t="s">
        <v>941</v>
      </c>
      <c r="C769" s="12" t="s">
        <v>942</v>
      </c>
      <c r="D769" s="12" t="s">
        <v>130</v>
      </c>
      <c r="E769" s="12" t="s">
        <v>104</v>
      </c>
      <c r="F769">
        <v>2</v>
      </c>
      <c r="G769">
        <v>0</v>
      </c>
      <c r="H769">
        <v>0</v>
      </c>
      <c r="I769" s="12" t="s">
        <v>131</v>
      </c>
      <c r="J769" s="12" t="s">
        <v>132</v>
      </c>
      <c r="K769" s="12" t="s">
        <v>133</v>
      </c>
      <c r="L769" s="12" t="s">
        <v>134</v>
      </c>
      <c r="M769">
        <v>1.51</v>
      </c>
      <c r="N769" s="12" t="s">
        <v>135</v>
      </c>
      <c r="O769" s="12" t="s">
        <v>136</v>
      </c>
      <c r="P769" s="12" t="s">
        <v>137</v>
      </c>
      <c r="Q769" s="13">
        <v>45120</v>
      </c>
      <c r="R769" s="13">
        <v>45133</v>
      </c>
      <c r="S769">
        <v>2023</v>
      </c>
      <c r="T769" s="12" t="s">
        <v>1343</v>
      </c>
      <c r="U769">
        <v>21</v>
      </c>
      <c r="V769">
        <v>990.29020000000003</v>
      </c>
      <c r="W769">
        <v>139.22</v>
      </c>
      <c r="X769">
        <v>0</v>
      </c>
      <c r="Y769">
        <v>0</v>
      </c>
      <c r="Z769">
        <v>20796.09</v>
      </c>
      <c r="AA769">
        <v>20935.310000000001</v>
      </c>
      <c r="AB769" s="12" t="s">
        <v>943</v>
      </c>
      <c r="AC769">
        <v>990.29020000000003</v>
      </c>
      <c r="AD769">
        <v>1</v>
      </c>
      <c r="AE769">
        <v>1</v>
      </c>
      <c r="AF769">
        <v>0</v>
      </c>
      <c r="AG769">
        <v>20796.09</v>
      </c>
      <c r="AH769">
        <v>21</v>
      </c>
      <c r="AI769">
        <v>19</v>
      </c>
      <c r="AJ769">
        <v>2</v>
      </c>
      <c r="AK769">
        <v>1</v>
      </c>
      <c r="AL769">
        <v>1</v>
      </c>
      <c r="AM769">
        <v>90.48</v>
      </c>
      <c r="AN769">
        <v>1101.8586</v>
      </c>
      <c r="AO769">
        <v>1980.58</v>
      </c>
      <c r="AP769" s="13">
        <v>45135</v>
      </c>
      <c r="AQ769">
        <v>2</v>
      </c>
      <c r="AR769">
        <v>0</v>
      </c>
    </row>
    <row r="770" spans="1:44" x14ac:dyDescent="0.35">
      <c r="A770" s="12" t="s">
        <v>1426</v>
      </c>
      <c r="B770" s="12" t="s">
        <v>544</v>
      </c>
      <c r="C770" s="12" t="s">
        <v>545</v>
      </c>
      <c r="D770" s="12" t="s">
        <v>175</v>
      </c>
      <c r="E770" s="12" t="s">
        <v>65</v>
      </c>
      <c r="F770">
        <v>3</v>
      </c>
      <c r="G770">
        <v>5</v>
      </c>
      <c r="H770">
        <v>0</v>
      </c>
      <c r="I770" s="12" t="s">
        <v>66</v>
      </c>
      <c r="J770" s="12" t="s">
        <v>67</v>
      </c>
      <c r="K770" s="12" t="s">
        <v>68</v>
      </c>
      <c r="L770" s="12" t="s">
        <v>69</v>
      </c>
      <c r="M770">
        <v>17.66</v>
      </c>
      <c r="N770" s="12" t="s">
        <v>145</v>
      </c>
      <c r="O770" s="12" t="s">
        <v>146</v>
      </c>
      <c r="P770" s="12" t="s">
        <v>109</v>
      </c>
      <c r="Q770" s="13">
        <v>45121</v>
      </c>
      <c r="R770" s="13">
        <v>45155</v>
      </c>
      <c r="S770">
        <v>2023</v>
      </c>
      <c r="T770" s="12" t="s">
        <v>1343</v>
      </c>
      <c r="U770">
        <v>113</v>
      </c>
      <c r="V770">
        <v>155.36940000000001</v>
      </c>
      <c r="W770">
        <v>214.76</v>
      </c>
      <c r="X770">
        <v>0</v>
      </c>
      <c r="Y770">
        <v>0</v>
      </c>
      <c r="Z770">
        <v>17556.740000000002</v>
      </c>
      <c r="AA770">
        <v>17771.5</v>
      </c>
      <c r="AB770" s="12" t="s">
        <v>546</v>
      </c>
      <c r="AC770">
        <v>155.36940000000001</v>
      </c>
      <c r="AD770">
        <v>1</v>
      </c>
      <c r="AE770">
        <v>1</v>
      </c>
      <c r="AF770">
        <v>0</v>
      </c>
      <c r="AG770">
        <v>17556.740000000002</v>
      </c>
      <c r="AH770">
        <v>113</v>
      </c>
      <c r="AI770">
        <v>111</v>
      </c>
      <c r="AJ770">
        <v>2</v>
      </c>
      <c r="AK770">
        <v>1</v>
      </c>
      <c r="AL770">
        <v>1</v>
      </c>
      <c r="AM770">
        <v>98.23</v>
      </c>
      <c r="AN770">
        <v>160.1036</v>
      </c>
      <c r="AO770">
        <v>310.74</v>
      </c>
      <c r="AP770" s="13">
        <v>45153</v>
      </c>
      <c r="AQ770">
        <v>-2</v>
      </c>
      <c r="AR770">
        <v>1</v>
      </c>
    </row>
    <row r="771" spans="1:44" x14ac:dyDescent="0.35">
      <c r="A771" s="12" t="s">
        <v>1427</v>
      </c>
      <c r="B771" s="12" t="s">
        <v>706</v>
      </c>
      <c r="C771" s="12" t="s">
        <v>707</v>
      </c>
      <c r="D771" s="12" t="s">
        <v>130</v>
      </c>
      <c r="E771" s="12" t="s">
        <v>142</v>
      </c>
      <c r="F771">
        <v>1</v>
      </c>
      <c r="G771">
        <v>8</v>
      </c>
      <c r="H771">
        <v>1</v>
      </c>
      <c r="I771" s="12" t="s">
        <v>263</v>
      </c>
      <c r="J771" s="12" t="s">
        <v>264</v>
      </c>
      <c r="K771" s="12" t="s">
        <v>125</v>
      </c>
      <c r="L771" s="12" t="s">
        <v>82</v>
      </c>
      <c r="M771">
        <v>10.210000000000001</v>
      </c>
      <c r="N771" s="12" t="s">
        <v>135</v>
      </c>
      <c r="O771" s="12" t="s">
        <v>136</v>
      </c>
      <c r="P771" s="12" t="s">
        <v>137</v>
      </c>
      <c r="Q771" s="13">
        <v>45121</v>
      </c>
      <c r="R771" s="13">
        <v>45165</v>
      </c>
      <c r="S771">
        <v>2023</v>
      </c>
      <c r="T771" s="12" t="s">
        <v>1343</v>
      </c>
      <c r="U771">
        <v>84</v>
      </c>
      <c r="V771">
        <v>277.71210000000002</v>
      </c>
      <c r="W771">
        <v>283.06</v>
      </c>
      <c r="X771">
        <v>0</v>
      </c>
      <c r="Y771">
        <v>0</v>
      </c>
      <c r="Z771">
        <v>23327.82</v>
      </c>
      <c r="AA771">
        <v>23610.880000000001</v>
      </c>
      <c r="AB771" s="12" t="s">
        <v>708</v>
      </c>
      <c r="AC771">
        <v>277.71210000000002</v>
      </c>
      <c r="AD771">
        <v>1</v>
      </c>
      <c r="AE771">
        <v>1</v>
      </c>
      <c r="AF771">
        <v>0</v>
      </c>
      <c r="AG771">
        <v>23327.82</v>
      </c>
      <c r="AH771">
        <v>84</v>
      </c>
      <c r="AI771">
        <v>83</v>
      </c>
      <c r="AJ771">
        <v>1</v>
      </c>
      <c r="AK771">
        <v>1</v>
      </c>
      <c r="AL771">
        <v>1</v>
      </c>
      <c r="AM771">
        <v>98.81</v>
      </c>
      <c r="AN771">
        <v>284.46839999999997</v>
      </c>
      <c r="AO771">
        <v>277.70999999999998</v>
      </c>
      <c r="AP771" s="13">
        <v>45164</v>
      </c>
      <c r="AQ771">
        <v>-1</v>
      </c>
      <c r="AR771">
        <v>1</v>
      </c>
    </row>
    <row r="772" spans="1:44" x14ac:dyDescent="0.35">
      <c r="A772" s="12" t="s">
        <v>1428</v>
      </c>
      <c r="B772" s="12" t="s">
        <v>609</v>
      </c>
      <c r="C772" s="12" t="s">
        <v>610</v>
      </c>
      <c r="D772" s="12" t="s">
        <v>64</v>
      </c>
      <c r="E772" s="12" t="s">
        <v>104</v>
      </c>
      <c r="F772">
        <v>1</v>
      </c>
      <c r="G772">
        <v>0</v>
      </c>
      <c r="H772">
        <v>1</v>
      </c>
      <c r="I772" s="12" t="s">
        <v>227</v>
      </c>
      <c r="J772" s="12" t="s">
        <v>228</v>
      </c>
      <c r="K772" s="12" t="s">
        <v>89</v>
      </c>
      <c r="L772" s="12" t="s">
        <v>96</v>
      </c>
      <c r="M772">
        <v>9.15</v>
      </c>
      <c r="N772" s="12" t="s">
        <v>70</v>
      </c>
      <c r="O772" s="12" t="s">
        <v>71</v>
      </c>
      <c r="P772" s="12" t="s">
        <v>72</v>
      </c>
      <c r="Q772" s="13">
        <v>45121</v>
      </c>
      <c r="R772" s="13">
        <v>45146</v>
      </c>
      <c r="S772">
        <v>2023</v>
      </c>
      <c r="T772" s="12" t="s">
        <v>1343</v>
      </c>
      <c r="U772">
        <v>784</v>
      </c>
      <c r="V772">
        <v>20.713699999999999</v>
      </c>
      <c r="W772">
        <v>394.66</v>
      </c>
      <c r="X772">
        <v>0</v>
      </c>
      <c r="Y772">
        <v>0</v>
      </c>
      <c r="Z772">
        <v>16239.54</v>
      </c>
      <c r="AA772">
        <v>16634.2</v>
      </c>
      <c r="AB772" s="12" t="s">
        <v>611</v>
      </c>
      <c r="AC772">
        <v>20.713699999999999</v>
      </c>
      <c r="AD772">
        <v>1</v>
      </c>
      <c r="AE772">
        <v>1</v>
      </c>
      <c r="AF772">
        <v>0</v>
      </c>
      <c r="AG772">
        <v>16239.54</v>
      </c>
      <c r="AH772">
        <v>784</v>
      </c>
      <c r="AI772">
        <v>776</v>
      </c>
      <c r="AJ772">
        <v>8</v>
      </c>
      <c r="AK772">
        <v>1</v>
      </c>
      <c r="AL772">
        <v>1</v>
      </c>
      <c r="AM772">
        <v>98.98</v>
      </c>
      <c r="AN772">
        <v>21.4358</v>
      </c>
      <c r="AO772">
        <v>165.71</v>
      </c>
      <c r="AP772" s="13">
        <v>45145</v>
      </c>
      <c r="AQ772">
        <v>-1</v>
      </c>
      <c r="AR772">
        <v>1</v>
      </c>
    </row>
    <row r="773" spans="1:44" x14ac:dyDescent="0.35">
      <c r="A773" s="12" t="s">
        <v>1429</v>
      </c>
      <c r="B773" s="12" t="s">
        <v>613</v>
      </c>
      <c r="C773" s="12" t="s">
        <v>614</v>
      </c>
      <c r="D773" s="12" t="s">
        <v>130</v>
      </c>
      <c r="E773" s="12" t="s">
        <v>104</v>
      </c>
      <c r="F773">
        <v>3</v>
      </c>
      <c r="G773">
        <v>1</v>
      </c>
      <c r="H773">
        <v>0</v>
      </c>
      <c r="I773" s="12" t="s">
        <v>66</v>
      </c>
      <c r="J773" s="12" t="s">
        <v>67</v>
      </c>
      <c r="K773" s="12" t="s">
        <v>68</v>
      </c>
      <c r="L773" s="12" t="s">
        <v>69</v>
      </c>
      <c r="M773">
        <v>17.66</v>
      </c>
      <c r="N773" s="12" t="s">
        <v>135</v>
      </c>
      <c r="O773" s="12" t="s">
        <v>136</v>
      </c>
      <c r="P773" s="12" t="s">
        <v>137</v>
      </c>
      <c r="Q773" s="13">
        <v>45121</v>
      </c>
      <c r="R773" s="13">
        <v>45140</v>
      </c>
      <c r="S773">
        <v>2023</v>
      </c>
      <c r="T773" s="12" t="s">
        <v>1343</v>
      </c>
      <c r="U773">
        <v>70</v>
      </c>
      <c r="V773">
        <v>195.35140000000001</v>
      </c>
      <c r="W773">
        <v>197.96</v>
      </c>
      <c r="X773">
        <v>0</v>
      </c>
      <c r="Y773">
        <v>0</v>
      </c>
      <c r="Z773">
        <v>13674.6</v>
      </c>
      <c r="AA773">
        <v>13872.56</v>
      </c>
      <c r="AB773" s="12" t="s">
        <v>615</v>
      </c>
      <c r="AC773">
        <v>195.35140000000001</v>
      </c>
      <c r="AD773">
        <v>1</v>
      </c>
      <c r="AE773">
        <v>1</v>
      </c>
      <c r="AF773">
        <v>0</v>
      </c>
      <c r="AG773">
        <v>13674.6</v>
      </c>
      <c r="AH773">
        <v>70</v>
      </c>
      <c r="AI773">
        <v>69</v>
      </c>
      <c r="AJ773">
        <v>1</v>
      </c>
      <c r="AK773">
        <v>1</v>
      </c>
      <c r="AL773">
        <v>1</v>
      </c>
      <c r="AM773">
        <v>98.57</v>
      </c>
      <c r="AN773">
        <v>201.05160000000001</v>
      </c>
      <c r="AO773">
        <v>195.35</v>
      </c>
      <c r="AP773" s="13">
        <v>45140</v>
      </c>
      <c r="AQ773">
        <v>0</v>
      </c>
      <c r="AR773">
        <v>1</v>
      </c>
    </row>
    <row r="774" spans="1:44" x14ac:dyDescent="0.35">
      <c r="A774" s="12" t="s">
        <v>1430</v>
      </c>
      <c r="B774" s="12" t="s">
        <v>173</v>
      </c>
      <c r="C774" s="12" t="s">
        <v>174</v>
      </c>
      <c r="D774" s="12" t="s">
        <v>175</v>
      </c>
      <c r="E774" s="12" t="s">
        <v>104</v>
      </c>
      <c r="F774">
        <v>3</v>
      </c>
      <c r="G774">
        <v>1</v>
      </c>
      <c r="H774">
        <v>0</v>
      </c>
      <c r="I774" s="12" t="s">
        <v>227</v>
      </c>
      <c r="J774" s="12" t="s">
        <v>228</v>
      </c>
      <c r="K774" s="12" t="s">
        <v>89</v>
      </c>
      <c r="L774" s="12" t="s">
        <v>96</v>
      </c>
      <c r="M774">
        <v>9.15</v>
      </c>
      <c r="N774" s="12" t="s">
        <v>145</v>
      </c>
      <c r="O774" s="12" t="s">
        <v>146</v>
      </c>
      <c r="P774" s="12" t="s">
        <v>109</v>
      </c>
      <c r="Q774" s="13">
        <v>45121</v>
      </c>
      <c r="R774" s="13">
        <v>45140</v>
      </c>
      <c r="S774">
        <v>2023</v>
      </c>
      <c r="T774" s="12" t="s">
        <v>1343</v>
      </c>
      <c r="U774">
        <v>67</v>
      </c>
      <c r="V774">
        <v>79.9559</v>
      </c>
      <c r="W774">
        <v>113.06</v>
      </c>
      <c r="X774">
        <v>0</v>
      </c>
      <c r="Y774">
        <v>0</v>
      </c>
      <c r="Z774">
        <v>5357.05</v>
      </c>
      <c r="AA774">
        <v>5470.11</v>
      </c>
      <c r="AB774" s="12" t="s">
        <v>229</v>
      </c>
      <c r="AC774">
        <v>79.9559</v>
      </c>
      <c r="AD774">
        <v>1</v>
      </c>
      <c r="AE774">
        <v>1</v>
      </c>
      <c r="AF774">
        <v>0</v>
      </c>
      <c r="AG774">
        <v>5357.05</v>
      </c>
      <c r="AH774">
        <v>67</v>
      </c>
      <c r="AI774">
        <v>67</v>
      </c>
      <c r="AJ774">
        <v>0</v>
      </c>
      <c r="AK774">
        <v>1</v>
      </c>
      <c r="AL774">
        <v>1</v>
      </c>
      <c r="AM774">
        <v>100</v>
      </c>
      <c r="AN774">
        <v>81.6434</v>
      </c>
      <c r="AO774">
        <v>0</v>
      </c>
      <c r="AP774" s="13">
        <v>45139</v>
      </c>
      <c r="AQ774">
        <v>-1</v>
      </c>
      <c r="AR774">
        <v>1</v>
      </c>
    </row>
    <row r="775" spans="1:44" x14ac:dyDescent="0.35">
      <c r="A775" s="12" t="s">
        <v>1431</v>
      </c>
      <c r="B775" s="12" t="s">
        <v>941</v>
      </c>
      <c r="C775" s="12" t="s">
        <v>942</v>
      </c>
      <c r="D775" s="12" t="s">
        <v>130</v>
      </c>
      <c r="E775" s="12" t="s">
        <v>104</v>
      </c>
      <c r="F775">
        <v>2</v>
      </c>
      <c r="G775">
        <v>0</v>
      </c>
      <c r="H775">
        <v>0</v>
      </c>
      <c r="I775" s="12" t="s">
        <v>131</v>
      </c>
      <c r="J775" s="12" t="s">
        <v>132</v>
      </c>
      <c r="K775" s="12" t="s">
        <v>133</v>
      </c>
      <c r="L775" s="12" t="s">
        <v>134</v>
      </c>
      <c r="M775">
        <v>1.51</v>
      </c>
      <c r="N775" s="12" t="s">
        <v>135</v>
      </c>
      <c r="O775" s="12" t="s">
        <v>136</v>
      </c>
      <c r="P775" s="12" t="s">
        <v>137</v>
      </c>
      <c r="Q775" s="13">
        <v>45121</v>
      </c>
      <c r="R775" s="13">
        <v>45133</v>
      </c>
      <c r="S775">
        <v>2023</v>
      </c>
      <c r="T775" s="12" t="s">
        <v>1343</v>
      </c>
      <c r="U775">
        <v>16</v>
      </c>
      <c r="V775">
        <v>990.29020000000003</v>
      </c>
      <c r="W775">
        <v>386.58</v>
      </c>
      <c r="X775">
        <v>0</v>
      </c>
      <c r="Y775">
        <v>0</v>
      </c>
      <c r="Z775">
        <v>15844.64</v>
      </c>
      <c r="AA775">
        <v>16231.22</v>
      </c>
      <c r="AB775" s="12" t="s">
        <v>943</v>
      </c>
      <c r="AC775">
        <v>990.29020000000003</v>
      </c>
      <c r="AD775">
        <v>1</v>
      </c>
      <c r="AE775">
        <v>1</v>
      </c>
      <c r="AF775">
        <v>0</v>
      </c>
      <c r="AG775">
        <v>15844.64</v>
      </c>
      <c r="AH775">
        <v>16</v>
      </c>
      <c r="AI775">
        <v>15</v>
      </c>
      <c r="AJ775">
        <v>1</v>
      </c>
      <c r="AK775">
        <v>1</v>
      </c>
      <c r="AL775">
        <v>1</v>
      </c>
      <c r="AM775">
        <v>93.75</v>
      </c>
      <c r="AN775">
        <v>1082.0815</v>
      </c>
      <c r="AO775">
        <v>990.29</v>
      </c>
      <c r="AP775" s="13">
        <v>45131</v>
      </c>
      <c r="AQ775">
        <v>-2</v>
      </c>
      <c r="AR775">
        <v>1</v>
      </c>
    </row>
    <row r="776" spans="1:44" x14ac:dyDescent="0.35">
      <c r="A776" s="12" t="s">
        <v>1432</v>
      </c>
      <c r="B776" s="12" t="s">
        <v>1433</v>
      </c>
      <c r="C776" s="12" t="s">
        <v>1434</v>
      </c>
      <c r="D776" s="12" t="s">
        <v>269</v>
      </c>
      <c r="E776" s="12" t="s">
        <v>65</v>
      </c>
      <c r="F776">
        <v>3</v>
      </c>
      <c r="G776">
        <v>5</v>
      </c>
      <c r="H776">
        <v>0</v>
      </c>
      <c r="I776" s="12" t="s">
        <v>223</v>
      </c>
      <c r="J776" s="12" t="s">
        <v>224</v>
      </c>
      <c r="K776" s="12" t="s">
        <v>81</v>
      </c>
      <c r="L776" s="12" t="s">
        <v>134</v>
      </c>
      <c r="M776">
        <v>2.4900000000000002</v>
      </c>
      <c r="N776" s="12" t="s">
        <v>159</v>
      </c>
      <c r="O776" s="12" t="s">
        <v>160</v>
      </c>
      <c r="P776" s="12" t="s">
        <v>137</v>
      </c>
      <c r="Q776" s="13">
        <v>45121</v>
      </c>
      <c r="R776" s="13">
        <v>45158</v>
      </c>
      <c r="S776">
        <v>2023</v>
      </c>
      <c r="T776" s="12" t="s">
        <v>1343</v>
      </c>
      <c r="U776">
        <v>139</v>
      </c>
      <c r="V776">
        <v>457.42090000000002</v>
      </c>
      <c r="W776">
        <v>1389.77</v>
      </c>
      <c r="X776">
        <v>0</v>
      </c>
      <c r="Y776">
        <v>0</v>
      </c>
      <c r="Z776">
        <v>63581.51</v>
      </c>
      <c r="AA776">
        <v>64971.28</v>
      </c>
      <c r="AB776" s="12" t="s">
        <v>1435</v>
      </c>
      <c r="AC776">
        <v>457.42090000000002</v>
      </c>
      <c r="AD776">
        <v>1</v>
      </c>
      <c r="AE776">
        <v>1</v>
      </c>
      <c r="AF776">
        <v>0</v>
      </c>
      <c r="AG776">
        <v>63581.51</v>
      </c>
      <c r="AH776">
        <v>139</v>
      </c>
      <c r="AI776">
        <v>137</v>
      </c>
      <c r="AJ776">
        <v>2</v>
      </c>
      <c r="AK776">
        <v>1</v>
      </c>
      <c r="AL776">
        <v>1</v>
      </c>
      <c r="AM776">
        <v>98.56</v>
      </c>
      <c r="AN776">
        <v>474.24290000000002</v>
      </c>
      <c r="AO776">
        <v>914.84</v>
      </c>
      <c r="AP776" s="13">
        <v>45158</v>
      </c>
      <c r="AQ776">
        <v>0</v>
      </c>
      <c r="AR776">
        <v>1</v>
      </c>
    </row>
    <row r="777" spans="1:44" x14ac:dyDescent="0.35">
      <c r="A777" s="12" t="s">
        <v>1436</v>
      </c>
      <c r="B777" s="12" t="s">
        <v>163</v>
      </c>
      <c r="C777" s="12" t="s">
        <v>164</v>
      </c>
      <c r="D777" s="12" t="s">
        <v>64</v>
      </c>
      <c r="E777" s="12" t="s">
        <v>104</v>
      </c>
      <c r="F777">
        <v>2</v>
      </c>
      <c r="G777">
        <v>0</v>
      </c>
      <c r="H777">
        <v>0</v>
      </c>
      <c r="I777" s="12" t="s">
        <v>79</v>
      </c>
      <c r="J777" s="12" t="s">
        <v>80</v>
      </c>
      <c r="K777" s="12" t="s">
        <v>81</v>
      </c>
      <c r="L777" s="12" t="s">
        <v>82</v>
      </c>
      <c r="M777">
        <v>12.07</v>
      </c>
      <c r="N777" s="12" t="s">
        <v>97</v>
      </c>
      <c r="O777" s="12" t="s">
        <v>98</v>
      </c>
      <c r="P777" s="12" t="s">
        <v>72</v>
      </c>
      <c r="Q777" s="13">
        <v>45124</v>
      </c>
      <c r="R777" s="13">
        <v>45153</v>
      </c>
      <c r="S777">
        <v>2023</v>
      </c>
      <c r="T777" s="12" t="s">
        <v>1343</v>
      </c>
      <c r="U777">
        <v>976</v>
      </c>
      <c r="V777">
        <v>12.120799999999999</v>
      </c>
      <c r="W777">
        <v>112.15</v>
      </c>
      <c r="X777">
        <v>0</v>
      </c>
      <c r="Y777">
        <v>0</v>
      </c>
      <c r="Z777">
        <v>11829.9</v>
      </c>
      <c r="AA777">
        <v>11942.05</v>
      </c>
      <c r="AB777" s="12" t="s">
        <v>165</v>
      </c>
      <c r="AC777">
        <v>12.8643</v>
      </c>
      <c r="AD777">
        <v>1</v>
      </c>
      <c r="AE777">
        <v>1</v>
      </c>
      <c r="AF777">
        <v>-725.66</v>
      </c>
      <c r="AG777">
        <v>12555.56</v>
      </c>
      <c r="AH777">
        <v>976</v>
      </c>
      <c r="AI777">
        <v>968</v>
      </c>
      <c r="AJ777">
        <v>8</v>
      </c>
      <c r="AK777">
        <v>1</v>
      </c>
      <c r="AL777">
        <v>1</v>
      </c>
      <c r="AM777">
        <v>99.18</v>
      </c>
      <c r="AN777">
        <v>12.3368</v>
      </c>
      <c r="AO777">
        <v>96.97</v>
      </c>
      <c r="AP777" s="13">
        <v>45150</v>
      </c>
      <c r="AQ777">
        <v>-3</v>
      </c>
      <c r="AR777">
        <v>1</v>
      </c>
    </row>
    <row r="778" spans="1:44" x14ac:dyDescent="0.35">
      <c r="A778" s="12" t="s">
        <v>1437</v>
      </c>
      <c r="B778" s="12" t="s">
        <v>1220</v>
      </c>
      <c r="C778" s="12" t="s">
        <v>1221</v>
      </c>
      <c r="D778" s="12" t="s">
        <v>175</v>
      </c>
      <c r="E778" s="12" t="s">
        <v>104</v>
      </c>
      <c r="F778">
        <v>3</v>
      </c>
      <c r="G778">
        <v>1</v>
      </c>
      <c r="H778">
        <v>0</v>
      </c>
      <c r="I778" s="12" t="s">
        <v>251</v>
      </c>
      <c r="J778" s="12" t="s">
        <v>252</v>
      </c>
      <c r="K778" s="12" t="s">
        <v>133</v>
      </c>
      <c r="L778" s="12" t="s">
        <v>69</v>
      </c>
      <c r="M778">
        <v>34.49</v>
      </c>
      <c r="N778" s="12" t="s">
        <v>145</v>
      </c>
      <c r="O778" s="12" t="s">
        <v>146</v>
      </c>
      <c r="P778" s="12" t="s">
        <v>109</v>
      </c>
      <c r="Q778" s="13">
        <v>45124</v>
      </c>
      <c r="R778" s="13">
        <v>45141</v>
      </c>
      <c r="S778">
        <v>2023</v>
      </c>
      <c r="T778" s="12" t="s">
        <v>1343</v>
      </c>
      <c r="U778">
        <v>53</v>
      </c>
      <c r="V778">
        <v>138.98759999999999</v>
      </c>
      <c r="W778">
        <v>86.82</v>
      </c>
      <c r="X778">
        <v>0</v>
      </c>
      <c r="Y778">
        <v>0</v>
      </c>
      <c r="Z778">
        <v>7366.34</v>
      </c>
      <c r="AA778">
        <v>7453.16</v>
      </c>
      <c r="AB778" s="12" t="s">
        <v>1438</v>
      </c>
      <c r="AC778">
        <v>138.98759999999999</v>
      </c>
      <c r="AD778">
        <v>1</v>
      </c>
      <c r="AE778">
        <v>1</v>
      </c>
      <c r="AF778">
        <v>0</v>
      </c>
      <c r="AG778">
        <v>7366.34</v>
      </c>
      <c r="AH778">
        <v>53</v>
      </c>
      <c r="AI778">
        <v>52</v>
      </c>
      <c r="AJ778">
        <v>1</v>
      </c>
      <c r="AK778">
        <v>1</v>
      </c>
      <c r="AL778">
        <v>1</v>
      </c>
      <c r="AM778">
        <v>98.11</v>
      </c>
      <c r="AN778">
        <v>143.33009999999999</v>
      </c>
      <c r="AO778">
        <v>138.99</v>
      </c>
      <c r="AP778" s="13">
        <v>45141</v>
      </c>
      <c r="AQ778">
        <v>0</v>
      </c>
      <c r="AR778">
        <v>1</v>
      </c>
    </row>
    <row r="779" spans="1:44" x14ac:dyDescent="0.35">
      <c r="A779" s="12" t="s">
        <v>1439</v>
      </c>
      <c r="B779" s="12" t="s">
        <v>308</v>
      </c>
      <c r="C779" s="12" t="s">
        <v>309</v>
      </c>
      <c r="D779" s="12" t="s">
        <v>122</v>
      </c>
      <c r="E779" s="12" t="s">
        <v>142</v>
      </c>
      <c r="F779">
        <v>1</v>
      </c>
      <c r="G779">
        <v>6</v>
      </c>
      <c r="H779">
        <v>1</v>
      </c>
      <c r="I779" s="12" t="s">
        <v>310</v>
      </c>
      <c r="J779" s="12" t="s">
        <v>311</v>
      </c>
      <c r="K779" s="12" t="s">
        <v>81</v>
      </c>
      <c r="L779" s="12" t="s">
        <v>69</v>
      </c>
      <c r="M779">
        <v>28.3</v>
      </c>
      <c r="N779" s="12" t="s">
        <v>97</v>
      </c>
      <c r="O779" s="12" t="s">
        <v>98</v>
      </c>
      <c r="P779" s="12" t="s">
        <v>72</v>
      </c>
      <c r="Q779" s="13">
        <v>45124</v>
      </c>
      <c r="R779" s="13">
        <v>45166</v>
      </c>
      <c r="S779">
        <v>2023</v>
      </c>
      <c r="T779" s="12" t="s">
        <v>1343</v>
      </c>
      <c r="U779">
        <v>951</v>
      </c>
      <c r="V779">
        <v>59.409700000000001</v>
      </c>
      <c r="W779">
        <v>884.09</v>
      </c>
      <c r="X779">
        <v>0</v>
      </c>
      <c r="Y779">
        <v>0</v>
      </c>
      <c r="Z779">
        <v>56498.62</v>
      </c>
      <c r="AA779">
        <v>57382.71</v>
      </c>
      <c r="AB779" s="12" t="s">
        <v>312</v>
      </c>
      <c r="AC779">
        <v>59.409700000000001</v>
      </c>
      <c r="AD779">
        <v>1</v>
      </c>
      <c r="AE779">
        <v>1</v>
      </c>
      <c r="AF779">
        <v>0</v>
      </c>
      <c r="AG779">
        <v>56498.62</v>
      </c>
      <c r="AH779">
        <v>951</v>
      </c>
      <c r="AI779">
        <v>945</v>
      </c>
      <c r="AJ779">
        <v>6</v>
      </c>
      <c r="AK779">
        <v>1</v>
      </c>
      <c r="AL779">
        <v>1</v>
      </c>
      <c r="AM779">
        <v>99.37</v>
      </c>
      <c r="AN779">
        <v>60.7224</v>
      </c>
      <c r="AO779">
        <v>356.46</v>
      </c>
      <c r="AP779" s="13">
        <v>45175</v>
      </c>
      <c r="AQ779">
        <v>9</v>
      </c>
      <c r="AR779">
        <v>0</v>
      </c>
    </row>
    <row r="780" spans="1:44" x14ac:dyDescent="0.35">
      <c r="A780" s="12" t="s">
        <v>1440</v>
      </c>
      <c r="B780" s="12" t="s">
        <v>120</v>
      </c>
      <c r="C780" s="12" t="s">
        <v>121</v>
      </c>
      <c r="D780" s="12" t="s">
        <v>122</v>
      </c>
      <c r="E780" s="12" t="s">
        <v>65</v>
      </c>
      <c r="F780">
        <v>3</v>
      </c>
      <c r="G780">
        <v>4</v>
      </c>
      <c r="H780">
        <v>0</v>
      </c>
      <c r="I780" s="12" t="s">
        <v>123</v>
      </c>
      <c r="J780" s="12" t="s">
        <v>124</v>
      </c>
      <c r="K780" s="12" t="s">
        <v>125</v>
      </c>
      <c r="L780" s="12" t="s">
        <v>82</v>
      </c>
      <c r="M780">
        <v>6.75</v>
      </c>
      <c r="N780" s="12" t="s">
        <v>97</v>
      </c>
      <c r="O780" s="12" t="s">
        <v>98</v>
      </c>
      <c r="P780" s="12" t="s">
        <v>72</v>
      </c>
      <c r="Q780" s="13">
        <v>45124</v>
      </c>
      <c r="R780" s="13">
        <v>45153</v>
      </c>
      <c r="S780">
        <v>2023</v>
      </c>
      <c r="T780" s="12" t="s">
        <v>1343</v>
      </c>
      <c r="U780">
        <v>1078</v>
      </c>
      <c r="V780">
        <v>55.544699999999999</v>
      </c>
      <c r="W780">
        <v>908.22</v>
      </c>
      <c r="X780">
        <v>0</v>
      </c>
      <c r="Y780">
        <v>0</v>
      </c>
      <c r="Z780">
        <v>59877.19</v>
      </c>
      <c r="AA780">
        <v>60785.41</v>
      </c>
      <c r="AB780" s="12" t="s">
        <v>126</v>
      </c>
      <c r="AC780">
        <v>55.544699999999999</v>
      </c>
      <c r="AD780">
        <v>1</v>
      </c>
      <c r="AE780">
        <v>1</v>
      </c>
      <c r="AF780">
        <v>0</v>
      </c>
      <c r="AG780">
        <v>59877.19</v>
      </c>
      <c r="AH780">
        <v>1078</v>
      </c>
      <c r="AI780">
        <v>1076</v>
      </c>
      <c r="AJ780">
        <v>2</v>
      </c>
      <c r="AK780">
        <v>1</v>
      </c>
      <c r="AL780">
        <v>1</v>
      </c>
      <c r="AM780">
        <v>99.81</v>
      </c>
      <c r="AN780">
        <v>56.491999999999997</v>
      </c>
      <c r="AO780">
        <v>111.09</v>
      </c>
      <c r="AP780" s="13">
        <v>45154</v>
      </c>
      <c r="AQ780">
        <v>1</v>
      </c>
      <c r="AR780">
        <v>0</v>
      </c>
    </row>
    <row r="781" spans="1:44" x14ac:dyDescent="0.35">
      <c r="A781" s="12" t="s">
        <v>1441</v>
      </c>
      <c r="B781" s="12" t="s">
        <v>451</v>
      </c>
      <c r="C781" s="12" t="s">
        <v>452</v>
      </c>
      <c r="D781" s="12" t="s">
        <v>175</v>
      </c>
      <c r="E781" s="12" t="s">
        <v>104</v>
      </c>
      <c r="F781">
        <v>3</v>
      </c>
      <c r="G781">
        <v>1</v>
      </c>
      <c r="H781">
        <v>0</v>
      </c>
      <c r="I781" s="12" t="s">
        <v>359</v>
      </c>
      <c r="J781" s="12" t="s">
        <v>360</v>
      </c>
      <c r="K781" s="12" t="s">
        <v>133</v>
      </c>
      <c r="L781" s="12" t="s">
        <v>82</v>
      </c>
      <c r="M781">
        <v>12.65</v>
      </c>
      <c r="N781" s="12" t="s">
        <v>107</v>
      </c>
      <c r="O781" s="12" t="s">
        <v>108</v>
      </c>
      <c r="P781" s="12" t="s">
        <v>109</v>
      </c>
      <c r="Q781" s="13">
        <v>45124</v>
      </c>
      <c r="R781" s="13">
        <v>45146</v>
      </c>
      <c r="S781">
        <v>2023</v>
      </c>
      <c r="T781" s="12" t="s">
        <v>1343</v>
      </c>
      <c r="U781">
        <v>90</v>
      </c>
      <c r="V781">
        <v>254.15530000000001</v>
      </c>
      <c r="W781">
        <v>571.52</v>
      </c>
      <c r="X781">
        <v>0</v>
      </c>
      <c r="Y781">
        <v>0</v>
      </c>
      <c r="Z781">
        <v>22873.98</v>
      </c>
      <c r="AA781">
        <v>23445.5</v>
      </c>
      <c r="AB781" s="12" t="s">
        <v>627</v>
      </c>
      <c r="AC781">
        <v>254.15530000000001</v>
      </c>
      <c r="AD781">
        <v>1</v>
      </c>
      <c r="AE781">
        <v>1</v>
      </c>
      <c r="AF781">
        <v>0</v>
      </c>
      <c r="AG781">
        <v>22873.98</v>
      </c>
      <c r="AH781">
        <v>90</v>
      </c>
      <c r="AI781">
        <v>89</v>
      </c>
      <c r="AJ781">
        <v>1</v>
      </c>
      <c r="AK781">
        <v>1</v>
      </c>
      <c r="AL781">
        <v>1</v>
      </c>
      <c r="AM781">
        <v>98.89</v>
      </c>
      <c r="AN781">
        <v>263.43259999999998</v>
      </c>
      <c r="AO781">
        <v>254.16</v>
      </c>
      <c r="AP781" s="13">
        <v>45144</v>
      </c>
      <c r="AQ781">
        <v>-2</v>
      </c>
      <c r="AR781">
        <v>1</v>
      </c>
    </row>
    <row r="782" spans="1:44" x14ac:dyDescent="0.35">
      <c r="A782" s="12" t="s">
        <v>1442</v>
      </c>
      <c r="B782" s="12" t="s">
        <v>477</v>
      </c>
      <c r="C782" s="12" t="s">
        <v>478</v>
      </c>
      <c r="D782" s="12" t="s">
        <v>130</v>
      </c>
      <c r="E782" s="12" t="s">
        <v>104</v>
      </c>
      <c r="F782">
        <v>3</v>
      </c>
      <c r="G782">
        <v>1</v>
      </c>
      <c r="H782">
        <v>0</v>
      </c>
      <c r="I782" s="12" t="s">
        <v>380</v>
      </c>
      <c r="J782" s="12" t="s">
        <v>381</v>
      </c>
      <c r="K782" s="12" t="s">
        <v>89</v>
      </c>
      <c r="L782" s="12" t="s">
        <v>96</v>
      </c>
      <c r="M782">
        <v>10.210000000000001</v>
      </c>
      <c r="N782" s="12" t="s">
        <v>135</v>
      </c>
      <c r="O782" s="12" t="s">
        <v>136</v>
      </c>
      <c r="P782" s="12" t="s">
        <v>137</v>
      </c>
      <c r="Q782" s="13">
        <v>45124</v>
      </c>
      <c r="R782" s="13">
        <v>45138</v>
      </c>
      <c r="S782">
        <v>2023</v>
      </c>
      <c r="T782" s="12" t="s">
        <v>1343</v>
      </c>
      <c r="U782">
        <v>32</v>
      </c>
      <c r="V782">
        <v>778.59670000000006</v>
      </c>
      <c r="W782">
        <v>501.43</v>
      </c>
      <c r="X782">
        <v>0</v>
      </c>
      <c r="Y782">
        <v>0</v>
      </c>
      <c r="Z782">
        <v>24915.09</v>
      </c>
      <c r="AA782">
        <v>25416.52</v>
      </c>
      <c r="AB782" s="12" t="s">
        <v>1094</v>
      </c>
      <c r="AC782">
        <v>778.59670000000006</v>
      </c>
      <c r="AD782">
        <v>1</v>
      </c>
      <c r="AE782">
        <v>1</v>
      </c>
      <c r="AF782">
        <v>0</v>
      </c>
      <c r="AG782">
        <v>24915.09</v>
      </c>
      <c r="AH782">
        <v>32</v>
      </c>
      <c r="AI782">
        <v>32</v>
      </c>
      <c r="AJ782">
        <v>0</v>
      </c>
      <c r="AK782">
        <v>1</v>
      </c>
      <c r="AL782">
        <v>1</v>
      </c>
      <c r="AM782">
        <v>100</v>
      </c>
      <c r="AN782">
        <v>794.26639999999998</v>
      </c>
      <c r="AO782">
        <v>0</v>
      </c>
      <c r="AP782" s="13">
        <v>45135</v>
      </c>
      <c r="AQ782">
        <v>-3</v>
      </c>
      <c r="AR782">
        <v>1</v>
      </c>
    </row>
    <row r="783" spans="1:44" x14ac:dyDescent="0.35">
      <c r="A783" s="12" t="s">
        <v>1443</v>
      </c>
      <c r="B783" s="12" t="s">
        <v>978</v>
      </c>
      <c r="C783" s="12" t="s">
        <v>979</v>
      </c>
      <c r="D783" s="12" t="s">
        <v>122</v>
      </c>
      <c r="E783" s="12" t="s">
        <v>65</v>
      </c>
      <c r="F783">
        <v>1</v>
      </c>
      <c r="G783">
        <v>2</v>
      </c>
      <c r="H783">
        <v>1</v>
      </c>
      <c r="I783" s="12" t="s">
        <v>310</v>
      </c>
      <c r="J783" s="12" t="s">
        <v>311</v>
      </c>
      <c r="K783" s="12" t="s">
        <v>81</v>
      </c>
      <c r="L783" s="12" t="s">
        <v>69</v>
      </c>
      <c r="M783">
        <v>28.3</v>
      </c>
      <c r="N783" s="12" t="s">
        <v>70</v>
      </c>
      <c r="O783" s="12" t="s">
        <v>71</v>
      </c>
      <c r="P783" s="12" t="s">
        <v>72</v>
      </c>
      <c r="Q783" s="13">
        <v>45124</v>
      </c>
      <c r="R783" s="13">
        <v>45151</v>
      </c>
      <c r="S783">
        <v>2023</v>
      </c>
      <c r="T783" s="12" t="s">
        <v>1343</v>
      </c>
      <c r="U783">
        <v>802</v>
      </c>
      <c r="V783">
        <v>43.709699999999998</v>
      </c>
      <c r="W783">
        <v>396.72</v>
      </c>
      <c r="X783">
        <v>0</v>
      </c>
      <c r="Y783">
        <v>0</v>
      </c>
      <c r="Z783">
        <v>35055.18</v>
      </c>
      <c r="AA783">
        <v>35451.9</v>
      </c>
      <c r="AB783" s="12" t="s">
        <v>980</v>
      </c>
      <c r="AC783">
        <v>43.709699999999998</v>
      </c>
      <c r="AD783">
        <v>1</v>
      </c>
      <c r="AE783">
        <v>1</v>
      </c>
      <c r="AF783">
        <v>0</v>
      </c>
      <c r="AG783">
        <v>35055.18</v>
      </c>
      <c r="AH783">
        <v>802</v>
      </c>
      <c r="AI783">
        <v>800</v>
      </c>
      <c r="AJ783">
        <v>2</v>
      </c>
      <c r="AK783">
        <v>1</v>
      </c>
      <c r="AL783">
        <v>1</v>
      </c>
      <c r="AM783">
        <v>99.75</v>
      </c>
      <c r="AN783">
        <v>44.314900000000002</v>
      </c>
      <c r="AO783">
        <v>87.42</v>
      </c>
      <c r="AP783" s="13">
        <v>45150</v>
      </c>
      <c r="AQ783">
        <v>-1</v>
      </c>
      <c r="AR783">
        <v>1</v>
      </c>
    </row>
    <row r="784" spans="1:44" x14ac:dyDescent="0.35">
      <c r="A784" s="12" t="s">
        <v>1444</v>
      </c>
      <c r="B784" s="12" t="s">
        <v>732</v>
      </c>
      <c r="C784" s="12" t="s">
        <v>733</v>
      </c>
      <c r="D784" s="12" t="s">
        <v>114</v>
      </c>
      <c r="E784" s="12" t="s">
        <v>104</v>
      </c>
      <c r="F784">
        <v>3</v>
      </c>
      <c r="G784">
        <v>1</v>
      </c>
      <c r="H784">
        <v>0</v>
      </c>
      <c r="I784" s="12" t="s">
        <v>199</v>
      </c>
      <c r="J784" s="12" t="s">
        <v>200</v>
      </c>
      <c r="K784" s="12" t="s">
        <v>68</v>
      </c>
      <c r="L784" s="12" t="s">
        <v>96</v>
      </c>
      <c r="M784">
        <v>9.4700000000000006</v>
      </c>
      <c r="N784" s="12" t="s">
        <v>70</v>
      </c>
      <c r="O784" s="12" t="s">
        <v>71</v>
      </c>
      <c r="P784" s="12" t="s">
        <v>72</v>
      </c>
      <c r="Q784" s="13">
        <v>45124</v>
      </c>
      <c r="R784" s="13">
        <v>45146</v>
      </c>
      <c r="S784">
        <v>2023</v>
      </c>
      <c r="T784" s="12" t="s">
        <v>1343</v>
      </c>
      <c r="U784">
        <v>94</v>
      </c>
      <c r="V784">
        <v>314.15269999999998</v>
      </c>
      <c r="W784">
        <v>427.8</v>
      </c>
      <c r="X784">
        <v>0</v>
      </c>
      <c r="Y784">
        <v>0</v>
      </c>
      <c r="Z784">
        <v>29530.35</v>
      </c>
      <c r="AA784">
        <v>29958.15</v>
      </c>
      <c r="AB784" s="12" t="s">
        <v>734</v>
      </c>
      <c r="AC784">
        <v>314.15269999999998</v>
      </c>
      <c r="AD784">
        <v>1</v>
      </c>
      <c r="AE784">
        <v>1</v>
      </c>
      <c r="AF784">
        <v>0</v>
      </c>
      <c r="AG784">
        <v>29530.35</v>
      </c>
      <c r="AH784">
        <v>94</v>
      </c>
      <c r="AI784">
        <v>92</v>
      </c>
      <c r="AJ784">
        <v>2</v>
      </c>
      <c r="AK784">
        <v>1</v>
      </c>
      <c r="AL784">
        <v>1</v>
      </c>
      <c r="AM784">
        <v>97.87</v>
      </c>
      <c r="AN784">
        <v>325.63209999999998</v>
      </c>
      <c r="AO784">
        <v>628.30999999999995</v>
      </c>
      <c r="AP784" s="13">
        <v>45143</v>
      </c>
      <c r="AQ784">
        <v>-3</v>
      </c>
      <c r="AR784">
        <v>1</v>
      </c>
    </row>
    <row r="785" spans="1:44" x14ac:dyDescent="0.35">
      <c r="A785" s="12" t="s">
        <v>1445</v>
      </c>
      <c r="B785" s="12" t="s">
        <v>362</v>
      </c>
      <c r="C785" s="12" t="s">
        <v>363</v>
      </c>
      <c r="D785" s="12" t="s">
        <v>78</v>
      </c>
      <c r="E785" s="12" t="s">
        <v>104</v>
      </c>
      <c r="F785">
        <v>3</v>
      </c>
      <c r="G785">
        <v>0</v>
      </c>
      <c r="H785">
        <v>0</v>
      </c>
      <c r="I785" s="12" t="s">
        <v>157</v>
      </c>
      <c r="J785" s="12" t="s">
        <v>158</v>
      </c>
      <c r="K785" s="12" t="s">
        <v>117</v>
      </c>
      <c r="L785" s="12" t="s">
        <v>96</v>
      </c>
      <c r="M785">
        <v>4.72</v>
      </c>
      <c r="N785" s="12" t="s">
        <v>97</v>
      </c>
      <c r="O785" s="12" t="s">
        <v>98</v>
      </c>
      <c r="P785" s="12" t="s">
        <v>72</v>
      </c>
      <c r="Q785" s="13">
        <v>45124</v>
      </c>
      <c r="R785" s="13">
        <v>45139</v>
      </c>
      <c r="S785">
        <v>2023</v>
      </c>
      <c r="T785" s="12" t="s">
        <v>1343</v>
      </c>
      <c r="U785">
        <v>94</v>
      </c>
      <c r="V785">
        <v>63.140599999999999</v>
      </c>
      <c r="W785">
        <v>117.22</v>
      </c>
      <c r="X785">
        <v>0</v>
      </c>
      <c r="Y785">
        <v>0</v>
      </c>
      <c r="Z785">
        <v>5935.22</v>
      </c>
      <c r="AA785">
        <v>6052.44</v>
      </c>
      <c r="AB785" s="12" t="s">
        <v>364</v>
      </c>
      <c r="AC785">
        <v>63.140599999999999</v>
      </c>
      <c r="AD785">
        <v>1</v>
      </c>
      <c r="AE785">
        <v>1</v>
      </c>
      <c r="AF785">
        <v>0</v>
      </c>
      <c r="AG785">
        <v>5935.22</v>
      </c>
      <c r="AH785">
        <v>94</v>
      </c>
      <c r="AI785">
        <v>93</v>
      </c>
      <c r="AJ785">
        <v>1</v>
      </c>
      <c r="AK785">
        <v>1</v>
      </c>
      <c r="AL785">
        <v>1</v>
      </c>
      <c r="AM785">
        <v>98.94</v>
      </c>
      <c r="AN785">
        <v>65.08</v>
      </c>
      <c r="AO785">
        <v>63.14</v>
      </c>
      <c r="AP785" s="13">
        <v>45137</v>
      </c>
      <c r="AQ785">
        <v>-2</v>
      </c>
      <c r="AR785">
        <v>1</v>
      </c>
    </row>
    <row r="786" spans="1:44" x14ac:dyDescent="0.35">
      <c r="A786" s="12" t="s">
        <v>1446</v>
      </c>
      <c r="B786" s="12" t="s">
        <v>661</v>
      </c>
      <c r="C786" s="12" t="s">
        <v>662</v>
      </c>
      <c r="D786" s="12" t="s">
        <v>175</v>
      </c>
      <c r="E786" s="12" t="s">
        <v>104</v>
      </c>
      <c r="F786">
        <v>1</v>
      </c>
      <c r="G786">
        <v>0</v>
      </c>
      <c r="H786">
        <v>1</v>
      </c>
      <c r="I786" s="12" t="s">
        <v>183</v>
      </c>
      <c r="J786" s="12" t="s">
        <v>184</v>
      </c>
      <c r="K786" s="12" t="s">
        <v>133</v>
      </c>
      <c r="L786" s="12" t="s">
        <v>82</v>
      </c>
      <c r="M786">
        <v>8.6199999999999992</v>
      </c>
      <c r="N786" s="12" t="s">
        <v>107</v>
      </c>
      <c r="O786" s="12" t="s">
        <v>108</v>
      </c>
      <c r="P786" s="12" t="s">
        <v>109</v>
      </c>
      <c r="Q786" s="13">
        <v>45124</v>
      </c>
      <c r="R786" s="13">
        <v>45151</v>
      </c>
      <c r="S786">
        <v>2023</v>
      </c>
      <c r="T786" s="12" t="s">
        <v>1343</v>
      </c>
      <c r="U786">
        <v>128</v>
      </c>
      <c r="V786">
        <v>194.86689999999999</v>
      </c>
      <c r="W786">
        <v>567.63</v>
      </c>
      <c r="X786">
        <v>0</v>
      </c>
      <c r="Y786">
        <v>0</v>
      </c>
      <c r="Z786">
        <v>24942.959999999999</v>
      </c>
      <c r="AA786">
        <v>25510.59</v>
      </c>
      <c r="AB786" s="12" t="s">
        <v>663</v>
      </c>
      <c r="AC786">
        <v>201.68719999999999</v>
      </c>
      <c r="AD786">
        <v>2</v>
      </c>
      <c r="AE786">
        <v>1</v>
      </c>
      <c r="AF786">
        <v>-873</v>
      </c>
      <c r="AG786">
        <v>25815.96</v>
      </c>
      <c r="AH786">
        <v>128</v>
      </c>
      <c r="AI786">
        <v>126</v>
      </c>
      <c r="AJ786">
        <v>2</v>
      </c>
      <c r="AK786">
        <v>1</v>
      </c>
      <c r="AL786">
        <v>1</v>
      </c>
      <c r="AM786">
        <v>98.44</v>
      </c>
      <c r="AN786">
        <v>202.465</v>
      </c>
      <c r="AO786">
        <v>389.73</v>
      </c>
      <c r="AP786" s="13">
        <v>45151</v>
      </c>
      <c r="AQ786">
        <v>0</v>
      </c>
      <c r="AR786">
        <v>1</v>
      </c>
    </row>
    <row r="787" spans="1:44" x14ac:dyDescent="0.35">
      <c r="A787" s="12" t="s">
        <v>1447</v>
      </c>
      <c r="B787" s="12" t="s">
        <v>193</v>
      </c>
      <c r="C787" s="12" t="s">
        <v>194</v>
      </c>
      <c r="D787" s="12" t="s">
        <v>114</v>
      </c>
      <c r="E787" s="12" t="s">
        <v>65</v>
      </c>
      <c r="F787">
        <v>3</v>
      </c>
      <c r="G787">
        <v>4</v>
      </c>
      <c r="H787">
        <v>0</v>
      </c>
      <c r="I787" s="12" t="s">
        <v>199</v>
      </c>
      <c r="J787" s="12" t="s">
        <v>200</v>
      </c>
      <c r="K787" s="12" t="s">
        <v>68</v>
      </c>
      <c r="L787" s="12" t="s">
        <v>96</v>
      </c>
      <c r="M787">
        <v>9.4700000000000006</v>
      </c>
      <c r="N787" s="12" t="s">
        <v>97</v>
      </c>
      <c r="O787" s="12" t="s">
        <v>98</v>
      </c>
      <c r="P787" s="12" t="s">
        <v>72</v>
      </c>
      <c r="Q787" s="13">
        <v>45124</v>
      </c>
      <c r="R787" s="13">
        <v>45159</v>
      </c>
      <c r="S787">
        <v>2023</v>
      </c>
      <c r="T787" s="12" t="s">
        <v>1343</v>
      </c>
      <c r="U787">
        <v>121</v>
      </c>
      <c r="V787">
        <v>115.3069</v>
      </c>
      <c r="W787">
        <v>161.54</v>
      </c>
      <c r="X787">
        <v>0</v>
      </c>
      <c r="Y787">
        <v>0</v>
      </c>
      <c r="Z787">
        <v>13952.13</v>
      </c>
      <c r="AA787">
        <v>14113.67</v>
      </c>
      <c r="AB787" s="12" t="s">
        <v>201</v>
      </c>
      <c r="AD787">
        <v>0</v>
      </c>
      <c r="AE787">
        <v>0</v>
      </c>
      <c r="AH787">
        <v>121</v>
      </c>
      <c r="AI787">
        <v>119</v>
      </c>
      <c r="AJ787">
        <v>2</v>
      </c>
      <c r="AK787">
        <v>1</v>
      </c>
      <c r="AL787">
        <v>1</v>
      </c>
      <c r="AM787">
        <v>98.35</v>
      </c>
      <c r="AN787">
        <v>118.6023</v>
      </c>
      <c r="AO787">
        <v>230.61</v>
      </c>
      <c r="AP787" s="13">
        <v>45158</v>
      </c>
      <c r="AQ787">
        <v>-1</v>
      </c>
      <c r="AR787">
        <v>1</v>
      </c>
    </row>
    <row r="788" spans="1:44" x14ac:dyDescent="0.35">
      <c r="A788" s="12" t="s">
        <v>1448</v>
      </c>
      <c r="B788" s="12" t="s">
        <v>1179</v>
      </c>
      <c r="C788" s="12" t="s">
        <v>1180</v>
      </c>
      <c r="D788" s="12" t="s">
        <v>122</v>
      </c>
      <c r="E788" s="12" t="s">
        <v>142</v>
      </c>
      <c r="F788">
        <v>1</v>
      </c>
      <c r="G788">
        <v>8</v>
      </c>
      <c r="H788">
        <v>1</v>
      </c>
      <c r="I788" s="12" t="s">
        <v>143</v>
      </c>
      <c r="J788" s="12" t="s">
        <v>144</v>
      </c>
      <c r="K788" s="12" t="s">
        <v>133</v>
      </c>
      <c r="L788" s="12" t="s">
        <v>96</v>
      </c>
      <c r="M788">
        <v>5.43</v>
      </c>
      <c r="N788" s="12" t="s">
        <v>97</v>
      </c>
      <c r="O788" s="12" t="s">
        <v>98</v>
      </c>
      <c r="P788" s="12" t="s">
        <v>72</v>
      </c>
      <c r="Q788" s="13">
        <v>45124</v>
      </c>
      <c r="R788" s="13">
        <v>45168</v>
      </c>
      <c r="S788">
        <v>2023</v>
      </c>
      <c r="T788" s="12" t="s">
        <v>1343</v>
      </c>
      <c r="U788">
        <v>1177</v>
      </c>
      <c r="V788">
        <v>52.674799999999998</v>
      </c>
      <c r="W788">
        <v>549.77</v>
      </c>
      <c r="X788">
        <v>0</v>
      </c>
      <c r="Y788">
        <v>0</v>
      </c>
      <c r="Z788">
        <v>61998.239999999998</v>
      </c>
      <c r="AA788">
        <v>62548.01</v>
      </c>
      <c r="AB788" s="12" t="s">
        <v>1181</v>
      </c>
      <c r="AC788">
        <v>52.674799999999998</v>
      </c>
      <c r="AD788">
        <v>1</v>
      </c>
      <c r="AE788">
        <v>1</v>
      </c>
      <c r="AF788">
        <v>0</v>
      </c>
      <c r="AG788">
        <v>61998.239999999998</v>
      </c>
      <c r="AH788">
        <v>1177</v>
      </c>
      <c r="AI788">
        <v>1174</v>
      </c>
      <c r="AJ788">
        <v>3</v>
      </c>
      <c r="AK788">
        <v>1</v>
      </c>
      <c r="AL788">
        <v>1</v>
      </c>
      <c r="AM788">
        <v>99.75</v>
      </c>
      <c r="AN788">
        <v>53.277700000000003</v>
      </c>
      <c r="AO788">
        <v>158.02000000000001</v>
      </c>
      <c r="AP788" s="13">
        <v>45167</v>
      </c>
      <c r="AQ788">
        <v>-1</v>
      </c>
      <c r="AR788">
        <v>1</v>
      </c>
    </row>
    <row r="789" spans="1:44" x14ac:dyDescent="0.35">
      <c r="A789" s="12" t="s">
        <v>1449</v>
      </c>
      <c r="B789" s="12" t="s">
        <v>532</v>
      </c>
      <c r="C789" s="12" t="s">
        <v>533</v>
      </c>
      <c r="D789" s="12" t="s">
        <v>114</v>
      </c>
      <c r="E789" s="12" t="s">
        <v>65</v>
      </c>
      <c r="F789">
        <v>2</v>
      </c>
      <c r="G789">
        <v>3</v>
      </c>
      <c r="H789">
        <v>0</v>
      </c>
      <c r="I789" s="12" t="s">
        <v>105</v>
      </c>
      <c r="J789" s="12" t="s">
        <v>106</v>
      </c>
      <c r="K789" s="12" t="s">
        <v>81</v>
      </c>
      <c r="L789" s="12" t="s">
        <v>96</v>
      </c>
      <c r="M789">
        <v>5.01</v>
      </c>
      <c r="N789" s="12" t="s">
        <v>70</v>
      </c>
      <c r="O789" s="12" t="s">
        <v>71</v>
      </c>
      <c r="P789" s="12" t="s">
        <v>72</v>
      </c>
      <c r="Q789" s="13">
        <v>45124</v>
      </c>
      <c r="R789" s="13">
        <v>45150</v>
      </c>
      <c r="S789">
        <v>2023</v>
      </c>
      <c r="T789" s="12" t="s">
        <v>1343</v>
      </c>
      <c r="U789">
        <v>49</v>
      </c>
      <c r="V789">
        <v>250.00970000000001</v>
      </c>
      <c r="W789">
        <v>224.8</v>
      </c>
      <c r="X789">
        <v>0</v>
      </c>
      <c r="Y789">
        <v>0</v>
      </c>
      <c r="Z789">
        <v>12250.48</v>
      </c>
      <c r="AA789">
        <v>12475.28</v>
      </c>
      <c r="AB789" s="12" t="s">
        <v>534</v>
      </c>
      <c r="AC789">
        <v>250.00970000000001</v>
      </c>
      <c r="AD789">
        <v>1</v>
      </c>
      <c r="AE789">
        <v>1</v>
      </c>
      <c r="AF789">
        <v>0</v>
      </c>
      <c r="AG789">
        <v>12250.48</v>
      </c>
      <c r="AH789">
        <v>49</v>
      </c>
      <c r="AI789">
        <v>48</v>
      </c>
      <c r="AJ789">
        <v>1</v>
      </c>
      <c r="AK789">
        <v>1</v>
      </c>
      <c r="AL789">
        <v>1</v>
      </c>
      <c r="AM789">
        <v>97.96</v>
      </c>
      <c r="AN789">
        <v>259.90159999999997</v>
      </c>
      <c r="AO789">
        <v>250.01</v>
      </c>
      <c r="AP789" s="13">
        <v>45147</v>
      </c>
      <c r="AQ789">
        <v>-3</v>
      </c>
      <c r="AR789">
        <v>1</v>
      </c>
    </row>
    <row r="790" spans="1:44" x14ac:dyDescent="0.35">
      <c r="A790" s="12" t="s">
        <v>1450</v>
      </c>
      <c r="B790" s="12" t="s">
        <v>712</v>
      </c>
      <c r="C790" s="12" t="s">
        <v>713</v>
      </c>
      <c r="D790" s="12" t="s">
        <v>103</v>
      </c>
      <c r="E790" s="12" t="s">
        <v>104</v>
      </c>
      <c r="F790">
        <v>2</v>
      </c>
      <c r="G790">
        <v>0</v>
      </c>
      <c r="H790">
        <v>0</v>
      </c>
      <c r="I790" s="12" t="s">
        <v>105</v>
      </c>
      <c r="J790" s="12" t="s">
        <v>106</v>
      </c>
      <c r="K790" s="12" t="s">
        <v>81</v>
      </c>
      <c r="L790" s="12" t="s">
        <v>96</v>
      </c>
      <c r="M790">
        <v>5.01</v>
      </c>
      <c r="N790" s="12" t="s">
        <v>145</v>
      </c>
      <c r="O790" s="12" t="s">
        <v>146</v>
      </c>
      <c r="P790" s="12" t="s">
        <v>109</v>
      </c>
      <c r="Q790" s="13">
        <v>45124</v>
      </c>
      <c r="R790" s="13">
        <v>45144</v>
      </c>
      <c r="S790">
        <v>2023</v>
      </c>
      <c r="T790" s="12" t="s">
        <v>1343</v>
      </c>
      <c r="U790">
        <v>73</v>
      </c>
      <c r="V790">
        <v>202.47229999999999</v>
      </c>
      <c r="W790">
        <v>189.38</v>
      </c>
      <c r="X790">
        <v>0</v>
      </c>
      <c r="Y790">
        <v>0</v>
      </c>
      <c r="Z790">
        <v>14780.48</v>
      </c>
      <c r="AA790">
        <v>14969.86</v>
      </c>
      <c r="AB790" s="12" t="s">
        <v>1451</v>
      </c>
      <c r="AC790">
        <v>202.47229999999999</v>
      </c>
      <c r="AD790">
        <v>1</v>
      </c>
      <c r="AE790">
        <v>1</v>
      </c>
      <c r="AF790">
        <v>0</v>
      </c>
      <c r="AG790">
        <v>14780.48</v>
      </c>
      <c r="AH790">
        <v>73</v>
      </c>
      <c r="AI790">
        <v>73</v>
      </c>
      <c r="AJ790">
        <v>0</v>
      </c>
      <c r="AK790">
        <v>1</v>
      </c>
      <c r="AL790">
        <v>1</v>
      </c>
      <c r="AM790">
        <v>100</v>
      </c>
      <c r="AN790">
        <v>205.06649999999999</v>
      </c>
      <c r="AO790">
        <v>0</v>
      </c>
      <c r="AP790" s="13">
        <v>45144</v>
      </c>
      <c r="AQ790">
        <v>0</v>
      </c>
      <c r="AR790">
        <v>1</v>
      </c>
    </row>
    <row r="791" spans="1:44" x14ac:dyDescent="0.35">
      <c r="A791" s="12" t="s">
        <v>1452</v>
      </c>
      <c r="B791" s="12" t="s">
        <v>323</v>
      </c>
      <c r="C791" s="12" t="s">
        <v>324</v>
      </c>
      <c r="D791" s="12" t="s">
        <v>64</v>
      </c>
      <c r="E791" s="12" t="s">
        <v>142</v>
      </c>
      <c r="F791">
        <v>1</v>
      </c>
      <c r="G791">
        <v>7</v>
      </c>
      <c r="H791">
        <v>1</v>
      </c>
      <c r="I791" s="12" t="s">
        <v>143</v>
      </c>
      <c r="J791" s="12" t="s">
        <v>144</v>
      </c>
      <c r="K791" s="12" t="s">
        <v>133</v>
      </c>
      <c r="L791" s="12" t="s">
        <v>96</v>
      </c>
      <c r="M791">
        <v>5.43</v>
      </c>
      <c r="N791" s="12" t="s">
        <v>70</v>
      </c>
      <c r="O791" s="12" t="s">
        <v>71</v>
      </c>
      <c r="P791" s="12" t="s">
        <v>72</v>
      </c>
      <c r="Q791" s="13">
        <v>45124</v>
      </c>
      <c r="R791" s="13">
        <v>45169</v>
      </c>
      <c r="S791">
        <v>2023</v>
      </c>
      <c r="T791" s="12" t="s">
        <v>1343</v>
      </c>
      <c r="U791">
        <v>624</v>
      </c>
      <c r="V791">
        <v>39.503399999999999</v>
      </c>
      <c r="W791">
        <v>521.01</v>
      </c>
      <c r="X791">
        <v>764.6</v>
      </c>
      <c r="Y791">
        <v>1</v>
      </c>
      <c r="Z791">
        <v>24650.12</v>
      </c>
      <c r="AA791">
        <v>25935.73</v>
      </c>
      <c r="AB791" s="12" t="s">
        <v>325</v>
      </c>
      <c r="AC791">
        <v>39.503399999999999</v>
      </c>
      <c r="AD791">
        <v>1</v>
      </c>
      <c r="AE791">
        <v>1</v>
      </c>
      <c r="AF791">
        <v>0</v>
      </c>
      <c r="AG791">
        <v>24650.12</v>
      </c>
      <c r="AH791">
        <v>624</v>
      </c>
      <c r="AI791">
        <v>620</v>
      </c>
      <c r="AJ791">
        <v>4</v>
      </c>
      <c r="AK791">
        <v>1</v>
      </c>
      <c r="AL791">
        <v>1</v>
      </c>
      <c r="AM791">
        <v>99.36</v>
      </c>
      <c r="AN791">
        <v>41.831800000000001</v>
      </c>
      <c r="AO791">
        <v>158.01</v>
      </c>
      <c r="AP791" s="13">
        <v>45166</v>
      </c>
      <c r="AQ791">
        <v>-3</v>
      </c>
      <c r="AR791">
        <v>1</v>
      </c>
    </row>
    <row r="792" spans="1:44" x14ac:dyDescent="0.35">
      <c r="A792" s="12" t="s">
        <v>1453</v>
      </c>
      <c r="B792" s="12" t="s">
        <v>1433</v>
      </c>
      <c r="C792" s="12" t="s">
        <v>1434</v>
      </c>
      <c r="D792" s="12" t="s">
        <v>269</v>
      </c>
      <c r="E792" s="12" t="s">
        <v>65</v>
      </c>
      <c r="F792">
        <v>3</v>
      </c>
      <c r="G792">
        <v>5</v>
      </c>
      <c r="H792">
        <v>0</v>
      </c>
      <c r="I792" s="12" t="s">
        <v>223</v>
      </c>
      <c r="J792" s="12" t="s">
        <v>224</v>
      </c>
      <c r="K792" s="12" t="s">
        <v>81</v>
      </c>
      <c r="L792" s="12" t="s">
        <v>134</v>
      </c>
      <c r="M792">
        <v>2.4900000000000002</v>
      </c>
      <c r="N792" s="12" t="s">
        <v>135</v>
      </c>
      <c r="O792" s="12" t="s">
        <v>136</v>
      </c>
      <c r="P792" s="12" t="s">
        <v>137</v>
      </c>
      <c r="Q792" s="13">
        <v>45124</v>
      </c>
      <c r="R792" s="13">
        <v>45158</v>
      </c>
      <c r="S792">
        <v>2023</v>
      </c>
      <c r="T792" s="12" t="s">
        <v>1343</v>
      </c>
      <c r="U792">
        <v>118</v>
      </c>
      <c r="V792">
        <v>457.42090000000002</v>
      </c>
      <c r="W792">
        <v>738.42</v>
      </c>
      <c r="X792">
        <v>0</v>
      </c>
      <c r="Y792">
        <v>0</v>
      </c>
      <c r="Z792">
        <v>53975.67</v>
      </c>
      <c r="AA792">
        <v>54714.09</v>
      </c>
      <c r="AB792" s="12" t="s">
        <v>1435</v>
      </c>
      <c r="AC792">
        <v>457.42090000000002</v>
      </c>
      <c r="AD792">
        <v>1</v>
      </c>
      <c r="AE792">
        <v>1</v>
      </c>
      <c r="AF792">
        <v>0</v>
      </c>
      <c r="AG792">
        <v>53975.67</v>
      </c>
      <c r="AH792">
        <v>118</v>
      </c>
      <c r="AI792">
        <v>118</v>
      </c>
      <c r="AJ792">
        <v>0</v>
      </c>
      <c r="AK792">
        <v>1</v>
      </c>
      <c r="AL792">
        <v>1</v>
      </c>
      <c r="AM792">
        <v>100</v>
      </c>
      <c r="AN792">
        <v>463.67869999999999</v>
      </c>
      <c r="AO792">
        <v>0</v>
      </c>
      <c r="AP792" s="13">
        <v>45156</v>
      </c>
      <c r="AQ792">
        <v>-2</v>
      </c>
      <c r="AR792">
        <v>1</v>
      </c>
    </row>
    <row r="793" spans="1:44" x14ac:dyDescent="0.35">
      <c r="A793" s="12" t="s">
        <v>1454</v>
      </c>
      <c r="B793" s="12" t="s">
        <v>404</v>
      </c>
      <c r="C793" s="12" t="s">
        <v>405</v>
      </c>
      <c r="D793" s="12" t="s">
        <v>269</v>
      </c>
      <c r="E793" s="12" t="s">
        <v>65</v>
      </c>
      <c r="F793">
        <v>3</v>
      </c>
      <c r="G793">
        <v>5</v>
      </c>
      <c r="H793">
        <v>0</v>
      </c>
      <c r="I793" s="12" t="s">
        <v>79</v>
      </c>
      <c r="J793" s="12" t="s">
        <v>80</v>
      </c>
      <c r="K793" s="12" t="s">
        <v>81</v>
      </c>
      <c r="L793" s="12" t="s">
        <v>82</v>
      </c>
      <c r="M793">
        <v>12.07</v>
      </c>
      <c r="N793" s="12" t="s">
        <v>135</v>
      </c>
      <c r="O793" s="12" t="s">
        <v>136</v>
      </c>
      <c r="P793" s="12" t="s">
        <v>137</v>
      </c>
      <c r="Q793" s="13">
        <v>45125</v>
      </c>
      <c r="R793" s="13">
        <v>45150</v>
      </c>
      <c r="S793">
        <v>2023</v>
      </c>
      <c r="T793" s="12" t="s">
        <v>1343</v>
      </c>
      <c r="U793">
        <v>47</v>
      </c>
      <c r="V793">
        <v>404.94970000000001</v>
      </c>
      <c r="W793">
        <v>470.65</v>
      </c>
      <c r="X793">
        <v>0</v>
      </c>
      <c r="Y793">
        <v>0</v>
      </c>
      <c r="Z793">
        <v>19032.64</v>
      </c>
      <c r="AA793">
        <v>19503.29</v>
      </c>
      <c r="AB793" s="12" t="s">
        <v>406</v>
      </c>
      <c r="AC793">
        <v>430.41070000000002</v>
      </c>
      <c r="AD793">
        <v>1</v>
      </c>
      <c r="AE793">
        <v>1</v>
      </c>
      <c r="AF793">
        <v>-1196.67</v>
      </c>
      <c r="AG793">
        <v>20229.3</v>
      </c>
      <c r="AH793">
        <v>47</v>
      </c>
      <c r="AI793">
        <v>47</v>
      </c>
      <c r="AJ793">
        <v>0</v>
      </c>
      <c r="AK793">
        <v>1</v>
      </c>
      <c r="AL793">
        <v>1</v>
      </c>
      <c r="AM793">
        <v>100</v>
      </c>
      <c r="AN793">
        <v>414.96350000000001</v>
      </c>
      <c r="AO793">
        <v>0</v>
      </c>
      <c r="AP793" s="13">
        <v>45155</v>
      </c>
      <c r="AQ793">
        <v>5</v>
      </c>
      <c r="AR793">
        <v>0</v>
      </c>
    </row>
    <row r="794" spans="1:44" x14ac:dyDescent="0.35">
      <c r="A794" s="12" t="s">
        <v>1455</v>
      </c>
      <c r="B794" s="12" t="s">
        <v>1034</v>
      </c>
      <c r="C794" s="12" t="s">
        <v>1035</v>
      </c>
      <c r="D794" s="12" t="s">
        <v>64</v>
      </c>
      <c r="E794" s="12" t="s">
        <v>104</v>
      </c>
      <c r="F794">
        <v>2</v>
      </c>
      <c r="G794">
        <v>0</v>
      </c>
      <c r="H794">
        <v>0</v>
      </c>
      <c r="I794" s="12" t="s">
        <v>157</v>
      </c>
      <c r="J794" s="12" t="s">
        <v>158</v>
      </c>
      <c r="K794" s="12" t="s">
        <v>117</v>
      </c>
      <c r="L794" s="12" t="s">
        <v>96</v>
      </c>
      <c r="M794">
        <v>4.72</v>
      </c>
      <c r="N794" s="12" t="s">
        <v>70</v>
      </c>
      <c r="O794" s="12" t="s">
        <v>71</v>
      </c>
      <c r="P794" s="12" t="s">
        <v>72</v>
      </c>
      <c r="Q794" s="13">
        <v>45125</v>
      </c>
      <c r="R794" s="13">
        <v>45147</v>
      </c>
      <c r="S794">
        <v>2023</v>
      </c>
      <c r="T794" s="12" t="s">
        <v>1343</v>
      </c>
      <c r="U794">
        <v>636</v>
      </c>
      <c r="V794">
        <v>9.9979999999999993</v>
      </c>
      <c r="W794">
        <v>53.41</v>
      </c>
      <c r="X794">
        <v>0</v>
      </c>
      <c r="Y794">
        <v>0</v>
      </c>
      <c r="Z794">
        <v>6358.73</v>
      </c>
      <c r="AA794">
        <v>6412.14</v>
      </c>
      <c r="AB794" s="12" t="s">
        <v>1036</v>
      </c>
      <c r="AC794">
        <v>9.9979999999999993</v>
      </c>
      <c r="AD794">
        <v>1</v>
      </c>
      <c r="AE794">
        <v>1</v>
      </c>
      <c r="AF794">
        <v>0</v>
      </c>
      <c r="AG794">
        <v>6358.73</v>
      </c>
      <c r="AH794">
        <v>636</v>
      </c>
      <c r="AI794">
        <v>632</v>
      </c>
      <c r="AJ794">
        <v>4</v>
      </c>
      <c r="AK794">
        <v>1</v>
      </c>
      <c r="AL794">
        <v>1</v>
      </c>
      <c r="AM794">
        <v>99.37</v>
      </c>
      <c r="AN794">
        <v>10.145799999999999</v>
      </c>
      <c r="AO794">
        <v>39.99</v>
      </c>
      <c r="AP794" s="13">
        <v>45144</v>
      </c>
      <c r="AQ794">
        <v>-3</v>
      </c>
      <c r="AR794">
        <v>1</v>
      </c>
    </row>
    <row r="795" spans="1:44" x14ac:dyDescent="0.35">
      <c r="A795" s="12" t="s">
        <v>1456</v>
      </c>
      <c r="B795" s="12" t="s">
        <v>503</v>
      </c>
      <c r="C795" s="12" t="s">
        <v>504</v>
      </c>
      <c r="D795" s="12" t="s">
        <v>103</v>
      </c>
      <c r="E795" s="12" t="s">
        <v>104</v>
      </c>
      <c r="F795">
        <v>3</v>
      </c>
      <c r="G795">
        <v>1</v>
      </c>
      <c r="H795">
        <v>0</v>
      </c>
      <c r="I795" s="12" t="s">
        <v>94</v>
      </c>
      <c r="J795" s="12" t="s">
        <v>95</v>
      </c>
      <c r="K795" s="12" t="s">
        <v>81</v>
      </c>
      <c r="L795" s="12" t="s">
        <v>96</v>
      </c>
      <c r="M795">
        <v>4.8099999999999996</v>
      </c>
      <c r="N795" s="12" t="s">
        <v>145</v>
      </c>
      <c r="O795" s="12" t="s">
        <v>146</v>
      </c>
      <c r="P795" s="12" t="s">
        <v>109</v>
      </c>
      <c r="Q795" s="13">
        <v>45125</v>
      </c>
      <c r="R795" s="13">
        <v>45150</v>
      </c>
      <c r="S795">
        <v>2023</v>
      </c>
      <c r="T795" s="12" t="s">
        <v>1343</v>
      </c>
      <c r="U795">
        <v>114</v>
      </c>
      <c r="V795">
        <v>179.78540000000001</v>
      </c>
      <c r="W795">
        <v>297.79000000000002</v>
      </c>
      <c r="X795">
        <v>0</v>
      </c>
      <c r="Y795">
        <v>0</v>
      </c>
      <c r="Z795">
        <v>20495.54</v>
      </c>
      <c r="AA795">
        <v>20793.330000000002</v>
      </c>
      <c r="AB795" s="12" t="s">
        <v>201</v>
      </c>
      <c r="AD795">
        <v>0</v>
      </c>
      <c r="AE795">
        <v>0</v>
      </c>
      <c r="AH795">
        <v>114</v>
      </c>
      <c r="AI795">
        <v>112</v>
      </c>
      <c r="AJ795">
        <v>2</v>
      </c>
      <c r="AK795">
        <v>1</v>
      </c>
      <c r="AL795">
        <v>1</v>
      </c>
      <c r="AM795">
        <v>98.25</v>
      </c>
      <c r="AN795">
        <v>185.65469999999999</v>
      </c>
      <c r="AO795">
        <v>359.57</v>
      </c>
      <c r="AP795" s="13">
        <v>45147</v>
      </c>
      <c r="AQ795">
        <v>-3</v>
      </c>
      <c r="AR795">
        <v>1</v>
      </c>
    </row>
    <row r="796" spans="1:44" x14ac:dyDescent="0.35">
      <c r="A796" s="12" t="s">
        <v>1457</v>
      </c>
      <c r="B796" s="12" t="s">
        <v>120</v>
      </c>
      <c r="C796" s="12" t="s">
        <v>121</v>
      </c>
      <c r="D796" s="12" t="s">
        <v>122</v>
      </c>
      <c r="E796" s="12" t="s">
        <v>65</v>
      </c>
      <c r="F796">
        <v>3</v>
      </c>
      <c r="G796">
        <v>4</v>
      </c>
      <c r="H796">
        <v>0</v>
      </c>
      <c r="I796" s="12" t="s">
        <v>123</v>
      </c>
      <c r="J796" s="12" t="s">
        <v>124</v>
      </c>
      <c r="K796" s="12" t="s">
        <v>125</v>
      </c>
      <c r="L796" s="12" t="s">
        <v>82</v>
      </c>
      <c r="M796">
        <v>6.75</v>
      </c>
      <c r="N796" s="12" t="s">
        <v>70</v>
      </c>
      <c r="O796" s="12" t="s">
        <v>71</v>
      </c>
      <c r="P796" s="12" t="s">
        <v>72</v>
      </c>
      <c r="Q796" s="13">
        <v>45125</v>
      </c>
      <c r="R796" s="13">
        <v>45151</v>
      </c>
      <c r="S796">
        <v>2023</v>
      </c>
      <c r="T796" s="12" t="s">
        <v>1343</v>
      </c>
      <c r="U796">
        <v>780</v>
      </c>
      <c r="V796">
        <v>58.140599999999999</v>
      </c>
      <c r="W796">
        <v>588.14</v>
      </c>
      <c r="X796">
        <v>0</v>
      </c>
      <c r="Y796">
        <v>0</v>
      </c>
      <c r="Z796">
        <v>45349.67</v>
      </c>
      <c r="AA796">
        <v>45937.81</v>
      </c>
      <c r="AB796" s="12" t="s">
        <v>126</v>
      </c>
      <c r="AC796">
        <v>55.544699999999999</v>
      </c>
      <c r="AD796">
        <v>1</v>
      </c>
      <c r="AE796">
        <v>1</v>
      </c>
      <c r="AF796">
        <v>2024.8</v>
      </c>
      <c r="AG796">
        <v>43324.87</v>
      </c>
      <c r="AH796">
        <v>780</v>
      </c>
      <c r="AI796">
        <v>774</v>
      </c>
      <c r="AJ796">
        <v>6</v>
      </c>
      <c r="AK796">
        <v>1</v>
      </c>
      <c r="AL796">
        <v>1</v>
      </c>
      <c r="AM796">
        <v>99.23</v>
      </c>
      <c r="AN796">
        <v>59.351199999999999</v>
      </c>
      <c r="AO796">
        <v>348.84</v>
      </c>
      <c r="AP796" s="13">
        <v>45148</v>
      </c>
      <c r="AQ796">
        <v>-3</v>
      </c>
      <c r="AR796">
        <v>1</v>
      </c>
    </row>
    <row r="797" spans="1:44" x14ac:dyDescent="0.35">
      <c r="A797" s="12" t="s">
        <v>1458</v>
      </c>
      <c r="B797" s="12" t="s">
        <v>357</v>
      </c>
      <c r="C797" s="12" t="s">
        <v>358</v>
      </c>
      <c r="D797" s="12" t="s">
        <v>103</v>
      </c>
      <c r="E797" s="12" t="s">
        <v>104</v>
      </c>
      <c r="F797">
        <v>3</v>
      </c>
      <c r="G797">
        <v>1</v>
      </c>
      <c r="H797">
        <v>0</v>
      </c>
      <c r="I797" s="12" t="s">
        <v>105</v>
      </c>
      <c r="J797" s="12" t="s">
        <v>106</v>
      </c>
      <c r="K797" s="12" t="s">
        <v>81</v>
      </c>
      <c r="L797" s="12" t="s">
        <v>96</v>
      </c>
      <c r="M797">
        <v>5.01</v>
      </c>
      <c r="N797" s="12" t="s">
        <v>145</v>
      </c>
      <c r="O797" s="12" t="s">
        <v>146</v>
      </c>
      <c r="P797" s="12" t="s">
        <v>109</v>
      </c>
      <c r="Q797" s="13">
        <v>45125</v>
      </c>
      <c r="R797" s="13">
        <v>45153</v>
      </c>
      <c r="S797">
        <v>2023</v>
      </c>
      <c r="T797" s="12" t="s">
        <v>1343</v>
      </c>
      <c r="U797">
        <v>141</v>
      </c>
      <c r="V797">
        <v>106.6914</v>
      </c>
      <c r="W797">
        <v>378.85</v>
      </c>
      <c r="X797">
        <v>0</v>
      </c>
      <c r="Y797">
        <v>0</v>
      </c>
      <c r="Z797">
        <v>15043.49</v>
      </c>
      <c r="AA797">
        <v>15422.34</v>
      </c>
      <c r="AB797" s="12" t="s">
        <v>882</v>
      </c>
      <c r="AC797">
        <v>106.6914</v>
      </c>
      <c r="AD797">
        <v>1</v>
      </c>
      <c r="AE797">
        <v>1</v>
      </c>
      <c r="AF797">
        <v>0</v>
      </c>
      <c r="AG797">
        <v>15043.49</v>
      </c>
      <c r="AH797">
        <v>141</v>
      </c>
      <c r="AI797">
        <v>139</v>
      </c>
      <c r="AJ797">
        <v>2</v>
      </c>
      <c r="AK797">
        <v>1</v>
      </c>
      <c r="AL797">
        <v>1</v>
      </c>
      <c r="AM797">
        <v>98.58</v>
      </c>
      <c r="AN797">
        <v>110.9521</v>
      </c>
      <c r="AO797">
        <v>213.38</v>
      </c>
      <c r="AP797" s="13">
        <v>45150</v>
      </c>
      <c r="AQ797">
        <v>-3</v>
      </c>
      <c r="AR797">
        <v>1</v>
      </c>
    </row>
    <row r="798" spans="1:44" x14ac:dyDescent="0.35">
      <c r="A798" s="12" t="s">
        <v>1459</v>
      </c>
      <c r="B798" s="12" t="s">
        <v>267</v>
      </c>
      <c r="C798" s="12" t="s">
        <v>268</v>
      </c>
      <c r="D798" s="12" t="s">
        <v>269</v>
      </c>
      <c r="E798" s="12" t="s">
        <v>142</v>
      </c>
      <c r="F798">
        <v>1</v>
      </c>
      <c r="G798">
        <v>8</v>
      </c>
      <c r="H798">
        <v>1</v>
      </c>
      <c r="I798" s="12" t="s">
        <v>94</v>
      </c>
      <c r="J798" s="12" t="s">
        <v>95</v>
      </c>
      <c r="K798" s="12" t="s">
        <v>81</v>
      </c>
      <c r="L798" s="12" t="s">
        <v>96</v>
      </c>
      <c r="M798">
        <v>4.8099999999999996</v>
      </c>
      <c r="N798" s="12" t="s">
        <v>159</v>
      </c>
      <c r="O798" s="12" t="s">
        <v>160</v>
      </c>
      <c r="P798" s="12" t="s">
        <v>137</v>
      </c>
      <c r="Q798" s="13">
        <v>45125</v>
      </c>
      <c r="R798" s="13">
        <v>45164</v>
      </c>
      <c r="S798">
        <v>2023</v>
      </c>
      <c r="T798" s="12" t="s">
        <v>1343</v>
      </c>
      <c r="U798">
        <v>47</v>
      </c>
      <c r="V798">
        <v>255.8006</v>
      </c>
      <c r="W798">
        <v>215.61</v>
      </c>
      <c r="X798">
        <v>0</v>
      </c>
      <c r="Y798">
        <v>0</v>
      </c>
      <c r="Z798">
        <v>12022.63</v>
      </c>
      <c r="AA798">
        <v>12238.24</v>
      </c>
      <c r="AB798" s="12" t="s">
        <v>270</v>
      </c>
      <c r="AC798">
        <v>247.31829999999999</v>
      </c>
      <c r="AD798">
        <v>1</v>
      </c>
      <c r="AE798">
        <v>1</v>
      </c>
      <c r="AF798">
        <v>398.67</v>
      </c>
      <c r="AG798">
        <v>11623.96</v>
      </c>
      <c r="AH798">
        <v>47</v>
      </c>
      <c r="AI798">
        <v>47</v>
      </c>
      <c r="AJ798">
        <v>0</v>
      </c>
      <c r="AK798">
        <v>1</v>
      </c>
      <c r="AL798">
        <v>1</v>
      </c>
      <c r="AM798">
        <v>100</v>
      </c>
      <c r="AN798">
        <v>260.38799999999998</v>
      </c>
      <c r="AO798">
        <v>0</v>
      </c>
      <c r="AP798" s="13">
        <v>45171</v>
      </c>
      <c r="AQ798">
        <v>7</v>
      </c>
      <c r="AR798">
        <v>0</v>
      </c>
    </row>
    <row r="799" spans="1:44" x14ac:dyDescent="0.35">
      <c r="A799" s="12" t="s">
        <v>1460</v>
      </c>
      <c r="B799" s="12" t="s">
        <v>661</v>
      </c>
      <c r="C799" s="12" t="s">
        <v>662</v>
      </c>
      <c r="D799" s="12" t="s">
        <v>175</v>
      </c>
      <c r="E799" s="12" t="s">
        <v>104</v>
      </c>
      <c r="F799">
        <v>1</v>
      </c>
      <c r="G799">
        <v>0</v>
      </c>
      <c r="H799">
        <v>1</v>
      </c>
      <c r="I799" s="12" t="s">
        <v>183</v>
      </c>
      <c r="J799" s="12" t="s">
        <v>184</v>
      </c>
      <c r="K799" s="12" t="s">
        <v>133</v>
      </c>
      <c r="L799" s="12" t="s">
        <v>82</v>
      </c>
      <c r="M799">
        <v>8.6199999999999992</v>
      </c>
      <c r="N799" s="12" t="s">
        <v>145</v>
      </c>
      <c r="O799" s="12" t="s">
        <v>146</v>
      </c>
      <c r="P799" s="12" t="s">
        <v>109</v>
      </c>
      <c r="Q799" s="13">
        <v>45125</v>
      </c>
      <c r="R799" s="13">
        <v>45153</v>
      </c>
      <c r="S799">
        <v>2023</v>
      </c>
      <c r="T799" s="12" t="s">
        <v>1343</v>
      </c>
      <c r="U799">
        <v>139</v>
      </c>
      <c r="V799">
        <v>194.86689999999999</v>
      </c>
      <c r="W799">
        <v>548.53</v>
      </c>
      <c r="X799">
        <v>0</v>
      </c>
      <c r="Y799">
        <v>0</v>
      </c>
      <c r="Z799">
        <v>27086.5</v>
      </c>
      <c r="AA799">
        <v>27635.03</v>
      </c>
      <c r="AB799" s="12" t="s">
        <v>663</v>
      </c>
      <c r="AC799">
        <v>201.68719999999999</v>
      </c>
      <c r="AD799">
        <v>2</v>
      </c>
      <c r="AE799">
        <v>1</v>
      </c>
      <c r="AF799">
        <v>-948.02</v>
      </c>
      <c r="AG799">
        <v>28034.52</v>
      </c>
      <c r="AH799">
        <v>139</v>
      </c>
      <c r="AI799">
        <v>137</v>
      </c>
      <c r="AJ799">
        <v>2</v>
      </c>
      <c r="AK799">
        <v>1</v>
      </c>
      <c r="AL799">
        <v>1</v>
      </c>
      <c r="AM799">
        <v>98.56</v>
      </c>
      <c r="AN799">
        <v>201.71549999999999</v>
      </c>
      <c r="AO799">
        <v>389.73</v>
      </c>
      <c r="AP799" s="13">
        <v>45151</v>
      </c>
      <c r="AQ799">
        <v>-2</v>
      </c>
      <c r="AR799">
        <v>1</v>
      </c>
    </row>
    <row r="800" spans="1:44" x14ac:dyDescent="0.35">
      <c r="A800" s="12" t="s">
        <v>1461</v>
      </c>
      <c r="B800" s="12" t="s">
        <v>85</v>
      </c>
      <c r="C800" s="12" t="s">
        <v>86</v>
      </c>
      <c r="D800" s="12" t="s">
        <v>78</v>
      </c>
      <c r="E800" s="12" t="s">
        <v>65</v>
      </c>
      <c r="F800">
        <v>3</v>
      </c>
      <c r="G800">
        <v>5</v>
      </c>
      <c r="H800">
        <v>0</v>
      </c>
      <c r="I800" s="12" t="s">
        <v>87</v>
      </c>
      <c r="J800" s="12" t="s">
        <v>88</v>
      </c>
      <c r="K800" s="12" t="s">
        <v>89</v>
      </c>
      <c r="L800" s="12" t="s">
        <v>69</v>
      </c>
      <c r="M800">
        <v>14.93</v>
      </c>
      <c r="N800" s="12" t="s">
        <v>70</v>
      </c>
      <c r="O800" s="12" t="s">
        <v>71</v>
      </c>
      <c r="P800" s="12" t="s">
        <v>72</v>
      </c>
      <c r="Q800" s="13">
        <v>45125</v>
      </c>
      <c r="R800" s="13">
        <v>45163</v>
      </c>
      <c r="S800">
        <v>2023</v>
      </c>
      <c r="T800" s="12" t="s">
        <v>1343</v>
      </c>
      <c r="U800">
        <v>288</v>
      </c>
      <c r="V800">
        <v>147.55000000000001</v>
      </c>
      <c r="W800">
        <v>857.27</v>
      </c>
      <c r="X800">
        <v>0</v>
      </c>
      <c r="Y800">
        <v>0</v>
      </c>
      <c r="Z800">
        <v>42494.400000000001</v>
      </c>
      <c r="AA800">
        <v>43351.67</v>
      </c>
      <c r="AB800" s="12" t="s">
        <v>90</v>
      </c>
      <c r="AC800">
        <v>147.55000000000001</v>
      </c>
      <c r="AD800">
        <v>1</v>
      </c>
      <c r="AE800">
        <v>1</v>
      </c>
      <c r="AF800">
        <v>0</v>
      </c>
      <c r="AG800">
        <v>42494.400000000001</v>
      </c>
      <c r="AH800">
        <v>288</v>
      </c>
      <c r="AI800">
        <v>282</v>
      </c>
      <c r="AJ800">
        <v>6</v>
      </c>
      <c r="AK800">
        <v>1</v>
      </c>
      <c r="AL800">
        <v>1</v>
      </c>
      <c r="AM800">
        <v>97.92</v>
      </c>
      <c r="AN800">
        <v>153.72929999999999</v>
      </c>
      <c r="AO800">
        <v>885.3</v>
      </c>
      <c r="AP800" s="13">
        <v>45172</v>
      </c>
      <c r="AQ800">
        <v>9</v>
      </c>
      <c r="AR800">
        <v>0</v>
      </c>
    </row>
    <row r="801" spans="1:44" x14ac:dyDescent="0.35">
      <c r="A801" s="12" t="s">
        <v>1462</v>
      </c>
      <c r="B801" s="12" t="s">
        <v>902</v>
      </c>
      <c r="C801" s="12" t="s">
        <v>903</v>
      </c>
      <c r="D801" s="12" t="s">
        <v>122</v>
      </c>
      <c r="E801" s="12" t="s">
        <v>142</v>
      </c>
      <c r="F801">
        <v>1</v>
      </c>
      <c r="G801">
        <v>6</v>
      </c>
      <c r="H801">
        <v>1</v>
      </c>
      <c r="I801" s="12" t="s">
        <v>105</v>
      </c>
      <c r="J801" s="12" t="s">
        <v>106</v>
      </c>
      <c r="K801" s="12" t="s">
        <v>81</v>
      </c>
      <c r="L801" s="12" t="s">
        <v>96</v>
      </c>
      <c r="M801">
        <v>5.01</v>
      </c>
      <c r="N801" s="12" t="s">
        <v>97</v>
      </c>
      <c r="O801" s="12" t="s">
        <v>98</v>
      </c>
      <c r="P801" s="12" t="s">
        <v>72</v>
      </c>
      <c r="Q801" s="13">
        <v>45125</v>
      </c>
      <c r="R801" s="13">
        <v>45163</v>
      </c>
      <c r="S801">
        <v>2023</v>
      </c>
      <c r="T801" s="12" t="s">
        <v>1343</v>
      </c>
      <c r="U801">
        <v>554</v>
      </c>
      <c r="V801">
        <v>39.434800000000003</v>
      </c>
      <c r="W801">
        <v>402.7</v>
      </c>
      <c r="X801">
        <v>0</v>
      </c>
      <c r="Y801">
        <v>0</v>
      </c>
      <c r="Z801">
        <v>21846.880000000001</v>
      </c>
      <c r="AA801">
        <v>22249.58</v>
      </c>
      <c r="AB801" s="12" t="s">
        <v>904</v>
      </c>
      <c r="AC801">
        <v>41.861199999999997</v>
      </c>
      <c r="AD801">
        <v>1</v>
      </c>
      <c r="AE801">
        <v>1</v>
      </c>
      <c r="AF801">
        <v>-1344.23</v>
      </c>
      <c r="AG801">
        <v>23191.1</v>
      </c>
      <c r="AH801">
        <v>554</v>
      </c>
      <c r="AI801">
        <v>547</v>
      </c>
      <c r="AJ801">
        <v>7</v>
      </c>
      <c r="AK801">
        <v>1</v>
      </c>
      <c r="AL801">
        <v>1</v>
      </c>
      <c r="AM801">
        <v>98.74</v>
      </c>
      <c r="AN801">
        <v>40.675600000000003</v>
      </c>
      <c r="AO801">
        <v>276.04000000000002</v>
      </c>
      <c r="AP801" s="13">
        <v>45161</v>
      </c>
      <c r="AQ801">
        <v>-2</v>
      </c>
      <c r="AR801">
        <v>1</v>
      </c>
    </row>
    <row r="802" spans="1:44" x14ac:dyDescent="0.35">
      <c r="A802" s="12" t="s">
        <v>1463</v>
      </c>
      <c r="B802" s="12" t="s">
        <v>561</v>
      </c>
      <c r="C802" s="12" t="s">
        <v>562</v>
      </c>
      <c r="D802" s="12" t="s">
        <v>130</v>
      </c>
      <c r="E802" s="12" t="s">
        <v>142</v>
      </c>
      <c r="F802">
        <v>1</v>
      </c>
      <c r="G802">
        <v>9</v>
      </c>
      <c r="H802">
        <v>1</v>
      </c>
      <c r="I802" s="12" t="s">
        <v>223</v>
      </c>
      <c r="J802" s="12" t="s">
        <v>224</v>
      </c>
      <c r="K802" s="12" t="s">
        <v>81</v>
      </c>
      <c r="L802" s="12" t="s">
        <v>134</v>
      </c>
      <c r="M802">
        <v>2.4900000000000002</v>
      </c>
      <c r="N802" s="12" t="s">
        <v>159</v>
      </c>
      <c r="O802" s="12" t="s">
        <v>160</v>
      </c>
      <c r="P802" s="12" t="s">
        <v>137</v>
      </c>
      <c r="Q802" s="13">
        <v>45125</v>
      </c>
      <c r="R802" s="13">
        <v>45168</v>
      </c>
      <c r="S802">
        <v>2023</v>
      </c>
      <c r="T802" s="12" t="s">
        <v>1343</v>
      </c>
      <c r="U802">
        <v>79</v>
      </c>
      <c r="V802">
        <v>603.56020000000001</v>
      </c>
      <c r="W802">
        <v>821.99</v>
      </c>
      <c r="X802">
        <v>0</v>
      </c>
      <c r="Y802">
        <v>0</v>
      </c>
      <c r="Z802">
        <v>47681.26</v>
      </c>
      <c r="AA802">
        <v>48503.25</v>
      </c>
      <c r="AB802" s="12" t="s">
        <v>563</v>
      </c>
      <c r="AC802">
        <v>603.56020000000001</v>
      </c>
      <c r="AD802">
        <v>1</v>
      </c>
      <c r="AE802">
        <v>1</v>
      </c>
      <c r="AF802">
        <v>0</v>
      </c>
      <c r="AG802">
        <v>47681.26</v>
      </c>
      <c r="AH802">
        <v>79</v>
      </c>
      <c r="AI802">
        <v>78</v>
      </c>
      <c r="AJ802">
        <v>1</v>
      </c>
      <c r="AK802">
        <v>1</v>
      </c>
      <c r="AL802">
        <v>1</v>
      </c>
      <c r="AM802">
        <v>98.73</v>
      </c>
      <c r="AN802">
        <v>621.8365</v>
      </c>
      <c r="AO802">
        <v>603.55999999999995</v>
      </c>
      <c r="AP802" s="13">
        <v>45167</v>
      </c>
      <c r="AQ802">
        <v>-1</v>
      </c>
      <c r="AR802">
        <v>1</v>
      </c>
    </row>
    <row r="803" spans="1:44" x14ac:dyDescent="0.35">
      <c r="A803" s="12" t="s">
        <v>1464</v>
      </c>
      <c r="B803" s="12" t="s">
        <v>404</v>
      </c>
      <c r="C803" s="12" t="s">
        <v>405</v>
      </c>
      <c r="D803" s="12" t="s">
        <v>269</v>
      </c>
      <c r="E803" s="12" t="s">
        <v>65</v>
      </c>
      <c r="F803">
        <v>3</v>
      </c>
      <c r="G803">
        <v>5</v>
      </c>
      <c r="H803">
        <v>0</v>
      </c>
      <c r="I803" s="12" t="s">
        <v>79</v>
      </c>
      <c r="J803" s="12" t="s">
        <v>80</v>
      </c>
      <c r="K803" s="12" t="s">
        <v>81</v>
      </c>
      <c r="L803" s="12" t="s">
        <v>82</v>
      </c>
      <c r="M803">
        <v>12.07</v>
      </c>
      <c r="N803" s="12" t="s">
        <v>159</v>
      </c>
      <c r="O803" s="12" t="s">
        <v>160</v>
      </c>
      <c r="P803" s="12" t="s">
        <v>137</v>
      </c>
      <c r="Q803" s="13">
        <v>45126</v>
      </c>
      <c r="R803" s="13">
        <v>45156</v>
      </c>
      <c r="S803">
        <v>2023</v>
      </c>
      <c r="T803" s="12" t="s">
        <v>1343</v>
      </c>
      <c r="U803">
        <v>81</v>
      </c>
      <c r="V803">
        <v>430.41070000000002</v>
      </c>
      <c r="W803">
        <v>366.68</v>
      </c>
      <c r="X803">
        <v>0</v>
      </c>
      <c r="Y803">
        <v>0</v>
      </c>
      <c r="Z803">
        <v>34863.269999999997</v>
      </c>
      <c r="AA803">
        <v>35229.949999999997</v>
      </c>
      <c r="AB803" s="12" t="s">
        <v>406</v>
      </c>
      <c r="AC803">
        <v>430.41070000000002</v>
      </c>
      <c r="AD803">
        <v>1</v>
      </c>
      <c r="AE803">
        <v>1</v>
      </c>
      <c r="AF803">
        <v>0</v>
      </c>
      <c r="AG803">
        <v>34863.269999999997</v>
      </c>
      <c r="AH803">
        <v>81</v>
      </c>
      <c r="AI803">
        <v>80</v>
      </c>
      <c r="AJ803">
        <v>1</v>
      </c>
      <c r="AK803">
        <v>1</v>
      </c>
      <c r="AL803">
        <v>1</v>
      </c>
      <c r="AM803">
        <v>98.77</v>
      </c>
      <c r="AN803">
        <v>440.37430000000001</v>
      </c>
      <c r="AO803">
        <v>430.41</v>
      </c>
      <c r="AP803" s="13">
        <v>45156</v>
      </c>
      <c r="AQ803">
        <v>0</v>
      </c>
      <c r="AR803">
        <v>1</v>
      </c>
    </row>
    <row r="804" spans="1:44" x14ac:dyDescent="0.35">
      <c r="A804" s="12" t="s">
        <v>1465</v>
      </c>
      <c r="B804" s="12" t="s">
        <v>1034</v>
      </c>
      <c r="C804" s="12" t="s">
        <v>1035</v>
      </c>
      <c r="D804" s="12" t="s">
        <v>64</v>
      </c>
      <c r="E804" s="12" t="s">
        <v>104</v>
      </c>
      <c r="F804">
        <v>2</v>
      </c>
      <c r="G804">
        <v>0</v>
      </c>
      <c r="H804">
        <v>0</v>
      </c>
      <c r="I804" s="12" t="s">
        <v>157</v>
      </c>
      <c r="J804" s="12" t="s">
        <v>158</v>
      </c>
      <c r="K804" s="12" t="s">
        <v>117</v>
      </c>
      <c r="L804" s="12" t="s">
        <v>96</v>
      </c>
      <c r="M804">
        <v>4.72</v>
      </c>
      <c r="N804" s="12" t="s">
        <v>70</v>
      </c>
      <c r="O804" s="12" t="s">
        <v>71</v>
      </c>
      <c r="P804" s="12" t="s">
        <v>72</v>
      </c>
      <c r="Q804" s="13">
        <v>45126</v>
      </c>
      <c r="R804" s="13">
        <v>45139</v>
      </c>
      <c r="S804">
        <v>2023</v>
      </c>
      <c r="T804" s="12" t="s">
        <v>1343</v>
      </c>
      <c r="U804">
        <v>182</v>
      </c>
      <c r="V804">
        <v>9.9979999999999993</v>
      </c>
      <c r="W804">
        <v>16.11</v>
      </c>
      <c r="X804">
        <v>0</v>
      </c>
      <c r="Y804">
        <v>0</v>
      </c>
      <c r="Z804">
        <v>1819.64</v>
      </c>
      <c r="AA804">
        <v>1835.75</v>
      </c>
      <c r="AB804" s="12" t="s">
        <v>1036</v>
      </c>
      <c r="AC804">
        <v>9.9979999999999993</v>
      </c>
      <c r="AD804">
        <v>1</v>
      </c>
      <c r="AE804">
        <v>1</v>
      </c>
      <c r="AF804">
        <v>0</v>
      </c>
      <c r="AG804">
        <v>1819.64</v>
      </c>
      <c r="AH804">
        <v>182</v>
      </c>
      <c r="AI804">
        <v>180</v>
      </c>
      <c r="AJ804">
        <v>2</v>
      </c>
      <c r="AK804">
        <v>1</v>
      </c>
      <c r="AL804">
        <v>1</v>
      </c>
      <c r="AM804">
        <v>98.9</v>
      </c>
      <c r="AN804">
        <v>10.198600000000001</v>
      </c>
      <c r="AO804">
        <v>20</v>
      </c>
      <c r="AP804" s="13">
        <v>45136</v>
      </c>
      <c r="AQ804">
        <v>-3</v>
      </c>
      <c r="AR804">
        <v>1</v>
      </c>
    </row>
    <row r="805" spans="1:44" x14ac:dyDescent="0.35">
      <c r="A805" s="12" t="s">
        <v>1466</v>
      </c>
      <c r="B805" s="12" t="s">
        <v>848</v>
      </c>
      <c r="C805" s="12" t="s">
        <v>849</v>
      </c>
      <c r="D805" s="12" t="s">
        <v>103</v>
      </c>
      <c r="E805" s="12" t="s">
        <v>65</v>
      </c>
      <c r="F805">
        <v>2</v>
      </c>
      <c r="G805">
        <v>4</v>
      </c>
      <c r="H805">
        <v>0</v>
      </c>
      <c r="I805" s="12" t="s">
        <v>87</v>
      </c>
      <c r="J805" s="12" t="s">
        <v>88</v>
      </c>
      <c r="K805" s="12" t="s">
        <v>89</v>
      </c>
      <c r="L805" s="12" t="s">
        <v>69</v>
      </c>
      <c r="M805">
        <v>14.93</v>
      </c>
      <c r="N805" s="12" t="s">
        <v>145</v>
      </c>
      <c r="O805" s="12" t="s">
        <v>146</v>
      </c>
      <c r="P805" s="12" t="s">
        <v>109</v>
      </c>
      <c r="Q805" s="13">
        <v>45126</v>
      </c>
      <c r="R805" s="13">
        <v>45152</v>
      </c>
      <c r="S805">
        <v>2023</v>
      </c>
      <c r="T805" s="12" t="s">
        <v>1343</v>
      </c>
      <c r="U805">
        <v>49</v>
      </c>
      <c r="V805">
        <v>116.5771</v>
      </c>
      <c r="W805">
        <v>136.11000000000001</v>
      </c>
      <c r="X805">
        <v>0</v>
      </c>
      <c r="Y805">
        <v>0</v>
      </c>
      <c r="Z805">
        <v>5712.28</v>
      </c>
      <c r="AA805">
        <v>5848.39</v>
      </c>
      <c r="AB805" s="12" t="s">
        <v>850</v>
      </c>
      <c r="AC805">
        <v>123.8275</v>
      </c>
      <c r="AD805">
        <v>1</v>
      </c>
      <c r="AE805">
        <v>1</v>
      </c>
      <c r="AF805">
        <v>-355.27</v>
      </c>
      <c r="AG805">
        <v>6067.55</v>
      </c>
      <c r="AH805">
        <v>49</v>
      </c>
      <c r="AI805">
        <v>48</v>
      </c>
      <c r="AJ805">
        <v>1</v>
      </c>
      <c r="AK805">
        <v>1</v>
      </c>
      <c r="AL805">
        <v>1</v>
      </c>
      <c r="AM805">
        <v>97.96</v>
      </c>
      <c r="AN805">
        <v>121.84139999999999</v>
      </c>
      <c r="AO805">
        <v>116.58</v>
      </c>
      <c r="AP805" s="13">
        <v>45151</v>
      </c>
      <c r="AQ805">
        <v>-1</v>
      </c>
      <c r="AR805">
        <v>1</v>
      </c>
    </row>
    <row r="806" spans="1:44" x14ac:dyDescent="0.35">
      <c r="A806" s="12" t="s">
        <v>1467</v>
      </c>
      <c r="B806" s="12" t="s">
        <v>646</v>
      </c>
      <c r="C806" s="12" t="s">
        <v>647</v>
      </c>
      <c r="D806" s="12" t="s">
        <v>175</v>
      </c>
      <c r="E806" s="12" t="s">
        <v>104</v>
      </c>
      <c r="F806">
        <v>3</v>
      </c>
      <c r="G806">
        <v>1</v>
      </c>
      <c r="H806">
        <v>0</v>
      </c>
      <c r="I806" s="12" t="s">
        <v>227</v>
      </c>
      <c r="J806" s="12" t="s">
        <v>228</v>
      </c>
      <c r="K806" s="12" t="s">
        <v>89</v>
      </c>
      <c r="L806" s="12" t="s">
        <v>96</v>
      </c>
      <c r="M806">
        <v>9.15</v>
      </c>
      <c r="N806" s="12" t="s">
        <v>107</v>
      </c>
      <c r="O806" s="12" t="s">
        <v>108</v>
      </c>
      <c r="P806" s="12" t="s">
        <v>109</v>
      </c>
      <c r="Q806" s="13">
        <v>45126</v>
      </c>
      <c r="R806" s="13">
        <v>45155</v>
      </c>
      <c r="S806">
        <v>2023</v>
      </c>
      <c r="T806" s="12" t="s">
        <v>1343</v>
      </c>
      <c r="U806">
        <v>146</v>
      </c>
      <c r="V806">
        <v>216.21350000000001</v>
      </c>
      <c r="W806">
        <v>475.91</v>
      </c>
      <c r="X806">
        <v>0</v>
      </c>
      <c r="Y806">
        <v>0</v>
      </c>
      <c r="Z806">
        <v>31567.17</v>
      </c>
      <c r="AA806">
        <v>32043.08</v>
      </c>
      <c r="AB806" s="12" t="s">
        <v>781</v>
      </c>
      <c r="AC806">
        <v>216.21350000000001</v>
      </c>
      <c r="AD806">
        <v>1</v>
      </c>
      <c r="AE806">
        <v>1</v>
      </c>
      <c r="AF806">
        <v>0</v>
      </c>
      <c r="AG806">
        <v>31567.17</v>
      </c>
      <c r="AH806">
        <v>146</v>
      </c>
      <c r="AI806">
        <v>144</v>
      </c>
      <c r="AJ806">
        <v>2</v>
      </c>
      <c r="AK806">
        <v>1</v>
      </c>
      <c r="AL806">
        <v>1</v>
      </c>
      <c r="AM806">
        <v>98.63</v>
      </c>
      <c r="AN806">
        <v>222.5214</v>
      </c>
      <c r="AO806">
        <v>432.43</v>
      </c>
      <c r="AP806" s="13">
        <v>45155</v>
      </c>
      <c r="AQ806">
        <v>0</v>
      </c>
      <c r="AR806">
        <v>1</v>
      </c>
    </row>
    <row r="807" spans="1:44" x14ac:dyDescent="0.35">
      <c r="A807" s="12" t="s">
        <v>1468</v>
      </c>
      <c r="B807" s="12" t="s">
        <v>284</v>
      </c>
      <c r="C807" s="12" t="s">
        <v>285</v>
      </c>
      <c r="D807" s="12" t="s">
        <v>269</v>
      </c>
      <c r="E807" s="12" t="s">
        <v>104</v>
      </c>
      <c r="F807">
        <v>3</v>
      </c>
      <c r="G807">
        <v>1</v>
      </c>
      <c r="H807">
        <v>0</v>
      </c>
      <c r="I807" s="12" t="s">
        <v>199</v>
      </c>
      <c r="J807" s="12" t="s">
        <v>200</v>
      </c>
      <c r="K807" s="12" t="s">
        <v>68</v>
      </c>
      <c r="L807" s="12" t="s">
        <v>96</v>
      </c>
      <c r="M807">
        <v>9.4700000000000006</v>
      </c>
      <c r="N807" s="12" t="s">
        <v>135</v>
      </c>
      <c r="O807" s="12" t="s">
        <v>136</v>
      </c>
      <c r="P807" s="12" t="s">
        <v>137</v>
      </c>
      <c r="Q807" s="13">
        <v>45126</v>
      </c>
      <c r="R807" s="13">
        <v>45148</v>
      </c>
      <c r="S807">
        <v>2023</v>
      </c>
      <c r="T807" s="12" t="s">
        <v>1343</v>
      </c>
      <c r="U807">
        <v>92</v>
      </c>
      <c r="V807">
        <v>397.87</v>
      </c>
      <c r="W807">
        <v>357.44</v>
      </c>
      <c r="X807">
        <v>0</v>
      </c>
      <c r="Y807">
        <v>0</v>
      </c>
      <c r="Z807">
        <v>36604.04</v>
      </c>
      <c r="AA807">
        <v>36961.480000000003</v>
      </c>
      <c r="AB807" s="12" t="s">
        <v>286</v>
      </c>
      <c r="AC807">
        <v>397.87</v>
      </c>
      <c r="AD807">
        <v>1</v>
      </c>
      <c r="AE807">
        <v>1</v>
      </c>
      <c r="AF807">
        <v>0</v>
      </c>
      <c r="AG807">
        <v>36604.04</v>
      </c>
      <c r="AH807">
        <v>92</v>
      </c>
      <c r="AI807">
        <v>91</v>
      </c>
      <c r="AJ807">
        <v>1</v>
      </c>
      <c r="AK807">
        <v>1</v>
      </c>
      <c r="AL807">
        <v>1</v>
      </c>
      <c r="AM807">
        <v>98.91</v>
      </c>
      <c r="AN807">
        <v>406.17009999999999</v>
      </c>
      <c r="AO807">
        <v>397.87</v>
      </c>
      <c r="AP807" s="13">
        <v>45146</v>
      </c>
      <c r="AQ807">
        <v>-2</v>
      </c>
      <c r="AR807">
        <v>1</v>
      </c>
    </row>
    <row r="808" spans="1:44" x14ac:dyDescent="0.35">
      <c r="A808" s="12" t="s">
        <v>1469</v>
      </c>
      <c r="B808" s="12" t="s">
        <v>167</v>
      </c>
      <c r="C808" s="12" t="s">
        <v>168</v>
      </c>
      <c r="D808" s="12" t="s">
        <v>64</v>
      </c>
      <c r="E808" s="12" t="s">
        <v>104</v>
      </c>
      <c r="F808">
        <v>3</v>
      </c>
      <c r="G808">
        <v>1</v>
      </c>
      <c r="H808">
        <v>0</v>
      </c>
      <c r="I808" s="12" t="s">
        <v>243</v>
      </c>
      <c r="J808" s="12" t="s">
        <v>244</v>
      </c>
      <c r="K808" s="12" t="s">
        <v>81</v>
      </c>
      <c r="L808" s="12" t="s">
        <v>82</v>
      </c>
      <c r="M808">
        <v>9.2200000000000006</v>
      </c>
      <c r="N808" s="12" t="s">
        <v>97</v>
      </c>
      <c r="O808" s="12" t="s">
        <v>98</v>
      </c>
      <c r="P808" s="12" t="s">
        <v>72</v>
      </c>
      <c r="Q808" s="13">
        <v>45126</v>
      </c>
      <c r="R808" s="13">
        <v>45139</v>
      </c>
      <c r="S808">
        <v>2023</v>
      </c>
      <c r="T808" s="12" t="s">
        <v>1343</v>
      </c>
      <c r="U808">
        <v>194</v>
      </c>
      <c r="V808">
        <v>28.7181</v>
      </c>
      <c r="W808">
        <v>75.48</v>
      </c>
      <c r="X808">
        <v>0</v>
      </c>
      <c r="Y808">
        <v>0</v>
      </c>
      <c r="Z808">
        <v>5571.31</v>
      </c>
      <c r="AA808">
        <v>5646.79</v>
      </c>
      <c r="AB808" s="12" t="s">
        <v>530</v>
      </c>
      <c r="AC808">
        <v>28.7181</v>
      </c>
      <c r="AD808">
        <v>1</v>
      </c>
      <c r="AE808">
        <v>1</v>
      </c>
      <c r="AF808">
        <v>0</v>
      </c>
      <c r="AG808">
        <v>5571.31</v>
      </c>
      <c r="AH808">
        <v>194</v>
      </c>
      <c r="AI808">
        <v>192</v>
      </c>
      <c r="AJ808">
        <v>2</v>
      </c>
      <c r="AK808">
        <v>1</v>
      </c>
      <c r="AL808">
        <v>1</v>
      </c>
      <c r="AM808">
        <v>98.97</v>
      </c>
      <c r="AN808">
        <v>29.410399999999999</v>
      </c>
      <c r="AO808">
        <v>57.44</v>
      </c>
      <c r="AP808" s="13">
        <v>45136</v>
      </c>
      <c r="AQ808">
        <v>-3</v>
      </c>
      <c r="AR808">
        <v>1</v>
      </c>
    </row>
    <row r="809" spans="1:44" x14ac:dyDescent="0.35">
      <c r="A809" s="12" t="s">
        <v>1470</v>
      </c>
      <c r="B809" s="12" t="s">
        <v>477</v>
      </c>
      <c r="C809" s="12" t="s">
        <v>478</v>
      </c>
      <c r="D809" s="12" t="s">
        <v>130</v>
      </c>
      <c r="E809" s="12" t="s">
        <v>104</v>
      </c>
      <c r="F809">
        <v>3</v>
      </c>
      <c r="G809">
        <v>1</v>
      </c>
      <c r="H809">
        <v>0</v>
      </c>
      <c r="I809" s="12" t="s">
        <v>380</v>
      </c>
      <c r="J809" s="12" t="s">
        <v>381</v>
      </c>
      <c r="K809" s="12" t="s">
        <v>89</v>
      </c>
      <c r="L809" s="12" t="s">
        <v>96</v>
      </c>
      <c r="M809">
        <v>10.210000000000001</v>
      </c>
      <c r="N809" s="12" t="s">
        <v>159</v>
      </c>
      <c r="O809" s="12" t="s">
        <v>160</v>
      </c>
      <c r="P809" s="12" t="s">
        <v>137</v>
      </c>
      <c r="Q809" s="13">
        <v>45126</v>
      </c>
      <c r="R809" s="13">
        <v>45142</v>
      </c>
      <c r="S809">
        <v>2023</v>
      </c>
      <c r="T809" s="12" t="s">
        <v>1343</v>
      </c>
      <c r="U809">
        <v>44</v>
      </c>
      <c r="V809">
        <v>778.59670000000006</v>
      </c>
      <c r="W809">
        <v>554.64</v>
      </c>
      <c r="X809">
        <v>0</v>
      </c>
      <c r="Y809">
        <v>0</v>
      </c>
      <c r="Z809">
        <v>34258.25</v>
      </c>
      <c r="AA809">
        <v>34812.89</v>
      </c>
      <c r="AB809" s="12" t="s">
        <v>1094</v>
      </c>
      <c r="AC809">
        <v>778.59670000000006</v>
      </c>
      <c r="AD809">
        <v>1</v>
      </c>
      <c r="AE809">
        <v>1</v>
      </c>
      <c r="AF809">
        <v>0</v>
      </c>
      <c r="AG809">
        <v>34258.25</v>
      </c>
      <c r="AH809">
        <v>44</v>
      </c>
      <c r="AI809">
        <v>44</v>
      </c>
      <c r="AJ809">
        <v>0</v>
      </c>
      <c r="AK809">
        <v>1</v>
      </c>
      <c r="AL809">
        <v>1</v>
      </c>
      <c r="AM809">
        <v>100</v>
      </c>
      <c r="AN809">
        <v>791.20219999999995</v>
      </c>
      <c r="AO809">
        <v>0</v>
      </c>
      <c r="AP809" s="13">
        <v>45141</v>
      </c>
      <c r="AQ809">
        <v>-1</v>
      </c>
      <c r="AR809">
        <v>1</v>
      </c>
    </row>
    <row r="810" spans="1:44" x14ac:dyDescent="0.35">
      <c r="A810" s="12" t="s">
        <v>1471</v>
      </c>
      <c r="B810" s="12" t="s">
        <v>238</v>
      </c>
      <c r="C810" s="12" t="s">
        <v>239</v>
      </c>
      <c r="D810" s="12" t="s">
        <v>122</v>
      </c>
      <c r="E810" s="12" t="s">
        <v>65</v>
      </c>
      <c r="F810">
        <v>3</v>
      </c>
      <c r="G810">
        <v>4</v>
      </c>
      <c r="H810">
        <v>0</v>
      </c>
      <c r="I810" s="12" t="s">
        <v>79</v>
      </c>
      <c r="J810" s="12" t="s">
        <v>80</v>
      </c>
      <c r="K810" s="12" t="s">
        <v>81</v>
      </c>
      <c r="L810" s="12" t="s">
        <v>82</v>
      </c>
      <c r="M810">
        <v>12.07</v>
      </c>
      <c r="N810" s="12" t="s">
        <v>70</v>
      </c>
      <c r="O810" s="12" t="s">
        <v>71</v>
      </c>
      <c r="P810" s="12" t="s">
        <v>72</v>
      </c>
      <c r="Q810" s="13">
        <v>45126</v>
      </c>
      <c r="R810" s="13">
        <v>45164</v>
      </c>
      <c r="S810">
        <v>2023</v>
      </c>
      <c r="T810" s="12" t="s">
        <v>1343</v>
      </c>
      <c r="U810">
        <v>1986</v>
      </c>
      <c r="V810">
        <v>37.143599999999999</v>
      </c>
      <c r="W810">
        <v>1741.77</v>
      </c>
      <c r="X810">
        <v>0</v>
      </c>
      <c r="Y810">
        <v>0</v>
      </c>
      <c r="Z810">
        <v>73767.19</v>
      </c>
      <c r="AA810">
        <v>75508.960000000006</v>
      </c>
      <c r="AB810" s="12" t="s">
        <v>297</v>
      </c>
      <c r="AC810">
        <v>37.143599999999999</v>
      </c>
      <c r="AD810">
        <v>1</v>
      </c>
      <c r="AE810">
        <v>1</v>
      </c>
      <c r="AF810">
        <v>0</v>
      </c>
      <c r="AG810">
        <v>73767.19</v>
      </c>
      <c r="AH810">
        <v>1986</v>
      </c>
      <c r="AI810">
        <v>1965</v>
      </c>
      <c r="AJ810">
        <v>21</v>
      </c>
      <c r="AK810">
        <v>1</v>
      </c>
      <c r="AL810">
        <v>1</v>
      </c>
      <c r="AM810">
        <v>98.94</v>
      </c>
      <c r="AN810">
        <v>38.427</v>
      </c>
      <c r="AO810">
        <v>780.02</v>
      </c>
      <c r="AP810" s="13">
        <v>45161</v>
      </c>
      <c r="AQ810">
        <v>-3</v>
      </c>
      <c r="AR810">
        <v>1</v>
      </c>
    </row>
    <row r="811" spans="1:44" x14ac:dyDescent="0.35">
      <c r="A811" s="12" t="s">
        <v>1472</v>
      </c>
      <c r="B811" s="12" t="s">
        <v>327</v>
      </c>
      <c r="C811" s="12" t="s">
        <v>328</v>
      </c>
      <c r="D811" s="12" t="s">
        <v>130</v>
      </c>
      <c r="E811" s="12" t="s">
        <v>104</v>
      </c>
      <c r="F811">
        <v>2</v>
      </c>
      <c r="G811">
        <v>0</v>
      </c>
      <c r="H811">
        <v>0</v>
      </c>
      <c r="I811" s="12" t="s">
        <v>94</v>
      </c>
      <c r="J811" s="12" t="s">
        <v>95</v>
      </c>
      <c r="K811" s="12" t="s">
        <v>81</v>
      </c>
      <c r="L811" s="12" t="s">
        <v>96</v>
      </c>
      <c r="M811">
        <v>4.8099999999999996</v>
      </c>
      <c r="N811" s="12" t="s">
        <v>159</v>
      </c>
      <c r="O811" s="12" t="s">
        <v>160</v>
      </c>
      <c r="P811" s="12" t="s">
        <v>137</v>
      </c>
      <c r="Q811" s="13">
        <v>45127</v>
      </c>
      <c r="R811" s="13">
        <v>45147</v>
      </c>
      <c r="S811">
        <v>2023</v>
      </c>
      <c r="T811" s="12" t="s">
        <v>1343</v>
      </c>
      <c r="U811">
        <v>77</v>
      </c>
      <c r="V811">
        <v>762.93029999999999</v>
      </c>
      <c r="W811">
        <v>690.14</v>
      </c>
      <c r="X811">
        <v>0</v>
      </c>
      <c r="Y811">
        <v>0</v>
      </c>
      <c r="Z811">
        <v>58745.63</v>
      </c>
      <c r="AA811">
        <v>59435.77</v>
      </c>
      <c r="AB811" s="12" t="s">
        <v>329</v>
      </c>
      <c r="AC811">
        <v>762.93029999999999</v>
      </c>
      <c r="AD811">
        <v>1</v>
      </c>
      <c r="AE811">
        <v>1</v>
      </c>
      <c r="AF811">
        <v>0</v>
      </c>
      <c r="AG811">
        <v>58745.63</v>
      </c>
      <c r="AH811">
        <v>77</v>
      </c>
      <c r="AI811">
        <v>77</v>
      </c>
      <c r="AJ811">
        <v>0</v>
      </c>
      <c r="AK811">
        <v>1</v>
      </c>
      <c r="AL811">
        <v>1</v>
      </c>
      <c r="AM811">
        <v>100</v>
      </c>
      <c r="AN811">
        <v>771.89319999999998</v>
      </c>
      <c r="AO811">
        <v>0</v>
      </c>
      <c r="AP811" s="13">
        <v>45144</v>
      </c>
      <c r="AQ811">
        <v>-3</v>
      </c>
      <c r="AR811">
        <v>1</v>
      </c>
    </row>
    <row r="812" spans="1:44" x14ac:dyDescent="0.35">
      <c r="A812" s="12" t="s">
        <v>1473</v>
      </c>
      <c r="B812" s="12" t="s">
        <v>1068</v>
      </c>
      <c r="C812" s="12" t="s">
        <v>1069</v>
      </c>
      <c r="D812" s="12" t="s">
        <v>122</v>
      </c>
      <c r="E812" s="12" t="s">
        <v>65</v>
      </c>
      <c r="F812">
        <v>2</v>
      </c>
      <c r="G812">
        <v>2</v>
      </c>
      <c r="H812">
        <v>0</v>
      </c>
      <c r="I812" s="12" t="s">
        <v>79</v>
      </c>
      <c r="J812" s="12" t="s">
        <v>80</v>
      </c>
      <c r="K812" s="12" t="s">
        <v>81</v>
      </c>
      <c r="L812" s="12" t="s">
        <v>82</v>
      </c>
      <c r="M812">
        <v>12.07</v>
      </c>
      <c r="N812" s="12" t="s">
        <v>70</v>
      </c>
      <c r="O812" s="12" t="s">
        <v>71</v>
      </c>
      <c r="P812" s="12" t="s">
        <v>72</v>
      </c>
      <c r="Q812" s="13">
        <v>45127</v>
      </c>
      <c r="R812" s="13">
        <v>45150</v>
      </c>
      <c r="S812">
        <v>2023</v>
      </c>
      <c r="T812" s="12" t="s">
        <v>1343</v>
      </c>
      <c r="U812">
        <v>402</v>
      </c>
      <c r="V812">
        <v>216.67099999999999</v>
      </c>
      <c r="W812">
        <v>138.19</v>
      </c>
      <c r="X812">
        <v>0</v>
      </c>
      <c r="Y812">
        <v>0</v>
      </c>
      <c r="Z812">
        <v>87101.74</v>
      </c>
      <c r="AA812">
        <v>87239.93</v>
      </c>
      <c r="AB812" s="12" t="s">
        <v>1070</v>
      </c>
      <c r="AC812">
        <v>21.667100000000001</v>
      </c>
      <c r="AD812">
        <v>1</v>
      </c>
      <c r="AE812">
        <v>1</v>
      </c>
      <c r="AF812">
        <v>78391.570000000007</v>
      </c>
      <c r="AG812">
        <v>8710.17</v>
      </c>
      <c r="AH812">
        <v>402</v>
      </c>
      <c r="AI812">
        <v>399</v>
      </c>
      <c r="AJ812">
        <v>3</v>
      </c>
      <c r="AK812">
        <v>1</v>
      </c>
      <c r="AL812">
        <v>1</v>
      </c>
      <c r="AM812">
        <v>99.25</v>
      </c>
      <c r="AN812">
        <v>218.6464</v>
      </c>
      <c r="AO812">
        <v>650.01</v>
      </c>
      <c r="AP812" s="13">
        <v>45150</v>
      </c>
      <c r="AQ812">
        <v>0</v>
      </c>
      <c r="AR812">
        <v>1</v>
      </c>
    </row>
    <row r="813" spans="1:44" x14ac:dyDescent="0.35">
      <c r="A813" s="12" t="s">
        <v>1474</v>
      </c>
      <c r="B813" s="12" t="s">
        <v>1075</v>
      </c>
      <c r="C813" s="12" t="s">
        <v>1076</v>
      </c>
      <c r="D813" s="12" t="s">
        <v>103</v>
      </c>
      <c r="E813" s="12" t="s">
        <v>65</v>
      </c>
      <c r="F813">
        <v>2</v>
      </c>
      <c r="G813">
        <v>4</v>
      </c>
      <c r="H813">
        <v>0</v>
      </c>
      <c r="I813" s="12" t="s">
        <v>176</v>
      </c>
      <c r="J813" s="12" t="s">
        <v>177</v>
      </c>
      <c r="K813" s="12" t="s">
        <v>125</v>
      </c>
      <c r="L813" s="12" t="s">
        <v>134</v>
      </c>
      <c r="M813">
        <v>1.75</v>
      </c>
      <c r="N813" s="12" t="s">
        <v>145</v>
      </c>
      <c r="O813" s="12" t="s">
        <v>146</v>
      </c>
      <c r="P813" s="12" t="s">
        <v>109</v>
      </c>
      <c r="Q813" s="13">
        <v>45127</v>
      </c>
      <c r="R813" s="13">
        <v>45152</v>
      </c>
      <c r="S813">
        <v>2023</v>
      </c>
      <c r="T813" s="12" t="s">
        <v>1343</v>
      </c>
      <c r="U813">
        <v>43</v>
      </c>
      <c r="V813">
        <v>68.470200000000006</v>
      </c>
      <c r="W813">
        <v>40.04</v>
      </c>
      <c r="X813">
        <v>0</v>
      </c>
      <c r="Y813">
        <v>0</v>
      </c>
      <c r="Z813">
        <v>2944.22</v>
      </c>
      <c r="AA813">
        <v>2984.26</v>
      </c>
      <c r="AB813" s="12" t="s">
        <v>1077</v>
      </c>
      <c r="AC813">
        <v>68.470200000000006</v>
      </c>
      <c r="AD813">
        <v>1</v>
      </c>
      <c r="AE813">
        <v>1</v>
      </c>
      <c r="AF813">
        <v>0</v>
      </c>
      <c r="AG813">
        <v>2944.22</v>
      </c>
      <c r="AH813">
        <v>43</v>
      </c>
      <c r="AI813">
        <v>43</v>
      </c>
      <c r="AJ813">
        <v>0</v>
      </c>
      <c r="AK813">
        <v>1</v>
      </c>
      <c r="AL813">
        <v>1</v>
      </c>
      <c r="AM813">
        <v>100</v>
      </c>
      <c r="AN813">
        <v>69.401399999999995</v>
      </c>
      <c r="AO813">
        <v>0</v>
      </c>
      <c r="AP813" s="13">
        <v>45151</v>
      </c>
      <c r="AQ813">
        <v>-1</v>
      </c>
      <c r="AR813">
        <v>1</v>
      </c>
    </row>
    <row r="814" spans="1:44" x14ac:dyDescent="0.35">
      <c r="A814" s="12" t="s">
        <v>1475</v>
      </c>
      <c r="B814" s="12" t="s">
        <v>255</v>
      </c>
      <c r="C814" s="12" t="s">
        <v>256</v>
      </c>
      <c r="D814" s="12" t="s">
        <v>103</v>
      </c>
      <c r="E814" s="12" t="s">
        <v>65</v>
      </c>
      <c r="F814">
        <v>2</v>
      </c>
      <c r="G814">
        <v>4</v>
      </c>
      <c r="H814">
        <v>0</v>
      </c>
      <c r="I814" s="12" t="s">
        <v>143</v>
      </c>
      <c r="J814" s="12" t="s">
        <v>144</v>
      </c>
      <c r="K814" s="12" t="s">
        <v>133</v>
      </c>
      <c r="L814" s="12" t="s">
        <v>96</v>
      </c>
      <c r="M814">
        <v>5.43</v>
      </c>
      <c r="N814" s="12" t="s">
        <v>107</v>
      </c>
      <c r="O814" s="12" t="s">
        <v>108</v>
      </c>
      <c r="P814" s="12" t="s">
        <v>109</v>
      </c>
      <c r="Q814" s="13">
        <v>45127</v>
      </c>
      <c r="R814" s="13">
        <v>45165</v>
      </c>
      <c r="S814">
        <v>2023</v>
      </c>
      <c r="T814" s="12" t="s">
        <v>1343</v>
      </c>
      <c r="U814">
        <v>142</v>
      </c>
      <c r="V814">
        <v>95.085700000000003</v>
      </c>
      <c r="W814">
        <v>136.16999999999999</v>
      </c>
      <c r="X814">
        <v>0</v>
      </c>
      <c r="Y814">
        <v>0</v>
      </c>
      <c r="Z814">
        <v>13502.17</v>
      </c>
      <c r="AA814">
        <v>13638.34</v>
      </c>
      <c r="AB814" s="12" t="s">
        <v>366</v>
      </c>
      <c r="AC814">
        <v>95.085700000000003</v>
      </c>
      <c r="AD814">
        <v>1</v>
      </c>
      <c r="AE814">
        <v>1</v>
      </c>
      <c r="AF814">
        <v>0</v>
      </c>
      <c r="AG814">
        <v>13502.17</v>
      </c>
      <c r="AH814">
        <v>142</v>
      </c>
      <c r="AI814">
        <v>142</v>
      </c>
      <c r="AJ814">
        <v>0</v>
      </c>
      <c r="AK814">
        <v>1</v>
      </c>
      <c r="AL814">
        <v>1</v>
      </c>
      <c r="AM814">
        <v>100</v>
      </c>
      <c r="AN814">
        <v>96.044600000000003</v>
      </c>
      <c r="AO814">
        <v>0</v>
      </c>
      <c r="AP814" s="13">
        <v>45170</v>
      </c>
      <c r="AQ814">
        <v>5</v>
      </c>
      <c r="AR814">
        <v>0</v>
      </c>
    </row>
    <row r="815" spans="1:44" x14ac:dyDescent="0.35">
      <c r="A815" s="12" t="s">
        <v>1476</v>
      </c>
      <c r="B815" s="12" t="s">
        <v>255</v>
      </c>
      <c r="C815" s="12" t="s">
        <v>256</v>
      </c>
      <c r="D815" s="12" t="s">
        <v>103</v>
      </c>
      <c r="E815" s="12" t="s">
        <v>65</v>
      </c>
      <c r="F815">
        <v>2</v>
      </c>
      <c r="G815">
        <v>4</v>
      </c>
      <c r="H815">
        <v>0</v>
      </c>
      <c r="I815" s="12" t="s">
        <v>143</v>
      </c>
      <c r="J815" s="12" t="s">
        <v>144</v>
      </c>
      <c r="K815" s="12" t="s">
        <v>133</v>
      </c>
      <c r="L815" s="12" t="s">
        <v>96</v>
      </c>
      <c r="M815">
        <v>5.43</v>
      </c>
      <c r="N815" s="12" t="s">
        <v>145</v>
      </c>
      <c r="O815" s="12" t="s">
        <v>146</v>
      </c>
      <c r="P815" s="12" t="s">
        <v>109</v>
      </c>
      <c r="Q815" s="13">
        <v>45127</v>
      </c>
      <c r="R815" s="13">
        <v>45158</v>
      </c>
      <c r="S815">
        <v>2023</v>
      </c>
      <c r="T815" s="12" t="s">
        <v>1343</v>
      </c>
      <c r="U815">
        <v>90</v>
      </c>
      <c r="V815">
        <v>95.085700000000003</v>
      </c>
      <c r="W815">
        <v>92.2</v>
      </c>
      <c r="X815">
        <v>0</v>
      </c>
      <c r="Y815">
        <v>0</v>
      </c>
      <c r="Z815">
        <v>8557.7099999999991</v>
      </c>
      <c r="AA815">
        <v>8649.91</v>
      </c>
      <c r="AB815" s="12" t="s">
        <v>366</v>
      </c>
      <c r="AC815">
        <v>95.085700000000003</v>
      </c>
      <c r="AD815">
        <v>1</v>
      </c>
      <c r="AE815">
        <v>1</v>
      </c>
      <c r="AF815">
        <v>0</v>
      </c>
      <c r="AG815">
        <v>8557.7099999999991</v>
      </c>
      <c r="AH815">
        <v>90</v>
      </c>
      <c r="AI815">
        <v>89</v>
      </c>
      <c r="AJ815">
        <v>1</v>
      </c>
      <c r="AK815">
        <v>1</v>
      </c>
      <c r="AL815">
        <v>1</v>
      </c>
      <c r="AM815">
        <v>98.89</v>
      </c>
      <c r="AN815">
        <v>97.19</v>
      </c>
      <c r="AO815">
        <v>95.09</v>
      </c>
      <c r="AP815" s="13">
        <v>45161</v>
      </c>
      <c r="AQ815">
        <v>3</v>
      </c>
      <c r="AR815">
        <v>0</v>
      </c>
    </row>
    <row r="816" spans="1:44" x14ac:dyDescent="0.35">
      <c r="A816" s="12" t="s">
        <v>1477</v>
      </c>
      <c r="B816" s="12" t="s">
        <v>238</v>
      </c>
      <c r="C816" s="12" t="s">
        <v>239</v>
      </c>
      <c r="D816" s="12" t="s">
        <v>122</v>
      </c>
      <c r="E816" s="12" t="s">
        <v>65</v>
      </c>
      <c r="F816">
        <v>3</v>
      </c>
      <c r="G816">
        <v>4</v>
      </c>
      <c r="H816">
        <v>0</v>
      </c>
      <c r="I816" s="12" t="s">
        <v>79</v>
      </c>
      <c r="J816" s="12" t="s">
        <v>80</v>
      </c>
      <c r="K816" s="12" t="s">
        <v>81</v>
      </c>
      <c r="L816" s="12" t="s">
        <v>82</v>
      </c>
      <c r="M816">
        <v>12.07</v>
      </c>
      <c r="N816" s="12" t="s">
        <v>70</v>
      </c>
      <c r="O816" s="12" t="s">
        <v>71</v>
      </c>
      <c r="P816" s="12" t="s">
        <v>72</v>
      </c>
      <c r="Q816" s="13">
        <v>45127</v>
      </c>
      <c r="R816" s="13">
        <v>45148</v>
      </c>
      <c r="S816">
        <v>2023</v>
      </c>
      <c r="T816" s="12" t="s">
        <v>1343</v>
      </c>
      <c r="U816">
        <v>204</v>
      </c>
      <c r="V816">
        <v>37.143599999999999</v>
      </c>
      <c r="W816">
        <v>110.76</v>
      </c>
      <c r="X816">
        <v>0</v>
      </c>
      <c r="Y816">
        <v>0</v>
      </c>
      <c r="Z816">
        <v>7577.29</v>
      </c>
      <c r="AA816">
        <v>7688.05</v>
      </c>
      <c r="AB816" s="12" t="s">
        <v>297</v>
      </c>
      <c r="AC816">
        <v>37.143599999999999</v>
      </c>
      <c r="AD816">
        <v>1</v>
      </c>
      <c r="AE816">
        <v>1</v>
      </c>
      <c r="AF816">
        <v>0</v>
      </c>
      <c r="AG816">
        <v>7577.29</v>
      </c>
      <c r="AH816">
        <v>204</v>
      </c>
      <c r="AI816">
        <v>202</v>
      </c>
      <c r="AJ816">
        <v>2</v>
      </c>
      <c r="AK816">
        <v>1</v>
      </c>
      <c r="AL816">
        <v>1</v>
      </c>
      <c r="AM816">
        <v>99.02</v>
      </c>
      <c r="AN816">
        <v>38.059699999999999</v>
      </c>
      <c r="AO816">
        <v>74.290000000000006</v>
      </c>
      <c r="AP816" s="13">
        <v>45148</v>
      </c>
      <c r="AQ816">
        <v>0</v>
      </c>
      <c r="AR816">
        <v>1</v>
      </c>
    </row>
    <row r="817" spans="1:44" x14ac:dyDescent="0.35">
      <c r="A817" s="12" t="s">
        <v>1478</v>
      </c>
      <c r="B817" s="12" t="s">
        <v>537</v>
      </c>
      <c r="C817" s="12" t="s">
        <v>538</v>
      </c>
      <c r="D817" s="12" t="s">
        <v>103</v>
      </c>
      <c r="E817" s="12" t="s">
        <v>104</v>
      </c>
      <c r="F817">
        <v>3</v>
      </c>
      <c r="G817">
        <v>0</v>
      </c>
      <c r="H817">
        <v>0</v>
      </c>
      <c r="I817" s="12" t="s">
        <v>380</v>
      </c>
      <c r="J817" s="12" t="s">
        <v>381</v>
      </c>
      <c r="K817" s="12" t="s">
        <v>89</v>
      </c>
      <c r="L817" s="12" t="s">
        <v>96</v>
      </c>
      <c r="M817">
        <v>10.210000000000001</v>
      </c>
      <c r="N817" s="12" t="s">
        <v>145</v>
      </c>
      <c r="O817" s="12" t="s">
        <v>146</v>
      </c>
      <c r="P817" s="12" t="s">
        <v>109</v>
      </c>
      <c r="Q817" s="13">
        <v>45128</v>
      </c>
      <c r="R817" s="13">
        <v>45154</v>
      </c>
      <c r="S817">
        <v>2023</v>
      </c>
      <c r="T817" s="12" t="s">
        <v>1343</v>
      </c>
      <c r="U817">
        <v>120</v>
      </c>
      <c r="V817">
        <v>242.5684</v>
      </c>
      <c r="W817">
        <v>212.9</v>
      </c>
      <c r="X817">
        <v>0</v>
      </c>
      <c r="Y817">
        <v>0</v>
      </c>
      <c r="Z817">
        <v>29108.21</v>
      </c>
      <c r="AA817">
        <v>29321.11</v>
      </c>
      <c r="AB817" s="12" t="s">
        <v>539</v>
      </c>
      <c r="AC817">
        <v>242.5684</v>
      </c>
      <c r="AD817">
        <v>1</v>
      </c>
      <c r="AE817">
        <v>1</v>
      </c>
      <c r="AF817">
        <v>0</v>
      </c>
      <c r="AG817">
        <v>29108.21</v>
      </c>
      <c r="AH817">
        <v>120</v>
      </c>
      <c r="AI817">
        <v>119</v>
      </c>
      <c r="AJ817">
        <v>1</v>
      </c>
      <c r="AK817">
        <v>1</v>
      </c>
      <c r="AL817">
        <v>1</v>
      </c>
      <c r="AM817">
        <v>99.17</v>
      </c>
      <c r="AN817">
        <v>246.39590000000001</v>
      </c>
      <c r="AO817">
        <v>242.57</v>
      </c>
      <c r="AP817" s="13">
        <v>45151</v>
      </c>
      <c r="AQ817">
        <v>-3</v>
      </c>
      <c r="AR817">
        <v>1</v>
      </c>
    </row>
    <row r="818" spans="1:44" x14ac:dyDescent="0.35">
      <c r="A818" s="12" t="s">
        <v>1479</v>
      </c>
      <c r="B818" s="12" t="s">
        <v>555</v>
      </c>
      <c r="C818" s="12" t="s">
        <v>556</v>
      </c>
      <c r="D818" s="12" t="s">
        <v>114</v>
      </c>
      <c r="E818" s="12" t="s">
        <v>142</v>
      </c>
      <c r="F818">
        <v>1</v>
      </c>
      <c r="G818">
        <v>6</v>
      </c>
      <c r="H818">
        <v>1</v>
      </c>
      <c r="I818" s="12" t="s">
        <v>151</v>
      </c>
      <c r="J818" s="12" t="s">
        <v>152</v>
      </c>
      <c r="K818" s="12" t="s">
        <v>125</v>
      </c>
      <c r="L818" s="12" t="s">
        <v>69</v>
      </c>
      <c r="M818">
        <v>36.479999999999997</v>
      </c>
      <c r="N818" s="12" t="s">
        <v>70</v>
      </c>
      <c r="O818" s="12" t="s">
        <v>71</v>
      </c>
      <c r="P818" s="12" t="s">
        <v>72</v>
      </c>
      <c r="Q818" s="13">
        <v>45128</v>
      </c>
      <c r="R818" s="13">
        <v>45175</v>
      </c>
      <c r="S818">
        <v>2023</v>
      </c>
      <c r="T818" s="12" t="s">
        <v>1343</v>
      </c>
      <c r="U818">
        <v>110</v>
      </c>
      <c r="V818">
        <v>290.42770000000002</v>
      </c>
      <c r="W818">
        <v>761.78</v>
      </c>
      <c r="X818">
        <v>0</v>
      </c>
      <c r="Y818">
        <v>0</v>
      </c>
      <c r="Z818">
        <v>31947.05</v>
      </c>
      <c r="AA818">
        <v>32708.83</v>
      </c>
      <c r="AB818" s="12" t="s">
        <v>557</v>
      </c>
      <c r="AC818">
        <v>290.42770000000002</v>
      </c>
      <c r="AD818">
        <v>1</v>
      </c>
      <c r="AE818">
        <v>1</v>
      </c>
      <c r="AF818">
        <v>0</v>
      </c>
      <c r="AG818">
        <v>31947.05</v>
      </c>
      <c r="AH818">
        <v>110</v>
      </c>
      <c r="AI818">
        <v>108</v>
      </c>
      <c r="AJ818">
        <v>2</v>
      </c>
      <c r="AK818">
        <v>1</v>
      </c>
      <c r="AL818">
        <v>1</v>
      </c>
      <c r="AM818">
        <v>98.18</v>
      </c>
      <c r="AN818">
        <v>302.85950000000003</v>
      </c>
      <c r="AO818">
        <v>580.86</v>
      </c>
      <c r="AP818" s="13">
        <v>45175</v>
      </c>
      <c r="AQ818">
        <v>0</v>
      </c>
      <c r="AR818">
        <v>1</v>
      </c>
    </row>
    <row r="819" spans="1:44" x14ac:dyDescent="0.35">
      <c r="A819" s="12" t="s">
        <v>1480</v>
      </c>
      <c r="B819" s="12" t="s">
        <v>120</v>
      </c>
      <c r="C819" s="12" t="s">
        <v>121</v>
      </c>
      <c r="D819" s="12" t="s">
        <v>122</v>
      </c>
      <c r="E819" s="12" t="s">
        <v>65</v>
      </c>
      <c r="F819">
        <v>3</v>
      </c>
      <c r="G819">
        <v>4</v>
      </c>
      <c r="H819">
        <v>0</v>
      </c>
      <c r="I819" s="12" t="s">
        <v>123</v>
      </c>
      <c r="J819" s="12" t="s">
        <v>124</v>
      </c>
      <c r="K819" s="12" t="s">
        <v>125</v>
      </c>
      <c r="L819" s="12" t="s">
        <v>82</v>
      </c>
      <c r="M819">
        <v>6.75</v>
      </c>
      <c r="N819" s="12" t="s">
        <v>70</v>
      </c>
      <c r="O819" s="12" t="s">
        <v>71</v>
      </c>
      <c r="P819" s="12" t="s">
        <v>72</v>
      </c>
      <c r="Q819" s="13">
        <v>45128</v>
      </c>
      <c r="R819" s="13">
        <v>45159</v>
      </c>
      <c r="S819">
        <v>2023</v>
      </c>
      <c r="T819" s="12" t="s">
        <v>1343</v>
      </c>
      <c r="U819">
        <v>1235</v>
      </c>
      <c r="V819">
        <v>55.544699999999999</v>
      </c>
      <c r="W819">
        <v>1013.7</v>
      </c>
      <c r="X819">
        <v>0</v>
      </c>
      <c r="Y819">
        <v>0</v>
      </c>
      <c r="Z819">
        <v>68597.7</v>
      </c>
      <c r="AA819">
        <v>69611.399999999994</v>
      </c>
      <c r="AB819" s="12" t="s">
        <v>126</v>
      </c>
      <c r="AC819">
        <v>55.544699999999999</v>
      </c>
      <c r="AD819">
        <v>1</v>
      </c>
      <c r="AE819">
        <v>1</v>
      </c>
      <c r="AF819">
        <v>0</v>
      </c>
      <c r="AG819">
        <v>68597.7</v>
      </c>
      <c r="AH819">
        <v>1235</v>
      </c>
      <c r="AI819">
        <v>1226</v>
      </c>
      <c r="AJ819">
        <v>9</v>
      </c>
      <c r="AK819">
        <v>1</v>
      </c>
      <c r="AL819">
        <v>1</v>
      </c>
      <c r="AM819">
        <v>99.27</v>
      </c>
      <c r="AN819">
        <v>56.779299999999999</v>
      </c>
      <c r="AO819">
        <v>499.9</v>
      </c>
      <c r="AP819" s="13">
        <v>45157</v>
      </c>
      <c r="AQ819">
        <v>-2</v>
      </c>
      <c r="AR819">
        <v>1</v>
      </c>
    </row>
    <row r="820" spans="1:44" x14ac:dyDescent="0.35">
      <c r="A820" s="12" t="s">
        <v>1481</v>
      </c>
      <c r="B820" s="12" t="s">
        <v>378</v>
      </c>
      <c r="C820" s="12" t="s">
        <v>379</v>
      </c>
      <c r="D820" s="12" t="s">
        <v>64</v>
      </c>
      <c r="E820" s="12" t="s">
        <v>104</v>
      </c>
      <c r="F820">
        <v>3</v>
      </c>
      <c r="G820">
        <v>1</v>
      </c>
      <c r="H820">
        <v>0</v>
      </c>
      <c r="I820" s="12" t="s">
        <v>380</v>
      </c>
      <c r="J820" s="12" t="s">
        <v>381</v>
      </c>
      <c r="K820" s="12" t="s">
        <v>89</v>
      </c>
      <c r="L820" s="12" t="s">
        <v>96</v>
      </c>
      <c r="M820">
        <v>10.210000000000001</v>
      </c>
      <c r="N820" s="12" t="s">
        <v>70</v>
      </c>
      <c r="O820" s="12" t="s">
        <v>71</v>
      </c>
      <c r="P820" s="12" t="s">
        <v>72</v>
      </c>
      <c r="Q820" s="13">
        <v>45128</v>
      </c>
      <c r="R820" s="13">
        <v>45147</v>
      </c>
      <c r="S820">
        <v>2023</v>
      </c>
      <c r="T820" s="12" t="s">
        <v>1343</v>
      </c>
      <c r="U820">
        <v>472</v>
      </c>
      <c r="V820">
        <v>15.1972</v>
      </c>
      <c r="W820">
        <v>132.86000000000001</v>
      </c>
      <c r="X820">
        <v>0</v>
      </c>
      <c r="Y820">
        <v>0</v>
      </c>
      <c r="Z820">
        <v>7173.08</v>
      </c>
      <c r="AA820">
        <v>7305.94</v>
      </c>
      <c r="AB820" s="12" t="s">
        <v>382</v>
      </c>
      <c r="AC820">
        <v>16.160900000000002</v>
      </c>
      <c r="AD820">
        <v>1</v>
      </c>
      <c r="AE820">
        <v>1</v>
      </c>
      <c r="AF820">
        <v>-454.87</v>
      </c>
      <c r="AG820">
        <v>7627.94</v>
      </c>
      <c r="AH820">
        <v>472</v>
      </c>
      <c r="AI820">
        <v>469</v>
      </c>
      <c r="AJ820">
        <v>3</v>
      </c>
      <c r="AK820">
        <v>1</v>
      </c>
      <c r="AL820">
        <v>1</v>
      </c>
      <c r="AM820">
        <v>99.36</v>
      </c>
      <c r="AN820">
        <v>15.5777</v>
      </c>
      <c r="AO820">
        <v>45.59</v>
      </c>
      <c r="AP820" s="13">
        <v>45154</v>
      </c>
      <c r="AQ820">
        <v>7</v>
      </c>
      <c r="AR820">
        <v>0</v>
      </c>
    </row>
    <row r="821" spans="1:44" x14ac:dyDescent="0.35">
      <c r="A821" s="12" t="s">
        <v>1482</v>
      </c>
      <c r="B821" s="12" t="s">
        <v>155</v>
      </c>
      <c r="C821" s="12" t="s">
        <v>156</v>
      </c>
      <c r="D821" s="12" t="s">
        <v>130</v>
      </c>
      <c r="E821" s="12" t="s">
        <v>104</v>
      </c>
      <c r="F821">
        <v>3</v>
      </c>
      <c r="G821">
        <v>1</v>
      </c>
      <c r="H821">
        <v>0</v>
      </c>
      <c r="I821" s="12" t="s">
        <v>157</v>
      </c>
      <c r="J821" s="12" t="s">
        <v>158</v>
      </c>
      <c r="K821" s="12" t="s">
        <v>117</v>
      </c>
      <c r="L821" s="12" t="s">
        <v>96</v>
      </c>
      <c r="M821">
        <v>4.72</v>
      </c>
      <c r="N821" s="12" t="s">
        <v>135</v>
      </c>
      <c r="O821" s="12" t="s">
        <v>136</v>
      </c>
      <c r="P821" s="12" t="s">
        <v>137</v>
      </c>
      <c r="Q821" s="13">
        <v>45128</v>
      </c>
      <c r="R821" s="13">
        <v>45141</v>
      </c>
      <c r="S821">
        <v>2023</v>
      </c>
      <c r="T821" s="12" t="s">
        <v>1343</v>
      </c>
      <c r="U821">
        <v>20</v>
      </c>
      <c r="V821">
        <v>206.28880000000001</v>
      </c>
      <c r="W821">
        <v>35.869999999999997</v>
      </c>
      <c r="X821">
        <v>0</v>
      </c>
      <c r="Y821">
        <v>0</v>
      </c>
      <c r="Z821">
        <v>4125.78</v>
      </c>
      <c r="AA821">
        <v>4161.6499999999996</v>
      </c>
      <c r="AB821" s="12" t="s">
        <v>161</v>
      </c>
      <c r="AC821">
        <v>206.28880000000001</v>
      </c>
      <c r="AD821">
        <v>1</v>
      </c>
      <c r="AE821">
        <v>1</v>
      </c>
      <c r="AF821">
        <v>0</v>
      </c>
      <c r="AG821">
        <v>4125.78</v>
      </c>
      <c r="AH821">
        <v>20</v>
      </c>
      <c r="AI821">
        <v>20</v>
      </c>
      <c r="AJ821">
        <v>0</v>
      </c>
      <c r="AK821">
        <v>1</v>
      </c>
      <c r="AL821">
        <v>1</v>
      </c>
      <c r="AM821">
        <v>100</v>
      </c>
      <c r="AN821">
        <v>208.0823</v>
      </c>
      <c r="AO821">
        <v>0</v>
      </c>
      <c r="AP821" s="13">
        <v>45143</v>
      </c>
      <c r="AQ821">
        <v>2</v>
      </c>
      <c r="AR821">
        <v>0</v>
      </c>
    </row>
    <row r="822" spans="1:44" x14ac:dyDescent="0.35">
      <c r="A822" s="12" t="s">
        <v>1483</v>
      </c>
      <c r="B822" s="12" t="s">
        <v>978</v>
      </c>
      <c r="C822" s="12" t="s">
        <v>979</v>
      </c>
      <c r="D822" s="12" t="s">
        <v>122</v>
      </c>
      <c r="E822" s="12" t="s">
        <v>65</v>
      </c>
      <c r="F822">
        <v>1</v>
      </c>
      <c r="G822">
        <v>2</v>
      </c>
      <c r="H822">
        <v>1</v>
      </c>
      <c r="I822" s="12" t="s">
        <v>310</v>
      </c>
      <c r="J822" s="12" t="s">
        <v>311</v>
      </c>
      <c r="K822" s="12" t="s">
        <v>81</v>
      </c>
      <c r="L822" s="12" t="s">
        <v>69</v>
      </c>
      <c r="M822">
        <v>28.3</v>
      </c>
      <c r="N822" s="12" t="s">
        <v>70</v>
      </c>
      <c r="O822" s="12" t="s">
        <v>71</v>
      </c>
      <c r="P822" s="12" t="s">
        <v>72</v>
      </c>
      <c r="Q822" s="13">
        <v>45128</v>
      </c>
      <c r="R822" s="13">
        <v>45150</v>
      </c>
      <c r="S822">
        <v>2023</v>
      </c>
      <c r="T822" s="12" t="s">
        <v>1343</v>
      </c>
      <c r="U822">
        <v>329</v>
      </c>
      <c r="V822">
        <v>43.709699999999998</v>
      </c>
      <c r="W822">
        <v>220.57</v>
      </c>
      <c r="X822">
        <v>0</v>
      </c>
      <c r="Y822">
        <v>0</v>
      </c>
      <c r="Z822">
        <v>14380.49</v>
      </c>
      <c r="AA822">
        <v>14601.06</v>
      </c>
      <c r="AB822" s="12" t="s">
        <v>980</v>
      </c>
      <c r="AC822">
        <v>43.709699999999998</v>
      </c>
      <c r="AD822">
        <v>1</v>
      </c>
      <c r="AE822">
        <v>1</v>
      </c>
      <c r="AF822">
        <v>0</v>
      </c>
      <c r="AG822">
        <v>14380.49</v>
      </c>
      <c r="AH822">
        <v>329</v>
      </c>
      <c r="AI822">
        <v>325</v>
      </c>
      <c r="AJ822">
        <v>4</v>
      </c>
      <c r="AK822">
        <v>1</v>
      </c>
      <c r="AL822">
        <v>1</v>
      </c>
      <c r="AM822">
        <v>98.78</v>
      </c>
      <c r="AN822">
        <v>44.926299999999998</v>
      </c>
      <c r="AO822">
        <v>174.84</v>
      </c>
      <c r="AP822" s="13">
        <v>45147</v>
      </c>
      <c r="AQ822">
        <v>-3</v>
      </c>
      <c r="AR822">
        <v>1</v>
      </c>
    </row>
    <row r="823" spans="1:44" x14ac:dyDescent="0.35">
      <c r="A823" s="12" t="s">
        <v>1484</v>
      </c>
      <c r="B823" s="12" t="s">
        <v>357</v>
      </c>
      <c r="C823" s="12" t="s">
        <v>358</v>
      </c>
      <c r="D823" s="12" t="s">
        <v>103</v>
      </c>
      <c r="E823" s="12" t="s">
        <v>104</v>
      </c>
      <c r="F823">
        <v>3</v>
      </c>
      <c r="G823">
        <v>1</v>
      </c>
      <c r="H823">
        <v>0</v>
      </c>
      <c r="I823" s="12" t="s">
        <v>105</v>
      </c>
      <c r="J823" s="12" t="s">
        <v>106</v>
      </c>
      <c r="K823" s="12" t="s">
        <v>81</v>
      </c>
      <c r="L823" s="12" t="s">
        <v>96</v>
      </c>
      <c r="M823">
        <v>5.01</v>
      </c>
      <c r="N823" s="12" t="s">
        <v>107</v>
      </c>
      <c r="O823" s="12" t="s">
        <v>108</v>
      </c>
      <c r="P823" s="12" t="s">
        <v>109</v>
      </c>
      <c r="Q823" s="13">
        <v>45128</v>
      </c>
      <c r="R823" s="13">
        <v>45151</v>
      </c>
      <c r="S823">
        <v>2023</v>
      </c>
      <c r="T823" s="12" t="s">
        <v>1343</v>
      </c>
      <c r="U823">
        <v>100</v>
      </c>
      <c r="V823">
        <v>110.0446</v>
      </c>
      <c r="W823">
        <v>267.14</v>
      </c>
      <c r="X823">
        <v>0</v>
      </c>
      <c r="Y823">
        <v>0</v>
      </c>
      <c r="Z823">
        <v>11004.46</v>
      </c>
      <c r="AA823">
        <v>11271.6</v>
      </c>
      <c r="AB823" s="12" t="s">
        <v>882</v>
      </c>
      <c r="AC823">
        <v>106.6914</v>
      </c>
      <c r="AD823">
        <v>1</v>
      </c>
      <c r="AE823">
        <v>1</v>
      </c>
      <c r="AF823">
        <v>335.32</v>
      </c>
      <c r="AG823">
        <v>10669.14</v>
      </c>
      <c r="AH823">
        <v>100</v>
      </c>
      <c r="AI823">
        <v>99</v>
      </c>
      <c r="AJ823">
        <v>1</v>
      </c>
      <c r="AK823">
        <v>1</v>
      </c>
      <c r="AL823">
        <v>1</v>
      </c>
      <c r="AM823">
        <v>99</v>
      </c>
      <c r="AN823">
        <v>113.8545</v>
      </c>
      <c r="AO823">
        <v>110.04</v>
      </c>
      <c r="AP823" s="13">
        <v>45151</v>
      </c>
      <c r="AQ823">
        <v>0</v>
      </c>
      <c r="AR823">
        <v>1</v>
      </c>
    </row>
    <row r="824" spans="1:44" x14ac:dyDescent="0.35">
      <c r="A824" s="12" t="s">
        <v>1485</v>
      </c>
      <c r="B824" s="12" t="s">
        <v>92</v>
      </c>
      <c r="C824" s="12" t="s">
        <v>93</v>
      </c>
      <c r="D824" s="12" t="s">
        <v>64</v>
      </c>
      <c r="E824" s="12" t="s">
        <v>65</v>
      </c>
      <c r="F824">
        <v>3</v>
      </c>
      <c r="G824">
        <v>5</v>
      </c>
      <c r="H824">
        <v>0</v>
      </c>
      <c r="I824" s="12" t="s">
        <v>94</v>
      </c>
      <c r="J824" s="12" t="s">
        <v>95</v>
      </c>
      <c r="K824" s="12" t="s">
        <v>81</v>
      </c>
      <c r="L824" s="12" t="s">
        <v>96</v>
      </c>
      <c r="M824">
        <v>4.8099999999999996</v>
      </c>
      <c r="N824" s="12" t="s">
        <v>70</v>
      </c>
      <c r="O824" s="12" t="s">
        <v>71</v>
      </c>
      <c r="P824" s="12" t="s">
        <v>72</v>
      </c>
      <c r="Q824" s="13">
        <v>45128</v>
      </c>
      <c r="R824" s="13">
        <v>45155</v>
      </c>
      <c r="S824">
        <v>2023</v>
      </c>
      <c r="T824" s="12" t="s">
        <v>1343</v>
      </c>
      <c r="U824">
        <v>413</v>
      </c>
      <c r="V824">
        <v>24.617899999999999</v>
      </c>
      <c r="W824">
        <v>69.05</v>
      </c>
      <c r="X824">
        <v>0</v>
      </c>
      <c r="Y824">
        <v>0</v>
      </c>
      <c r="Z824">
        <v>10167.19</v>
      </c>
      <c r="AA824">
        <v>10236.24</v>
      </c>
      <c r="AB824" s="12" t="s">
        <v>99</v>
      </c>
      <c r="AC824">
        <v>24.617899999999999</v>
      </c>
      <c r="AD824">
        <v>1</v>
      </c>
      <c r="AE824">
        <v>1</v>
      </c>
      <c r="AF824">
        <v>0</v>
      </c>
      <c r="AG824">
        <v>10167.19</v>
      </c>
      <c r="AH824">
        <v>413</v>
      </c>
      <c r="AI824">
        <v>410</v>
      </c>
      <c r="AJ824">
        <v>3</v>
      </c>
      <c r="AK824">
        <v>1</v>
      </c>
      <c r="AL824">
        <v>1</v>
      </c>
      <c r="AM824">
        <v>99.27</v>
      </c>
      <c r="AN824">
        <v>24.9664</v>
      </c>
      <c r="AO824">
        <v>73.849999999999994</v>
      </c>
      <c r="AP824" s="13">
        <v>45153</v>
      </c>
      <c r="AQ824">
        <v>-2</v>
      </c>
      <c r="AR824">
        <v>1</v>
      </c>
    </row>
    <row r="825" spans="1:44" x14ac:dyDescent="0.35">
      <c r="A825" s="12" t="s">
        <v>1486</v>
      </c>
      <c r="B825" s="12" t="s">
        <v>289</v>
      </c>
      <c r="C825" s="12" t="s">
        <v>290</v>
      </c>
      <c r="D825" s="12" t="s">
        <v>175</v>
      </c>
      <c r="E825" s="12" t="s">
        <v>104</v>
      </c>
      <c r="F825">
        <v>3</v>
      </c>
      <c r="G825">
        <v>1</v>
      </c>
      <c r="H825">
        <v>0</v>
      </c>
      <c r="I825" s="12" t="s">
        <v>157</v>
      </c>
      <c r="J825" s="12" t="s">
        <v>158</v>
      </c>
      <c r="K825" s="12" t="s">
        <v>117</v>
      </c>
      <c r="L825" s="12" t="s">
        <v>96</v>
      </c>
      <c r="M825">
        <v>4.72</v>
      </c>
      <c r="N825" s="12" t="s">
        <v>107</v>
      </c>
      <c r="O825" s="12" t="s">
        <v>108</v>
      </c>
      <c r="P825" s="12" t="s">
        <v>109</v>
      </c>
      <c r="Q825" s="13">
        <v>45128</v>
      </c>
      <c r="R825" s="13">
        <v>45154</v>
      </c>
      <c r="S825">
        <v>2023</v>
      </c>
      <c r="T825" s="12" t="s">
        <v>1343</v>
      </c>
      <c r="U825">
        <v>122</v>
      </c>
      <c r="V825">
        <v>194.9136</v>
      </c>
      <c r="W825">
        <v>220.34</v>
      </c>
      <c r="X825">
        <v>0</v>
      </c>
      <c r="Y825">
        <v>0</v>
      </c>
      <c r="Z825">
        <v>23779.46</v>
      </c>
      <c r="AA825">
        <v>23999.8</v>
      </c>
      <c r="AB825" s="12" t="s">
        <v>291</v>
      </c>
      <c r="AC825">
        <v>194.9136</v>
      </c>
      <c r="AD825">
        <v>1</v>
      </c>
      <c r="AE825">
        <v>1</v>
      </c>
      <c r="AF825">
        <v>0</v>
      </c>
      <c r="AG825">
        <v>23779.46</v>
      </c>
      <c r="AH825">
        <v>122</v>
      </c>
      <c r="AI825">
        <v>121</v>
      </c>
      <c r="AJ825">
        <v>1</v>
      </c>
      <c r="AK825">
        <v>1</v>
      </c>
      <c r="AL825">
        <v>1</v>
      </c>
      <c r="AM825">
        <v>99.18</v>
      </c>
      <c r="AN825">
        <v>198.34540000000001</v>
      </c>
      <c r="AO825">
        <v>194.91</v>
      </c>
      <c r="AP825" s="13">
        <v>45151</v>
      </c>
      <c r="AQ825">
        <v>-3</v>
      </c>
      <c r="AR825">
        <v>1</v>
      </c>
    </row>
    <row r="826" spans="1:44" x14ac:dyDescent="0.35">
      <c r="A826" s="12" t="s">
        <v>1487</v>
      </c>
      <c r="B826" s="12" t="s">
        <v>85</v>
      </c>
      <c r="C826" s="12" t="s">
        <v>86</v>
      </c>
      <c r="D826" s="12" t="s">
        <v>78</v>
      </c>
      <c r="E826" s="12" t="s">
        <v>65</v>
      </c>
      <c r="F826">
        <v>3</v>
      </c>
      <c r="G826">
        <v>5</v>
      </c>
      <c r="H826">
        <v>0</v>
      </c>
      <c r="I826" s="12" t="s">
        <v>87</v>
      </c>
      <c r="J826" s="12" t="s">
        <v>88</v>
      </c>
      <c r="K826" s="12" t="s">
        <v>89</v>
      </c>
      <c r="L826" s="12" t="s">
        <v>69</v>
      </c>
      <c r="M826">
        <v>14.93</v>
      </c>
      <c r="N826" s="12" t="s">
        <v>97</v>
      </c>
      <c r="O826" s="12" t="s">
        <v>98</v>
      </c>
      <c r="P826" s="12" t="s">
        <v>72</v>
      </c>
      <c r="Q826" s="13">
        <v>45128</v>
      </c>
      <c r="R826" s="13">
        <v>45166</v>
      </c>
      <c r="S826">
        <v>2023</v>
      </c>
      <c r="T826" s="12" t="s">
        <v>1343</v>
      </c>
      <c r="U826">
        <v>299</v>
      </c>
      <c r="V826">
        <v>147.55000000000001</v>
      </c>
      <c r="W826">
        <v>302.72000000000003</v>
      </c>
      <c r="X826">
        <v>0</v>
      </c>
      <c r="Y826">
        <v>0</v>
      </c>
      <c r="Z826">
        <v>44117.45</v>
      </c>
      <c r="AA826">
        <v>44420.17</v>
      </c>
      <c r="AB826" s="12" t="s">
        <v>90</v>
      </c>
      <c r="AC826">
        <v>147.55000000000001</v>
      </c>
      <c r="AD826">
        <v>1</v>
      </c>
      <c r="AE826">
        <v>1</v>
      </c>
      <c r="AF826">
        <v>0</v>
      </c>
      <c r="AG826">
        <v>44117.45</v>
      </c>
      <c r="AH826">
        <v>299</v>
      </c>
      <c r="AI826">
        <v>298</v>
      </c>
      <c r="AJ826">
        <v>1</v>
      </c>
      <c r="AK826">
        <v>1</v>
      </c>
      <c r="AL826">
        <v>1</v>
      </c>
      <c r="AM826">
        <v>99.67</v>
      </c>
      <c r="AN826">
        <v>149.06100000000001</v>
      </c>
      <c r="AO826">
        <v>147.55000000000001</v>
      </c>
      <c r="AP826" s="13">
        <v>45165</v>
      </c>
      <c r="AQ826">
        <v>-1</v>
      </c>
      <c r="AR826">
        <v>1</v>
      </c>
    </row>
    <row r="827" spans="1:44" x14ac:dyDescent="0.35">
      <c r="A827" s="12" t="s">
        <v>1488</v>
      </c>
      <c r="B827" s="12" t="s">
        <v>685</v>
      </c>
      <c r="C827" s="12" t="s">
        <v>686</v>
      </c>
      <c r="D827" s="12" t="s">
        <v>175</v>
      </c>
      <c r="E827" s="12" t="s">
        <v>104</v>
      </c>
      <c r="F827">
        <v>2</v>
      </c>
      <c r="G827">
        <v>0</v>
      </c>
      <c r="H827">
        <v>0</v>
      </c>
      <c r="I827" s="12" t="s">
        <v>195</v>
      </c>
      <c r="J827" s="12" t="s">
        <v>196</v>
      </c>
      <c r="K827" s="12" t="s">
        <v>117</v>
      </c>
      <c r="L827" s="12" t="s">
        <v>134</v>
      </c>
      <c r="M827">
        <v>4.7699999999999996</v>
      </c>
      <c r="N827" s="12" t="s">
        <v>145</v>
      </c>
      <c r="O827" s="12" t="s">
        <v>146</v>
      </c>
      <c r="P827" s="12" t="s">
        <v>109</v>
      </c>
      <c r="Q827" s="13">
        <v>45131</v>
      </c>
      <c r="R827" s="13">
        <v>45153</v>
      </c>
      <c r="S827">
        <v>2023</v>
      </c>
      <c r="T827" s="12" t="s">
        <v>1343</v>
      </c>
      <c r="U827">
        <v>94</v>
      </c>
      <c r="V827">
        <v>221.7389</v>
      </c>
      <c r="W827">
        <v>442.05</v>
      </c>
      <c r="X827">
        <v>0</v>
      </c>
      <c r="Y827">
        <v>0</v>
      </c>
      <c r="Z827">
        <v>20843.46</v>
      </c>
      <c r="AA827">
        <v>21285.51</v>
      </c>
      <c r="AB827" s="12" t="s">
        <v>1210</v>
      </c>
      <c r="AC827">
        <v>221.7389</v>
      </c>
      <c r="AD827">
        <v>1</v>
      </c>
      <c r="AE827">
        <v>1</v>
      </c>
      <c r="AF827">
        <v>0</v>
      </c>
      <c r="AG827">
        <v>20843.46</v>
      </c>
      <c r="AH827">
        <v>94</v>
      </c>
      <c r="AI827">
        <v>94</v>
      </c>
      <c r="AJ827">
        <v>0</v>
      </c>
      <c r="AK827">
        <v>1</v>
      </c>
      <c r="AL827">
        <v>1</v>
      </c>
      <c r="AM827">
        <v>100</v>
      </c>
      <c r="AN827">
        <v>226.44159999999999</v>
      </c>
      <c r="AO827">
        <v>0</v>
      </c>
      <c r="AP827" s="13">
        <v>45152</v>
      </c>
      <c r="AQ827">
        <v>-1</v>
      </c>
      <c r="AR827">
        <v>1</v>
      </c>
    </row>
    <row r="828" spans="1:44" x14ac:dyDescent="0.35">
      <c r="A828" s="12" t="s">
        <v>1489</v>
      </c>
      <c r="B828" s="12" t="s">
        <v>755</v>
      </c>
      <c r="C828" s="12" t="s">
        <v>756</v>
      </c>
      <c r="D828" s="12" t="s">
        <v>78</v>
      </c>
      <c r="E828" s="12" t="s">
        <v>65</v>
      </c>
      <c r="F828">
        <v>2</v>
      </c>
      <c r="G828">
        <v>2</v>
      </c>
      <c r="H828">
        <v>0</v>
      </c>
      <c r="I828" s="12" t="s">
        <v>251</v>
      </c>
      <c r="J828" s="12" t="s">
        <v>252</v>
      </c>
      <c r="K828" s="12" t="s">
        <v>133</v>
      </c>
      <c r="L828" s="12" t="s">
        <v>69</v>
      </c>
      <c r="M828">
        <v>34.49</v>
      </c>
      <c r="N828" s="12" t="s">
        <v>97</v>
      </c>
      <c r="O828" s="12" t="s">
        <v>98</v>
      </c>
      <c r="P828" s="12" t="s">
        <v>72</v>
      </c>
      <c r="Q828" s="13">
        <v>45131</v>
      </c>
      <c r="R828" s="13">
        <v>45159</v>
      </c>
      <c r="S828">
        <v>2023</v>
      </c>
      <c r="T828" s="12" t="s">
        <v>1343</v>
      </c>
      <c r="U828">
        <v>155</v>
      </c>
      <c r="V828">
        <v>47.553100000000001</v>
      </c>
      <c r="W828">
        <v>117.21</v>
      </c>
      <c r="X828">
        <v>0</v>
      </c>
      <c r="Y828">
        <v>0</v>
      </c>
      <c r="Z828">
        <v>7370.73</v>
      </c>
      <c r="AA828">
        <v>7487.94</v>
      </c>
      <c r="AB828" s="12" t="s">
        <v>757</v>
      </c>
      <c r="AC828">
        <v>45.472499999999997</v>
      </c>
      <c r="AD828">
        <v>1</v>
      </c>
      <c r="AE828">
        <v>1</v>
      </c>
      <c r="AF828">
        <v>322.49</v>
      </c>
      <c r="AG828">
        <v>7048.24</v>
      </c>
      <c r="AH828">
        <v>155</v>
      </c>
      <c r="AI828">
        <v>152</v>
      </c>
      <c r="AJ828">
        <v>3</v>
      </c>
      <c r="AK828">
        <v>1</v>
      </c>
      <c r="AL828">
        <v>1</v>
      </c>
      <c r="AM828">
        <v>98.06</v>
      </c>
      <c r="AN828">
        <v>49.262799999999999</v>
      </c>
      <c r="AO828">
        <v>142.66</v>
      </c>
      <c r="AP828" s="13">
        <v>45159</v>
      </c>
      <c r="AQ828">
        <v>0</v>
      </c>
      <c r="AR828">
        <v>1</v>
      </c>
    </row>
    <row r="829" spans="1:44" x14ac:dyDescent="0.35">
      <c r="A829" s="12" t="s">
        <v>1490</v>
      </c>
      <c r="B829" s="12" t="s">
        <v>267</v>
      </c>
      <c r="C829" s="12" t="s">
        <v>268</v>
      </c>
      <c r="D829" s="12" t="s">
        <v>269</v>
      </c>
      <c r="E829" s="12" t="s">
        <v>142</v>
      </c>
      <c r="F829">
        <v>1</v>
      </c>
      <c r="G829">
        <v>8</v>
      </c>
      <c r="H829">
        <v>1</v>
      </c>
      <c r="I829" s="12" t="s">
        <v>94</v>
      </c>
      <c r="J829" s="12" t="s">
        <v>95</v>
      </c>
      <c r="K829" s="12" t="s">
        <v>81</v>
      </c>
      <c r="L829" s="12" t="s">
        <v>96</v>
      </c>
      <c r="M829">
        <v>4.8099999999999996</v>
      </c>
      <c r="N829" s="12" t="s">
        <v>135</v>
      </c>
      <c r="O829" s="12" t="s">
        <v>136</v>
      </c>
      <c r="P829" s="12" t="s">
        <v>137</v>
      </c>
      <c r="Q829" s="13">
        <v>45131</v>
      </c>
      <c r="R829" s="13">
        <v>45166</v>
      </c>
      <c r="S829">
        <v>2023</v>
      </c>
      <c r="T829" s="12" t="s">
        <v>1343</v>
      </c>
      <c r="U829">
        <v>14</v>
      </c>
      <c r="V829">
        <v>247.31829999999999</v>
      </c>
      <c r="W829">
        <v>45.75</v>
      </c>
      <c r="X829">
        <v>0</v>
      </c>
      <c r="Y829">
        <v>0</v>
      </c>
      <c r="Z829">
        <v>3462.46</v>
      </c>
      <c r="AA829">
        <v>3508.21</v>
      </c>
      <c r="AB829" s="12" t="s">
        <v>270</v>
      </c>
      <c r="AC829">
        <v>247.31829999999999</v>
      </c>
      <c r="AD829">
        <v>1</v>
      </c>
      <c r="AE829">
        <v>1</v>
      </c>
      <c r="AF829">
        <v>0</v>
      </c>
      <c r="AG829">
        <v>3462.46</v>
      </c>
      <c r="AH829">
        <v>14</v>
      </c>
      <c r="AI829">
        <v>14</v>
      </c>
      <c r="AJ829">
        <v>0</v>
      </c>
      <c r="AK829">
        <v>1</v>
      </c>
      <c r="AL829">
        <v>1</v>
      </c>
      <c r="AM829">
        <v>100</v>
      </c>
      <c r="AN829">
        <v>250.58619999999999</v>
      </c>
      <c r="AO829">
        <v>0</v>
      </c>
      <c r="AP829" s="13">
        <v>45166</v>
      </c>
      <c r="AQ829">
        <v>0</v>
      </c>
      <c r="AR829">
        <v>1</v>
      </c>
    </row>
    <row r="830" spans="1:44" x14ac:dyDescent="0.35">
      <c r="A830" s="12" t="s">
        <v>1491</v>
      </c>
      <c r="B830" s="12" t="s">
        <v>140</v>
      </c>
      <c r="C830" s="12" t="s">
        <v>141</v>
      </c>
      <c r="D830" s="12" t="s">
        <v>103</v>
      </c>
      <c r="E830" s="12" t="s">
        <v>142</v>
      </c>
      <c r="F830">
        <v>1</v>
      </c>
      <c r="G830">
        <v>7</v>
      </c>
      <c r="H830">
        <v>1</v>
      </c>
      <c r="I830" s="12" t="s">
        <v>143</v>
      </c>
      <c r="J830" s="12" t="s">
        <v>144</v>
      </c>
      <c r="K830" s="12" t="s">
        <v>133</v>
      </c>
      <c r="L830" s="12" t="s">
        <v>96</v>
      </c>
      <c r="M830">
        <v>5.43</v>
      </c>
      <c r="N830" s="12" t="s">
        <v>107</v>
      </c>
      <c r="O830" s="12" t="s">
        <v>108</v>
      </c>
      <c r="P830" s="12" t="s">
        <v>109</v>
      </c>
      <c r="Q830" s="13">
        <v>45131</v>
      </c>
      <c r="R830" s="13">
        <v>45171</v>
      </c>
      <c r="S830">
        <v>2023</v>
      </c>
      <c r="T830" s="12" t="s">
        <v>1343</v>
      </c>
      <c r="U830">
        <v>52</v>
      </c>
      <c r="V830">
        <v>222.7484</v>
      </c>
      <c r="W830">
        <v>282.95999999999998</v>
      </c>
      <c r="X830">
        <v>0</v>
      </c>
      <c r="Y830">
        <v>0</v>
      </c>
      <c r="Z830">
        <v>11582.92</v>
      </c>
      <c r="AA830">
        <v>11865.88</v>
      </c>
      <c r="AB830" s="12" t="s">
        <v>147</v>
      </c>
      <c r="AC830">
        <v>211.78559999999999</v>
      </c>
      <c r="AD830">
        <v>1</v>
      </c>
      <c r="AE830">
        <v>1</v>
      </c>
      <c r="AF830">
        <v>570.07000000000005</v>
      </c>
      <c r="AG830">
        <v>11012.85</v>
      </c>
      <c r="AH830">
        <v>52</v>
      </c>
      <c r="AI830">
        <v>52</v>
      </c>
      <c r="AJ830">
        <v>0</v>
      </c>
      <c r="AK830">
        <v>1</v>
      </c>
      <c r="AL830">
        <v>1</v>
      </c>
      <c r="AM830">
        <v>100</v>
      </c>
      <c r="AN830">
        <v>228.18989999999999</v>
      </c>
      <c r="AO830">
        <v>0</v>
      </c>
      <c r="AP830" s="13">
        <v>45168</v>
      </c>
      <c r="AQ830">
        <v>-3</v>
      </c>
      <c r="AR830">
        <v>1</v>
      </c>
    </row>
    <row r="831" spans="1:44" x14ac:dyDescent="0.35">
      <c r="A831" s="12" t="s">
        <v>1492</v>
      </c>
      <c r="B831" s="12" t="s">
        <v>630</v>
      </c>
      <c r="C831" s="12" t="s">
        <v>631</v>
      </c>
      <c r="D831" s="12" t="s">
        <v>130</v>
      </c>
      <c r="E831" s="12" t="s">
        <v>65</v>
      </c>
      <c r="F831">
        <v>1</v>
      </c>
      <c r="G831">
        <v>2</v>
      </c>
      <c r="H831">
        <v>1</v>
      </c>
      <c r="I831" s="12" t="s">
        <v>335</v>
      </c>
      <c r="J831" s="12" t="s">
        <v>336</v>
      </c>
      <c r="K831" s="12" t="s">
        <v>89</v>
      </c>
      <c r="L831" s="12" t="s">
        <v>82</v>
      </c>
      <c r="M831">
        <v>16</v>
      </c>
      <c r="N831" s="12" t="s">
        <v>159</v>
      </c>
      <c r="O831" s="12" t="s">
        <v>160</v>
      </c>
      <c r="P831" s="12" t="s">
        <v>137</v>
      </c>
      <c r="Q831" s="13">
        <v>45132</v>
      </c>
      <c r="R831" s="13">
        <v>45159</v>
      </c>
      <c r="S831">
        <v>2023</v>
      </c>
      <c r="T831" s="12" t="s">
        <v>1343</v>
      </c>
      <c r="U831">
        <v>58</v>
      </c>
      <c r="V831">
        <v>448.44209999999998</v>
      </c>
      <c r="W831">
        <v>430.7</v>
      </c>
      <c r="X831">
        <v>0</v>
      </c>
      <c r="Y831">
        <v>0</v>
      </c>
      <c r="Z831">
        <v>26009.64</v>
      </c>
      <c r="AA831">
        <v>26440.34</v>
      </c>
      <c r="AB831" s="12" t="s">
        <v>632</v>
      </c>
      <c r="AC831">
        <v>448.44209999999998</v>
      </c>
      <c r="AD831">
        <v>1</v>
      </c>
      <c r="AE831">
        <v>1</v>
      </c>
      <c r="AF831">
        <v>0</v>
      </c>
      <c r="AG831">
        <v>26009.64</v>
      </c>
      <c r="AH831">
        <v>58</v>
      </c>
      <c r="AI831">
        <v>57</v>
      </c>
      <c r="AJ831">
        <v>1</v>
      </c>
      <c r="AK831">
        <v>1</v>
      </c>
      <c r="AL831">
        <v>1</v>
      </c>
      <c r="AM831">
        <v>98.28</v>
      </c>
      <c r="AN831">
        <v>463.86559999999997</v>
      </c>
      <c r="AO831">
        <v>448.44</v>
      </c>
      <c r="AP831" s="13">
        <v>45163</v>
      </c>
      <c r="AQ831">
        <v>4</v>
      </c>
      <c r="AR831">
        <v>0</v>
      </c>
    </row>
    <row r="832" spans="1:44" x14ac:dyDescent="0.35">
      <c r="A832" s="12" t="s">
        <v>1493</v>
      </c>
      <c r="B832" s="12" t="s">
        <v>1054</v>
      </c>
      <c r="C832" s="12" t="s">
        <v>1055</v>
      </c>
      <c r="D832" s="12" t="s">
        <v>122</v>
      </c>
      <c r="E832" s="12" t="s">
        <v>65</v>
      </c>
      <c r="F832">
        <v>1</v>
      </c>
      <c r="G832">
        <v>2</v>
      </c>
      <c r="H832">
        <v>1</v>
      </c>
      <c r="I832" s="12" t="s">
        <v>176</v>
      </c>
      <c r="J832" s="12" t="s">
        <v>177</v>
      </c>
      <c r="K832" s="12" t="s">
        <v>125</v>
      </c>
      <c r="L832" s="12" t="s">
        <v>134</v>
      </c>
      <c r="M832">
        <v>1.75</v>
      </c>
      <c r="N832" s="12" t="s">
        <v>70</v>
      </c>
      <c r="O832" s="12" t="s">
        <v>71</v>
      </c>
      <c r="P832" s="12" t="s">
        <v>72</v>
      </c>
      <c r="Q832" s="13">
        <v>45132</v>
      </c>
      <c r="R832" s="13">
        <v>45153</v>
      </c>
      <c r="S832">
        <v>2023</v>
      </c>
      <c r="T832" s="12" t="s">
        <v>1343</v>
      </c>
      <c r="U832">
        <v>248</v>
      </c>
      <c r="V832">
        <v>46.916699999999999</v>
      </c>
      <c r="W832">
        <v>187.59</v>
      </c>
      <c r="X832">
        <v>0</v>
      </c>
      <c r="Y832">
        <v>0</v>
      </c>
      <c r="Z832">
        <v>11635.34</v>
      </c>
      <c r="AA832">
        <v>11822.93</v>
      </c>
      <c r="AB832" s="12" t="s">
        <v>1056</v>
      </c>
      <c r="AC832">
        <v>46.916699999999999</v>
      </c>
      <c r="AD832">
        <v>1</v>
      </c>
      <c r="AE832">
        <v>1</v>
      </c>
      <c r="AF832">
        <v>0</v>
      </c>
      <c r="AG832">
        <v>11635.34</v>
      </c>
      <c r="AH832">
        <v>248</v>
      </c>
      <c r="AI832">
        <v>247</v>
      </c>
      <c r="AJ832">
        <v>1</v>
      </c>
      <c r="AK832">
        <v>1</v>
      </c>
      <c r="AL832">
        <v>1</v>
      </c>
      <c r="AM832">
        <v>99.6</v>
      </c>
      <c r="AN832">
        <v>47.866100000000003</v>
      </c>
      <c r="AO832">
        <v>46.92</v>
      </c>
      <c r="AP832" s="13">
        <v>45152</v>
      </c>
      <c r="AQ832">
        <v>-1</v>
      </c>
      <c r="AR832">
        <v>1</v>
      </c>
    </row>
    <row r="833" spans="1:44" x14ac:dyDescent="0.35">
      <c r="A833" s="12" t="s">
        <v>1494</v>
      </c>
      <c r="B833" s="12" t="s">
        <v>503</v>
      </c>
      <c r="C833" s="12" t="s">
        <v>504</v>
      </c>
      <c r="D833" s="12" t="s">
        <v>103</v>
      </c>
      <c r="E833" s="12" t="s">
        <v>104</v>
      </c>
      <c r="F833">
        <v>3</v>
      </c>
      <c r="G833">
        <v>1</v>
      </c>
      <c r="H833">
        <v>0</v>
      </c>
      <c r="I833" s="12" t="s">
        <v>94</v>
      </c>
      <c r="J833" s="12" t="s">
        <v>95</v>
      </c>
      <c r="K833" s="12" t="s">
        <v>81</v>
      </c>
      <c r="L833" s="12" t="s">
        <v>96</v>
      </c>
      <c r="M833">
        <v>4.8099999999999996</v>
      </c>
      <c r="N833" s="12" t="s">
        <v>145</v>
      </c>
      <c r="O833" s="12" t="s">
        <v>146</v>
      </c>
      <c r="P833" s="12" t="s">
        <v>109</v>
      </c>
      <c r="Q833" s="13">
        <v>45132</v>
      </c>
      <c r="R833" s="13">
        <v>45156</v>
      </c>
      <c r="S833">
        <v>2023</v>
      </c>
      <c r="T833" s="12" t="s">
        <v>1343</v>
      </c>
      <c r="U833">
        <v>109</v>
      </c>
      <c r="V833">
        <v>181.27070000000001</v>
      </c>
      <c r="W833">
        <v>213.22</v>
      </c>
      <c r="X833">
        <v>0</v>
      </c>
      <c r="Y833">
        <v>0</v>
      </c>
      <c r="Z833">
        <v>19758.509999999998</v>
      </c>
      <c r="AA833">
        <v>19971.73</v>
      </c>
      <c r="AB833" s="12" t="s">
        <v>201</v>
      </c>
      <c r="AD833">
        <v>0</v>
      </c>
      <c r="AE833">
        <v>0</v>
      </c>
      <c r="AH833">
        <v>109</v>
      </c>
      <c r="AI833">
        <v>109</v>
      </c>
      <c r="AJ833">
        <v>0</v>
      </c>
      <c r="AK833">
        <v>1</v>
      </c>
      <c r="AL833">
        <v>1</v>
      </c>
      <c r="AM833">
        <v>100</v>
      </c>
      <c r="AN833">
        <v>183.2268</v>
      </c>
      <c r="AO833">
        <v>0</v>
      </c>
      <c r="AP833" s="13">
        <v>45156</v>
      </c>
      <c r="AQ833">
        <v>0</v>
      </c>
      <c r="AR833">
        <v>1</v>
      </c>
    </row>
    <row r="834" spans="1:44" x14ac:dyDescent="0.35">
      <c r="A834" s="12" t="s">
        <v>1495</v>
      </c>
      <c r="B834" s="12" t="s">
        <v>1220</v>
      </c>
      <c r="C834" s="12" t="s">
        <v>1221</v>
      </c>
      <c r="D834" s="12" t="s">
        <v>175</v>
      </c>
      <c r="E834" s="12" t="s">
        <v>104</v>
      </c>
      <c r="F834">
        <v>3</v>
      </c>
      <c r="G834">
        <v>1</v>
      </c>
      <c r="H834">
        <v>0</v>
      </c>
      <c r="I834" s="12" t="s">
        <v>251</v>
      </c>
      <c r="J834" s="12" t="s">
        <v>252</v>
      </c>
      <c r="K834" s="12" t="s">
        <v>133</v>
      </c>
      <c r="L834" s="12" t="s">
        <v>69</v>
      </c>
      <c r="M834">
        <v>34.49</v>
      </c>
      <c r="N834" s="12" t="s">
        <v>107</v>
      </c>
      <c r="O834" s="12" t="s">
        <v>108</v>
      </c>
      <c r="P834" s="12" t="s">
        <v>109</v>
      </c>
      <c r="Q834" s="13">
        <v>45132</v>
      </c>
      <c r="R834" s="13">
        <v>45150</v>
      </c>
      <c r="S834">
        <v>2023</v>
      </c>
      <c r="T834" s="12" t="s">
        <v>1343</v>
      </c>
      <c r="U834">
        <v>59</v>
      </c>
      <c r="V834">
        <v>138.98759999999999</v>
      </c>
      <c r="W834">
        <v>94.78</v>
      </c>
      <c r="X834">
        <v>0</v>
      </c>
      <c r="Y834">
        <v>0</v>
      </c>
      <c r="Z834">
        <v>8200.27</v>
      </c>
      <c r="AA834">
        <v>8295.0499999999993</v>
      </c>
      <c r="AB834" s="12" t="s">
        <v>1438</v>
      </c>
      <c r="AC834">
        <v>138.98759999999999</v>
      </c>
      <c r="AD834">
        <v>1</v>
      </c>
      <c r="AE834">
        <v>1</v>
      </c>
      <c r="AF834">
        <v>0</v>
      </c>
      <c r="AG834">
        <v>8200.27</v>
      </c>
      <c r="AH834">
        <v>59</v>
      </c>
      <c r="AI834">
        <v>59</v>
      </c>
      <c r="AJ834">
        <v>0</v>
      </c>
      <c r="AK834">
        <v>1</v>
      </c>
      <c r="AL834">
        <v>1</v>
      </c>
      <c r="AM834">
        <v>100</v>
      </c>
      <c r="AN834">
        <v>140.59399999999999</v>
      </c>
      <c r="AO834">
        <v>0</v>
      </c>
      <c r="AP834" s="13">
        <v>45149</v>
      </c>
      <c r="AQ834">
        <v>-1</v>
      </c>
      <c r="AR834">
        <v>1</v>
      </c>
    </row>
    <row r="835" spans="1:44" x14ac:dyDescent="0.35">
      <c r="A835" s="12" t="s">
        <v>1496</v>
      </c>
      <c r="B835" s="12" t="s">
        <v>848</v>
      </c>
      <c r="C835" s="12" t="s">
        <v>849</v>
      </c>
      <c r="D835" s="12" t="s">
        <v>103</v>
      </c>
      <c r="E835" s="12" t="s">
        <v>65</v>
      </c>
      <c r="F835">
        <v>2</v>
      </c>
      <c r="G835">
        <v>4</v>
      </c>
      <c r="H835">
        <v>0</v>
      </c>
      <c r="I835" s="12" t="s">
        <v>169</v>
      </c>
      <c r="J835" s="12" t="s">
        <v>170</v>
      </c>
      <c r="K835" s="12" t="s">
        <v>89</v>
      </c>
      <c r="L835" s="12" t="s">
        <v>134</v>
      </c>
      <c r="M835">
        <v>1.37</v>
      </c>
      <c r="N835" s="12" t="s">
        <v>145</v>
      </c>
      <c r="O835" s="12" t="s">
        <v>146</v>
      </c>
      <c r="P835" s="12" t="s">
        <v>109</v>
      </c>
      <c r="Q835" s="13">
        <v>45132</v>
      </c>
      <c r="R835" s="13">
        <v>45165</v>
      </c>
      <c r="S835">
        <v>2023</v>
      </c>
      <c r="T835" s="12" t="s">
        <v>1343</v>
      </c>
      <c r="U835">
        <v>106</v>
      </c>
      <c r="V835">
        <v>123.8275</v>
      </c>
      <c r="W835">
        <v>322.39999999999998</v>
      </c>
      <c r="X835">
        <v>0</v>
      </c>
      <c r="Y835">
        <v>0</v>
      </c>
      <c r="Z835">
        <v>13125.72</v>
      </c>
      <c r="AA835">
        <v>13448.12</v>
      </c>
      <c r="AB835" s="12" t="s">
        <v>1497</v>
      </c>
      <c r="AC835">
        <v>123.8275</v>
      </c>
      <c r="AD835">
        <v>1</v>
      </c>
      <c r="AE835">
        <v>1</v>
      </c>
      <c r="AF835">
        <v>0</v>
      </c>
      <c r="AG835">
        <v>13125.72</v>
      </c>
      <c r="AH835">
        <v>106</v>
      </c>
      <c r="AI835">
        <v>105</v>
      </c>
      <c r="AJ835">
        <v>1</v>
      </c>
      <c r="AK835">
        <v>1</v>
      </c>
      <c r="AL835">
        <v>1</v>
      </c>
      <c r="AM835">
        <v>99.06</v>
      </c>
      <c r="AN835">
        <v>128.07730000000001</v>
      </c>
      <c r="AO835">
        <v>123.83</v>
      </c>
      <c r="AP835" s="13">
        <v>45162</v>
      </c>
      <c r="AQ835">
        <v>-3</v>
      </c>
      <c r="AR835">
        <v>1</v>
      </c>
    </row>
    <row r="836" spans="1:44" x14ac:dyDescent="0.35">
      <c r="A836" s="12" t="s">
        <v>1498</v>
      </c>
      <c r="B836" s="12" t="s">
        <v>128</v>
      </c>
      <c r="C836" s="12" t="s">
        <v>129</v>
      </c>
      <c r="D836" s="12" t="s">
        <v>130</v>
      </c>
      <c r="E836" s="12" t="s">
        <v>65</v>
      </c>
      <c r="F836">
        <v>3</v>
      </c>
      <c r="G836">
        <v>5</v>
      </c>
      <c r="H836">
        <v>0</v>
      </c>
      <c r="I836" s="12" t="s">
        <v>380</v>
      </c>
      <c r="J836" s="12" t="s">
        <v>381</v>
      </c>
      <c r="K836" s="12" t="s">
        <v>89</v>
      </c>
      <c r="L836" s="12" t="s">
        <v>96</v>
      </c>
      <c r="M836">
        <v>10.210000000000001</v>
      </c>
      <c r="N836" s="12" t="s">
        <v>159</v>
      </c>
      <c r="O836" s="12" t="s">
        <v>160</v>
      </c>
      <c r="P836" s="12" t="s">
        <v>137</v>
      </c>
      <c r="Q836" s="13">
        <v>45132</v>
      </c>
      <c r="R836" s="13">
        <v>45166</v>
      </c>
      <c r="S836">
        <v>2023</v>
      </c>
      <c r="T836" s="12" t="s">
        <v>1343</v>
      </c>
      <c r="U836">
        <v>114</v>
      </c>
      <c r="V836">
        <v>501.92320000000001</v>
      </c>
      <c r="W836">
        <v>1147.45</v>
      </c>
      <c r="X836">
        <v>0</v>
      </c>
      <c r="Y836">
        <v>0</v>
      </c>
      <c r="Z836">
        <v>57219.24</v>
      </c>
      <c r="AA836">
        <v>58366.69</v>
      </c>
      <c r="AB836" s="12" t="s">
        <v>1499</v>
      </c>
      <c r="AC836">
        <v>501.92320000000001</v>
      </c>
      <c r="AD836">
        <v>1</v>
      </c>
      <c r="AE836">
        <v>1</v>
      </c>
      <c r="AF836">
        <v>0</v>
      </c>
      <c r="AG836">
        <v>57219.24</v>
      </c>
      <c r="AH836">
        <v>114</v>
      </c>
      <c r="AI836">
        <v>112</v>
      </c>
      <c r="AJ836">
        <v>2</v>
      </c>
      <c r="AK836">
        <v>1</v>
      </c>
      <c r="AL836">
        <v>1</v>
      </c>
      <c r="AM836">
        <v>98.25</v>
      </c>
      <c r="AN836">
        <v>521.13120000000004</v>
      </c>
      <c r="AO836">
        <v>1003.85</v>
      </c>
      <c r="AP836" s="13">
        <v>45164</v>
      </c>
      <c r="AQ836">
        <v>-2</v>
      </c>
      <c r="AR836">
        <v>1</v>
      </c>
    </row>
    <row r="837" spans="1:44" x14ac:dyDescent="0.35">
      <c r="A837" s="12" t="s">
        <v>1500</v>
      </c>
      <c r="B837" s="12" t="s">
        <v>787</v>
      </c>
      <c r="C837" s="12" t="s">
        <v>788</v>
      </c>
      <c r="D837" s="12" t="s">
        <v>269</v>
      </c>
      <c r="E837" s="12" t="s">
        <v>65</v>
      </c>
      <c r="F837">
        <v>2</v>
      </c>
      <c r="G837">
        <v>3</v>
      </c>
      <c r="H837">
        <v>0</v>
      </c>
      <c r="I837" s="12" t="s">
        <v>143</v>
      </c>
      <c r="J837" s="12" t="s">
        <v>144</v>
      </c>
      <c r="K837" s="12" t="s">
        <v>133</v>
      </c>
      <c r="L837" s="12" t="s">
        <v>96</v>
      </c>
      <c r="M837">
        <v>5.43</v>
      </c>
      <c r="N837" s="12" t="s">
        <v>135</v>
      </c>
      <c r="O837" s="12" t="s">
        <v>136</v>
      </c>
      <c r="P837" s="12" t="s">
        <v>137</v>
      </c>
      <c r="Q837" s="13">
        <v>45132</v>
      </c>
      <c r="R837" s="13">
        <v>45153</v>
      </c>
      <c r="S837">
        <v>2023</v>
      </c>
      <c r="T837" s="12" t="s">
        <v>1343</v>
      </c>
      <c r="U837">
        <v>11</v>
      </c>
      <c r="V837">
        <v>333.27839999999998</v>
      </c>
      <c r="W837">
        <v>56.64</v>
      </c>
      <c r="X837">
        <v>0</v>
      </c>
      <c r="Y837">
        <v>0</v>
      </c>
      <c r="Z837">
        <v>3666.06</v>
      </c>
      <c r="AA837">
        <v>3722.7</v>
      </c>
      <c r="AB837" s="12" t="s">
        <v>789</v>
      </c>
      <c r="AC837">
        <v>354.36430000000001</v>
      </c>
      <c r="AD837">
        <v>1</v>
      </c>
      <c r="AE837">
        <v>1</v>
      </c>
      <c r="AF837">
        <v>-231.94</v>
      </c>
      <c r="AG837">
        <v>3898.01</v>
      </c>
      <c r="AH837">
        <v>11</v>
      </c>
      <c r="AI837">
        <v>11</v>
      </c>
      <c r="AJ837">
        <v>0</v>
      </c>
      <c r="AK837">
        <v>1</v>
      </c>
      <c r="AL837">
        <v>1</v>
      </c>
      <c r="AM837">
        <v>100</v>
      </c>
      <c r="AN837">
        <v>338.42750000000001</v>
      </c>
      <c r="AO837">
        <v>0</v>
      </c>
      <c r="AP837" s="13">
        <v>45150</v>
      </c>
      <c r="AQ837">
        <v>-3</v>
      </c>
      <c r="AR837">
        <v>1</v>
      </c>
    </row>
    <row r="838" spans="1:44" x14ac:dyDescent="0.35">
      <c r="A838" s="12" t="s">
        <v>1501</v>
      </c>
      <c r="B838" s="12" t="s">
        <v>494</v>
      </c>
      <c r="C838" s="12" t="s">
        <v>495</v>
      </c>
      <c r="D838" s="12" t="s">
        <v>175</v>
      </c>
      <c r="E838" s="12" t="s">
        <v>65</v>
      </c>
      <c r="F838">
        <v>2</v>
      </c>
      <c r="G838">
        <v>3</v>
      </c>
      <c r="H838">
        <v>0</v>
      </c>
      <c r="I838" s="12" t="s">
        <v>515</v>
      </c>
      <c r="J838" s="12" t="s">
        <v>516</v>
      </c>
      <c r="K838" s="12" t="s">
        <v>68</v>
      </c>
      <c r="L838" s="12" t="s">
        <v>134</v>
      </c>
      <c r="M838">
        <v>3.69</v>
      </c>
      <c r="N838" s="12" t="s">
        <v>145</v>
      </c>
      <c r="O838" s="12" t="s">
        <v>146</v>
      </c>
      <c r="P838" s="12" t="s">
        <v>109</v>
      </c>
      <c r="Q838" s="13">
        <v>45132</v>
      </c>
      <c r="R838" s="13">
        <v>45158</v>
      </c>
      <c r="S838">
        <v>2023</v>
      </c>
      <c r="T838" s="12" t="s">
        <v>1343</v>
      </c>
      <c r="U838">
        <v>49</v>
      </c>
      <c r="V838">
        <v>170.65889999999999</v>
      </c>
      <c r="W838">
        <v>158.5</v>
      </c>
      <c r="X838">
        <v>0</v>
      </c>
      <c r="Y838">
        <v>0</v>
      </c>
      <c r="Z838">
        <v>8362.2900000000009</v>
      </c>
      <c r="AA838">
        <v>8520.7900000000009</v>
      </c>
      <c r="AB838" s="12" t="s">
        <v>982</v>
      </c>
      <c r="AC838">
        <v>161.94200000000001</v>
      </c>
      <c r="AD838">
        <v>1</v>
      </c>
      <c r="AE838">
        <v>1</v>
      </c>
      <c r="AF838">
        <v>427.13</v>
      </c>
      <c r="AG838">
        <v>7935.16</v>
      </c>
      <c r="AH838">
        <v>49</v>
      </c>
      <c r="AI838">
        <v>48</v>
      </c>
      <c r="AJ838">
        <v>1</v>
      </c>
      <c r="AK838">
        <v>1</v>
      </c>
      <c r="AL838">
        <v>1</v>
      </c>
      <c r="AM838">
        <v>97.96</v>
      </c>
      <c r="AN838">
        <v>177.5164</v>
      </c>
      <c r="AO838">
        <v>170.66</v>
      </c>
      <c r="AP838" s="13">
        <v>45155</v>
      </c>
      <c r="AQ838">
        <v>-3</v>
      </c>
      <c r="AR838">
        <v>1</v>
      </c>
    </row>
    <row r="839" spans="1:44" x14ac:dyDescent="0.35">
      <c r="A839" s="12" t="s">
        <v>1502</v>
      </c>
      <c r="B839" s="12" t="s">
        <v>587</v>
      </c>
      <c r="C839" s="12" t="s">
        <v>588</v>
      </c>
      <c r="D839" s="12" t="s">
        <v>122</v>
      </c>
      <c r="E839" s="12" t="s">
        <v>104</v>
      </c>
      <c r="F839">
        <v>2</v>
      </c>
      <c r="G839">
        <v>0</v>
      </c>
      <c r="H839">
        <v>0</v>
      </c>
      <c r="I839" s="12" t="s">
        <v>486</v>
      </c>
      <c r="J839" s="12" t="s">
        <v>487</v>
      </c>
      <c r="K839" s="12" t="s">
        <v>125</v>
      </c>
      <c r="L839" s="12" t="s">
        <v>69</v>
      </c>
      <c r="M839">
        <v>36.86</v>
      </c>
      <c r="N839" s="12" t="s">
        <v>97</v>
      </c>
      <c r="O839" s="12" t="s">
        <v>98</v>
      </c>
      <c r="P839" s="12" t="s">
        <v>72</v>
      </c>
      <c r="Q839" s="13">
        <v>45132</v>
      </c>
      <c r="R839" s="13">
        <v>45154</v>
      </c>
      <c r="S839">
        <v>2023</v>
      </c>
      <c r="T839" s="12" t="s">
        <v>1343</v>
      </c>
      <c r="U839">
        <v>1202</v>
      </c>
      <c r="V839">
        <v>12.517899999999999</v>
      </c>
      <c r="W839">
        <v>237.93</v>
      </c>
      <c r="X839">
        <v>0</v>
      </c>
      <c r="Y839">
        <v>0</v>
      </c>
      <c r="Z839">
        <v>15046.52</v>
      </c>
      <c r="AA839">
        <v>15284.45</v>
      </c>
      <c r="AB839" s="12" t="s">
        <v>744</v>
      </c>
      <c r="AC839">
        <v>12.517899999999999</v>
      </c>
      <c r="AD839">
        <v>1</v>
      </c>
      <c r="AE839">
        <v>1</v>
      </c>
      <c r="AF839">
        <v>0</v>
      </c>
      <c r="AG839">
        <v>15046.52</v>
      </c>
      <c r="AH839">
        <v>1202</v>
      </c>
      <c r="AI839">
        <v>1196</v>
      </c>
      <c r="AJ839">
        <v>6</v>
      </c>
      <c r="AK839">
        <v>1</v>
      </c>
      <c r="AL839">
        <v>1</v>
      </c>
      <c r="AM839">
        <v>99.5</v>
      </c>
      <c r="AN839">
        <v>12.7796</v>
      </c>
      <c r="AO839">
        <v>75.11</v>
      </c>
      <c r="AP839" s="13">
        <v>45151</v>
      </c>
      <c r="AQ839">
        <v>-3</v>
      </c>
      <c r="AR839">
        <v>1</v>
      </c>
    </row>
    <row r="840" spans="1:44" x14ac:dyDescent="0.35">
      <c r="A840" s="12" t="s">
        <v>1503</v>
      </c>
      <c r="B840" s="12" t="s">
        <v>317</v>
      </c>
      <c r="C840" s="12" t="s">
        <v>318</v>
      </c>
      <c r="D840" s="12" t="s">
        <v>64</v>
      </c>
      <c r="E840" s="12" t="s">
        <v>104</v>
      </c>
      <c r="F840">
        <v>2</v>
      </c>
      <c r="G840">
        <v>0</v>
      </c>
      <c r="H840">
        <v>0</v>
      </c>
      <c r="I840" s="12" t="s">
        <v>183</v>
      </c>
      <c r="J840" s="12" t="s">
        <v>184</v>
      </c>
      <c r="K840" s="12" t="s">
        <v>133</v>
      </c>
      <c r="L840" s="12" t="s">
        <v>82</v>
      </c>
      <c r="M840">
        <v>8.6199999999999992</v>
      </c>
      <c r="N840" s="12" t="s">
        <v>97</v>
      </c>
      <c r="O840" s="12" t="s">
        <v>98</v>
      </c>
      <c r="P840" s="12" t="s">
        <v>72</v>
      </c>
      <c r="Q840" s="13">
        <v>45133</v>
      </c>
      <c r="R840" s="13">
        <v>45156</v>
      </c>
      <c r="S840">
        <v>2023</v>
      </c>
      <c r="T840" s="12" t="s">
        <v>1343</v>
      </c>
      <c r="U840">
        <v>676</v>
      </c>
      <c r="V840">
        <v>16.430499999999999</v>
      </c>
      <c r="W840">
        <v>138.79</v>
      </c>
      <c r="X840">
        <v>0</v>
      </c>
      <c r="Y840">
        <v>0</v>
      </c>
      <c r="Z840">
        <v>11107.02</v>
      </c>
      <c r="AA840">
        <v>11245.81</v>
      </c>
      <c r="AB840" s="12" t="s">
        <v>1504</v>
      </c>
      <c r="AC840">
        <v>15.848100000000001</v>
      </c>
      <c r="AD840">
        <v>1</v>
      </c>
      <c r="AE840">
        <v>1</v>
      </c>
      <c r="AF840">
        <v>393.7</v>
      </c>
      <c r="AG840">
        <v>10713.32</v>
      </c>
      <c r="AH840">
        <v>676</v>
      </c>
      <c r="AI840">
        <v>674</v>
      </c>
      <c r="AJ840">
        <v>2</v>
      </c>
      <c r="AK840">
        <v>1</v>
      </c>
      <c r="AL840">
        <v>1</v>
      </c>
      <c r="AM840">
        <v>99.7</v>
      </c>
      <c r="AN840">
        <v>16.685199999999998</v>
      </c>
      <c r="AO840">
        <v>32.86</v>
      </c>
      <c r="AP840" s="13">
        <v>45156</v>
      </c>
      <c r="AQ840">
        <v>0</v>
      </c>
      <c r="AR840">
        <v>1</v>
      </c>
    </row>
    <row r="841" spans="1:44" x14ac:dyDescent="0.35">
      <c r="A841" s="12" t="s">
        <v>1505</v>
      </c>
      <c r="B841" s="12" t="s">
        <v>548</v>
      </c>
      <c r="C841" s="12" t="s">
        <v>549</v>
      </c>
      <c r="D841" s="12" t="s">
        <v>78</v>
      </c>
      <c r="E841" s="12" t="s">
        <v>104</v>
      </c>
      <c r="F841">
        <v>3</v>
      </c>
      <c r="G841">
        <v>1</v>
      </c>
      <c r="H841">
        <v>0</v>
      </c>
      <c r="I841" s="12" t="s">
        <v>223</v>
      </c>
      <c r="J841" s="12" t="s">
        <v>224</v>
      </c>
      <c r="K841" s="12" t="s">
        <v>81</v>
      </c>
      <c r="L841" s="12" t="s">
        <v>134</v>
      </c>
      <c r="M841">
        <v>2.4900000000000002</v>
      </c>
      <c r="N841" s="12" t="s">
        <v>70</v>
      </c>
      <c r="O841" s="12" t="s">
        <v>71</v>
      </c>
      <c r="P841" s="12" t="s">
        <v>72</v>
      </c>
      <c r="Q841" s="13">
        <v>45133</v>
      </c>
      <c r="R841" s="13">
        <v>45161</v>
      </c>
      <c r="S841">
        <v>2023</v>
      </c>
      <c r="T841" s="12" t="s">
        <v>1343</v>
      </c>
      <c r="U841">
        <v>271</v>
      </c>
      <c r="V841">
        <v>62.471600000000002</v>
      </c>
      <c r="W841">
        <v>438.3</v>
      </c>
      <c r="X841">
        <v>0</v>
      </c>
      <c r="Y841">
        <v>0</v>
      </c>
      <c r="Z841">
        <v>16929.8</v>
      </c>
      <c r="AA841">
        <v>17368.099999999999</v>
      </c>
      <c r="AB841" s="12" t="s">
        <v>550</v>
      </c>
      <c r="AC841">
        <v>62.471600000000002</v>
      </c>
      <c r="AD841">
        <v>1</v>
      </c>
      <c r="AE841">
        <v>1</v>
      </c>
      <c r="AF841">
        <v>0</v>
      </c>
      <c r="AG841">
        <v>16929.8</v>
      </c>
      <c r="AH841">
        <v>271</v>
      </c>
      <c r="AI841">
        <v>269</v>
      </c>
      <c r="AJ841">
        <v>2</v>
      </c>
      <c r="AK841">
        <v>1</v>
      </c>
      <c r="AL841">
        <v>1</v>
      </c>
      <c r="AM841">
        <v>99.26</v>
      </c>
      <c r="AN841">
        <v>64.565399999999997</v>
      </c>
      <c r="AO841">
        <v>124.94</v>
      </c>
      <c r="AP841" s="13">
        <v>45160</v>
      </c>
      <c r="AQ841">
        <v>-1</v>
      </c>
      <c r="AR841">
        <v>1</v>
      </c>
    </row>
    <row r="842" spans="1:44" x14ac:dyDescent="0.35">
      <c r="A842" s="12" t="s">
        <v>1506</v>
      </c>
      <c r="B842" s="12" t="s">
        <v>694</v>
      </c>
      <c r="C842" s="12" t="s">
        <v>695</v>
      </c>
      <c r="D842" s="12" t="s">
        <v>103</v>
      </c>
      <c r="E842" s="12" t="s">
        <v>65</v>
      </c>
      <c r="F842">
        <v>2</v>
      </c>
      <c r="G842">
        <v>3</v>
      </c>
      <c r="H842">
        <v>0</v>
      </c>
      <c r="I842" s="12" t="s">
        <v>94</v>
      </c>
      <c r="J842" s="12" t="s">
        <v>95</v>
      </c>
      <c r="K842" s="12" t="s">
        <v>81</v>
      </c>
      <c r="L842" s="12" t="s">
        <v>96</v>
      </c>
      <c r="M842">
        <v>4.8099999999999996</v>
      </c>
      <c r="N842" s="12" t="s">
        <v>145</v>
      </c>
      <c r="O842" s="12" t="s">
        <v>146</v>
      </c>
      <c r="P842" s="12" t="s">
        <v>109</v>
      </c>
      <c r="Q842" s="13">
        <v>45133</v>
      </c>
      <c r="R842" s="13">
        <v>45171</v>
      </c>
      <c r="S842">
        <v>2023</v>
      </c>
      <c r="T842" s="12" t="s">
        <v>1343</v>
      </c>
      <c r="U842">
        <v>144</v>
      </c>
      <c r="V842">
        <v>222.77709999999999</v>
      </c>
      <c r="W842">
        <v>831.39</v>
      </c>
      <c r="X842">
        <v>0</v>
      </c>
      <c r="Y842">
        <v>0</v>
      </c>
      <c r="Z842">
        <v>32079.9</v>
      </c>
      <c r="AA842">
        <v>32911.29</v>
      </c>
      <c r="AB842" s="12" t="s">
        <v>1507</v>
      </c>
      <c r="AC842">
        <v>215.60980000000001</v>
      </c>
      <c r="AD842">
        <v>1</v>
      </c>
      <c r="AE842">
        <v>1</v>
      </c>
      <c r="AF842">
        <v>1032.0899999999999</v>
      </c>
      <c r="AG842">
        <v>31047.81</v>
      </c>
      <c r="AH842">
        <v>144</v>
      </c>
      <c r="AI842">
        <v>142</v>
      </c>
      <c r="AJ842">
        <v>2</v>
      </c>
      <c r="AK842">
        <v>1</v>
      </c>
      <c r="AL842">
        <v>1</v>
      </c>
      <c r="AM842">
        <v>98.61</v>
      </c>
      <c r="AN842">
        <v>231.7697</v>
      </c>
      <c r="AO842">
        <v>445.55</v>
      </c>
      <c r="AP842" s="13">
        <v>45168</v>
      </c>
      <c r="AQ842">
        <v>-3</v>
      </c>
      <c r="AR842">
        <v>1</v>
      </c>
    </row>
    <row r="843" spans="1:44" x14ac:dyDescent="0.35">
      <c r="A843" s="12" t="s">
        <v>1508</v>
      </c>
      <c r="B843" s="12" t="s">
        <v>451</v>
      </c>
      <c r="C843" s="12" t="s">
        <v>452</v>
      </c>
      <c r="D843" s="12" t="s">
        <v>175</v>
      </c>
      <c r="E843" s="12" t="s">
        <v>104</v>
      </c>
      <c r="F843">
        <v>3</v>
      </c>
      <c r="G843">
        <v>1</v>
      </c>
      <c r="H843">
        <v>0</v>
      </c>
      <c r="I843" s="12" t="s">
        <v>359</v>
      </c>
      <c r="J843" s="12" t="s">
        <v>360</v>
      </c>
      <c r="K843" s="12" t="s">
        <v>133</v>
      </c>
      <c r="L843" s="12" t="s">
        <v>82</v>
      </c>
      <c r="M843">
        <v>12.65</v>
      </c>
      <c r="N843" s="12" t="s">
        <v>107</v>
      </c>
      <c r="O843" s="12" t="s">
        <v>108</v>
      </c>
      <c r="P843" s="12" t="s">
        <v>109</v>
      </c>
      <c r="Q843" s="13">
        <v>45133</v>
      </c>
      <c r="R843" s="13">
        <v>45145</v>
      </c>
      <c r="S843">
        <v>2023</v>
      </c>
      <c r="T843" s="12" t="s">
        <v>1343</v>
      </c>
      <c r="U843">
        <v>12</v>
      </c>
      <c r="V843">
        <v>254.15530000000001</v>
      </c>
      <c r="W843">
        <v>18.46</v>
      </c>
      <c r="X843">
        <v>0</v>
      </c>
      <c r="Y843">
        <v>0</v>
      </c>
      <c r="Z843">
        <v>3049.86</v>
      </c>
      <c r="AA843">
        <v>3068.32</v>
      </c>
      <c r="AB843" s="12" t="s">
        <v>627</v>
      </c>
      <c r="AC843">
        <v>254.15530000000001</v>
      </c>
      <c r="AD843">
        <v>1</v>
      </c>
      <c r="AE843">
        <v>1</v>
      </c>
      <c r="AF843">
        <v>0</v>
      </c>
      <c r="AG843">
        <v>3049.86</v>
      </c>
      <c r="AH843">
        <v>12</v>
      </c>
      <c r="AI843">
        <v>12</v>
      </c>
      <c r="AJ843">
        <v>0</v>
      </c>
      <c r="AK843">
        <v>1</v>
      </c>
      <c r="AL843">
        <v>1</v>
      </c>
      <c r="AM843">
        <v>100</v>
      </c>
      <c r="AN843">
        <v>255.6936</v>
      </c>
      <c r="AO843">
        <v>0</v>
      </c>
      <c r="AP843" s="13">
        <v>45150</v>
      </c>
      <c r="AQ843">
        <v>5</v>
      </c>
      <c r="AR843">
        <v>0</v>
      </c>
    </row>
    <row r="844" spans="1:44" x14ac:dyDescent="0.35">
      <c r="A844" s="12" t="s">
        <v>1509</v>
      </c>
      <c r="B844" s="12" t="s">
        <v>362</v>
      </c>
      <c r="C844" s="12" t="s">
        <v>363</v>
      </c>
      <c r="D844" s="12" t="s">
        <v>78</v>
      </c>
      <c r="E844" s="12" t="s">
        <v>104</v>
      </c>
      <c r="F844">
        <v>3</v>
      </c>
      <c r="G844">
        <v>0</v>
      </c>
      <c r="H844">
        <v>0</v>
      </c>
      <c r="I844" s="12" t="s">
        <v>157</v>
      </c>
      <c r="J844" s="12" t="s">
        <v>158</v>
      </c>
      <c r="K844" s="12" t="s">
        <v>117</v>
      </c>
      <c r="L844" s="12" t="s">
        <v>96</v>
      </c>
      <c r="M844">
        <v>4.72</v>
      </c>
      <c r="N844" s="12" t="s">
        <v>70</v>
      </c>
      <c r="O844" s="12" t="s">
        <v>71</v>
      </c>
      <c r="P844" s="12" t="s">
        <v>72</v>
      </c>
      <c r="Q844" s="13">
        <v>45133</v>
      </c>
      <c r="R844" s="13">
        <v>45161</v>
      </c>
      <c r="S844">
        <v>2023</v>
      </c>
      <c r="T844" s="12" t="s">
        <v>1343</v>
      </c>
      <c r="U844">
        <v>276</v>
      </c>
      <c r="V844">
        <v>63.140599999999999</v>
      </c>
      <c r="W844">
        <v>250.44</v>
      </c>
      <c r="X844">
        <v>0</v>
      </c>
      <c r="Y844">
        <v>0</v>
      </c>
      <c r="Z844">
        <v>17426.810000000001</v>
      </c>
      <c r="AA844">
        <v>17677.25</v>
      </c>
      <c r="AB844" s="12" t="s">
        <v>364</v>
      </c>
      <c r="AC844">
        <v>63.140599999999999</v>
      </c>
      <c r="AD844">
        <v>1</v>
      </c>
      <c r="AE844">
        <v>1</v>
      </c>
      <c r="AF844">
        <v>0</v>
      </c>
      <c r="AG844">
        <v>17426.810000000001</v>
      </c>
      <c r="AH844">
        <v>276</v>
      </c>
      <c r="AI844">
        <v>272</v>
      </c>
      <c r="AJ844">
        <v>4</v>
      </c>
      <c r="AK844">
        <v>1</v>
      </c>
      <c r="AL844">
        <v>1</v>
      </c>
      <c r="AM844">
        <v>98.55</v>
      </c>
      <c r="AN844">
        <v>64.989900000000006</v>
      </c>
      <c r="AO844">
        <v>252.56</v>
      </c>
      <c r="AP844" s="13">
        <v>45165</v>
      </c>
      <c r="AQ844">
        <v>4</v>
      </c>
      <c r="AR844">
        <v>0</v>
      </c>
    </row>
    <row r="845" spans="1:44" x14ac:dyDescent="0.35">
      <c r="A845" s="12" t="s">
        <v>1510</v>
      </c>
      <c r="B845" s="12" t="s">
        <v>293</v>
      </c>
      <c r="C845" s="12" t="s">
        <v>294</v>
      </c>
      <c r="D845" s="12" t="s">
        <v>114</v>
      </c>
      <c r="E845" s="12" t="s">
        <v>142</v>
      </c>
      <c r="F845">
        <v>1</v>
      </c>
      <c r="G845">
        <v>6</v>
      </c>
      <c r="H845">
        <v>1</v>
      </c>
      <c r="I845" s="12" t="s">
        <v>195</v>
      </c>
      <c r="J845" s="12" t="s">
        <v>196</v>
      </c>
      <c r="K845" s="12" t="s">
        <v>117</v>
      </c>
      <c r="L845" s="12" t="s">
        <v>134</v>
      </c>
      <c r="M845">
        <v>4.7699999999999996</v>
      </c>
      <c r="N845" s="12" t="s">
        <v>70</v>
      </c>
      <c r="O845" s="12" t="s">
        <v>71</v>
      </c>
      <c r="P845" s="12" t="s">
        <v>72</v>
      </c>
      <c r="Q845" s="13">
        <v>45133</v>
      </c>
      <c r="R845" s="13">
        <v>45176</v>
      </c>
      <c r="S845">
        <v>2023</v>
      </c>
      <c r="T845" s="12" t="s">
        <v>1343</v>
      </c>
      <c r="U845">
        <v>75</v>
      </c>
      <c r="V845">
        <v>206.0489</v>
      </c>
      <c r="W845">
        <v>369.96</v>
      </c>
      <c r="X845">
        <v>0</v>
      </c>
      <c r="Y845">
        <v>0</v>
      </c>
      <c r="Z845">
        <v>15453.67</v>
      </c>
      <c r="AA845">
        <v>15823.63</v>
      </c>
      <c r="AB845" s="12" t="s">
        <v>295</v>
      </c>
      <c r="AC845">
        <v>206.0489</v>
      </c>
      <c r="AD845">
        <v>1</v>
      </c>
      <c r="AE845">
        <v>1</v>
      </c>
      <c r="AF845">
        <v>0</v>
      </c>
      <c r="AG845">
        <v>15453.67</v>
      </c>
      <c r="AH845">
        <v>75</v>
      </c>
      <c r="AI845">
        <v>74</v>
      </c>
      <c r="AJ845">
        <v>1</v>
      </c>
      <c r="AK845">
        <v>1</v>
      </c>
      <c r="AL845">
        <v>1</v>
      </c>
      <c r="AM845">
        <v>98.67</v>
      </c>
      <c r="AN845">
        <v>213.83279999999999</v>
      </c>
      <c r="AO845">
        <v>206.05</v>
      </c>
      <c r="AP845" s="13">
        <v>45175</v>
      </c>
      <c r="AQ845">
        <v>-1</v>
      </c>
      <c r="AR845">
        <v>1</v>
      </c>
    </row>
    <row r="846" spans="1:44" x14ac:dyDescent="0.35">
      <c r="A846" s="12" t="s">
        <v>1511</v>
      </c>
      <c r="B846" s="12" t="s">
        <v>674</v>
      </c>
      <c r="C846" s="12" t="s">
        <v>675</v>
      </c>
      <c r="D846" s="12" t="s">
        <v>269</v>
      </c>
      <c r="E846" s="12" t="s">
        <v>142</v>
      </c>
      <c r="F846">
        <v>1</v>
      </c>
      <c r="G846">
        <v>7</v>
      </c>
      <c r="H846">
        <v>1</v>
      </c>
      <c r="I846" s="12" t="s">
        <v>676</v>
      </c>
      <c r="J846" s="12" t="s">
        <v>677</v>
      </c>
      <c r="K846" s="12" t="s">
        <v>68</v>
      </c>
      <c r="L846" s="12" t="s">
        <v>96</v>
      </c>
      <c r="M846">
        <v>3.57</v>
      </c>
      <c r="N846" s="12" t="s">
        <v>135</v>
      </c>
      <c r="O846" s="12" t="s">
        <v>136</v>
      </c>
      <c r="P846" s="12" t="s">
        <v>137</v>
      </c>
      <c r="Q846" s="13">
        <v>45134</v>
      </c>
      <c r="R846" s="13">
        <v>45181</v>
      </c>
      <c r="S846">
        <v>2023</v>
      </c>
      <c r="T846" s="12" t="s">
        <v>1343</v>
      </c>
      <c r="U846">
        <v>110</v>
      </c>
      <c r="V846">
        <v>355.32960000000003</v>
      </c>
      <c r="W846">
        <v>915.95</v>
      </c>
      <c r="X846">
        <v>0</v>
      </c>
      <c r="Y846">
        <v>0</v>
      </c>
      <c r="Z846">
        <v>39086.26</v>
      </c>
      <c r="AA846">
        <v>40002.21</v>
      </c>
      <c r="AB846" s="12" t="s">
        <v>678</v>
      </c>
      <c r="AC846">
        <v>355.32960000000003</v>
      </c>
      <c r="AD846">
        <v>1</v>
      </c>
      <c r="AE846">
        <v>1</v>
      </c>
      <c r="AF846">
        <v>0</v>
      </c>
      <c r="AG846">
        <v>39086.26</v>
      </c>
      <c r="AH846">
        <v>110</v>
      </c>
      <c r="AI846">
        <v>110</v>
      </c>
      <c r="AJ846">
        <v>0</v>
      </c>
      <c r="AK846">
        <v>1</v>
      </c>
      <c r="AL846">
        <v>1</v>
      </c>
      <c r="AM846">
        <v>100</v>
      </c>
      <c r="AN846">
        <v>363.65640000000002</v>
      </c>
      <c r="AO846">
        <v>0</v>
      </c>
      <c r="AP846" s="13">
        <v>45181</v>
      </c>
      <c r="AQ846">
        <v>0</v>
      </c>
      <c r="AR846">
        <v>1</v>
      </c>
    </row>
    <row r="847" spans="1:44" x14ac:dyDescent="0.35">
      <c r="A847" s="12" t="s">
        <v>1512</v>
      </c>
      <c r="B847" s="12" t="s">
        <v>317</v>
      </c>
      <c r="C847" s="12" t="s">
        <v>318</v>
      </c>
      <c r="D847" s="12" t="s">
        <v>64</v>
      </c>
      <c r="E847" s="12" t="s">
        <v>104</v>
      </c>
      <c r="F847">
        <v>2</v>
      </c>
      <c r="G847">
        <v>0</v>
      </c>
      <c r="H847">
        <v>0</v>
      </c>
      <c r="I847" s="12" t="s">
        <v>183</v>
      </c>
      <c r="J847" s="12" t="s">
        <v>184</v>
      </c>
      <c r="K847" s="12" t="s">
        <v>133</v>
      </c>
      <c r="L847" s="12" t="s">
        <v>82</v>
      </c>
      <c r="M847">
        <v>8.6199999999999992</v>
      </c>
      <c r="N847" s="12" t="s">
        <v>97</v>
      </c>
      <c r="O847" s="12" t="s">
        <v>98</v>
      </c>
      <c r="P847" s="12" t="s">
        <v>72</v>
      </c>
      <c r="Q847" s="13">
        <v>45134</v>
      </c>
      <c r="R847" s="13">
        <v>45151</v>
      </c>
      <c r="S847">
        <v>2023</v>
      </c>
      <c r="T847" s="12" t="s">
        <v>1343</v>
      </c>
      <c r="U847">
        <v>351</v>
      </c>
      <c r="V847">
        <v>15.848100000000001</v>
      </c>
      <c r="W847">
        <v>85.18</v>
      </c>
      <c r="X847">
        <v>0</v>
      </c>
      <c r="Y847">
        <v>0</v>
      </c>
      <c r="Z847">
        <v>5562.68</v>
      </c>
      <c r="AA847">
        <v>5647.86</v>
      </c>
      <c r="AB847" s="12" t="s">
        <v>1504</v>
      </c>
      <c r="AC847">
        <v>15.848100000000001</v>
      </c>
      <c r="AD847">
        <v>1</v>
      </c>
      <c r="AE847">
        <v>1</v>
      </c>
      <c r="AF847">
        <v>0</v>
      </c>
      <c r="AG847">
        <v>5562.68</v>
      </c>
      <c r="AH847">
        <v>351</v>
      </c>
      <c r="AI847">
        <v>348</v>
      </c>
      <c r="AJ847">
        <v>3</v>
      </c>
      <c r="AK847">
        <v>1</v>
      </c>
      <c r="AL847">
        <v>1</v>
      </c>
      <c r="AM847">
        <v>99.15</v>
      </c>
      <c r="AN847">
        <v>16.229500000000002</v>
      </c>
      <c r="AO847">
        <v>47.54</v>
      </c>
      <c r="AP847" s="13">
        <v>45148</v>
      </c>
      <c r="AQ847">
        <v>-3</v>
      </c>
      <c r="AR847">
        <v>1</v>
      </c>
    </row>
    <row r="848" spans="1:44" x14ac:dyDescent="0.35">
      <c r="A848" s="12" t="s">
        <v>1513</v>
      </c>
      <c r="B848" s="12" t="s">
        <v>990</v>
      </c>
      <c r="C848" s="12" t="s">
        <v>991</v>
      </c>
      <c r="D848" s="12" t="s">
        <v>122</v>
      </c>
      <c r="E848" s="12" t="s">
        <v>142</v>
      </c>
      <c r="F848">
        <v>1</v>
      </c>
      <c r="G848">
        <v>6</v>
      </c>
      <c r="H848">
        <v>1</v>
      </c>
      <c r="I848" s="12" t="s">
        <v>217</v>
      </c>
      <c r="J848" s="12" t="s">
        <v>218</v>
      </c>
      <c r="K848" s="12" t="s">
        <v>68</v>
      </c>
      <c r="L848" s="12" t="s">
        <v>82</v>
      </c>
      <c r="M848">
        <v>14.24</v>
      </c>
      <c r="N848" s="12" t="s">
        <v>97</v>
      </c>
      <c r="O848" s="12" t="s">
        <v>98</v>
      </c>
      <c r="P848" s="12" t="s">
        <v>72</v>
      </c>
      <c r="Q848" s="13">
        <v>45134</v>
      </c>
      <c r="R848" s="13">
        <v>45179</v>
      </c>
      <c r="S848">
        <v>2023</v>
      </c>
      <c r="T848" s="12" t="s">
        <v>1343</v>
      </c>
      <c r="U848">
        <v>1217</v>
      </c>
      <c r="V848">
        <v>33.697499999999998</v>
      </c>
      <c r="W848">
        <v>340.15</v>
      </c>
      <c r="X848">
        <v>1277.69</v>
      </c>
      <c r="Y848">
        <v>1</v>
      </c>
      <c r="Z848">
        <v>41009.86</v>
      </c>
      <c r="AA848">
        <v>42627.7</v>
      </c>
      <c r="AB848" s="12" t="s">
        <v>992</v>
      </c>
      <c r="AC848">
        <v>33.697499999999998</v>
      </c>
      <c r="AD848">
        <v>1</v>
      </c>
      <c r="AE848">
        <v>1</v>
      </c>
      <c r="AF848">
        <v>0</v>
      </c>
      <c r="AG848">
        <v>41009.86</v>
      </c>
      <c r="AH848">
        <v>1217</v>
      </c>
      <c r="AI848">
        <v>1213</v>
      </c>
      <c r="AJ848">
        <v>4</v>
      </c>
      <c r="AK848">
        <v>1</v>
      </c>
      <c r="AL848">
        <v>1</v>
      </c>
      <c r="AM848">
        <v>99.67</v>
      </c>
      <c r="AN848">
        <v>35.142400000000002</v>
      </c>
      <c r="AO848">
        <v>134.79</v>
      </c>
      <c r="AP848" s="13">
        <v>45177</v>
      </c>
      <c r="AQ848">
        <v>-2</v>
      </c>
      <c r="AR848">
        <v>1</v>
      </c>
    </row>
    <row r="849" spans="1:44" x14ac:dyDescent="0.35">
      <c r="A849" s="12" t="s">
        <v>1514</v>
      </c>
      <c r="B849" s="12" t="s">
        <v>869</v>
      </c>
      <c r="C849" s="12" t="s">
        <v>870</v>
      </c>
      <c r="D849" s="12" t="s">
        <v>130</v>
      </c>
      <c r="E849" s="12" t="s">
        <v>104</v>
      </c>
      <c r="F849">
        <v>2</v>
      </c>
      <c r="G849">
        <v>0</v>
      </c>
      <c r="H849">
        <v>0</v>
      </c>
      <c r="I849" s="12" t="s">
        <v>359</v>
      </c>
      <c r="J849" s="12" t="s">
        <v>360</v>
      </c>
      <c r="K849" s="12" t="s">
        <v>133</v>
      </c>
      <c r="L849" s="12" t="s">
        <v>82</v>
      </c>
      <c r="M849">
        <v>12.65</v>
      </c>
      <c r="N849" s="12" t="s">
        <v>159</v>
      </c>
      <c r="O849" s="12" t="s">
        <v>160</v>
      </c>
      <c r="P849" s="12" t="s">
        <v>137</v>
      </c>
      <c r="Q849" s="13">
        <v>45134</v>
      </c>
      <c r="R849" s="13">
        <v>45157</v>
      </c>
      <c r="S849">
        <v>2023</v>
      </c>
      <c r="T849" s="12" t="s">
        <v>1343</v>
      </c>
      <c r="U849">
        <v>98</v>
      </c>
      <c r="V849">
        <v>583.34230000000002</v>
      </c>
      <c r="W849">
        <v>1367.6</v>
      </c>
      <c r="X849">
        <v>0</v>
      </c>
      <c r="Y849">
        <v>0</v>
      </c>
      <c r="Z849">
        <v>57167.55</v>
      </c>
      <c r="AA849">
        <v>58535.15</v>
      </c>
      <c r="AB849" s="12" t="s">
        <v>1515</v>
      </c>
      <c r="AC849">
        <v>583.34230000000002</v>
      </c>
      <c r="AD849">
        <v>1</v>
      </c>
      <c r="AE849">
        <v>1</v>
      </c>
      <c r="AF849">
        <v>0</v>
      </c>
      <c r="AG849">
        <v>57167.55</v>
      </c>
      <c r="AH849">
        <v>98</v>
      </c>
      <c r="AI849">
        <v>97</v>
      </c>
      <c r="AJ849">
        <v>1</v>
      </c>
      <c r="AK849">
        <v>1</v>
      </c>
      <c r="AL849">
        <v>1</v>
      </c>
      <c r="AM849">
        <v>98.98</v>
      </c>
      <c r="AN849">
        <v>603.45510000000002</v>
      </c>
      <c r="AO849">
        <v>583.34</v>
      </c>
      <c r="AP849" s="13">
        <v>45157</v>
      </c>
      <c r="AQ849">
        <v>0</v>
      </c>
      <c r="AR849">
        <v>1</v>
      </c>
    </row>
    <row r="850" spans="1:44" x14ac:dyDescent="0.35">
      <c r="A850" s="12" t="s">
        <v>1516</v>
      </c>
      <c r="B850" s="12" t="s">
        <v>1134</v>
      </c>
      <c r="C850" s="12" t="s">
        <v>1135</v>
      </c>
      <c r="D850" s="12" t="s">
        <v>269</v>
      </c>
      <c r="E850" s="12" t="s">
        <v>104</v>
      </c>
      <c r="F850">
        <v>2</v>
      </c>
      <c r="G850">
        <v>0</v>
      </c>
      <c r="H850">
        <v>0</v>
      </c>
      <c r="I850" s="12" t="s">
        <v>380</v>
      </c>
      <c r="J850" s="12" t="s">
        <v>381</v>
      </c>
      <c r="K850" s="12" t="s">
        <v>89</v>
      </c>
      <c r="L850" s="12" t="s">
        <v>96</v>
      </c>
      <c r="M850">
        <v>10.210000000000001</v>
      </c>
      <c r="N850" s="12" t="s">
        <v>159</v>
      </c>
      <c r="O850" s="12" t="s">
        <v>160</v>
      </c>
      <c r="P850" s="12" t="s">
        <v>137</v>
      </c>
      <c r="Q850" s="13">
        <v>45134</v>
      </c>
      <c r="R850" s="13">
        <v>45149</v>
      </c>
      <c r="S850">
        <v>2023</v>
      </c>
      <c r="T850" s="12" t="s">
        <v>1343</v>
      </c>
      <c r="U850">
        <v>39</v>
      </c>
      <c r="V850">
        <v>107.5608</v>
      </c>
      <c r="W850">
        <v>64.75</v>
      </c>
      <c r="X850">
        <v>0</v>
      </c>
      <c r="Y850">
        <v>0</v>
      </c>
      <c r="Z850">
        <v>4194.87</v>
      </c>
      <c r="AA850">
        <v>4259.62</v>
      </c>
      <c r="AB850" s="12" t="s">
        <v>1136</v>
      </c>
      <c r="AC850">
        <v>107.5608</v>
      </c>
      <c r="AD850">
        <v>1</v>
      </c>
      <c r="AE850">
        <v>1</v>
      </c>
      <c r="AF850">
        <v>0</v>
      </c>
      <c r="AG850">
        <v>4194.87</v>
      </c>
      <c r="AH850">
        <v>39</v>
      </c>
      <c r="AI850">
        <v>39</v>
      </c>
      <c r="AJ850">
        <v>0</v>
      </c>
      <c r="AK850">
        <v>1</v>
      </c>
      <c r="AL850">
        <v>1</v>
      </c>
      <c r="AM850">
        <v>100</v>
      </c>
      <c r="AN850">
        <v>109.22110000000001</v>
      </c>
      <c r="AO850">
        <v>0</v>
      </c>
      <c r="AP850" s="13">
        <v>45148</v>
      </c>
      <c r="AQ850">
        <v>-1</v>
      </c>
      <c r="AR850">
        <v>1</v>
      </c>
    </row>
    <row r="851" spans="1:44" x14ac:dyDescent="0.35">
      <c r="A851" s="12" t="s">
        <v>1517</v>
      </c>
      <c r="B851" s="12" t="s">
        <v>532</v>
      </c>
      <c r="C851" s="12" t="s">
        <v>533</v>
      </c>
      <c r="D851" s="12" t="s">
        <v>114</v>
      </c>
      <c r="E851" s="12" t="s">
        <v>65</v>
      </c>
      <c r="F851">
        <v>2</v>
      </c>
      <c r="G851">
        <v>3</v>
      </c>
      <c r="H851">
        <v>0</v>
      </c>
      <c r="I851" s="12" t="s">
        <v>105</v>
      </c>
      <c r="J851" s="12" t="s">
        <v>106</v>
      </c>
      <c r="K851" s="12" t="s">
        <v>81</v>
      </c>
      <c r="L851" s="12" t="s">
        <v>96</v>
      </c>
      <c r="M851">
        <v>5.01</v>
      </c>
      <c r="N851" s="12" t="s">
        <v>70</v>
      </c>
      <c r="O851" s="12" t="s">
        <v>71</v>
      </c>
      <c r="P851" s="12" t="s">
        <v>72</v>
      </c>
      <c r="Q851" s="13">
        <v>45134</v>
      </c>
      <c r="R851" s="13">
        <v>45159</v>
      </c>
      <c r="S851">
        <v>2023</v>
      </c>
      <c r="T851" s="12" t="s">
        <v>1343</v>
      </c>
      <c r="U851">
        <v>47</v>
      </c>
      <c r="V851">
        <v>250.00970000000001</v>
      </c>
      <c r="W851">
        <v>178.05</v>
      </c>
      <c r="X851">
        <v>0</v>
      </c>
      <c r="Y851">
        <v>0</v>
      </c>
      <c r="Z851">
        <v>11750.46</v>
      </c>
      <c r="AA851">
        <v>11928.51</v>
      </c>
      <c r="AB851" s="12" t="s">
        <v>534</v>
      </c>
      <c r="AC851">
        <v>250.00970000000001</v>
      </c>
      <c r="AD851">
        <v>1</v>
      </c>
      <c r="AE851">
        <v>1</v>
      </c>
      <c r="AF851">
        <v>0</v>
      </c>
      <c r="AG851">
        <v>11750.46</v>
      </c>
      <c r="AH851">
        <v>47</v>
      </c>
      <c r="AI851">
        <v>46</v>
      </c>
      <c r="AJ851">
        <v>1</v>
      </c>
      <c r="AK851">
        <v>1</v>
      </c>
      <c r="AL851">
        <v>1</v>
      </c>
      <c r="AM851">
        <v>97.87</v>
      </c>
      <c r="AN851">
        <v>259.31529999999998</v>
      </c>
      <c r="AO851">
        <v>250.01</v>
      </c>
      <c r="AP851" s="13">
        <v>45156</v>
      </c>
      <c r="AQ851">
        <v>-3</v>
      </c>
      <c r="AR851">
        <v>1</v>
      </c>
    </row>
    <row r="852" spans="1:44" x14ac:dyDescent="0.35">
      <c r="A852" s="12" t="s">
        <v>1518</v>
      </c>
      <c r="B852" s="12" t="s">
        <v>85</v>
      </c>
      <c r="C852" s="12" t="s">
        <v>86</v>
      </c>
      <c r="D852" s="12" t="s">
        <v>78</v>
      </c>
      <c r="E852" s="12" t="s">
        <v>65</v>
      </c>
      <c r="F852">
        <v>3</v>
      </c>
      <c r="G852">
        <v>5</v>
      </c>
      <c r="H852">
        <v>0</v>
      </c>
      <c r="I852" s="12" t="s">
        <v>195</v>
      </c>
      <c r="J852" s="12" t="s">
        <v>196</v>
      </c>
      <c r="K852" s="12" t="s">
        <v>117</v>
      </c>
      <c r="L852" s="12" t="s">
        <v>134</v>
      </c>
      <c r="M852">
        <v>4.7699999999999996</v>
      </c>
      <c r="N852" s="12" t="s">
        <v>97</v>
      </c>
      <c r="O852" s="12" t="s">
        <v>98</v>
      </c>
      <c r="P852" s="12" t="s">
        <v>72</v>
      </c>
      <c r="Q852" s="13">
        <v>45134</v>
      </c>
      <c r="R852" s="13">
        <v>45161</v>
      </c>
      <c r="S852">
        <v>2023</v>
      </c>
      <c r="T852" s="12" t="s">
        <v>1343</v>
      </c>
      <c r="U852">
        <v>130</v>
      </c>
      <c r="V852">
        <v>147.55000000000001</v>
      </c>
      <c r="W852">
        <v>393.65</v>
      </c>
      <c r="X852">
        <v>0</v>
      </c>
      <c r="Y852">
        <v>0</v>
      </c>
      <c r="Z852">
        <v>19181.5</v>
      </c>
      <c r="AA852">
        <v>19575.150000000001</v>
      </c>
      <c r="AB852" s="12" t="s">
        <v>1417</v>
      </c>
      <c r="AC852">
        <v>147.55000000000001</v>
      </c>
      <c r="AD852">
        <v>1</v>
      </c>
      <c r="AE852">
        <v>1</v>
      </c>
      <c r="AF852">
        <v>0</v>
      </c>
      <c r="AG852">
        <v>19181.5</v>
      </c>
      <c r="AH852">
        <v>130</v>
      </c>
      <c r="AI852">
        <v>127</v>
      </c>
      <c r="AJ852">
        <v>3</v>
      </c>
      <c r="AK852">
        <v>1</v>
      </c>
      <c r="AL852">
        <v>1</v>
      </c>
      <c r="AM852">
        <v>97.69</v>
      </c>
      <c r="AN852">
        <v>154.13499999999999</v>
      </c>
      <c r="AO852">
        <v>442.65</v>
      </c>
      <c r="AP852" s="13">
        <v>45158</v>
      </c>
      <c r="AQ852">
        <v>-3</v>
      </c>
      <c r="AR852">
        <v>1</v>
      </c>
    </row>
    <row r="853" spans="1:44" x14ac:dyDescent="0.35">
      <c r="A853" s="12" t="s">
        <v>1519</v>
      </c>
      <c r="B853" s="12" t="s">
        <v>674</v>
      </c>
      <c r="C853" s="12" t="s">
        <v>675</v>
      </c>
      <c r="D853" s="12" t="s">
        <v>269</v>
      </c>
      <c r="E853" s="12" t="s">
        <v>142</v>
      </c>
      <c r="F853">
        <v>1</v>
      </c>
      <c r="G853">
        <v>7</v>
      </c>
      <c r="H853">
        <v>1</v>
      </c>
      <c r="I853" s="12" t="s">
        <v>676</v>
      </c>
      <c r="J853" s="12" t="s">
        <v>677</v>
      </c>
      <c r="K853" s="12" t="s">
        <v>68</v>
      </c>
      <c r="L853" s="12" t="s">
        <v>96</v>
      </c>
      <c r="M853">
        <v>3.57</v>
      </c>
      <c r="N853" s="12" t="s">
        <v>159</v>
      </c>
      <c r="O853" s="12" t="s">
        <v>160</v>
      </c>
      <c r="P853" s="12" t="s">
        <v>137</v>
      </c>
      <c r="Q853" s="13">
        <v>45135</v>
      </c>
      <c r="R853" s="13">
        <v>45185</v>
      </c>
      <c r="S853">
        <v>2023</v>
      </c>
      <c r="T853" s="12" t="s">
        <v>1343</v>
      </c>
      <c r="U853">
        <v>131</v>
      </c>
      <c r="V853">
        <v>355.32960000000003</v>
      </c>
      <c r="W853">
        <v>596.04999999999995</v>
      </c>
      <c r="X853">
        <v>0</v>
      </c>
      <c r="Y853">
        <v>0</v>
      </c>
      <c r="Z853">
        <v>46548.18</v>
      </c>
      <c r="AA853">
        <v>47144.23</v>
      </c>
      <c r="AB853" s="12" t="s">
        <v>678</v>
      </c>
      <c r="AC853">
        <v>355.32960000000003</v>
      </c>
      <c r="AD853">
        <v>1</v>
      </c>
      <c r="AE853">
        <v>1</v>
      </c>
      <c r="AF853">
        <v>0</v>
      </c>
      <c r="AG853">
        <v>46548.18</v>
      </c>
      <c r="AH853">
        <v>131</v>
      </c>
      <c r="AI853">
        <v>131</v>
      </c>
      <c r="AJ853">
        <v>0</v>
      </c>
      <c r="AK853">
        <v>1</v>
      </c>
      <c r="AL853">
        <v>1</v>
      </c>
      <c r="AM853">
        <v>100</v>
      </c>
      <c r="AN853">
        <v>359.87959999999998</v>
      </c>
      <c r="AO853">
        <v>0</v>
      </c>
      <c r="AP853" s="13">
        <v>45182</v>
      </c>
      <c r="AQ853">
        <v>-3</v>
      </c>
      <c r="AR853">
        <v>1</v>
      </c>
    </row>
    <row r="854" spans="1:44" x14ac:dyDescent="0.35">
      <c r="A854" s="12" t="s">
        <v>1520</v>
      </c>
      <c r="B854" s="12" t="s">
        <v>680</v>
      </c>
      <c r="C854" s="12" t="s">
        <v>681</v>
      </c>
      <c r="D854" s="12" t="s">
        <v>122</v>
      </c>
      <c r="E854" s="12" t="s">
        <v>104</v>
      </c>
      <c r="F854">
        <v>3</v>
      </c>
      <c r="G854">
        <v>1</v>
      </c>
      <c r="H854">
        <v>0</v>
      </c>
      <c r="I854" s="12" t="s">
        <v>227</v>
      </c>
      <c r="J854" s="12" t="s">
        <v>228</v>
      </c>
      <c r="K854" s="12" t="s">
        <v>89</v>
      </c>
      <c r="L854" s="12" t="s">
        <v>96</v>
      </c>
      <c r="M854">
        <v>9.15</v>
      </c>
      <c r="N854" s="12" t="s">
        <v>70</v>
      </c>
      <c r="O854" s="12" t="s">
        <v>71</v>
      </c>
      <c r="P854" s="12" t="s">
        <v>72</v>
      </c>
      <c r="Q854" s="13">
        <v>45135</v>
      </c>
      <c r="R854" s="13">
        <v>45159</v>
      </c>
      <c r="S854">
        <v>2023</v>
      </c>
      <c r="T854" s="12" t="s">
        <v>1343</v>
      </c>
      <c r="U854">
        <v>1479</v>
      </c>
      <c r="V854">
        <v>23.246099999999998</v>
      </c>
      <c r="W854">
        <v>336.84</v>
      </c>
      <c r="X854">
        <v>0</v>
      </c>
      <c r="Y854">
        <v>0</v>
      </c>
      <c r="Z854">
        <v>34380.980000000003</v>
      </c>
      <c r="AA854">
        <v>34717.82</v>
      </c>
      <c r="AB854" s="12" t="s">
        <v>861</v>
      </c>
      <c r="AC854">
        <v>23.246099999999998</v>
      </c>
      <c r="AD854">
        <v>1</v>
      </c>
      <c r="AE854">
        <v>1</v>
      </c>
      <c r="AF854">
        <v>0</v>
      </c>
      <c r="AG854">
        <v>34380.980000000003</v>
      </c>
      <c r="AH854">
        <v>1479</v>
      </c>
      <c r="AI854">
        <v>1462</v>
      </c>
      <c r="AJ854">
        <v>17</v>
      </c>
      <c r="AK854">
        <v>1</v>
      </c>
      <c r="AL854">
        <v>1</v>
      </c>
      <c r="AM854">
        <v>98.85</v>
      </c>
      <c r="AN854">
        <v>23.7468</v>
      </c>
      <c r="AO854">
        <v>395.18</v>
      </c>
      <c r="AP854" s="13">
        <v>45158</v>
      </c>
      <c r="AQ854">
        <v>-1</v>
      </c>
      <c r="AR854">
        <v>1</v>
      </c>
    </row>
    <row r="855" spans="1:44" x14ac:dyDescent="0.35">
      <c r="A855" s="12" t="s">
        <v>1521</v>
      </c>
      <c r="B855" s="12" t="s">
        <v>1068</v>
      </c>
      <c r="C855" s="12" t="s">
        <v>1069</v>
      </c>
      <c r="D855" s="12" t="s">
        <v>122</v>
      </c>
      <c r="E855" s="12" t="s">
        <v>65</v>
      </c>
      <c r="F855">
        <v>2</v>
      </c>
      <c r="G855">
        <v>2</v>
      </c>
      <c r="H855">
        <v>0</v>
      </c>
      <c r="I855" s="12" t="s">
        <v>79</v>
      </c>
      <c r="J855" s="12" t="s">
        <v>80</v>
      </c>
      <c r="K855" s="12" t="s">
        <v>81</v>
      </c>
      <c r="L855" s="12" t="s">
        <v>82</v>
      </c>
      <c r="M855">
        <v>12.07</v>
      </c>
      <c r="N855" s="12" t="s">
        <v>70</v>
      </c>
      <c r="O855" s="12" t="s">
        <v>71</v>
      </c>
      <c r="P855" s="12" t="s">
        <v>72</v>
      </c>
      <c r="Q855" s="13">
        <v>45135</v>
      </c>
      <c r="R855" s="13">
        <v>45156</v>
      </c>
      <c r="S855">
        <v>2023</v>
      </c>
      <c r="T855" s="12" t="s">
        <v>1343</v>
      </c>
      <c r="U855">
        <v>225</v>
      </c>
      <c r="V855">
        <v>21.667100000000001</v>
      </c>
      <c r="W855">
        <v>32.79</v>
      </c>
      <c r="X855">
        <v>0</v>
      </c>
      <c r="Y855">
        <v>0</v>
      </c>
      <c r="Z855">
        <v>4875.1000000000004</v>
      </c>
      <c r="AA855">
        <v>4907.8900000000003</v>
      </c>
      <c r="AB855" s="12" t="s">
        <v>1070</v>
      </c>
      <c r="AC855">
        <v>21.667100000000001</v>
      </c>
      <c r="AD855">
        <v>1</v>
      </c>
      <c r="AE855">
        <v>1</v>
      </c>
      <c r="AF855">
        <v>0</v>
      </c>
      <c r="AG855">
        <v>4875.1000000000004</v>
      </c>
      <c r="AH855">
        <v>225</v>
      </c>
      <c r="AI855">
        <v>224</v>
      </c>
      <c r="AJ855">
        <v>1</v>
      </c>
      <c r="AK855">
        <v>1</v>
      </c>
      <c r="AL855">
        <v>1</v>
      </c>
      <c r="AM855">
        <v>99.56</v>
      </c>
      <c r="AN855">
        <v>21.9102</v>
      </c>
      <c r="AO855">
        <v>21.67</v>
      </c>
      <c r="AP855" s="13">
        <v>45156</v>
      </c>
      <c r="AQ855">
        <v>0</v>
      </c>
      <c r="AR855">
        <v>1</v>
      </c>
    </row>
    <row r="856" spans="1:44" x14ac:dyDescent="0.35">
      <c r="A856" s="12" t="s">
        <v>1522</v>
      </c>
      <c r="B856" s="12" t="s">
        <v>617</v>
      </c>
      <c r="C856" s="12" t="s">
        <v>618</v>
      </c>
      <c r="D856" s="12" t="s">
        <v>78</v>
      </c>
      <c r="E856" s="12" t="s">
        <v>65</v>
      </c>
      <c r="F856">
        <v>2</v>
      </c>
      <c r="G856">
        <v>4</v>
      </c>
      <c r="H856">
        <v>0</v>
      </c>
      <c r="I856" s="12" t="s">
        <v>209</v>
      </c>
      <c r="J856" s="12" t="s">
        <v>210</v>
      </c>
      <c r="K856" s="12" t="s">
        <v>133</v>
      </c>
      <c r="L856" s="12" t="s">
        <v>96</v>
      </c>
      <c r="M856">
        <v>7.82</v>
      </c>
      <c r="N856" s="12" t="s">
        <v>97</v>
      </c>
      <c r="O856" s="12" t="s">
        <v>98</v>
      </c>
      <c r="P856" s="12" t="s">
        <v>72</v>
      </c>
      <c r="Q856" s="13">
        <v>45135</v>
      </c>
      <c r="R856" s="13">
        <v>45164</v>
      </c>
      <c r="S856">
        <v>2023</v>
      </c>
      <c r="T856" s="12" t="s">
        <v>1343</v>
      </c>
      <c r="U856">
        <v>167</v>
      </c>
      <c r="V856">
        <v>101.7786</v>
      </c>
      <c r="W856">
        <v>288.10000000000002</v>
      </c>
      <c r="X856">
        <v>0</v>
      </c>
      <c r="Y856">
        <v>0</v>
      </c>
      <c r="Z856">
        <v>16997.03</v>
      </c>
      <c r="AA856">
        <v>17285.13</v>
      </c>
      <c r="AB856" s="12" t="s">
        <v>1523</v>
      </c>
      <c r="AC856">
        <v>108.2711</v>
      </c>
      <c r="AD856">
        <v>1</v>
      </c>
      <c r="AE856">
        <v>1</v>
      </c>
      <c r="AF856">
        <v>-1084.25</v>
      </c>
      <c r="AG856">
        <v>18081.27</v>
      </c>
      <c r="AH856">
        <v>167</v>
      </c>
      <c r="AI856">
        <v>166</v>
      </c>
      <c r="AJ856">
        <v>1</v>
      </c>
      <c r="AK856">
        <v>1</v>
      </c>
      <c r="AL856">
        <v>1</v>
      </c>
      <c r="AM856">
        <v>99.4</v>
      </c>
      <c r="AN856">
        <v>104.12730000000001</v>
      </c>
      <c r="AO856">
        <v>101.78</v>
      </c>
      <c r="AP856" s="13">
        <v>45163</v>
      </c>
      <c r="AQ856">
        <v>-1</v>
      </c>
      <c r="AR856">
        <v>1</v>
      </c>
    </row>
    <row r="857" spans="1:44" x14ac:dyDescent="0.35">
      <c r="A857" s="12" t="s">
        <v>1524</v>
      </c>
      <c r="B857" s="12" t="s">
        <v>442</v>
      </c>
      <c r="C857" s="12" t="s">
        <v>443</v>
      </c>
      <c r="D857" s="12" t="s">
        <v>130</v>
      </c>
      <c r="E857" s="12" t="s">
        <v>65</v>
      </c>
      <c r="F857">
        <v>3</v>
      </c>
      <c r="G857">
        <v>4</v>
      </c>
      <c r="H857">
        <v>0</v>
      </c>
      <c r="I857" s="12" t="s">
        <v>251</v>
      </c>
      <c r="J857" s="12" t="s">
        <v>252</v>
      </c>
      <c r="K857" s="12" t="s">
        <v>133</v>
      </c>
      <c r="L857" s="12" t="s">
        <v>69</v>
      </c>
      <c r="M857">
        <v>34.49</v>
      </c>
      <c r="N857" s="12" t="s">
        <v>135</v>
      </c>
      <c r="O857" s="12" t="s">
        <v>136</v>
      </c>
      <c r="P857" s="12" t="s">
        <v>137</v>
      </c>
      <c r="Q857" s="13">
        <v>45135</v>
      </c>
      <c r="R857" s="13">
        <v>45160</v>
      </c>
      <c r="S857">
        <v>2023</v>
      </c>
      <c r="T857" s="12" t="s">
        <v>1343</v>
      </c>
      <c r="U857">
        <v>45</v>
      </c>
      <c r="V857">
        <v>610.72789999999998</v>
      </c>
      <c r="W857">
        <v>649.26</v>
      </c>
      <c r="X857">
        <v>0</v>
      </c>
      <c r="Y857">
        <v>0</v>
      </c>
      <c r="Z857">
        <v>27482.76</v>
      </c>
      <c r="AA857">
        <v>28132.02</v>
      </c>
      <c r="AB857" s="12" t="s">
        <v>444</v>
      </c>
      <c r="AC857">
        <v>610.72789999999998</v>
      </c>
      <c r="AD857">
        <v>1</v>
      </c>
      <c r="AE857">
        <v>1</v>
      </c>
      <c r="AF857">
        <v>0</v>
      </c>
      <c r="AG857">
        <v>27482.76</v>
      </c>
      <c r="AH857">
        <v>45</v>
      </c>
      <c r="AI857">
        <v>44</v>
      </c>
      <c r="AJ857">
        <v>1</v>
      </c>
      <c r="AK857">
        <v>1</v>
      </c>
      <c r="AL857">
        <v>1</v>
      </c>
      <c r="AM857">
        <v>97.78</v>
      </c>
      <c r="AN857">
        <v>639.36400000000003</v>
      </c>
      <c r="AO857">
        <v>610.73</v>
      </c>
      <c r="AP857" s="13">
        <v>45160</v>
      </c>
      <c r="AQ857">
        <v>0</v>
      </c>
      <c r="AR857">
        <v>1</v>
      </c>
    </row>
    <row r="858" spans="1:44" x14ac:dyDescent="0.35">
      <c r="A858" s="12" t="s">
        <v>1525</v>
      </c>
      <c r="B858" s="12" t="s">
        <v>598</v>
      </c>
      <c r="C858" s="12" t="s">
        <v>599</v>
      </c>
      <c r="D858" s="12" t="s">
        <v>269</v>
      </c>
      <c r="E858" s="12" t="s">
        <v>65</v>
      </c>
      <c r="F858">
        <v>1</v>
      </c>
      <c r="G858">
        <v>2</v>
      </c>
      <c r="H858">
        <v>1</v>
      </c>
      <c r="I858" s="12" t="s">
        <v>176</v>
      </c>
      <c r="J858" s="12" t="s">
        <v>177</v>
      </c>
      <c r="K858" s="12" t="s">
        <v>125</v>
      </c>
      <c r="L858" s="12" t="s">
        <v>134</v>
      </c>
      <c r="M858">
        <v>1.75</v>
      </c>
      <c r="N858" s="12" t="s">
        <v>159</v>
      </c>
      <c r="O858" s="12" t="s">
        <v>160</v>
      </c>
      <c r="P858" s="12" t="s">
        <v>137</v>
      </c>
      <c r="Q858" s="13">
        <v>45135</v>
      </c>
      <c r="R858" s="13">
        <v>45161</v>
      </c>
      <c r="S858">
        <v>2023</v>
      </c>
      <c r="T858" s="12" t="s">
        <v>1343</v>
      </c>
      <c r="U858">
        <v>53</v>
      </c>
      <c r="V858">
        <v>454.90469999999999</v>
      </c>
      <c r="W858">
        <v>227.45</v>
      </c>
      <c r="X858">
        <v>0</v>
      </c>
      <c r="Y858">
        <v>0</v>
      </c>
      <c r="Z858">
        <v>24109.95</v>
      </c>
      <c r="AA858">
        <v>24337.4</v>
      </c>
      <c r="AB858" s="12" t="s">
        <v>600</v>
      </c>
      <c r="AC858">
        <v>454.90469999999999</v>
      </c>
      <c r="AD858">
        <v>1</v>
      </c>
      <c r="AE858">
        <v>1</v>
      </c>
      <c r="AF858">
        <v>0</v>
      </c>
      <c r="AG858">
        <v>24109.95</v>
      </c>
      <c r="AH858">
        <v>53</v>
      </c>
      <c r="AI858">
        <v>53</v>
      </c>
      <c r="AJ858">
        <v>0</v>
      </c>
      <c r="AK858">
        <v>1</v>
      </c>
      <c r="AL858">
        <v>1</v>
      </c>
      <c r="AM858">
        <v>100</v>
      </c>
      <c r="AN858">
        <v>459.19619999999998</v>
      </c>
      <c r="AO858">
        <v>0</v>
      </c>
      <c r="AP858" s="13">
        <v>45159</v>
      </c>
      <c r="AQ858">
        <v>-2</v>
      </c>
      <c r="AR858">
        <v>1</v>
      </c>
    </row>
    <row r="859" spans="1:44" x14ac:dyDescent="0.35">
      <c r="A859" s="12" t="s">
        <v>1526</v>
      </c>
      <c r="B859" s="12" t="s">
        <v>621</v>
      </c>
      <c r="C859" s="12" t="s">
        <v>622</v>
      </c>
      <c r="D859" s="12" t="s">
        <v>103</v>
      </c>
      <c r="E859" s="12" t="s">
        <v>65</v>
      </c>
      <c r="F859">
        <v>1</v>
      </c>
      <c r="G859">
        <v>2</v>
      </c>
      <c r="H859">
        <v>1</v>
      </c>
      <c r="I859" s="12" t="s">
        <v>486</v>
      </c>
      <c r="J859" s="12" t="s">
        <v>487</v>
      </c>
      <c r="K859" s="12" t="s">
        <v>125</v>
      </c>
      <c r="L859" s="12" t="s">
        <v>69</v>
      </c>
      <c r="M859">
        <v>36.86</v>
      </c>
      <c r="N859" s="12" t="s">
        <v>107</v>
      </c>
      <c r="O859" s="12" t="s">
        <v>108</v>
      </c>
      <c r="P859" s="12" t="s">
        <v>109</v>
      </c>
      <c r="Q859" s="13">
        <v>45135</v>
      </c>
      <c r="R859" s="13">
        <v>45167</v>
      </c>
      <c r="S859">
        <v>2023</v>
      </c>
      <c r="T859" s="12" t="s">
        <v>1343</v>
      </c>
      <c r="U859">
        <v>101</v>
      </c>
      <c r="V859">
        <v>201.42019999999999</v>
      </c>
      <c r="W859">
        <v>171.79</v>
      </c>
      <c r="X859">
        <v>0</v>
      </c>
      <c r="Y859">
        <v>0</v>
      </c>
      <c r="Z859">
        <v>20343.439999999999</v>
      </c>
      <c r="AA859">
        <v>20515.23</v>
      </c>
      <c r="AB859" s="12" t="s">
        <v>623</v>
      </c>
      <c r="AC859">
        <v>201.42019999999999</v>
      </c>
      <c r="AD859">
        <v>1</v>
      </c>
      <c r="AE859">
        <v>1</v>
      </c>
      <c r="AF859">
        <v>0</v>
      </c>
      <c r="AG859">
        <v>20343.439999999999</v>
      </c>
      <c r="AH859">
        <v>101</v>
      </c>
      <c r="AI859">
        <v>100</v>
      </c>
      <c r="AJ859">
        <v>1</v>
      </c>
      <c r="AK859">
        <v>1</v>
      </c>
      <c r="AL859">
        <v>1</v>
      </c>
      <c r="AM859">
        <v>99.01</v>
      </c>
      <c r="AN859">
        <v>205.1523</v>
      </c>
      <c r="AO859">
        <v>201.42</v>
      </c>
      <c r="AP859" s="13">
        <v>45167</v>
      </c>
      <c r="AQ859">
        <v>0</v>
      </c>
      <c r="AR859">
        <v>1</v>
      </c>
    </row>
    <row r="860" spans="1:44" x14ac:dyDescent="0.35">
      <c r="A860" s="12" t="s">
        <v>1527</v>
      </c>
      <c r="B860" s="12" t="s">
        <v>454</v>
      </c>
      <c r="C860" s="12" t="s">
        <v>455</v>
      </c>
      <c r="D860" s="12" t="s">
        <v>122</v>
      </c>
      <c r="E860" s="12" t="s">
        <v>104</v>
      </c>
      <c r="F860">
        <v>3</v>
      </c>
      <c r="G860">
        <v>1</v>
      </c>
      <c r="H860">
        <v>0</v>
      </c>
      <c r="I860" s="12" t="s">
        <v>87</v>
      </c>
      <c r="J860" s="12" t="s">
        <v>88</v>
      </c>
      <c r="K860" s="12" t="s">
        <v>89</v>
      </c>
      <c r="L860" s="12" t="s">
        <v>69</v>
      </c>
      <c r="M860">
        <v>14.93</v>
      </c>
      <c r="N860" s="12" t="s">
        <v>97</v>
      </c>
      <c r="O860" s="12" t="s">
        <v>98</v>
      </c>
      <c r="P860" s="12" t="s">
        <v>72</v>
      </c>
      <c r="Q860" s="13">
        <v>45135</v>
      </c>
      <c r="R860" s="13">
        <v>45153</v>
      </c>
      <c r="S860">
        <v>2023</v>
      </c>
      <c r="T860" s="12" t="s">
        <v>1343</v>
      </c>
      <c r="U860">
        <v>895</v>
      </c>
      <c r="V860">
        <v>21.796199999999999</v>
      </c>
      <c r="W860">
        <v>195.35</v>
      </c>
      <c r="X860">
        <v>0</v>
      </c>
      <c r="Y860">
        <v>0</v>
      </c>
      <c r="Z860">
        <v>19507.599999999999</v>
      </c>
      <c r="AA860">
        <v>19702.95</v>
      </c>
      <c r="AB860" s="12" t="s">
        <v>456</v>
      </c>
      <c r="AC860">
        <v>21.796199999999999</v>
      </c>
      <c r="AD860">
        <v>1</v>
      </c>
      <c r="AE860">
        <v>1</v>
      </c>
      <c r="AF860">
        <v>0</v>
      </c>
      <c r="AG860">
        <v>19507.599999999999</v>
      </c>
      <c r="AH860">
        <v>895</v>
      </c>
      <c r="AI860">
        <v>884</v>
      </c>
      <c r="AJ860">
        <v>11</v>
      </c>
      <c r="AK860">
        <v>1</v>
      </c>
      <c r="AL860">
        <v>1</v>
      </c>
      <c r="AM860">
        <v>98.77</v>
      </c>
      <c r="AN860">
        <v>22.288399999999999</v>
      </c>
      <c r="AO860">
        <v>239.76</v>
      </c>
      <c r="AP860" s="13">
        <v>45150</v>
      </c>
      <c r="AQ860">
        <v>-3</v>
      </c>
      <c r="AR860">
        <v>1</v>
      </c>
    </row>
    <row r="861" spans="1:44" x14ac:dyDescent="0.35">
      <c r="A861" s="12" t="s">
        <v>1528</v>
      </c>
      <c r="B861" s="12" t="s">
        <v>1042</v>
      </c>
      <c r="C861" s="12" t="s">
        <v>1043</v>
      </c>
      <c r="D861" s="12" t="s">
        <v>269</v>
      </c>
      <c r="E861" s="12" t="s">
        <v>104</v>
      </c>
      <c r="F861">
        <v>2</v>
      </c>
      <c r="G861">
        <v>0</v>
      </c>
      <c r="H861">
        <v>0</v>
      </c>
      <c r="I861" s="12" t="s">
        <v>199</v>
      </c>
      <c r="J861" s="12" t="s">
        <v>200</v>
      </c>
      <c r="K861" s="12" t="s">
        <v>68</v>
      </c>
      <c r="L861" s="12" t="s">
        <v>96</v>
      </c>
      <c r="M861">
        <v>9.4700000000000006</v>
      </c>
      <c r="N861" s="12" t="s">
        <v>159</v>
      </c>
      <c r="O861" s="12" t="s">
        <v>160</v>
      </c>
      <c r="P861" s="12" t="s">
        <v>137</v>
      </c>
      <c r="Q861" s="13">
        <v>45135</v>
      </c>
      <c r="R861" s="13">
        <v>45153</v>
      </c>
      <c r="S861">
        <v>2023</v>
      </c>
      <c r="T861" s="12" t="s">
        <v>1343</v>
      </c>
      <c r="U861">
        <v>64</v>
      </c>
      <c r="V861">
        <v>290.76319999999998</v>
      </c>
      <c r="W861">
        <v>278.42</v>
      </c>
      <c r="X861">
        <v>0</v>
      </c>
      <c r="Y861">
        <v>0</v>
      </c>
      <c r="Z861">
        <v>18608.84</v>
      </c>
      <c r="AA861">
        <v>18887.259999999998</v>
      </c>
      <c r="AB861" s="12" t="s">
        <v>1414</v>
      </c>
      <c r="AC861">
        <v>290.76319999999998</v>
      </c>
      <c r="AD861">
        <v>1</v>
      </c>
      <c r="AE861">
        <v>1</v>
      </c>
      <c r="AF861">
        <v>0</v>
      </c>
      <c r="AG861">
        <v>18608.84</v>
      </c>
      <c r="AH861">
        <v>64</v>
      </c>
      <c r="AI861">
        <v>63</v>
      </c>
      <c r="AJ861">
        <v>1</v>
      </c>
      <c r="AK861">
        <v>1</v>
      </c>
      <c r="AL861">
        <v>1</v>
      </c>
      <c r="AM861">
        <v>98.44</v>
      </c>
      <c r="AN861">
        <v>299.79790000000003</v>
      </c>
      <c r="AO861">
        <v>290.76</v>
      </c>
      <c r="AP861" s="13">
        <v>45153</v>
      </c>
      <c r="AQ861">
        <v>0</v>
      </c>
      <c r="AR861">
        <v>1</v>
      </c>
    </row>
    <row r="862" spans="1:44" x14ac:dyDescent="0.35">
      <c r="A862" s="12" t="s">
        <v>1529</v>
      </c>
      <c r="B862" s="12" t="s">
        <v>293</v>
      </c>
      <c r="C862" s="12" t="s">
        <v>294</v>
      </c>
      <c r="D862" s="12" t="s">
        <v>114</v>
      </c>
      <c r="E862" s="12" t="s">
        <v>142</v>
      </c>
      <c r="F862">
        <v>1</v>
      </c>
      <c r="G862">
        <v>6</v>
      </c>
      <c r="H862">
        <v>1</v>
      </c>
      <c r="I862" s="12" t="s">
        <v>195</v>
      </c>
      <c r="J862" s="12" t="s">
        <v>196</v>
      </c>
      <c r="K862" s="12" t="s">
        <v>117</v>
      </c>
      <c r="L862" s="12" t="s">
        <v>134</v>
      </c>
      <c r="M862">
        <v>4.7699999999999996</v>
      </c>
      <c r="N862" s="12" t="s">
        <v>70</v>
      </c>
      <c r="O862" s="12" t="s">
        <v>71</v>
      </c>
      <c r="P862" s="12" t="s">
        <v>72</v>
      </c>
      <c r="Q862" s="13">
        <v>45135</v>
      </c>
      <c r="R862" s="13">
        <v>45170</v>
      </c>
      <c r="S862">
        <v>2023</v>
      </c>
      <c r="T862" s="12" t="s">
        <v>1343</v>
      </c>
      <c r="U862">
        <v>13</v>
      </c>
      <c r="V862">
        <v>211.87889999999999</v>
      </c>
      <c r="W862">
        <v>36.369999999999997</v>
      </c>
      <c r="X862">
        <v>0</v>
      </c>
      <c r="Y862">
        <v>0</v>
      </c>
      <c r="Z862">
        <v>2754.43</v>
      </c>
      <c r="AA862">
        <v>2790.8</v>
      </c>
      <c r="AB862" s="12" t="s">
        <v>295</v>
      </c>
      <c r="AC862">
        <v>206.0489</v>
      </c>
      <c r="AD862">
        <v>1</v>
      </c>
      <c r="AE862">
        <v>1</v>
      </c>
      <c r="AF862">
        <v>75.790000000000006</v>
      </c>
      <c r="AG862">
        <v>2678.64</v>
      </c>
      <c r="AH862">
        <v>13</v>
      </c>
      <c r="AI862">
        <v>13</v>
      </c>
      <c r="AJ862">
        <v>0</v>
      </c>
      <c r="AK862">
        <v>1</v>
      </c>
      <c r="AL862">
        <v>1</v>
      </c>
      <c r="AM862">
        <v>100</v>
      </c>
      <c r="AN862">
        <v>214.67660000000001</v>
      </c>
      <c r="AO862">
        <v>0</v>
      </c>
      <c r="AP862" s="13">
        <v>45170</v>
      </c>
      <c r="AQ862">
        <v>0</v>
      </c>
      <c r="AR862">
        <v>1</v>
      </c>
    </row>
    <row r="863" spans="1:44" x14ac:dyDescent="0.35">
      <c r="A863" s="12" t="s">
        <v>1530</v>
      </c>
      <c r="B863" s="12" t="s">
        <v>412</v>
      </c>
      <c r="C863" s="12" t="s">
        <v>413</v>
      </c>
      <c r="D863" s="12" t="s">
        <v>269</v>
      </c>
      <c r="E863" s="12" t="s">
        <v>65</v>
      </c>
      <c r="F863">
        <v>1</v>
      </c>
      <c r="G863">
        <v>2</v>
      </c>
      <c r="H863">
        <v>1</v>
      </c>
      <c r="I863" s="12" t="s">
        <v>233</v>
      </c>
      <c r="J863" s="12" t="s">
        <v>234</v>
      </c>
      <c r="K863" s="12" t="s">
        <v>125</v>
      </c>
      <c r="L863" s="12" t="s">
        <v>96</v>
      </c>
      <c r="M863">
        <v>3.73</v>
      </c>
      <c r="N863" s="12" t="s">
        <v>159</v>
      </c>
      <c r="O863" s="12" t="s">
        <v>160</v>
      </c>
      <c r="P863" s="12" t="s">
        <v>137</v>
      </c>
      <c r="Q863" s="13">
        <v>45138</v>
      </c>
      <c r="R863" s="13">
        <v>45160</v>
      </c>
      <c r="S863">
        <v>2023</v>
      </c>
      <c r="T863" s="12" t="s">
        <v>1343</v>
      </c>
      <c r="U863">
        <v>21</v>
      </c>
      <c r="V863">
        <v>104.4832</v>
      </c>
      <c r="W863">
        <v>29.32</v>
      </c>
      <c r="X863">
        <v>0</v>
      </c>
      <c r="Y863">
        <v>0</v>
      </c>
      <c r="Z863">
        <v>2194.15</v>
      </c>
      <c r="AA863">
        <v>2223.4699999999998</v>
      </c>
      <c r="AB863" s="12" t="s">
        <v>414</v>
      </c>
      <c r="AC863">
        <v>104.4832</v>
      </c>
      <c r="AD863">
        <v>1</v>
      </c>
      <c r="AE863">
        <v>1</v>
      </c>
      <c r="AF863">
        <v>0</v>
      </c>
      <c r="AG863">
        <v>2194.15</v>
      </c>
      <c r="AH863">
        <v>21</v>
      </c>
      <c r="AI863">
        <v>21</v>
      </c>
      <c r="AJ863">
        <v>0</v>
      </c>
      <c r="AK863">
        <v>1</v>
      </c>
      <c r="AL863">
        <v>1</v>
      </c>
      <c r="AM863">
        <v>100</v>
      </c>
      <c r="AN863">
        <v>105.8794</v>
      </c>
      <c r="AO863">
        <v>0</v>
      </c>
      <c r="AP863" s="13">
        <v>45160</v>
      </c>
      <c r="AQ863">
        <v>0</v>
      </c>
      <c r="AR863">
        <v>1</v>
      </c>
    </row>
    <row r="864" spans="1:44" x14ac:dyDescent="0.35">
      <c r="A864" s="12" t="s">
        <v>1531</v>
      </c>
      <c r="B864" s="12" t="s">
        <v>76</v>
      </c>
      <c r="C864" s="12" t="s">
        <v>77</v>
      </c>
      <c r="D864" s="12" t="s">
        <v>78</v>
      </c>
      <c r="E864" s="12" t="s">
        <v>65</v>
      </c>
      <c r="F864">
        <v>2</v>
      </c>
      <c r="G864">
        <v>4</v>
      </c>
      <c r="H864">
        <v>0</v>
      </c>
      <c r="I864" s="12" t="s">
        <v>151</v>
      </c>
      <c r="J864" s="12" t="s">
        <v>152</v>
      </c>
      <c r="K864" s="12" t="s">
        <v>125</v>
      </c>
      <c r="L864" s="12" t="s">
        <v>69</v>
      </c>
      <c r="M864">
        <v>36.479999999999997</v>
      </c>
      <c r="N864" s="12" t="s">
        <v>97</v>
      </c>
      <c r="O864" s="12" t="s">
        <v>98</v>
      </c>
      <c r="P864" s="12" t="s">
        <v>72</v>
      </c>
      <c r="Q864" s="13">
        <v>45138</v>
      </c>
      <c r="R864" s="13">
        <v>45174</v>
      </c>
      <c r="S864">
        <v>2023</v>
      </c>
      <c r="T864" s="12" t="s">
        <v>1343</v>
      </c>
      <c r="U864">
        <v>257</v>
      </c>
      <c r="V864">
        <v>45.991</v>
      </c>
      <c r="W864">
        <v>194.1</v>
      </c>
      <c r="X864">
        <v>0</v>
      </c>
      <c r="Y864">
        <v>0</v>
      </c>
      <c r="Z864">
        <v>11819.69</v>
      </c>
      <c r="AA864">
        <v>12013.79</v>
      </c>
      <c r="AB864" s="12" t="s">
        <v>1267</v>
      </c>
      <c r="AC864">
        <v>45.991</v>
      </c>
      <c r="AD864">
        <v>1</v>
      </c>
      <c r="AE864">
        <v>1</v>
      </c>
      <c r="AF864">
        <v>0</v>
      </c>
      <c r="AG864">
        <v>11819.69</v>
      </c>
      <c r="AH864">
        <v>257</v>
      </c>
      <c r="AI864">
        <v>254</v>
      </c>
      <c r="AJ864">
        <v>3</v>
      </c>
      <c r="AK864">
        <v>1</v>
      </c>
      <c r="AL864">
        <v>1</v>
      </c>
      <c r="AM864">
        <v>98.83</v>
      </c>
      <c r="AN864">
        <v>47.298400000000001</v>
      </c>
      <c r="AO864">
        <v>137.97</v>
      </c>
      <c r="AP864" s="13">
        <v>45174</v>
      </c>
      <c r="AQ864">
        <v>0</v>
      </c>
      <c r="AR864">
        <v>1</v>
      </c>
    </row>
    <row r="865" spans="1:44" x14ac:dyDescent="0.35">
      <c r="A865" s="12" t="s">
        <v>1532</v>
      </c>
      <c r="B865" s="12" t="s">
        <v>773</v>
      </c>
      <c r="C865" s="12" t="s">
        <v>774</v>
      </c>
      <c r="D865" s="12" t="s">
        <v>64</v>
      </c>
      <c r="E865" s="12" t="s">
        <v>142</v>
      </c>
      <c r="F865">
        <v>1</v>
      </c>
      <c r="G865">
        <v>7</v>
      </c>
      <c r="H865">
        <v>1</v>
      </c>
      <c r="I865" s="12" t="s">
        <v>251</v>
      </c>
      <c r="J865" s="12" t="s">
        <v>252</v>
      </c>
      <c r="K865" s="12" t="s">
        <v>133</v>
      </c>
      <c r="L865" s="12" t="s">
        <v>69</v>
      </c>
      <c r="M865">
        <v>34.49</v>
      </c>
      <c r="N865" s="12" t="s">
        <v>70</v>
      </c>
      <c r="O865" s="12" t="s">
        <v>71</v>
      </c>
      <c r="P865" s="12" t="s">
        <v>72</v>
      </c>
      <c r="Q865" s="13">
        <v>45138</v>
      </c>
      <c r="R865" s="13">
        <v>45174</v>
      </c>
      <c r="S865">
        <v>2023</v>
      </c>
      <c r="T865" s="12" t="s">
        <v>1343</v>
      </c>
      <c r="U865">
        <v>164</v>
      </c>
      <c r="V865">
        <v>10.0604</v>
      </c>
      <c r="W865">
        <v>16.72</v>
      </c>
      <c r="X865">
        <v>0</v>
      </c>
      <c r="Y865">
        <v>0</v>
      </c>
      <c r="Z865">
        <v>1649.91</v>
      </c>
      <c r="AA865">
        <v>1666.63</v>
      </c>
      <c r="AB865" s="12" t="s">
        <v>775</v>
      </c>
      <c r="AC865">
        <v>10.0604</v>
      </c>
      <c r="AD865">
        <v>1</v>
      </c>
      <c r="AE865">
        <v>1</v>
      </c>
      <c r="AF865">
        <v>0</v>
      </c>
      <c r="AG865">
        <v>1649.91</v>
      </c>
      <c r="AH865">
        <v>164</v>
      </c>
      <c r="AI865">
        <v>162</v>
      </c>
      <c r="AJ865">
        <v>2</v>
      </c>
      <c r="AK865">
        <v>1</v>
      </c>
      <c r="AL865">
        <v>1</v>
      </c>
      <c r="AM865">
        <v>98.78</v>
      </c>
      <c r="AN865">
        <v>10.287800000000001</v>
      </c>
      <c r="AO865">
        <v>20.12</v>
      </c>
      <c r="AP865" s="13">
        <v>45171</v>
      </c>
      <c r="AQ865">
        <v>-3</v>
      </c>
      <c r="AR865">
        <v>1</v>
      </c>
    </row>
    <row r="866" spans="1:44" x14ac:dyDescent="0.35">
      <c r="A866" s="12" t="s">
        <v>1533</v>
      </c>
      <c r="B866" s="12" t="s">
        <v>267</v>
      </c>
      <c r="C866" s="12" t="s">
        <v>268</v>
      </c>
      <c r="D866" s="12" t="s">
        <v>269</v>
      </c>
      <c r="E866" s="12" t="s">
        <v>142</v>
      </c>
      <c r="F866">
        <v>1</v>
      </c>
      <c r="G866">
        <v>8</v>
      </c>
      <c r="H866">
        <v>1</v>
      </c>
      <c r="I866" s="12" t="s">
        <v>94</v>
      </c>
      <c r="J866" s="12" t="s">
        <v>95</v>
      </c>
      <c r="K866" s="12" t="s">
        <v>81</v>
      </c>
      <c r="L866" s="12" t="s">
        <v>96</v>
      </c>
      <c r="M866">
        <v>4.8099999999999996</v>
      </c>
      <c r="N866" s="12" t="s">
        <v>159</v>
      </c>
      <c r="O866" s="12" t="s">
        <v>160</v>
      </c>
      <c r="P866" s="12" t="s">
        <v>137</v>
      </c>
      <c r="Q866" s="13">
        <v>45138</v>
      </c>
      <c r="R866" s="13">
        <v>45185</v>
      </c>
      <c r="S866">
        <v>2023</v>
      </c>
      <c r="T866" s="12" t="s">
        <v>1343</v>
      </c>
      <c r="U866">
        <v>108</v>
      </c>
      <c r="V866">
        <v>247.31829999999999</v>
      </c>
      <c r="W866">
        <v>308.86</v>
      </c>
      <c r="X866">
        <v>0</v>
      </c>
      <c r="Y866">
        <v>0</v>
      </c>
      <c r="Z866">
        <v>26710.38</v>
      </c>
      <c r="AA866">
        <v>27019.24</v>
      </c>
      <c r="AB866" s="12" t="s">
        <v>270</v>
      </c>
      <c r="AC866">
        <v>247.31829999999999</v>
      </c>
      <c r="AD866">
        <v>1</v>
      </c>
      <c r="AE866">
        <v>1</v>
      </c>
      <c r="AF866">
        <v>0</v>
      </c>
      <c r="AG866">
        <v>26710.38</v>
      </c>
      <c r="AH866">
        <v>108</v>
      </c>
      <c r="AI866">
        <v>107</v>
      </c>
      <c r="AJ866">
        <v>1</v>
      </c>
      <c r="AK866">
        <v>1</v>
      </c>
      <c r="AL866">
        <v>1</v>
      </c>
      <c r="AM866">
        <v>99.07</v>
      </c>
      <c r="AN866">
        <v>252.5162</v>
      </c>
      <c r="AO866">
        <v>247.32</v>
      </c>
      <c r="AP866" s="13">
        <v>45182</v>
      </c>
      <c r="AQ866">
        <v>-3</v>
      </c>
      <c r="AR866">
        <v>1</v>
      </c>
    </row>
    <row r="867" spans="1:44" x14ac:dyDescent="0.35">
      <c r="A867" s="12" t="s">
        <v>1534</v>
      </c>
      <c r="B867" s="12" t="s">
        <v>661</v>
      </c>
      <c r="C867" s="12" t="s">
        <v>662</v>
      </c>
      <c r="D867" s="12" t="s">
        <v>175</v>
      </c>
      <c r="E867" s="12" t="s">
        <v>104</v>
      </c>
      <c r="F867">
        <v>1</v>
      </c>
      <c r="G867">
        <v>0</v>
      </c>
      <c r="H867">
        <v>1</v>
      </c>
      <c r="I867" s="12" t="s">
        <v>183</v>
      </c>
      <c r="J867" s="12" t="s">
        <v>184</v>
      </c>
      <c r="K867" s="12" t="s">
        <v>133</v>
      </c>
      <c r="L867" s="12" t="s">
        <v>82</v>
      </c>
      <c r="M867">
        <v>8.6199999999999992</v>
      </c>
      <c r="N867" s="12" t="s">
        <v>145</v>
      </c>
      <c r="O867" s="12" t="s">
        <v>146</v>
      </c>
      <c r="P867" s="12" t="s">
        <v>109</v>
      </c>
      <c r="Q867" s="13">
        <v>45138</v>
      </c>
      <c r="R867" s="13">
        <v>45153</v>
      </c>
      <c r="S867">
        <v>2023</v>
      </c>
      <c r="T867" s="12" t="s">
        <v>1343</v>
      </c>
      <c r="U867">
        <v>34</v>
      </c>
      <c r="V867">
        <v>194.86689999999999</v>
      </c>
      <c r="W867">
        <v>133.88999999999999</v>
      </c>
      <c r="X867">
        <v>0</v>
      </c>
      <c r="Y867">
        <v>0</v>
      </c>
      <c r="Z867">
        <v>6625.47</v>
      </c>
      <c r="AA867">
        <v>6759.36</v>
      </c>
      <c r="AB867" s="12" t="s">
        <v>663</v>
      </c>
      <c r="AC867">
        <v>201.68719999999999</v>
      </c>
      <c r="AD867">
        <v>2</v>
      </c>
      <c r="AE867">
        <v>1</v>
      </c>
      <c r="AF867">
        <v>-231.89</v>
      </c>
      <c r="AG867">
        <v>6857.36</v>
      </c>
      <c r="AH867">
        <v>34</v>
      </c>
      <c r="AI867">
        <v>34</v>
      </c>
      <c r="AJ867">
        <v>0</v>
      </c>
      <c r="AK867">
        <v>1</v>
      </c>
      <c r="AL867">
        <v>1</v>
      </c>
      <c r="AM867">
        <v>100</v>
      </c>
      <c r="AN867">
        <v>198.8048</v>
      </c>
      <c r="AO867">
        <v>0</v>
      </c>
      <c r="AP867" s="13">
        <v>45151</v>
      </c>
      <c r="AQ867">
        <v>-2</v>
      </c>
      <c r="AR867">
        <v>1</v>
      </c>
    </row>
    <row r="868" spans="1:44" x14ac:dyDescent="0.35">
      <c r="A868" s="12" t="s">
        <v>1535</v>
      </c>
      <c r="B868" s="12" t="s">
        <v>963</v>
      </c>
      <c r="C868" s="12" t="s">
        <v>964</v>
      </c>
      <c r="D868" s="12" t="s">
        <v>114</v>
      </c>
      <c r="E868" s="12" t="s">
        <v>142</v>
      </c>
      <c r="F868">
        <v>1</v>
      </c>
      <c r="G868">
        <v>6</v>
      </c>
      <c r="H868">
        <v>1</v>
      </c>
      <c r="I868" s="12" t="s">
        <v>176</v>
      </c>
      <c r="J868" s="12" t="s">
        <v>177</v>
      </c>
      <c r="K868" s="12" t="s">
        <v>125</v>
      </c>
      <c r="L868" s="12" t="s">
        <v>134</v>
      </c>
      <c r="M868">
        <v>1.75</v>
      </c>
      <c r="N868" s="12" t="s">
        <v>70</v>
      </c>
      <c r="O868" s="12" t="s">
        <v>71</v>
      </c>
      <c r="P868" s="12" t="s">
        <v>72</v>
      </c>
      <c r="Q868" s="13">
        <v>45139</v>
      </c>
      <c r="R868" s="13">
        <v>45181</v>
      </c>
      <c r="S868">
        <v>2023</v>
      </c>
      <c r="T868" s="12" t="s">
        <v>1536</v>
      </c>
      <c r="U868">
        <v>69</v>
      </c>
      <c r="V868">
        <v>194.73220000000001</v>
      </c>
      <c r="W868">
        <v>157.66</v>
      </c>
      <c r="X868">
        <v>0</v>
      </c>
      <c r="Y868">
        <v>0</v>
      </c>
      <c r="Z868">
        <v>13436.52</v>
      </c>
      <c r="AA868">
        <v>13594.18</v>
      </c>
      <c r="AB868" s="12" t="s">
        <v>965</v>
      </c>
      <c r="AC868">
        <v>194.73220000000001</v>
      </c>
      <c r="AD868">
        <v>1</v>
      </c>
      <c r="AE868">
        <v>1</v>
      </c>
      <c r="AF868">
        <v>0</v>
      </c>
      <c r="AG868">
        <v>13436.52</v>
      </c>
      <c r="AH868">
        <v>69</v>
      </c>
      <c r="AI868">
        <v>67</v>
      </c>
      <c r="AJ868">
        <v>2</v>
      </c>
      <c r="AK868">
        <v>1</v>
      </c>
      <c r="AL868">
        <v>1</v>
      </c>
      <c r="AM868">
        <v>97.1</v>
      </c>
      <c r="AN868">
        <v>202.8982</v>
      </c>
      <c r="AO868">
        <v>389.46</v>
      </c>
      <c r="AP868" s="13">
        <v>45178</v>
      </c>
      <c r="AQ868">
        <v>-3</v>
      </c>
      <c r="AR868">
        <v>1</v>
      </c>
    </row>
    <row r="869" spans="1:44" x14ac:dyDescent="0.35">
      <c r="A869" s="12" t="s">
        <v>1537</v>
      </c>
      <c r="B869" s="12" t="s">
        <v>308</v>
      </c>
      <c r="C869" s="12" t="s">
        <v>309</v>
      </c>
      <c r="D869" s="12" t="s">
        <v>122</v>
      </c>
      <c r="E869" s="12" t="s">
        <v>142</v>
      </c>
      <c r="F869">
        <v>1</v>
      </c>
      <c r="G869">
        <v>6</v>
      </c>
      <c r="H869">
        <v>1</v>
      </c>
      <c r="I869" s="12" t="s">
        <v>310</v>
      </c>
      <c r="J869" s="12" t="s">
        <v>311</v>
      </c>
      <c r="K869" s="12" t="s">
        <v>81</v>
      </c>
      <c r="L869" s="12" t="s">
        <v>69</v>
      </c>
      <c r="M869">
        <v>28.3</v>
      </c>
      <c r="N869" s="12" t="s">
        <v>97</v>
      </c>
      <c r="O869" s="12" t="s">
        <v>98</v>
      </c>
      <c r="P869" s="12" t="s">
        <v>72</v>
      </c>
      <c r="Q869" s="13">
        <v>45139</v>
      </c>
      <c r="R869" s="13">
        <v>45174</v>
      </c>
      <c r="S869">
        <v>2023</v>
      </c>
      <c r="T869" s="12" t="s">
        <v>1536</v>
      </c>
      <c r="U869">
        <v>204</v>
      </c>
      <c r="V869">
        <v>59.409700000000001</v>
      </c>
      <c r="W869">
        <v>220.51</v>
      </c>
      <c r="X869">
        <v>0</v>
      </c>
      <c r="Y869">
        <v>0</v>
      </c>
      <c r="Z869">
        <v>12119.58</v>
      </c>
      <c r="AA869">
        <v>12340.09</v>
      </c>
      <c r="AB869" s="12" t="s">
        <v>312</v>
      </c>
      <c r="AC869">
        <v>59.409700000000001</v>
      </c>
      <c r="AD869">
        <v>1</v>
      </c>
      <c r="AE869">
        <v>1</v>
      </c>
      <c r="AF869">
        <v>0</v>
      </c>
      <c r="AG869">
        <v>12119.58</v>
      </c>
      <c r="AH869">
        <v>204</v>
      </c>
      <c r="AI869">
        <v>202</v>
      </c>
      <c r="AJ869">
        <v>2</v>
      </c>
      <c r="AK869">
        <v>1</v>
      </c>
      <c r="AL869">
        <v>1</v>
      </c>
      <c r="AM869">
        <v>99.02</v>
      </c>
      <c r="AN869">
        <v>61.089500000000001</v>
      </c>
      <c r="AO869">
        <v>118.82</v>
      </c>
      <c r="AP869" s="13">
        <v>45171</v>
      </c>
      <c r="AQ869">
        <v>-3</v>
      </c>
      <c r="AR869">
        <v>1</v>
      </c>
    </row>
    <row r="870" spans="1:44" x14ac:dyDescent="0.35">
      <c r="A870" s="12" t="s">
        <v>1538</v>
      </c>
      <c r="B870" s="12" t="s">
        <v>378</v>
      </c>
      <c r="C870" s="12" t="s">
        <v>379</v>
      </c>
      <c r="D870" s="12" t="s">
        <v>64</v>
      </c>
      <c r="E870" s="12" t="s">
        <v>104</v>
      </c>
      <c r="F870">
        <v>3</v>
      </c>
      <c r="G870">
        <v>1</v>
      </c>
      <c r="H870">
        <v>0</v>
      </c>
      <c r="I870" s="12" t="s">
        <v>176</v>
      </c>
      <c r="J870" s="12" t="s">
        <v>177</v>
      </c>
      <c r="K870" s="12" t="s">
        <v>125</v>
      </c>
      <c r="L870" s="12" t="s">
        <v>134</v>
      </c>
      <c r="M870">
        <v>1.75</v>
      </c>
      <c r="N870" s="12" t="s">
        <v>97</v>
      </c>
      <c r="O870" s="12" t="s">
        <v>98</v>
      </c>
      <c r="P870" s="12" t="s">
        <v>72</v>
      </c>
      <c r="Q870" s="13">
        <v>45139</v>
      </c>
      <c r="R870" s="13">
        <v>45165</v>
      </c>
      <c r="S870">
        <v>2023</v>
      </c>
      <c r="T870" s="12" t="s">
        <v>1536</v>
      </c>
      <c r="U870">
        <v>817</v>
      </c>
      <c r="V870">
        <v>16.629799999999999</v>
      </c>
      <c r="W870">
        <v>255.72</v>
      </c>
      <c r="X870">
        <v>0</v>
      </c>
      <c r="Y870">
        <v>0</v>
      </c>
      <c r="Z870">
        <v>13586.55</v>
      </c>
      <c r="AA870">
        <v>13842.27</v>
      </c>
      <c r="AB870" s="12" t="s">
        <v>1539</v>
      </c>
      <c r="AC870">
        <v>16.160900000000002</v>
      </c>
      <c r="AD870">
        <v>1</v>
      </c>
      <c r="AE870">
        <v>1</v>
      </c>
      <c r="AF870">
        <v>383.09</v>
      </c>
      <c r="AG870">
        <v>13203.46</v>
      </c>
      <c r="AH870">
        <v>817</v>
      </c>
      <c r="AI870">
        <v>811</v>
      </c>
      <c r="AJ870">
        <v>6</v>
      </c>
      <c r="AK870">
        <v>1</v>
      </c>
      <c r="AL870">
        <v>1</v>
      </c>
      <c r="AM870">
        <v>99.27</v>
      </c>
      <c r="AN870">
        <v>17.068100000000001</v>
      </c>
      <c r="AO870">
        <v>99.78</v>
      </c>
      <c r="AP870" s="13">
        <v>45162</v>
      </c>
      <c r="AQ870">
        <v>-3</v>
      </c>
      <c r="AR870">
        <v>1</v>
      </c>
    </row>
    <row r="871" spans="1:44" x14ac:dyDescent="0.35">
      <c r="A871" s="12" t="s">
        <v>1540</v>
      </c>
      <c r="B871" s="12" t="s">
        <v>140</v>
      </c>
      <c r="C871" s="12" t="s">
        <v>141</v>
      </c>
      <c r="D871" s="12" t="s">
        <v>103</v>
      </c>
      <c r="E871" s="12" t="s">
        <v>142</v>
      </c>
      <c r="F871">
        <v>1</v>
      </c>
      <c r="G871">
        <v>7</v>
      </c>
      <c r="H871">
        <v>1</v>
      </c>
      <c r="I871" s="12" t="s">
        <v>143</v>
      </c>
      <c r="J871" s="12" t="s">
        <v>144</v>
      </c>
      <c r="K871" s="12" t="s">
        <v>133</v>
      </c>
      <c r="L871" s="12" t="s">
        <v>96</v>
      </c>
      <c r="M871">
        <v>5.43</v>
      </c>
      <c r="N871" s="12" t="s">
        <v>107</v>
      </c>
      <c r="O871" s="12" t="s">
        <v>108</v>
      </c>
      <c r="P871" s="12" t="s">
        <v>109</v>
      </c>
      <c r="Q871" s="13">
        <v>45139</v>
      </c>
      <c r="R871" s="13">
        <v>45191</v>
      </c>
      <c r="S871">
        <v>2023</v>
      </c>
      <c r="T871" s="12" t="s">
        <v>1536</v>
      </c>
      <c r="U871">
        <v>142</v>
      </c>
      <c r="V871">
        <v>211.78559999999999</v>
      </c>
      <c r="W871">
        <v>384.99</v>
      </c>
      <c r="X871">
        <v>0</v>
      </c>
      <c r="Y871">
        <v>0</v>
      </c>
      <c r="Z871">
        <v>30073.56</v>
      </c>
      <c r="AA871">
        <v>30458.55</v>
      </c>
      <c r="AB871" s="12" t="s">
        <v>147</v>
      </c>
      <c r="AC871">
        <v>211.78559999999999</v>
      </c>
      <c r="AD871">
        <v>1</v>
      </c>
      <c r="AE871">
        <v>1</v>
      </c>
      <c r="AF871">
        <v>0</v>
      </c>
      <c r="AG871">
        <v>30073.56</v>
      </c>
      <c r="AH871">
        <v>142</v>
      </c>
      <c r="AI871">
        <v>140</v>
      </c>
      <c r="AJ871">
        <v>2</v>
      </c>
      <c r="AK871">
        <v>1</v>
      </c>
      <c r="AL871">
        <v>1</v>
      </c>
      <c r="AM871">
        <v>98.59</v>
      </c>
      <c r="AN871">
        <v>217.56100000000001</v>
      </c>
      <c r="AO871">
        <v>423.57</v>
      </c>
      <c r="AP871" s="13">
        <v>45191</v>
      </c>
      <c r="AQ871">
        <v>0</v>
      </c>
      <c r="AR871">
        <v>1</v>
      </c>
    </row>
    <row r="872" spans="1:44" x14ac:dyDescent="0.35">
      <c r="A872" s="12" t="s">
        <v>1541</v>
      </c>
      <c r="B872" s="12" t="s">
        <v>1166</v>
      </c>
      <c r="C872" s="12" t="s">
        <v>1167</v>
      </c>
      <c r="D872" s="12" t="s">
        <v>175</v>
      </c>
      <c r="E872" s="12" t="s">
        <v>65</v>
      </c>
      <c r="F872">
        <v>3</v>
      </c>
      <c r="G872">
        <v>5</v>
      </c>
      <c r="H872">
        <v>0</v>
      </c>
      <c r="I872" s="12" t="s">
        <v>143</v>
      </c>
      <c r="J872" s="12" t="s">
        <v>144</v>
      </c>
      <c r="K872" s="12" t="s">
        <v>133</v>
      </c>
      <c r="L872" s="12" t="s">
        <v>96</v>
      </c>
      <c r="M872">
        <v>5.43</v>
      </c>
      <c r="N872" s="12" t="s">
        <v>145</v>
      </c>
      <c r="O872" s="12" t="s">
        <v>146</v>
      </c>
      <c r="P872" s="12" t="s">
        <v>109</v>
      </c>
      <c r="Q872" s="13">
        <v>45139</v>
      </c>
      <c r="R872" s="13">
        <v>45160</v>
      </c>
      <c r="S872">
        <v>2023</v>
      </c>
      <c r="T872" s="12" t="s">
        <v>1536</v>
      </c>
      <c r="U872">
        <v>16</v>
      </c>
      <c r="V872">
        <v>248.16210000000001</v>
      </c>
      <c r="W872">
        <v>89.93</v>
      </c>
      <c r="X872">
        <v>0</v>
      </c>
      <c r="Y872">
        <v>0</v>
      </c>
      <c r="Z872">
        <v>3970.59</v>
      </c>
      <c r="AA872">
        <v>4060.52</v>
      </c>
      <c r="AB872" s="12" t="s">
        <v>1168</v>
      </c>
      <c r="AC872">
        <v>248.16210000000001</v>
      </c>
      <c r="AD872">
        <v>1</v>
      </c>
      <c r="AE872">
        <v>1</v>
      </c>
      <c r="AF872">
        <v>0</v>
      </c>
      <c r="AG872">
        <v>3970.59</v>
      </c>
      <c r="AH872">
        <v>16</v>
      </c>
      <c r="AI872">
        <v>16</v>
      </c>
      <c r="AJ872">
        <v>0</v>
      </c>
      <c r="AK872">
        <v>1</v>
      </c>
      <c r="AL872">
        <v>1</v>
      </c>
      <c r="AM872">
        <v>100</v>
      </c>
      <c r="AN872">
        <v>253.78270000000001</v>
      </c>
      <c r="AO872">
        <v>0</v>
      </c>
      <c r="AP872" s="13">
        <v>45158</v>
      </c>
      <c r="AQ872">
        <v>-2</v>
      </c>
      <c r="AR872">
        <v>1</v>
      </c>
    </row>
    <row r="873" spans="1:44" x14ac:dyDescent="0.35">
      <c r="A873" s="12" t="s">
        <v>1542</v>
      </c>
      <c r="B873" s="12" t="s">
        <v>941</v>
      </c>
      <c r="C873" s="12" t="s">
        <v>942</v>
      </c>
      <c r="D873" s="12" t="s">
        <v>130</v>
      </c>
      <c r="E873" s="12" t="s">
        <v>104</v>
      </c>
      <c r="F873">
        <v>2</v>
      </c>
      <c r="G873">
        <v>0</v>
      </c>
      <c r="H873">
        <v>0</v>
      </c>
      <c r="I873" s="12" t="s">
        <v>131</v>
      </c>
      <c r="J873" s="12" t="s">
        <v>132</v>
      </c>
      <c r="K873" s="12" t="s">
        <v>133</v>
      </c>
      <c r="L873" s="12" t="s">
        <v>134</v>
      </c>
      <c r="M873">
        <v>1.51</v>
      </c>
      <c r="N873" s="12" t="s">
        <v>159</v>
      </c>
      <c r="O873" s="12" t="s">
        <v>160</v>
      </c>
      <c r="P873" s="12" t="s">
        <v>137</v>
      </c>
      <c r="Q873" s="13">
        <v>45139</v>
      </c>
      <c r="R873" s="13">
        <v>45155</v>
      </c>
      <c r="S873">
        <v>2023</v>
      </c>
      <c r="T873" s="12" t="s">
        <v>1536</v>
      </c>
      <c r="U873">
        <v>42</v>
      </c>
      <c r="V873">
        <v>990.29020000000003</v>
      </c>
      <c r="W873">
        <v>660.22</v>
      </c>
      <c r="X873">
        <v>0</v>
      </c>
      <c r="Y873">
        <v>0</v>
      </c>
      <c r="Z873">
        <v>41592.19</v>
      </c>
      <c r="AA873">
        <v>42252.41</v>
      </c>
      <c r="AB873" s="12" t="s">
        <v>943</v>
      </c>
      <c r="AC873">
        <v>990.29020000000003</v>
      </c>
      <c r="AD873">
        <v>1</v>
      </c>
      <c r="AE873">
        <v>1</v>
      </c>
      <c r="AF873">
        <v>0</v>
      </c>
      <c r="AG873">
        <v>41592.19</v>
      </c>
      <c r="AH873">
        <v>42</v>
      </c>
      <c r="AI873">
        <v>38</v>
      </c>
      <c r="AJ873">
        <v>4</v>
      </c>
      <c r="AK873">
        <v>1</v>
      </c>
      <c r="AL873">
        <v>1</v>
      </c>
      <c r="AM873">
        <v>90.48</v>
      </c>
      <c r="AN873">
        <v>1111.9055000000001</v>
      </c>
      <c r="AO873">
        <v>3961.16</v>
      </c>
      <c r="AP873" s="13">
        <v>45154</v>
      </c>
      <c r="AQ873">
        <v>-1</v>
      </c>
      <c r="AR873">
        <v>1</v>
      </c>
    </row>
    <row r="874" spans="1:44" x14ac:dyDescent="0.35">
      <c r="A874" s="12" t="s">
        <v>1543</v>
      </c>
      <c r="B874" s="12" t="s">
        <v>787</v>
      </c>
      <c r="C874" s="12" t="s">
        <v>788</v>
      </c>
      <c r="D874" s="12" t="s">
        <v>269</v>
      </c>
      <c r="E874" s="12" t="s">
        <v>65</v>
      </c>
      <c r="F874">
        <v>2</v>
      </c>
      <c r="G874">
        <v>3</v>
      </c>
      <c r="H874">
        <v>0</v>
      </c>
      <c r="I874" s="12" t="s">
        <v>143</v>
      </c>
      <c r="J874" s="12" t="s">
        <v>144</v>
      </c>
      <c r="K874" s="12" t="s">
        <v>133</v>
      </c>
      <c r="L874" s="12" t="s">
        <v>96</v>
      </c>
      <c r="M874">
        <v>5.43</v>
      </c>
      <c r="N874" s="12" t="s">
        <v>135</v>
      </c>
      <c r="O874" s="12" t="s">
        <v>136</v>
      </c>
      <c r="P874" s="12" t="s">
        <v>137</v>
      </c>
      <c r="Q874" s="13">
        <v>45139</v>
      </c>
      <c r="R874" s="13">
        <v>45176</v>
      </c>
      <c r="S874">
        <v>2023</v>
      </c>
      <c r="T874" s="12" t="s">
        <v>1536</v>
      </c>
      <c r="U874">
        <v>141</v>
      </c>
      <c r="V874">
        <v>354.36430000000001</v>
      </c>
      <c r="W874">
        <v>646.12</v>
      </c>
      <c r="X874">
        <v>0</v>
      </c>
      <c r="Y874">
        <v>0</v>
      </c>
      <c r="Z874">
        <v>49965.37</v>
      </c>
      <c r="AA874">
        <v>50611.49</v>
      </c>
      <c r="AB874" s="12" t="s">
        <v>789</v>
      </c>
      <c r="AC874">
        <v>354.36430000000001</v>
      </c>
      <c r="AD874">
        <v>1</v>
      </c>
      <c r="AE874">
        <v>1</v>
      </c>
      <c r="AF874">
        <v>0</v>
      </c>
      <c r="AG874">
        <v>49965.37</v>
      </c>
      <c r="AH874">
        <v>141</v>
      </c>
      <c r="AI874">
        <v>139</v>
      </c>
      <c r="AJ874">
        <v>2</v>
      </c>
      <c r="AK874">
        <v>1</v>
      </c>
      <c r="AL874">
        <v>1</v>
      </c>
      <c r="AM874">
        <v>98.58</v>
      </c>
      <c r="AN874">
        <v>364.1114</v>
      </c>
      <c r="AO874">
        <v>708.73</v>
      </c>
      <c r="AP874" s="13">
        <v>45175</v>
      </c>
      <c r="AQ874">
        <v>-1</v>
      </c>
      <c r="AR874">
        <v>1</v>
      </c>
    </row>
    <row r="875" spans="1:44" x14ac:dyDescent="0.35">
      <c r="A875" s="12" t="s">
        <v>1544</v>
      </c>
      <c r="B875" s="12" t="s">
        <v>509</v>
      </c>
      <c r="C875" s="12" t="s">
        <v>510</v>
      </c>
      <c r="D875" s="12" t="s">
        <v>78</v>
      </c>
      <c r="E875" s="12" t="s">
        <v>142</v>
      </c>
      <c r="F875">
        <v>3</v>
      </c>
      <c r="G875">
        <v>11</v>
      </c>
      <c r="H875">
        <v>0</v>
      </c>
      <c r="I875" s="12" t="s">
        <v>176</v>
      </c>
      <c r="J875" s="12" t="s">
        <v>177</v>
      </c>
      <c r="K875" s="12" t="s">
        <v>125</v>
      </c>
      <c r="L875" s="12" t="s">
        <v>134</v>
      </c>
      <c r="M875">
        <v>1.75</v>
      </c>
      <c r="N875" s="12" t="s">
        <v>70</v>
      </c>
      <c r="O875" s="12" t="s">
        <v>71</v>
      </c>
      <c r="P875" s="12" t="s">
        <v>72</v>
      </c>
      <c r="Q875" s="13">
        <v>45139</v>
      </c>
      <c r="R875" s="13">
        <v>45189</v>
      </c>
      <c r="S875">
        <v>2023</v>
      </c>
      <c r="T875" s="12" t="s">
        <v>1536</v>
      </c>
      <c r="U875">
        <v>258</v>
      </c>
      <c r="V875">
        <v>144.51259999999999</v>
      </c>
      <c r="W875">
        <v>832.67</v>
      </c>
      <c r="X875">
        <v>0</v>
      </c>
      <c r="Y875">
        <v>0</v>
      </c>
      <c r="Z875">
        <v>37284.25</v>
      </c>
      <c r="AA875">
        <v>38116.92</v>
      </c>
      <c r="AB875" s="12" t="s">
        <v>511</v>
      </c>
      <c r="AC875">
        <v>144.51259999999999</v>
      </c>
      <c r="AD875">
        <v>1</v>
      </c>
      <c r="AE875">
        <v>1</v>
      </c>
      <c r="AF875">
        <v>0</v>
      </c>
      <c r="AG875">
        <v>37284.25</v>
      </c>
      <c r="AH875">
        <v>258</v>
      </c>
      <c r="AI875">
        <v>256</v>
      </c>
      <c r="AJ875">
        <v>2</v>
      </c>
      <c r="AK875">
        <v>1</v>
      </c>
      <c r="AL875">
        <v>1</v>
      </c>
      <c r="AM875">
        <v>99.22</v>
      </c>
      <c r="AN875">
        <v>148.89420000000001</v>
      </c>
      <c r="AO875">
        <v>289.02999999999997</v>
      </c>
      <c r="AP875" s="13">
        <v>45187</v>
      </c>
      <c r="AQ875">
        <v>-2</v>
      </c>
      <c r="AR875">
        <v>1</v>
      </c>
    </row>
    <row r="876" spans="1:44" x14ac:dyDescent="0.35">
      <c r="A876" s="12" t="s">
        <v>1545</v>
      </c>
      <c r="B876" s="12" t="s">
        <v>609</v>
      </c>
      <c r="C876" s="12" t="s">
        <v>610</v>
      </c>
      <c r="D876" s="12" t="s">
        <v>64</v>
      </c>
      <c r="E876" s="12" t="s">
        <v>104</v>
      </c>
      <c r="F876">
        <v>1</v>
      </c>
      <c r="G876">
        <v>0</v>
      </c>
      <c r="H876">
        <v>1</v>
      </c>
      <c r="I876" s="12" t="s">
        <v>227</v>
      </c>
      <c r="J876" s="12" t="s">
        <v>228</v>
      </c>
      <c r="K876" s="12" t="s">
        <v>89</v>
      </c>
      <c r="L876" s="12" t="s">
        <v>96</v>
      </c>
      <c r="M876">
        <v>9.15</v>
      </c>
      <c r="N876" s="12" t="s">
        <v>70</v>
      </c>
      <c r="O876" s="12" t="s">
        <v>71</v>
      </c>
      <c r="P876" s="12" t="s">
        <v>72</v>
      </c>
      <c r="Q876" s="13">
        <v>45140</v>
      </c>
      <c r="R876" s="13">
        <v>45161</v>
      </c>
      <c r="S876">
        <v>2023</v>
      </c>
      <c r="T876" s="12" t="s">
        <v>1536</v>
      </c>
      <c r="U876">
        <v>573</v>
      </c>
      <c r="V876">
        <v>20.713699999999999</v>
      </c>
      <c r="W876">
        <v>196.45</v>
      </c>
      <c r="X876">
        <v>0</v>
      </c>
      <c r="Y876">
        <v>0</v>
      </c>
      <c r="Z876">
        <v>11868.95</v>
      </c>
      <c r="AA876">
        <v>12065.4</v>
      </c>
      <c r="AB876" s="12" t="s">
        <v>611</v>
      </c>
      <c r="AC876">
        <v>20.713699999999999</v>
      </c>
      <c r="AD876">
        <v>1</v>
      </c>
      <c r="AE876">
        <v>1</v>
      </c>
      <c r="AF876">
        <v>0</v>
      </c>
      <c r="AG876">
        <v>11868.95</v>
      </c>
      <c r="AH876">
        <v>573</v>
      </c>
      <c r="AI876">
        <v>567</v>
      </c>
      <c r="AJ876">
        <v>6</v>
      </c>
      <c r="AK876">
        <v>1</v>
      </c>
      <c r="AL876">
        <v>1</v>
      </c>
      <c r="AM876">
        <v>98.95</v>
      </c>
      <c r="AN876">
        <v>21.279399999999999</v>
      </c>
      <c r="AO876">
        <v>124.28</v>
      </c>
      <c r="AP876" s="13">
        <v>45160</v>
      </c>
      <c r="AQ876">
        <v>-1</v>
      </c>
      <c r="AR876">
        <v>1</v>
      </c>
    </row>
    <row r="877" spans="1:44" x14ac:dyDescent="0.35">
      <c r="A877" s="12" t="s">
        <v>1546</v>
      </c>
      <c r="B877" s="12" t="s">
        <v>513</v>
      </c>
      <c r="C877" s="12" t="s">
        <v>514</v>
      </c>
      <c r="D877" s="12" t="s">
        <v>269</v>
      </c>
      <c r="E877" s="12" t="s">
        <v>65</v>
      </c>
      <c r="F877">
        <v>1</v>
      </c>
      <c r="G877">
        <v>2</v>
      </c>
      <c r="H877">
        <v>1</v>
      </c>
      <c r="I877" s="12" t="s">
        <v>515</v>
      </c>
      <c r="J877" s="12" t="s">
        <v>516</v>
      </c>
      <c r="K877" s="12" t="s">
        <v>68</v>
      </c>
      <c r="L877" s="12" t="s">
        <v>134</v>
      </c>
      <c r="M877">
        <v>3.69</v>
      </c>
      <c r="N877" s="12" t="s">
        <v>135</v>
      </c>
      <c r="O877" s="12" t="s">
        <v>136</v>
      </c>
      <c r="P877" s="12" t="s">
        <v>137</v>
      </c>
      <c r="Q877" s="13">
        <v>45140</v>
      </c>
      <c r="R877" s="13">
        <v>45161</v>
      </c>
      <c r="S877">
        <v>2023</v>
      </c>
      <c r="T877" s="12" t="s">
        <v>1536</v>
      </c>
      <c r="U877">
        <v>10</v>
      </c>
      <c r="V877">
        <v>229.3486</v>
      </c>
      <c r="W877">
        <v>49.42</v>
      </c>
      <c r="X877">
        <v>0</v>
      </c>
      <c r="Y877">
        <v>0</v>
      </c>
      <c r="Z877">
        <v>2293.4899999999998</v>
      </c>
      <c r="AA877">
        <v>2342.91</v>
      </c>
      <c r="AB877" s="12" t="s">
        <v>517</v>
      </c>
      <c r="AC877">
        <v>229.3486</v>
      </c>
      <c r="AD877">
        <v>1</v>
      </c>
      <c r="AE877">
        <v>1</v>
      </c>
      <c r="AF877">
        <v>0</v>
      </c>
      <c r="AG877">
        <v>2293.4899999999998</v>
      </c>
      <c r="AH877">
        <v>10</v>
      </c>
      <c r="AI877">
        <v>10</v>
      </c>
      <c r="AJ877">
        <v>0</v>
      </c>
      <c r="AK877">
        <v>1</v>
      </c>
      <c r="AL877">
        <v>1</v>
      </c>
      <c r="AM877">
        <v>100</v>
      </c>
      <c r="AN877">
        <v>234.29060000000001</v>
      </c>
      <c r="AO877">
        <v>0</v>
      </c>
      <c r="AP877" s="13">
        <v>45160</v>
      </c>
      <c r="AQ877">
        <v>-1</v>
      </c>
      <c r="AR877">
        <v>1</v>
      </c>
    </row>
    <row r="878" spans="1:44" x14ac:dyDescent="0.35">
      <c r="A878" s="12" t="s">
        <v>1547</v>
      </c>
      <c r="B878" s="12" t="s">
        <v>827</v>
      </c>
      <c r="C878" s="12" t="s">
        <v>828</v>
      </c>
      <c r="D878" s="12" t="s">
        <v>175</v>
      </c>
      <c r="E878" s="12" t="s">
        <v>104</v>
      </c>
      <c r="F878">
        <v>2</v>
      </c>
      <c r="G878">
        <v>0</v>
      </c>
      <c r="H878">
        <v>0</v>
      </c>
      <c r="I878" s="12" t="s">
        <v>310</v>
      </c>
      <c r="J878" s="12" t="s">
        <v>311</v>
      </c>
      <c r="K878" s="12" t="s">
        <v>81</v>
      </c>
      <c r="L878" s="12" t="s">
        <v>69</v>
      </c>
      <c r="M878">
        <v>28.3</v>
      </c>
      <c r="N878" s="12" t="s">
        <v>145</v>
      </c>
      <c r="O878" s="12" t="s">
        <v>146</v>
      </c>
      <c r="P878" s="12" t="s">
        <v>109</v>
      </c>
      <c r="Q878" s="13">
        <v>45140</v>
      </c>
      <c r="R878" s="13">
        <v>45159</v>
      </c>
      <c r="S878">
        <v>2023</v>
      </c>
      <c r="T878" s="12" t="s">
        <v>1536</v>
      </c>
      <c r="U878">
        <v>70</v>
      </c>
      <c r="V878">
        <v>107.794</v>
      </c>
      <c r="W878">
        <v>51.05</v>
      </c>
      <c r="X878">
        <v>0</v>
      </c>
      <c r="Y878">
        <v>0</v>
      </c>
      <c r="Z878">
        <v>7545.58</v>
      </c>
      <c r="AA878">
        <v>7596.63</v>
      </c>
      <c r="AB878" s="12" t="s">
        <v>1548</v>
      </c>
      <c r="AC878">
        <v>107.794</v>
      </c>
      <c r="AD878">
        <v>1</v>
      </c>
      <c r="AE878">
        <v>1</v>
      </c>
      <c r="AF878">
        <v>0</v>
      </c>
      <c r="AG878">
        <v>7545.58</v>
      </c>
      <c r="AH878">
        <v>70</v>
      </c>
      <c r="AI878">
        <v>69</v>
      </c>
      <c r="AJ878">
        <v>1</v>
      </c>
      <c r="AK878">
        <v>1</v>
      </c>
      <c r="AL878">
        <v>1</v>
      </c>
      <c r="AM878">
        <v>98.57</v>
      </c>
      <c r="AN878">
        <v>110.09610000000001</v>
      </c>
      <c r="AO878">
        <v>107.79</v>
      </c>
      <c r="AP878" s="13">
        <v>45156</v>
      </c>
      <c r="AQ878">
        <v>-3</v>
      </c>
      <c r="AR878">
        <v>1</v>
      </c>
    </row>
    <row r="879" spans="1:44" x14ac:dyDescent="0.35">
      <c r="A879" s="12" t="s">
        <v>1549</v>
      </c>
      <c r="B879" s="12" t="s">
        <v>490</v>
      </c>
      <c r="C879" s="12" t="s">
        <v>491</v>
      </c>
      <c r="D879" s="12" t="s">
        <v>130</v>
      </c>
      <c r="E879" s="12" t="s">
        <v>104</v>
      </c>
      <c r="F879">
        <v>3</v>
      </c>
      <c r="G879">
        <v>1</v>
      </c>
      <c r="H879">
        <v>0</v>
      </c>
      <c r="I879" s="12" t="s">
        <v>176</v>
      </c>
      <c r="J879" s="12" t="s">
        <v>177</v>
      </c>
      <c r="K879" s="12" t="s">
        <v>125</v>
      </c>
      <c r="L879" s="12" t="s">
        <v>134</v>
      </c>
      <c r="M879">
        <v>1.75</v>
      </c>
      <c r="N879" s="12" t="s">
        <v>159</v>
      </c>
      <c r="O879" s="12" t="s">
        <v>160</v>
      </c>
      <c r="P879" s="12" t="s">
        <v>137</v>
      </c>
      <c r="Q879" s="13">
        <v>45140</v>
      </c>
      <c r="R879" s="13">
        <v>45160</v>
      </c>
      <c r="S879">
        <v>2023</v>
      </c>
      <c r="T879" s="12" t="s">
        <v>1536</v>
      </c>
      <c r="U879">
        <v>75</v>
      </c>
      <c r="V879">
        <v>297.19900000000001</v>
      </c>
      <c r="W879">
        <v>357.12</v>
      </c>
      <c r="X879">
        <v>0</v>
      </c>
      <c r="Y879">
        <v>0</v>
      </c>
      <c r="Z879">
        <v>22289.93</v>
      </c>
      <c r="AA879">
        <v>22647.05</v>
      </c>
      <c r="AB879" s="12" t="s">
        <v>492</v>
      </c>
      <c r="AC879">
        <v>297.19900000000001</v>
      </c>
      <c r="AD879">
        <v>1</v>
      </c>
      <c r="AE879">
        <v>1</v>
      </c>
      <c r="AF879">
        <v>0</v>
      </c>
      <c r="AG879">
        <v>22289.93</v>
      </c>
      <c r="AH879">
        <v>75</v>
      </c>
      <c r="AI879">
        <v>74</v>
      </c>
      <c r="AJ879">
        <v>1</v>
      </c>
      <c r="AK879">
        <v>1</v>
      </c>
      <c r="AL879">
        <v>1</v>
      </c>
      <c r="AM879">
        <v>98.67</v>
      </c>
      <c r="AN879">
        <v>306.04109999999997</v>
      </c>
      <c r="AO879">
        <v>297.2</v>
      </c>
      <c r="AP879" s="13">
        <v>45159</v>
      </c>
      <c r="AQ879">
        <v>-1</v>
      </c>
      <c r="AR879">
        <v>1</v>
      </c>
    </row>
    <row r="880" spans="1:44" x14ac:dyDescent="0.35">
      <c r="A880" s="12" t="s">
        <v>1550</v>
      </c>
      <c r="B880" s="12" t="s">
        <v>238</v>
      </c>
      <c r="C880" s="12" t="s">
        <v>239</v>
      </c>
      <c r="D880" s="12" t="s">
        <v>122</v>
      </c>
      <c r="E880" s="12" t="s">
        <v>65</v>
      </c>
      <c r="F880">
        <v>3</v>
      </c>
      <c r="G880">
        <v>4</v>
      </c>
      <c r="H880">
        <v>0</v>
      </c>
      <c r="I880" s="12" t="s">
        <v>79</v>
      </c>
      <c r="J880" s="12" t="s">
        <v>80</v>
      </c>
      <c r="K880" s="12" t="s">
        <v>81</v>
      </c>
      <c r="L880" s="12" t="s">
        <v>82</v>
      </c>
      <c r="M880">
        <v>12.07</v>
      </c>
      <c r="N880" s="12" t="s">
        <v>70</v>
      </c>
      <c r="O880" s="12" t="s">
        <v>71</v>
      </c>
      <c r="P880" s="12" t="s">
        <v>72</v>
      </c>
      <c r="Q880" s="13">
        <v>45140</v>
      </c>
      <c r="R880" s="13">
        <v>45173</v>
      </c>
      <c r="S880">
        <v>2023</v>
      </c>
      <c r="T880" s="12" t="s">
        <v>1536</v>
      </c>
      <c r="U880">
        <v>1495</v>
      </c>
      <c r="V880">
        <v>37.143599999999999</v>
      </c>
      <c r="W880">
        <v>1255.23</v>
      </c>
      <c r="X880">
        <v>0</v>
      </c>
      <c r="Y880">
        <v>0</v>
      </c>
      <c r="Z880">
        <v>55529.68</v>
      </c>
      <c r="AA880">
        <v>56784.91</v>
      </c>
      <c r="AB880" s="12" t="s">
        <v>297</v>
      </c>
      <c r="AC880">
        <v>37.143599999999999</v>
      </c>
      <c r="AD880">
        <v>1</v>
      </c>
      <c r="AE880">
        <v>1</v>
      </c>
      <c r="AF880">
        <v>0</v>
      </c>
      <c r="AG880">
        <v>55529.68</v>
      </c>
      <c r="AH880">
        <v>1495</v>
      </c>
      <c r="AI880">
        <v>1492</v>
      </c>
      <c r="AJ880">
        <v>3</v>
      </c>
      <c r="AK880">
        <v>1</v>
      </c>
      <c r="AL880">
        <v>1</v>
      </c>
      <c r="AM880">
        <v>99.8</v>
      </c>
      <c r="AN880">
        <v>38.059600000000003</v>
      </c>
      <c r="AO880">
        <v>111.43</v>
      </c>
      <c r="AP880" s="13">
        <v>45170</v>
      </c>
      <c r="AQ880">
        <v>-3</v>
      </c>
      <c r="AR880">
        <v>1</v>
      </c>
    </row>
    <row r="881" spans="1:44" x14ac:dyDescent="0.35">
      <c r="A881" s="12" t="s">
        <v>1551</v>
      </c>
      <c r="B881" s="12" t="s">
        <v>544</v>
      </c>
      <c r="C881" s="12" t="s">
        <v>545</v>
      </c>
      <c r="D881" s="12" t="s">
        <v>175</v>
      </c>
      <c r="E881" s="12" t="s">
        <v>65</v>
      </c>
      <c r="F881">
        <v>3</v>
      </c>
      <c r="G881">
        <v>5</v>
      </c>
      <c r="H881">
        <v>0</v>
      </c>
      <c r="I881" s="12" t="s">
        <v>79</v>
      </c>
      <c r="J881" s="12" t="s">
        <v>80</v>
      </c>
      <c r="K881" s="12" t="s">
        <v>81</v>
      </c>
      <c r="L881" s="12" t="s">
        <v>82</v>
      </c>
      <c r="M881">
        <v>12.07</v>
      </c>
      <c r="N881" s="12" t="s">
        <v>145</v>
      </c>
      <c r="O881" s="12" t="s">
        <v>146</v>
      </c>
      <c r="P881" s="12" t="s">
        <v>109</v>
      </c>
      <c r="Q881" s="13">
        <v>45141</v>
      </c>
      <c r="R881" s="13">
        <v>45163</v>
      </c>
      <c r="S881">
        <v>2023</v>
      </c>
      <c r="T881" s="12" t="s">
        <v>1536</v>
      </c>
      <c r="U881">
        <v>23</v>
      </c>
      <c r="V881">
        <v>176.87180000000001</v>
      </c>
      <c r="W881">
        <v>99.78</v>
      </c>
      <c r="X881">
        <v>0</v>
      </c>
      <c r="Y881">
        <v>0</v>
      </c>
      <c r="Z881">
        <v>4068.05</v>
      </c>
      <c r="AA881">
        <v>4167.83</v>
      </c>
      <c r="AB881" s="12" t="s">
        <v>201</v>
      </c>
      <c r="AD881">
        <v>0</v>
      </c>
      <c r="AE881">
        <v>0</v>
      </c>
      <c r="AH881">
        <v>23</v>
      </c>
      <c r="AI881">
        <v>23</v>
      </c>
      <c r="AJ881">
        <v>0</v>
      </c>
      <c r="AK881">
        <v>1</v>
      </c>
      <c r="AL881">
        <v>1</v>
      </c>
      <c r="AM881">
        <v>100</v>
      </c>
      <c r="AN881">
        <v>181.21010000000001</v>
      </c>
      <c r="AO881">
        <v>0</v>
      </c>
      <c r="AP881" s="13">
        <v>45163</v>
      </c>
      <c r="AQ881">
        <v>0</v>
      </c>
      <c r="AR881">
        <v>1</v>
      </c>
    </row>
    <row r="882" spans="1:44" x14ac:dyDescent="0.35">
      <c r="A882" s="12" t="s">
        <v>1552</v>
      </c>
      <c r="B882" s="12" t="s">
        <v>1220</v>
      </c>
      <c r="C882" s="12" t="s">
        <v>1221</v>
      </c>
      <c r="D882" s="12" t="s">
        <v>175</v>
      </c>
      <c r="E882" s="12" t="s">
        <v>104</v>
      </c>
      <c r="F882">
        <v>3</v>
      </c>
      <c r="G882">
        <v>1</v>
      </c>
      <c r="H882">
        <v>0</v>
      </c>
      <c r="I882" s="12" t="s">
        <v>515</v>
      </c>
      <c r="J882" s="12" t="s">
        <v>516</v>
      </c>
      <c r="K882" s="12" t="s">
        <v>68</v>
      </c>
      <c r="L882" s="12" t="s">
        <v>134</v>
      </c>
      <c r="M882">
        <v>3.69</v>
      </c>
      <c r="N882" s="12" t="s">
        <v>145</v>
      </c>
      <c r="O882" s="12" t="s">
        <v>146</v>
      </c>
      <c r="P882" s="12" t="s">
        <v>109</v>
      </c>
      <c r="Q882" s="13">
        <v>45141</v>
      </c>
      <c r="R882" s="13">
        <v>45162</v>
      </c>
      <c r="S882">
        <v>2023</v>
      </c>
      <c r="T882" s="12" t="s">
        <v>1536</v>
      </c>
      <c r="U882">
        <v>84</v>
      </c>
      <c r="V882">
        <v>138.98759999999999</v>
      </c>
      <c r="W882">
        <v>275.55</v>
      </c>
      <c r="X882">
        <v>0</v>
      </c>
      <c r="Y882">
        <v>0</v>
      </c>
      <c r="Z882">
        <v>11674.96</v>
      </c>
      <c r="AA882">
        <v>11950.51</v>
      </c>
      <c r="AB882" s="12" t="s">
        <v>1222</v>
      </c>
      <c r="AC882">
        <v>138.98759999999999</v>
      </c>
      <c r="AD882">
        <v>1</v>
      </c>
      <c r="AE882">
        <v>1</v>
      </c>
      <c r="AF882">
        <v>0</v>
      </c>
      <c r="AG882">
        <v>11674.96</v>
      </c>
      <c r="AH882">
        <v>84</v>
      </c>
      <c r="AI882">
        <v>83</v>
      </c>
      <c r="AJ882">
        <v>1</v>
      </c>
      <c r="AK882">
        <v>1</v>
      </c>
      <c r="AL882">
        <v>1</v>
      </c>
      <c r="AM882">
        <v>98.81</v>
      </c>
      <c r="AN882">
        <v>143.982</v>
      </c>
      <c r="AO882">
        <v>138.99</v>
      </c>
      <c r="AP882" s="13">
        <v>45161</v>
      </c>
      <c r="AQ882">
        <v>-1</v>
      </c>
      <c r="AR882">
        <v>1</v>
      </c>
    </row>
    <row r="883" spans="1:44" x14ac:dyDescent="0.35">
      <c r="A883" s="12" t="s">
        <v>1553</v>
      </c>
      <c r="B883" s="12" t="s">
        <v>513</v>
      </c>
      <c r="C883" s="12" t="s">
        <v>514</v>
      </c>
      <c r="D883" s="12" t="s">
        <v>269</v>
      </c>
      <c r="E883" s="12" t="s">
        <v>65</v>
      </c>
      <c r="F883">
        <v>1</v>
      </c>
      <c r="G883">
        <v>2</v>
      </c>
      <c r="H883">
        <v>1</v>
      </c>
      <c r="I883" s="12" t="s">
        <v>515</v>
      </c>
      <c r="J883" s="12" t="s">
        <v>516</v>
      </c>
      <c r="K883" s="12" t="s">
        <v>68</v>
      </c>
      <c r="L883" s="12" t="s">
        <v>134</v>
      </c>
      <c r="M883">
        <v>3.69</v>
      </c>
      <c r="N883" s="12" t="s">
        <v>159</v>
      </c>
      <c r="O883" s="12" t="s">
        <v>160</v>
      </c>
      <c r="P883" s="12" t="s">
        <v>137</v>
      </c>
      <c r="Q883" s="13">
        <v>45141</v>
      </c>
      <c r="R883" s="13">
        <v>45163</v>
      </c>
      <c r="S883">
        <v>2023</v>
      </c>
      <c r="T883" s="12" t="s">
        <v>1536</v>
      </c>
      <c r="U883">
        <v>22</v>
      </c>
      <c r="V883">
        <v>229.3486</v>
      </c>
      <c r="W883">
        <v>111.16</v>
      </c>
      <c r="X883">
        <v>0</v>
      </c>
      <c r="Y883">
        <v>0</v>
      </c>
      <c r="Z883">
        <v>5045.67</v>
      </c>
      <c r="AA883">
        <v>5156.83</v>
      </c>
      <c r="AB883" s="12" t="s">
        <v>517</v>
      </c>
      <c r="AC883">
        <v>229.3486</v>
      </c>
      <c r="AD883">
        <v>1</v>
      </c>
      <c r="AE883">
        <v>1</v>
      </c>
      <c r="AF883">
        <v>0</v>
      </c>
      <c r="AG883">
        <v>5045.67</v>
      </c>
      <c r="AH883">
        <v>22</v>
      </c>
      <c r="AI883">
        <v>22</v>
      </c>
      <c r="AJ883">
        <v>0</v>
      </c>
      <c r="AK883">
        <v>1</v>
      </c>
      <c r="AL883">
        <v>1</v>
      </c>
      <c r="AM883">
        <v>100</v>
      </c>
      <c r="AN883">
        <v>234.40129999999999</v>
      </c>
      <c r="AO883">
        <v>0</v>
      </c>
      <c r="AP883" s="13">
        <v>45161</v>
      </c>
      <c r="AQ883">
        <v>-2</v>
      </c>
      <c r="AR883">
        <v>1</v>
      </c>
    </row>
    <row r="884" spans="1:44" x14ac:dyDescent="0.35">
      <c r="A884" s="12" t="s">
        <v>1554</v>
      </c>
      <c r="B884" s="12" t="s">
        <v>378</v>
      </c>
      <c r="C884" s="12" t="s">
        <v>379</v>
      </c>
      <c r="D884" s="12" t="s">
        <v>64</v>
      </c>
      <c r="E884" s="12" t="s">
        <v>104</v>
      </c>
      <c r="F884">
        <v>3</v>
      </c>
      <c r="G884">
        <v>1</v>
      </c>
      <c r="H884">
        <v>0</v>
      </c>
      <c r="I884" s="12" t="s">
        <v>380</v>
      </c>
      <c r="J884" s="12" t="s">
        <v>381</v>
      </c>
      <c r="K884" s="12" t="s">
        <v>89</v>
      </c>
      <c r="L884" s="12" t="s">
        <v>96</v>
      </c>
      <c r="M884">
        <v>10.210000000000001</v>
      </c>
      <c r="N884" s="12" t="s">
        <v>70</v>
      </c>
      <c r="O884" s="12" t="s">
        <v>71</v>
      </c>
      <c r="P884" s="12" t="s">
        <v>72</v>
      </c>
      <c r="Q884" s="13">
        <v>45141</v>
      </c>
      <c r="R884" s="13">
        <v>45157</v>
      </c>
      <c r="S884">
        <v>2023</v>
      </c>
      <c r="T884" s="12" t="s">
        <v>1536</v>
      </c>
      <c r="U884">
        <v>335</v>
      </c>
      <c r="V884">
        <v>16.160900000000002</v>
      </c>
      <c r="W884">
        <v>123.45</v>
      </c>
      <c r="X884">
        <v>0</v>
      </c>
      <c r="Y884">
        <v>0</v>
      </c>
      <c r="Z884">
        <v>5413.9</v>
      </c>
      <c r="AA884">
        <v>5537.35</v>
      </c>
      <c r="AB884" s="12" t="s">
        <v>382</v>
      </c>
      <c r="AC884">
        <v>16.160900000000002</v>
      </c>
      <c r="AD884">
        <v>1</v>
      </c>
      <c r="AE884">
        <v>1</v>
      </c>
      <c r="AF884">
        <v>0</v>
      </c>
      <c r="AG884">
        <v>5413.9</v>
      </c>
      <c r="AH884">
        <v>335</v>
      </c>
      <c r="AI884">
        <v>332</v>
      </c>
      <c r="AJ884">
        <v>3</v>
      </c>
      <c r="AK884">
        <v>1</v>
      </c>
      <c r="AL884">
        <v>1</v>
      </c>
      <c r="AM884">
        <v>99.1</v>
      </c>
      <c r="AN884">
        <v>16.678799999999999</v>
      </c>
      <c r="AO884">
        <v>48.48</v>
      </c>
      <c r="AP884" s="13">
        <v>45162</v>
      </c>
      <c r="AQ884">
        <v>5</v>
      </c>
      <c r="AR884">
        <v>0</v>
      </c>
    </row>
    <row r="885" spans="1:44" x14ac:dyDescent="0.35">
      <c r="A885" s="12" t="s">
        <v>1555</v>
      </c>
      <c r="B885" s="12" t="s">
        <v>809</v>
      </c>
      <c r="C885" s="12" t="s">
        <v>810</v>
      </c>
      <c r="D885" s="12" t="s">
        <v>114</v>
      </c>
      <c r="E885" s="12" t="s">
        <v>65</v>
      </c>
      <c r="F885">
        <v>3</v>
      </c>
      <c r="G885">
        <v>5</v>
      </c>
      <c r="H885">
        <v>0</v>
      </c>
      <c r="I885" s="12" t="s">
        <v>804</v>
      </c>
      <c r="J885" s="12" t="s">
        <v>342</v>
      </c>
      <c r="K885" s="12" t="s">
        <v>117</v>
      </c>
      <c r="L885" s="12" t="s">
        <v>69</v>
      </c>
      <c r="M885">
        <v>30.07</v>
      </c>
      <c r="N885" s="12" t="s">
        <v>97</v>
      </c>
      <c r="O885" s="12" t="s">
        <v>98</v>
      </c>
      <c r="P885" s="12" t="s">
        <v>72</v>
      </c>
      <c r="Q885" s="13">
        <v>45141</v>
      </c>
      <c r="R885" s="13">
        <v>45166</v>
      </c>
      <c r="S885">
        <v>2023</v>
      </c>
      <c r="T885" s="12" t="s">
        <v>1536</v>
      </c>
      <c r="U885">
        <v>45</v>
      </c>
      <c r="V885">
        <v>323.22789999999998</v>
      </c>
      <c r="W885">
        <v>129.66999999999999</v>
      </c>
      <c r="X885">
        <v>0</v>
      </c>
      <c r="Y885">
        <v>0</v>
      </c>
      <c r="Z885">
        <v>14545.26</v>
      </c>
      <c r="AA885">
        <v>14674.93</v>
      </c>
      <c r="AB885" s="12" t="s">
        <v>880</v>
      </c>
      <c r="AC885">
        <v>323.22789999999998</v>
      </c>
      <c r="AD885">
        <v>1</v>
      </c>
      <c r="AE885">
        <v>1</v>
      </c>
      <c r="AF885">
        <v>0</v>
      </c>
      <c r="AG885">
        <v>14545.26</v>
      </c>
      <c r="AH885">
        <v>45</v>
      </c>
      <c r="AI885">
        <v>45</v>
      </c>
      <c r="AJ885">
        <v>0</v>
      </c>
      <c r="AK885">
        <v>1</v>
      </c>
      <c r="AL885">
        <v>1</v>
      </c>
      <c r="AM885">
        <v>100</v>
      </c>
      <c r="AN885">
        <v>326.10950000000003</v>
      </c>
      <c r="AO885">
        <v>0</v>
      </c>
      <c r="AP885" s="13">
        <v>45167</v>
      </c>
      <c r="AQ885">
        <v>1</v>
      </c>
      <c r="AR885">
        <v>0</v>
      </c>
    </row>
    <row r="886" spans="1:44" x14ac:dyDescent="0.35">
      <c r="A886" s="12" t="s">
        <v>1556</v>
      </c>
      <c r="B886" s="12" t="s">
        <v>740</v>
      </c>
      <c r="C886" s="12" t="s">
        <v>741</v>
      </c>
      <c r="D886" s="12" t="s">
        <v>64</v>
      </c>
      <c r="E886" s="12" t="s">
        <v>104</v>
      </c>
      <c r="F886">
        <v>2</v>
      </c>
      <c r="G886">
        <v>0</v>
      </c>
      <c r="H886">
        <v>0</v>
      </c>
      <c r="I886" s="12" t="s">
        <v>183</v>
      </c>
      <c r="J886" s="12" t="s">
        <v>184</v>
      </c>
      <c r="K886" s="12" t="s">
        <v>133</v>
      </c>
      <c r="L886" s="12" t="s">
        <v>82</v>
      </c>
      <c r="M886">
        <v>8.6199999999999992</v>
      </c>
      <c r="N886" s="12" t="s">
        <v>70</v>
      </c>
      <c r="O886" s="12" t="s">
        <v>71</v>
      </c>
      <c r="P886" s="12" t="s">
        <v>72</v>
      </c>
      <c r="Q886" s="13">
        <v>45141</v>
      </c>
      <c r="R886" s="13">
        <v>45163</v>
      </c>
      <c r="S886">
        <v>2023</v>
      </c>
      <c r="T886" s="12" t="s">
        <v>1536</v>
      </c>
      <c r="U886">
        <v>634</v>
      </c>
      <c r="V886">
        <v>41.2042</v>
      </c>
      <c r="W886">
        <v>158.75</v>
      </c>
      <c r="X886">
        <v>0</v>
      </c>
      <c r="Y886">
        <v>0</v>
      </c>
      <c r="Z886">
        <v>26123.46</v>
      </c>
      <c r="AA886">
        <v>26282.21</v>
      </c>
      <c r="AB886" s="12" t="s">
        <v>742</v>
      </c>
      <c r="AC886">
        <v>41.2042</v>
      </c>
      <c r="AD886">
        <v>1</v>
      </c>
      <c r="AE886">
        <v>1</v>
      </c>
      <c r="AF886">
        <v>0</v>
      </c>
      <c r="AG886">
        <v>26123.46</v>
      </c>
      <c r="AH886">
        <v>634</v>
      </c>
      <c r="AI886">
        <v>626</v>
      </c>
      <c r="AJ886">
        <v>8</v>
      </c>
      <c r="AK886">
        <v>1</v>
      </c>
      <c r="AL886">
        <v>1</v>
      </c>
      <c r="AM886">
        <v>98.74</v>
      </c>
      <c r="AN886">
        <v>41.984400000000001</v>
      </c>
      <c r="AO886">
        <v>329.63</v>
      </c>
      <c r="AP886" s="13">
        <v>45162</v>
      </c>
      <c r="AQ886">
        <v>-1</v>
      </c>
      <c r="AR886">
        <v>1</v>
      </c>
    </row>
    <row r="887" spans="1:44" x14ac:dyDescent="0.35">
      <c r="A887" s="12" t="s">
        <v>1557</v>
      </c>
      <c r="B887" s="12" t="s">
        <v>447</v>
      </c>
      <c r="C887" s="12" t="s">
        <v>448</v>
      </c>
      <c r="D887" s="12" t="s">
        <v>269</v>
      </c>
      <c r="E887" s="12" t="s">
        <v>65</v>
      </c>
      <c r="F887">
        <v>2</v>
      </c>
      <c r="G887">
        <v>2</v>
      </c>
      <c r="H887">
        <v>0</v>
      </c>
      <c r="I887" s="12" t="s">
        <v>94</v>
      </c>
      <c r="J887" s="12" t="s">
        <v>95</v>
      </c>
      <c r="K887" s="12" t="s">
        <v>81</v>
      </c>
      <c r="L887" s="12" t="s">
        <v>96</v>
      </c>
      <c r="M887">
        <v>4.8099999999999996</v>
      </c>
      <c r="N887" s="12" t="s">
        <v>159</v>
      </c>
      <c r="O887" s="12" t="s">
        <v>160</v>
      </c>
      <c r="P887" s="12" t="s">
        <v>137</v>
      </c>
      <c r="Q887" s="13">
        <v>45141</v>
      </c>
      <c r="R887" s="13">
        <v>45178</v>
      </c>
      <c r="S887">
        <v>2023</v>
      </c>
      <c r="T887" s="12" t="s">
        <v>1536</v>
      </c>
      <c r="U887">
        <v>136</v>
      </c>
      <c r="V887">
        <v>388.54930000000002</v>
      </c>
      <c r="W887">
        <v>764.16</v>
      </c>
      <c r="X887">
        <v>0</v>
      </c>
      <c r="Y887">
        <v>0</v>
      </c>
      <c r="Z887">
        <v>52842.7</v>
      </c>
      <c r="AA887">
        <v>53606.86</v>
      </c>
      <c r="AB887" s="12" t="s">
        <v>449</v>
      </c>
      <c r="AC887">
        <v>388.54930000000002</v>
      </c>
      <c r="AD887">
        <v>1</v>
      </c>
      <c r="AE887">
        <v>1</v>
      </c>
      <c r="AF887">
        <v>0</v>
      </c>
      <c r="AG887">
        <v>52842.7</v>
      </c>
      <c r="AH887">
        <v>136</v>
      </c>
      <c r="AI887">
        <v>135</v>
      </c>
      <c r="AJ887">
        <v>1</v>
      </c>
      <c r="AK887">
        <v>1</v>
      </c>
      <c r="AL887">
        <v>1</v>
      </c>
      <c r="AM887">
        <v>99.26</v>
      </c>
      <c r="AN887">
        <v>397.08789999999999</v>
      </c>
      <c r="AO887">
        <v>388.55</v>
      </c>
      <c r="AP887" s="13">
        <v>45174</v>
      </c>
      <c r="AQ887">
        <v>-4</v>
      </c>
      <c r="AR887">
        <v>1</v>
      </c>
    </row>
    <row r="888" spans="1:44" x14ac:dyDescent="0.35">
      <c r="A888" s="12" t="s">
        <v>1558</v>
      </c>
      <c r="B888" s="12" t="s">
        <v>674</v>
      </c>
      <c r="C888" s="12" t="s">
        <v>675</v>
      </c>
      <c r="D888" s="12" t="s">
        <v>269</v>
      </c>
      <c r="E888" s="12" t="s">
        <v>142</v>
      </c>
      <c r="F888">
        <v>1</v>
      </c>
      <c r="G888">
        <v>7</v>
      </c>
      <c r="H888">
        <v>1</v>
      </c>
      <c r="I888" s="12" t="s">
        <v>676</v>
      </c>
      <c r="J888" s="12" t="s">
        <v>677</v>
      </c>
      <c r="K888" s="12" t="s">
        <v>68</v>
      </c>
      <c r="L888" s="12" t="s">
        <v>96</v>
      </c>
      <c r="M888">
        <v>3.57</v>
      </c>
      <c r="N888" s="12" t="s">
        <v>159</v>
      </c>
      <c r="O888" s="12" t="s">
        <v>160</v>
      </c>
      <c r="P888" s="12" t="s">
        <v>137</v>
      </c>
      <c r="Q888" s="13">
        <v>45142</v>
      </c>
      <c r="R888" s="13">
        <v>45185</v>
      </c>
      <c r="S888">
        <v>2023</v>
      </c>
      <c r="T888" s="12" t="s">
        <v>1536</v>
      </c>
      <c r="U888">
        <v>77</v>
      </c>
      <c r="V888">
        <v>355.32960000000003</v>
      </c>
      <c r="W888">
        <v>222.63</v>
      </c>
      <c r="X888">
        <v>0</v>
      </c>
      <c r="Y888">
        <v>0</v>
      </c>
      <c r="Z888">
        <v>27360.38</v>
      </c>
      <c r="AA888">
        <v>27583.01</v>
      </c>
      <c r="AB888" s="12" t="s">
        <v>678</v>
      </c>
      <c r="AC888">
        <v>355.32960000000003</v>
      </c>
      <c r="AD888">
        <v>1</v>
      </c>
      <c r="AE888">
        <v>1</v>
      </c>
      <c r="AF888">
        <v>0</v>
      </c>
      <c r="AG888">
        <v>27360.38</v>
      </c>
      <c r="AH888">
        <v>77</v>
      </c>
      <c r="AI888">
        <v>76</v>
      </c>
      <c r="AJ888">
        <v>1</v>
      </c>
      <c r="AK888">
        <v>1</v>
      </c>
      <c r="AL888">
        <v>1</v>
      </c>
      <c r="AM888">
        <v>98.7</v>
      </c>
      <c r="AN888">
        <v>362.93430000000001</v>
      </c>
      <c r="AO888">
        <v>355.33</v>
      </c>
      <c r="AP888" s="13">
        <v>45184</v>
      </c>
      <c r="AQ888">
        <v>-1</v>
      </c>
      <c r="AR888">
        <v>1</v>
      </c>
    </row>
    <row r="889" spans="1:44" x14ac:dyDescent="0.35">
      <c r="A889" s="12" t="s">
        <v>1559</v>
      </c>
      <c r="B889" s="12" t="s">
        <v>630</v>
      </c>
      <c r="C889" s="12" t="s">
        <v>631</v>
      </c>
      <c r="D889" s="12" t="s">
        <v>130</v>
      </c>
      <c r="E889" s="12" t="s">
        <v>65</v>
      </c>
      <c r="F889">
        <v>1</v>
      </c>
      <c r="G889">
        <v>2</v>
      </c>
      <c r="H889">
        <v>1</v>
      </c>
      <c r="I889" s="12" t="s">
        <v>335</v>
      </c>
      <c r="J889" s="12" t="s">
        <v>336</v>
      </c>
      <c r="K889" s="12" t="s">
        <v>89</v>
      </c>
      <c r="L889" s="12" t="s">
        <v>82</v>
      </c>
      <c r="M889">
        <v>16</v>
      </c>
      <c r="N889" s="12" t="s">
        <v>159</v>
      </c>
      <c r="O889" s="12" t="s">
        <v>160</v>
      </c>
      <c r="P889" s="12" t="s">
        <v>137</v>
      </c>
      <c r="Q889" s="13">
        <v>45142</v>
      </c>
      <c r="R889" s="13">
        <v>45176</v>
      </c>
      <c r="S889">
        <v>2023</v>
      </c>
      <c r="T889" s="12" t="s">
        <v>1536</v>
      </c>
      <c r="U889">
        <v>117</v>
      </c>
      <c r="V889">
        <v>448.44209999999998</v>
      </c>
      <c r="W889">
        <v>1200.1600000000001</v>
      </c>
      <c r="X889">
        <v>0</v>
      </c>
      <c r="Y889">
        <v>0</v>
      </c>
      <c r="Z889">
        <v>52467.73</v>
      </c>
      <c r="AA889">
        <v>53667.89</v>
      </c>
      <c r="AB889" s="12" t="s">
        <v>632</v>
      </c>
      <c r="AC889">
        <v>448.44209999999998</v>
      </c>
      <c r="AD889">
        <v>1</v>
      </c>
      <c r="AE889">
        <v>1</v>
      </c>
      <c r="AF889">
        <v>0</v>
      </c>
      <c r="AG889">
        <v>52467.73</v>
      </c>
      <c r="AH889">
        <v>117</v>
      </c>
      <c r="AI889">
        <v>116</v>
      </c>
      <c r="AJ889">
        <v>1</v>
      </c>
      <c r="AK889">
        <v>1</v>
      </c>
      <c r="AL889">
        <v>1</v>
      </c>
      <c r="AM889">
        <v>99.15</v>
      </c>
      <c r="AN889">
        <v>462.6542</v>
      </c>
      <c r="AO889">
        <v>448.44</v>
      </c>
      <c r="AP889" s="13">
        <v>45174</v>
      </c>
      <c r="AQ889">
        <v>-2</v>
      </c>
      <c r="AR889">
        <v>1</v>
      </c>
    </row>
    <row r="890" spans="1:44" x14ac:dyDescent="0.35">
      <c r="A890" s="12" t="s">
        <v>1560</v>
      </c>
      <c r="B890" s="12" t="s">
        <v>112</v>
      </c>
      <c r="C890" s="12" t="s">
        <v>113</v>
      </c>
      <c r="D890" s="12" t="s">
        <v>114</v>
      </c>
      <c r="E890" s="12" t="s">
        <v>104</v>
      </c>
      <c r="F890">
        <v>3</v>
      </c>
      <c r="G890">
        <v>1</v>
      </c>
      <c r="H890">
        <v>0</v>
      </c>
      <c r="I890" s="12" t="s">
        <v>227</v>
      </c>
      <c r="J890" s="12" t="s">
        <v>228</v>
      </c>
      <c r="K890" s="12" t="s">
        <v>89</v>
      </c>
      <c r="L890" s="12" t="s">
        <v>96</v>
      </c>
      <c r="M890">
        <v>9.15</v>
      </c>
      <c r="N890" s="12" t="s">
        <v>70</v>
      </c>
      <c r="O890" s="12" t="s">
        <v>71</v>
      </c>
      <c r="P890" s="12" t="s">
        <v>72</v>
      </c>
      <c r="Q890" s="13">
        <v>45142</v>
      </c>
      <c r="R890" s="13">
        <v>45163</v>
      </c>
      <c r="S890">
        <v>2023</v>
      </c>
      <c r="T890" s="12" t="s">
        <v>1536</v>
      </c>
      <c r="U890">
        <v>82</v>
      </c>
      <c r="V890">
        <v>264.17590000000001</v>
      </c>
      <c r="W890">
        <v>402.55</v>
      </c>
      <c r="X890">
        <v>0</v>
      </c>
      <c r="Y890">
        <v>0</v>
      </c>
      <c r="Z890">
        <v>21662.42</v>
      </c>
      <c r="AA890">
        <v>22064.97</v>
      </c>
      <c r="AB890" s="12" t="s">
        <v>282</v>
      </c>
      <c r="AC890">
        <v>264.17590000000001</v>
      </c>
      <c r="AD890">
        <v>1</v>
      </c>
      <c r="AE890">
        <v>1</v>
      </c>
      <c r="AF890">
        <v>0</v>
      </c>
      <c r="AG890">
        <v>21662.42</v>
      </c>
      <c r="AH890">
        <v>82</v>
      </c>
      <c r="AI890">
        <v>81</v>
      </c>
      <c r="AJ890">
        <v>1</v>
      </c>
      <c r="AK890">
        <v>1</v>
      </c>
      <c r="AL890">
        <v>1</v>
      </c>
      <c r="AM890">
        <v>98.78</v>
      </c>
      <c r="AN890">
        <v>272.40710000000001</v>
      </c>
      <c r="AO890">
        <v>264.18</v>
      </c>
      <c r="AP890" s="13">
        <v>45169</v>
      </c>
      <c r="AQ890">
        <v>6</v>
      </c>
      <c r="AR890">
        <v>0</v>
      </c>
    </row>
    <row r="891" spans="1:44" x14ac:dyDescent="0.35">
      <c r="A891" s="12" t="s">
        <v>1561</v>
      </c>
      <c r="B891" s="12" t="s">
        <v>503</v>
      </c>
      <c r="C891" s="12" t="s">
        <v>504</v>
      </c>
      <c r="D891" s="12" t="s">
        <v>103</v>
      </c>
      <c r="E891" s="12" t="s">
        <v>104</v>
      </c>
      <c r="F891">
        <v>3</v>
      </c>
      <c r="G891">
        <v>1</v>
      </c>
      <c r="H891">
        <v>0</v>
      </c>
      <c r="I891" s="12" t="s">
        <v>209</v>
      </c>
      <c r="J891" s="12" t="s">
        <v>210</v>
      </c>
      <c r="K891" s="12" t="s">
        <v>133</v>
      </c>
      <c r="L891" s="12" t="s">
        <v>96</v>
      </c>
      <c r="M891">
        <v>7.82</v>
      </c>
      <c r="N891" s="12" t="s">
        <v>107</v>
      </c>
      <c r="O891" s="12" t="s">
        <v>108</v>
      </c>
      <c r="P891" s="12" t="s">
        <v>109</v>
      </c>
      <c r="Q891" s="13">
        <v>45142</v>
      </c>
      <c r="R891" s="13">
        <v>45169</v>
      </c>
      <c r="S891">
        <v>2023</v>
      </c>
      <c r="T891" s="12" t="s">
        <v>1536</v>
      </c>
      <c r="U891">
        <v>129</v>
      </c>
      <c r="V891">
        <v>158.00909999999999</v>
      </c>
      <c r="W891">
        <v>396.51</v>
      </c>
      <c r="X891">
        <v>0</v>
      </c>
      <c r="Y891">
        <v>0</v>
      </c>
      <c r="Z891">
        <v>20383.169999999998</v>
      </c>
      <c r="AA891">
        <v>20779.68</v>
      </c>
      <c r="AB891" s="12" t="s">
        <v>505</v>
      </c>
      <c r="AC891">
        <v>158.00909999999999</v>
      </c>
      <c r="AD891">
        <v>1</v>
      </c>
      <c r="AE891">
        <v>1</v>
      </c>
      <c r="AF891">
        <v>0</v>
      </c>
      <c r="AG891">
        <v>20383.169999999998</v>
      </c>
      <c r="AH891">
        <v>129</v>
      </c>
      <c r="AI891">
        <v>128</v>
      </c>
      <c r="AJ891">
        <v>1</v>
      </c>
      <c r="AK891">
        <v>1</v>
      </c>
      <c r="AL891">
        <v>1</v>
      </c>
      <c r="AM891">
        <v>99.22</v>
      </c>
      <c r="AN891">
        <v>162.34129999999999</v>
      </c>
      <c r="AO891">
        <v>158.01</v>
      </c>
      <c r="AP891" s="13">
        <v>45176</v>
      </c>
      <c r="AQ891">
        <v>7</v>
      </c>
      <c r="AR891">
        <v>0</v>
      </c>
    </row>
    <row r="892" spans="1:44" x14ac:dyDescent="0.35">
      <c r="A892" s="12" t="s">
        <v>1562</v>
      </c>
      <c r="B892" s="12" t="s">
        <v>261</v>
      </c>
      <c r="C892" s="12" t="s">
        <v>262</v>
      </c>
      <c r="D892" s="12" t="s">
        <v>114</v>
      </c>
      <c r="E892" s="12" t="s">
        <v>142</v>
      </c>
      <c r="F892">
        <v>1</v>
      </c>
      <c r="G892">
        <v>8</v>
      </c>
      <c r="H892">
        <v>1</v>
      </c>
      <c r="I892" s="12" t="s">
        <v>263</v>
      </c>
      <c r="J892" s="12" t="s">
        <v>264</v>
      </c>
      <c r="K892" s="12" t="s">
        <v>125</v>
      </c>
      <c r="L892" s="12" t="s">
        <v>82</v>
      </c>
      <c r="M892">
        <v>10.210000000000001</v>
      </c>
      <c r="N892" s="12" t="s">
        <v>97</v>
      </c>
      <c r="O892" s="12" t="s">
        <v>98</v>
      </c>
      <c r="P892" s="12" t="s">
        <v>72</v>
      </c>
      <c r="Q892" s="13">
        <v>45142</v>
      </c>
      <c r="R892" s="13">
        <v>45191</v>
      </c>
      <c r="S892">
        <v>2023</v>
      </c>
      <c r="T892" s="12" t="s">
        <v>1536</v>
      </c>
      <c r="U892">
        <v>123</v>
      </c>
      <c r="V892">
        <v>138.256</v>
      </c>
      <c r="W892">
        <v>375.87</v>
      </c>
      <c r="X892">
        <v>0</v>
      </c>
      <c r="Y892">
        <v>0</v>
      </c>
      <c r="Z892">
        <v>17005.490000000002</v>
      </c>
      <c r="AA892">
        <v>17381.36</v>
      </c>
      <c r="AB892" s="12" t="s">
        <v>265</v>
      </c>
      <c r="AC892">
        <v>138.256</v>
      </c>
      <c r="AD892">
        <v>1</v>
      </c>
      <c r="AE892">
        <v>1</v>
      </c>
      <c r="AF892">
        <v>0</v>
      </c>
      <c r="AG892">
        <v>17005.490000000002</v>
      </c>
      <c r="AH892">
        <v>123</v>
      </c>
      <c r="AI892">
        <v>120</v>
      </c>
      <c r="AJ892">
        <v>3</v>
      </c>
      <c r="AK892">
        <v>1</v>
      </c>
      <c r="AL892">
        <v>1</v>
      </c>
      <c r="AM892">
        <v>97.56</v>
      </c>
      <c r="AN892">
        <v>144.84469999999999</v>
      </c>
      <c r="AO892">
        <v>414.77</v>
      </c>
      <c r="AP892" s="13">
        <v>45188</v>
      </c>
      <c r="AQ892">
        <v>-3</v>
      </c>
      <c r="AR892">
        <v>1</v>
      </c>
    </row>
    <row r="893" spans="1:44" x14ac:dyDescent="0.35">
      <c r="A893" s="12" t="s">
        <v>1563</v>
      </c>
      <c r="B893" s="12" t="s">
        <v>909</v>
      </c>
      <c r="C893" s="12" t="s">
        <v>910</v>
      </c>
      <c r="D893" s="12" t="s">
        <v>269</v>
      </c>
      <c r="E893" s="12" t="s">
        <v>65</v>
      </c>
      <c r="F893">
        <v>3</v>
      </c>
      <c r="G893">
        <v>4</v>
      </c>
      <c r="H893">
        <v>0</v>
      </c>
      <c r="I893" s="12" t="s">
        <v>199</v>
      </c>
      <c r="J893" s="12" t="s">
        <v>200</v>
      </c>
      <c r="K893" s="12" t="s">
        <v>68</v>
      </c>
      <c r="L893" s="12" t="s">
        <v>96</v>
      </c>
      <c r="M893">
        <v>9.4700000000000006</v>
      </c>
      <c r="N893" s="12" t="s">
        <v>159</v>
      </c>
      <c r="O893" s="12" t="s">
        <v>160</v>
      </c>
      <c r="P893" s="12" t="s">
        <v>137</v>
      </c>
      <c r="Q893" s="13">
        <v>45142</v>
      </c>
      <c r="R893" s="13">
        <v>45177</v>
      </c>
      <c r="S893">
        <v>2023</v>
      </c>
      <c r="T893" s="12" t="s">
        <v>1536</v>
      </c>
      <c r="U893">
        <v>126</v>
      </c>
      <c r="V893">
        <v>108.32040000000001</v>
      </c>
      <c r="W893">
        <v>275.52</v>
      </c>
      <c r="X893">
        <v>0</v>
      </c>
      <c r="Y893">
        <v>0</v>
      </c>
      <c r="Z893">
        <v>13648.37</v>
      </c>
      <c r="AA893">
        <v>13923.89</v>
      </c>
      <c r="AB893" s="12" t="s">
        <v>911</v>
      </c>
      <c r="AC893">
        <v>108.32040000000001</v>
      </c>
      <c r="AD893">
        <v>1</v>
      </c>
      <c r="AE893">
        <v>1</v>
      </c>
      <c r="AF893">
        <v>0</v>
      </c>
      <c r="AG893">
        <v>13648.37</v>
      </c>
      <c r="AH893">
        <v>126</v>
      </c>
      <c r="AI893">
        <v>124</v>
      </c>
      <c r="AJ893">
        <v>2</v>
      </c>
      <c r="AK893">
        <v>1</v>
      </c>
      <c r="AL893">
        <v>1</v>
      </c>
      <c r="AM893">
        <v>98.41</v>
      </c>
      <c r="AN893">
        <v>112.2894</v>
      </c>
      <c r="AO893">
        <v>216.64</v>
      </c>
      <c r="AP893" s="13">
        <v>45173</v>
      </c>
      <c r="AQ893">
        <v>-4</v>
      </c>
      <c r="AR893">
        <v>1</v>
      </c>
    </row>
    <row r="894" spans="1:44" x14ac:dyDescent="0.35">
      <c r="A894" s="12" t="s">
        <v>1564</v>
      </c>
      <c r="B894" s="12" t="s">
        <v>732</v>
      </c>
      <c r="C894" s="12" t="s">
        <v>733</v>
      </c>
      <c r="D894" s="12" t="s">
        <v>114</v>
      </c>
      <c r="E894" s="12" t="s">
        <v>104</v>
      </c>
      <c r="F894">
        <v>3</v>
      </c>
      <c r="G894">
        <v>1</v>
      </c>
      <c r="H894">
        <v>0</v>
      </c>
      <c r="I894" s="12" t="s">
        <v>251</v>
      </c>
      <c r="J894" s="12" t="s">
        <v>252</v>
      </c>
      <c r="K894" s="12" t="s">
        <v>133</v>
      </c>
      <c r="L894" s="12" t="s">
        <v>69</v>
      </c>
      <c r="M894">
        <v>34.49</v>
      </c>
      <c r="N894" s="12" t="s">
        <v>97</v>
      </c>
      <c r="O894" s="12" t="s">
        <v>98</v>
      </c>
      <c r="P894" s="12" t="s">
        <v>72</v>
      </c>
      <c r="Q894" s="13">
        <v>45142</v>
      </c>
      <c r="R894" s="13">
        <v>45171</v>
      </c>
      <c r="S894">
        <v>2023</v>
      </c>
      <c r="T894" s="12" t="s">
        <v>1536</v>
      </c>
      <c r="U894">
        <v>143</v>
      </c>
      <c r="V894">
        <v>314.15269999999998</v>
      </c>
      <c r="W894">
        <v>920.97</v>
      </c>
      <c r="X894">
        <v>0</v>
      </c>
      <c r="Y894">
        <v>0</v>
      </c>
      <c r="Z894">
        <v>44923.839999999997</v>
      </c>
      <c r="AA894">
        <v>45844.81</v>
      </c>
      <c r="AB894" s="12" t="s">
        <v>764</v>
      </c>
      <c r="AC894">
        <v>314.15269999999998</v>
      </c>
      <c r="AD894">
        <v>1</v>
      </c>
      <c r="AE894">
        <v>1</v>
      </c>
      <c r="AF894">
        <v>0</v>
      </c>
      <c r="AG894">
        <v>44923.839999999997</v>
      </c>
      <c r="AH894">
        <v>143</v>
      </c>
      <c r="AI894">
        <v>141</v>
      </c>
      <c r="AJ894">
        <v>2</v>
      </c>
      <c r="AK894">
        <v>1</v>
      </c>
      <c r="AL894">
        <v>1</v>
      </c>
      <c r="AM894">
        <v>98.6</v>
      </c>
      <c r="AN894">
        <v>325.14049999999997</v>
      </c>
      <c r="AO894">
        <v>628.30999999999995</v>
      </c>
      <c r="AP894" s="13">
        <v>45169</v>
      </c>
      <c r="AQ894">
        <v>-2</v>
      </c>
      <c r="AR894">
        <v>1</v>
      </c>
    </row>
    <row r="895" spans="1:44" x14ac:dyDescent="0.35">
      <c r="A895" s="12" t="s">
        <v>1565</v>
      </c>
      <c r="B895" s="12" t="s">
        <v>957</v>
      </c>
      <c r="C895" s="12" t="s">
        <v>958</v>
      </c>
      <c r="D895" s="12" t="s">
        <v>103</v>
      </c>
      <c r="E895" s="12" t="s">
        <v>142</v>
      </c>
      <c r="F895">
        <v>1</v>
      </c>
      <c r="G895">
        <v>7</v>
      </c>
      <c r="H895">
        <v>1</v>
      </c>
      <c r="I895" s="12" t="s">
        <v>183</v>
      </c>
      <c r="J895" s="12" t="s">
        <v>184</v>
      </c>
      <c r="K895" s="12" t="s">
        <v>133</v>
      </c>
      <c r="L895" s="12" t="s">
        <v>82</v>
      </c>
      <c r="M895">
        <v>8.6199999999999992</v>
      </c>
      <c r="N895" s="12" t="s">
        <v>145</v>
      </c>
      <c r="O895" s="12" t="s">
        <v>146</v>
      </c>
      <c r="P895" s="12" t="s">
        <v>109</v>
      </c>
      <c r="Q895" s="13">
        <v>45142</v>
      </c>
      <c r="R895" s="13">
        <v>45183</v>
      </c>
      <c r="S895">
        <v>2023</v>
      </c>
      <c r="T895" s="12" t="s">
        <v>1536</v>
      </c>
      <c r="U895">
        <v>59</v>
      </c>
      <c r="V895">
        <v>199.1737</v>
      </c>
      <c r="W895">
        <v>150.44</v>
      </c>
      <c r="X895">
        <v>0</v>
      </c>
      <c r="Y895">
        <v>0</v>
      </c>
      <c r="Z895">
        <v>11751.25</v>
      </c>
      <c r="AA895">
        <v>11901.69</v>
      </c>
      <c r="AB895" s="12" t="s">
        <v>959</v>
      </c>
      <c r="AC895">
        <v>199.1737</v>
      </c>
      <c r="AD895">
        <v>1</v>
      </c>
      <c r="AE895">
        <v>1</v>
      </c>
      <c r="AF895">
        <v>0</v>
      </c>
      <c r="AG895">
        <v>11751.25</v>
      </c>
      <c r="AH895">
        <v>59</v>
      </c>
      <c r="AI895">
        <v>58</v>
      </c>
      <c r="AJ895">
        <v>1</v>
      </c>
      <c r="AK895">
        <v>1</v>
      </c>
      <c r="AL895">
        <v>1</v>
      </c>
      <c r="AM895">
        <v>98.31</v>
      </c>
      <c r="AN895">
        <v>205.20150000000001</v>
      </c>
      <c r="AO895">
        <v>199.17</v>
      </c>
      <c r="AP895" s="13">
        <v>45181</v>
      </c>
      <c r="AQ895">
        <v>-2</v>
      </c>
      <c r="AR895">
        <v>1</v>
      </c>
    </row>
    <row r="896" spans="1:44" x14ac:dyDescent="0.35">
      <c r="A896" s="12" t="s">
        <v>1566</v>
      </c>
      <c r="B896" s="12" t="s">
        <v>293</v>
      </c>
      <c r="C896" s="12" t="s">
        <v>294</v>
      </c>
      <c r="D896" s="12" t="s">
        <v>114</v>
      </c>
      <c r="E896" s="12" t="s">
        <v>142</v>
      </c>
      <c r="F896">
        <v>1</v>
      </c>
      <c r="G896">
        <v>6</v>
      </c>
      <c r="H896">
        <v>1</v>
      </c>
      <c r="I896" s="12" t="s">
        <v>195</v>
      </c>
      <c r="J896" s="12" t="s">
        <v>196</v>
      </c>
      <c r="K896" s="12" t="s">
        <v>117</v>
      </c>
      <c r="L896" s="12" t="s">
        <v>134</v>
      </c>
      <c r="M896">
        <v>4.7699999999999996</v>
      </c>
      <c r="N896" s="12" t="s">
        <v>70</v>
      </c>
      <c r="O896" s="12" t="s">
        <v>71</v>
      </c>
      <c r="P896" s="12" t="s">
        <v>72</v>
      </c>
      <c r="Q896" s="13">
        <v>45142</v>
      </c>
      <c r="R896" s="13">
        <v>45194</v>
      </c>
      <c r="S896">
        <v>2023</v>
      </c>
      <c r="T896" s="12" t="s">
        <v>1536</v>
      </c>
      <c r="U896">
        <v>146</v>
      </c>
      <c r="V896">
        <v>206.0489</v>
      </c>
      <c r="W896">
        <v>218.13</v>
      </c>
      <c r="X896">
        <v>0</v>
      </c>
      <c r="Y896">
        <v>0</v>
      </c>
      <c r="Z896">
        <v>30083.14</v>
      </c>
      <c r="AA896">
        <v>30301.27</v>
      </c>
      <c r="AB896" s="12" t="s">
        <v>295</v>
      </c>
      <c r="AC896">
        <v>206.0489</v>
      </c>
      <c r="AD896">
        <v>1</v>
      </c>
      <c r="AE896">
        <v>1</v>
      </c>
      <c r="AF896">
        <v>0</v>
      </c>
      <c r="AG896">
        <v>30083.14</v>
      </c>
      <c r="AH896">
        <v>146</v>
      </c>
      <c r="AI896">
        <v>145</v>
      </c>
      <c r="AJ896">
        <v>1</v>
      </c>
      <c r="AK896">
        <v>1</v>
      </c>
      <c r="AL896">
        <v>1</v>
      </c>
      <c r="AM896">
        <v>99.32</v>
      </c>
      <c r="AN896">
        <v>208.9743</v>
      </c>
      <c r="AO896">
        <v>206.05</v>
      </c>
      <c r="AP896" s="13">
        <v>45194</v>
      </c>
      <c r="AQ896">
        <v>0</v>
      </c>
      <c r="AR896">
        <v>1</v>
      </c>
    </row>
    <row r="897" spans="1:44" x14ac:dyDescent="0.35">
      <c r="A897" s="12" t="s">
        <v>1567</v>
      </c>
      <c r="B897" s="12" t="s">
        <v>327</v>
      </c>
      <c r="C897" s="12" t="s">
        <v>328</v>
      </c>
      <c r="D897" s="12" t="s">
        <v>130</v>
      </c>
      <c r="E897" s="12" t="s">
        <v>104</v>
      </c>
      <c r="F897">
        <v>2</v>
      </c>
      <c r="G897">
        <v>0</v>
      </c>
      <c r="H897">
        <v>0</v>
      </c>
      <c r="I897" s="12" t="s">
        <v>94</v>
      </c>
      <c r="J897" s="12" t="s">
        <v>95</v>
      </c>
      <c r="K897" s="12" t="s">
        <v>81</v>
      </c>
      <c r="L897" s="12" t="s">
        <v>96</v>
      </c>
      <c r="M897">
        <v>4.8099999999999996</v>
      </c>
      <c r="N897" s="12" t="s">
        <v>135</v>
      </c>
      <c r="O897" s="12" t="s">
        <v>136</v>
      </c>
      <c r="P897" s="12" t="s">
        <v>137</v>
      </c>
      <c r="Q897" s="13">
        <v>45145</v>
      </c>
      <c r="R897" s="13">
        <v>45171</v>
      </c>
      <c r="S897">
        <v>2023</v>
      </c>
      <c r="T897" s="12" t="s">
        <v>1536</v>
      </c>
      <c r="U897">
        <v>125</v>
      </c>
      <c r="V897">
        <v>718.39649999999995</v>
      </c>
      <c r="W897">
        <v>2301.44</v>
      </c>
      <c r="X897">
        <v>0</v>
      </c>
      <c r="Y897">
        <v>0</v>
      </c>
      <c r="Z897">
        <v>89799.56</v>
      </c>
      <c r="AA897">
        <v>92101</v>
      </c>
      <c r="AB897" s="12" t="s">
        <v>329</v>
      </c>
      <c r="AC897">
        <v>762.93029999999999</v>
      </c>
      <c r="AD897">
        <v>1</v>
      </c>
      <c r="AE897">
        <v>1</v>
      </c>
      <c r="AF897">
        <v>-5566.73</v>
      </c>
      <c r="AG897">
        <v>95366.29</v>
      </c>
      <c r="AH897">
        <v>125</v>
      </c>
      <c r="AI897">
        <v>123</v>
      </c>
      <c r="AJ897">
        <v>2</v>
      </c>
      <c r="AK897">
        <v>1</v>
      </c>
      <c r="AL897">
        <v>1</v>
      </c>
      <c r="AM897">
        <v>98.4</v>
      </c>
      <c r="AN897">
        <v>748.78859999999997</v>
      </c>
      <c r="AO897">
        <v>1436.79</v>
      </c>
      <c r="AP897" s="13">
        <v>45178</v>
      </c>
      <c r="AQ897">
        <v>7</v>
      </c>
      <c r="AR897">
        <v>0</v>
      </c>
    </row>
    <row r="898" spans="1:44" x14ac:dyDescent="0.35">
      <c r="A898" s="12" t="s">
        <v>1568</v>
      </c>
      <c r="B898" s="12" t="s">
        <v>404</v>
      </c>
      <c r="C898" s="12" t="s">
        <v>405</v>
      </c>
      <c r="D898" s="12" t="s">
        <v>269</v>
      </c>
      <c r="E898" s="12" t="s">
        <v>65</v>
      </c>
      <c r="F898">
        <v>3</v>
      </c>
      <c r="G898">
        <v>5</v>
      </c>
      <c r="H898">
        <v>0</v>
      </c>
      <c r="I898" s="12" t="s">
        <v>94</v>
      </c>
      <c r="J898" s="12" t="s">
        <v>95</v>
      </c>
      <c r="K898" s="12" t="s">
        <v>81</v>
      </c>
      <c r="L898" s="12" t="s">
        <v>96</v>
      </c>
      <c r="M898">
        <v>4.8099999999999996</v>
      </c>
      <c r="N898" s="12" t="s">
        <v>159</v>
      </c>
      <c r="O898" s="12" t="s">
        <v>160</v>
      </c>
      <c r="P898" s="12" t="s">
        <v>137</v>
      </c>
      <c r="Q898" s="13">
        <v>45145</v>
      </c>
      <c r="R898" s="13">
        <v>45173</v>
      </c>
      <c r="S898">
        <v>2023</v>
      </c>
      <c r="T898" s="12" t="s">
        <v>1536</v>
      </c>
      <c r="U898">
        <v>70</v>
      </c>
      <c r="V898">
        <v>464.02390000000003</v>
      </c>
      <c r="W898">
        <v>807.17</v>
      </c>
      <c r="X898">
        <v>0</v>
      </c>
      <c r="Y898">
        <v>0</v>
      </c>
      <c r="Z898">
        <v>32481.67</v>
      </c>
      <c r="AA898">
        <v>33288.839999999997</v>
      </c>
      <c r="AB898" s="12" t="s">
        <v>201</v>
      </c>
      <c r="AD898">
        <v>0</v>
      </c>
      <c r="AE898">
        <v>0</v>
      </c>
      <c r="AH898">
        <v>70</v>
      </c>
      <c r="AI898">
        <v>69</v>
      </c>
      <c r="AJ898">
        <v>1</v>
      </c>
      <c r="AK898">
        <v>1</v>
      </c>
      <c r="AL898">
        <v>1</v>
      </c>
      <c r="AM898">
        <v>98.57</v>
      </c>
      <c r="AN898">
        <v>482.447</v>
      </c>
      <c r="AO898">
        <v>464.02</v>
      </c>
      <c r="AP898" s="13">
        <v>45170</v>
      </c>
      <c r="AQ898">
        <v>-3</v>
      </c>
      <c r="AR898">
        <v>1</v>
      </c>
    </row>
    <row r="899" spans="1:44" x14ac:dyDescent="0.35">
      <c r="A899" s="12" t="s">
        <v>1569</v>
      </c>
      <c r="B899" s="12" t="s">
        <v>802</v>
      </c>
      <c r="C899" s="12" t="s">
        <v>803</v>
      </c>
      <c r="D899" s="12" t="s">
        <v>114</v>
      </c>
      <c r="E899" s="12" t="s">
        <v>65</v>
      </c>
      <c r="F899">
        <v>3</v>
      </c>
      <c r="G899">
        <v>5</v>
      </c>
      <c r="H899">
        <v>0</v>
      </c>
      <c r="I899" s="12" t="s">
        <v>804</v>
      </c>
      <c r="J899" s="12" t="s">
        <v>342</v>
      </c>
      <c r="K899" s="12" t="s">
        <v>117</v>
      </c>
      <c r="L899" s="12" t="s">
        <v>69</v>
      </c>
      <c r="M899">
        <v>30.07</v>
      </c>
      <c r="N899" s="12" t="s">
        <v>97</v>
      </c>
      <c r="O899" s="12" t="s">
        <v>98</v>
      </c>
      <c r="P899" s="12" t="s">
        <v>72</v>
      </c>
      <c r="Q899" s="13">
        <v>45145</v>
      </c>
      <c r="R899" s="13">
        <v>45169</v>
      </c>
      <c r="S899">
        <v>2023</v>
      </c>
      <c r="T899" s="12" t="s">
        <v>1536</v>
      </c>
      <c r="U899">
        <v>38</v>
      </c>
      <c r="V899">
        <v>350.71699999999998</v>
      </c>
      <c r="W899">
        <v>197.73</v>
      </c>
      <c r="X899">
        <v>0</v>
      </c>
      <c r="Y899">
        <v>0</v>
      </c>
      <c r="Z899">
        <v>13327.25</v>
      </c>
      <c r="AA899">
        <v>13524.98</v>
      </c>
      <c r="AB899" s="12" t="s">
        <v>805</v>
      </c>
      <c r="AC899">
        <v>362.99209999999999</v>
      </c>
      <c r="AD899">
        <v>2</v>
      </c>
      <c r="AE899">
        <v>1</v>
      </c>
      <c r="AF899">
        <v>-466.45</v>
      </c>
      <c r="AG899">
        <v>13793.7</v>
      </c>
      <c r="AH899">
        <v>38</v>
      </c>
      <c r="AI899">
        <v>37</v>
      </c>
      <c r="AJ899">
        <v>1</v>
      </c>
      <c r="AK899">
        <v>1</v>
      </c>
      <c r="AL899">
        <v>1</v>
      </c>
      <c r="AM899">
        <v>97.37</v>
      </c>
      <c r="AN899">
        <v>365.53989999999999</v>
      </c>
      <c r="AO899">
        <v>350.72</v>
      </c>
      <c r="AP899" s="13">
        <v>45166</v>
      </c>
      <c r="AQ899">
        <v>-3</v>
      </c>
      <c r="AR899">
        <v>1</v>
      </c>
    </row>
    <row r="900" spans="1:44" x14ac:dyDescent="0.35">
      <c r="A900" s="12" t="s">
        <v>1570</v>
      </c>
      <c r="B900" s="12" t="s">
        <v>646</v>
      </c>
      <c r="C900" s="12" t="s">
        <v>647</v>
      </c>
      <c r="D900" s="12" t="s">
        <v>175</v>
      </c>
      <c r="E900" s="12" t="s">
        <v>104</v>
      </c>
      <c r="F900">
        <v>3</v>
      </c>
      <c r="G900">
        <v>1</v>
      </c>
      <c r="H900">
        <v>0</v>
      </c>
      <c r="I900" s="12" t="s">
        <v>227</v>
      </c>
      <c r="J900" s="12" t="s">
        <v>228</v>
      </c>
      <c r="K900" s="12" t="s">
        <v>89</v>
      </c>
      <c r="L900" s="12" t="s">
        <v>96</v>
      </c>
      <c r="M900">
        <v>9.15</v>
      </c>
      <c r="N900" s="12" t="s">
        <v>107</v>
      </c>
      <c r="O900" s="12" t="s">
        <v>108</v>
      </c>
      <c r="P900" s="12" t="s">
        <v>109</v>
      </c>
      <c r="Q900" s="13">
        <v>45145</v>
      </c>
      <c r="R900" s="13">
        <v>45162</v>
      </c>
      <c r="S900">
        <v>2023</v>
      </c>
      <c r="T900" s="12" t="s">
        <v>1536</v>
      </c>
      <c r="U900">
        <v>51</v>
      </c>
      <c r="V900">
        <v>216.21350000000001</v>
      </c>
      <c r="W900">
        <v>195.26</v>
      </c>
      <c r="X900">
        <v>0</v>
      </c>
      <c r="Y900">
        <v>0</v>
      </c>
      <c r="Z900">
        <v>11026.89</v>
      </c>
      <c r="AA900">
        <v>11222.15</v>
      </c>
      <c r="AB900" s="12" t="s">
        <v>781</v>
      </c>
      <c r="AC900">
        <v>216.21350000000001</v>
      </c>
      <c r="AD900">
        <v>1</v>
      </c>
      <c r="AE900">
        <v>1</v>
      </c>
      <c r="AF900">
        <v>0</v>
      </c>
      <c r="AG900">
        <v>11026.89</v>
      </c>
      <c r="AH900">
        <v>51</v>
      </c>
      <c r="AI900">
        <v>50</v>
      </c>
      <c r="AJ900">
        <v>1</v>
      </c>
      <c r="AK900">
        <v>1</v>
      </c>
      <c r="AL900">
        <v>1</v>
      </c>
      <c r="AM900">
        <v>98.04</v>
      </c>
      <c r="AN900">
        <v>224.44300000000001</v>
      </c>
      <c r="AO900">
        <v>216.21</v>
      </c>
      <c r="AP900" s="13">
        <v>45159</v>
      </c>
      <c r="AQ900">
        <v>-3</v>
      </c>
      <c r="AR900">
        <v>1</v>
      </c>
    </row>
    <row r="901" spans="1:44" x14ac:dyDescent="0.35">
      <c r="A901" s="12" t="s">
        <v>1571</v>
      </c>
      <c r="B901" s="12" t="s">
        <v>267</v>
      </c>
      <c r="C901" s="12" t="s">
        <v>268</v>
      </c>
      <c r="D901" s="12" t="s">
        <v>269</v>
      </c>
      <c r="E901" s="12" t="s">
        <v>142</v>
      </c>
      <c r="F901">
        <v>1</v>
      </c>
      <c r="G901">
        <v>8</v>
      </c>
      <c r="H901">
        <v>1</v>
      </c>
      <c r="I901" s="12" t="s">
        <v>94</v>
      </c>
      <c r="J901" s="12" t="s">
        <v>95</v>
      </c>
      <c r="K901" s="12" t="s">
        <v>81</v>
      </c>
      <c r="L901" s="12" t="s">
        <v>96</v>
      </c>
      <c r="M901">
        <v>4.8099999999999996</v>
      </c>
      <c r="N901" s="12" t="s">
        <v>159</v>
      </c>
      <c r="O901" s="12" t="s">
        <v>160</v>
      </c>
      <c r="P901" s="12" t="s">
        <v>137</v>
      </c>
      <c r="Q901" s="13">
        <v>45145</v>
      </c>
      <c r="R901" s="13">
        <v>45183</v>
      </c>
      <c r="S901">
        <v>2023</v>
      </c>
      <c r="T901" s="12" t="s">
        <v>1536</v>
      </c>
      <c r="U901">
        <v>36</v>
      </c>
      <c r="V901">
        <v>247.31829999999999</v>
      </c>
      <c r="W901">
        <v>118.21</v>
      </c>
      <c r="X901">
        <v>0</v>
      </c>
      <c r="Y901">
        <v>0</v>
      </c>
      <c r="Z901">
        <v>8903.4599999999991</v>
      </c>
      <c r="AA901">
        <v>9021.67</v>
      </c>
      <c r="AB901" s="12" t="s">
        <v>270</v>
      </c>
      <c r="AC901">
        <v>247.31829999999999</v>
      </c>
      <c r="AD901">
        <v>1</v>
      </c>
      <c r="AE901">
        <v>1</v>
      </c>
      <c r="AF901">
        <v>0</v>
      </c>
      <c r="AG901">
        <v>8903.4599999999991</v>
      </c>
      <c r="AH901">
        <v>36</v>
      </c>
      <c r="AI901">
        <v>36</v>
      </c>
      <c r="AJ901">
        <v>0</v>
      </c>
      <c r="AK901">
        <v>1</v>
      </c>
      <c r="AL901">
        <v>1</v>
      </c>
      <c r="AM901">
        <v>100</v>
      </c>
      <c r="AN901">
        <v>250.6019</v>
      </c>
      <c r="AO901">
        <v>0</v>
      </c>
      <c r="AP901" s="13">
        <v>45183</v>
      </c>
      <c r="AQ901">
        <v>0</v>
      </c>
      <c r="AR901">
        <v>1</v>
      </c>
    </row>
    <row r="902" spans="1:44" x14ac:dyDescent="0.35">
      <c r="A902" s="12" t="s">
        <v>1572</v>
      </c>
      <c r="B902" s="12" t="s">
        <v>454</v>
      </c>
      <c r="C902" s="12" t="s">
        <v>455</v>
      </c>
      <c r="D902" s="12" t="s">
        <v>122</v>
      </c>
      <c r="E902" s="12" t="s">
        <v>104</v>
      </c>
      <c r="F902">
        <v>3</v>
      </c>
      <c r="G902">
        <v>1</v>
      </c>
      <c r="H902">
        <v>0</v>
      </c>
      <c r="I902" s="12" t="s">
        <v>87</v>
      </c>
      <c r="J902" s="12" t="s">
        <v>88</v>
      </c>
      <c r="K902" s="12" t="s">
        <v>89</v>
      </c>
      <c r="L902" s="12" t="s">
        <v>69</v>
      </c>
      <c r="M902">
        <v>14.93</v>
      </c>
      <c r="N902" s="12" t="s">
        <v>70</v>
      </c>
      <c r="O902" s="12" t="s">
        <v>71</v>
      </c>
      <c r="P902" s="12" t="s">
        <v>72</v>
      </c>
      <c r="Q902" s="13">
        <v>45145</v>
      </c>
      <c r="R902" s="13">
        <v>45162</v>
      </c>
      <c r="S902">
        <v>2023</v>
      </c>
      <c r="T902" s="12" t="s">
        <v>1536</v>
      </c>
      <c r="U902">
        <v>780</v>
      </c>
      <c r="V902">
        <v>21.796199999999999</v>
      </c>
      <c r="W902">
        <v>185.1</v>
      </c>
      <c r="X902">
        <v>0</v>
      </c>
      <c r="Y902">
        <v>0</v>
      </c>
      <c r="Z902">
        <v>17001.04</v>
      </c>
      <c r="AA902">
        <v>17186.14</v>
      </c>
      <c r="AB902" s="12" t="s">
        <v>456</v>
      </c>
      <c r="AC902">
        <v>21.796199999999999</v>
      </c>
      <c r="AD902">
        <v>1</v>
      </c>
      <c r="AE902">
        <v>1</v>
      </c>
      <c r="AF902">
        <v>0</v>
      </c>
      <c r="AG902">
        <v>17001.04</v>
      </c>
      <c r="AH902">
        <v>780</v>
      </c>
      <c r="AI902">
        <v>771</v>
      </c>
      <c r="AJ902">
        <v>9</v>
      </c>
      <c r="AK902">
        <v>1</v>
      </c>
      <c r="AL902">
        <v>1</v>
      </c>
      <c r="AM902">
        <v>98.85</v>
      </c>
      <c r="AN902">
        <v>22.290700000000001</v>
      </c>
      <c r="AO902">
        <v>196.17</v>
      </c>
      <c r="AP902" s="13">
        <v>45159</v>
      </c>
      <c r="AQ902">
        <v>-3</v>
      </c>
      <c r="AR902">
        <v>1</v>
      </c>
    </row>
    <row r="903" spans="1:44" x14ac:dyDescent="0.35">
      <c r="A903" s="12" t="s">
        <v>1573</v>
      </c>
      <c r="B903" s="12" t="s">
        <v>736</v>
      </c>
      <c r="C903" s="12" t="s">
        <v>737</v>
      </c>
      <c r="D903" s="12" t="s">
        <v>64</v>
      </c>
      <c r="E903" s="12" t="s">
        <v>104</v>
      </c>
      <c r="F903">
        <v>3</v>
      </c>
      <c r="G903">
        <v>1</v>
      </c>
      <c r="H903">
        <v>0</v>
      </c>
      <c r="I903" s="12" t="s">
        <v>94</v>
      </c>
      <c r="J903" s="12" t="s">
        <v>95</v>
      </c>
      <c r="K903" s="12" t="s">
        <v>81</v>
      </c>
      <c r="L903" s="12" t="s">
        <v>96</v>
      </c>
      <c r="M903">
        <v>4.8099999999999996</v>
      </c>
      <c r="N903" s="12" t="s">
        <v>70</v>
      </c>
      <c r="O903" s="12" t="s">
        <v>71</v>
      </c>
      <c r="P903" s="12" t="s">
        <v>72</v>
      </c>
      <c r="Q903" s="13">
        <v>45145</v>
      </c>
      <c r="R903" s="13">
        <v>45169</v>
      </c>
      <c r="S903">
        <v>2023</v>
      </c>
      <c r="T903" s="12" t="s">
        <v>1536</v>
      </c>
      <c r="U903">
        <v>726</v>
      </c>
      <c r="V903">
        <v>24.696300000000001</v>
      </c>
      <c r="W903">
        <v>278.19</v>
      </c>
      <c r="X903">
        <v>0</v>
      </c>
      <c r="Y903">
        <v>0</v>
      </c>
      <c r="Z903">
        <v>17929.509999999998</v>
      </c>
      <c r="AA903">
        <v>18207.7</v>
      </c>
      <c r="AB903" s="12" t="s">
        <v>738</v>
      </c>
      <c r="AC903">
        <v>24.696300000000001</v>
      </c>
      <c r="AD903">
        <v>1</v>
      </c>
      <c r="AE903">
        <v>1</v>
      </c>
      <c r="AF903">
        <v>0</v>
      </c>
      <c r="AG903">
        <v>17929.509999999998</v>
      </c>
      <c r="AH903">
        <v>726</v>
      </c>
      <c r="AI903">
        <v>723</v>
      </c>
      <c r="AJ903">
        <v>3</v>
      </c>
      <c r="AK903">
        <v>1</v>
      </c>
      <c r="AL903">
        <v>1</v>
      </c>
      <c r="AM903">
        <v>99.59</v>
      </c>
      <c r="AN903">
        <v>25.183499999999999</v>
      </c>
      <c r="AO903">
        <v>74.09</v>
      </c>
      <c r="AP903" s="13">
        <v>45165</v>
      </c>
      <c r="AQ903">
        <v>-4</v>
      </c>
      <c r="AR903">
        <v>1</v>
      </c>
    </row>
    <row r="904" spans="1:44" x14ac:dyDescent="0.35">
      <c r="A904" s="12" t="s">
        <v>1574</v>
      </c>
      <c r="B904" s="12" t="s">
        <v>293</v>
      </c>
      <c r="C904" s="12" t="s">
        <v>294</v>
      </c>
      <c r="D904" s="12" t="s">
        <v>114</v>
      </c>
      <c r="E904" s="12" t="s">
        <v>142</v>
      </c>
      <c r="F904">
        <v>1</v>
      </c>
      <c r="G904">
        <v>6</v>
      </c>
      <c r="H904">
        <v>1</v>
      </c>
      <c r="I904" s="12" t="s">
        <v>195</v>
      </c>
      <c r="J904" s="12" t="s">
        <v>196</v>
      </c>
      <c r="K904" s="12" t="s">
        <v>117</v>
      </c>
      <c r="L904" s="12" t="s">
        <v>134</v>
      </c>
      <c r="M904">
        <v>4.7699999999999996</v>
      </c>
      <c r="N904" s="12" t="s">
        <v>70</v>
      </c>
      <c r="O904" s="12" t="s">
        <v>71</v>
      </c>
      <c r="P904" s="12" t="s">
        <v>72</v>
      </c>
      <c r="Q904" s="13">
        <v>45145</v>
      </c>
      <c r="R904" s="13">
        <v>45188</v>
      </c>
      <c r="S904">
        <v>2023</v>
      </c>
      <c r="T904" s="12" t="s">
        <v>1536</v>
      </c>
      <c r="U904">
        <v>77</v>
      </c>
      <c r="V904">
        <v>206.0489</v>
      </c>
      <c r="W904">
        <v>222.65</v>
      </c>
      <c r="X904">
        <v>0</v>
      </c>
      <c r="Y904">
        <v>0</v>
      </c>
      <c r="Z904">
        <v>15865.77</v>
      </c>
      <c r="AA904">
        <v>16088.42</v>
      </c>
      <c r="AB904" s="12" t="s">
        <v>295</v>
      </c>
      <c r="AC904">
        <v>206.0489</v>
      </c>
      <c r="AD904">
        <v>1</v>
      </c>
      <c r="AE904">
        <v>1</v>
      </c>
      <c r="AF904">
        <v>0</v>
      </c>
      <c r="AG904">
        <v>15865.77</v>
      </c>
      <c r="AH904">
        <v>77</v>
      </c>
      <c r="AI904">
        <v>76</v>
      </c>
      <c r="AJ904">
        <v>1</v>
      </c>
      <c r="AK904">
        <v>1</v>
      </c>
      <c r="AL904">
        <v>1</v>
      </c>
      <c r="AM904">
        <v>98.7</v>
      </c>
      <c r="AN904">
        <v>211.68969999999999</v>
      </c>
      <c r="AO904">
        <v>206.05</v>
      </c>
      <c r="AP904" s="13">
        <v>45188</v>
      </c>
      <c r="AQ904">
        <v>0</v>
      </c>
      <c r="AR904">
        <v>1</v>
      </c>
    </row>
    <row r="905" spans="1:44" x14ac:dyDescent="0.35">
      <c r="A905" s="12" t="s">
        <v>1575</v>
      </c>
      <c r="B905" s="12" t="s">
        <v>802</v>
      </c>
      <c r="C905" s="12" t="s">
        <v>803</v>
      </c>
      <c r="D905" s="12" t="s">
        <v>114</v>
      </c>
      <c r="E905" s="12" t="s">
        <v>65</v>
      </c>
      <c r="F905">
        <v>3</v>
      </c>
      <c r="G905">
        <v>5</v>
      </c>
      <c r="H905">
        <v>0</v>
      </c>
      <c r="I905" s="12" t="s">
        <v>87</v>
      </c>
      <c r="J905" s="12" t="s">
        <v>88</v>
      </c>
      <c r="K905" s="12" t="s">
        <v>89</v>
      </c>
      <c r="L905" s="12" t="s">
        <v>69</v>
      </c>
      <c r="M905">
        <v>14.93</v>
      </c>
      <c r="N905" s="12" t="s">
        <v>97</v>
      </c>
      <c r="O905" s="12" t="s">
        <v>98</v>
      </c>
      <c r="P905" s="12" t="s">
        <v>72</v>
      </c>
      <c r="Q905" s="13">
        <v>45146</v>
      </c>
      <c r="R905" s="13">
        <v>45180</v>
      </c>
      <c r="S905">
        <v>2023</v>
      </c>
      <c r="T905" s="12" t="s">
        <v>1536</v>
      </c>
      <c r="U905">
        <v>116</v>
      </c>
      <c r="V905">
        <v>350.71699999999998</v>
      </c>
      <c r="W905">
        <v>515.01</v>
      </c>
      <c r="X905">
        <v>0</v>
      </c>
      <c r="Y905">
        <v>0</v>
      </c>
      <c r="Z905">
        <v>40683.17</v>
      </c>
      <c r="AA905">
        <v>41198.18</v>
      </c>
      <c r="AB905" s="12" t="s">
        <v>1063</v>
      </c>
      <c r="AC905">
        <v>350.71699999999998</v>
      </c>
      <c r="AD905">
        <v>1</v>
      </c>
      <c r="AE905">
        <v>1</v>
      </c>
      <c r="AF905">
        <v>0</v>
      </c>
      <c r="AG905">
        <v>40683.17</v>
      </c>
      <c r="AH905">
        <v>116</v>
      </c>
      <c r="AI905">
        <v>115</v>
      </c>
      <c r="AJ905">
        <v>1</v>
      </c>
      <c r="AK905">
        <v>1</v>
      </c>
      <c r="AL905">
        <v>1</v>
      </c>
      <c r="AM905">
        <v>99.14</v>
      </c>
      <c r="AN905">
        <v>358.24509999999998</v>
      </c>
      <c r="AO905">
        <v>350.72</v>
      </c>
      <c r="AP905" s="13">
        <v>45180</v>
      </c>
      <c r="AQ905">
        <v>0</v>
      </c>
      <c r="AR905">
        <v>1</v>
      </c>
    </row>
    <row r="906" spans="1:44" x14ac:dyDescent="0.35">
      <c r="A906" s="12" t="s">
        <v>1576</v>
      </c>
      <c r="B906" s="12" t="s">
        <v>347</v>
      </c>
      <c r="C906" s="12" t="s">
        <v>348</v>
      </c>
      <c r="D906" s="12" t="s">
        <v>78</v>
      </c>
      <c r="E906" s="12" t="s">
        <v>104</v>
      </c>
      <c r="F906">
        <v>3</v>
      </c>
      <c r="G906">
        <v>1</v>
      </c>
      <c r="H906">
        <v>0</v>
      </c>
      <c r="I906" s="12" t="s">
        <v>105</v>
      </c>
      <c r="J906" s="12" t="s">
        <v>106</v>
      </c>
      <c r="K906" s="12" t="s">
        <v>81</v>
      </c>
      <c r="L906" s="12" t="s">
        <v>96</v>
      </c>
      <c r="M906">
        <v>5.01</v>
      </c>
      <c r="N906" s="12" t="s">
        <v>70</v>
      </c>
      <c r="O906" s="12" t="s">
        <v>71</v>
      </c>
      <c r="P906" s="12" t="s">
        <v>72</v>
      </c>
      <c r="Q906" s="13">
        <v>45146</v>
      </c>
      <c r="R906" s="13">
        <v>45173</v>
      </c>
      <c r="S906">
        <v>2023</v>
      </c>
      <c r="T906" s="12" t="s">
        <v>1536</v>
      </c>
      <c r="U906">
        <v>262</v>
      </c>
      <c r="V906">
        <v>100.34050000000001</v>
      </c>
      <c r="W906">
        <v>430.89</v>
      </c>
      <c r="X906">
        <v>0</v>
      </c>
      <c r="Y906">
        <v>0</v>
      </c>
      <c r="Z906">
        <v>26289.21</v>
      </c>
      <c r="AA906">
        <v>26720.1</v>
      </c>
      <c r="AB906" s="12" t="s">
        <v>841</v>
      </c>
      <c r="AC906">
        <v>100.34050000000001</v>
      </c>
      <c r="AD906">
        <v>1</v>
      </c>
      <c r="AE906">
        <v>1</v>
      </c>
      <c r="AF906">
        <v>0</v>
      </c>
      <c r="AG906">
        <v>26289.21</v>
      </c>
      <c r="AH906">
        <v>262</v>
      </c>
      <c r="AI906">
        <v>256</v>
      </c>
      <c r="AJ906">
        <v>6</v>
      </c>
      <c r="AK906">
        <v>1</v>
      </c>
      <c r="AL906">
        <v>1</v>
      </c>
      <c r="AM906">
        <v>97.71</v>
      </c>
      <c r="AN906">
        <v>104.3754</v>
      </c>
      <c r="AO906">
        <v>602.04</v>
      </c>
      <c r="AP906" s="13">
        <v>45173</v>
      </c>
      <c r="AQ906">
        <v>0</v>
      </c>
      <c r="AR906">
        <v>1</v>
      </c>
    </row>
    <row r="907" spans="1:44" x14ac:dyDescent="0.35">
      <c r="A907" s="12" t="s">
        <v>1577</v>
      </c>
      <c r="B907" s="12" t="s">
        <v>963</v>
      </c>
      <c r="C907" s="12" t="s">
        <v>964</v>
      </c>
      <c r="D907" s="12" t="s">
        <v>114</v>
      </c>
      <c r="E907" s="12" t="s">
        <v>142</v>
      </c>
      <c r="F907">
        <v>1</v>
      </c>
      <c r="G907">
        <v>6</v>
      </c>
      <c r="H907">
        <v>1</v>
      </c>
      <c r="I907" s="12" t="s">
        <v>176</v>
      </c>
      <c r="J907" s="12" t="s">
        <v>177</v>
      </c>
      <c r="K907" s="12" t="s">
        <v>125</v>
      </c>
      <c r="L907" s="12" t="s">
        <v>134</v>
      </c>
      <c r="M907">
        <v>1.75</v>
      </c>
      <c r="N907" s="12" t="s">
        <v>97</v>
      </c>
      <c r="O907" s="12" t="s">
        <v>98</v>
      </c>
      <c r="P907" s="12" t="s">
        <v>72</v>
      </c>
      <c r="Q907" s="13">
        <v>45146</v>
      </c>
      <c r="R907" s="13">
        <v>45184</v>
      </c>
      <c r="S907">
        <v>2023</v>
      </c>
      <c r="T907" s="12" t="s">
        <v>1536</v>
      </c>
      <c r="U907">
        <v>38</v>
      </c>
      <c r="V907">
        <v>194.73220000000001</v>
      </c>
      <c r="W907">
        <v>69.45</v>
      </c>
      <c r="X907">
        <v>0</v>
      </c>
      <c r="Y907">
        <v>0</v>
      </c>
      <c r="Z907">
        <v>7399.82</v>
      </c>
      <c r="AA907">
        <v>7469.27</v>
      </c>
      <c r="AB907" s="12" t="s">
        <v>965</v>
      </c>
      <c r="AC907">
        <v>194.73220000000001</v>
      </c>
      <c r="AD907">
        <v>1</v>
      </c>
      <c r="AE907">
        <v>1</v>
      </c>
      <c r="AF907">
        <v>0</v>
      </c>
      <c r="AG907">
        <v>7399.82</v>
      </c>
      <c r="AH907">
        <v>38</v>
      </c>
      <c r="AI907">
        <v>37</v>
      </c>
      <c r="AJ907">
        <v>1</v>
      </c>
      <c r="AK907">
        <v>1</v>
      </c>
      <c r="AL907">
        <v>1</v>
      </c>
      <c r="AM907">
        <v>97.37</v>
      </c>
      <c r="AN907">
        <v>201.8723</v>
      </c>
      <c r="AO907">
        <v>194.73</v>
      </c>
      <c r="AP907" s="13">
        <v>45184</v>
      </c>
      <c r="AQ907">
        <v>0</v>
      </c>
      <c r="AR907">
        <v>1</v>
      </c>
    </row>
    <row r="908" spans="1:44" x14ac:dyDescent="0.35">
      <c r="A908" s="12" t="s">
        <v>1578</v>
      </c>
      <c r="B908" s="12" t="s">
        <v>395</v>
      </c>
      <c r="C908" s="12" t="s">
        <v>396</v>
      </c>
      <c r="D908" s="12" t="s">
        <v>130</v>
      </c>
      <c r="E908" s="12" t="s">
        <v>104</v>
      </c>
      <c r="F908">
        <v>3</v>
      </c>
      <c r="G908">
        <v>1</v>
      </c>
      <c r="H908">
        <v>0</v>
      </c>
      <c r="I908" s="12" t="s">
        <v>123</v>
      </c>
      <c r="J908" s="12" t="s">
        <v>124</v>
      </c>
      <c r="K908" s="12" t="s">
        <v>125</v>
      </c>
      <c r="L908" s="12" t="s">
        <v>82</v>
      </c>
      <c r="M908">
        <v>6.75</v>
      </c>
      <c r="N908" s="12" t="s">
        <v>159</v>
      </c>
      <c r="O908" s="12" t="s">
        <v>160</v>
      </c>
      <c r="P908" s="12" t="s">
        <v>137</v>
      </c>
      <c r="Q908" s="13">
        <v>45146</v>
      </c>
      <c r="R908" s="13">
        <v>45171</v>
      </c>
      <c r="S908">
        <v>2023</v>
      </c>
      <c r="T908" s="12" t="s">
        <v>1536</v>
      </c>
      <c r="U908">
        <v>114</v>
      </c>
      <c r="V908">
        <v>196.27</v>
      </c>
      <c r="W908">
        <v>222.1</v>
      </c>
      <c r="X908">
        <v>0</v>
      </c>
      <c r="Y908">
        <v>0</v>
      </c>
      <c r="Z908">
        <v>22374.78</v>
      </c>
      <c r="AA908">
        <v>22596.880000000001</v>
      </c>
      <c r="AB908" s="12" t="s">
        <v>201</v>
      </c>
      <c r="AD908">
        <v>0</v>
      </c>
      <c r="AE908">
        <v>0</v>
      </c>
      <c r="AH908">
        <v>114</v>
      </c>
      <c r="AI908">
        <v>112</v>
      </c>
      <c r="AJ908">
        <v>2</v>
      </c>
      <c r="AK908">
        <v>1</v>
      </c>
      <c r="AL908">
        <v>1</v>
      </c>
      <c r="AM908">
        <v>98.25</v>
      </c>
      <c r="AN908">
        <v>201.75790000000001</v>
      </c>
      <c r="AO908">
        <v>392.54</v>
      </c>
      <c r="AP908" s="13">
        <v>45168</v>
      </c>
      <c r="AQ908">
        <v>-3</v>
      </c>
      <c r="AR908">
        <v>1</v>
      </c>
    </row>
    <row r="909" spans="1:44" x14ac:dyDescent="0.35">
      <c r="A909" s="12" t="s">
        <v>1579</v>
      </c>
      <c r="B909" s="12" t="s">
        <v>909</v>
      </c>
      <c r="C909" s="12" t="s">
        <v>910</v>
      </c>
      <c r="D909" s="12" t="s">
        <v>269</v>
      </c>
      <c r="E909" s="12" t="s">
        <v>65</v>
      </c>
      <c r="F909">
        <v>3</v>
      </c>
      <c r="G909">
        <v>4</v>
      </c>
      <c r="H909">
        <v>0</v>
      </c>
      <c r="I909" s="12" t="s">
        <v>811</v>
      </c>
      <c r="J909" s="12" t="s">
        <v>812</v>
      </c>
      <c r="K909" s="12" t="s">
        <v>117</v>
      </c>
      <c r="L909" s="12" t="s">
        <v>69</v>
      </c>
      <c r="M909">
        <v>26.4</v>
      </c>
      <c r="N909" s="12" t="s">
        <v>159</v>
      </c>
      <c r="O909" s="12" t="s">
        <v>160</v>
      </c>
      <c r="P909" s="12" t="s">
        <v>137</v>
      </c>
      <c r="Q909" s="13">
        <v>45146</v>
      </c>
      <c r="R909" s="13">
        <v>45173</v>
      </c>
      <c r="S909">
        <v>2023</v>
      </c>
      <c r="T909" s="12" t="s">
        <v>1536</v>
      </c>
      <c r="U909">
        <v>61</v>
      </c>
      <c r="V909">
        <v>108.32040000000001</v>
      </c>
      <c r="W909">
        <v>90.94</v>
      </c>
      <c r="X909">
        <v>0</v>
      </c>
      <c r="Y909">
        <v>0</v>
      </c>
      <c r="Z909">
        <v>6607.54</v>
      </c>
      <c r="AA909">
        <v>6698.48</v>
      </c>
      <c r="AB909" s="12" t="s">
        <v>921</v>
      </c>
      <c r="AC909">
        <v>108.32040000000001</v>
      </c>
      <c r="AD909">
        <v>1</v>
      </c>
      <c r="AE909">
        <v>1</v>
      </c>
      <c r="AF909">
        <v>0</v>
      </c>
      <c r="AG909">
        <v>6607.54</v>
      </c>
      <c r="AH909">
        <v>61</v>
      </c>
      <c r="AI909">
        <v>61</v>
      </c>
      <c r="AJ909">
        <v>0</v>
      </c>
      <c r="AK909">
        <v>1</v>
      </c>
      <c r="AL909">
        <v>1</v>
      </c>
      <c r="AM909">
        <v>100</v>
      </c>
      <c r="AN909">
        <v>109.8112</v>
      </c>
      <c r="AO909">
        <v>0</v>
      </c>
      <c r="AP909" s="13">
        <v>45171</v>
      </c>
      <c r="AQ909">
        <v>-2</v>
      </c>
      <c r="AR909">
        <v>1</v>
      </c>
    </row>
    <row r="910" spans="1:44" x14ac:dyDescent="0.35">
      <c r="A910" s="12" t="s">
        <v>1580</v>
      </c>
      <c r="B910" s="12" t="s">
        <v>120</v>
      </c>
      <c r="C910" s="12" t="s">
        <v>121</v>
      </c>
      <c r="D910" s="12" t="s">
        <v>122</v>
      </c>
      <c r="E910" s="12" t="s">
        <v>65</v>
      </c>
      <c r="F910">
        <v>3</v>
      </c>
      <c r="G910">
        <v>4</v>
      </c>
      <c r="H910">
        <v>0</v>
      </c>
      <c r="I910" s="12" t="s">
        <v>123</v>
      </c>
      <c r="J910" s="12" t="s">
        <v>124</v>
      </c>
      <c r="K910" s="12" t="s">
        <v>125</v>
      </c>
      <c r="L910" s="12" t="s">
        <v>82</v>
      </c>
      <c r="M910">
        <v>6.75</v>
      </c>
      <c r="N910" s="12" t="s">
        <v>70</v>
      </c>
      <c r="O910" s="12" t="s">
        <v>71</v>
      </c>
      <c r="P910" s="12" t="s">
        <v>72</v>
      </c>
      <c r="Q910" s="13">
        <v>45146</v>
      </c>
      <c r="R910" s="13">
        <v>45168</v>
      </c>
      <c r="S910">
        <v>2023</v>
      </c>
      <c r="T910" s="12" t="s">
        <v>1536</v>
      </c>
      <c r="U910">
        <v>341</v>
      </c>
      <c r="V910">
        <v>52.248199999999997</v>
      </c>
      <c r="W910">
        <v>376.67</v>
      </c>
      <c r="X910">
        <v>0</v>
      </c>
      <c r="Y910">
        <v>0</v>
      </c>
      <c r="Z910">
        <v>17816.64</v>
      </c>
      <c r="AA910">
        <v>18193.310000000001</v>
      </c>
      <c r="AB910" s="12" t="s">
        <v>126</v>
      </c>
      <c r="AC910">
        <v>55.544699999999999</v>
      </c>
      <c r="AD910">
        <v>1</v>
      </c>
      <c r="AE910">
        <v>1</v>
      </c>
      <c r="AF910">
        <v>-1124.1099999999999</v>
      </c>
      <c r="AG910">
        <v>18940.740000000002</v>
      </c>
      <c r="AH910">
        <v>341</v>
      </c>
      <c r="AI910">
        <v>339</v>
      </c>
      <c r="AJ910">
        <v>2</v>
      </c>
      <c r="AK910">
        <v>1</v>
      </c>
      <c r="AL910">
        <v>1</v>
      </c>
      <c r="AM910">
        <v>99.41</v>
      </c>
      <c r="AN910">
        <v>53.6676</v>
      </c>
      <c r="AO910">
        <v>104.5</v>
      </c>
      <c r="AP910" s="13">
        <v>45168</v>
      </c>
      <c r="AQ910">
        <v>0</v>
      </c>
      <c r="AR910">
        <v>1</v>
      </c>
    </row>
    <row r="911" spans="1:44" x14ac:dyDescent="0.35">
      <c r="A911" s="12" t="s">
        <v>1581</v>
      </c>
      <c r="B911" s="12" t="s">
        <v>155</v>
      </c>
      <c r="C911" s="12" t="s">
        <v>156</v>
      </c>
      <c r="D911" s="12" t="s">
        <v>130</v>
      </c>
      <c r="E911" s="12" t="s">
        <v>104</v>
      </c>
      <c r="F911">
        <v>3</v>
      </c>
      <c r="G911">
        <v>1</v>
      </c>
      <c r="H911">
        <v>0</v>
      </c>
      <c r="I911" s="12" t="s">
        <v>157</v>
      </c>
      <c r="J911" s="12" t="s">
        <v>158</v>
      </c>
      <c r="K911" s="12" t="s">
        <v>117</v>
      </c>
      <c r="L911" s="12" t="s">
        <v>96</v>
      </c>
      <c r="M911">
        <v>4.72</v>
      </c>
      <c r="N911" s="12" t="s">
        <v>159</v>
      </c>
      <c r="O911" s="12" t="s">
        <v>160</v>
      </c>
      <c r="P911" s="12" t="s">
        <v>137</v>
      </c>
      <c r="Q911" s="13">
        <v>45146</v>
      </c>
      <c r="R911" s="13">
        <v>45165</v>
      </c>
      <c r="S911">
        <v>2023</v>
      </c>
      <c r="T911" s="12" t="s">
        <v>1536</v>
      </c>
      <c r="U911">
        <v>70</v>
      </c>
      <c r="V911">
        <v>206.28880000000001</v>
      </c>
      <c r="W911">
        <v>121.31</v>
      </c>
      <c r="X911">
        <v>0</v>
      </c>
      <c r="Y911">
        <v>0</v>
      </c>
      <c r="Z911">
        <v>14440.22</v>
      </c>
      <c r="AA911">
        <v>14561.53</v>
      </c>
      <c r="AB911" s="12" t="s">
        <v>161</v>
      </c>
      <c r="AC911">
        <v>206.28880000000001</v>
      </c>
      <c r="AD911">
        <v>1</v>
      </c>
      <c r="AE911">
        <v>1</v>
      </c>
      <c r="AF911">
        <v>0</v>
      </c>
      <c r="AG911">
        <v>14440.22</v>
      </c>
      <c r="AH911">
        <v>70</v>
      </c>
      <c r="AI911">
        <v>69</v>
      </c>
      <c r="AJ911">
        <v>1</v>
      </c>
      <c r="AK911">
        <v>1</v>
      </c>
      <c r="AL911">
        <v>1</v>
      </c>
      <c r="AM911">
        <v>98.57</v>
      </c>
      <c r="AN911">
        <v>211.03659999999999</v>
      </c>
      <c r="AO911">
        <v>206.29</v>
      </c>
      <c r="AP911" s="13">
        <v>45170</v>
      </c>
      <c r="AQ911">
        <v>5</v>
      </c>
      <c r="AR911">
        <v>0</v>
      </c>
    </row>
    <row r="912" spans="1:44" x14ac:dyDescent="0.35">
      <c r="A912" s="12" t="s">
        <v>1582</v>
      </c>
      <c r="B912" s="12" t="s">
        <v>952</v>
      </c>
      <c r="C912" s="12" t="s">
        <v>953</v>
      </c>
      <c r="D912" s="12" t="s">
        <v>64</v>
      </c>
      <c r="E912" s="12" t="s">
        <v>142</v>
      </c>
      <c r="F912">
        <v>1</v>
      </c>
      <c r="G912">
        <v>8</v>
      </c>
      <c r="H912">
        <v>1</v>
      </c>
      <c r="I912" s="12" t="s">
        <v>131</v>
      </c>
      <c r="J912" s="12" t="s">
        <v>132</v>
      </c>
      <c r="K912" s="12" t="s">
        <v>133</v>
      </c>
      <c r="L912" s="12" t="s">
        <v>134</v>
      </c>
      <c r="M912">
        <v>1.51</v>
      </c>
      <c r="N912" s="12" t="s">
        <v>97</v>
      </c>
      <c r="O912" s="12" t="s">
        <v>98</v>
      </c>
      <c r="P912" s="12" t="s">
        <v>72</v>
      </c>
      <c r="Q912" s="13">
        <v>45146</v>
      </c>
      <c r="R912" s="13">
        <v>45189</v>
      </c>
      <c r="S912">
        <v>2023</v>
      </c>
      <c r="T912" s="12" t="s">
        <v>1536</v>
      </c>
      <c r="U912">
        <v>549</v>
      </c>
      <c r="V912">
        <v>31.146599999999999</v>
      </c>
      <c r="W912">
        <v>142.78</v>
      </c>
      <c r="X912">
        <v>0</v>
      </c>
      <c r="Y912">
        <v>0</v>
      </c>
      <c r="Z912">
        <v>17099.48</v>
      </c>
      <c r="AA912">
        <v>17242.259999999998</v>
      </c>
      <c r="AB912" s="12" t="s">
        <v>954</v>
      </c>
      <c r="AC912">
        <v>31.146599999999999</v>
      </c>
      <c r="AD912">
        <v>1</v>
      </c>
      <c r="AE912">
        <v>1</v>
      </c>
      <c r="AF912">
        <v>0</v>
      </c>
      <c r="AG912">
        <v>17099.48</v>
      </c>
      <c r="AH912">
        <v>549</v>
      </c>
      <c r="AI912">
        <v>547</v>
      </c>
      <c r="AJ912">
        <v>2</v>
      </c>
      <c r="AK912">
        <v>1</v>
      </c>
      <c r="AL912">
        <v>1</v>
      </c>
      <c r="AM912">
        <v>99.64</v>
      </c>
      <c r="AN912">
        <v>31.5215</v>
      </c>
      <c r="AO912">
        <v>62.29</v>
      </c>
      <c r="AP912" s="13">
        <v>45186</v>
      </c>
      <c r="AQ912">
        <v>-3</v>
      </c>
      <c r="AR912">
        <v>1</v>
      </c>
    </row>
    <row r="913" spans="1:44" x14ac:dyDescent="0.35">
      <c r="A913" s="12" t="s">
        <v>1583</v>
      </c>
      <c r="B913" s="12" t="s">
        <v>454</v>
      </c>
      <c r="C913" s="12" t="s">
        <v>455</v>
      </c>
      <c r="D913" s="12" t="s">
        <v>122</v>
      </c>
      <c r="E913" s="12" t="s">
        <v>104</v>
      </c>
      <c r="F913">
        <v>3</v>
      </c>
      <c r="G913">
        <v>1</v>
      </c>
      <c r="H913">
        <v>0</v>
      </c>
      <c r="I913" s="12" t="s">
        <v>123</v>
      </c>
      <c r="J913" s="12" t="s">
        <v>124</v>
      </c>
      <c r="K913" s="12" t="s">
        <v>125</v>
      </c>
      <c r="L913" s="12" t="s">
        <v>82</v>
      </c>
      <c r="M913">
        <v>6.75</v>
      </c>
      <c r="N913" s="12" t="s">
        <v>97</v>
      </c>
      <c r="O913" s="12" t="s">
        <v>98</v>
      </c>
      <c r="P913" s="12" t="s">
        <v>72</v>
      </c>
      <c r="Q913" s="13">
        <v>45146</v>
      </c>
      <c r="R913" s="13">
        <v>45161</v>
      </c>
      <c r="S913">
        <v>2023</v>
      </c>
      <c r="T913" s="12" t="s">
        <v>1536</v>
      </c>
      <c r="U913">
        <v>559</v>
      </c>
      <c r="V913">
        <v>23.379899999999999</v>
      </c>
      <c r="W913">
        <v>119.47</v>
      </c>
      <c r="X913">
        <v>0</v>
      </c>
      <c r="Y913">
        <v>0</v>
      </c>
      <c r="Z913">
        <v>13069.36</v>
      </c>
      <c r="AA913">
        <v>13188.83</v>
      </c>
      <c r="AB913" s="12" t="s">
        <v>201</v>
      </c>
      <c r="AD913">
        <v>0</v>
      </c>
      <c r="AE913">
        <v>0</v>
      </c>
      <c r="AH913">
        <v>559</v>
      </c>
      <c r="AI913">
        <v>553</v>
      </c>
      <c r="AJ913">
        <v>6</v>
      </c>
      <c r="AK913">
        <v>1</v>
      </c>
      <c r="AL913">
        <v>1</v>
      </c>
      <c r="AM913">
        <v>98.93</v>
      </c>
      <c r="AN913">
        <v>23.849599999999999</v>
      </c>
      <c r="AO913">
        <v>140.28</v>
      </c>
      <c r="AP913" s="13">
        <v>45161</v>
      </c>
      <c r="AQ913">
        <v>0</v>
      </c>
      <c r="AR913">
        <v>1</v>
      </c>
    </row>
    <row r="914" spans="1:44" x14ac:dyDescent="0.35">
      <c r="A914" s="12" t="s">
        <v>1584</v>
      </c>
      <c r="B914" s="12" t="s">
        <v>957</v>
      </c>
      <c r="C914" s="12" t="s">
        <v>958</v>
      </c>
      <c r="D914" s="12" t="s">
        <v>103</v>
      </c>
      <c r="E914" s="12" t="s">
        <v>142</v>
      </c>
      <c r="F914">
        <v>1</v>
      </c>
      <c r="G914">
        <v>7</v>
      </c>
      <c r="H914">
        <v>1</v>
      </c>
      <c r="I914" s="12" t="s">
        <v>183</v>
      </c>
      <c r="J914" s="12" t="s">
        <v>184</v>
      </c>
      <c r="K914" s="12" t="s">
        <v>133</v>
      </c>
      <c r="L914" s="12" t="s">
        <v>82</v>
      </c>
      <c r="M914">
        <v>8.6199999999999992</v>
      </c>
      <c r="N914" s="12" t="s">
        <v>145</v>
      </c>
      <c r="O914" s="12" t="s">
        <v>146</v>
      </c>
      <c r="P914" s="12" t="s">
        <v>109</v>
      </c>
      <c r="Q914" s="13">
        <v>45146</v>
      </c>
      <c r="R914" s="13">
        <v>45192</v>
      </c>
      <c r="S914">
        <v>2023</v>
      </c>
      <c r="T914" s="12" t="s">
        <v>1536</v>
      </c>
      <c r="U914">
        <v>102</v>
      </c>
      <c r="V914">
        <v>209.91640000000001</v>
      </c>
      <c r="W914">
        <v>203.57</v>
      </c>
      <c r="X914">
        <v>0</v>
      </c>
      <c r="Y914">
        <v>0</v>
      </c>
      <c r="Z914">
        <v>21411.47</v>
      </c>
      <c r="AA914">
        <v>21615.040000000001</v>
      </c>
      <c r="AB914" s="12" t="s">
        <v>959</v>
      </c>
      <c r="AC914">
        <v>199.1737</v>
      </c>
      <c r="AD914">
        <v>1</v>
      </c>
      <c r="AE914">
        <v>1</v>
      </c>
      <c r="AF914">
        <v>1095.76</v>
      </c>
      <c r="AG914">
        <v>20315.72</v>
      </c>
      <c r="AH914">
        <v>102</v>
      </c>
      <c r="AI914">
        <v>101</v>
      </c>
      <c r="AJ914">
        <v>1</v>
      </c>
      <c r="AK914">
        <v>1</v>
      </c>
      <c r="AL914">
        <v>1</v>
      </c>
      <c r="AM914">
        <v>99.02</v>
      </c>
      <c r="AN914">
        <v>214.0103</v>
      </c>
      <c r="AO914">
        <v>209.92</v>
      </c>
      <c r="AP914" s="13">
        <v>45189</v>
      </c>
      <c r="AQ914">
        <v>-3</v>
      </c>
      <c r="AR914">
        <v>1</v>
      </c>
    </row>
    <row r="915" spans="1:44" x14ac:dyDescent="0.35">
      <c r="A915" s="12" t="s">
        <v>1585</v>
      </c>
      <c r="B915" s="12" t="s">
        <v>848</v>
      </c>
      <c r="C915" s="12" t="s">
        <v>849</v>
      </c>
      <c r="D915" s="12" t="s">
        <v>103</v>
      </c>
      <c r="E915" s="12" t="s">
        <v>65</v>
      </c>
      <c r="F915">
        <v>2</v>
      </c>
      <c r="G915">
        <v>4</v>
      </c>
      <c r="H915">
        <v>0</v>
      </c>
      <c r="I915" s="12" t="s">
        <v>87</v>
      </c>
      <c r="J915" s="12" t="s">
        <v>88</v>
      </c>
      <c r="K915" s="12" t="s">
        <v>89</v>
      </c>
      <c r="L915" s="12" t="s">
        <v>69</v>
      </c>
      <c r="M915">
        <v>14.93</v>
      </c>
      <c r="N915" s="12" t="s">
        <v>107</v>
      </c>
      <c r="O915" s="12" t="s">
        <v>108</v>
      </c>
      <c r="P915" s="12" t="s">
        <v>109</v>
      </c>
      <c r="Q915" s="13">
        <v>45147</v>
      </c>
      <c r="R915" s="13">
        <v>45183</v>
      </c>
      <c r="S915">
        <v>2023</v>
      </c>
      <c r="T915" s="12" t="s">
        <v>1536</v>
      </c>
      <c r="U915">
        <v>132</v>
      </c>
      <c r="V915">
        <v>123.8275</v>
      </c>
      <c r="W915">
        <v>403.29</v>
      </c>
      <c r="X915">
        <v>0</v>
      </c>
      <c r="Y915">
        <v>0</v>
      </c>
      <c r="Z915">
        <v>16345.23</v>
      </c>
      <c r="AA915">
        <v>16748.52</v>
      </c>
      <c r="AB915" s="12" t="s">
        <v>850</v>
      </c>
      <c r="AC915">
        <v>123.8275</v>
      </c>
      <c r="AD915">
        <v>1</v>
      </c>
      <c r="AE915">
        <v>1</v>
      </c>
      <c r="AF915">
        <v>0</v>
      </c>
      <c r="AG915">
        <v>16345.23</v>
      </c>
      <c r="AH915">
        <v>132</v>
      </c>
      <c r="AI915">
        <v>130</v>
      </c>
      <c r="AJ915">
        <v>2</v>
      </c>
      <c r="AK915">
        <v>1</v>
      </c>
      <c r="AL915">
        <v>1</v>
      </c>
      <c r="AM915">
        <v>98.48</v>
      </c>
      <c r="AN915">
        <v>128.8348</v>
      </c>
      <c r="AO915">
        <v>247.66</v>
      </c>
      <c r="AP915" s="13">
        <v>45191</v>
      </c>
      <c r="AQ915">
        <v>8</v>
      </c>
      <c r="AR915">
        <v>0</v>
      </c>
    </row>
    <row r="916" spans="1:44" x14ac:dyDescent="0.35">
      <c r="A916" s="12" t="s">
        <v>1586</v>
      </c>
      <c r="B916" s="12" t="s">
        <v>173</v>
      </c>
      <c r="C916" s="12" t="s">
        <v>174</v>
      </c>
      <c r="D916" s="12" t="s">
        <v>175</v>
      </c>
      <c r="E916" s="12" t="s">
        <v>104</v>
      </c>
      <c r="F916">
        <v>3</v>
      </c>
      <c r="G916">
        <v>1</v>
      </c>
      <c r="H916">
        <v>0</v>
      </c>
      <c r="I916" s="12" t="s">
        <v>227</v>
      </c>
      <c r="J916" s="12" t="s">
        <v>228</v>
      </c>
      <c r="K916" s="12" t="s">
        <v>89</v>
      </c>
      <c r="L916" s="12" t="s">
        <v>96</v>
      </c>
      <c r="M916">
        <v>9.15</v>
      </c>
      <c r="N916" s="12" t="s">
        <v>145</v>
      </c>
      <c r="O916" s="12" t="s">
        <v>146</v>
      </c>
      <c r="P916" s="12" t="s">
        <v>109</v>
      </c>
      <c r="Q916" s="13">
        <v>45147</v>
      </c>
      <c r="R916" s="13">
        <v>45166</v>
      </c>
      <c r="S916">
        <v>2023</v>
      </c>
      <c r="T916" s="12" t="s">
        <v>1536</v>
      </c>
      <c r="U916">
        <v>68</v>
      </c>
      <c r="V916">
        <v>79.9559</v>
      </c>
      <c r="W916">
        <v>87.96</v>
      </c>
      <c r="X916">
        <v>0</v>
      </c>
      <c r="Y916">
        <v>0</v>
      </c>
      <c r="Z916">
        <v>5437</v>
      </c>
      <c r="AA916">
        <v>5524.96</v>
      </c>
      <c r="AB916" s="12" t="s">
        <v>229</v>
      </c>
      <c r="AC916">
        <v>79.9559</v>
      </c>
      <c r="AD916">
        <v>1</v>
      </c>
      <c r="AE916">
        <v>1</v>
      </c>
      <c r="AF916">
        <v>0</v>
      </c>
      <c r="AG916">
        <v>5437</v>
      </c>
      <c r="AH916">
        <v>68</v>
      </c>
      <c r="AI916">
        <v>68</v>
      </c>
      <c r="AJ916">
        <v>0</v>
      </c>
      <c r="AK916">
        <v>1</v>
      </c>
      <c r="AL916">
        <v>1</v>
      </c>
      <c r="AM916">
        <v>100</v>
      </c>
      <c r="AN916">
        <v>81.249399999999994</v>
      </c>
      <c r="AO916">
        <v>0</v>
      </c>
      <c r="AP916" s="13">
        <v>45163</v>
      </c>
      <c r="AQ916">
        <v>-3</v>
      </c>
      <c r="AR916">
        <v>1</v>
      </c>
    </row>
    <row r="917" spans="1:44" x14ac:dyDescent="0.35">
      <c r="A917" s="12" t="s">
        <v>1587</v>
      </c>
      <c r="B917" s="12" t="s">
        <v>978</v>
      </c>
      <c r="C917" s="12" t="s">
        <v>979</v>
      </c>
      <c r="D917" s="12" t="s">
        <v>122</v>
      </c>
      <c r="E917" s="12" t="s">
        <v>65</v>
      </c>
      <c r="F917">
        <v>1</v>
      </c>
      <c r="G917">
        <v>2</v>
      </c>
      <c r="H917">
        <v>1</v>
      </c>
      <c r="I917" s="12" t="s">
        <v>310</v>
      </c>
      <c r="J917" s="12" t="s">
        <v>311</v>
      </c>
      <c r="K917" s="12" t="s">
        <v>81</v>
      </c>
      <c r="L917" s="12" t="s">
        <v>69</v>
      </c>
      <c r="M917">
        <v>28.3</v>
      </c>
      <c r="N917" s="12" t="s">
        <v>97</v>
      </c>
      <c r="O917" s="12" t="s">
        <v>98</v>
      </c>
      <c r="P917" s="12" t="s">
        <v>72</v>
      </c>
      <c r="Q917" s="13">
        <v>45147</v>
      </c>
      <c r="R917" s="13">
        <v>45185</v>
      </c>
      <c r="S917">
        <v>2023</v>
      </c>
      <c r="T917" s="12" t="s">
        <v>1536</v>
      </c>
      <c r="U917">
        <v>1937</v>
      </c>
      <c r="V917">
        <v>43.709699999999998</v>
      </c>
      <c r="W917">
        <v>1180.5899999999999</v>
      </c>
      <c r="X917">
        <v>0</v>
      </c>
      <c r="Y917">
        <v>0</v>
      </c>
      <c r="Z917">
        <v>84665.69</v>
      </c>
      <c r="AA917">
        <v>85846.28</v>
      </c>
      <c r="AB917" s="12" t="s">
        <v>980</v>
      </c>
      <c r="AC917">
        <v>43.709699999999998</v>
      </c>
      <c r="AD917">
        <v>1</v>
      </c>
      <c r="AE917">
        <v>1</v>
      </c>
      <c r="AF917">
        <v>0</v>
      </c>
      <c r="AG917">
        <v>84665.69</v>
      </c>
      <c r="AH917">
        <v>1937</v>
      </c>
      <c r="AI917">
        <v>1924</v>
      </c>
      <c r="AJ917">
        <v>13</v>
      </c>
      <c r="AK917">
        <v>1</v>
      </c>
      <c r="AL917">
        <v>1</v>
      </c>
      <c r="AM917">
        <v>99.33</v>
      </c>
      <c r="AN917">
        <v>44.618600000000001</v>
      </c>
      <c r="AO917">
        <v>568.23</v>
      </c>
      <c r="AP917" s="13">
        <v>45182</v>
      </c>
      <c r="AQ917">
        <v>-3</v>
      </c>
      <c r="AR917">
        <v>1</v>
      </c>
    </row>
    <row r="918" spans="1:44" x14ac:dyDescent="0.35">
      <c r="A918" s="12" t="s">
        <v>1588</v>
      </c>
      <c r="B918" s="12" t="s">
        <v>454</v>
      </c>
      <c r="C918" s="12" t="s">
        <v>455</v>
      </c>
      <c r="D918" s="12" t="s">
        <v>122</v>
      </c>
      <c r="E918" s="12" t="s">
        <v>104</v>
      </c>
      <c r="F918">
        <v>3</v>
      </c>
      <c r="G918">
        <v>1</v>
      </c>
      <c r="H918">
        <v>0</v>
      </c>
      <c r="I918" s="12" t="s">
        <v>87</v>
      </c>
      <c r="J918" s="12" t="s">
        <v>88</v>
      </c>
      <c r="K918" s="12" t="s">
        <v>89</v>
      </c>
      <c r="L918" s="12" t="s">
        <v>69</v>
      </c>
      <c r="M918">
        <v>14.93</v>
      </c>
      <c r="N918" s="12" t="s">
        <v>70</v>
      </c>
      <c r="O918" s="12" t="s">
        <v>71</v>
      </c>
      <c r="P918" s="12" t="s">
        <v>72</v>
      </c>
      <c r="Q918" s="13">
        <v>45147</v>
      </c>
      <c r="R918" s="13">
        <v>45163</v>
      </c>
      <c r="S918">
        <v>2023</v>
      </c>
      <c r="T918" s="12" t="s">
        <v>1536</v>
      </c>
      <c r="U918">
        <v>631</v>
      </c>
      <c r="V918">
        <v>21.796199999999999</v>
      </c>
      <c r="W918">
        <v>352</v>
      </c>
      <c r="X918">
        <v>0</v>
      </c>
      <c r="Y918">
        <v>0</v>
      </c>
      <c r="Z918">
        <v>13753.4</v>
      </c>
      <c r="AA918">
        <v>14105.4</v>
      </c>
      <c r="AB918" s="12" t="s">
        <v>456</v>
      </c>
      <c r="AC918">
        <v>21.796199999999999</v>
      </c>
      <c r="AD918">
        <v>1</v>
      </c>
      <c r="AE918">
        <v>1</v>
      </c>
      <c r="AF918">
        <v>0</v>
      </c>
      <c r="AG918">
        <v>13753.4</v>
      </c>
      <c r="AH918">
        <v>631</v>
      </c>
      <c r="AI918">
        <v>629</v>
      </c>
      <c r="AJ918">
        <v>2</v>
      </c>
      <c r="AK918">
        <v>1</v>
      </c>
      <c r="AL918">
        <v>1</v>
      </c>
      <c r="AM918">
        <v>99.68</v>
      </c>
      <c r="AN918">
        <v>22.4251</v>
      </c>
      <c r="AO918">
        <v>43.59</v>
      </c>
      <c r="AP918" s="13">
        <v>45169</v>
      </c>
      <c r="AQ918">
        <v>6</v>
      </c>
      <c r="AR918">
        <v>0</v>
      </c>
    </row>
    <row r="919" spans="1:44" x14ac:dyDescent="0.35">
      <c r="A919" s="12" t="s">
        <v>1589</v>
      </c>
      <c r="B919" s="12" t="s">
        <v>302</v>
      </c>
      <c r="C919" s="12" t="s">
        <v>303</v>
      </c>
      <c r="D919" s="12" t="s">
        <v>78</v>
      </c>
      <c r="E919" s="12" t="s">
        <v>65</v>
      </c>
      <c r="F919">
        <v>2</v>
      </c>
      <c r="G919">
        <v>3</v>
      </c>
      <c r="H919">
        <v>0</v>
      </c>
      <c r="I919" s="12" t="s">
        <v>335</v>
      </c>
      <c r="J919" s="12" t="s">
        <v>336</v>
      </c>
      <c r="K919" s="12" t="s">
        <v>89</v>
      </c>
      <c r="L919" s="12" t="s">
        <v>82</v>
      </c>
      <c r="M919">
        <v>16</v>
      </c>
      <c r="N919" s="12" t="s">
        <v>97</v>
      </c>
      <c r="O919" s="12" t="s">
        <v>98</v>
      </c>
      <c r="P919" s="12" t="s">
        <v>72</v>
      </c>
      <c r="Q919" s="13">
        <v>45147</v>
      </c>
      <c r="R919" s="13">
        <v>45177</v>
      </c>
      <c r="S919">
        <v>2023</v>
      </c>
      <c r="T919" s="12" t="s">
        <v>1536</v>
      </c>
      <c r="U919">
        <v>172</v>
      </c>
      <c r="V919">
        <v>144.41300000000001</v>
      </c>
      <c r="W919">
        <v>195.5</v>
      </c>
      <c r="X919">
        <v>0</v>
      </c>
      <c r="Y919">
        <v>0</v>
      </c>
      <c r="Z919">
        <v>24839.040000000001</v>
      </c>
      <c r="AA919">
        <v>25034.54</v>
      </c>
      <c r="AB919" s="12" t="s">
        <v>337</v>
      </c>
      <c r="AC919">
        <v>144.41300000000001</v>
      </c>
      <c r="AD919">
        <v>1</v>
      </c>
      <c r="AE919">
        <v>1</v>
      </c>
      <c r="AF919">
        <v>0</v>
      </c>
      <c r="AG919">
        <v>24839.040000000001</v>
      </c>
      <c r="AH919">
        <v>172</v>
      </c>
      <c r="AI919">
        <v>168</v>
      </c>
      <c r="AJ919">
        <v>4</v>
      </c>
      <c r="AK919">
        <v>1</v>
      </c>
      <c r="AL919">
        <v>1</v>
      </c>
      <c r="AM919">
        <v>97.67</v>
      </c>
      <c r="AN919">
        <v>149.01509999999999</v>
      </c>
      <c r="AO919">
        <v>577.65</v>
      </c>
      <c r="AP919" s="13">
        <v>45175</v>
      </c>
      <c r="AQ919">
        <v>-2</v>
      </c>
      <c r="AR919">
        <v>1</v>
      </c>
    </row>
    <row r="920" spans="1:44" x14ac:dyDescent="0.35">
      <c r="A920" s="12" t="s">
        <v>1590</v>
      </c>
      <c r="B920" s="12" t="s">
        <v>941</v>
      </c>
      <c r="C920" s="12" t="s">
        <v>942</v>
      </c>
      <c r="D920" s="12" t="s">
        <v>130</v>
      </c>
      <c r="E920" s="12" t="s">
        <v>104</v>
      </c>
      <c r="F920">
        <v>2</v>
      </c>
      <c r="G920">
        <v>0</v>
      </c>
      <c r="H920">
        <v>0</v>
      </c>
      <c r="I920" s="12" t="s">
        <v>131</v>
      </c>
      <c r="J920" s="12" t="s">
        <v>132</v>
      </c>
      <c r="K920" s="12" t="s">
        <v>133</v>
      </c>
      <c r="L920" s="12" t="s">
        <v>134</v>
      </c>
      <c r="M920">
        <v>1.51</v>
      </c>
      <c r="N920" s="12" t="s">
        <v>135</v>
      </c>
      <c r="O920" s="12" t="s">
        <v>136</v>
      </c>
      <c r="P920" s="12" t="s">
        <v>137</v>
      </c>
      <c r="Q920" s="13">
        <v>45147</v>
      </c>
      <c r="R920" s="13">
        <v>45161</v>
      </c>
      <c r="S920">
        <v>2023</v>
      </c>
      <c r="T920" s="12" t="s">
        <v>1536</v>
      </c>
      <c r="U920">
        <v>30</v>
      </c>
      <c r="V920">
        <v>990.29020000000003</v>
      </c>
      <c r="W920">
        <v>565.86</v>
      </c>
      <c r="X920">
        <v>0</v>
      </c>
      <c r="Y920">
        <v>0</v>
      </c>
      <c r="Z920">
        <v>29708.71</v>
      </c>
      <c r="AA920">
        <v>30274.57</v>
      </c>
      <c r="AB920" s="12" t="s">
        <v>943</v>
      </c>
      <c r="AC920">
        <v>990.29020000000003</v>
      </c>
      <c r="AD920">
        <v>1</v>
      </c>
      <c r="AE920">
        <v>1</v>
      </c>
      <c r="AF920">
        <v>0</v>
      </c>
      <c r="AG920">
        <v>29708.71</v>
      </c>
      <c r="AH920">
        <v>30</v>
      </c>
      <c r="AI920">
        <v>27</v>
      </c>
      <c r="AJ920">
        <v>3</v>
      </c>
      <c r="AK920">
        <v>1</v>
      </c>
      <c r="AL920">
        <v>1</v>
      </c>
      <c r="AM920">
        <v>90</v>
      </c>
      <c r="AN920">
        <v>1121.2801999999999</v>
      </c>
      <c r="AO920">
        <v>2970.87</v>
      </c>
      <c r="AP920" s="13">
        <v>45161</v>
      </c>
      <c r="AQ920">
        <v>0</v>
      </c>
      <c r="AR920">
        <v>1</v>
      </c>
    </row>
    <row r="921" spans="1:44" x14ac:dyDescent="0.35">
      <c r="A921" s="12" t="s">
        <v>1591</v>
      </c>
      <c r="B921" s="12" t="s">
        <v>215</v>
      </c>
      <c r="C921" s="12" t="s">
        <v>216</v>
      </c>
      <c r="D921" s="12" t="s">
        <v>122</v>
      </c>
      <c r="E921" s="12" t="s">
        <v>142</v>
      </c>
      <c r="F921">
        <v>3</v>
      </c>
      <c r="G921">
        <v>11</v>
      </c>
      <c r="H921">
        <v>0</v>
      </c>
      <c r="I921" s="12" t="s">
        <v>217</v>
      </c>
      <c r="J921" s="12" t="s">
        <v>218</v>
      </c>
      <c r="K921" s="12" t="s">
        <v>68</v>
      </c>
      <c r="L921" s="12" t="s">
        <v>82</v>
      </c>
      <c r="M921">
        <v>14.24</v>
      </c>
      <c r="N921" s="12" t="s">
        <v>70</v>
      </c>
      <c r="O921" s="12" t="s">
        <v>71</v>
      </c>
      <c r="P921" s="12" t="s">
        <v>72</v>
      </c>
      <c r="Q921" s="13">
        <v>45147</v>
      </c>
      <c r="R921" s="13">
        <v>45184</v>
      </c>
      <c r="S921">
        <v>2023</v>
      </c>
      <c r="T921" s="12" t="s">
        <v>1536</v>
      </c>
      <c r="U921">
        <v>462</v>
      </c>
      <c r="V921">
        <v>15.462199999999999</v>
      </c>
      <c r="W921">
        <v>106.89</v>
      </c>
      <c r="X921">
        <v>0</v>
      </c>
      <c r="Y921">
        <v>0</v>
      </c>
      <c r="Z921">
        <v>7143.54</v>
      </c>
      <c r="AA921">
        <v>7250.43</v>
      </c>
      <c r="AB921" s="12" t="s">
        <v>219</v>
      </c>
      <c r="AC921">
        <v>15.462199999999999</v>
      </c>
      <c r="AD921">
        <v>1</v>
      </c>
      <c r="AE921">
        <v>1</v>
      </c>
      <c r="AF921">
        <v>0</v>
      </c>
      <c r="AG921">
        <v>7143.54</v>
      </c>
      <c r="AH921">
        <v>462</v>
      </c>
      <c r="AI921">
        <v>461</v>
      </c>
      <c r="AJ921">
        <v>1</v>
      </c>
      <c r="AK921">
        <v>1</v>
      </c>
      <c r="AL921">
        <v>1</v>
      </c>
      <c r="AM921">
        <v>99.78</v>
      </c>
      <c r="AN921">
        <v>15.727600000000001</v>
      </c>
      <c r="AO921">
        <v>15.46</v>
      </c>
      <c r="AP921" s="13">
        <v>45181</v>
      </c>
      <c r="AQ921">
        <v>-3</v>
      </c>
      <c r="AR921">
        <v>1</v>
      </c>
    </row>
    <row r="922" spans="1:44" x14ac:dyDescent="0.35">
      <c r="A922" s="12" t="s">
        <v>1592</v>
      </c>
      <c r="B922" s="12" t="s">
        <v>963</v>
      </c>
      <c r="C922" s="12" t="s">
        <v>964</v>
      </c>
      <c r="D922" s="12" t="s">
        <v>114</v>
      </c>
      <c r="E922" s="12" t="s">
        <v>142</v>
      </c>
      <c r="F922">
        <v>1</v>
      </c>
      <c r="G922">
        <v>6</v>
      </c>
      <c r="H922">
        <v>1</v>
      </c>
      <c r="I922" s="12" t="s">
        <v>176</v>
      </c>
      <c r="J922" s="12" t="s">
        <v>177</v>
      </c>
      <c r="K922" s="12" t="s">
        <v>125</v>
      </c>
      <c r="L922" s="12" t="s">
        <v>134</v>
      </c>
      <c r="M922">
        <v>1.75</v>
      </c>
      <c r="N922" s="12" t="s">
        <v>70</v>
      </c>
      <c r="O922" s="12" t="s">
        <v>71</v>
      </c>
      <c r="P922" s="12" t="s">
        <v>72</v>
      </c>
      <c r="Q922" s="13">
        <v>45148</v>
      </c>
      <c r="R922" s="13">
        <v>45183</v>
      </c>
      <c r="S922">
        <v>2023</v>
      </c>
      <c r="T922" s="12" t="s">
        <v>1536</v>
      </c>
      <c r="U922">
        <v>14</v>
      </c>
      <c r="V922">
        <v>194.73220000000001</v>
      </c>
      <c r="W922">
        <v>52.88</v>
      </c>
      <c r="X922">
        <v>0</v>
      </c>
      <c r="Y922">
        <v>0</v>
      </c>
      <c r="Z922">
        <v>2726.25</v>
      </c>
      <c r="AA922">
        <v>2779.13</v>
      </c>
      <c r="AB922" s="12" t="s">
        <v>965</v>
      </c>
      <c r="AC922">
        <v>194.73220000000001</v>
      </c>
      <c r="AD922">
        <v>1</v>
      </c>
      <c r="AE922">
        <v>1</v>
      </c>
      <c r="AF922">
        <v>0</v>
      </c>
      <c r="AG922">
        <v>2726.25</v>
      </c>
      <c r="AH922">
        <v>14</v>
      </c>
      <c r="AI922">
        <v>14</v>
      </c>
      <c r="AJ922">
        <v>0</v>
      </c>
      <c r="AK922">
        <v>1</v>
      </c>
      <c r="AL922">
        <v>1</v>
      </c>
      <c r="AM922">
        <v>100</v>
      </c>
      <c r="AN922">
        <v>198.5093</v>
      </c>
      <c r="AO922">
        <v>0</v>
      </c>
      <c r="AP922" s="13">
        <v>45183</v>
      </c>
      <c r="AQ922">
        <v>0</v>
      </c>
      <c r="AR922">
        <v>1</v>
      </c>
    </row>
    <row r="923" spans="1:44" x14ac:dyDescent="0.35">
      <c r="A923" s="12" t="s">
        <v>1593</v>
      </c>
      <c r="B923" s="12" t="s">
        <v>1220</v>
      </c>
      <c r="C923" s="12" t="s">
        <v>1221</v>
      </c>
      <c r="D923" s="12" t="s">
        <v>175</v>
      </c>
      <c r="E923" s="12" t="s">
        <v>104</v>
      </c>
      <c r="F923">
        <v>3</v>
      </c>
      <c r="G923">
        <v>1</v>
      </c>
      <c r="H923">
        <v>0</v>
      </c>
      <c r="I923" s="12" t="s">
        <v>251</v>
      </c>
      <c r="J923" s="12" t="s">
        <v>252</v>
      </c>
      <c r="K923" s="12" t="s">
        <v>133</v>
      </c>
      <c r="L923" s="12" t="s">
        <v>69</v>
      </c>
      <c r="M923">
        <v>34.49</v>
      </c>
      <c r="N923" s="12" t="s">
        <v>107</v>
      </c>
      <c r="O923" s="12" t="s">
        <v>108</v>
      </c>
      <c r="P923" s="12" t="s">
        <v>109</v>
      </c>
      <c r="Q923" s="13">
        <v>45148</v>
      </c>
      <c r="R923" s="13">
        <v>45176</v>
      </c>
      <c r="S923">
        <v>2023</v>
      </c>
      <c r="T923" s="12" t="s">
        <v>1536</v>
      </c>
      <c r="U923">
        <v>137</v>
      </c>
      <c r="V923">
        <v>138.98759999999999</v>
      </c>
      <c r="W923">
        <v>289.20999999999998</v>
      </c>
      <c r="X923">
        <v>0</v>
      </c>
      <c r="Y923">
        <v>0</v>
      </c>
      <c r="Z923">
        <v>19041.3</v>
      </c>
      <c r="AA923">
        <v>19330.509999999998</v>
      </c>
      <c r="AB923" s="12" t="s">
        <v>1438</v>
      </c>
      <c r="AC923">
        <v>138.98759999999999</v>
      </c>
      <c r="AD923">
        <v>1</v>
      </c>
      <c r="AE923">
        <v>1</v>
      </c>
      <c r="AF923">
        <v>0</v>
      </c>
      <c r="AG923">
        <v>19041.3</v>
      </c>
      <c r="AH923">
        <v>137</v>
      </c>
      <c r="AI923">
        <v>135</v>
      </c>
      <c r="AJ923">
        <v>2</v>
      </c>
      <c r="AK923">
        <v>1</v>
      </c>
      <c r="AL923">
        <v>1</v>
      </c>
      <c r="AM923">
        <v>98.54</v>
      </c>
      <c r="AN923">
        <v>143.18899999999999</v>
      </c>
      <c r="AO923">
        <v>277.98</v>
      </c>
      <c r="AP923" s="13">
        <v>45175</v>
      </c>
      <c r="AQ923">
        <v>-1</v>
      </c>
      <c r="AR923">
        <v>1</v>
      </c>
    </row>
    <row r="924" spans="1:44" x14ac:dyDescent="0.35">
      <c r="A924" s="12" t="s">
        <v>1594</v>
      </c>
      <c r="B924" s="12" t="s">
        <v>685</v>
      </c>
      <c r="C924" s="12" t="s">
        <v>686</v>
      </c>
      <c r="D924" s="12" t="s">
        <v>175</v>
      </c>
      <c r="E924" s="12" t="s">
        <v>104</v>
      </c>
      <c r="F924">
        <v>2</v>
      </c>
      <c r="G924">
        <v>0</v>
      </c>
      <c r="H924">
        <v>0</v>
      </c>
      <c r="I924" s="12" t="s">
        <v>243</v>
      </c>
      <c r="J924" s="12" t="s">
        <v>244</v>
      </c>
      <c r="K924" s="12" t="s">
        <v>81</v>
      </c>
      <c r="L924" s="12" t="s">
        <v>82</v>
      </c>
      <c r="M924">
        <v>9.2200000000000006</v>
      </c>
      <c r="N924" s="12" t="s">
        <v>145</v>
      </c>
      <c r="O924" s="12" t="s">
        <v>146</v>
      </c>
      <c r="P924" s="12" t="s">
        <v>109</v>
      </c>
      <c r="Q924" s="13">
        <v>45148</v>
      </c>
      <c r="R924" s="13">
        <v>45161</v>
      </c>
      <c r="S924">
        <v>2023</v>
      </c>
      <c r="T924" s="12" t="s">
        <v>1536</v>
      </c>
      <c r="U924">
        <v>24</v>
      </c>
      <c r="V924">
        <v>221.7389</v>
      </c>
      <c r="W924">
        <v>39.07</v>
      </c>
      <c r="X924">
        <v>0</v>
      </c>
      <c r="Y924">
        <v>0</v>
      </c>
      <c r="Z924">
        <v>5321.73</v>
      </c>
      <c r="AA924">
        <v>5360.8</v>
      </c>
      <c r="AB924" s="12" t="s">
        <v>687</v>
      </c>
      <c r="AC924">
        <v>221.7389</v>
      </c>
      <c r="AD924">
        <v>1</v>
      </c>
      <c r="AE924">
        <v>1</v>
      </c>
      <c r="AF924">
        <v>0</v>
      </c>
      <c r="AG924">
        <v>5321.73</v>
      </c>
      <c r="AH924">
        <v>24</v>
      </c>
      <c r="AI924">
        <v>24</v>
      </c>
      <c r="AJ924">
        <v>0</v>
      </c>
      <c r="AK924">
        <v>1</v>
      </c>
      <c r="AL924">
        <v>1</v>
      </c>
      <c r="AM924">
        <v>100</v>
      </c>
      <c r="AN924">
        <v>223.36680000000001</v>
      </c>
      <c r="AO924">
        <v>0</v>
      </c>
      <c r="AP924" s="13">
        <v>45160</v>
      </c>
      <c r="AQ924">
        <v>-1</v>
      </c>
      <c r="AR924">
        <v>1</v>
      </c>
    </row>
    <row r="925" spans="1:44" x14ac:dyDescent="0.35">
      <c r="A925" s="12" t="s">
        <v>1595</v>
      </c>
      <c r="B925" s="12" t="s">
        <v>249</v>
      </c>
      <c r="C925" s="12" t="s">
        <v>250</v>
      </c>
      <c r="D925" s="12" t="s">
        <v>64</v>
      </c>
      <c r="E925" s="12" t="s">
        <v>65</v>
      </c>
      <c r="F925">
        <v>2</v>
      </c>
      <c r="G925">
        <v>3</v>
      </c>
      <c r="H925">
        <v>0</v>
      </c>
      <c r="I925" s="12" t="s">
        <v>251</v>
      </c>
      <c r="J925" s="12" t="s">
        <v>252</v>
      </c>
      <c r="K925" s="12" t="s">
        <v>133</v>
      </c>
      <c r="L925" s="12" t="s">
        <v>69</v>
      </c>
      <c r="M925">
        <v>34.49</v>
      </c>
      <c r="N925" s="12" t="s">
        <v>70</v>
      </c>
      <c r="O925" s="12" t="s">
        <v>71</v>
      </c>
      <c r="P925" s="12" t="s">
        <v>72</v>
      </c>
      <c r="Q925" s="13">
        <v>45148</v>
      </c>
      <c r="R925" s="13">
        <v>45171</v>
      </c>
      <c r="S925">
        <v>2023</v>
      </c>
      <c r="T925" s="12" t="s">
        <v>1536</v>
      </c>
      <c r="U925">
        <v>231</v>
      </c>
      <c r="V925">
        <v>10.6486</v>
      </c>
      <c r="W925">
        <v>63.79</v>
      </c>
      <c r="X925">
        <v>0</v>
      </c>
      <c r="Y925">
        <v>0</v>
      </c>
      <c r="Z925">
        <v>2459.83</v>
      </c>
      <c r="AA925">
        <v>2523.62</v>
      </c>
      <c r="AB925" s="12" t="s">
        <v>253</v>
      </c>
      <c r="AC925">
        <v>10.6486</v>
      </c>
      <c r="AD925">
        <v>1</v>
      </c>
      <c r="AE925">
        <v>1</v>
      </c>
      <c r="AF925">
        <v>0</v>
      </c>
      <c r="AG925">
        <v>2459.83</v>
      </c>
      <c r="AH925">
        <v>231</v>
      </c>
      <c r="AI925">
        <v>228</v>
      </c>
      <c r="AJ925">
        <v>3</v>
      </c>
      <c r="AK925">
        <v>1</v>
      </c>
      <c r="AL925">
        <v>1</v>
      </c>
      <c r="AM925">
        <v>98.7</v>
      </c>
      <c r="AN925">
        <v>11.0685</v>
      </c>
      <c r="AO925">
        <v>31.95</v>
      </c>
      <c r="AP925" s="13">
        <v>45171</v>
      </c>
      <c r="AQ925">
        <v>0</v>
      </c>
      <c r="AR925">
        <v>1</v>
      </c>
    </row>
    <row r="926" spans="1:44" x14ac:dyDescent="0.35">
      <c r="A926" s="12" t="s">
        <v>1596</v>
      </c>
      <c r="B926" s="12" t="s">
        <v>490</v>
      </c>
      <c r="C926" s="12" t="s">
        <v>491</v>
      </c>
      <c r="D926" s="12" t="s">
        <v>130</v>
      </c>
      <c r="E926" s="12" t="s">
        <v>104</v>
      </c>
      <c r="F926">
        <v>3</v>
      </c>
      <c r="G926">
        <v>1</v>
      </c>
      <c r="H926">
        <v>0</v>
      </c>
      <c r="I926" s="12" t="s">
        <v>176</v>
      </c>
      <c r="J926" s="12" t="s">
        <v>177</v>
      </c>
      <c r="K926" s="12" t="s">
        <v>125</v>
      </c>
      <c r="L926" s="12" t="s">
        <v>134</v>
      </c>
      <c r="M926">
        <v>1.75</v>
      </c>
      <c r="N926" s="12" t="s">
        <v>135</v>
      </c>
      <c r="O926" s="12" t="s">
        <v>136</v>
      </c>
      <c r="P926" s="12" t="s">
        <v>137</v>
      </c>
      <c r="Q926" s="13">
        <v>45148</v>
      </c>
      <c r="R926" s="13">
        <v>45172</v>
      </c>
      <c r="S926">
        <v>2023</v>
      </c>
      <c r="T926" s="12" t="s">
        <v>1536</v>
      </c>
      <c r="U926">
        <v>110</v>
      </c>
      <c r="V926">
        <v>297.19900000000001</v>
      </c>
      <c r="W926">
        <v>712.59</v>
      </c>
      <c r="X926">
        <v>0</v>
      </c>
      <c r="Y926">
        <v>0</v>
      </c>
      <c r="Z926">
        <v>32691.89</v>
      </c>
      <c r="AA926">
        <v>33404.480000000003</v>
      </c>
      <c r="AB926" s="12" t="s">
        <v>492</v>
      </c>
      <c r="AC926">
        <v>297.19900000000001</v>
      </c>
      <c r="AD926">
        <v>1</v>
      </c>
      <c r="AE926">
        <v>1</v>
      </c>
      <c r="AF926">
        <v>0</v>
      </c>
      <c r="AG926">
        <v>32691.89</v>
      </c>
      <c r="AH926">
        <v>110</v>
      </c>
      <c r="AI926">
        <v>109</v>
      </c>
      <c r="AJ926">
        <v>1</v>
      </c>
      <c r="AK926">
        <v>1</v>
      </c>
      <c r="AL926">
        <v>1</v>
      </c>
      <c r="AM926">
        <v>99.09</v>
      </c>
      <c r="AN926">
        <v>306.4631</v>
      </c>
      <c r="AO926">
        <v>297.2</v>
      </c>
      <c r="AP926" s="13">
        <v>45181</v>
      </c>
      <c r="AQ926">
        <v>9</v>
      </c>
      <c r="AR926">
        <v>0</v>
      </c>
    </row>
    <row r="927" spans="1:44" x14ac:dyDescent="0.35">
      <c r="A927" s="12" t="s">
        <v>1597</v>
      </c>
      <c r="B927" s="12" t="s">
        <v>1166</v>
      </c>
      <c r="C927" s="12" t="s">
        <v>1167</v>
      </c>
      <c r="D927" s="12" t="s">
        <v>175</v>
      </c>
      <c r="E927" s="12" t="s">
        <v>65</v>
      </c>
      <c r="F927">
        <v>3</v>
      </c>
      <c r="G927">
        <v>5</v>
      </c>
      <c r="H927">
        <v>0</v>
      </c>
      <c r="I927" s="12" t="s">
        <v>143</v>
      </c>
      <c r="J927" s="12" t="s">
        <v>144</v>
      </c>
      <c r="K927" s="12" t="s">
        <v>133</v>
      </c>
      <c r="L927" s="12" t="s">
        <v>96</v>
      </c>
      <c r="M927">
        <v>5.43</v>
      </c>
      <c r="N927" s="12" t="s">
        <v>107</v>
      </c>
      <c r="O927" s="12" t="s">
        <v>108</v>
      </c>
      <c r="P927" s="12" t="s">
        <v>109</v>
      </c>
      <c r="Q927" s="13">
        <v>45148</v>
      </c>
      <c r="R927" s="13">
        <v>45174</v>
      </c>
      <c r="S927">
        <v>2023</v>
      </c>
      <c r="T927" s="12" t="s">
        <v>1536</v>
      </c>
      <c r="U927">
        <v>55</v>
      </c>
      <c r="V927">
        <v>248.16210000000001</v>
      </c>
      <c r="W927">
        <v>198.72</v>
      </c>
      <c r="X927">
        <v>0</v>
      </c>
      <c r="Y927">
        <v>0</v>
      </c>
      <c r="Z927">
        <v>13648.92</v>
      </c>
      <c r="AA927">
        <v>13847.64</v>
      </c>
      <c r="AB927" s="12" t="s">
        <v>1168</v>
      </c>
      <c r="AC927">
        <v>248.16210000000001</v>
      </c>
      <c r="AD927">
        <v>1</v>
      </c>
      <c r="AE927">
        <v>1</v>
      </c>
      <c r="AF927">
        <v>0</v>
      </c>
      <c r="AG927">
        <v>13648.92</v>
      </c>
      <c r="AH927">
        <v>55</v>
      </c>
      <c r="AI927">
        <v>54</v>
      </c>
      <c r="AJ927">
        <v>1</v>
      </c>
      <c r="AK927">
        <v>1</v>
      </c>
      <c r="AL927">
        <v>1</v>
      </c>
      <c r="AM927">
        <v>98.18</v>
      </c>
      <c r="AN927">
        <v>256.43770000000001</v>
      </c>
      <c r="AO927">
        <v>248.16</v>
      </c>
      <c r="AP927" s="13">
        <v>45171</v>
      </c>
      <c r="AQ927">
        <v>-3</v>
      </c>
      <c r="AR927">
        <v>1</v>
      </c>
    </row>
    <row r="928" spans="1:44" x14ac:dyDescent="0.35">
      <c r="A928" s="12" t="s">
        <v>1598</v>
      </c>
      <c r="B928" s="12" t="s">
        <v>215</v>
      </c>
      <c r="C928" s="12" t="s">
        <v>216</v>
      </c>
      <c r="D928" s="12" t="s">
        <v>122</v>
      </c>
      <c r="E928" s="12" t="s">
        <v>142</v>
      </c>
      <c r="F928">
        <v>3</v>
      </c>
      <c r="G928">
        <v>11</v>
      </c>
      <c r="H928">
        <v>0</v>
      </c>
      <c r="I928" s="12" t="s">
        <v>310</v>
      </c>
      <c r="J928" s="12" t="s">
        <v>311</v>
      </c>
      <c r="K928" s="12" t="s">
        <v>81</v>
      </c>
      <c r="L928" s="12" t="s">
        <v>69</v>
      </c>
      <c r="M928">
        <v>28.3</v>
      </c>
      <c r="N928" s="12" t="s">
        <v>97</v>
      </c>
      <c r="O928" s="12" t="s">
        <v>98</v>
      </c>
      <c r="P928" s="12" t="s">
        <v>72</v>
      </c>
      <c r="Q928" s="13">
        <v>45148</v>
      </c>
      <c r="R928" s="13">
        <v>45188</v>
      </c>
      <c r="S928">
        <v>2023</v>
      </c>
      <c r="T928" s="12" t="s">
        <v>1536</v>
      </c>
      <c r="U928">
        <v>716</v>
      </c>
      <c r="V928">
        <v>16.860099999999999</v>
      </c>
      <c r="W928">
        <v>83.3</v>
      </c>
      <c r="X928">
        <v>0</v>
      </c>
      <c r="Y928">
        <v>0</v>
      </c>
      <c r="Z928">
        <v>12071.83</v>
      </c>
      <c r="AA928">
        <v>12155.13</v>
      </c>
      <c r="AB928" s="12" t="s">
        <v>201</v>
      </c>
      <c r="AD928">
        <v>0</v>
      </c>
      <c r="AE928">
        <v>0</v>
      </c>
      <c r="AH928">
        <v>716</v>
      </c>
      <c r="AI928">
        <v>709</v>
      </c>
      <c r="AJ928">
        <v>7</v>
      </c>
      <c r="AK928">
        <v>1</v>
      </c>
      <c r="AL928">
        <v>1</v>
      </c>
      <c r="AM928">
        <v>99.02</v>
      </c>
      <c r="AN928">
        <v>17.144100000000002</v>
      </c>
      <c r="AO928">
        <v>118.02</v>
      </c>
      <c r="AP928" s="13">
        <v>45185</v>
      </c>
      <c r="AQ928">
        <v>-3</v>
      </c>
      <c r="AR928">
        <v>1</v>
      </c>
    </row>
    <row r="929" spans="1:44" x14ac:dyDescent="0.35">
      <c r="A929" s="12" t="s">
        <v>1599</v>
      </c>
      <c r="B929" s="12" t="s">
        <v>587</v>
      </c>
      <c r="C929" s="12" t="s">
        <v>588</v>
      </c>
      <c r="D929" s="12" t="s">
        <v>122</v>
      </c>
      <c r="E929" s="12" t="s">
        <v>104</v>
      </c>
      <c r="F929">
        <v>2</v>
      </c>
      <c r="G929">
        <v>0</v>
      </c>
      <c r="H929">
        <v>0</v>
      </c>
      <c r="I929" s="12" t="s">
        <v>486</v>
      </c>
      <c r="J929" s="12" t="s">
        <v>487</v>
      </c>
      <c r="K929" s="12" t="s">
        <v>125</v>
      </c>
      <c r="L929" s="12" t="s">
        <v>69</v>
      </c>
      <c r="M929">
        <v>36.86</v>
      </c>
      <c r="N929" s="12" t="s">
        <v>70</v>
      </c>
      <c r="O929" s="12" t="s">
        <v>71</v>
      </c>
      <c r="P929" s="12" t="s">
        <v>72</v>
      </c>
      <c r="Q929" s="13">
        <v>45148</v>
      </c>
      <c r="R929" s="13">
        <v>45171</v>
      </c>
      <c r="S929">
        <v>2023</v>
      </c>
      <c r="T929" s="12" t="s">
        <v>1536</v>
      </c>
      <c r="U929">
        <v>1357</v>
      </c>
      <c r="V929">
        <v>12.517899999999999</v>
      </c>
      <c r="W929">
        <v>139.94</v>
      </c>
      <c r="X929">
        <v>0</v>
      </c>
      <c r="Y929">
        <v>0</v>
      </c>
      <c r="Z929">
        <v>16986.79</v>
      </c>
      <c r="AA929">
        <v>17126.73</v>
      </c>
      <c r="AB929" s="12" t="s">
        <v>744</v>
      </c>
      <c r="AC929">
        <v>12.517899999999999</v>
      </c>
      <c r="AD929">
        <v>1</v>
      </c>
      <c r="AE929">
        <v>1</v>
      </c>
      <c r="AF929">
        <v>0</v>
      </c>
      <c r="AG929">
        <v>16986.79</v>
      </c>
      <c r="AH929">
        <v>1357</v>
      </c>
      <c r="AI929">
        <v>1348</v>
      </c>
      <c r="AJ929">
        <v>9</v>
      </c>
      <c r="AK929">
        <v>1</v>
      </c>
      <c r="AL929">
        <v>1</v>
      </c>
      <c r="AM929">
        <v>99.34</v>
      </c>
      <c r="AN929">
        <v>12.705299999999999</v>
      </c>
      <c r="AO929">
        <v>112.66</v>
      </c>
      <c r="AP929" s="13">
        <v>45180</v>
      </c>
      <c r="AQ929">
        <v>9</v>
      </c>
      <c r="AR929">
        <v>0</v>
      </c>
    </row>
    <row r="930" spans="1:44" x14ac:dyDescent="0.35">
      <c r="A930" s="12" t="s">
        <v>1600</v>
      </c>
      <c r="B930" s="12" t="s">
        <v>537</v>
      </c>
      <c r="C930" s="12" t="s">
        <v>538</v>
      </c>
      <c r="D930" s="12" t="s">
        <v>103</v>
      </c>
      <c r="E930" s="12" t="s">
        <v>104</v>
      </c>
      <c r="F930">
        <v>3</v>
      </c>
      <c r="G930">
        <v>0</v>
      </c>
      <c r="H930">
        <v>0</v>
      </c>
      <c r="I930" s="12" t="s">
        <v>380</v>
      </c>
      <c r="J930" s="12" t="s">
        <v>381</v>
      </c>
      <c r="K930" s="12" t="s">
        <v>89</v>
      </c>
      <c r="L930" s="12" t="s">
        <v>96</v>
      </c>
      <c r="M930">
        <v>10.210000000000001</v>
      </c>
      <c r="N930" s="12" t="s">
        <v>107</v>
      </c>
      <c r="O930" s="12" t="s">
        <v>108</v>
      </c>
      <c r="P930" s="12" t="s">
        <v>109</v>
      </c>
      <c r="Q930" s="13">
        <v>45149</v>
      </c>
      <c r="R930" s="13">
        <v>45163</v>
      </c>
      <c r="S930">
        <v>2023</v>
      </c>
      <c r="T930" s="12" t="s">
        <v>1536</v>
      </c>
      <c r="U930">
        <v>32</v>
      </c>
      <c r="V930">
        <v>242.5684</v>
      </c>
      <c r="W930">
        <v>198.56</v>
      </c>
      <c r="X930">
        <v>0</v>
      </c>
      <c r="Y930">
        <v>0</v>
      </c>
      <c r="Z930">
        <v>7762.19</v>
      </c>
      <c r="AA930">
        <v>7960.75</v>
      </c>
      <c r="AB930" s="12" t="s">
        <v>539</v>
      </c>
      <c r="AC930">
        <v>242.5684</v>
      </c>
      <c r="AD930">
        <v>1</v>
      </c>
      <c r="AE930">
        <v>1</v>
      </c>
      <c r="AF930">
        <v>0</v>
      </c>
      <c r="AG930">
        <v>7762.19</v>
      </c>
      <c r="AH930">
        <v>32</v>
      </c>
      <c r="AI930">
        <v>32</v>
      </c>
      <c r="AJ930">
        <v>0</v>
      </c>
      <c r="AK930">
        <v>1</v>
      </c>
      <c r="AL930">
        <v>1</v>
      </c>
      <c r="AM930">
        <v>100</v>
      </c>
      <c r="AN930">
        <v>248.77340000000001</v>
      </c>
      <c r="AO930">
        <v>0</v>
      </c>
      <c r="AP930" s="13">
        <v>45160</v>
      </c>
      <c r="AQ930">
        <v>-3</v>
      </c>
      <c r="AR930">
        <v>1</v>
      </c>
    </row>
    <row r="931" spans="1:44" x14ac:dyDescent="0.35">
      <c r="A931" s="12" t="s">
        <v>1601</v>
      </c>
      <c r="B931" s="12" t="s">
        <v>327</v>
      </c>
      <c r="C931" s="12" t="s">
        <v>328</v>
      </c>
      <c r="D931" s="12" t="s">
        <v>130</v>
      </c>
      <c r="E931" s="12" t="s">
        <v>104</v>
      </c>
      <c r="F931">
        <v>2</v>
      </c>
      <c r="G931">
        <v>0</v>
      </c>
      <c r="H931">
        <v>0</v>
      </c>
      <c r="I931" s="12" t="s">
        <v>94</v>
      </c>
      <c r="J931" s="12" t="s">
        <v>95</v>
      </c>
      <c r="K931" s="12" t="s">
        <v>81</v>
      </c>
      <c r="L931" s="12" t="s">
        <v>96</v>
      </c>
      <c r="M931">
        <v>4.8099999999999996</v>
      </c>
      <c r="N931" s="12" t="s">
        <v>159</v>
      </c>
      <c r="O931" s="12" t="s">
        <v>160</v>
      </c>
      <c r="P931" s="12" t="s">
        <v>137</v>
      </c>
      <c r="Q931" s="13">
        <v>45149</v>
      </c>
      <c r="R931" s="13">
        <v>45175</v>
      </c>
      <c r="S931">
        <v>2023</v>
      </c>
      <c r="T931" s="12" t="s">
        <v>1536</v>
      </c>
      <c r="U931">
        <v>120</v>
      </c>
      <c r="V931">
        <v>762.93029999999999</v>
      </c>
      <c r="W931">
        <v>976.89</v>
      </c>
      <c r="X931">
        <v>2944.8</v>
      </c>
      <c r="Y931">
        <v>1</v>
      </c>
      <c r="Z931">
        <v>91551.64</v>
      </c>
      <c r="AA931">
        <v>95473.33</v>
      </c>
      <c r="AB931" s="12" t="s">
        <v>329</v>
      </c>
      <c r="AC931">
        <v>762.93029999999999</v>
      </c>
      <c r="AD931">
        <v>1</v>
      </c>
      <c r="AE931">
        <v>1</v>
      </c>
      <c r="AF931">
        <v>0</v>
      </c>
      <c r="AG931">
        <v>91551.64</v>
      </c>
      <c r="AH931">
        <v>120</v>
      </c>
      <c r="AI931">
        <v>118</v>
      </c>
      <c r="AJ931">
        <v>2</v>
      </c>
      <c r="AK931">
        <v>1</v>
      </c>
      <c r="AL931">
        <v>1</v>
      </c>
      <c r="AM931">
        <v>98.33</v>
      </c>
      <c r="AN931">
        <v>809.096</v>
      </c>
      <c r="AO931">
        <v>1525.86</v>
      </c>
      <c r="AP931" s="13">
        <v>45175</v>
      </c>
      <c r="AQ931">
        <v>0</v>
      </c>
      <c r="AR931">
        <v>1</v>
      </c>
    </row>
    <row r="932" spans="1:44" x14ac:dyDescent="0.35">
      <c r="A932" s="12" t="s">
        <v>1602</v>
      </c>
      <c r="B932" s="12" t="s">
        <v>891</v>
      </c>
      <c r="C932" s="12" t="s">
        <v>892</v>
      </c>
      <c r="D932" s="12" t="s">
        <v>122</v>
      </c>
      <c r="E932" s="12" t="s">
        <v>65</v>
      </c>
      <c r="F932">
        <v>3</v>
      </c>
      <c r="G932">
        <v>5</v>
      </c>
      <c r="H932">
        <v>0</v>
      </c>
      <c r="I932" s="12" t="s">
        <v>195</v>
      </c>
      <c r="J932" s="12" t="s">
        <v>196</v>
      </c>
      <c r="K932" s="12" t="s">
        <v>117</v>
      </c>
      <c r="L932" s="12" t="s">
        <v>134</v>
      </c>
      <c r="M932">
        <v>4.7699999999999996</v>
      </c>
      <c r="N932" s="12" t="s">
        <v>70</v>
      </c>
      <c r="O932" s="12" t="s">
        <v>71</v>
      </c>
      <c r="P932" s="12" t="s">
        <v>72</v>
      </c>
      <c r="Q932" s="13">
        <v>45149</v>
      </c>
      <c r="R932" s="13">
        <v>45176</v>
      </c>
      <c r="S932">
        <v>2023</v>
      </c>
      <c r="T932" s="12" t="s">
        <v>1536</v>
      </c>
      <c r="U932">
        <v>871</v>
      </c>
      <c r="V932">
        <v>39.456000000000003</v>
      </c>
      <c r="W932">
        <v>732.3</v>
      </c>
      <c r="X932">
        <v>0</v>
      </c>
      <c r="Y932">
        <v>0</v>
      </c>
      <c r="Z932">
        <v>34366.18</v>
      </c>
      <c r="AA932">
        <v>35098.480000000003</v>
      </c>
      <c r="AB932" s="12" t="s">
        <v>893</v>
      </c>
      <c r="AC932">
        <v>39.456000000000003</v>
      </c>
      <c r="AD932">
        <v>1</v>
      </c>
      <c r="AE932">
        <v>1</v>
      </c>
      <c r="AF932">
        <v>0</v>
      </c>
      <c r="AG932">
        <v>34366.18</v>
      </c>
      <c r="AH932">
        <v>871</v>
      </c>
      <c r="AI932">
        <v>862</v>
      </c>
      <c r="AJ932">
        <v>9</v>
      </c>
      <c r="AK932">
        <v>1</v>
      </c>
      <c r="AL932">
        <v>1</v>
      </c>
      <c r="AM932">
        <v>98.97</v>
      </c>
      <c r="AN932">
        <v>40.717500000000001</v>
      </c>
      <c r="AO932">
        <v>355.1</v>
      </c>
      <c r="AP932" s="13">
        <v>45174</v>
      </c>
      <c r="AQ932">
        <v>-2</v>
      </c>
      <c r="AR932">
        <v>1</v>
      </c>
    </row>
    <row r="933" spans="1:44" x14ac:dyDescent="0.35">
      <c r="A933" s="12" t="s">
        <v>1603</v>
      </c>
      <c r="B933" s="12" t="s">
        <v>347</v>
      </c>
      <c r="C933" s="12" t="s">
        <v>348</v>
      </c>
      <c r="D933" s="12" t="s">
        <v>78</v>
      </c>
      <c r="E933" s="12" t="s">
        <v>104</v>
      </c>
      <c r="F933">
        <v>3</v>
      </c>
      <c r="G933">
        <v>1</v>
      </c>
      <c r="H933">
        <v>0</v>
      </c>
      <c r="I933" s="12" t="s">
        <v>105</v>
      </c>
      <c r="J933" s="12" t="s">
        <v>106</v>
      </c>
      <c r="K933" s="12" t="s">
        <v>81</v>
      </c>
      <c r="L933" s="12" t="s">
        <v>96</v>
      </c>
      <c r="M933">
        <v>5.01</v>
      </c>
      <c r="N933" s="12" t="s">
        <v>97</v>
      </c>
      <c r="O933" s="12" t="s">
        <v>98</v>
      </c>
      <c r="P933" s="12" t="s">
        <v>72</v>
      </c>
      <c r="Q933" s="13">
        <v>45149</v>
      </c>
      <c r="R933" s="13">
        <v>45165</v>
      </c>
      <c r="S933">
        <v>2023</v>
      </c>
      <c r="T933" s="12" t="s">
        <v>1536</v>
      </c>
      <c r="U933">
        <v>97</v>
      </c>
      <c r="V933">
        <v>100.34050000000001</v>
      </c>
      <c r="W933">
        <v>184.48</v>
      </c>
      <c r="X933">
        <v>0</v>
      </c>
      <c r="Y933">
        <v>0</v>
      </c>
      <c r="Z933">
        <v>9733.0300000000007</v>
      </c>
      <c r="AA933">
        <v>9917.51</v>
      </c>
      <c r="AB933" s="12" t="s">
        <v>841</v>
      </c>
      <c r="AC933">
        <v>100.34050000000001</v>
      </c>
      <c r="AD933">
        <v>1</v>
      </c>
      <c r="AE933">
        <v>1</v>
      </c>
      <c r="AF933">
        <v>0</v>
      </c>
      <c r="AG933">
        <v>9733.0300000000007</v>
      </c>
      <c r="AH933">
        <v>97</v>
      </c>
      <c r="AI933">
        <v>96</v>
      </c>
      <c r="AJ933">
        <v>1</v>
      </c>
      <c r="AK933">
        <v>1</v>
      </c>
      <c r="AL933">
        <v>1</v>
      </c>
      <c r="AM933">
        <v>98.97</v>
      </c>
      <c r="AN933">
        <v>103.3074</v>
      </c>
      <c r="AO933">
        <v>100.34</v>
      </c>
      <c r="AP933" s="13">
        <v>45165</v>
      </c>
      <c r="AQ933">
        <v>0</v>
      </c>
      <c r="AR933">
        <v>1</v>
      </c>
    </row>
    <row r="934" spans="1:44" x14ac:dyDescent="0.35">
      <c r="A934" s="12" t="s">
        <v>1604</v>
      </c>
      <c r="B934" s="12" t="s">
        <v>706</v>
      </c>
      <c r="C934" s="12" t="s">
        <v>707</v>
      </c>
      <c r="D934" s="12" t="s">
        <v>130</v>
      </c>
      <c r="E934" s="12" t="s">
        <v>142</v>
      </c>
      <c r="F934">
        <v>1</v>
      </c>
      <c r="G934">
        <v>8</v>
      </c>
      <c r="H934">
        <v>1</v>
      </c>
      <c r="I934" s="12" t="s">
        <v>263</v>
      </c>
      <c r="J934" s="12" t="s">
        <v>264</v>
      </c>
      <c r="K934" s="12" t="s">
        <v>125</v>
      </c>
      <c r="L934" s="12" t="s">
        <v>82</v>
      </c>
      <c r="M934">
        <v>10.210000000000001</v>
      </c>
      <c r="N934" s="12" t="s">
        <v>159</v>
      </c>
      <c r="O934" s="12" t="s">
        <v>160</v>
      </c>
      <c r="P934" s="12" t="s">
        <v>137</v>
      </c>
      <c r="Q934" s="13">
        <v>45149</v>
      </c>
      <c r="R934" s="13">
        <v>45198</v>
      </c>
      <c r="S934">
        <v>2023</v>
      </c>
      <c r="T934" s="12" t="s">
        <v>1536</v>
      </c>
      <c r="U934">
        <v>120</v>
      </c>
      <c r="V934">
        <v>277.71210000000002</v>
      </c>
      <c r="W934">
        <v>205.11</v>
      </c>
      <c r="X934">
        <v>1053.79</v>
      </c>
      <c r="Y934">
        <v>1</v>
      </c>
      <c r="Z934">
        <v>33325.449999999997</v>
      </c>
      <c r="AA934">
        <v>34584.35</v>
      </c>
      <c r="AB934" s="12" t="s">
        <v>708</v>
      </c>
      <c r="AC934">
        <v>277.71210000000002</v>
      </c>
      <c r="AD934">
        <v>1</v>
      </c>
      <c r="AE934">
        <v>1</v>
      </c>
      <c r="AF934">
        <v>0</v>
      </c>
      <c r="AG934">
        <v>33325.449999999997</v>
      </c>
      <c r="AH934">
        <v>120</v>
      </c>
      <c r="AI934">
        <v>119</v>
      </c>
      <c r="AJ934">
        <v>1</v>
      </c>
      <c r="AK934">
        <v>1</v>
      </c>
      <c r="AL934">
        <v>1</v>
      </c>
      <c r="AM934">
        <v>99.17</v>
      </c>
      <c r="AN934">
        <v>290.62479999999999</v>
      </c>
      <c r="AO934">
        <v>277.70999999999998</v>
      </c>
      <c r="AP934" s="13">
        <v>45197</v>
      </c>
      <c r="AQ934">
        <v>-1</v>
      </c>
      <c r="AR934">
        <v>1</v>
      </c>
    </row>
    <row r="935" spans="1:44" x14ac:dyDescent="0.35">
      <c r="A935" s="12" t="s">
        <v>1605</v>
      </c>
      <c r="B935" s="12" t="s">
        <v>472</v>
      </c>
      <c r="C935" s="12" t="s">
        <v>473</v>
      </c>
      <c r="D935" s="12" t="s">
        <v>122</v>
      </c>
      <c r="E935" s="12" t="s">
        <v>142</v>
      </c>
      <c r="F935">
        <v>2</v>
      </c>
      <c r="G935">
        <v>9</v>
      </c>
      <c r="H935">
        <v>0</v>
      </c>
      <c r="I935" s="12" t="s">
        <v>209</v>
      </c>
      <c r="J935" s="12" t="s">
        <v>210</v>
      </c>
      <c r="K935" s="12" t="s">
        <v>133</v>
      </c>
      <c r="L935" s="12" t="s">
        <v>96</v>
      </c>
      <c r="M935">
        <v>7.82</v>
      </c>
      <c r="N935" s="12" t="s">
        <v>97</v>
      </c>
      <c r="O935" s="12" t="s">
        <v>98</v>
      </c>
      <c r="P935" s="12" t="s">
        <v>72</v>
      </c>
      <c r="Q935" s="13">
        <v>45149</v>
      </c>
      <c r="R935" s="13">
        <v>45197</v>
      </c>
      <c r="S935">
        <v>2023</v>
      </c>
      <c r="T935" s="12" t="s">
        <v>1536</v>
      </c>
      <c r="U935">
        <v>1505</v>
      </c>
      <c r="V935">
        <v>48.7896</v>
      </c>
      <c r="W935">
        <v>875.45</v>
      </c>
      <c r="X935">
        <v>0</v>
      </c>
      <c r="Y935">
        <v>0</v>
      </c>
      <c r="Z935">
        <v>73428.350000000006</v>
      </c>
      <c r="AA935">
        <v>74303.8</v>
      </c>
      <c r="AB935" s="12" t="s">
        <v>474</v>
      </c>
      <c r="AC935">
        <v>48.7896</v>
      </c>
      <c r="AD935">
        <v>1</v>
      </c>
      <c r="AE935">
        <v>1</v>
      </c>
      <c r="AF935">
        <v>0</v>
      </c>
      <c r="AG935">
        <v>73428.350000000006</v>
      </c>
      <c r="AH935">
        <v>1505</v>
      </c>
      <c r="AI935">
        <v>1495</v>
      </c>
      <c r="AJ935">
        <v>10</v>
      </c>
      <c r="AK935">
        <v>1</v>
      </c>
      <c r="AL935">
        <v>1</v>
      </c>
      <c r="AM935">
        <v>99.34</v>
      </c>
      <c r="AN935">
        <v>49.701500000000003</v>
      </c>
      <c r="AO935">
        <v>487.9</v>
      </c>
      <c r="AP935" s="13">
        <v>45196</v>
      </c>
      <c r="AQ935">
        <v>-1</v>
      </c>
      <c r="AR935">
        <v>1</v>
      </c>
    </row>
    <row r="936" spans="1:44" x14ac:dyDescent="0.35">
      <c r="A936" s="12" t="s">
        <v>1606</v>
      </c>
      <c r="B936" s="12" t="s">
        <v>284</v>
      </c>
      <c r="C936" s="12" t="s">
        <v>285</v>
      </c>
      <c r="D936" s="12" t="s">
        <v>269</v>
      </c>
      <c r="E936" s="12" t="s">
        <v>104</v>
      </c>
      <c r="F936">
        <v>3</v>
      </c>
      <c r="G936">
        <v>1</v>
      </c>
      <c r="H936">
        <v>0</v>
      </c>
      <c r="I936" s="12" t="s">
        <v>199</v>
      </c>
      <c r="J936" s="12" t="s">
        <v>200</v>
      </c>
      <c r="K936" s="12" t="s">
        <v>68</v>
      </c>
      <c r="L936" s="12" t="s">
        <v>96</v>
      </c>
      <c r="M936">
        <v>9.4700000000000006</v>
      </c>
      <c r="N936" s="12" t="s">
        <v>135</v>
      </c>
      <c r="O936" s="12" t="s">
        <v>136</v>
      </c>
      <c r="P936" s="12" t="s">
        <v>137</v>
      </c>
      <c r="Q936" s="13">
        <v>45149</v>
      </c>
      <c r="R936" s="13">
        <v>45175</v>
      </c>
      <c r="S936">
        <v>2023</v>
      </c>
      <c r="T936" s="12" t="s">
        <v>1536</v>
      </c>
      <c r="U936">
        <v>122</v>
      </c>
      <c r="V936">
        <v>397.87</v>
      </c>
      <c r="W936">
        <v>1112.04</v>
      </c>
      <c r="X936">
        <v>0</v>
      </c>
      <c r="Y936">
        <v>0</v>
      </c>
      <c r="Z936">
        <v>48540.14</v>
      </c>
      <c r="AA936">
        <v>49652.18</v>
      </c>
      <c r="AB936" s="12" t="s">
        <v>286</v>
      </c>
      <c r="AC936">
        <v>397.87</v>
      </c>
      <c r="AD936">
        <v>1</v>
      </c>
      <c r="AE936">
        <v>1</v>
      </c>
      <c r="AF936">
        <v>0</v>
      </c>
      <c r="AG936">
        <v>48540.14</v>
      </c>
      <c r="AH936">
        <v>122</v>
      </c>
      <c r="AI936">
        <v>120</v>
      </c>
      <c r="AJ936">
        <v>2</v>
      </c>
      <c r="AK936">
        <v>1</v>
      </c>
      <c r="AL936">
        <v>1</v>
      </c>
      <c r="AM936">
        <v>98.36</v>
      </c>
      <c r="AN936">
        <v>413.76819999999998</v>
      </c>
      <c r="AO936">
        <v>795.74</v>
      </c>
      <c r="AP936" s="13">
        <v>45180</v>
      </c>
      <c r="AQ936">
        <v>5</v>
      </c>
      <c r="AR936">
        <v>0</v>
      </c>
    </row>
    <row r="937" spans="1:44" x14ac:dyDescent="0.35">
      <c r="A937" s="12" t="s">
        <v>1607</v>
      </c>
      <c r="B937" s="12" t="s">
        <v>1068</v>
      </c>
      <c r="C937" s="12" t="s">
        <v>1069</v>
      </c>
      <c r="D937" s="12" t="s">
        <v>122</v>
      </c>
      <c r="E937" s="12" t="s">
        <v>65</v>
      </c>
      <c r="F937">
        <v>2</v>
      </c>
      <c r="G937">
        <v>2</v>
      </c>
      <c r="H937">
        <v>0</v>
      </c>
      <c r="I937" s="12" t="s">
        <v>79</v>
      </c>
      <c r="J937" s="12" t="s">
        <v>80</v>
      </c>
      <c r="K937" s="12" t="s">
        <v>81</v>
      </c>
      <c r="L937" s="12" t="s">
        <v>82</v>
      </c>
      <c r="M937">
        <v>12.07</v>
      </c>
      <c r="N937" s="12" t="s">
        <v>97</v>
      </c>
      <c r="O937" s="12" t="s">
        <v>98</v>
      </c>
      <c r="P937" s="12" t="s">
        <v>72</v>
      </c>
      <c r="Q937" s="13">
        <v>45149</v>
      </c>
      <c r="R937" s="13">
        <v>45176</v>
      </c>
      <c r="S937">
        <v>2023</v>
      </c>
      <c r="T937" s="12" t="s">
        <v>1536</v>
      </c>
      <c r="U937">
        <v>889</v>
      </c>
      <c r="V937">
        <v>21.667100000000001</v>
      </c>
      <c r="W937">
        <v>370.88</v>
      </c>
      <c r="X937">
        <v>0</v>
      </c>
      <c r="Y937">
        <v>0</v>
      </c>
      <c r="Z937">
        <v>19262.05</v>
      </c>
      <c r="AA937">
        <v>19632.93</v>
      </c>
      <c r="AB937" s="12" t="s">
        <v>1070</v>
      </c>
      <c r="AC937">
        <v>21.667100000000001</v>
      </c>
      <c r="AD937">
        <v>1</v>
      </c>
      <c r="AE937">
        <v>1</v>
      </c>
      <c r="AF937">
        <v>0</v>
      </c>
      <c r="AG937">
        <v>19262.05</v>
      </c>
      <c r="AH937">
        <v>889</v>
      </c>
      <c r="AI937">
        <v>879</v>
      </c>
      <c r="AJ937">
        <v>10</v>
      </c>
      <c r="AK937">
        <v>1</v>
      </c>
      <c r="AL937">
        <v>1</v>
      </c>
      <c r="AM937">
        <v>98.88</v>
      </c>
      <c r="AN937">
        <v>22.3355</v>
      </c>
      <c r="AO937">
        <v>216.67</v>
      </c>
      <c r="AP937" s="13">
        <v>45173</v>
      </c>
      <c r="AQ937">
        <v>-3</v>
      </c>
      <c r="AR937">
        <v>1</v>
      </c>
    </row>
    <row r="938" spans="1:44" x14ac:dyDescent="0.35">
      <c r="A938" s="12" t="s">
        <v>1608</v>
      </c>
      <c r="B938" s="12" t="s">
        <v>249</v>
      </c>
      <c r="C938" s="12" t="s">
        <v>250</v>
      </c>
      <c r="D938" s="12" t="s">
        <v>64</v>
      </c>
      <c r="E938" s="12" t="s">
        <v>65</v>
      </c>
      <c r="F938">
        <v>2</v>
      </c>
      <c r="G938">
        <v>3</v>
      </c>
      <c r="H938">
        <v>0</v>
      </c>
      <c r="I938" s="12" t="s">
        <v>251</v>
      </c>
      <c r="J938" s="12" t="s">
        <v>252</v>
      </c>
      <c r="K938" s="12" t="s">
        <v>133</v>
      </c>
      <c r="L938" s="12" t="s">
        <v>69</v>
      </c>
      <c r="M938">
        <v>34.49</v>
      </c>
      <c r="N938" s="12" t="s">
        <v>97</v>
      </c>
      <c r="O938" s="12" t="s">
        <v>98</v>
      </c>
      <c r="P938" s="12" t="s">
        <v>72</v>
      </c>
      <c r="Q938" s="13">
        <v>45149</v>
      </c>
      <c r="R938" s="13">
        <v>45187</v>
      </c>
      <c r="S938">
        <v>2023</v>
      </c>
      <c r="T938" s="12" t="s">
        <v>1536</v>
      </c>
      <c r="U938">
        <v>967</v>
      </c>
      <c r="V938">
        <v>10.6486</v>
      </c>
      <c r="W938">
        <v>200.57</v>
      </c>
      <c r="X938">
        <v>0</v>
      </c>
      <c r="Y938">
        <v>0</v>
      </c>
      <c r="Z938">
        <v>10297.200000000001</v>
      </c>
      <c r="AA938">
        <v>10497.77</v>
      </c>
      <c r="AB938" s="12" t="s">
        <v>253</v>
      </c>
      <c r="AC938">
        <v>10.6486</v>
      </c>
      <c r="AD938">
        <v>1</v>
      </c>
      <c r="AE938">
        <v>1</v>
      </c>
      <c r="AF938">
        <v>0</v>
      </c>
      <c r="AG938">
        <v>10297.200000000001</v>
      </c>
      <c r="AH938">
        <v>967</v>
      </c>
      <c r="AI938">
        <v>955</v>
      </c>
      <c r="AJ938">
        <v>12</v>
      </c>
      <c r="AK938">
        <v>1</v>
      </c>
      <c r="AL938">
        <v>1</v>
      </c>
      <c r="AM938">
        <v>98.76</v>
      </c>
      <c r="AN938">
        <v>10.9924</v>
      </c>
      <c r="AO938">
        <v>127.78</v>
      </c>
      <c r="AP938" s="13">
        <v>45186</v>
      </c>
      <c r="AQ938">
        <v>-1</v>
      </c>
      <c r="AR938">
        <v>1</v>
      </c>
    </row>
    <row r="939" spans="1:44" x14ac:dyDescent="0.35">
      <c r="A939" s="12" t="s">
        <v>1609</v>
      </c>
      <c r="B939" s="12" t="s">
        <v>420</v>
      </c>
      <c r="C939" s="12" t="s">
        <v>421</v>
      </c>
      <c r="D939" s="12" t="s">
        <v>269</v>
      </c>
      <c r="E939" s="12" t="s">
        <v>104</v>
      </c>
      <c r="F939">
        <v>2</v>
      </c>
      <c r="G939">
        <v>0</v>
      </c>
      <c r="H939">
        <v>0</v>
      </c>
      <c r="I939" s="12" t="s">
        <v>380</v>
      </c>
      <c r="J939" s="12" t="s">
        <v>381</v>
      </c>
      <c r="K939" s="12" t="s">
        <v>89</v>
      </c>
      <c r="L939" s="12" t="s">
        <v>96</v>
      </c>
      <c r="M939">
        <v>10.210000000000001</v>
      </c>
      <c r="N939" s="12" t="s">
        <v>159</v>
      </c>
      <c r="O939" s="12" t="s">
        <v>160</v>
      </c>
      <c r="P939" s="12" t="s">
        <v>137</v>
      </c>
      <c r="Q939" s="13">
        <v>45149</v>
      </c>
      <c r="R939" s="13">
        <v>45177</v>
      </c>
      <c r="S939">
        <v>2023</v>
      </c>
      <c r="T939" s="12" t="s">
        <v>1536</v>
      </c>
      <c r="U939">
        <v>137</v>
      </c>
      <c r="V939">
        <v>137.99109999999999</v>
      </c>
      <c r="W939">
        <v>199.48</v>
      </c>
      <c r="X939">
        <v>0</v>
      </c>
      <c r="Y939">
        <v>0</v>
      </c>
      <c r="Z939">
        <v>18904.78</v>
      </c>
      <c r="AA939">
        <v>19104.259999999998</v>
      </c>
      <c r="AB939" s="12" t="s">
        <v>422</v>
      </c>
      <c r="AC939">
        <v>146.53960000000001</v>
      </c>
      <c r="AD939">
        <v>1</v>
      </c>
      <c r="AE939">
        <v>1</v>
      </c>
      <c r="AF939">
        <v>-1171.1400000000001</v>
      </c>
      <c r="AG939">
        <v>20075.93</v>
      </c>
      <c r="AH939">
        <v>137</v>
      </c>
      <c r="AI939">
        <v>135</v>
      </c>
      <c r="AJ939">
        <v>2</v>
      </c>
      <c r="AK939">
        <v>1</v>
      </c>
      <c r="AL939">
        <v>1</v>
      </c>
      <c r="AM939">
        <v>98.54</v>
      </c>
      <c r="AN939">
        <v>141.51300000000001</v>
      </c>
      <c r="AO939">
        <v>275.98</v>
      </c>
      <c r="AP939" s="13">
        <v>45175</v>
      </c>
      <c r="AQ939">
        <v>-2</v>
      </c>
      <c r="AR939">
        <v>1</v>
      </c>
    </row>
    <row r="940" spans="1:44" x14ac:dyDescent="0.35">
      <c r="A940" s="12" t="s">
        <v>1610</v>
      </c>
      <c r="B940" s="12" t="s">
        <v>978</v>
      </c>
      <c r="C940" s="12" t="s">
        <v>979</v>
      </c>
      <c r="D940" s="12" t="s">
        <v>122</v>
      </c>
      <c r="E940" s="12" t="s">
        <v>65</v>
      </c>
      <c r="F940">
        <v>1</v>
      </c>
      <c r="G940">
        <v>2</v>
      </c>
      <c r="H940">
        <v>1</v>
      </c>
      <c r="I940" s="12" t="s">
        <v>310</v>
      </c>
      <c r="J940" s="12" t="s">
        <v>311</v>
      </c>
      <c r="K940" s="12" t="s">
        <v>81</v>
      </c>
      <c r="L940" s="12" t="s">
        <v>69</v>
      </c>
      <c r="M940">
        <v>28.3</v>
      </c>
      <c r="N940" s="12" t="s">
        <v>70</v>
      </c>
      <c r="O940" s="12" t="s">
        <v>71</v>
      </c>
      <c r="P940" s="12" t="s">
        <v>72</v>
      </c>
      <c r="Q940" s="13">
        <v>45149</v>
      </c>
      <c r="R940" s="13">
        <v>45175</v>
      </c>
      <c r="S940">
        <v>2023</v>
      </c>
      <c r="T940" s="12" t="s">
        <v>1536</v>
      </c>
      <c r="U940">
        <v>733</v>
      </c>
      <c r="V940">
        <v>43.709699999999998</v>
      </c>
      <c r="W940">
        <v>550.08000000000004</v>
      </c>
      <c r="X940">
        <v>0</v>
      </c>
      <c r="Y940">
        <v>0</v>
      </c>
      <c r="Z940">
        <v>32039.21</v>
      </c>
      <c r="AA940">
        <v>32589.29</v>
      </c>
      <c r="AB940" s="12" t="s">
        <v>980</v>
      </c>
      <c r="AC940">
        <v>43.709699999999998</v>
      </c>
      <c r="AD940">
        <v>1</v>
      </c>
      <c r="AE940">
        <v>1</v>
      </c>
      <c r="AF940">
        <v>0</v>
      </c>
      <c r="AG940">
        <v>32039.21</v>
      </c>
      <c r="AH940">
        <v>733</v>
      </c>
      <c r="AI940">
        <v>727</v>
      </c>
      <c r="AJ940">
        <v>6</v>
      </c>
      <c r="AK940">
        <v>1</v>
      </c>
      <c r="AL940">
        <v>1</v>
      </c>
      <c r="AM940">
        <v>99.18</v>
      </c>
      <c r="AN940">
        <v>44.827100000000002</v>
      </c>
      <c r="AO940">
        <v>262.26</v>
      </c>
      <c r="AP940" s="13">
        <v>45175</v>
      </c>
      <c r="AQ940">
        <v>0</v>
      </c>
      <c r="AR940">
        <v>1</v>
      </c>
    </row>
    <row r="941" spans="1:44" x14ac:dyDescent="0.35">
      <c r="A941" s="12" t="s">
        <v>1611</v>
      </c>
      <c r="B941" s="12" t="s">
        <v>490</v>
      </c>
      <c r="C941" s="12" t="s">
        <v>491</v>
      </c>
      <c r="D941" s="12" t="s">
        <v>130</v>
      </c>
      <c r="E941" s="12" t="s">
        <v>104</v>
      </c>
      <c r="F941">
        <v>3</v>
      </c>
      <c r="G941">
        <v>1</v>
      </c>
      <c r="H941">
        <v>0</v>
      </c>
      <c r="I941" s="12" t="s">
        <v>176</v>
      </c>
      <c r="J941" s="12" t="s">
        <v>177</v>
      </c>
      <c r="K941" s="12" t="s">
        <v>125</v>
      </c>
      <c r="L941" s="12" t="s">
        <v>134</v>
      </c>
      <c r="M941">
        <v>1.75</v>
      </c>
      <c r="N941" s="12" t="s">
        <v>159</v>
      </c>
      <c r="O941" s="12" t="s">
        <v>160</v>
      </c>
      <c r="P941" s="12" t="s">
        <v>137</v>
      </c>
      <c r="Q941" s="13">
        <v>45149</v>
      </c>
      <c r="R941" s="13">
        <v>45162</v>
      </c>
      <c r="S941">
        <v>2023</v>
      </c>
      <c r="T941" s="12" t="s">
        <v>1536</v>
      </c>
      <c r="U941">
        <v>19</v>
      </c>
      <c r="V941">
        <v>297.19900000000001</v>
      </c>
      <c r="W941">
        <v>77.349999999999994</v>
      </c>
      <c r="X941">
        <v>0</v>
      </c>
      <c r="Y941">
        <v>0</v>
      </c>
      <c r="Z941">
        <v>5646.78</v>
      </c>
      <c r="AA941">
        <v>5724.13</v>
      </c>
      <c r="AB941" s="12" t="s">
        <v>492</v>
      </c>
      <c r="AC941">
        <v>297.19900000000001</v>
      </c>
      <c r="AD941">
        <v>1</v>
      </c>
      <c r="AE941">
        <v>1</v>
      </c>
      <c r="AF941">
        <v>0</v>
      </c>
      <c r="AG941">
        <v>5646.78</v>
      </c>
      <c r="AH941">
        <v>19</v>
      </c>
      <c r="AI941">
        <v>19</v>
      </c>
      <c r="AJ941">
        <v>0</v>
      </c>
      <c r="AK941">
        <v>1</v>
      </c>
      <c r="AL941">
        <v>1</v>
      </c>
      <c r="AM941">
        <v>100</v>
      </c>
      <c r="AN941">
        <v>301.27010000000001</v>
      </c>
      <c r="AO941">
        <v>0</v>
      </c>
      <c r="AP941" s="13">
        <v>45170</v>
      </c>
      <c r="AQ941">
        <v>8</v>
      </c>
      <c r="AR941">
        <v>0</v>
      </c>
    </row>
    <row r="942" spans="1:44" x14ac:dyDescent="0.35">
      <c r="A942" s="12" t="s">
        <v>1612</v>
      </c>
      <c r="B942" s="12" t="s">
        <v>362</v>
      </c>
      <c r="C942" s="12" t="s">
        <v>363</v>
      </c>
      <c r="D942" s="12" t="s">
        <v>78</v>
      </c>
      <c r="E942" s="12" t="s">
        <v>104</v>
      </c>
      <c r="F942">
        <v>3</v>
      </c>
      <c r="G942">
        <v>0</v>
      </c>
      <c r="H942">
        <v>0</v>
      </c>
      <c r="I942" s="12" t="s">
        <v>157</v>
      </c>
      <c r="J942" s="12" t="s">
        <v>158</v>
      </c>
      <c r="K942" s="12" t="s">
        <v>117</v>
      </c>
      <c r="L942" s="12" t="s">
        <v>96</v>
      </c>
      <c r="M942">
        <v>4.72</v>
      </c>
      <c r="N942" s="12" t="s">
        <v>70</v>
      </c>
      <c r="O942" s="12" t="s">
        <v>71</v>
      </c>
      <c r="P942" s="12" t="s">
        <v>72</v>
      </c>
      <c r="Q942" s="13">
        <v>45149</v>
      </c>
      <c r="R942" s="13">
        <v>45169</v>
      </c>
      <c r="S942">
        <v>2023</v>
      </c>
      <c r="T942" s="12" t="s">
        <v>1536</v>
      </c>
      <c r="U942">
        <v>162</v>
      </c>
      <c r="V942">
        <v>63.140599999999999</v>
      </c>
      <c r="W942">
        <v>262.76</v>
      </c>
      <c r="X942">
        <v>0</v>
      </c>
      <c r="Y942">
        <v>0</v>
      </c>
      <c r="Z942">
        <v>10228.780000000001</v>
      </c>
      <c r="AA942">
        <v>10491.54</v>
      </c>
      <c r="AB942" s="12" t="s">
        <v>364</v>
      </c>
      <c r="AC942">
        <v>63.140599999999999</v>
      </c>
      <c r="AD942">
        <v>1</v>
      </c>
      <c r="AE942">
        <v>1</v>
      </c>
      <c r="AF942">
        <v>0</v>
      </c>
      <c r="AG942">
        <v>10228.780000000001</v>
      </c>
      <c r="AH942">
        <v>162</v>
      </c>
      <c r="AI942">
        <v>160</v>
      </c>
      <c r="AJ942">
        <v>2</v>
      </c>
      <c r="AK942">
        <v>1</v>
      </c>
      <c r="AL942">
        <v>1</v>
      </c>
      <c r="AM942">
        <v>98.77</v>
      </c>
      <c r="AN942">
        <v>65.572100000000006</v>
      </c>
      <c r="AO942">
        <v>126.28</v>
      </c>
      <c r="AP942" s="13">
        <v>45169</v>
      </c>
      <c r="AQ942">
        <v>0</v>
      </c>
      <c r="AR942">
        <v>1</v>
      </c>
    </row>
    <row r="943" spans="1:44" x14ac:dyDescent="0.35">
      <c r="A943" s="12" t="s">
        <v>1613</v>
      </c>
      <c r="B943" s="12" t="s">
        <v>362</v>
      </c>
      <c r="C943" s="12" t="s">
        <v>363</v>
      </c>
      <c r="D943" s="12" t="s">
        <v>78</v>
      </c>
      <c r="E943" s="12" t="s">
        <v>104</v>
      </c>
      <c r="F943">
        <v>3</v>
      </c>
      <c r="G943">
        <v>0</v>
      </c>
      <c r="H943">
        <v>0</v>
      </c>
      <c r="I943" s="12" t="s">
        <v>105</v>
      </c>
      <c r="J943" s="12" t="s">
        <v>106</v>
      </c>
      <c r="K943" s="12" t="s">
        <v>81</v>
      </c>
      <c r="L943" s="12" t="s">
        <v>96</v>
      </c>
      <c r="M943">
        <v>5.01</v>
      </c>
      <c r="N943" s="12" t="s">
        <v>97</v>
      </c>
      <c r="O943" s="12" t="s">
        <v>98</v>
      </c>
      <c r="P943" s="12" t="s">
        <v>72</v>
      </c>
      <c r="Q943" s="13">
        <v>45149</v>
      </c>
      <c r="R943" s="13">
        <v>45163</v>
      </c>
      <c r="S943">
        <v>2023</v>
      </c>
      <c r="T943" s="12" t="s">
        <v>1536</v>
      </c>
      <c r="U943">
        <v>82</v>
      </c>
      <c r="V943">
        <v>63.140599999999999</v>
      </c>
      <c r="W943">
        <v>60.95</v>
      </c>
      <c r="X943">
        <v>0</v>
      </c>
      <c r="Y943">
        <v>0</v>
      </c>
      <c r="Z943">
        <v>5177.53</v>
      </c>
      <c r="AA943">
        <v>5238.4799999999996</v>
      </c>
      <c r="AB943" s="12" t="s">
        <v>652</v>
      </c>
      <c r="AC943">
        <v>63.140599999999999</v>
      </c>
      <c r="AD943">
        <v>1</v>
      </c>
      <c r="AE943">
        <v>1</v>
      </c>
      <c r="AF943">
        <v>0</v>
      </c>
      <c r="AG943">
        <v>5177.53</v>
      </c>
      <c r="AH943">
        <v>82</v>
      </c>
      <c r="AI943">
        <v>82</v>
      </c>
      <c r="AJ943">
        <v>0</v>
      </c>
      <c r="AK943">
        <v>1</v>
      </c>
      <c r="AL943">
        <v>1</v>
      </c>
      <c r="AM943">
        <v>100</v>
      </c>
      <c r="AN943">
        <v>63.883899999999997</v>
      </c>
      <c r="AO943">
        <v>0</v>
      </c>
      <c r="AP943" s="13">
        <v>45160</v>
      </c>
      <c r="AQ943">
        <v>-3</v>
      </c>
      <c r="AR943">
        <v>1</v>
      </c>
    </row>
    <row r="944" spans="1:44" x14ac:dyDescent="0.35">
      <c r="A944" s="12" t="s">
        <v>1614</v>
      </c>
      <c r="B944" s="12" t="s">
        <v>1166</v>
      </c>
      <c r="C944" s="12" t="s">
        <v>1167</v>
      </c>
      <c r="D944" s="12" t="s">
        <v>175</v>
      </c>
      <c r="E944" s="12" t="s">
        <v>65</v>
      </c>
      <c r="F944">
        <v>3</v>
      </c>
      <c r="G944">
        <v>5</v>
      </c>
      <c r="H944">
        <v>0</v>
      </c>
      <c r="I944" s="12" t="s">
        <v>143</v>
      </c>
      <c r="J944" s="12" t="s">
        <v>144</v>
      </c>
      <c r="K944" s="12" t="s">
        <v>133</v>
      </c>
      <c r="L944" s="12" t="s">
        <v>96</v>
      </c>
      <c r="M944">
        <v>5.43</v>
      </c>
      <c r="N944" s="12" t="s">
        <v>145</v>
      </c>
      <c r="O944" s="12" t="s">
        <v>146</v>
      </c>
      <c r="P944" s="12" t="s">
        <v>109</v>
      </c>
      <c r="Q944" s="13">
        <v>45149</v>
      </c>
      <c r="R944" s="13">
        <v>45171</v>
      </c>
      <c r="S944">
        <v>2023</v>
      </c>
      <c r="T944" s="12" t="s">
        <v>1536</v>
      </c>
      <c r="U944">
        <v>23</v>
      </c>
      <c r="V944">
        <v>248.16210000000001</v>
      </c>
      <c r="W944">
        <v>48.68</v>
      </c>
      <c r="X944">
        <v>0</v>
      </c>
      <c r="Y944">
        <v>0</v>
      </c>
      <c r="Z944">
        <v>5707.73</v>
      </c>
      <c r="AA944">
        <v>5756.41</v>
      </c>
      <c r="AB944" s="12" t="s">
        <v>1168</v>
      </c>
      <c r="AC944">
        <v>248.16210000000001</v>
      </c>
      <c r="AD944">
        <v>1</v>
      </c>
      <c r="AE944">
        <v>1</v>
      </c>
      <c r="AF944">
        <v>0</v>
      </c>
      <c r="AG944">
        <v>5707.73</v>
      </c>
      <c r="AH944">
        <v>23</v>
      </c>
      <c r="AI944">
        <v>23</v>
      </c>
      <c r="AJ944">
        <v>0</v>
      </c>
      <c r="AK944">
        <v>1</v>
      </c>
      <c r="AL944">
        <v>1</v>
      </c>
      <c r="AM944">
        <v>100</v>
      </c>
      <c r="AN944">
        <v>250.27860000000001</v>
      </c>
      <c r="AO944">
        <v>0</v>
      </c>
      <c r="AP944" s="13">
        <v>45169</v>
      </c>
      <c r="AQ944">
        <v>-2</v>
      </c>
      <c r="AR944">
        <v>1</v>
      </c>
    </row>
    <row r="945" spans="1:44" x14ac:dyDescent="0.35">
      <c r="A945" s="12" t="s">
        <v>1615</v>
      </c>
      <c r="B945" s="12" t="s">
        <v>293</v>
      </c>
      <c r="C945" s="12" t="s">
        <v>294</v>
      </c>
      <c r="D945" s="12" t="s">
        <v>114</v>
      </c>
      <c r="E945" s="12" t="s">
        <v>142</v>
      </c>
      <c r="F945">
        <v>1</v>
      </c>
      <c r="G945">
        <v>6</v>
      </c>
      <c r="H945">
        <v>1</v>
      </c>
      <c r="I945" s="12" t="s">
        <v>195</v>
      </c>
      <c r="J945" s="12" t="s">
        <v>196</v>
      </c>
      <c r="K945" s="12" t="s">
        <v>117</v>
      </c>
      <c r="L945" s="12" t="s">
        <v>134</v>
      </c>
      <c r="M945">
        <v>4.7699999999999996</v>
      </c>
      <c r="N945" s="12" t="s">
        <v>97</v>
      </c>
      <c r="O945" s="12" t="s">
        <v>98</v>
      </c>
      <c r="P945" s="12" t="s">
        <v>72</v>
      </c>
      <c r="Q945" s="13">
        <v>45149</v>
      </c>
      <c r="R945" s="13">
        <v>45194</v>
      </c>
      <c r="S945">
        <v>2023</v>
      </c>
      <c r="T945" s="12" t="s">
        <v>1536</v>
      </c>
      <c r="U945">
        <v>92</v>
      </c>
      <c r="V945">
        <v>210.4298</v>
      </c>
      <c r="W945">
        <v>423.54</v>
      </c>
      <c r="X945">
        <v>0</v>
      </c>
      <c r="Y945">
        <v>0</v>
      </c>
      <c r="Z945">
        <v>19359.54</v>
      </c>
      <c r="AA945">
        <v>19783.080000000002</v>
      </c>
      <c r="AB945" s="12" t="s">
        <v>295</v>
      </c>
      <c r="AC945">
        <v>206.0489</v>
      </c>
      <c r="AD945">
        <v>1</v>
      </c>
      <c r="AE945">
        <v>1</v>
      </c>
      <c r="AF945">
        <v>403.04</v>
      </c>
      <c r="AG945">
        <v>18956.5</v>
      </c>
      <c r="AH945">
        <v>92</v>
      </c>
      <c r="AI945">
        <v>92</v>
      </c>
      <c r="AJ945">
        <v>0</v>
      </c>
      <c r="AK945">
        <v>1</v>
      </c>
      <c r="AL945">
        <v>1</v>
      </c>
      <c r="AM945">
        <v>100</v>
      </c>
      <c r="AN945">
        <v>215.0335</v>
      </c>
      <c r="AO945">
        <v>0</v>
      </c>
      <c r="AP945" s="13">
        <v>45202</v>
      </c>
      <c r="AQ945">
        <v>8</v>
      </c>
      <c r="AR945">
        <v>0</v>
      </c>
    </row>
    <row r="946" spans="1:44" x14ac:dyDescent="0.35">
      <c r="A946" s="12" t="s">
        <v>1616</v>
      </c>
      <c r="B946" s="12" t="s">
        <v>498</v>
      </c>
      <c r="C946" s="12" t="s">
        <v>499</v>
      </c>
      <c r="D946" s="12" t="s">
        <v>175</v>
      </c>
      <c r="E946" s="12" t="s">
        <v>104</v>
      </c>
      <c r="F946">
        <v>3</v>
      </c>
      <c r="G946">
        <v>1</v>
      </c>
      <c r="H946">
        <v>0</v>
      </c>
      <c r="I946" s="12" t="s">
        <v>233</v>
      </c>
      <c r="J946" s="12" t="s">
        <v>234</v>
      </c>
      <c r="K946" s="12" t="s">
        <v>125</v>
      </c>
      <c r="L946" s="12" t="s">
        <v>96</v>
      </c>
      <c r="M946">
        <v>3.73</v>
      </c>
      <c r="N946" s="12" t="s">
        <v>145</v>
      </c>
      <c r="O946" s="12" t="s">
        <v>146</v>
      </c>
      <c r="P946" s="12" t="s">
        <v>109</v>
      </c>
      <c r="Q946" s="13">
        <v>45149</v>
      </c>
      <c r="R946" s="13">
        <v>45178</v>
      </c>
      <c r="S946">
        <v>2023</v>
      </c>
      <c r="T946" s="12" t="s">
        <v>1536</v>
      </c>
      <c r="U946">
        <v>149</v>
      </c>
      <c r="V946">
        <v>258.6968</v>
      </c>
      <c r="W946">
        <v>579.97</v>
      </c>
      <c r="X946">
        <v>0</v>
      </c>
      <c r="Y946">
        <v>0</v>
      </c>
      <c r="Z946">
        <v>38545.82</v>
      </c>
      <c r="AA946">
        <v>39125.79</v>
      </c>
      <c r="AB946" s="12" t="s">
        <v>500</v>
      </c>
      <c r="AC946">
        <v>284.75639999999999</v>
      </c>
      <c r="AD946">
        <v>2</v>
      </c>
      <c r="AE946">
        <v>1</v>
      </c>
      <c r="AF946">
        <v>-3882.88</v>
      </c>
      <c r="AG946">
        <v>42428.7</v>
      </c>
      <c r="AH946">
        <v>149</v>
      </c>
      <c r="AI946">
        <v>147</v>
      </c>
      <c r="AJ946">
        <v>2</v>
      </c>
      <c r="AK946">
        <v>1</v>
      </c>
      <c r="AL946">
        <v>1</v>
      </c>
      <c r="AM946">
        <v>98.66</v>
      </c>
      <c r="AN946">
        <v>266.1619</v>
      </c>
      <c r="AO946">
        <v>517.39</v>
      </c>
      <c r="AP946" s="13">
        <v>45178</v>
      </c>
      <c r="AQ946">
        <v>0</v>
      </c>
      <c r="AR946">
        <v>1</v>
      </c>
    </row>
    <row r="947" spans="1:44" x14ac:dyDescent="0.35">
      <c r="A947" s="12" t="s">
        <v>1617</v>
      </c>
      <c r="B947" s="12" t="s">
        <v>602</v>
      </c>
      <c r="C947" s="12" t="s">
        <v>603</v>
      </c>
      <c r="D947" s="12" t="s">
        <v>114</v>
      </c>
      <c r="E947" s="12" t="s">
        <v>142</v>
      </c>
      <c r="F947">
        <v>2</v>
      </c>
      <c r="G947">
        <v>10</v>
      </c>
      <c r="H947">
        <v>0</v>
      </c>
      <c r="I947" s="12" t="s">
        <v>604</v>
      </c>
      <c r="J947" s="12" t="s">
        <v>605</v>
      </c>
      <c r="K947" s="12" t="s">
        <v>68</v>
      </c>
      <c r="L947" s="12" t="s">
        <v>82</v>
      </c>
      <c r="M947">
        <v>7.24</v>
      </c>
      <c r="N947" s="12" t="s">
        <v>97</v>
      </c>
      <c r="O947" s="12" t="s">
        <v>98</v>
      </c>
      <c r="P947" s="12" t="s">
        <v>72</v>
      </c>
      <c r="Q947" s="13">
        <v>45149</v>
      </c>
      <c r="R947" s="13">
        <v>45189</v>
      </c>
      <c r="S947">
        <v>2023</v>
      </c>
      <c r="T947" s="12" t="s">
        <v>1536</v>
      </c>
      <c r="U947">
        <v>50</v>
      </c>
      <c r="V947">
        <v>213.4624</v>
      </c>
      <c r="W947">
        <v>204.02</v>
      </c>
      <c r="X947">
        <v>0</v>
      </c>
      <c r="Y947">
        <v>0</v>
      </c>
      <c r="Z947">
        <v>10673.12</v>
      </c>
      <c r="AA947">
        <v>10877.14</v>
      </c>
      <c r="AB947" s="12" t="s">
        <v>606</v>
      </c>
      <c r="AC947">
        <v>213.4624</v>
      </c>
      <c r="AD947">
        <v>1</v>
      </c>
      <c r="AE947">
        <v>1</v>
      </c>
      <c r="AF947">
        <v>0</v>
      </c>
      <c r="AG947">
        <v>10673.12</v>
      </c>
      <c r="AH947">
        <v>50</v>
      </c>
      <c r="AI947">
        <v>50</v>
      </c>
      <c r="AJ947">
        <v>0</v>
      </c>
      <c r="AK947">
        <v>1</v>
      </c>
      <c r="AL947">
        <v>1</v>
      </c>
      <c r="AM947">
        <v>100</v>
      </c>
      <c r="AN947">
        <v>217.5428</v>
      </c>
      <c r="AO947">
        <v>0</v>
      </c>
      <c r="AP947" s="13">
        <v>45188</v>
      </c>
      <c r="AQ947">
        <v>-1</v>
      </c>
      <c r="AR947">
        <v>1</v>
      </c>
    </row>
    <row r="948" spans="1:44" x14ac:dyDescent="0.35">
      <c r="A948" s="12" t="s">
        <v>1618</v>
      </c>
      <c r="B948" s="12" t="s">
        <v>433</v>
      </c>
      <c r="C948" s="12" t="s">
        <v>434</v>
      </c>
      <c r="D948" s="12" t="s">
        <v>78</v>
      </c>
      <c r="E948" s="12" t="s">
        <v>65</v>
      </c>
      <c r="F948">
        <v>2</v>
      </c>
      <c r="G948">
        <v>4</v>
      </c>
      <c r="H948">
        <v>0</v>
      </c>
      <c r="I948" s="12" t="s">
        <v>105</v>
      </c>
      <c r="J948" s="12" t="s">
        <v>106</v>
      </c>
      <c r="K948" s="12" t="s">
        <v>81</v>
      </c>
      <c r="L948" s="12" t="s">
        <v>96</v>
      </c>
      <c r="M948">
        <v>5.01</v>
      </c>
      <c r="N948" s="12" t="s">
        <v>70</v>
      </c>
      <c r="O948" s="12" t="s">
        <v>71</v>
      </c>
      <c r="P948" s="12" t="s">
        <v>72</v>
      </c>
      <c r="Q948" s="13">
        <v>45149</v>
      </c>
      <c r="R948" s="13">
        <v>45185</v>
      </c>
      <c r="S948">
        <v>2023</v>
      </c>
      <c r="T948" s="12" t="s">
        <v>1536</v>
      </c>
      <c r="U948">
        <v>261</v>
      </c>
      <c r="V948">
        <v>76.331100000000006</v>
      </c>
      <c r="W948">
        <v>482.72</v>
      </c>
      <c r="X948">
        <v>0</v>
      </c>
      <c r="Y948">
        <v>0</v>
      </c>
      <c r="Z948">
        <v>19922.419999999998</v>
      </c>
      <c r="AA948">
        <v>20405.14</v>
      </c>
      <c r="AB948" s="12" t="s">
        <v>463</v>
      </c>
      <c r="AC948">
        <v>76.331100000000006</v>
      </c>
      <c r="AD948">
        <v>1</v>
      </c>
      <c r="AE948">
        <v>1</v>
      </c>
      <c r="AF948">
        <v>0</v>
      </c>
      <c r="AG948">
        <v>19922.419999999998</v>
      </c>
      <c r="AH948">
        <v>261</v>
      </c>
      <c r="AI948">
        <v>255</v>
      </c>
      <c r="AJ948">
        <v>6</v>
      </c>
      <c r="AK948">
        <v>1</v>
      </c>
      <c r="AL948">
        <v>1</v>
      </c>
      <c r="AM948">
        <v>97.7</v>
      </c>
      <c r="AN948">
        <v>80.020099999999999</v>
      </c>
      <c r="AO948">
        <v>457.99</v>
      </c>
      <c r="AP948" s="13">
        <v>45190</v>
      </c>
      <c r="AQ948">
        <v>5</v>
      </c>
      <c r="AR948">
        <v>0</v>
      </c>
    </row>
    <row r="949" spans="1:44" x14ac:dyDescent="0.35">
      <c r="A949" s="12" t="s">
        <v>1619</v>
      </c>
      <c r="B949" s="12" t="s">
        <v>327</v>
      </c>
      <c r="C949" s="12" t="s">
        <v>328</v>
      </c>
      <c r="D949" s="12" t="s">
        <v>130</v>
      </c>
      <c r="E949" s="12" t="s">
        <v>104</v>
      </c>
      <c r="F949">
        <v>2</v>
      </c>
      <c r="G949">
        <v>0</v>
      </c>
      <c r="H949">
        <v>0</v>
      </c>
      <c r="I949" s="12" t="s">
        <v>94</v>
      </c>
      <c r="J949" s="12" t="s">
        <v>95</v>
      </c>
      <c r="K949" s="12" t="s">
        <v>81</v>
      </c>
      <c r="L949" s="12" t="s">
        <v>96</v>
      </c>
      <c r="M949">
        <v>4.8099999999999996</v>
      </c>
      <c r="N949" s="12" t="s">
        <v>159</v>
      </c>
      <c r="O949" s="12" t="s">
        <v>160</v>
      </c>
      <c r="P949" s="12" t="s">
        <v>137</v>
      </c>
      <c r="Q949" s="13">
        <v>45152</v>
      </c>
      <c r="R949" s="13">
        <v>45166</v>
      </c>
      <c r="S949">
        <v>2023</v>
      </c>
      <c r="T949" s="12" t="s">
        <v>1536</v>
      </c>
      <c r="U949">
        <v>31</v>
      </c>
      <c r="V949">
        <v>762.93029999999999</v>
      </c>
      <c r="W949">
        <v>184.43</v>
      </c>
      <c r="X949">
        <v>0</v>
      </c>
      <c r="Y949">
        <v>0</v>
      </c>
      <c r="Z949">
        <v>23650.84</v>
      </c>
      <c r="AA949">
        <v>23835.27</v>
      </c>
      <c r="AB949" s="12" t="s">
        <v>329</v>
      </c>
      <c r="AC949">
        <v>762.93029999999999</v>
      </c>
      <c r="AD949">
        <v>1</v>
      </c>
      <c r="AE949">
        <v>1</v>
      </c>
      <c r="AF949">
        <v>0</v>
      </c>
      <c r="AG949">
        <v>23650.84</v>
      </c>
      <c r="AH949">
        <v>31</v>
      </c>
      <c r="AI949">
        <v>31</v>
      </c>
      <c r="AJ949">
        <v>0</v>
      </c>
      <c r="AK949">
        <v>1</v>
      </c>
      <c r="AL949">
        <v>1</v>
      </c>
      <c r="AM949">
        <v>100</v>
      </c>
      <c r="AN949">
        <v>768.87969999999996</v>
      </c>
      <c r="AO949">
        <v>0</v>
      </c>
      <c r="AP949" s="13">
        <v>45163</v>
      </c>
      <c r="AQ949">
        <v>-3</v>
      </c>
      <c r="AR949">
        <v>1</v>
      </c>
    </row>
    <row r="950" spans="1:44" x14ac:dyDescent="0.35">
      <c r="A950" s="12" t="s">
        <v>1620</v>
      </c>
      <c r="B950" s="12" t="s">
        <v>706</v>
      </c>
      <c r="C950" s="12" t="s">
        <v>707</v>
      </c>
      <c r="D950" s="12" t="s">
        <v>130</v>
      </c>
      <c r="E950" s="12" t="s">
        <v>142</v>
      </c>
      <c r="F950">
        <v>1</v>
      </c>
      <c r="G950">
        <v>8</v>
      </c>
      <c r="H950">
        <v>1</v>
      </c>
      <c r="I950" s="12" t="s">
        <v>263</v>
      </c>
      <c r="J950" s="12" t="s">
        <v>264</v>
      </c>
      <c r="K950" s="12" t="s">
        <v>125</v>
      </c>
      <c r="L950" s="12" t="s">
        <v>82</v>
      </c>
      <c r="M950">
        <v>10.210000000000001</v>
      </c>
      <c r="N950" s="12" t="s">
        <v>135</v>
      </c>
      <c r="O950" s="12" t="s">
        <v>136</v>
      </c>
      <c r="P950" s="12" t="s">
        <v>137</v>
      </c>
      <c r="Q950" s="13">
        <v>45152</v>
      </c>
      <c r="R950" s="13">
        <v>45187</v>
      </c>
      <c r="S950">
        <v>2023</v>
      </c>
      <c r="T950" s="12" t="s">
        <v>1536</v>
      </c>
      <c r="U950">
        <v>15</v>
      </c>
      <c r="V950">
        <v>277.71210000000002</v>
      </c>
      <c r="W950">
        <v>69.55</v>
      </c>
      <c r="X950">
        <v>0</v>
      </c>
      <c r="Y950">
        <v>0</v>
      </c>
      <c r="Z950">
        <v>4165.68</v>
      </c>
      <c r="AA950">
        <v>4235.2299999999996</v>
      </c>
      <c r="AB950" s="12" t="s">
        <v>708</v>
      </c>
      <c r="AC950">
        <v>277.71210000000002</v>
      </c>
      <c r="AD950">
        <v>1</v>
      </c>
      <c r="AE950">
        <v>1</v>
      </c>
      <c r="AF950">
        <v>0</v>
      </c>
      <c r="AG950">
        <v>4165.68</v>
      </c>
      <c r="AH950">
        <v>15</v>
      </c>
      <c r="AI950">
        <v>15</v>
      </c>
      <c r="AJ950">
        <v>0</v>
      </c>
      <c r="AK950">
        <v>1</v>
      </c>
      <c r="AL950">
        <v>1</v>
      </c>
      <c r="AM950">
        <v>100</v>
      </c>
      <c r="AN950">
        <v>282.34879999999998</v>
      </c>
      <c r="AO950">
        <v>0</v>
      </c>
      <c r="AP950" s="13">
        <v>45187</v>
      </c>
      <c r="AQ950">
        <v>0</v>
      </c>
      <c r="AR950">
        <v>1</v>
      </c>
    </row>
    <row r="951" spans="1:44" x14ac:dyDescent="0.35">
      <c r="A951" s="12" t="s">
        <v>1621</v>
      </c>
      <c r="B951" s="12" t="s">
        <v>408</v>
      </c>
      <c r="C951" s="12" t="s">
        <v>409</v>
      </c>
      <c r="D951" s="12" t="s">
        <v>130</v>
      </c>
      <c r="E951" s="12" t="s">
        <v>65</v>
      </c>
      <c r="F951">
        <v>3</v>
      </c>
      <c r="G951">
        <v>5</v>
      </c>
      <c r="H951">
        <v>0</v>
      </c>
      <c r="I951" s="12" t="s">
        <v>105</v>
      </c>
      <c r="J951" s="12" t="s">
        <v>106</v>
      </c>
      <c r="K951" s="12" t="s">
        <v>81</v>
      </c>
      <c r="L951" s="12" t="s">
        <v>96</v>
      </c>
      <c r="M951">
        <v>5.01</v>
      </c>
      <c r="N951" s="12" t="s">
        <v>159</v>
      </c>
      <c r="O951" s="12" t="s">
        <v>160</v>
      </c>
      <c r="P951" s="12" t="s">
        <v>137</v>
      </c>
      <c r="Q951" s="13">
        <v>45152</v>
      </c>
      <c r="R951" s="13">
        <v>45183</v>
      </c>
      <c r="S951">
        <v>2023</v>
      </c>
      <c r="T951" s="12" t="s">
        <v>1536</v>
      </c>
      <c r="U951">
        <v>89</v>
      </c>
      <c r="V951">
        <v>770.47230000000002</v>
      </c>
      <c r="W951">
        <v>1538.75</v>
      </c>
      <c r="X951">
        <v>0</v>
      </c>
      <c r="Y951">
        <v>0</v>
      </c>
      <c r="Z951">
        <v>68572.03</v>
      </c>
      <c r="AA951">
        <v>70110.78</v>
      </c>
      <c r="AB951" s="12" t="s">
        <v>410</v>
      </c>
      <c r="AC951">
        <v>770.47230000000002</v>
      </c>
      <c r="AD951">
        <v>1</v>
      </c>
      <c r="AE951">
        <v>1</v>
      </c>
      <c r="AF951">
        <v>0</v>
      </c>
      <c r="AG951">
        <v>68572.03</v>
      </c>
      <c r="AH951">
        <v>89</v>
      </c>
      <c r="AI951">
        <v>88</v>
      </c>
      <c r="AJ951">
        <v>1</v>
      </c>
      <c r="AK951">
        <v>1</v>
      </c>
      <c r="AL951">
        <v>1</v>
      </c>
      <c r="AM951">
        <v>98.88</v>
      </c>
      <c r="AN951">
        <v>796.71349999999995</v>
      </c>
      <c r="AO951">
        <v>770.47</v>
      </c>
      <c r="AP951" s="13">
        <v>45181</v>
      </c>
      <c r="AQ951">
        <v>-2</v>
      </c>
      <c r="AR951">
        <v>1</v>
      </c>
    </row>
    <row r="952" spans="1:44" x14ac:dyDescent="0.35">
      <c r="A952" s="12" t="s">
        <v>1622</v>
      </c>
      <c r="B952" s="12" t="s">
        <v>331</v>
      </c>
      <c r="C952" s="12" t="s">
        <v>332</v>
      </c>
      <c r="D952" s="12" t="s">
        <v>122</v>
      </c>
      <c r="E952" s="12" t="s">
        <v>142</v>
      </c>
      <c r="F952">
        <v>3</v>
      </c>
      <c r="G952">
        <v>11</v>
      </c>
      <c r="H952">
        <v>0</v>
      </c>
      <c r="I952" s="12" t="s">
        <v>263</v>
      </c>
      <c r="J952" s="12" t="s">
        <v>264</v>
      </c>
      <c r="K952" s="12" t="s">
        <v>125</v>
      </c>
      <c r="L952" s="12" t="s">
        <v>82</v>
      </c>
      <c r="M952">
        <v>10.210000000000001</v>
      </c>
      <c r="N952" s="12" t="s">
        <v>97</v>
      </c>
      <c r="O952" s="12" t="s">
        <v>98</v>
      </c>
      <c r="P952" s="12" t="s">
        <v>72</v>
      </c>
      <c r="Q952" s="13">
        <v>45152</v>
      </c>
      <c r="R952" s="13">
        <v>45197</v>
      </c>
      <c r="S952">
        <v>2023</v>
      </c>
      <c r="T952" s="12" t="s">
        <v>1536</v>
      </c>
      <c r="U952">
        <v>1260</v>
      </c>
      <c r="V952">
        <v>25.052199999999999</v>
      </c>
      <c r="W952">
        <v>642.04</v>
      </c>
      <c r="X952">
        <v>0</v>
      </c>
      <c r="Y952">
        <v>0</v>
      </c>
      <c r="Z952">
        <v>31565.77</v>
      </c>
      <c r="AA952">
        <v>32207.81</v>
      </c>
      <c r="AB952" s="12" t="s">
        <v>333</v>
      </c>
      <c r="AC952">
        <v>25.052199999999999</v>
      </c>
      <c r="AD952">
        <v>1</v>
      </c>
      <c r="AE952">
        <v>1</v>
      </c>
      <c r="AF952">
        <v>0</v>
      </c>
      <c r="AG952">
        <v>31565.77</v>
      </c>
      <c r="AH952">
        <v>1260</v>
      </c>
      <c r="AI952">
        <v>1256</v>
      </c>
      <c r="AJ952">
        <v>4</v>
      </c>
      <c r="AK952">
        <v>1</v>
      </c>
      <c r="AL952">
        <v>1</v>
      </c>
      <c r="AM952">
        <v>99.68</v>
      </c>
      <c r="AN952">
        <v>25.6432</v>
      </c>
      <c r="AO952">
        <v>100.21</v>
      </c>
      <c r="AP952" s="13">
        <v>45196</v>
      </c>
      <c r="AQ952">
        <v>-1</v>
      </c>
      <c r="AR952">
        <v>1</v>
      </c>
    </row>
    <row r="953" spans="1:44" x14ac:dyDescent="0.35">
      <c r="A953" s="12" t="s">
        <v>1623</v>
      </c>
      <c r="B953" s="12" t="s">
        <v>420</v>
      </c>
      <c r="C953" s="12" t="s">
        <v>421</v>
      </c>
      <c r="D953" s="12" t="s">
        <v>269</v>
      </c>
      <c r="E953" s="12" t="s">
        <v>104</v>
      </c>
      <c r="F953">
        <v>2</v>
      </c>
      <c r="G953">
        <v>0</v>
      </c>
      <c r="H953">
        <v>0</v>
      </c>
      <c r="I953" s="12" t="s">
        <v>380</v>
      </c>
      <c r="J953" s="12" t="s">
        <v>381</v>
      </c>
      <c r="K953" s="12" t="s">
        <v>89</v>
      </c>
      <c r="L953" s="12" t="s">
        <v>96</v>
      </c>
      <c r="M953">
        <v>10.210000000000001</v>
      </c>
      <c r="N953" s="12" t="s">
        <v>135</v>
      </c>
      <c r="O953" s="12" t="s">
        <v>136</v>
      </c>
      <c r="P953" s="12" t="s">
        <v>137</v>
      </c>
      <c r="Q953" s="13">
        <v>45152</v>
      </c>
      <c r="R953" s="13">
        <v>45173</v>
      </c>
      <c r="S953">
        <v>2023</v>
      </c>
      <c r="T953" s="12" t="s">
        <v>1536</v>
      </c>
      <c r="U953">
        <v>80</v>
      </c>
      <c r="V953">
        <v>146.53960000000001</v>
      </c>
      <c r="W953">
        <v>174.8</v>
      </c>
      <c r="X953">
        <v>0</v>
      </c>
      <c r="Y953">
        <v>0</v>
      </c>
      <c r="Z953">
        <v>11723.17</v>
      </c>
      <c r="AA953">
        <v>11897.97</v>
      </c>
      <c r="AB953" s="12" t="s">
        <v>422</v>
      </c>
      <c r="AC953">
        <v>146.53960000000001</v>
      </c>
      <c r="AD953">
        <v>1</v>
      </c>
      <c r="AE953">
        <v>1</v>
      </c>
      <c r="AF953">
        <v>0</v>
      </c>
      <c r="AG953">
        <v>11723.17</v>
      </c>
      <c r="AH953">
        <v>80</v>
      </c>
      <c r="AI953">
        <v>80</v>
      </c>
      <c r="AJ953">
        <v>0</v>
      </c>
      <c r="AK953">
        <v>1</v>
      </c>
      <c r="AL953">
        <v>1</v>
      </c>
      <c r="AM953">
        <v>100</v>
      </c>
      <c r="AN953">
        <v>148.72460000000001</v>
      </c>
      <c r="AO953">
        <v>0</v>
      </c>
      <c r="AP953" s="13">
        <v>45177</v>
      </c>
      <c r="AQ953">
        <v>4</v>
      </c>
      <c r="AR953">
        <v>0</v>
      </c>
    </row>
    <row r="954" spans="1:44" x14ac:dyDescent="0.35">
      <c r="A954" s="12" t="s">
        <v>1624</v>
      </c>
      <c r="B954" s="12" t="s">
        <v>347</v>
      </c>
      <c r="C954" s="12" t="s">
        <v>348</v>
      </c>
      <c r="D954" s="12" t="s">
        <v>78</v>
      </c>
      <c r="E954" s="12" t="s">
        <v>104</v>
      </c>
      <c r="F954">
        <v>3</v>
      </c>
      <c r="G954">
        <v>1</v>
      </c>
      <c r="H954">
        <v>0</v>
      </c>
      <c r="I954" s="12" t="s">
        <v>105</v>
      </c>
      <c r="J954" s="12" t="s">
        <v>106</v>
      </c>
      <c r="K954" s="12" t="s">
        <v>81</v>
      </c>
      <c r="L954" s="12" t="s">
        <v>96</v>
      </c>
      <c r="M954">
        <v>5.01</v>
      </c>
      <c r="N954" s="12" t="s">
        <v>97</v>
      </c>
      <c r="O954" s="12" t="s">
        <v>98</v>
      </c>
      <c r="P954" s="12" t="s">
        <v>72</v>
      </c>
      <c r="Q954" s="13">
        <v>45153</v>
      </c>
      <c r="R954" s="13">
        <v>45173</v>
      </c>
      <c r="S954">
        <v>2023</v>
      </c>
      <c r="T954" s="12" t="s">
        <v>1536</v>
      </c>
      <c r="U954">
        <v>161</v>
      </c>
      <c r="V954">
        <v>100.34050000000001</v>
      </c>
      <c r="W954">
        <v>334.61</v>
      </c>
      <c r="X954">
        <v>492.75</v>
      </c>
      <c r="Y954">
        <v>1</v>
      </c>
      <c r="Z954">
        <v>16154.82</v>
      </c>
      <c r="AA954">
        <v>16982.18</v>
      </c>
      <c r="AB954" s="12" t="s">
        <v>841</v>
      </c>
      <c r="AC954">
        <v>100.34050000000001</v>
      </c>
      <c r="AD954">
        <v>1</v>
      </c>
      <c r="AE954">
        <v>1</v>
      </c>
      <c r="AF954">
        <v>0</v>
      </c>
      <c r="AG954">
        <v>16154.82</v>
      </c>
      <c r="AH954">
        <v>161</v>
      </c>
      <c r="AI954">
        <v>160</v>
      </c>
      <c r="AJ954">
        <v>1</v>
      </c>
      <c r="AK954">
        <v>1</v>
      </c>
      <c r="AL954">
        <v>1</v>
      </c>
      <c r="AM954">
        <v>99.38</v>
      </c>
      <c r="AN954">
        <v>106.1386</v>
      </c>
      <c r="AO954">
        <v>100.34</v>
      </c>
      <c r="AP954" s="13">
        <v>45171</v>
      </c>
      <c r="AQ954">
        <v>-2</v>
      </c>
      <c r="AR954">
        <v>1</v>
      </c>
    </row>
    <row r="955" spans="1:44" x14ac:dyDescent="0.35">
      <c r="A955" s="12" t="s">
        <v>1625</v>
      </c>
      <c r="B955" s="12" t="s">
        <v>1034</v>
      </c>
      <c r="C955" s="12" t="s">
        <v>1035</v>
      </c>
      <c r="D955" s="12" t="s">
        <v>64</v>
      </c>
      <c r="E955" s="12" t="s">
        <v>104</v>
      </c>
      <c r="F955">
        <v>2</v>
      </c>
      <c r="G955">
        <v>0</v>
      </c>
      <c r="H955">
        <v>0</v>
      </c>
      <c r="I955" s="12" t="s">
        <v>676</v>
      </c>
      <c r="J955" s="12" t="s">
        <v>677</v>
      </c>
      <c r="K955" s="12" t="s">
        <v>68</v>
      </c>
      <c r="L955" s="12" t="s">
        <v>96</v>
      </c>
      <c r="M955">
        <v>3.57</v>
      </c>
      <c r="N955" s="12" t="s">
        <v>97</v>
      </c>
      <c r="O955" s="12" t="s">
        <v>98</v>
      </c>
      <c r="P955" s="12" t="s">
        <v>72</v>
      </c>
      <c r="Q955" s="13">
        <v>45153</v>
      </c>
      <c r="R955" s="13">
        <v>45177</v>
      </c>
      <c r="S955">
        <v>2023</v>
      </c>
      <c r="T955" s="12" t="s">
        <v>1536</v>
      </c>
      <c r="U955">
        <v>748</v>
      </c>
      <c r="V955">
        <v>10.582000000000001</v>
      </c>
      <c r="W955">
        <v>108.73</v>
      </c>
      <c r="X955">
        <v>0</v>
      </c>
      <c r="Y955">
        <v>0</v>
      </c>
      <c r="Z955">
        <v>7915.34</v>
      </c>
      <c r="AA955">
        <v>8024.07</v>
      </c>
      <c r="AB955" s="12" t="s">
        <v>1626</v>
      </c>
      <c r="AC955">
        <v>9.9979999999999993</v>
      </c>
      <c r="AD955">
        <v>1</v>
      </c>
      <c r="AE955">
        <v>1</v>
      </c>
      <c r="AF955">
        <v>436.83</v>
      </c>
      <c r="AG955">
        <v>7478.5</v>
      </c>
      <c r="AH955">
        <v>748</v>
      </c>
      <c r="AI955">
        <v>737</v>
      </c>
      <c r="AJ955">
        <v>11</v>
      </c>
      <c r="AK955">
        <v>1</v>
      </c>
      <c r="AL955">
        <v>1</v>
      </c>
      <c r="AM955">
        <v>98.53</v>
      </c>
      <c r="AN955">
        <v>10.887499999999999</v>
      </c>
      <c r="AO955">
        <v>116.4</v>
      </c>
      <c r="AP955" s="13">
        <v>45177</v>
      </c>
      <c r="AQ955">
        <v>0</v>
      </c>
      <c r="AR955">
        <v>1</v>
      </c>
    </row>
    <row r="956" spans="1:44" x14ac:dyDescent="0.35">
      <c r="A956" s="12" t="s">
        <v>1627</v>
      </c>
      <c r="B956" s="12" t="s">
        <v>685</v>
      </c>
      <c r="C956" s="12" t="s">
        <v>686</v>
      </c>
      <c r="D956" s="12" t="s">
        <v>175</v>
      </c>
      <c r="E956" s="12" t="s">
        <v>104</v>
      </c>
      <c r="F956">
        <v>2</v>
      </c>
      <c r="G956">
        <v>0</v>
      </c>
      <c r="H956">
        <v>0</v>
      </c>
      <c r="I956" s="12" t="s">
        <v>195</v>
      </c>
      <c r="J956" s="12" t="s">
        <v>196</v>
      </c>
      <c r="K956" s="12" t="s">
        <v>117</v>
      </c>
      <c r="L956" s="12" t="s">
        <v>134</v>
      </c>
      <c r="M956">
        <v>4.7699999999999996</v>
      </c>
      <c r="N956" s="12" t="s">
        <v>145</v>
      </c>
      <c r="O956" s="12" t="s">
        <v>146</v>
      </c>
      <c r="P956" s="12" t="s">
        <v>109</v>
      </c>
      <c r="Q956" s="13">
        <v>45153</v>
      </c>
      <c r="R956" s="13">
        <v>45165</v>
      </c>
      <c r="S956">
        <v>2023</v>
      </c>
      <c r="T956" s="12" t="s">
        <v>1536</v>
      </c>
      <c r="U956">
        <v>11</v>
      </c>
      <c r="V956">
        <v>221.7389</v>
      </c>
      <c r="W956">
        <v>29.96</v>
      </c>
      <c r="X956">
        <v>0</v>
      </c>
      <c r="Y956">
        <v>0</v>
      </c>
      <c r="Z956">
        <v>2439.13</v>
      </c>
      <c r="AA956">
        <v>2469.09</v>
      </c>
      <c r="AB956" s="12" t="s">
        <v>1210</v>
      </c>
      <c r="AC956">
        <v>221.7389</v>
      </c>
      <c r="AD956">
        <v>1</v>
      </c>
      <c r="AE956">
        <v>1</v>
      </c>
      <c r="AF956">
        <v>0</v>
      </c>
      <c r="AG956">
        <v>2439.13</v>
      </c>
      <c r="AH956">
        <v>11</v>
      </c>
      <c r="AI956">
        <v>11</v>
      </c>
      <c r="AJ956">
        <v>0</v>
      </c>
      <c r="AK956">
        <v>1</v>
      </c>
      <c r="AL956">
        <v>1</v>
      </c>
      <c r="AM956">
        <v>100</v>
      </c>
      <c r="AN956">
        <v>224.46250000000001</v>
      </c>
      <c r="AO956">
        <v>0</v>
      </c>
      <c r="AP956" s="13">
        <v>45162</v>
      </c>
      <c r="AQ956">
        <v>-3</v>
      </c>
      <c r="AR956">
        <v>1</v>
      </c>
    </row>
    <row r="957" spans="1:44" x14ac:dyDescent="0.35">
      <c r="A957" s="12" t="s">
        <v>1628</v>
      </c>
      <c r="B957" s="12" t="s">
        <v>657</v>
      </c>
      <c r="C957" s="12" t="s">
        <v>658</v>
      </c>
      <c r="D957" s="12" t="s">
        <v>175</v>
      </c>
      <c r="E957" s="12" t="s">
        <v>65</v>
      </c>
      <c r="F957">
        <v>1</v>
      </c>
      <c r="G957">
        <v>2</v>
      </c>
      <c r="H957">
        <v>1</v>
      </c>
      <c r="I957" s="12" t="s">
        <v>183</v>
      </c>
      <c r="J957" s="12" t="s">
        <v>184</v>
      </c>
      <c r="K957" s="12" t="s">
        <v>133</v>
      </c>
      <c r="L957" s="12" t="s">
        <v>82</v>
      </c>
      <c r="M957">
        <v>8.6199999999999992</v>
      </c>
      <c r="N957" s="12" t="s">
        <v>107</v>
      </c>
      <c r="O957" s="12" t="s">
        <v>108</v>
      </c>
      <c r="P957" s="12" t="s">
        <v>109</v>
      </c>
      <c r="Q957" s="13">
        <v>45153</v>
      </c>
      <c r="R957" s="13">
        <v>45188</v>
      </c>
      <c r="S957">
        <v>2023</v>
      </c>
      <c r="T957" s="12" t="s">
        <v>1536</v>
      </c>
      <c r="U957">
        <v>120</v>
      </c>
      <c r="V957">
        <v>153.8561</v>
      </c>
      <c r="W957">
        <v>462.39</v>
      </c>
      <c r="X957">
        <v>0</v>
      </c>
      <c r="Y957">
        <v>0</v>
      </c>
      <c r="Z957">
        <v>18462.73</v>
      </c>
      <c r="AA957">
        <v>18925.12</v>
      </c>
      <c r="AB957" s="12" t="s">
        <v>659</v>
      </c>
      <c r="AC957">
        <v>153.8561</v>
      </c>
      <c r="AD957">
        <v>1</v>
      </c>
      <c r="AE957">
        <v>1</v>
      </c>
      <c r="AF957">
        <v>0</v>
      </c>
      <c r="AG957">
        <v>18462.73</v>
      </c>
      <c r="AH957">
        <v>120</v>
      </c>
      <c r="AI957">
        <v>120</v>
      </c>
      <c r="AJ957">
        <v>0</v>
      </c>
      <c r="AK957">
        <v>1</v>
      </c>
      <c r="AL957">
        <v>1</v>
      </c>
      <c r="AM957">
        <v>100</v>
      </c>
      <c r="AN957">
        <v>157.70939999999999</v>
      </c>
      <c r="AO957">
        <v>0</v>
      </c>
      <c r="AP957" s="13">
        <v>45186</v>
      </c>
      <c r="AQ957">
        <v>-2</v>
      </c>
      <c r="AR957">
        <v>1</v>
      </c>
    </row>
    <row r="958" spans="1:44" x14ac:dyDescent="0.35">
      <c r="A958" s="12" t="s">
        <v>1629</v>
      </c>
      <c r="B958" s="12" t="s">
        <v>952</v>
      </c>
      <c r="C958" s="12" t="s">
        <v>953</v>
      </c>
      <c r="D958" s="12" t="s">
        <v>64</v>
      </c>
      <c r="E958" s="12" t="s">
        <v>142</v>
      </c>
      <c r="F958">
        <v>1</v>
      </c>
      <c r="G958">
        <v>8</v>
      </c>
      <c r="H958">
        <v>1</v>
      </c>
      <c r="I958" s="12" t="s">
        <v>131</v>
      </c>
      <c r="J958" s="12" t="s">
        <v>132</v>
      </c>
      <c r="K958" s="12" t="s">
        <v>133</v>
      </c>
      <c r="L958" s="12" t="s">
        <v>134</v>
      </c>
      <c r="M958">
        <v>1.51</v>
      </c>
      <c r="N958" s="12" t="s">
        <v>97</v>
      </c>
      <c r="O958" s="12" t="s">
        <v>98</v>
      </c>
      <c r="P958" s="12" t="s">
        <v>72</v>
      </c>
      <c r="Q958" s="13">
        <v>45153</v>
      </c>
      <c r="R958" s="13">
        <v>45188</v>
      </c>
      <c r="S958">
        <v>2023</v>
      </c>
      <c r="T958" s="12" t="s">
        <v>1536</v>
      </c>
      <c r="U958">
        <v>120</v>
      </c>
      <c r="V958">
        <v>31.146599999999999</v>
      </c>
      <c r="W958">
        <v>31</v>
      </c>
      <c r="X958">
        <v>0</v>
      </c>
      <c r="Y958">
        <v>0</v>
      </c>
      <c r="Z958">
        <v>3737.59</v>
      </c>
      <c r="AA958">
        <v>3768.59</v>
      </c>
      <c r="AB958" s="12" t="s">
        <v>954</v>
      </c>
      <c r="AC958">
        <v>31.146599999999999</v>
      </c>
      <c r="AD958">
        <v>1</v>
      </c>
      <c r="AE958">
        <v>1</v>
      </c>
      <c r="AF958">
        <v>0</v>
      </c>
      <c r="AG958">
        <v>3737.59</v>
      </c>
      <c r="AH958">
        <v>120</v>
      </c>
      <c r="AI958">
        <v>119</v>
      </c>
      <c r="AJ958">
        <v>1</v>
      </c>
      <c r="AK958">
        <v>1</v>
      </c>
      <c r="AL958">
        <v>1</v>
      </c>
      <c r="AM958">
        <v>99.17</v>
      </c>
      <c r="AN958">
        <v>31.668800000000001</v>
      </c>
      <c r="AO958">
        <v>31.15</v>
      </c>
      <c r="AP958" s="13">
        <v>45185</v>
      </c>
      <c r="AQ958">
        <v>-3</v>
      </c>
      <c r="AR958">
        <v>1</v>
      </c>
    </row>
    <row r="959" spans="1:44" x14ac:dyDescent="0.35">
      <c r="A959" s="12" t="s">
        <v>1630</v>
      </c>
      <c r="B959" s="12" t="s">
        <v>640</v>
      </c>
      <c r="C959" s="12" t="s">
        <v>641</v>
      </c>
      <c r="D959" s="12" t="s">
        <v>130</v>
      </c>
      <c r="E959" s="12" t="s">
        <v>104</v>
      </c>
      <c r="F959">
        <v>3</v>
      </c>
      <c r="G959">
        <v>0</v>
      </c>
      <c r="H959">
        <v>0</v>
      </c>
      <c r="I959" s="12" t="s">
        <v>209</v>
      </c>
      <c r="J959" s="12" t="s">
        <v>210</v>
      </c>
      <c r="K959" s="12" t="s">
        <v>133</v>
      </c>
      <c r="L959" s="12" t="s">
        <v>96</v>
      </c>
      <c r="M959">
        <v>7.82</v>
      </c>
      <c r="N959" s="12" t="s">
        <v>135</v>
      </c>
      <c r="O959" s="12" t="s">
        <v>136</v>
      </c>
      <c r="P959" s="12" t="s">
        <v>137</v>
      </c>
      <c r="Q959" s="13">
        <v>45153</v>
      </c>
      <c r="R959" s="13">
        <v>45175</v>
      </c>
      <c r="S959">
        <v>2023</v>
      </c>
      <c r="T959" s="12" t="s">
        <v>1536</v>
      </c>
      <c r="U959">
        <v>92</v>
      </c>
      <c r="V959">
        <v>1008.4116</v>
      </c>
      <c r="W959">
        <v>672.67</v>
      </c>
      <c r="X959">
        <v>0</v>
      </c>
      <c r="Y959">
        <v>0</v>
      </c>
      <c r="Z959">
        <v>92773.87</v>
      </c>
      <c r="AA959">
        <v>93446.54</v>
      </c>
      <c r="AB959" s="12" t="s">
        <v>642</v>
      </c>
      <c r="AC959">
        <v>1008.4116</v>
      </c>
      <c r="AD959">
        <v>1</v>
      </c>
      <c r="AE959">
        <v>1</v>
      </c>
      <c r="AF959">
        <v>0</v>
      </c>
      <c r="AG959">
        <v>92773.87</v>
      </c>
      <c r="AH959">
        <v>92</v>
      </c>
      <c r="AI959">
        <v>91</v>
      </c>
      <c r="AJ959">
        <v>1</v>
      </c>
      <c r="AK959">
        <v>1</v>
      </c>
      <c r="AL959">
        <v>1</v>
      </c>
      <c r="AM959">
        <v>98.91</v>
      </c>
      <c r="AN959">
        <v>1026.885</v>
      </c>
      <c r="AO959">
        <v>1008.41</v>
      </c>
      <c r="AP959" s="13">
        <v>45173</v>
      </c>
      <c r="AQ959">
        <v>-2</v>
      </c>
      <c r="AR959">
        <v>1</v>
      </c>
    </row>
    <row r="960" spans="1:44" x14ac:dyDescent="0.35">
      <c r="A960" s="12" t="s">
        <v>1631</v>
      </c>
      <c r="B960" s="12" t="s">
        <v>85</v>
      </c>
      <c r="C960" s="12" t="s">
        <v>86</v>
      </c>
      <c r="D960" s="12" t="s">
        <v>78</v>
      </c>
      <c r="E960" s="12" t="s">
        <v>65</v>
      </c>
      <c r="F960">
        <v>3</v>
      </c>
      <c r="G960">
        <v>5</v>
      </c>
      <c r="H960">
        <v>0</v>
      </c>
      <c r="I960" s="12" t="s">
        <v>195</v>
      </c>
      <c r="J960" s="12" t="s">
        <v>196</v>
      </c>
      <c r="K960" s="12" t="s">
        <v>117</v>
      </c>
      <c r="L960" s="12" t="s">
        <v>134</v>
      </c>
      <c r="M960">
        <v>4.7699999999999996</v>
      </c>
      <c r="N960" s="12" t="s">
        <v>97</v>
      </c>
      <c r="O960" s="12" t="s">
        <v>98</v>
      </c>
      <c r="P960" s="12" t="s">
        <v>72</v>
      </c>
      <c r="Q960" s="13">
        <v>45153</v>
      </c>
      <c r="R960" s="13">
        <v>45182</v>
      </c>
      <c r="S960">
        <v>2023</v>
      </c>
      <c r="T960" s="12" t="s">
        <v>1536</v>
      </c>
      <c r="U960">
        <v>168</v>
      </c>
      <c r="V960">
        <v>147.55000000000001</v>
      </c>
      <c r="W960">
        <v>264.42</v>
      </c>
      <c r="X960">
        <v>0</v>
      </c>
      <c r="Y960">
        <v>0</v>
      </c>
      <c r="Z960">
        <v>24788.400000000001</v>
      </c>
      <c r="AA960">
        <v>25052.82</v>
      </c>
      <c r="AB960" s="12" t="s">
        <v>1417</v>
      </c>
      <c r="AC960">
        <v>147.55000000000001</v>
      </c>
      <c r="AD960">
        <v>1</v>
      </c>
      <c r="AE960">
        <v>1</v>
      </c>
      <c r="AF960">
        <v>0</v>
      </c>
      <c r="AG960">
        <v>24788.400000000001</v>
      </c>
      <c r="AH960">
        <v>168</v>
      </c>
      <c r="AI960">
        <v>164</v>
      </c>
      <c r="AJ960">
        <v>4</v>
      </c>
      <c r="AK960">
        <v>1</v>
      </c>
      <c r="AL960">
        <v>1</v>
      </c>
      <c r="AM960">
        <v>97.62</v>
      </c>
      <c r="AN960">
        <v>152.7611</v>
      </c>
      <c r="AO960">
        <v>590.20000000000005</v>
      </c>
      <c r="AP960" s="13">
        <v>45180</v>
      </c>
      <c r="AQ960">
        <v>-2</v>
      </c>
      <c r="AR960">
        <v>1</v>
      </c>
    </row>
    <row r="961" spans="1:44" x14ac:dyDescent="0.35">
      <c r="A961" s="12" t="s">
        <v>1632</v>
      </c>
      <c r="B961" s="12" t="s">
        <v>447</v>
      </c>
      <c r="C961" s="12" t="s">
        <v>448</v>
      </c>
      <c r="D961" s="12" t="s">
        <v>269</v>
      </c>
      <c r="E961" s="12" t="s">
        <v>65</v>
      </c>
      <c r="F961">
        <v>2</v>
      </c>
      <c r="G961">
        <v>2</v>
      </c>
      <c r="H961">
        <v>0</v>
      </c>
      <c r="I961" s="12" t="s">
        <v>94</v>
      </c>
      <c r="J961" s="12" t="s">
        <v>95</v>
      </c>
      <c r="K961" s="12" t="s">
        <v>81</v>
      </c>
      <c r="L961" s="12" t="s">
        <v>96</v>
      </c>
      <c r="M961">
        <v>4.8099999999999996</v>
      </c>
      <c r="N961" s="12" t="s">
        <v>135</v>
      </c>
      <c r="O961" s="12" t="s">
        <v>136</v>
      </c>
      <c r="P961" s="12" t="s">
        <v>137</v>
      </c>
      <c r="Q961" s="13">
        <v>45153</v>
      </c>
      <c r="R961" s="13">
        <v>45187</v>
      </c>
      <c r="S961">
        <v>2023</v>
      </c>
      <c r="T961" s="12" t="s">
        <v>1536</v>
      </c>
      <c r="U961">
        <v>116</v>
      </c>
      <c r="V961">
        <v>388.54930000000002</v>
      </c>
      <c r="W961">
        <v>546.48</v>
      </c>
      <c r="X961">
        <v>0</v>
      </c>
      <c r="Y961">
        <v>0</v>
      </c>
      <c r="Z961">
        <v>45071.72</v>
      </c>
      <c r="AA961">
        <v>45618.2</v>
      </c>
      <c r="AB961" s="12" t="s">
        <v>449</v>
      </c>
      <c r="AC961">
        <v>388.54930000000002</v>
      </c>
      <c r="AD961">
        <v>1</v>
      </c>
      <c r="AE961">
        <v>1</v>
      </c>
      <c r="AF961">
        <v>0</v>
      </c>
      <c r="AG961">
        <v>45071.72</v>
      </c>
      <c r="AH961">
        <v>116</v>
      </c>
      <c r="AI961">
        <v>115</v>
      </c>
      <c r="AJ961">
        <v>1</v>
      </c>
      <c r="AK961">
        <v>1</v>
      </c>
      <c r="AL961">
        <v>1</v>
      </c>
      <c r="AM961">
        <v>99.14</v>
      </c>
      <c r="AN961">
        <v>396.68</v>
      </c>
      <c r="AO961">
        <v>388.55</v>
      </c>
      <c r="AP961" s="13">
        <v>45187</v>
      </c>
      <c r="AQ961">
        <v>0</v>
      </c>
      <c r="AR961">
        <v>1</v>
      </c>
    </row>
    <row r="962" spans="1:44" x14ac:dyDescent="0.35">
      <c r="A962" s="12" t="s">
        <v>1633</v>
      </c>
      <c r="B962" s="12" t="s">
        <v>1108</v>
      </c>
      <c r="C962" s="12" t="s">
        <v>1109</v>
      </c>
      <c r="D962" s="12" t="s">
        <v>103</v>
      </c>
      <c r="E962" s="12" t="s">
        <v>65</v>
      </c>
      <c r="F962">
        <v>3</v>
      </c>
      <c r="G962">
        <v>4</v>
      </c>
      <c r="H962">
        <v>0</v>
      </c>
      <c r="I962" s="12" t="s">
        <v>79</v>
      </c>
      <c r="J962" s="12" t="s">
        <v>80</v>
      </c>
      <c r="K962" s="12" t="s">
        <v>81</v>
      </c>
      <c r="L962" s="12" t="s">
        <v>82</v>
      </c>
      <c r="M962">
        <v>12.07</v>
      </c>
      <c r="N962" s="12" t="s">
        <v>107</v>
      </c>
      <c r="O962" s="12" t="s">
        <v>108</v>
      </c>
      <c r="P962" s="12" t="s">
        <v>109</v>
      </c>
      <c r="Q962" s="13">
        <v>45154</v>
      </c>
      <c r="R962" s="13">
        <v>45184</v>
      </c>
      <c r="S962">
        <v>2023</v>
      </c>
      <c r="T962" s="12" t="s">
        <v>1536</v>
      </c>
      <c r="U962">
        <v>85</v>
      </c>
      <c r="V962">
        <v>86.615200000000002</v>
      </c>
      <c r="W962">
        <v>126.67</v>
      </c>
      <c r="X962">
        <v>0</v>
      </c>
      <c r="Y962">
        <v>0</v>
      </c>
      <c r="Z962">
        <v>7362.29</v>
      </c>
      <c r="AA962">
        <v>7488.96</v>
      </c>
      <c r="AB962" s="12" t="s">
        <v>1634</v>
      </c>
      <c r="AC962">
        <v>86.615200000000002</v>
      </c>
      <c r="AD962">
        <v>1</v>
      </c>
      <c r="AE962">
        <v>1</v>
      </c>
      <c r="AF962">
        <v>0</v>
      </c>
      <c r="AG962">
        <v>7362.29</v>
      </c>
      <c r="AH962">
        <v>85</v>
      </c>
      <c r="AI962">
        <v>85</v>
      </c>
      <c r="AJ962">
        <v>0</v>
      </c>
      <c r="AK962">
        <v>1</v>
      </c>
      <c r="AL962">
        <v>1</v>
      </c>
      <c r="AM962">
        <v>100</v>
      </c>
      <c r="AN962">
        <v>88.105400000000003</v>
      </c>
      <c r="AO962">
        <v>0</v>
      </c>
      <c r="AP962" s="13">
        <v>45183</v>
      </c>
      <c r="AQ962">
        <v>-1</v>
      </c>
      <c r="AR962">
        <v>1</v>
      </c>
    </row>
    <row r="963" spans="1:44" x14ac:dyDescent="0.35">
      <c r="A963" s="12" t="s">
        <v>1635</v>
      </c>
      <c r="B963" s="12" t="s">
        <v>843</v>
      </c>
      <c r="C963" s="12" t="s">
        <v>844</v>
      </c>
      <c r="D963" s="12" t="s">
        <v>175</v>
      </c>
      <c r="E963" s="12" t="s">
        <v>65</v>
      </c>
      <c r="F963">
        <v>3</v>
      </c>
      <c r="G963">
        <v>5</v>
      </c>
      <c r="H963">
        <v>0</v>
      </c>
      <c r="I963" s="12" t="s">
        <v>359</v>
      </c>
      <c r="J963" s="12" t="s">
        <v>360</v>
      </c>
      <c r="K963" s="12" t="s">
        <v>133</v>
      </c>
      <c r="L963" s="12" t="s">
        <v>82</v>
      </c>
      <c r="M963">
        <v>12.65</v>
      </c>
      <c r="N963" s="12" t="s">
        <v>107</v>
      </c>
      <c r="O963" s="12" t="s">
        <v>108</v>
      </c>
      <c r="P963" s="12" t="s">
        <v>109</v>
      </c>
      <c r="Q963" s="13">
        <v>45154</v>
      </c>
      <c r="R963" s="13">
        <v>45187</v>
      </c>
      <c r="S963">
        <v>2023</v>
      </c>
      <c r="T963" s="12" t="s">
        <v>1536</v>
      </c>
      <c r="U963">
        <v>108</v>
      </c>
      <c r="V963">
        <v>267.03480000000002</v>
      </c>
      <c r="W963">
        <v>174.51</v>
      </c>
      <c r="X963">
        <v>0</v>
      </c>
      <c r="Y963">
        <v>0</v>
      </c>
      <c r="Z963">
        <v>28839.759999999998</v>
      </c>
      <c r="AA963">
        <v>29014.27</v>
      </c>
      <c r="AB963" s="12" t="s">
        <v>845</v>
      </c>
      <c r="AC963">
        <v>267.03480000000002</v>
      </c>
      <c r="AD963">
        <v>1</v>
      </c>
      <c r="AE963">
        <v>1</v>
      </c>
      <c r="AF963">
        <v>0</v>
      </c>
      <c r="AG963">
        <v>28839.759999999998</v>
      </c>
      <c r="AH963">
        <v>108</v>
      </c>
      <c r="AI963">
        <v>108</v>
      </c>
      <c r="AJ963">
        <v>0</v>
      </c>
      <c r="AK963">
        <v>1</v>
      </c>
      <c r="AL963">
        <v>1</v>
      </c>
      <c r="AM963">
        <v>100</v>
      </c>
      <c r="AN963">
        <v>268.6506</v>
      </c>
      <c r="AO963">
        <v>0</v>
      </c>
      <c r="AP963" s="13">
        <v>45186</v>
      </c>
      <c r="AQ963">
        <v>-1</v>
      </c>
      <c r="AR963">
        <v>1</v>
      </c>
    </row>
    <row r="964" spans="1:44" x14ac:dyDescent="0.35">
      <c r="A964" s="12" t="s">
        <v>1636</v>
      </c>
      <c r="B964" s="12" t="s">
        <v>630</v>
      </c>
      <c r="C964" s="12" t="s">
        <v>631</v>
      </c>
      <c r="D964" s="12" t="s">
        <v>130</v>
      </c>
      <c r="E964" s="12" t="s">
        <v>65</v>
      </c>
      <c r="F964">
        <v>1</v>
      </c>
      <c r="G964">
        <v>2</v>
      </c>
      <c r="H964">
        <v>1</v>
      </c>
      <c r="I964" s="12" t="s">
        <v>335</v>
      </c>
      <c r="J964" s="12" t="s">
        <v>336</v>
      </c>
      <c r="K964" s="12" t="s">
        <v>89</v>
      </c>
      <c r="L964" s="12" t="s">
        <v>82</v>
      </c>
      <c r="M964">
        <v>16</v>
      </c>
      <c r="N964" s="12" t="s">
        <v>159</v>
      </c>
      <c r="O964" s="12" t="s">
        <v>160</v>
      </c>
      <c r="P964" s="12" t="s">
        <v>137</v>
      </c>
      <c r="Q964" s="13">
        <v>45154</v>
      </c>
      <c r="R964" s="13">
        <v>45186</v>
      </c>
      <c r="S964">
        <v>2023</v>
      </c>
      <c r="T964" s="12" t="s">
        <v>1536</v>
      </c>
      <c r="U964">
        <v>97</v>
      </c>
      <c r="V964">
        <v>448.44209999999998</v>
      </c>
      <c r="W964">
        <v>609.27</v>
      </c>
      <c r="X964">
        <v>0</v>
      </c>
      <c r="Y964">
        <v>0</v>
      </c>
      <c r="Z964">
        <v>43498.879999999997</v>
      </c>
      <c r="AA964">
        <v>44108.15</v>
      </c>
      <c r="AB964" s="12" t="s">
        <v>632</v>
      </c>
      <c r="AC964">
        <v>448.44209999999998</v>
      </c>
      <c r="AD964">
        <v>1</v>
      </c>
      <c r="AE964">
        <v>1</v>
      </c>
      <c r="AF964">
        <v>0</v>
      </c>
      <c r="AG964">
        <v>43498.879999999997</v>
      </c>
      <c r="AH964">
        <v>97</v>
      </c>
      <c r="AI964">
        <v>96</v>
      </c>
      <c r="AJ964">
        <v>1</v>
      </c>
      <c r="AK964">
        <v>1</v>
      </c>
      <c r="AL964">
        <v>1</v>
      </c>
      <c r="AM964">
        <v>98.97</v>
      </c>
      <c r="AN964">
        <v>459.4599</v>
      </c>
      <c r="AO964">
        <v>448.44</v>
      </c>
      <c r="AP964" s="13">
        <v>45185</v>
      </c>
      <c r="AQ964">
        <v>-1</v>
      </c>
      <c r="AR964">
        <v>1</v>
      </c>
    </row>
    <row r="965" spans="1:44" x14ac:dyDescent="0.35">
      <c r="A965" s="12" t="s">
        <v>1637</v>
      </c>
      <c r="B965" s="12" t="s">
        <v>1068</v>
      </c>
      <c r="C965" s="12" t="s">
        <v>1069</v>
      </c>
      <c r="D965" s="12" t="s">
        <v>122</v>
      </c>
      <c r="E965" s="12" t="s">
        <v>65</v>
      </c>
      <c r="F965">
        <v>2</v>
      </c>
      <c r="G965">
        <v>2</v>
      </c>
      <c r="H965">
        <v>0</v>
      </c>
      <c r="I965" s="12" t="s">
        <v>79</v>
      </c>
      <c r="J965" s="12" t="s">
        <v>80</v>
      </c>
      <c r="K965" s="12" t="s">
        <v>81</v>
      </c>
      <c r="L965" s="12" t="s">
        <v>82</v>
      </c>
      <c r="M965">
        <v>12.07</v>
      </c>
      <c r="N965" s="12" t="s">
        <v>70</v>
      </c>
      <c r="O965" s="12" t="s">
        <v>71</v>
      </c>
      <c r="P965" s="12" t="s">
        <v>72</v>
      </c>
      <c r="Q965" s="13">
        <v>45154</v>
      </c>
      <c r="R965" s="13">
        <v>45179</v>
      </c>
      <c r="S965">
        <v>2023</v>
      </c>
      <c r="T965" s="12" t="s">
        <v>1536</v>
      </c>
      <c r="U965">
        <v>668</v>
      </c>
      <c r="V965">
        <v>21.667100000000001</v>
      </c>
      <c r="W965">
        <v>157.5</v>
      </c>
      <c r="X965">
        <v>446.93</v>
      </c>
      <c r="Y965">
        <v>1</v>
      </c>
      <c r="Z965">
        <v>14473.62</v>
      </c>
      <c r="AA965">
        <v>15078.05</v>
      </c>
      <c r="AB965" s="12" t="s">
        <v>1070</v>
      </c>
      <c r="AC965">
        <v>21.667100000000001</v>
      </c>
      <c r="AD965">
        <v>1</v>
      </c>
      <c r="AE965">
        <v>1</v>
      </c>
      <c r="AF965">
        <v>0</v>
      </c>
      <c r="AG965">
        <v>14473.62</v>
      </c>
      <c r="AH965">
        <v>668</v>
      </c>
      <c r="AI965">
        <v>664</v>
      </c>
      <c r="AJ965">
        <v>4</v>
      </c>
      <c r="AK965">
        <v>1</v>
      </c>
      <c r="AL965">
        <v>1</v>
      </c>
      <c r="AM965">
        <v>99.4</v>
      </c>
      <c r="AN965">
        <v>22.707899999999999</v>
      </c>
      <c r="AO965">
        <v>86.67</v>
      </c>
      <c r="AP965" s="13">
        <v>45189</v>
      </c>
      <c r="AQ965">
        <v>10</v>
      </c>
      <c r="AR965">
        <v>0</v>
      </c>
    </row>
    <row r="966" spans="1:44" x14ac:dyDescent="0.35">
      <c r="A966" s="12" t="s">
        <v>1638</v>
      </c>
      <c r="B966" s="12" t="s">
        <v>120</v>
      </c>
      <c r="C966" s="12" t="s">
        <v>121</v>
      </c>
      <c r="D966" s="12" t="s">
        <v>122</v>
      </c>
      <c r="E966" s="12" t="s">
        <v>65</v>
      </c>
      <c r="F966">
        <v>3</v>
      </c>
      <c r="G966">
        <v>4</v>
      </c>
      <c r="H966">
        <v>0</v>
      </c>
      <c r="I966" s="12" t="s">
        <v>123</v>
      </c>
      <c r="J966" s="12" t="s">
        <v>124</v>
      </c>
      <c r="K966" s="12" t="s">
        <v>125</v>
      </c>
      <c r="L966" s="12" t="s">
        <v>82</v>
      </c>
      <c r="M966">
        <v>6.75</v>
      </c>
      <c r="N966" s="12" t="s">
        <v>97</v>
      </c>
      <c r="O966" s="12" t="s">
        <v>98</v>
      </c>
      <c r="P966" s="12" t="s">
        <v>72</v>
      </c>
      <c r="Q966" s="13">
        <v>45154</v>
      </c>
      <c r="R966" s="13">
        <v>45190</v>
      </c>
      <c r="S966">
        <v>2023</v>
      </c>
      <c r="T966" s="12" t="s">
        <v>1536</v>
      </c>
      <c r="U966">
        <v>1796</v>
      </c>
      <c r="V966">
        <v>57.149299999999997</v>
      </c>
      <c r="W966">
        <v>1092.31</v>
      </c>
      <c r="X966">
        <v>0</v>
      </c>
      <c r="Y966">
        <v>0</v>
      </c>
      <c r="Z966">
        <v>102640.14</v>
      </c>
      <c r="AA966">
        <v>103732.45</v>
      </c>
      <c r="AB966" s="12" t="s">
        <v>126</v>
      </c>
      <c r="AC966">
        <v>55.544699999999999</v>
      </c>
      <c r="AD966">
        <v>1</v>
      </c>
      <c r="AE966">
        <v>1</v>
      </c>
      <c r="AF966">
        <v>2881.86</v>
      </c>
      <c r="AG966">
        <v>99758.28</v>
      </c>
      <c r="AH966">
        <v>1796</v>
      </c>
      <c r="AI966">
        <v>1782</v>
      </c>
      <c r="AJ966">
        <v>14</v>
      </c>
      <c r="AK966">
        <v>1</v>
      </c>
      <c r="AL966">
        <v>1</v>
      </c>
      <c r="AM966">
        <v>99.22</v>
      </c>
      <c r="AN966">
        <v>58.211300000000001</v>
      </c>
      <c r="AO966">
        <v>800.09</v>
      </c>
      <c r="AP966" s="13">
        <v>45188</v>
      </c>
      <c r="AQ966">
        <v>-2</v>
      </c>
      <c r="AR966">
        <v>1</v>
      </c>
    </row>
    <row r="967" spans="1:44" x14ac:dyDescent="0.35">
      <c r="A967" s="12" t="s">
        <v>1639</v>
      </c>
      <c r="B967" s="12" t="s">
        <v>621</v>
      </c>
      <c r="C967" s="12" t="s">
        <v>622</v>
      </c>
      <c r="D967" s="12" t="s">
        <v>103</v>
      </c>
      <c r="E967" s="12" t="s">
        <v>65</v>
      </c>
      <c r="F967">
        <v>1</v>
      </c>
      <c r="G967">
        <v>2</v>
      </c>
      <c r="H967">
        <v>1</v>
      </c>
      <c r="I967" s="12" t="s">
        <v>486</v>
      </c>
      <c r="J967" s="12" t="s">
        <v>487</v>
      </c>
      <c r="K967" s="12" t="s">
        <v>125</v>
      </c>
      <c r="L967" s="12" t="s">
        <v>69</v>
      </c>
      <c r="M967">
        <v>36.86</v>
      </c>
      <c r="N967" s="12" t="s">
        <v>107</v>
      </c>
      <c r="O967" s="12" t="s">
        <v>108</v>
      </c>
      <c r="P967" s="12" t="s">
        <v>109</v>
      </c>
      <c r="Q967" s="13">
        <v>45154</v>
      </c>
      <c r="R967" s="13">
        <v>45183</v>
      </c>
      <c r="S967">
        <v>2023</v>
      </c>
      <c r="T967" s="12" t="s">
        <v>1536</v>
      </c>
      <c r="U967">
        <v>78</v>
      </c>
      <c r="V967">
        <v>201.42019999999999</v>
      </c>
      <c r="W967">
        <v>329.47</v>
      </c>
      <c r="X967">
        <v>503.6</v>
      </c>
      <c r="Y967">
        <v>1</v>
      </c>
      <c r="Z967">
        <v>15710.78</v>
      </c>
      <c r="AA967">
        <v>16543.849999999999</v>
      </c>
      <c r="AB967" s="12" t="s">
        <v>623</v>
      </c>
      <c r="AC967">
        <v>201.42019999999999</v>
      </c>
      <c r="AD967">
        <v>1</v>
      </c>
      <c r="AE967">
        <v>1</v>
      </c>
      <c r="AF967">
        <v>0</v>
      </c>
      <c r="AG967">
        <v>15710.78</v>
      </c>
      <c r="AH967">
        <v>78</v>
      </c>
      <c r="AI967">
        <v>77</v>
      </c>
      <c r="AJ967">
        <v>1</v>
      </c>
      <c r="AK967">
        <v>1</v>
      </c>
      <c r="AL967">
        <v>1</v>
      </c>
      <c r="AM967">
        <v>98.72</v>
      </c>
      <c r="AN967">
        <v>214.85509999999999</v>
      </c>
      <c r="AO967">
        <v>201.42</v>
      </c>
      <c r="AP967" s="13">
        <v>45181</v>
      </c>
      <c r="AQ967">
        <v>-2</v>
      </c>
      <c r="AR967">
        <v>1</v>
      </c>
    </row>
    <row r="968" spans="1:44" x14ac:dyDescent="0.35">
      <c r="A968" s="12" t="s">
        <v>1640</v>
      </c>
      <c r="B968" s="12" t="s">
        <v>331</v>
      </c>
      <c r="C968" s="12" t="s">
        <v>332</v>
      </c>
      <c r="D968" s="12" t="s">
        <v>122</v>
      </c>
      <c r="E968" s="12" t="s">
        <v>142</v>
      </c>
      <c r="F968">
        <v>3</v>
      </c>
      <c r="G968">
        <v>11</v>
      </c>
      <c r="H968">
        <v>0</v>
      </c>
      <c r="I968" s="12" t="s">
        <v>263</v>
      </c>
      <c r="J968" s="12" t="s">
        <v>264</v>
      </c>
      <c r="K968" s="12" t="s">
        <v>125</v>
      </c>
      <c r="L968" s="12" t="s">
        <v>82</v>
      </c>
      <c r="M968">
        <v>10.210000000000001</v>
      </c>
      <c r="N968" s="12" t="s">
        <v>97</v>
      </c>
      <c r="O968" s="12" t="s">
        <v>98</v>
      </c>
      <c r="P968" s="12" t="s">
        <v>72</v>
      </c>
      <c r="Q968" s="13">
        <v>45154</v>
      </c>
      <c r="R968" s="13">
        <v>45192</v>
      </c>
      <c r="S968">
        <v>2023</v>
      </c>
      <c r="T968" s="12" t="s">
        <v>1536</v>
      </c>
      <c r="U968">
        <v>563</v>
      </c>
      <c r="V968">
        <v>25.052199999999999</v>
      </c>
      <c r="W968">
        <v>209.54</v>
      </c>
      <c r="X968">
        <v>0</v>
      </c>
      <c r="Y968">
        <v>0</v>
      </c>
      <c r="Z968">
        <v>14104.39</v>
      </c>
      <c r="AA968">
        <v>14313.93</v>
      </c>
      <c r="AB968" s="12" t="s">
        <v>333</v>
      </c>
      <c r="AC968">
        <v>25.052199999999999</v>
      </c>
      <c r="AD968">
        <v>1</v>
      </c>
      <c r="AE968">
        <v>1</v>
      </c>
      <c r="AF968">
        <v>0</v>
      </c>
      <c r="AG968">
        <v>14104.39</v>
      </c>
      <c r="AH968">
        <v>563</v>
      </c>
      <c r="AI968">
        <v>559</v>
      </c>
      <c r="AJ968">
        <v>4</v>
      </c>
      <c r="AK968">
        <v>1</v>
      </c>
      <c r="AL968">
        <v>1</v>
      </c>
      <c r="AM968">
        <v>99.29</v>
      </c>
      <c r="AN968">
        <v>25.606300000000001</v>
      </c>
      <c r="AO968">
        <v>100.21</v>
      </c>
      <c r="AP968" s="13">
        <v>45189</v>
      </c>
      <c r="AQ968">
        <v>-3</v>
      </c>
      <c r="AR968">
        <v>1</v>
      </c>
    </row>
    <row r="969" spans="1:44" x14ac:dyDescent="0.35">
      <c r="A969" s="12" t="s">
        <v>1641</v>
      </c>
      <c r="B969" s="12" t="s">
        <v>657</v>
      </c>
      <c r="C969" s="12" t="s">
        <v>658</v>
      </c>
      <c r="D969" s="12" t="s">
        <v>175</v>
      </c>
      <c r="E969" s="12" t="s">
        <v>65</v>
      </c>
      <c r="F969">
        <v>1</v>
      </c>
      <c r="G969">
        <v>2</v>
      </c>
      <c r="H969">
        <v>1</v>
      </c>
      <c r="I969" s="12" t="s">
        <v>183</v>
      </c>
      <c r="J969" s="12" t="s">
        <v>184</v>
      </c>
      <c r="K969" s="12" t="s">
        <v>133</v>
      </c>
      <c r="L969" s="12" t="s">
        <v>82</v>
      </c>
      <c r="M969">
        <v>8.6199999999999992</v>
      </c>
      <c r="N969" s="12" t="s">
        <v>145</v>
      </c>
      <c r="O969" s="12" t="s">
        <v>146</v>
      </c>
      <c r="P969" s="12" t="s">
        <v>109</v>
      </c>
      <c r="Q969" s="13">
        <v>45154</v>
      </c>
      <c r="R969" s="13">
        <v>45181</v>
      </c>
      <c r="S969">
        <v>2023</v>
      </c>
      <c r="T969" s="12" t="s">
        <v>1536</v>
      </c>
      <c r="U969">
        <v>63</v>
      </c>
      <c r="V969">
        <v>153.8561</v>
      </c>
      <c r="W969">
        <v>63.5</v>
      </c>
      <c r="X969">
        <v>0</v>
      </c>
      <c r="Y969">
        <v>0</v>
      </c>
      <c r="Z969">
        <v>9692.93</v>
      </c>
      <c r="AA969">
        <v>9756.43</v>
      </c>
      <c r="AB969" s="12" t="s">
        <v>659</v>
      </c>
      <c r="AC969">
        <v>153.8561</v>
      </c>
      <c r="AD969">
        <v>1</v>
      </c>
      <c r="AE969">
        <v>1</v>
      </c>
      <c r="AF969">
        <v>0</v>
      </c>
      <c r="AG969">
        <v>9692.93</v>
      </c>
      <c r="AH969">
        <v>63</v>
      </c>
      <c r="AI969">
        <v>62</v>
      </c>
      <c r="AJ969">
        <v>1</v>
      </c>
      <c r="AK969">
        <v>1</v>
      </c>
      <c r="AL969">
        <v>1</v>
      </c>
      <c r="AM969">
        <v>98.41</v>
      </c>
      <c r="AN969">
        <v>157.36179999999999</v>
      </c>
      <c r="AO969">
        <v>153.86000000000001</v>
      </c>
      <c r="AP969" s="13">
        <v>45179</v>
      </c>
      <c r="AQ969">
        <v>-2</v>
      </c>
      <c r="AR969">
        <v>1</v>
      </c>
    </row>
    <row r="970" spans="1:44" x14ac:dyDescent="0.35">
      <c r="A970" s="12" t="s">
        <v>1642</v>
      </c>
      <c r="B970" s="12" t="s">
        <v>255</v>
      </c>
      <c r="C970" s="12" t="s">
        <v>256</v>
      </c>
      <c r="D970" s="12" t="s">
        <v>103</v>
      </c>
      <c r="E970" s="12" t="s">
        <v>65</v>
      </c>
      <c r="F970">
        <v>2</v>
      </c>
      <c r="G970">
        <v>4</v>
      </c>
      <c r="H970">
        <v>0</v>
      </c>
      <c r="I970" s="12" t="s">
        <v>143</v>
      </c>
      <c r="J970" s="12" t="s">
        <v>144</v>
      </c>
      <c r="K970" s="12" t="s">
        <v>133</v>
      </c>
      <c r="L970" s="12" t="s">
        <v>96</v>
      </c>
      <c r="M970">
        <v>5.43</v>
      </c>
      <c r="N970" s="12" t="s">
        <v>145</v>
      </c>
      <c r="O970" s="12" t="s">
        <v>146</v>
      </c>
      <c r="P970" s="12" t="s">
        <v>109</v>
      </c>
      <c r="Q970" s="13">
        <v>45154</v>
      </c>
      <c r="R970" s="13">
        <v>45181</v>
      </c>
      <c r="S970">
        <v>2023</v>
      </c>
      <c r="T970" s="12" t="s">
        <v>1536</v>
      </c>
      <c r="U970">
        <v>62</v>
      </c>
      <c r="V970">
        <v>95.085700000000003</v>
      </c>
      <c r="W970">
        <v>74.84</v>
      </c>
      <c r="X970">
        <v>0</v>
      </c>
      <c r="Y970">
        <v>0</v>
      </c>
      <c r="Z970">
        <v>5895.31</v>
      </c>
      <c r="AA970">
        <v>5970.15</v>
      </c>
      <c r="AB970" s="12" t="s">
        <v>366</v>
      </c>
      <c r="AC970">
        <v>95.085700000000003</v>
      </c>
      <c r="AD970">
        <v>1</v>
      </c>
      <c r="AE970">
        <v>1</v>
      </c>
      <c r="AF970">
        <v>0</v>
      </c>
      <c r="AG970">
        <v>5895.31</v>
      </c>
      <c r="AH970">
        <v>62</v>
      </c>
      <c r="AI970">
        <v>62</v>
      </c>
      <c r="AJ970">
        <v>0</v>
      </c>
      <c r="AK970">
        <v>1</v>
      </c>
      <c r="AL970">
        <v>1</v>
      </c>
      <c r="AM970">
        <v>100</v>
      </c>
      <c r="AN970">
        <v>96.2928</v>
      </c>
      <c r="AO970">
        <v>0</v>
      </c>
      <c r="AP970" s="13">
        <v>45180</v>
      </c>
      <c r="AQ970">
        <v>-1</v>
      </c>
      <c r="AR970">
        <v>1</v>
      </c>
    </row>
    <row r="971" spans="1:44" x14ac:dyDescent="0.35">
      <c r="A971" s="12" t="s">
        <v>1643</v>
      </c>
      <c r="B971" s="12" t="s">
        <v>1179</v>
      </c>
      <c r="C971" s="12" t="s">
        <v>1180</v>
      </c>
      <c r="D971" s="12" t="s">
        <v>122</v>
      </c>
      <c r="E971" s="12" t="s">
        <v>142</v>
      </c>
      <c r="F971">
        <v>1</v>
      </c>
      <c r="G971">
        <v>8</v>
      </c>
      <c r="H971">
        <v>1</v>
      </c>
      <c r="I971" s="12" t="s">
        <v>143</v>
      </c>
      <c r="J971" s="12" t="s">
        <v>144</v>
      </c>
      <c r="K971" s="12" t="s">
        <v>133</v>
      </c>
      <c r="L971" s="12" t="s">
        <v>96</v>
      </c>
      <c r="M971">
        <v>5.43</v>
      </c>
      <c r="N971" s="12" t="s">
        <v>70</v>
      </c>
      <c r="O971" s="12" t="s">
        <v>71</v>
      </c>
      <c r="P971" s="12" t="s">
        <v>72</v>
      </c>
      <c r="Q971" s="13">
        <v>45154</v>
      </c>
      <c r="R971" s="13">
        <v>45199</v>
      </c>
      <c r="S971">
        <v>2023</v>
      </c>
      <c r="T971" s="12" t="s">
        <v>1536</v>
      </c>
      <c r="U971">
        <v>1228</v>
      </c>
      <c r="V971">
        <v>52.674799999999998</v>
      </c>
      <c r="W971">
        <v>1485.59</v>
      </c>
      <c r="X971">
        <v>0</v>
      </c>
      <c r="Y971">
        <v>0</v>
      </c>
      <c r="Z971">
        <v>64684.65</v>
      </c>
      <c r="AA971">
        <v>66170.240000000005</v>
      </c>
      <c r="AB971" s="12" t="s">
        <v>1181</v>
      </c>
      <c r="AC971">
        <v>52.674799999999998</v>
      </c>
      <c r="AD971">
        <v>1</v>
      </c>
      <c r="AE971">
        <v>1</v>
      </c>
      <c r="AF971">
        <v>0</v>
      </c>
      <c r="AG971">
        <v>64684.65</v>
      </c>
      <c r="AH971">
        <v>1228</v>
      </c>
      <c r="AI971">
        <v>1216</v>
      </c>
      <c r="AJ971">
        <v>12</v>
      </c>
      <c r="AK971">
        <v>1</v>
      </c>
      <c r="AL971">
        <v>1</v>
      </c>
      <c r="AM971">
        <v>99.02</v>
      </c>
      <c r="AN971">
        <v>54.4163</v>
      </c>
      <c r="AO971">
        <v>632.1</v>
      </c>
      <c r="AP971" s="13">
        <v>45200</v>
      </c>
      <c r="AQ971">
        <v>1</v>
      </c>
      <c r="AR971">
        <v>0</v>
      </c>
    </row>
    <row r="972" spans="1:44" x14ac:dyDescent="0.35">
      <c r="A972" s="12" t="s">
        <v>1644</v>
      </c>
      <c r="B972" s="12" t="s">
        <v>1013</v>
      </c>
      <c r="C972" s="12" t="s">
        <v>1014</v>
      </c>
      <c r="D972" s="12" t="s">
        <v>78</v>
      </c>
      <c r="E972" s="12" t="s">
        <v>65</v>
      </c>
      <c r="F972">
        <v>2</v>
      </c>
      <c r="G972">
        <v>3</v>
      </c>
      <c r="H972">
        <v>0</v>
      </c>
      <c r="I972" s="12" t="s">
        <v>123</v>
      </c>
      <c r="J972" s="12" t="s">
        <v>124</v>
      </c>
      <c r="K972" s="12" t="s">
        <v>125</v>
      </c>
      <c r="L972" s="12" t="s">
        <v>82</v>
      </c>
      <c r="M972">
        <v>6.75</v>
      </c>
      <c r="N972" s="12" t="s">
        <v>70</v>
      </c>
      <c r="O972" s="12" t="s">
        <v>71</v>
      </c>
      <c r="P972" s="12" t="s">
        <v>72</v>
      </c>
      <c r="Q972" s="13">
        <v>45154</v>
      </c>
      <c r="R972" s="13">
        <v>45182</v>
      </c>
      <c r="S972">
        <v>2023</v>
      </c>
      <c r="T972" s="12" t="s">
        <v>1536</v>
      </c>
      <c r="U972">
        <v>141</v>
      </c>
      <c r="V972">
        <v>125.2653</v>
      </c>
      <c r="W972">
        <v>367.03</v>
      </c>
      <c r="X972">
        <v>0</v>
      </c>
      <c r="Y972">
        <v>0</v>
      </c>
      <c r="Z972">
        <v>17662.41</v>
      </c>
      <c r="AA972">
        <v>18029.439999999999</v>
      </c>
      <c r="AB972" s="12" t="s">
        <v>1015</v>
      </c>
      <c r="AC972">
        <v>125.2653</v>
      </c>
      <c r="AD972">
        <v>1</v>
      </c>
      <c r="AE972">
        <v>1</v>
      </c>
      <c r="AF972">
        <v>0</v>
      </c>
      <c r="AG972">
        <v>17662.41</v>
      </c>
      <c r="AH972">
        <v>141</v>
      </c>
      <c r="AI972">
        <v>138</v>
      </c>
      <c r="AJ972">
        <v>3</v>
      </c>
      <c r="AK972">
        <v>1</v>
      </c>
      <c r="AL972">
        <v>1</v>
      </c>
      <c r="AM972">
        <v>97.87</v>
      </c>
      <c r="AN972">
        <v>130.6481</v>
      </c>
      <c r="AO972">
        <v>375.8</v>
      </c>
      <c r="AP972" s="13">
        <v>45190</v>
      </c>
      <c r="AQ972">
        <v>8</v>
      </c>
      <c r="AR972">
        <v>0</v>
      </c>
    </row>
    <row r="973" spans="1:44" x14ac:dyDescent="0.35">
      <c r="A973" s="12" t="s">
        <v>1645</v>
      </c>
      <c r="B973" s="12" t="s">
        <v>736</v>
      </c>
      <c r="C973" s="12" t="s">
        <v>737</v>
      </c>
      <c r="D973" s="12" t="s">
        <v>64</v>
      </c>
      <c r="E973" s="12" t="s">
        <v>104</v>
      </c>
      <c r="F973">
        <v>3</v>
      </c>
      <c r="G973">
        <v>1</v>
      </c>
      <c r="H973">
        <v>0</v>
      </c>
      <c r="I973" s="12" t="s">
        <v>94</v>
      </c>
      <c r="J973" s="12" t="s">
        <v>95</v>
      </c>
      <c r="K973" s="12" t="s">
        <v>81</v>
      </c>
      <c r="L973" s="12" t="s">
        <v>96</v>
      </c>
      <c r="M973">
        <v>4.8099999999999996</v>
      </c>
      <c r="N973" s="12" t="s">
        <v>70</v>
      </c>
      <c r="O973" s="12" t="s">
        <v>71</v>
      </c>
      <c r="P973" s="12" t="s">
        <v>72</v>
      </c>
      <c r="Q973" s="13">
        <v>45154</v>
      </c>
      <c r="R973" s="13">
        <v>45175</v>
      </c>
      <c r="S973">
        <v>2023</v>
      </c>
      <c r="T973" s="12" t="s">
        <v>1536</v>
      </c>
      <c r="U973">
        <v>585</v>
      </c>
      <c r="V973">
        <v>24.696300000000001</v>
      </c>
      <c r="W973">
        <v>347.49</v>
      </c>
      <c r="X973">
        <v>0</v>
      </c>
      <c r="Y973">
        <v>0</v>
      </c>
      <c r="Z973">
        <v>14447.34</v>
      </c>
      <c r="AA973">
        <v>14794.83</v>
      </c>
      <c r="AB973" s="12" t="s">
        <v>738</v>
      </c>
      <c r="AC973">
        <v>24.696300000000001</v>
      </c>
      <c r="AD973">
        <v>1</v>
      </c>
      <c r="AE973">
        <v>1</v>
      </c>
      <c r="AF973">
        <v>0</v>
      </c>
      <c r="AG973">
        <v>14447.34</v>
      </c>
      <c r="AH973">
        <v>585</v>
      </c>
      <c r="AI973">
        <v>582</v>
      </c>
      <c r="AJ973">
        <v>3</v>
      </c>
      <c r="AK973">
        <v>1</v>
      </c>
      <c r="AL973">
        <v>1</v>
      </c>
      <c r="AM973">
        <v>99.49</v>
      </c>
      <c r="AN973">
        <v>25.4207</v>
      </c>
      <c r="AO973">
        <v>74.09</v>
      </c>
      <c r="AP973" s="13">
        <v>45173</v>
      </c>
      <c r="AQ973">
        <v>-2</v>
      </c>
      <c r="AR973">
        <v>1</v>
      </c>
    </row>
    <row r="974" spans="1:44" x14ac:dyDescent="0.35">
      <c r="A974" s="12" t="s">
        <v>1646</v>
      </c>
      <c r="B974" s="12" t="s">
        <v>428</v>
      </c>
      <c r="C974" s="12" t="s">
        <v>429</v>
      </c>
      <c r="D974" s="12" t="s">
        <v>64</v>
      </c>
      <c r="E974" s="12" t="s">
        <v>65</v>
      </c>
      <c r="F974">
        <v>3</v>
      </c>
      <c r="G974">
        <v>4</v>
      </c>
      <c r="H974">
        <v>0</v>
      </c>
      <c r="I974" s="12" t="s">
        <v>380</v>
      </c>
      <c r="J974" s="12" t="s">
        <v>381</v>
      </c>
      <c r="K974" s="12" t="s">
        <v>89</v>
      </c>
      <c r="L974" s="12" t="s">
        <v>96</v>
      </c>
      <c r="M974">
        <v>10.210000000000001</v>
      </c>
      <c r="N974" s="12" t="s">
        <v>70</v>
      </c>
      <c r="O974" s="12" t="s">
        <v>71</v>
      </c>
      <c r="P974" s="12" t="s">
        <v>72</v>
      </c>
      <c r="Q974" s="13">
        <v>45154</v>
      </c>
      <c r="R974" s="13">
        <v>45185</v>
      </c>
      <c r="S974">
        <v>2023</v>
      </c>
      <c r="T974" s="12" t="s">
        <v>1536</v>
      </c>
      <c r="U974">
        <v>605</v>
      </c>
      <c r="V974">
        <v>15.0402</v>
      </c>
      <c r="W974">
        <v>56.73</v>
      </c>
      <c r="X974">
        <v>0</v>
      </c>
      <c r="Y974">
        <v>0</v>
      </c>
      <c r="Z974">
        <v>9099.32</v>
      </c>
      <c r="AA974">
        <v>9156.0499999999993</v>
      </c>
      <c r="AB974" s="12" t="s">
        <v>430</v>
      </c>
      <c r="AC974">
        <v>15.0402</v>
      </c>
      <c r="AD974">
        <v>1</v>
      </c>
      <c r="AE974">
        <v>1</v>
      </c>
      <c r="AF974">
        <v>0</v>
      </c>
      <c r="AG974">
        <v>9099.32</v>
      </c>
      <c r="AH974">
        <v>605</v>
      </c>
      <c r="AI974">
        <v>595</v>
      </c>
      <c r="AJ974">
        <v>10</v>
      </c>
      <c r="AK974">
        <v>1</v>
      </c>
      <c r="AL974">
        <v>1</v>
      </c>
      <c r="AM974">
        <v>98.35</v>
      </c>
      <c r="AN974">
        <v>15.388299999999999</v>
      </c>
      <c r="AO974">
        <v>150.4</v>
      </c>
      <c r="AP974" s="13">
        <v>45185</v>
      </c>
      <c r="AQ974">
        <v>0</v>
      </c>
      <c r="AR974">
        <v>1</v>
      </c>
    </row>
    <row r="975" spans="1:44" x14ac:dyDescent="0.35">
      <c r="A975" s="12" t="s">
        <v>1647</v>
      </c>
      <c r="B975" s="12" t="s">
        <v>670</v>
      </c>
      <c r="C975" s="12" t="s">
        <v>671</v>
      </c>
      <c r="D975" s="12" t="s">
        <v>175</v>
      </c>
      <c r="E975" s="12" t="s">
        <v>142</v>
      </c>
      <c r="F975">
        <v>2</v>
      </c>
      <c r="G975">
        <v>9</v>
      </c>
      <c r="H975">
        <v>0</v>
      </c>
      <c r="I975" s="12" t="s">
        <v>105</v>
      </c>
      <c r="J975" s="12" t="s">
        <v>106</v>
      </c>
      <c r="K975" s="12" t="s">
        <v>81</v>
      </c>
      <c r="L975" s="12" t="s">
        <v>96</v>
      </c>
      <c r="M975">
        <v>5.01</v>
      </c>
      <c r="N975" s="12" t="s">
        <v>145</v>
      </c>
      <c r="O975" s="12" t="s">
        <v>146</v>
      </c>
      <c r="P975" s="12" t="s">
        <v>109</v>
      </c>
      <c r="Q975" s="13">
        <v>45154</v>
      </c>
      <c r="R975" s="13">
        <v>45202</v>
      </c>
      <c r="S975">
        <v>2023</v>
      </c>
      <c r="T975" s="12" t="s">
        <v>1536</v>
      </c>
      <c r="U975">
        <v>117</v>
      </c>
      <c r="V975">
        <v>142.6439</v>
      </c>
      <c r="W975">
        <v>242.56</v>
      </c>
      <c r="X975">
        <v>0</v>
      </c>
      <c r="Y975">
        <v>0</v>
      </c>
      <c r="Z975">
        <v>16689.34</v>
      </c>
      <c r="AA975">
        <v>16931.900000000001</v>
      </c>
      <c r="AB975" s="12" t="s">
        <v>1203</v>
      </c>
      <c r="AC975">
        <v>151.31620000000001</v>
      </c>
      <c r="AD975">
        <v>1</v>
      </c>
      <c r="AE975">
        <v>1</v>
      </c>
      <c r="AF975">
        <v>-1014.66</v>
      </c>
      <c r="AG975">
        <v>17704</v>
      </c>
      <c r="AH975">
        <v>117</v>
      </c>
      <c r="AI975">
        <v>116</v>
      </c>
      <c r="AJ975">
        <v>1</v>
      </c>
      <c r="AK975">
        <v>1</v>
      </c>
      <c r="AL975">
        <v>1</v>
      </c>
      <c r="AM975">
        <v>99.15</v>
      </c>
      <c r="AN975">
        <v>145.96459999999999</v>
      </c>
      <c r="AO975">
        <v>142.63999999999999</v>
      </c>
      <c r="AP975" s="13">
        <v>45209</v>
      </c>
      <c r="AQ975">
        <v>7</v>
      </c>
      <c r="AR975">
        <v>0</v>
      </c>
    </row>
    <row r="976" spans="1:44" x14ac:dyDescent="0.35">
      <c r="A976" s="12" t="s">
        <v>1648</v>
      </c>
      <c r="B976" s="12" t="s">
        <v>537</v>
      </c>
      <c r="C976" s="12" t="s">
        <v>538</v>
      </c>
      <c r="D976" s="12" t="s">
        <v>103</v>
      </c>
      <c r="E976" s="12" t="s">
        <v>104</v>
      </c>
      <c r="F976">
        <v>3</v>
      </c>
      <c r="G976">
        <v>0</v>
      </c>
      <c r="H976">
        <v>0</v>
      </c>
      <c r="I976" s="12" t="s">
        <v>380</v>
      </c>
      <c r="J976" s="12" t="s">
        <v>381</v>
      </c>
      <c r="K976" s="12" t="s">
        <v>89</v>
      </c>
      <c r="L976" s="12" t="s">
        <v>96</v>
      </c>
      <c r="M976">
        <v>10.210000000000001</v>
      </c>
      <c r="N976" s="12" t="s">
        <v>145</v>
      </c>
      <c r="O976" s="12" t="s">
        <v>146</v>
      </c>
      <c r="P976" s="12" t="s">
        <v>109</v>
      </c>
      <c r="Q976" s="13">
        <v>45155</v>
      </c>
      <c r="R976" s="13">
        <v>45183</v>
      </c>
      <c r="S976">
        <v>2023</v>
      </c>
      <c r="T976" s="12" t="s">
        <v>1536</v>
      </c>
      <c r="U976">
        <v>138</v>
      </c>
      <c r="V976">
        <v>242.5684</v>
      </c>
      <c r="W976">
        <v>725.58</v>
      </c>
      <c r="X976">
        <v>0</v>
      </c>
      <c r="Y976">
        <v>0</v>
      </c>
      <c r="Z976">
        <v>33474.44</v>
      </c>
      <c r="AA976">
        <v>34200.019999999997</v>
      </c>
      <c r="AB976" s="12" t="s">
        <v>539</v>
      </c>
      <c r="AC976">
        <v>242.5684</v>
      </c>
      <c r="AD976">
        <v>1</v>
      </c>
      <c r="AE976">
        <v>1</v>
      </c>
      <c r="AF976">
        <v>0</v>
      </c>
      <c r="AG976">
        <v>33474.44</v>
      </c>
      <c r="AH976">
        <v>138</v>
      </c>
      <c r="AI976">
        <v>136</v>
      </c>
      <c r="AJ976">
        <v>2</v>
      </c>
      <c r="AK976">
        <v>1</v>
      </c>
      <c r="AL976">
        <v>1</v>
      </c>
      <c r="AM976">
        <v>98.55</v>
      </c>
      <c r="AN976">
        <v>251.47069999999999</v>
      </c>
      <c r="AO976">
        <v>485.14</v>
      </c>
      <c r="AP976" s="13">
        <v>45180</v>
      </c>
      <c r="AQ976">
        <v>-3</v>
      </c>
      <c r="AR976">
        <v>1</v>
      </c>
    </row>
    <row r="977" spans="1:44" x14ac:dyDescent="0.35">
      <c r="A977" s="12" t="s">
        <v>1649</v>
      </c>
      <c r="B977" s="12" t="s">
        <v>327</v>
      </c>
      <c r="C977" s="12" t="s">
        <v>328</v>
      </c>
      <c r="D977" s="12" t="s">
        <v>130</v>
      </c>
      <c r="E977" s="12" t="s">
        <v>104</v>
      </c>
      <c r="F977">
        <v>2</v>
      </c>
      <c r="G977">
        <v>0</v>
      </c>
      <c r="H977">
        <v>0</v>
      </c>
      <c r="I977" s="12" t="s">
        <v>94</v>
      </c>
      <c r="J977" s="12" t="s">
        <v>95</v>
      </c>
      <c r="K977" s="12" t="s">
        <v>81</v>
      </c>
      <c r="L977" s="12" t="s">
        <v>96</v>
      </c>
      <c r="M977">
        <v>4.8099999999999996</v>
      </c>
      <c r="N977" s="12" t="s">
        <v>135</v>
      </c>
      <c r="O977" s="12" t="s">
        <v>136</v>
      </c>
      <c r="P977" s="12" t="s">
        <v>137</v>
      </c>
      <c r="Q977" s="13">
        <v>45155</v>
      </c>
      <c r="R977" s="13">
        <v>45167</v>
      </c>
      <c r="S977">
        <v>2023</v>
      </c>
      <c r="T977" s="12" t="s">
        <v>1536</v>
      </c>
      <c r="U977">
        <v>16</v>
      </c>
      <c r="V977">
        <v>762.93029999999999</v>
      </c>
      <c r="W977">
        <v>308.32</v>
      </c>
      <c r="X977">
        <v>0</v>
      </c>
      <c r="Y977">
        <v>0</v>
      </c>
      <c r="Z977">
        <v>12206.88</v>
      </c>
      <c r="AA977">
        <v>12515.2</v>
      </c>
      <c r="AB977" s="12" t="s">
        <v>329</v>
      </c>
      <c r="AC977">
        <v>762.93029999999999</v>
      </c>
      <c r="AD977">
        <v>1</v>
      </c>
      <c r="AE977">
        <v>1</v>
      </c>
      <c r="AF977">
        <v>0</v>
      </c>
      <c r="AG977">
        <v>12206.88</v>
      </c>
      <c r="AH977">
        <v>16</v>
      </c>
      <c r="AI977">
        <v>16</v>
      </c>
      <c r="AJ977">
        <v>0</v>
      </c>
      <c r="AK977">
        <v>1</v>
      </c>
      <c r="AL977">
        <v>1</v>
      </c>
      <c r="AM977">
        <v>100</v>
      </c>
      <c r="AN977">
        <v>782.20029999999997</v>
      </c>
      <c r="AO977">
        <v>0</v>
      </c>
      <c r="AP977" s="13">
        <v>45167</v>
      </c>
      <c r="AQ977">
        <v>0</v>
      </c>
      <c r="AR977">
        <v>1</v>
      </c>
    </row>
    <row r="978" spans="1:44" x14ac:dyDescent="0.35">
      <c r="A978" s="12" t="s">
        <v>1650</v>
      </c>
      <c r="B978" s="12" t="s">
        <v>404</v>
      </c>
      <c r="C978" s="12" t="s">
        <v>405</v>
      </c>
      <c r="D978" s="12" t="s">
        <v>269</v>
      </c>
      <c r="E978" s="12" t="s">
        <v>65</v>
      </c>
      <c r="F978">
        <v>3</v>
      </c>
      <c r="G978">
        <v>5</v>
      </c>
      <c r="H978">
        <v>0</v>
      </c>
      <c r="I978" s="12" t="s">
        <v>79</v>
      </c>
      <c r="J978" s="12" t="s">
        <v>80</v>
      </c>
      <c r="K978" s="12" t="s">
        <v>81</v>
      </c>
      <c r="L978" s="12" t="s">
        <v>82</v>
      </c>
      <c r="M978">
        <v>12.07</v>
      </c>
      <c r="N978" s="12" t="s">
        <v>159</v>
      </c>
      <c r="O978" s="12" t="s">
        <v>160</v>
      </c>
      <c r="P978" s="12" t="s">
        <v>137</v>
      </c>
      <c r="Q978" s="13">
        <v>45155</v>
      </c>
      <c r="R978" s="13">
        <v>45176</v>
      </c>
      <c r="S978">
        <v>2023</v>
      </c>
      <c r="T978" s="12" t="s">
        <v>1536</v>
      </c>
      <c r="U978">
        <v>13</v>
      </c>
      <c r="V978">
        <v>430.41070000000002</v>
      </c>
      <c r="W978">
        <v>45</v>
      </c>
      <c r="X978">
        <v>0</v>
      </c>
      <c r="Y978">
        <v>0</v>
      </c>
      <c r="Z978">
        <v>5595.34</v>
      </c>
      <c r="AA978">
        <v>5640.34</v>
      </c>
      <c r="AB978" s="12" t="s">
        <v>406</v>
      </c>
      <c r="AC978">
        <v>430.41070000000002</v>
      </c>
      <c r="AD978">
        <v>1</v>
      </c>
      <c r="AE978">
        <v>1</v>
      </c>
      <c r="AF978">
        <v>0</v>
      </c>
      <c r="AG978">
        <v>5595.34</v>
      </c>
      <c r="AH978">
        <v>13</v>
      </c>
      <c r="AI978">
        <v>13</v>
      </c>
      <c r="AJ978">
        <v>0</v>
      </c>
      <c r="AK978">
        <v>1</v>
      </c>
      <c r="AL978">
        <v>1</v>
      </c>
      <c r="AM978">
        <v>100</v>
      </c>
      <c r="AN978">
        <v>433.87220000000002</v>
      </c>
      <c r="AO978">
        <v>0</v>
      </c>
      <c r="AP978" s="13">
        <v>45175</v>
      </c>
      <c r="AQ978">
        <v>-1</v>
      </c>
      <c r="AR978">
        <v>1</v>
      </c>
    </row>
    <row r="979" spans="1:44" x14ac:dyDescent="0.35">
      <c r="A979" s="12" t="s">
        <v>1651</v>
      </c>
      <c r="B979" s="12" t="s">
        <v>347</v>
      </c>
      <c r="C979" s="12" t="s">
        <v>348</v>
      </c>
      <c r="D979" s="12" t="s">
        <v>78</v>
      </c>
      <c r="E979" s="12" t="s">
        <v>104</v>
      </c>
      <c r="F979">
        <v>3</v>
      </c>
      <c r="G979">
        <v>1</v>
      </c>
      <c r="H979">
        <v>0</v>
      </c>
      <c r="I979" s="12" t="s">
        <v>105</v>
      </c>
      <c r="J979" s="12" t="s">
        <v>106</v>
      </c>
      <c r="K979" s="12" t="s">
        <v>81</v>
      </c>
      <c r="L979" s="12" t="s">
        <v>96</v>
      </c>
      <c r="M979">
        <v>5.01</v>
      </c>
      <c r="N979" s="12" t="s">
        <v>97</v>
      </c>
      <c r="O979" s="12" t="s">
        <v>98</v>
      </c>
      <c r="P979" s="12" t="s">
        <v>72</v>
      </c>
      <c r="Q979" s="13">
        <v>45155</v>
      </c>
      <c r="R979" s="13">
        <v>45167</v>
      </c>
      <c r="S979">
        <v>2023</v>
      </c>
      <c r="T979" s="12" t="s">
        <v>1536</v>
      </c>
      <c r="U979">
        <v>49</v>
      </c>
      <c r="V979">
        <v>100.34050000000001</v>
      </c>
      <c r="W979">
        <v>29.9</v>
      </c>
      <c r="X979">
        <v>0</v>
      </c>
      <c r="Y979">
        <v>0</v>
      </c>
      <c r="Z979">
        <v>4916.68</v>
      </c>
      <c r="AA979">
        <v>4946.58</v>
      </c>
      <c r="AB979" s="12" t="s">
        <v>841</v>
      </c>
      <c r="AC979">
        <v>100.34050000000001</v>
      </c>
      <c r="AD979">
        <v>1</v>
      </c>
      <c r="AE979">
        <v>1</v>
      </c>
      <c r="AF979">
        <v>0</v>
      </c>
      <c r="AG979">
        <v>4916.68</v>
      </c>
      <c r="AH979">
        <v>49</v>
      </c>
      <c r="AI979">
        <v>48</v>
      </c>
      <c r="AJ979">
        <v>1</v>
      </c>
      <c r="AK979">
        <v>1</v>
      </c>
      <c r="AL979">
        <v>1</v>
      </c>
      <c r="AM979">
        <v>97.96</v>
      </c>
      <c r="AN979">
        <v>103.0538</v>
      </c>
      <c r="AO979">
        <v>100.34</v>
      </c>
      <c r="AP979" s="13">
        <v>45170</v>
      </c>
      <c r="AQ979">
        <v>3</v>
      </c>
      <c r="AR979">
        <v>0</v>
      </c>
    </row>
    <row r="980" spans="1:44" x14ac:dyDescent="0.35">
      <c r="A980" s="12" t="s">
        <v>1652</v>
      </c>
      <c r="B980" s="12" t="s">
        <v>1068</v>
      </c>
      <c r="C980" s="12" t="s">
        <v>1069</v>
      </c>
      <c r="D980" s="12" t="s">
        <v>122</v>
      </c>
      <c r="E980" s="12" t="s">
        <v>65</v>
      </c>
      <c r="F980">
        <v>2</v>
      </c>
      <c r="G980">
        <v>2</v>
      </c>
      <c r="H980">
        <v>0</v>
      </c>
      <c r="I980" s="12" t="s">
        <v>195</v>
      </c>
      <c r="J980" s="12" t="s">
        <v>196</v>
      </c>
      <c r="K980" s="12" t="s">
        <v>117</v>
      </c>
      <c r="L980" s="12" t="s">
        <v>134</v>
      </c>
      <c r="M980">
        <v>4.7699999999999996</v>
      </c>
      <c r="N980" s="12" t="s">
        <v>97</v>
      </c>
      <c r="O980" s="12" t="s">
        <v>98</v>
      </c>
      <c r="P980" s="12" t="s">
        <v>72</v>
      </c>
      <c r="Q980" s="13">
        <v>45155</v>
      </c>
      <c r="R980" s="13">
        <v>45184</v>
      </c>
      <c r="S980">
        <v>2023</v>
      </c>
      <c r="T980" s="12" t="s">
        <v>1536</v>
      </c>
      <c r="U980">
        <v>1059</v>
      </c>
      <c r="V980">
        <v>21.667100000000001</v>
      </c>
      <c r="W980">
        <v>334.18</v>
      </c>
      <c r="X980">
        <v>0</v>
      </c>
      <c r="Y980">
        <v>0</v>
      </c>
      <c r="Z980">
        <v>22945.46</v>
      </c>
      <c r="AA980">
        <v>23279.64</v>
      </c>
      <c r="AB980" s="12" t="s">
        <v>1370</v>
      </c>
      <c r="AC980">
        <v>21.667100000000001</v>
      </c>
      <c r="AD980">
        <v>1</v>
      </c>
      <c r="AE980">
        <v>1</v>
      </c>
      <c r="AF980">
        <v>0</v>
      </c>
      <c r="AG980">
        <v>22945.46</v>
      </c>
      <c r="AH980">
        <v>1059</v>
      </c>
      <c r="AI980">
        <v>1051</v>
      </c>
      <c r="AJ980">
        <v>8</v>
      </c>
      <c r="AK980">
        <v>1</v>
      </c>
      <c r="AL980">
        <v>1</v>
      </c>
      <c r="AM980">
        <v>99.24</v>
      </c>
      <c r="AN980">
        <v>22.15</v>
      </c>
      <c r="AO980">
        <v>173.34</v>
      </c>
      <c r="AP980" s="13">
        <v>45181</v>
      </c>
      <c r="AQ980">
        <v>-3</v>
      </c>
      <c r="AR980">
        <v>1</v>
      </c>
    </row>
    <row r="981" spans="1:44" x14ac:dyDescent="0.35">
      <c r="A981" s="12" t="s">
        <v>1653</v>
      </c>
      <c r="B981" s="12" t="s">
        <v>555</v>
      </c>
      <c r="C981" s="12" t="s">
        <v>556</v>
      </c>
      <c r="D981" s="12" t="s">
        <v>114</v>
      </c>
      <c r="E981" s="12" t="s">
        <v>142</v>
      </c>
      <c r="F981">
        <v>1</v>
      </c>
      <c r="G981">
        <v>6</v>
      </c>
      <c r="H981">
        <v>1</v>
      </c>
      <c r="I981" s="12" t="s">
        <v>151</v>
      </c>
      <c r="J981" s="12" t="s">
        <v>152</v>
      </c>
      <c r="K981" s="12" t="s">
        <v>125</v>
      </c>
      <c r="L981" s="12" t="s">
        <v>69</v>
      </c>
      <c r="M981">
        <v>36.479999999999997</v>
      </c>
      <c r="N981" s="12" t="s">
        <v>70</v>
      </c>
      <c r="O981" s="12" t="s">
        <v>71</v>
      </c>
      <c r="P981" s="12" t="s">
        <v>72</v>
      </c>
      <c r="Q981" s="13">
        <v>45155</v>
      </c>
      <c r="R981" s="13">
        <v>45207</v>
      </c>
      <c r="S981">
        <v>2023</v>
      </c>
      <c r="T981" s="12" t="s">
        <v>1536</v>
      </c>
      <c r="U981">
        <v>148</v>
      </c>
      <c r="V981">
        <v>290.42770000000002</v>
      </c>
      <c r="W981">
        <v>779.8</v>
      </c>
      <c r="X981">
        <v>0</v>
      </c>
      <c r="Y981">
        <v>0</v>
      </c>
      <c r="Z981">
        <v>42983.3</v>
      </c>
      <c r="AA981">
        <v>43763.1</v>
      </c>
      <c r="AB981" s="12" t="s">
        <v>557</v>
      </c>
      <c r="AC981">
        <v>290.42770000000002</v>
      </c>
      <c r="AD981">
        <v>1</v>
      </c>
      <c r="AE981">
        <v>1</v>
      </c>
      <c r="AF981">
        <v>0</v>
      </c>
      <c r="AG981">
        <v>42983.3</v>
      </c>
      <c r="AH981">
        <v>148</v>
      </c>
      <c r="AI981">
        <v>147</v>
      </c>
      <c r="AJ981">
        <v>1</v>
      </c>
      <c r="AK981">
        <v>1</v>
      </c>
      <c r="AL981">
        <v>1</v>
      </c>
      <c r="AM981">
        <v>99.32</v>
      </c>
      <c r="AN981">
        <v>297.70819999999998</v>
      </c>
      <c r="AO981">
        <v>290.43</v>
      </c>
      <c r="AP981" s="13">
        <v>45207</v>
      </c>
      <c r="AQ981">
        <v>0</v>
      </c>
      <c r="AR981">
        <v>1</v>
      </c>
    </row>
    <row r="982" spans="1:44" x14ac:dyDescent="0.35">
      <c r="A982" s="12" t="s">
        <v>1654</v>
      </c>
      <c r="B982" s="12" t="s">
        <v>120</v>
      </c>
      <c r="C982" s="12" t="s">
        <v>121</v>
      </c>
      <c r="D982" s="12" t="s">
        <v>122</v>
      </c>
      <c r="E982" s="12" t="s">
        <v>65</v>
      </c>
      <c r="F982">
        <v>3</v>
      </c>
      <c r="G982">
        <v>4</v>
      </c>
      <c r="H982">
        <v>0</v>
      </c>
      <c r="I982" s="12" t="s">
        <v>123</v>
      </c>
      <c r="J982" s="12" t="s">
        <v>124</v>
      </c>
      <c r="K982" s="12" t="s">
        <v>125</v>
      </c>
      <c r="L982" s="12" t="s">
        <v>82</v>
      </c>
      <c r="M982">
        <v>6.75</v>
      </c>
      <c r="N982" s="12" t="s">
        <v>70</v>
      </c>
      <c r="O982" s="12" t="s">
        <v>71</v>
      </c>
      <c r="P982" s="12" t="s">
        <v>72</v>
      </c>
      <c r="Q982" s="13">
        <v>45155</v>
      </c>
      <c r="R982" s="13">
        <v>45185</v>
      </c>
      <c r="S982">
        <v>2023</v>
      </c>
      <c r="T982" s="12" t="s">
        <v>1536</v>
      </c>
      <c r="U982">
        <v>1196</v>
      </c>
      <c r="V982">
        <v>55.544699999999999</v>
      </c>
      <c r="W982">
        <v>1218.52</v>
      </c>
      <c r="X982">
        <v>0</v>
      </c>
      <c r="Y982">
        <v>0</v>
      </c>
      <c r="Z982">
        <v>66431.460000000006</v>
      </c>
      <c r="AA982">
        <v>67649.98</v>
      </c>
      <c r="AB982" s="12" t="s">
        <v>126</v>
      </c>
      <c r="AC982">
        <v>55.544699999999999</v>
      </c>
      <c r="AD982">
        <v>1</v>
      </c>
      <c r="AE982">
        <v>1</v>
      </c>
      <c r="AF982">
        <v>0</v>
      </c>
      <c r="AG982">
        <v>66431.460000000006</v>
      </c>
      <c r="AH982">
        <v>1196</v>
      </c>
      <c r="AI982">
        <v>1186</v>
      </c>
      <c r="AJ982">
        <v>10</v>
      </c>
      <c r="AK982">
        <v>1</v>
      </c>
      <c r="AL982">
        <v>1</v>
      </c>
      <c r="AM982">
        <v>99.16</v>
      </c>
      <c r="AN982">
        <v>57.040500000000002</v>
      </c>
      <c r="AO982">
        <v>555.45000000000005</v>
      </c>
      <c r="AP982" s="13">
        <v>45185</v>
      </c>
      <c r="AQ982">
        <v>0</v>
      </c>
      <c r="AR982">
        <v>1</v>
      </c>
    </row>
    <row r="983" spans="1:44" x14ac:dyDescent="0.35">
      <c r="A983" s="12" t="s">
        <v>1655</v>
      </c>
      <c r="B983" s="12" t="s">
        <v>451</v>
      </c>
      <c r="C983" s="12" t="s">
        <v>452</v>
      </c>
      <c r="D983" s="12" t="s">
        <v>175</v>
      </c>
      <c r="E983" s="12" t="s">
        <v>104</v>
      </c>
      <c r="F983">
        <v>3</v>
      </c>
      <c r="G983">
        <v>1</v>
      </c>
      <c r="H983">
        <v>0</v>
      </c>
      <c r="I983" s="12" t="s">
        <v>359</v>
      </c>
      <c r="J983" s="12" t="s">
        <v>360</v>
      </c>
      <c r="K983" s="12" t="s">
        <v>133</v>
      </c>
      <c r="L983" s="12" t="s">
        <v>82</v>
      </c>
      <c r="M983">
        <v>12.65</v>
      </c>
      <c r="N983" s="12" t="s">
        <v>107</v>
      </c>
      <c r="O983" s="12" t="s">
        <v>108</v>
      </c>
      <c r="P983" s="12" t="s">
        <v>109</v>
      </c>
      <c r="Q983" s="13">
        <v>45155</v>
      </c>
      <c r="R983" s="13">
        <v>45178</v>
      </c>
      <c r="S983">
        <v>2023</v>
      </c>
      <c r="T983" s="12" t="s">
        <v>1536</v>
      </c>
      <c r="U983">
        <v>102</v>
      </c>
      <c r="V983">
        <v>254.15530000000001</v>
      </c>
      <c r="W983">
        <v>523.96</v>
      </c>
      <c r="X983">
        <v>0</v>
      </c>
      <c r="Y983">
        <v>0</v>
      </c>
      <c r="Z983">
        <v>25923.84</v>
      </c>
      <c r="AA983">
        <v>26447.8</v>
      </c>
      <c r="AB983" s="12" t="s">
        <v>627</v>
      </c>
      <c r="AC983">
        <v>254.15530000000001</v>
      </c>
      <c r="AD983">
        <v>1</v>
      </c>
      <c r="AE983">
        <v>1</v>
      </c>
      <c r="AF983">
        <v>0</v>
      </c>
      <c r="AG983">
        <v>25923.84</v>
      </c>
      <c r="AH983">
        <v>102</v>
      </c>
      <c r="AI983">
        <v>102</v>
      </c>
      <c r="AJ983">
        <v>0</v>
      </c>
      <c r="AK983">
        <v>1</v>
      </c>
      <c r="AL983">
        <v>1</v>
      </c>
      <c r="AM983">
        <v>100</v>
      </c>
      <c r="AN983">
        <v>259.29219999999998</v>
      </c>
      <c r="AO983">
        <v>0</v>
      </c>
      <c r="AP983" s="13">
        <v>45175</v>
      </c>
      <c r="AQ983">
        <v>-3</v>
      </c>
      <c r="AR983">
        <v>1</v>
      </c>
    </row>
    <row r="984" spans="1:44" x14ac:dyDescent="0.35">
      <c r="A984" s="12" t="s">
        <v>1656</v>
      </c>
      <c r="B984" s="12" t="s">
        <v>391</v>
      </c>
      <c r="C984" s="12" t="s">
        <v>392</v>
      </c>
      <c r="D984" s="12" t="s">
        <v>114</v>
      </c>
      <c r="E984" s="12" t="s">
        <v>65</v>
      </c>
      <c r="F984">
        <v>2</v>
      </c>
      <c r="G984">
        <v>2</v>
      </c>
      <c r="H984">
        <v>0</v>
      </c>
      <c r="I984" s="12" t="s">
        <v>310</v>
      </c>
      <c r="J984" s="12" t="s">
        <v>311</v>
      </c>
      <c r="K984" s="12" t="s">
        <v>81</v>
      </c>
      <c r="L984" s="12" t="s">
        <v>69</v>
      </c>
      <c r="M984">
        <v>28.3</v>
      </c>
      <c r="N984" s="12" t="s">
        <v>70</v>
      </c>
      <c r="O984" s="12" t="s">
        <v>71</v>
      </c>
      <c r="P984" s="12" t="s">
        <v>72</v>
      </c>
      <c r="Q984" s="13">
        <v>45155</v>
      </c>
      <c r="R984" s="13">
        <v>45181</v>
      </c>
      <c r="S984">
        <v>2023</v>
      </c>
      <c r="T984" s="12" t="s">
        <v>1536</v>
      </c>
      <c r="U984">
        <v>53</v>
      </c>
      <c r="V984">
        <v>223.56530000000001</v>
      </c>
      <c r="W984">
        <v>241.88</v>
      </c>
      <c r="X984">
        <v>0</v>
      </c>
      <c r="Y984">
        <v>0</v>
      </c>
      <c r="Z984">
        <v>11848.96</v>
      </c>
      <c r="AA984">
        <v>12090.84</v>
      </c>
      <c r="AB984" s="12" t="s">
        <v>393</v>
      </c>
      <c r="AC984">
        <v>223.56530000000001</v>
      </c>
      <c r="AD984">
        <v>1</v>
      </c>
      <c r="AE984">
        <v>1</v>
      </c>
      <c r="AF984">
        <v>0</v>
      </c>
      <c r="AG984">
        <v>11848.96</v>
      </c>
      <c r="AH984">
        <v>53</v>
      </c>
      <c r="AI984">
        <v>53</v>
      </c>
      <c r="AJ984">
        <v>0</v>
      </c>
      <c r="AK984">
        <v>1</v>
      </c>
      <c r="AL984">
        <v>1</v>
      </c>
      <c r="AM984">
        <v>100</v>
      </c>
      <c r="AN984">
        <v>228.12909999999999</v>
      </c>
      <c r="AO984">
        <v>0</v>
      </c>
      <c r="AP984" s="13">
        <v>45180</v>
      </c>
      <c r="AQ984">
        <v>-1</v>
      </c>
      <c r="AR984">
        <v>1</v>
      </c>
    </row>
    <row r="985" spans="1:44" x14ac:dyDescent="0.35">
      <c r="A985" s="12" t="s">
        <v>1657</v>
      </c>
      <c r="B985" s="12" t="s">
        <v>555</v>
      </c>
      <c r="C985" s="12" t="s">
        <v>556</v>
      </c>
      <c r="D985" s="12" t="s">
        <v>114</v>
      </c>
      <c r="E985" s="12" t="s">
        <v>142</v>
      </c>
      <c r="F985">
        <v>1</v>
      </c>
      <c r="G985">
        <v>6</v>
      </c>
      <c r="H985">
        <v>1</v>
      </c>
      <c r="I985" s="12" t="s">
        <v>151</v>
      </c>
      <c r="J985" s="12" t="s">
        <v>152</v>
      </c>
      <c r="K985" s="12" t="s">
        <v>125</v>
      </c>
      <c r="L985" s="12" t="s">
        <v>69</v>
      </c>
      <c r="M985">
        <v>36.479999999999997</v>
      </c>
      <c r="N985" s="12" t="s">
        <v>70</v>
      </c>
      <c r="O985" s="12" t="s">
        <v>71</v>
      </c>
      <c r="P985" s="12" t="s">
        <v>72</v>
      </c>
      <c r="Q985" s="13">
        <v>45156</v>
      </c>
      <c r="R985" s="13">
        <v>45194</v>
      </c>
      <c r="S985">
        <v>2023</v>
      </c>
      <c r="T985" s="12" t="s">
        <v>1536</v>
      </c>
      <c r="U985">
        <v>33</v>
      </c>
      <c r="V985">
        <v>290.42770000000002</v>
      </c>
      <c r="W985">
        <v>223.44</v>
      </c>
      <c r="X985">
        <v>0</v>
      </c>
      <c r="Y985">
        <v>0</v>
      </c>
      <c r="Z985">
        <v>9584.11</v>
      </c>
      <c r="AA985">
        <v>9807.5499999999993</v>
      </c>
      <c r="AB985" s="12" t="s">
        <v>557</v>
      </c>
      <c r="AC985">
        <v>290.42770000000002</v>
      </c>
      <c r="AD985">
        <v>1</v>
      </c>
      <c r="AE985">
        <v>1</v>
      </c>
      <c r="AF985">
        <v>0</v>
      </c>
      <c r="AG985">
        <v>9584.11</v>
      </c>
      <c r="AH985">
        <v>33</v>
      </c>
      <c r="AI985">
        <v>32</v>
      </c>
      <c r="AJ985">
        <v>1</v>
      </c>
      <c r="AK985">
        <v>1</v>
      </c>
      <c r="AL985">
        <v>1</v>
      </c>
      <c r="AM985">
        <v>96.97</v>
      </c>
      <c r="AN985">
        <v>306.48610000000002</v>
      </c>
      <c r="AO985">
        <v>290.43</v>
      </c>
      <c r="AP985" s="13">
        <v>45193</v>
      </c>
      <c r="AQ985">
        <v>-1</v>
      </c>
      <c r="AR985">
        <v>1</v>
      </c>
    </row>
    <row r="986" spans="1:44" x14ac:dyDescent="0.35">
      <c r="A986" s="12" t="s">
        <v>1658</v>
      </c>
      <c r="B986" s="12" t="s">
        <v>167</v>
      </c>
      <c r="C986" s="12" t="s">
        <v>168</v>
      </c>
      <c r="D986" s="12" t="s">
        <v>64</v>
      </c>
      <c r="E986" s="12" t="s">
        <v>104</v>
      </c>
      <c r="F986">
        <v>3</v>
      </c>
      <c r="G986">
        <v>1</v>
      </c>
      <c r="H986">
        <v>0</v>
      </c>
      <c r="I986" s="12" t="s">
        <v>169</v>
      </c>
      <c r="J986" s="12" t="s">
        <v>170</v>
      </c>
      <c r="K986" s="12" t="s">
        <v>89</v>
      </c>
      <c r="L986" s="12" t="s">
        <v>134</v>
      </c>
      <c r="M986">
        <v>1.37</v>
      </c>
      <c r="N986" s="12" t="s">
        <v>70</v>
      </c>
      <c r="O986" s="12" t="s">
        <v>71</v>
      </c>
      <c r="P986" s="12" t="s">
        <v>72</v>
      </c>
      <c r="Q986" s="13">
        <v>45156</v>
      </c>
      <c r="R986" s="13">
        <v>45177</v>
      </c>
      <c r="S986">
        <v>2023</v>
      </c>
      <c r="T986" s="12" t="s">
        <v>1536</v>
      </c>
      <c r="U986">
        <v>580</v>
      </c>
      <c r="V986">
        <v>28.7181</v>
      </c>
      <c r="W986">
        <v>134.26</v>
      </c>
      <c r="X986">
        <v>0</v>
      </c>
      <c r="Y986">
        <v>0</v>
      </c>
      <c r="Z986">
        <v>16656.5</v>
      </c>
      <c r="AA986">
        <v>16790.759999999998</v>
      </c>
      <c r="AB986" s="12" t="s">
        <v>171</v>
      </c>
      <c r="AC986">
        <v>28.7181</v>
      </c>
      <c r="AD986">
        <v>1</v>
      </c>
      <c r="AE986">
        <v>1</v>
      </c>
      <c r="AF986">
        <v>0</v>
      </c>
      <c r="AG986">
        <v>16656.5</v>
      </c>
      <c r="AH986">
        <v>580</v>
      </c>
      <c r="AI986">
        <v>573</v>
      </c>
      <c r="AJ986">
        <v>7</v>
      </c>
      <c r="AK986">
        <v>1</v>
      </c>
      <c r="AL986">
        <v>1</v>
      </c>
      <c r="AM986">
        <v>98.79</v>
      </c>
      <c r="AN986">
        <v>29.3032</v>
      </c>
      <c r="AO986">
        <v>201.03</v>
      </c>
      <c r="AP986" s="13">
        <v>45175</v>
      </c>
      <c r="AQ986">
        <v>-2</v>
      </c>
      <c r="AR986">
        <v>1</v>
      </c>
    </row>
    <row r="987" spans="1:44" x14ac:dyDescent="0.35">
      <c r="A987" s="12" t="s">
        <v>1659</v>
      </c>
      <c r="B987" s="12" t="s">
        <v>1134</v>
      </c>
      <c r="C987" s="12" t="s">
        <v>1135</v>
      </c>
      <c r="D987" s="12" t="s">
        <v>269</v>
      </c>
      <c r="E987" s="12" t="s">
        <v>104</v>
      </c>
      <c r="F987">
        <v>2</v>
      </c>
      <c r="G987">
        <v>0</v>
      </c>
      <c r="H987">
        <v>0</v>
      </c>
      <c r="I987" s="12" t="s">
        <v>380</v>
      </c>
      <c r="J987" s="12" t="s">
        <v>381</v>
      </c>
      <c r="K987" s="12" t="s">
        <v>89</v>
      </c>
      <c r="L987" s="12" t="s">
        <v>96</v>
      </c>
      <c r="M987">
        <v>10.210000000000001</v>
      </c>
      <c r="N987" s="12" t="s">
        <v>159</v>
      </c>
      <c r="O987" s="12" t="s">
        <v>160</v>
      </c>
      <c r="P987" s="12" t="s">
        <v>137</v>
      </c>
      <c r="Q987" s="13">
        <v>45156</v>
      </c>
      <c r="R987" s="13">
        <v>45182</v>
      </c>
      <c r="S987">
        <v>2023</v>
      </c>
      <c r="T987" s="12" t="s">
        <v>1536</v>
      </c>
      <c r="U987">
        <v>119</v>
      </c>
      <c r="V987">
        <v>107.5608</v>
      </c>
      <c r="W987">
        <v>93.23</v>
      </c>
      <c r="X987">
        <v>0</v>
      </c>
      <c r="Y987">
        <v>0</v>
      </c>
      <c r="Z987">
        <v>12799.74</v>
      </c>
      <c r="AA987">
        <v>12892.97</v>
      </c>
      <c r="AB987" s="12" t="s">
        <v>1136</v>
      </c>
      <c r="AC987">
        <v>107.5608</v>
      </c>
      <c r="AD987">
        <v>1</v>
      </c>
      <c r="AE987">
        <v>1</v>
      </c>
      <c r="AF987">
        <v>0</v>
      </c>
      <c r="AG987">
        <v>12799.74</v>
      </c>
      <c r="AH987">
        <v>119</v>
      </c>
      <c r="AI987">
        <v>117</v>
      </c>
      <c r="AJ987">
        <v>2</v>
      </c>
      <c r="AK987">
        <v>1</v>
      </c>
      <c r="AL987">
        <v>1</v>
      </c>
      <c r="AM987">
        <v>98.32</v>
      </c>
      <c r="AN987">
        <v>110.19629999999999</v>
      </c>
      <c r="AO987">
        <v>215.12</v>
      </c>
      <c r="AP987" s="13">
        <v>45182</v>
      </c>
      <c r="AQ987">
        <v>0</v>
      </c>
      <c r="AR987">
        <v>1</v>
      </c>
    </row>
    <row r="988" spans="1:44" x14ac:dyDescent="0.35">
      <c r="A988" s="12" t="s">
        <v>1660</v>
      </c>
      <c r="B988" s="12" t="s">
        <v>924</v>
      </c>
      <c r="C988" s="12" t="s">
        <v>925</v>
      </c>
      <c r="D988" s="12" t="s">
        <v>103</v>
      </c>
      <c r="E988" s="12" t="s">
        <v>104</v>
      </c>
      <c r="F988">
        <v>2</v>
      </c>
      <c r="G988">
        <v>0</v>
      </c>
      <c r="H988">
        <v>0</v>
      </c>
      <c r="I988" s="12" t="s">
        <v>335</v>
      </c>
      <c r="J988" s="12" t="s">
        <v>336</v>
      </c>
      <c r="K988" s="12" t="s">
        <v>89</v>
      </c>
      <c r="L988" s="12" t="s">
        <v>82</v>
      </c>
      <c r="M988">
        <v>16</v>
      </c>
      <c r="N988" s="12" t="s">
        <v>145</v>
      </c>
      <c r="O988" s="12" t="s">
        <v>146</v>
      </c>
      <c r="P988" s="12" t="s">
        <v>109</v>
      </c>
      <c r="Q988" s="13">
        <v>45156</v>
      </c>
      <c r="R988" s="13">
        <v>45173</v>
      </c>
      <c r="S988">
        <v>2023</v>
      </c>
      <c r="T988" s="12" t="s">
        <v>1536</v>
      </c>
      <c r="U988">
        <v>49</v>
      </c>
      <c r="V988">
        <v>161.51509999999999</v>
      </c>
      <c r="W988">
        <v>89.54</v>
      </c>
      <c r="X988">
        <v>0</v>
      </c>
      <c r="Y988">
        <v>0</v>
      </c>
      <c r="Z988">
        <v>7914.24</v>
      </c>
      <c r="AA988">
        <v>8003.78</v>
      </c>
      <c r="AB988" s="12" t="s">
        <v>926</v>
      </c>
      <c r="AC988">
        <v>161.51509999999999</v>
      </c>
      <c r="AD988">
        <v>1</v>
      </c>
      <c r="AE988">
        <v>1</v>
      </c>
      <c r="AF988">
        <v>0</v>
      </c>
      <c r="AG988">
        <v>7914.24</v>
      </c>
      <c r="AH988">
        <v>49</v>
      </c>
      <c r="AI988">
        <v>49</v>
      </c>
      <c r="AJ988">
        <v>0</v>
      </c>
      <c r="AK988">
        <v>1</v>
      </c>
      <c r="AL988">
        <v>1</v>
      </c>
      <c r="AM988">
        <v>100</v>
      </c>
      <c r="AN988">
        <v>163.3424</v>
      </c>
      <c r="AO988">
        <v>0</v>
      </c>
      <c r="AP988" s="13">
        <v>45170</v>
      </c>
      <c r="AQ988">
        <v>-3</v>
      </c>
      <c r="AR988">
        <v>1</v>
      </c>
    </row>
    <row r="989" spans="1:44" x14ac:dyDescent="0.35">
      <c r="A989" s="12" t="s">
        <v>1661</v>
      </c>
      <c r="B989" s="12" t="s">
        <v>740</v>
      </c>
      <c r="C989" s="12" t="s">
        <v>741</v>
      </c>
      <c r="D989" s="12" t="s">
        <v>64</v>
      </c>
      <c r="E989" s="12" t="s">
        <v>104</v>
      </c>
      <c r="F989">
        <v>2</v>
      </c>
      <c r="G989">
        <v>0</v>
      </c>
      <c r="H989">
        <v>0</v>
      </c>
      <c r="I989" s="12" t="s">
        <v>183</v>
      </c>
      <c r="J989" s="12" t="s">
        <v>184</v>
      </c>
      <c r="K989" s="12" t="s">
        <v>133</v>
      </c>
      <c r="L989" s="12" t="s">
        <v>82</v>
      </c>
      <c r="M989">
        <v>8.6199999999999992</v>
      </c>
      <c r="N989" s="12" t="s">
        <v>97</v>
      </c>
      <c r="O989" s="12" t="s">
        <v>98</v>
      </c>
      <c r="P989" s="12" t="s">
        <v>72</v>
      </c>
      <c r="Q989" s="13">
        <v>45156</v>
      </c>
      <c r="R989" s="13">
        <v>45178</v>
      </c>
      <c r="S989">
        <v>2023</v>
      </c>
      <c r="T989" s="12" t="s">
        <v>1536</v>
      </c>
      <c r="U989">
        <v>637</v>
      </c>
      <c r="V989">
        <v>38.776200000000003</v>
      </c>
      <c r="W989">
        <v>160.16999999999999</v>
      </c>
      <c r="X989">
        <v>0</v>
      </c>
      <c r="Y989">
        <v>0</v>
      </c>
      <c r="Z989">
        <v>24700.44</v>
      </c>
      <c r="AA989">
        <v>24860.61</v>
      </c>
      <c r="AB989" s="12" t="s">
        <v>742</v>
      </c>
      <c r="AC989">
        <v>41.2042</v>
      </c>
      <c r="AD989">
        <v>1</v>
      </c>
      <c r="AE989">
        <v>1</v>
      </c>
      <c r="AF989">
        <v>-1546.64</v>
      </c>
      <c r="AG989">
        <v>26247.08</v>
      </c>
      <c r="AH989">
        <v>637</v>
      </c>
      <c r="AI989">
        <v>628</v>
      </c>
      <c r="AJ989">
        <v>9</v>
      </c>
      <c r="AK989">
        <v>1</v>
      </c>
      <c r="AL989">
        <v>1</v>
      </c>
      <c r="AM989">
        <v>98.59</v>
      </c>
      <c r="AN989">
        <v>39.587000000000003</v>
      </c>
      <c r="AO989">
        <v>348.99</v>
      </c>
      <c r="AP989" s="13">
        <v>45177</v>
      </c>
      <c r="AQ989">
        <v>-1</v>
      </c>
      <c r="AR989">
        <v>1</v>
      </c>
    </row>
    <row r="990" spans="1:44" x14ac:dyDescent="0.35">
      <c r="A990" s="12" t="s">
        <v>1662</v>
      </c>
      <c r="B990" s="12" t="s">
        <v>85</v>
      </c>
      <c r="C990" s="12" t="s">
        <v>86</v>
      </c>
      <c r="D990" s="12" t="s">
        <v>78</v>
      </c>
      <c r="E990" s="12" t="s">
        <v>65</v>
      </c>
      <c r="F990">
        <v>3</v>
      </c>
      <c r="G990">
        <v>5</v>
      </c>
      <c r="H990">
        <v>0</v>
      </c>
      <c r="I990" s="12" t="s">
        <v>87</v>
      </c>
      <c r="J990" s="12" t="s">
        <v>88</v>
      </c>
      <c r="K990" s="12" t="s">
        <v>89</v>
      </c>
      <c r="L990" s="12" t="s">
        <v>69</v>
      </c>
      <c r="M990">
        <v>14.93</v>
      </c>
      <c r="N990" s="12" t="s">
        <v>70</v>
      </c>
      <c r="O990" s="12" t="s">
        <v>71</v>
      </c>
      <c r="P990" s="12" t="s">
        <v>72</v>
      </c>
      <c r="Q990" s="13">
        <v>45156</v>
      </c>
      <c r="R990" s="13">
        <v>45185</v>
      </c>
      <c r="S990">
        <v>2023</v>
      </c>
      <c r="T990" s="12" t="s">
        <v>1536</v>
      </c>
      <c r="U990">
        <v>157</v>
      </c>
      <c r="V990">
        <v>147.55000000000001</v>
      </c>
      <c r="W990">
        <v>569.61</v>
      </c>
      <c r="X990">
        <v>0</v>
      </c>
      <c r="Y990">
        <v>0</v>
      </c>
      <c r="Z990">
        <v>23165.35</v>
      </c>
      <c r="AA990">
        <v>23734.959999999999</v>
      </c>
      <c r="AB990" s="12" t="s">
        <v>90</v>
      </c>
      <c r="AC990">
        <v>147.55000000000001</v>
      </c>
      <c r="AD990">
        <v>1</v>
      </c>
      <c r="AE990">
        <v>1</v>
      </c>
      <c r="AF990">
        <v>0</v>
      </c>
      <c r="AG990">
        <v>23165.35</v>
      </c>
      <c r="AH990">
        <v>157</v>
      </c>
      <c r="AI990">
        <v>153</v>
      </c>
      <c r="AJ990">
        <v>4</v>
      </c>
      <c r="AK990">
        <v>1</v>
      </c>
      <c r="AL990">
        <v>1</v>
      </c>
      <c r="AM990">
        <v>97.45</v>
      </c>
      <c r="AN990">
        <v>155.13050000000001</v>
      </c>
      <c r="AO990">
        <v>590.20000000000005</v>
      </c>
      <c r="AP990" s="13">
        <v>45184</v>
      </c>
      <c r="AQ990">
        <v>-1</v>
      </c>
      <c r="AR990">
        <v>1</v>
      </c>
    </row>
    <row r="991" spans="1:44" x14ac:dyDescent="0.35">
      <c r="A991" s="12" t="s">
        <v>1663</v>
      </c>
      <c r="B991" s="12" t="s">
        <v>766</v>
      </c>
      <c r="C991" s="12" t="s">
        <v>767</v>
      </c>
      <c r="D991" s="12" t="s">
        <v>175</v>
      </c>
      <c r="E991" s="12" t="s">
        <v>65</v>
      </c>
      <c r="F991">
        <v>3</v>
      </c>
      <c r="G991">
        <v>5</v>
      </c>
      <c r="H991">
        <v>0</v>
      </c>
      <c r="I991" s="12" t="s">
        <v>157</v>
      </c>
      <c r="J991" s="12" t="s">
        <v>158</v>
      </c>
      <c r="K991" s="12" t="s">
        <v>117</v>
      </c>
      <c r="L991" s="12" t="s">
        <v>96</v>
      </c>
      <c r="M991">
        <v>4.72</v>
      </c>
      <c r="N991" s="12" t="s">
        <v>145</v>
      </c>
      <c r="O991" s="12" t="s">
        <v>146</v>
      </c>
      <c r="P991" s="12" t="s">
        <v>109</v>
      </c>
      <c r="Q991" s="13">
        <v>45159</v>
      </c>
      <c r="R991" s="13">
        <v>45188</v>
      </c>
      <c r="S991">
        <v>2023</v>
      </c>
      <c r="T991" s="12" t="s">
        <v>1536</v>
      </c>
      <c r="U991">
        <v>79</v>
      </c>
      <c r="V991">
        <v>86.977900000000005</v>
      </c>
      <c r="W991">
        <v>73.510000000000005</v>
      </c>
      <c r="X991">
        <v>0</v>
      </c>
      <c r="Y991">
        <v>0</v>
      </c>
      <c r="Z991">
        <v>6871.25</v>
      </c>
      <c r="AA991">
        <v>6944.76</v>
      </c>
      <c r="AB991" s="12" t="s">
        <v>1279</v>
      </c>
      <c r="AC991">
        <v>86.977900000000005</v>
      </c>
      <c r="AD991">
        <v>1</v>
      </c>
      <c r="AE991">
        <v>1</v>
      </c>
      <c r="AF991">
        <v>0</v>
      </c>
      <c r="AG991">
        <v>6871.25</v>
      </c>
      <c r="AH991">
        <v>79</v>
      </c>
      <c r="AI991">
        <v>78</v>
      </c>
      <c r="AJ991">
        <v>1</v>
      </c>
      <c r="AK991">
        <v>1</v>
      </c>
      <c r="AL991">
        <v>1</v>
      </c>
      <c r="AM991">
        <v>98.73</v>
      </c>
      <c r="AN991">
        <v>89.035399999999996</v>
      </c>
      <c r="AO991">
        <v>86.98</v>
      </c>
      <c r="AP991" s="13">
        <v>45191</v>
      </c>
      <c r="AQ991">
        <v>3</v>
      </c>
      <c r="AR991">
        <v>0</v>
      </c>
    </row>
    <row r="992" spans="1:44" x14ac:dyDescent="0.35">
      <c r="A992" s="12" t="s">
        <v>1664</v>
      </c>
      <c r="B992" s="12" t="s">
        <v>1068</v>
      </c>
      <c r="C992" s="12" t="s">
        <v>1069</v>
      </c>
      <c r="D992" s="12" t="s">
        <v>122</v>
      </c>
      <c r="E992" s="12" t="s">
        <v>65</v>
      </c>
      <c r="F992">
        <v>2</v>
      </c>
      <c r="G992">
        <v>2</v>
      </c>
      <c r="H992">
        <v>0</v>
      </c>
      <c r="I992" s="12" t="s">
        <v>79</v>
      </c>
      <c r="J992" s="12" t="s">
        <v>80</v>
      </c>
      <c r="K992" s="12" t="s">
        <v>81</v>
      </c>
      <c r="L992" s="12" t="s">
        <v>82</v>
      </c>
      <c r="M992">
        <v>12.07</v>
      </c>
      <c r="N992" s="12" t="s">
        <v>97</v>
      </c>
      <c r="O992" s="12" t="s">
        <v>98</v>
      </c>
      <c r="P992" s="12" t="s">
        <v>72</v>
      </c>
      <c r="Q992" s="13">
        <v>45159</v>
      </c>
      <c r="R992" s="13">
        <v>45181</v>
      </c>
      <c r="S992">
        <v>2023</v>
      </c>
      <c r="T992" s="12" t="s">
        <v>1536</v>
      </c>
      <c r="U992">
        <v>313</v>
      </c>
      <c r="V992">
        <v>21.667100000000001</v>
      </c>
      <c r="W992">
        <v>79.540000000000006</v>
      </c>
      <c r="X992">
        <v>0</v>
      </c>
      <c r="Y992">
        <v>0</v>
      </c>
      <c r="Z992">
        <v>6781.8</v>
      </c>
      <c r="AA992">
        <v>6861.34</v>
      </c>
      <c r="AB992" s="12" t="s">
        <v>1070</v>
      </c>
      <c r="AC992">
        <v>21.667100000000001</v>
      </c>
      <c r="AD992">
        <v>1</v>
      </c>
      <c r="AE992">
        <v>1</v>
      </c>
      <c r="AF992">
        <v>0</v>
      </c>
      <c r="AG992">
        <v>6781.8</v>
      </c>
      <c r="AH992">
        <v>313</v>
      </c>
      <c r="AI992">
        <v>311</v>
      </c>
      <c r="AJ992">
        <v>2</v>
      </c>
      <c r="AK992">
        <v>1</v>
      </c>
      <c r="AL992">
        <v>1</v>
      </c>
      <c r="AM992">
        <v>99.36</v>
      </c>
      <c r="AN992">
        <v>22.062200000000001</v>
      </c>
      <c r="AO992">
        <v>43.33</v>
      </c>
      <c r="AP992" s="13">
        <v>45183</v>
      </c>
      <c r="AQ992">
        <v>2</v>
      </c>
      <c r="AR992">
        <v>0</v>
      </c>
    </row>
    <row r="993" spans="1:44" x14ac:dyDescent="0.35">
      <c r="A993" s="12" t="s">
        <v>1665</v>
      </c>
      <c r="B993" s="12" t="s">
        <v>1666</v>
      </c>
      <c r="C993" s="12" t="s">
        <v>1667</v>
      </c>
      <c r="D993" s="12" t="s">
        <v>78</v>
      </c>
      <c r="E993" s="12" t="s">
        <v>65</v>
      </c>
      <c r="F993">
        <v>2</v>
      </c>
      <c r="G993">
        <v>3</v>
      </c>
      <c r="H993">
        <v>0</v>
      </c>
      <c r="I993" s="12" t="s">
        <v>310</v>
      </c>
      <c r="J993" s="12" t="s">
        <v>311</v>
      </c>
      <c r="K993" s="12" t="s">
        <v>81</v>
      </c>
      <c r="L993" s="12" t="s">
        <v>69</v>
      </c>
      <c r="M993">
        <v>28.3</v>
      </c>
      <c r="N993" s="12" t="s">
        <v>70</v>
      </c>
      <c r="O993" s="12" t="s">
        <v>71</v>
      </c>
      <c r="P993" s="12" t="s">
        <v>72</v>
      </c>
      <c r="Q993" s="13">
        <v>45159</v>
      </c>
      <c r="R993" s="13">
        <v>45193</v>
      </c>
      <c r="S993">
        <v>2023</v>
      </c>
      <c r="T993" s="12" t="s">
        <v>1536</v>
      </c>
      <c r="U993">
        <v>230</v>
      </c>
      <c r="V993">
        <v>75.122299999999996</v>
      </c>
      <c r="W993">
        <v>192.64</v>
      </c>
      <c r="X993">
        <v>0</v>
      </c>
      <c r="Y993">
        <v>0</v>
      </c>
      <c r="Z993">
        <v>17278.13</v>
      </c>
      <c r="AA993">
        <v>17470.77</v>
      </c>
      <c r="AB993" s="12" t="s">
        <v>1668</v>
      </c>
      <c r="AC993">
        <v>75.122299999999996</v>
      </c>
      <c r="AD993">
        <v>1</v>
      </c>
      <c r="AE993">
        <v>1</v>
      </c>
      <c r="AF993">
        <v>0</v>
      </c>
      <c r="AG993">
        <v>17278.13</v>
      </c>
      <c r="AH993">
        <v>230</v>
      </c>
      <c r="AI993">
        <v>226</v>
      </c>
      <c r="AJ993">
        <v>4</v>
      </c>
      <c r="AK993">
        <v>1</v>
      </c>
      <c r="AL993">
        <v>1</v>
      </c>
      <c r="AM993">
        <v>98.26</v>
      </c>
      <c r="AN993">
        <v>77.304299999999998</v>
      </c>
      <c r="AO993">
        <v>300.49</v>
      </c>
      <c r="AP993" s="13">
        <v>45193</v>
      </c>
      <c r="AQ993">
        <v>0</v>
      </c>
      <c r="AR993">
        <v>1</v>
      </c>
    </row>
    <row r="994" spans="1:44" x14ac:dyDescent="0.35">
      <c r="A994" s="12" t="s">
        <v>1669</v>
      </c>
      <c r="B994" s="12" t="s">
        <v>661</v>
      </c>
      <c r="C994" s="12" t="s">
        <v>662</v>
      </c>
      <c r="D994" s="12" t="s">
        <v>175</v>
      </c>
      <c r="E994" s="12" t="s">
        <v>104</v>
      </c>
      <c r="F994">
        <v>1</v>
      </c>
      <c r="G994">
        <v>0</v>
      </c>
      <c r="H994">
        <v>1</v>
      </c>
      <c r="I994" s="12" t="s">
        <v>183</v>
      </c>
      <c r="J994" s="12" t="s">
        <v>184</v>
      </c>
      <c r="K994" s="12" t="s">
        <v>133</v>
      </c>
      <c r="L994" s="12" t="s">
        <v>82</v>
      </c>
      <c r="M994">
        <v>8.6199999999999992</v>
      </c>
      <c r="N994" s="12" t="s">
        <v>107</v>
      </c>
      <c r="O994" s="12" t="s">
        <v>108</v>
      </c>
      <c r="P994" s="12" t="s">
        <v>109</v>
      </c>
      <c r="Q994" s="13">
        <v>45159</v>
      </c>
      <c r="R994" s="13">
        <v>45185</v>
      </c>
      <c r="S994">
        <v>2023</v>
      </c>
      <c r="T994" s="12" t="s">
        <v>1536</v>
      </c>
      <c r="U994">
        <v>119</v>
      </c>
      <c r="V994">
        <v>194.86689999999999</v>
      </c>
      <c r="W994">
        <v>423.32</v>
      </c>
      <c r="X994">
        <v>0</v>
      </c>
      <c r="Y994">
        <v>0</v>
      </c>
      <c r="Z994">
        <v>23189.16</v>
      </c>
      <c r="AA994">
        <v>23612.48</v>
      </c>
      <c r="AB994" s="12" t="s">
        <v>663</v>
      </c>
      <c r="AC994">
        <v>201.68719999999999</v>
      </c>
      <c r="AD994">
        <v>2</v>
      </c>
      <c r="AE994">
        <v>1</v>
      </c>
      <c r="AF994">
        <v>-811.62</v>
      </c>
      <c r="AG994">
        <v>24000.78</v>
      </c>
      <c r="AH994">
        <v>119</v>
      </c>
      <c r="AI994">
        <v>118</v>
      </c>
      <c r="AJ994">
        <v>1</v>
      </c>
      <c r="AK994">
        <v>1</v>
      </c>
      <c r="AL994">
        <v>1</v>
      </c>
      <c r="AM994">
        <v>99.16</v>
      </c>
      <c r="AN994">
        <v>200.10579999999999</v>
      </c>
      <c r="AO994">
        <v>194.87</v>
      </c>
      <c r="AP994" s="13">
        <v>45183</v>
      </c>
      <c r="AQ994">
        <v>-2</v>
      </c>
      <c r="AR994">
        <v>1</v>
      </c>
    </row>
    <row r="995" spans="1:44" x14ac:dyDescent="0.35">
      <c r="A995" s="12" t="s">
        <v>1670</v>
      </c>
      <c r="B995" s="12" t="s">
        <v>532</v>
      </c>
      <c r="C995" s="12" t="s">
        <v>533</v>
      </c>
      <c r="D995" s="12" t="s">
        <v>114</v>
      </c>
      <c r="E995" s="12" t="s">
        <v>65</v>
      </c>
      <c r="F995">
        <v>2</v>
      </c>
      <c r="G995">
        <v>3</v>
      </c>
      <c r="H995">
        <v>0</v>
      </c>
      <c r="I995" s="12" t="s">
        <v>105</v>
      </c>
      <c r="J995" s="12" t="s">
        <v>106</v>
      </c>
      <c r="K995" s="12" t="s">
        <v>81</v>
      </c>
      <c r="L995" s="12" t="s">
        <v>96</v>
      </c>
      <c r="M995">
        <v>5.01</v>
      </c>
      <c r="N995" s="12" t="s">
        <v>70</v>
      </c>
      <c r="O995" s="12" t="s">
        <v>71</v>
      </c>
      <c r="P995" s="12" t="s">
        <v>72</v>
      </c>
      <c r="Q995" s="13">
        <v>45159</v>
      </c>
      <c r="R995" s="13">
        <v>45185</v>
      </c>
      <c r="S995">
        <v>2023</v>
      </c>
      <c r="T995" s="12" t="s">
        <v>1536</v>
      </c>
      <c r="U995">
        <v>52</v>
      </c>
      <c r="V995">
        <v>250.00970000000001</v>
      </c>
      <c r="W995">
        <v>319.42</v>
      </c>
      <c r="X995">
        <v>0</v>
      </c>
      <c r="Y995">
        <v>0</v>
      </c>
      <c r="Z995">
        <v>13000.5</v>
      </c>
      <c r="AA995">
        <v>13319.92</v>
      </c>
      <c r="AB995" s="12" t="s">
        <v>534</v>
      </c>
      <c r="AC995">
        <v>250.00970000000001</v>
      </c>
      <c r="AD995">
        <v>1</v>
      </c>
      <c r="AE995">
        <v>1</v>
      </c>
      <c r="AF995">
        <v>0</v>
      </c>
      <c r="AG995">
        <v>13000.5</v>
      </c>
      <c r="AH995">
        <v>52</v>
      </c>
      <c r="AI995">
        <v>51</v>
      </c>
      <c r="AJ995">
        <v>1</v>
      </c>
      <c r="AK995">
        <v>1</v>
      </c>
      <c r="AL995">
        <v>1</v>
      </c>
      <c r="AM995">
        <v>98.08</v>
      </c>
      <c r="AN995">
        <v>261.17500000000001</v>
      </c>
      <c r="AO995">
        <v>250.01</v>
      </c>
      <c r="AP995" s="13">
        <v>45191</v>
      </c>
      <c r="AQ995">
        <v>6</v>
      </c>
      <c r="AR995">
        <v>0</v>
      </c>
    </row>
    <row r="996" spans="1:44" x14ac:dyDescent="0.35">
      <c r="A996" s="12" t="s">
        <v>1671</v>
      </c>
      <c r="B996" s="12" t="s">
        <v>640</v>
      </c>
      <c r="C996" s="12" t="s">
        <v>641</v>
      </c>
      <c r="D996" s="12" t="s">
        <v>130</v>
      </c>
      <c r="E996" s="12" t="s">
        <v>104</v>
      </c>
      <c r="F996">
        <v>3</v>
      </c>
      <c r="G996">
        <v>0</v>
      </c>
      <c r="H996">
        <v>0</v>
      </c>
      <c r="I996" s="12" t="s">
        <v>209</v>
      </c>
      <c r="J996" s="12" t="s">
        <v>210</v>
      </c>
      <c r="K996" s="12" t="s">
        <v>133</v>
      </c>
      <c r="L996" s="12" t="s">
        <v>96</v>
      </c>
      <c r="M996">
        <v>7.82</v>
      </c>
      <c r="N996" s="12" t="s">
        <v>135</v>
      </c>
      <c r="O996" s="12" t="s">
        <v>136</v>
      </c>
      <c r="P996" s="12" t="s">
        <v>137</v>
      </c>
      <c r="Q996" s="13">
        <v>45159</v>
      </c>
      <c r="R996" s="13">
        <v>45174</v>
      </c>
      <c r="S996">
        <v>2023</v>
      </c>
      <c r="T996" s="12" t="s">
        <v>1536</v>
      </c>
      <c r="U996">
        <v>34</v>
      </c>
      <c r="V996">
        <v>1008.4116</v>
      </c>
      <c r="W996">
        <v>773.22</v>
      </c>
      <c r="X996">
        <v>0</v>
      </c>
      <c r="Y996">
        <v>0</v>
      </c>
      <c r="Z996">
        <v>34285.99</v>
      </c>
      <c r="AA996">
        <v>35059.21</v>
      </c>
      <c r="AB996" s="12" t="s">
        <v>642</v>
      </c>
      <c r="AC996">
        <v>1008.4116</v>
      </c>
      <c r="AD996">
        <v>1</v>
      </c>
      <c r="AE996">
        <v>1</v>
      </c>
      <c r="AF996">
        <v>0</v>
      </c>
      <c r="AG996">
        <v>34285.99</v>
      </c>
      <c r="AH996">
        <v>34</v>
      </c>
      <c r="AI996">
        <v>34</v>
      </c>
      <c r="AJ996">
        <v>0</v>
      </c>
      <c r="AK996">
        <v>1</v>
      </c>
      <c r="AL996">
        <v>1</v>
      </c>
      <c r="AM996">
        <v>100</v>
      </c>
      <c r="AN996">
        <v>1031.1533999999999</v>
      </c>
      <c r="AO996">
        <v>0</v>
      </c>
      <c r="AP996" s="13">
        <v>45173</v>
      </c>
      <c r="AQ996">
        <v>-1</v>
      </c>
      <c r="AR996">
        <v>1</v>
      </c>
    </row>
    <row r="997" spans="1:44" x14ac:dyDescent="0.35">
      <c r="A997" s="12" t="s">
        <v>1672</v>
      </c>
      <c r="B997" s="12" t="s">
        <v>706</v>
      </c>
      <c r="C997" s="12" t="s">
        <v>707</v>
      </c>
      <c r="D997" s="12" t="s">
        <v>130</v>
      </c>
      <c r="E997" s="12" t="s">
        <v>142</v>
      </c>
      <c r="F997">
        <v>1</v>
      </c>
      <c r="G997">
        <v>8</v>
      </c>
      <c r="H997">
        <v>1</v>
      </c>
      <c r="I997" s="12" t="s">
        <v>263</v>
      </c>
      <c r="J997" s="12" t="s">
        <v>264</v>
      </c>
      <c r="K997" s="12" t="s">
        <v>125</v>
      </c>
      <c r="L997" s="12" t="s">
        <v>82</v>
      </c>
      <c r="M997">
        <v>10.210000000000001</v>
      </c>
      <c r="N997" s="12" t="s">
        <v>135</v>
      </c>
      <c r="O997" s="12" t="s">
        <v>136</v>
      </c>
      <c r="P997" s="12" t="s">
        <v>137</v>
      </c>
      <c r="Q997" s="13">
        <v>45160</v>
      </c>
      <c r="R997" s="13">
        <v>45208</v>
      </c>
      <c r="S997">
        <v>2023</v>
      </c>
      <c r="T997" s="12" t="s">
        <v>1536</v>
      </c>
      <c r="U997">
        <v>116</v>
      </c>
      <c r="V997">
        <v>277.71210000000002</v>
      </c>
      <c r="W997">
        <v>255.71</v>
      </c>
      <c r="X997">
        <v>0</v>
      </c>
      <c r="Y997">
        <v>0</v>
      </c>
      <c r="Z997">
        <v>32214.6</v>
      </c>
      <c r="AA997">
        <v>32470.31</v>
      </c>
      <c r="AB997" s="12" t="s">
        <v>708</v>
      </c>
      <c r="AC997">
        <v>277.71210000000002</v>
      </c>
      <c r="AD997">
        <v>1</v>
      </c>
      <c r="AE997">
        <v>1</v>
      </c>
      <c r="AF997">
        <v>0</v>
      </c>
      <c r="AG997">
        <v>32214.6</v>
      </c>
      <c r="AH997">
        <v>116</v>
      </c>
      <c r="AI997">
        <v>114</v>
      </c>
      <c r="AJ997">
        <v>2</v>
      </c>
      <c r="AK997">
        <v>1</v>
      </c>
      <c r="AL997">
        <v>1</v>
      </c>
      <c r="AM997">
        <v>98.28</v>
      </c>
      <c r="AN997">
        <v>284.82729999999998</v>
      </c>
      <c r="AO997">
        <v>555.41999999999996</v>
      </c>
      <c r="AP997" s="13">
        <v>45208</v>
      </c>
      <c r="AQ997">
        <v>0</v>
      </c>
      <c r="AR997">
        <v>1</v>
      </c>
    </row>
    <row r="998" spans="1:44" x14ac:dyDescent="0.35">
      <c r="A998" s="12" t="s">
        <v>1673</v>
      </c>
      <c r="B998" s="12" t="s">
        <v>843</v>
      </c>
      <c r="C998" s="12" t="s">
        <v>844</v>
      </c>
      <c r="D998" s="12" t="s">
        <v>175</v>
      </c>
      <c r="E998" s="12" t="s">
        <v>65</v>
      </c>
      <c r="F998">
        <v>3</v>
      </c>
      <c r="G998">
        <v>5</v>
      </c>
      <c r="H998">
        <v>0</v>
      </c>
      <c r="I998" s="12" t="s">
        <v>359</v>
      </c>
      <c r="J998" s="12" t="s">
        <v>360</v>
      </c>
      <c r="K998" s="12" t="s">
        <v>133</v>
      </c>
      <c r="L998" s="12" t="s">
        <v>82</v>
      </c>
      <c r="M998">
        <v>12.65</v>
      </c>
      <c r="N998" s="12" t="s">
        <v>145</v>
      </c>
      <c r="O998" s="12" t="s">
        <v>146</v>
      </c>
      <c r="P998" s="12" t="s">
        <v>109</v>
      </c>
      <c r="Q998" s="13">
        <v>45160</v>
      </c>
      <c r="R998" s="13">
        <v>45188</v>
      </c>
      <c r="S998">
        <v>2023</v>
      </c>
      <c r="T998" s="12" t="s">
        <v>1536</v>
      </c>
      <c r="U998">
        <v>72</v>
      </c>
      <c r="V998">
        <v>267.03480000000002</v>
      </c>
      <c r="W998">
        <v>269.22000000000003</v>
      </c>
      <c r="X998">
        <v>592.13</v>
      </c>
      <c r="Y998">
        <v>1</v>
      </c>
      <c r="Z998">
        <v>19226.509999999998</v>
      </c>
      <c r="AA998">
        <v>20087.86</v>
      </c>
      <c r="AB998" s="12" t="s">
        <v>845</v>
      </c>
      <c r="AC998">
        <v>267.03480000000002</v>
      </c>
      <c r="AD998">
        <v>1</v>
      </c>
      <c r="AE998">
        <v>1</v>
      </c>
      <c r="AF998">
        <v>0</v>
      </c>
      <c r="AG998">
        <v>19226.509999999998</v>
      </c>
      <c r="AH998">
        <v>72</v>
      </c>
      <c r="AI998">
        <v>72</v>
      </c>
      <c r="AJ998">
        <v>0</v>
      </c>
      <c r="AK998">
        <v>1</v>
      </c>
      <c r="AL998">
        <v>1</v>
      </c>
      <c r="AM998">
        <v>100</v>
      </c>
      <c r="AN998">
        <v>278.99799999999999</v>
      </c>
      <c r="AO998">
        <v>0</v>
      </c>
      <c r="AP998" s="13">
        <v>45188</v>
      </c>
      <c r="AQ998">
        <v>0</v>
      </c>
      <c r="AR998">
        <v>1</v>
      </c>
    </row>
    <row r="999" spans="1:44" x14ac:dyDescent="0.35">
      <c r="A999" s="12" t="s">
        <v>1674</v>
      </c>
      <c r="B999" s="12" t="s">
        <v>273</v>
      </c>
      <c r="C999" s="12" t="s">
        <v>274</v>
      </c>
      <c r="D999" s="12" t="s">
        <v>175</v>
      </c>
      <c r="E999" s="12" t="s">
        <v>104</v>
      </c>
      <c r="F999">
        <v>3</v>
      </c>
      <c r="G999">
        <v>1</v>
      </c>
      <c r="H999">
        <v>0</v>
      </c>
      <c r="I999" s="12" t="s">
        <v>275</v>
      </c>
      <c r="J999" s="12" t="s">
        <v>276</v>
      </c>
      <c r="K999" s="12" t="s">
        <v>89</v>
      </c>
      <c r="L999" s="12" t="s">
        <v>82</v>
      </c>
      <c r="M999">
        <v>14.26</v>
      </c>
      <c r="N999" s="12" t="s">
        <v>107</v>
      </c>
      <c r="O999" s="12" t="s">
        <v>108</v>
      </c>
      <c r="P999" s="12" t="s">
        <v>109</v>
      </c>
      <c r="Q999" s="13">
        <v>45160</v>
      </c>
      <c r="R999" s="13">
        <v>45189</v>
      </c>
      <c r="S999">
        <v>2023</v>
      </c>
      <c r="T999" s="12" t="s">
        <v>1536</v>
      </c>
      <c r="U999">
        <v>142</v>
      </c>
      <c r="V999">
        <v>113.5119</v>
      </c>
      <c r="W999">
        <v>216.55</v>
      </c>
      <c r="X999">
        <v>0</v>
      </c>
      <c r="Y999">
        <v>0</v>
      </c>
      <c r="Z999">
        <v>16118.69</v>
      </c>
      <c r="AA999">
        <v>16335.24</v>
      </c>
      <c r="AB999" s="12" t="s">
        <v>277</v>
      </c>
      <c r="AC999">
        <v>117.48480000000001</v>
      </c>
      <c r="AD999">
        <v>2</v>
      </c>
      <c r="AE999">
        <v>1</v>
      </c>
      <c r="AF999">
        <v>-564.15</v>
      </c>
      <c r="AG999">
        <v>16682.84</v>
      </c>
      <c r="AH999">
        <v>142</v>
      </c>
      <c r="AI999">
        <v>140</v>
      </c>
      <c r="AJ999">
        <v>2</v>
      </c>
      <c r="AK999">
        <v>1</v>
      </c>
      <c r="AL999">
        <v>1</v>
      </c>
      <c r="AM999">
        <v>98.59</v>
      </c>
      <c r="AN999">
        <v>116.6803</v>
      </c>
      <c r="AO999">
        <v>227.02</v>
      </c>
      <c r="AP999" s="13">
        <v>45186</v>
      </c>
      <c r="AQ999">
        <v>-3</v>
      </c>
      <c r="AR999">
        <v>1</v>
      </c>
    </row>
    <row r="1000" spans="1:44" x14ac:dyDescent="0.35">
      <c r="A1000" s="12" t="s">
        <v>1675</v>
      </c>
      <c r="B1000" s="12" t="s">
        <v>451</v>
      </c>
      <c r="C1000" s="12" t="s">
        <v>452</v>
      </c>
      <c r="D1000" s="12" t="s">
        <v>175</v>
      </c>
      <c r="E1000" s="12" t="s">
        <v>104</v>
      </c>
      <c r="F1000">
        <v>3</v>
      </c>
      <c r="G1000">
        <v>1</v>
      </c>
      <c r="H1000">
        <v>0</v>
      </c>
      <c r="I1000" s="12" t="s">
        <v>359</v>
      </c>
      <c r="J1000" s="12" t="s">
        <v>360</v>
      </c>
      <c r="K1000" s="12" t="s">
        <v>133</v>
      </c>
      <c r="L1000" s="12" t="s">
        <v>82</v>
      </c>
      <c r="M1000">
        <v>12.65</v>
      </c>
      <c r="N1000" s="12" t="s">
        <v>107</v>
      </c>
      <c r="O1000" s="12" t="s">
        <v>108</v>
      </c>
      <c r="P1000" s="12" t="s">
        <v>109</v>
      </c>
      <c r="Q1000" s="13">
        <v>45160</v>
      </c>
      <c r="R1000" s="13">
        <v>45185</v>
      </c>
      <c r="S1000">
        <v>2023</v>
      </c>
      <c r="T1000" s="12" t="s">
        <v>1536</v>
      </c>
      <c r="U1000">
        <v>113</v>
      </c>
      <c r="V1000">
        <v>254.15530000000001</v>
      </c>
      <c r="W1000">
        <v>615.29999999999995</v>
      </c>
      <c r="X1000">
        <v>0</v>
      </c>
      <c r="Y1000">
        <v>0</v>
      </c>
      <c r="Z1000">
        <v>28719.55</v>
      </c>
      <c r="AA1000">
        <v>29334.85</v>
      </c>
      <c r="AB1000" s="12" t="s">
        <v>627</v>
      </c>
      <c r="AC1000">
        <v>254.15530000000001</v>
      </c>
      <c r="AD1000">
        <v>1</v>
      </c>
      <c r="AE1000">
        <v>1</v>
      </c>
      <c r="AF1000">
        <v>0</v>
      </c>
      <c r="AG1000">
        <v>28719.55</v>
      </c>
      <c r="AH1000">
        <v>113</v>
      </c>
      <c r="AI1000">
        <v>113</v>
      </c>
      <c r="AJ1000">
        <v>0</v>
      </c>
      <c r="AK1000">
        <v>1</v>
      </c>
      <c r="AL1000">
        <v>1</v>
      </c>
      <c r="AM1000">
        <v>100</v>
      </c>
      <c r="AN1000">
        <v>259.60039999999998</v>
      </c>
      <c r="AO1000">
        <v>0</v>
      </c>
      <c r="AP1000" s="13">
        <v>45183</v>
      </c>
      <c r="AQ1000">
        <v>-2</v>
      </c>
      <c r="AR1000">
        <v>1</v>
      </c>
    </row>
    <row r="1001" spans="1:44" x14ac:dyDescent="0.35">
      <c r="A1001" s="12" t="s">
        <v>1676</v>
      </c>
      <c r="B1001" s="12" t="s">
        <v>477</v>
      </c>
      <c r="C1001" s="12" t="s">
        <v>478</v>
      </c>
      <c r="D1001" s="12" t="s">
        <v>130</v>
      </c>
      <c r="E1001" s="12" t="s">
        <v>104</v>
      </c>
      <c r="F1001">
        <v>3</v>
      </c>
      <c r="G1001">
        <v>1</v>
      </c>
      <c r="H1001">
        <v>0</v>
      </c>
      <c r="I1001" s="12" t="s">
        <v>380</v>
      </c>
      <c r="J1001" s="12" t="s">
        <v>381</v>
      </c>
      <c r="K1001" s="12" t="s">
        <v>89</v>
      </c>
      <c r="L1001" s="12" t="s">
        <v>96</v>
      </c>
      <c r="M1001">
        <v>10.210000000000001</v>
      </c>
      <c r="N1001" s="12" t="s">
        <v>159</v>
      </c>
      <c r="O1001" s="12" t="s">
        <v>160</v>
      </c>
      <c r="P1001" s="12" t="s">
        <v>137</v>
      </c>
      <c r="Q1001" s="13">
        <v>45160</v>
      </c>
      <c r="R1001" s="13">
        <v>45185</v>
      </c>
      <c r="S1001">
        <v>2023</v>
      </c>
      <c r="T1001" s="12" t="s">
        <v>1536</v>
      </c>
      <c r="U1001">
        <v>115</v>
      </c>
      <c r="V1001">
        <v>778.59670000000006</v>
      </c>
      <c r="W1001">
        <v>637.01</v>
      </c>
      <c r="X1001">
        <v>0</v>
      </c>
      <c r="Y1001">
        <v>0</v>
      </c>
      <c r="Z1001">
        <v>89538.62</v>
      </c>
      <c r="AA1001">
        <v>90175.63</v>
      </c>
      <c r="AB1001" s="12" t="s">
        <v>1094</v>
      </c>
      <c r="AC1001">
        <v>778.59670000000006</v>
      </c>
      <c r="AD1001">
        <v>1</v>
      </c>
      <c r="AE1001">
        <v>1</v>
      </c>
      <c r="AF1001">
        <v>0</v>
      </c>
      <c r="AG1001">
        <v>89538.62</v>
      </c>
      <c r="AH1001">
        <v>115</v>
      </c>
      <c r="AI1001">
        <v>114</v>
      </c>
      <c r="AJ1001">
        <v>1</v>
      </c>
      <c r="AK1001">
        <v>1</v>
      </c>
      <c r="AL1001">
        <v>1</v>
      </c>
      <c r="AM1001">
        <v>99.13</v>
      </c>
      <c r="AN1001">
        <v>791.01430000000005</v>
      </c>
      <c r="AO1001">
        <v>778.6</v>
      </c>
      <c r="AP1001" s="13">
        <v>45184</v>
      </c>
      <c r="AQ1001">
        <v>-1</v>
      </c>
      <c r="AR1001">
        <v>1</v>
      </c>
    </row>
    <row r="1002" spans="1:44" x14ac:dyDescent="0.35">
      <c r="A1002" s="12" t="s">
        <v>1677</v>
      </c>
      <c r="B1002" s="12" t="s">
        <v>267</v>
      </c>
      <c r="C1002" s="12" t="s">
        <v>268</v>
      </c>
      <c r="D1002" s="12" t="s">
        <v>269</v>
      </c>
      <c r="E1002" s="12" t="s">
        <v>142</v>
      </c>
      <c r="F1002">
        <v>1</v>
      </c>
      <c r="G1002">
        <v>8</v>
      </c>
      <c r="H1002">
        <v>1</v>
      </c>
      <c r="I1002" s="12" t="s">
        <v>94</v>
      </c>
      <c r="J1002" s="12" t="s">
        <v>95</v>
      </c>
      <c r="K1002" s="12" t="s">
        <v>81</v>
      </c>
      <c r="L1002" s="12" t="s">
        <v>96</v>
      </c>
      <c r="M1002">
        <v>4.8099999999999996</v>
      </c>
      <c r="N1002" s="12" t="s">
        <v>135</v>
      </c>
      <c r="O1002" s="12" t="s">
        <v>136</v>
      </c>
      <c r="P1002" s="12" t="s">
        <v>137</v>
      </c>
      <c r="Q1002" s="13">
        <v>45160</v>
      </c>
      <c r="R1002" s="13">
        <v>45212</v>
      </c>
      <c r="S1002">
        <v>2023</v>
      </c>
      <c r="T1002" s="12" t="s">
        <v>1536</v>
      </c>
      <c r="U1002">
        <v>148</v>
      </c>
      <c r="V1002">
        <v>247.31829999999999</v>
      </c>
      <c r="W1002">
        <v>541.73</v>
      </c>
      <c r="X1002">
        <v>0</v>
      </c>
      <c r="Y1002">
        <v>0</v>
      </c>
      <c r="Z1002">
        <v>36603.11</v>
      </c>
      <c r="AA1002">
        <v>37144.839999999997</v>
      </c>
      <c r="AB1002" s="12" t="s">
        <v>270</v>
      </c>
      <c r="AC1002">
        <v>247.31829999999999</v>
      </c>
      <c r="AD1002">
        <v>1</v>
      </c>
      <c r="AE1002">
        <v>1</v>
      </c>
      <c r="AF1002">
        <v>0</v>
      </c>
      <c r="AG1002">
        <v>36603.11</v>
      </c>
      <c r="AH1002">
        <v>148</v>
      </c>
      <c r="AI1002">
        <v>146</v>
      </c>
      <c r="AJ1002">
        <v>2</v>
      </c>
      <c r="AK1002">
        <v>1</v>
      </c>
      <c r="AL1002">
        <v>1</v>
      </c>
      <c r="AM1002">
        <v>98.65</v>
      </c>
      <c r="AN1002">
        <v>254.41669999999999</v>
      </c>
      <c r="AO1002">
        <v>494.64</v>
      </c>
      <c r="AP1002" s="13">
        <v>45211</v>
      </c>
      <c r="AQ1002">
        <v>-1</v>
      </c>
      <c r="AR1002">
        <v>1</v>
      </c>
    </row>
    <row r="1003" spans="1:44" x14ac:dyDescent="0.35">
      <c r="A1003" s="12" t="s">
        <v>1678</v>
      </c>
      <c r="B1003" s="12" t="s">
        <v>1166</v>
      </c>
      <c r="C1003" s="12" t="s">
        <v>1167</v>
      </c>
      <c r="D1003" s="12" t="s">
        <v>175</v>
      </c>
      <c r="E1003" s="12" t="s">
        <v>65</v>
      </c>
      <c r="F1003">
        <v>3</v>
      </c>
      <c r="G1003">
        <v>5</v>
      </c>
      <c r="H1003">
        <v>0</v>
      </c>
      <c r="I1003" s="12" t="s">
        <v>143</v>
      </c>
      <c r="J1003" s="12" t="s">
        <v>144</v>
      </c>
      <c r="K1003" s="12" t="s">
        <v>133</v>
      </c>
      <c r="L1003" s="12" t="s">
        <v>96</v>
      </c>
      <c r="M1003">
        <v>5.43</v>
      </c>
      <c r="N1003" s="12" t="s">
        <v>107</v>
      </c>
      <c r="O1003" s="12" t="s">
        <v>108</v>
      </c>
      <c r="P1003" s="12" t="s">
        <v>109</v>
      </c>
      <c r="Q1003" s="13">
        <v>45160</v>
      </c>
      <c r="R1003" s="13">
        <v>45196</v>
      </c>
      <c r="S1003">
        <v>2023</v>
      </c>
      <c r="T1003" s="12" t="s">
        <v>1536</v>
      </c>
      <c r="U1003">
        <v>133</v>
      </c>
      <c r="V1003">
        <v>248.16210000000001</v>
      </c>
      <c r="W1003">
        <v>546.25</v>
      </c>
      <c r="X1003">
        <v>0</v>
      </c>
      <c r="Y1003">
        <v>0</v>
      </c>
      <c r="Z1003">
        <v>33005.56</v>
      </c>
      <c r="AA1003">
        <v>33551.81</v>
      </c>
      <c r="AB1003" s="12" t="s">
        <v>1168</v>
      </c>
      <c r="AC1003">
        <v>248.16210000000001</v>
      </c>
      <c r="AD1003">
        <v>1</v>
      </c>
      <c r="AE1003">
        <v>1</v>
      </c>
      <c r="AF1003">
        <v>0</v>
      </c>
      <c r="AG1003">
        <v>33005.56</v>
      </c>
      <c r="AH1003">
        <v>133</v>
      </c>
      <c r="AI1003">
        <v>132</v>
      </c>
      <c r="AJ1003">
        <v>1</v>
      </c>
      <c r="AK1003">
        <v>1</v>
      </c>
      <c r="AL1003">
        <v>1</v>
      </c>
      <c r="AM1003">
        <v>99.25</v>
      </c>
      <c r="AN1003">
        <v>254.18039999999999</v>
      </c>
      <c r="AO1003">
        <v>248.16</v>
      </c>
      <c r="AP1003" s="13">
        <v>45194</v>
      </c>
      <c r="AQ1003">
        <v>-2</v>
      </c>
      <c r="AR1003">
        <v>1</v>
      </c>
    </row>
    <row r="1004" spans="1:44" x14ac:dyDescent="0.35">
      <c r="A1004" s="12" t="s">
        <v>1679</v>
      </c>
      <c r="B1004" s="12" t="s">
        <v>712</v>
      </c>
      <c r="C1004" s="12" t="s">
        <v>713</v>
      </c>
      <c r="D1004" s="12" t="s">
        <v>103</v>
      </c>
      <c r="E1004" s="12" t="s">
        <v>104</v>
      </c>
      <c r="F1004">
        <v>2</v>
      </c>
      <c r="G1004">
        <v>0</v>
      </c>
      <c r="H1004">
        <v>0</v>
      </c>
      <c r="I1004" s="12" t="s">
        <v>105</v>
      </c>
      <c r="J1004" s="12" t="s">
        <v>106</v>
      </c>
      <c r="K1004" s="12" t="s">
        <v>81</v>
      </c>
      <c r="L1004" s="12" t="s">
        <v>96</v>
      </c>
      <c r="M1004">
        <v>5.01</v>
      </c>
      <c r="N1004" s="12" t="s">
        <v>145</v>
      </c>
      <c r="O1004" s="12" t="s">
        <v>146</v>
      </c>
      <c r="P1004" s="12" t="s">
        <v>109</v>
      </c>
      <c r="Q1004" s="13">
        <v>45160</v>
      </c>
      <c r="R1004" s="13">
        <v>45178</v>
      </c>
      <c r="S1004">
        <v>2023</v>
      </c>
      <c r="T1004" s="12" t="s">
        <v>1536</v>
      </c>
      <c r="U1004">
        <v>62</v>
      </c>
      <c r="V1004">
        <v>202.47229999999999</v>
      </c>
      <c r="W1004">
        <v>135.32</v>
      </c>
      <c r="X1004">
        <v>0</v>
      </c>
      <c r="Y1004">
        <v>0</v>
      </c>
      <c r="Z1004">
        <v>12553.28</v>
      </c>
      <c r="AA1004">
        <v>12688.6</v>
      </c>
      <c r="AB1004" s="12" t="s">
        <v>1451</v>
      </c>
      <c r="AC1004">
        <v>202.47229999999999</v>
      </c>
      <c r="AD1004">
        <v>1</v>
      </c>
      <c r="AE1004">
        <v>1</v>
      </c>
      <c r="AF1004">
        <v>0</v>
      </c>
      <c r="AG1004">
        <v>12553.28</v>
      </c>
      <c r="AH1004">
        <v>62</v>
      </c>
      <c r="AI1004">
        <v>61</v>
      </c>
      <c r="AJ1004">
        <v>1</v>
      </c>
      <c r="AK1004">
        <v>1</v>
      </c>
      <c r="AL1004">
        <v>1</v>
      </c>
      <c r="AM1004">
        <v>98.39</v>
      </c>
      <c r="AN1004">
        <v>208.00989999999999</v>
      </c>
      <c r="AO1004">
        <v>202.47</v>
      </c>
      <c r="AP1004" s="13">
        <v>45175</v>
      </c>
      <c r="AQ1004">
        <v>-3</v>
      </c>
      <c r="AR1004">
        <v>1</v>
      </c>
    </row>
    <row r="1005" spans="1:44" x14ac:dyDescent="0.35">
      <c r="A1005" s="12" t="s">
        <v>1680</v>
      </c>
      <c r="B1005" s="12" t="s">
        <v>509</v>
      </c>
      <c r="C1005" s="12" t="s">
        <v>510</v>
      </c>
      <c r="D1005" s="12" t="s">
        <v>78</v>
      </c>
      <c r="E1005" s="12" t="s">
        <v>142</v>
      </c>
      <c r="F1005">
        <v>3</v>
      </c>
      <c r="G1005">
        <v>11</v>
      </c>
      <c r="H1005">
        <v>0</v>
      </c>
      <c r="I1005" s="12" t="s">
        <v>176</v>
      </c>
      <c r="J1005" s="12" t="s">
        <v>177</v>
      </c>
      <c r="K1005" s="12" t="s">
        <v>125</v>
      </c>
      <c r="L1005" s="12" t="s">
        <v>134</v>
      </c>
      <c r="M1005">
        <v>1.75</v>
      </c>
      <c r="N1005" s="12" t="s">
        <v>70</v>
      </c>
      <c r="O1005" s="12" t="s">
        <v>71</v>
      </c>
      <c r="P1005" s="12" t="s">
        <v>72</v>
      </c>
      <c r="Q1005" s="13">
        <v>45160</v>
      </c>
      <c r="R1005" s="13">
        <v>45199</v>
      </c>
      <c r="S1005">
        <v>2023</v>
      </c>
      <c r="T1005" s="12" t="s">
        <v>1536</v>
      </c>
      <c r="U1005">
        <v>104</v>
      </c>
      <c r="V1005">
        <v>144.51259999999999</v>
      </c>
      <c r="W1005">
        <v>251.75</v>
      </c>
      <c r="X1005">
        <v>459.31</v>
      </c>
      <c r="Y1005">
        <v>1</v>
      </c>
      <c r="Z1005">
        <v>15029.31</v>
      </c>
      <c r="AA1005">
        <v>15740.37</v>
      </c>
      <c r="AB1005" s="12" t="s">
        <v>511</v>
      </c>
      <c r="AC1005">
        <v>144.51259999999999</v>
      </c>
      <c r="AD1005">
        <v>1</v>
      </c>
      <c r="AE1005">
        <v>1</v>
      </c>
      <c r="AF1005">
        <v>0</v>
      </c>
      <c r="AG1005">
        <v>15029.31</v>
      </c>
      <c r="AH1005">
        <v>104</v>
      </c>
      <c r="AI1005">
        <v>102</v>
      </c>
      <c r="AJ1005">
        <v>2</v>
      </c>
      <c r="AK1005">
        <v>1</v>
      </c>
      <c r="AL1005">
        <v>1</v>
      </c>
      <c r="AM1005">
        <v>98.08</v>
      </c>
      <c r="AN1005">
        <v>154.31739999999999</v>
      </c>
      <c r="AO1005">
        <v>289.02999999999997</v>
      </c>
      <c r="AP1005" s="13">
        <v>45198</v>
      </c>
      <c r="AQ1005">
        <v>-1</v>
      </c>
      <c r="AR1005">
        <v>1</v>
      </c>
    </row>
    <row r="1006" spans="1:44" x14ac:dyDescent="0.35">
      <c r="A1006" s="12" t="s">
        <v>1681</v>
      </c>
      <c r="B1006" s="12" t="s">
        <v>149</v>
      </c>
      <c r="C1006" s="12" t="s">
        <v>150</v>
      </c>
      <c r="D1006" s="12" t="s">
        <v>78</v>
      </c>
      <c r="E1006" s="12" t="s">
        <v>65</v>
      </c>
      <c r="F1006">
        <v>2</v>
      </c>
      <c r="G1006">
        <v>2</v>
      </c>
      <c r="H1006">
        <v>0</v>
      </c>
      <c r="I1006" s="12" t="s">
        <v>151</v>
      </c>
      <c r="J1006" s="12" t="s">
        <v>152</v>
      </c>
      <c r="K1006" s="12" t="s">
        <v>125</v>
      </c>
      <c r="L1006" s="12" t="s">
        <v>69</v>
      </c>
      <c r="M1006">
        <v>36.479999999999997</v>
      </c>
      <c r="N1006" s="12" t="s">
        <v>70</v>
      </c>
      <c r="O1006" s="12" t="s">
        <v>71</v>
      </c>
      <c r="P1006" s="12" t="s">
        <v>72</v>
      </c>
      <c r="Q1006" s="13">
        <v>45161</v>
      </c>
      <c r="R1006" s="13">
        <v>45182</v>
      </c>
      <c r="S1006">
        <v>2023</v>
      </c>
      <c r="T1006" s="12" t="s">
        <v>1536</v>
      </c>
      <c r="U1006">
        <v>46</v>
      </c>
      <c r="V1006">
        <v>76.092399999999998</v>
      </c>
      <c r="W1006">
        <v>72.08</v>
      </c>
      <c r="X1006">
        <v>0</v>
      </c>
      <c r="Y1006">
        <v>0</v>
      </c>
      <c r="Z1006">
        <v>3500.25</v>
      </c>
      <c r="AA1006">
        <v>3572.33</v>
      </c>
      <c r="AB1006" s="12" t="s">
        <v>153</v>
      </c>
      <c r="AC1006">
        <v>76.092399999999998</v>
      </c>
      <c r="AD1006">
        <v>1</v>
      </c>
      <c r="AE1006">
        <v>1</v>
      </c>
      <c r="AF1006">
        <v>0</v>
      </c>
      <c r="AG1006">
        <v>3500.25</v>
      </c>
      <c r="AH1006">
        <v>46</v>
      </c>
      <c r="AI1006">
        <v>46</v>
      </c>
      <c r="AJ1006">
        <v>0</v>
      </c>
      <c r="AK1006">
        <v>1</v>
      </c>
      <c r="AL1006">
        <v>1</v>
      </c>
      <c r="AM1006">
        <v>100</v>
      </c>
      <c r="AN1006">
        <v>77.659400000000005</v>
      </c>
      <c r="AO1006">
        <v>0</v>
      </c>
      <c r="AP1006" s="13">
        <v>45182</v>
      </c>
      <c r="AQ1006">
        <v>0</v>
      </c>
      <c r="AR1006">
        <v>1</v>
      </c>
    </row>
    <row r="1007" spans="1:44" x14ac:dyDescent="0.35">
      <c r="A1007" s="12" t="s">
        <v>1682</v>
      </c>
      <c r="B1007" s="12" t="s">
        <v>565</v>
      </c>
      <c r="C1007" s="12" t="s">
        <v>566</v>
      </c>
      <c r="D1007" s="12" t="s">
        <v>122</v>
      </c>
      <c r="E1007" s="12" t="s">
        <v>104</v>
      </c>
      <c r="F1007">
        <v>3</v>
      </c>
      <c r="G1007">
        <v>1</v>
      </c>
      <c r="H1007">
        <v>0</v>
      </c>
      <c r="I1007" s="12" t="s">
        <v>87</v>
      </c>
      <c r="J1007" s="12" t="s">
        <v>88</v>
      </c>
      <c r="K1007" s="12" t="s">
        <v>89</v>
      </c>
      <c r="L1007" s="12" t="s">
        <v>69</v>
      </c>
      <c r="M1007">
        <v>14.93</v>
      </c>
      <c r="N1007" s="12" t="s">
        <v>97</v>
      </c>
      <c r="O1007" s="12" t="s">
        <v>98</v>
      </c>
      <c r="P1007" s="12" t="s">
        <v>72</v>
      </c>
      <c r="Q1007" s="13">
        <v>45161</v>
      </c>
      <c r="R1007" s="13">
        <v>45181</v>
      </c>
      <c r="S1007">
        <v>2023</v>
      </c>
      <c r="T1007" s="12" t="s">
        <v>1536</v>
      </c>
      <c r="U1007">
        <v>1009</v>
      </c>
      <c r="V1007">
        <v>36.2883</v>
      </c>
      <c r="W1007">
        <v>344.62</v>
      </c>
      <c r="X1007">
        <v>0</v>
      </c>
      <c r="Y1007">
        <v>0</v>
      </c>
      <c r="Z1007">
        <v>36614.89</v>
      </c>
      <c r="AA1007">
        <v>36959.51</v>
      </c>
      <c r="AB1007" s="12" t="s">
        <v>567</v>
      </c>
      <c r="AC1007">
        <v>36.2883</v>
      </c>
      <c r="AD1007">
        <v>1</v>
      </c>
      <c r="AE1007">
        <v>1</v>
      </c>
      <c r="AF1007">
        <v>0</v>
      </c>
      <c r="AG1007">
        <v>36614.89</v>
      </c>
      <c r="AH1007">
        <v>1009</v>
      </c>
      <c r="AI1007">
        <v>1006</v>
      </c>
      <c r="AJ1007">
        <v>3</v>
      </c>
      <c r="AK1007">
        <v>1</v>
      </c>
      <c r="AL1007">
        <v>1</v>
      </c>
      <c r="AM1007">
        <v>99.7</v>
      </c>
      <c r="AN1007">
        <v>36.739100000000001</v>
      </c>
      <c r="AO1007">
        <v>108.86</v>
      </c>
      <c r="AP1007" s="13">
        <v>45181</v>
      </c>
      <c r="AQ1007">
        <v>0</v>
      </c>
      <c r="AR1007">
        <v>1</v>
      </c>
    </row>
    <row r="1008" spans="1:44" x14ac:dyDescent="0.35">
      <c r="A1008" s="12" t="s">
        <v>1683</v>
      </c>
      <c r="B1008" s="12" t="s">
        <v>1034</v>
      </c>
      <c r="C1008" s="12" t="s">
        <v>1035</v>
      </c>
      <c r="D1008" s="12" t="s">
        <v>64</v>
      </c>
      <c r="E1008" s="12" t="s">
        <v>104</v>
      </c>
      <c r="F1008">
        <v>2</v>
      </c>
      <c r="G1008">
        <v>0</v>
      </c>
      <c r="H1008">
        <v>0</v>
      </c>
      <c r="I1008" s="12" t="s">
        <v>157</v>
      </c>
      <c r="J1008" s="12" t="s">
        <v>158</v>
      </c>
      <c r="K1008" s="12" t="s">
        <v>117</v>
      </c>
      <c r="L1008" s="12" t="s">
        <v>96</v>
      </c>
      <c r="M1008">
        <v>4.72</v>
      </c>
      <c r="N1008" s="12" t="s">
        <v>70</v>
      </c>
      <c r="O1008" s="12" t="s">
        <v>71</v>
      </c>
      <c r="P1008" s="12" t="s">
        <v>72</v>
      </c>
      <c r="Q1008" s="13">
        <v>45161</v>
      </c>
      <c r="R1008" s="13">
        <v>45182</v>
      </c>
      <c r="S1008">
        <v>2023</v>
      </c>
      <c r="T1008" s="12" t="s">
        <v>1536</v>
      </c>
      <c r="U1008">
        <v>562</v>
      </c>
      <c r="V1008">
        <v>9.9979999999999993</v>
      </c>
      <c r="W1008">
        <v>78.38</v>
      </c>
      <c r="X1008">
        <v>0</v>
      </c>
      <c r="Y1008">
        <v>0</v>
      </c>
      <c r="Z1008">
        <v>5618.88</v>
      </c>
      <c r="AA1008">
        <v>5697.26</v>
      </c>
      <c r="AB1008" s="12" t="s">
        <v>1036</v>
      </c>
      <c r="AC1008">
        <v>9.9979999999999993</v>
      </c>
      <c r="AD1008">
        <v>1</v>
      </c>
      <c r="AE1008">
        <v>1</v>
      </c>
      <c r="AF1008">
        <v>0</v>
      </c>
      <c r="AG1008">
        <v>5618.88</v>
      </c>
      <c r="AH1008">
        <v>562</v>
      </c>
      <c r="AI1008">
        <v>555</v>
      </c>
      <c r="AJ1008">
        <v>7</v>
      </c>
      <c r="AK1008">
        <v>1</v>
      </c>
      <c r="AL1008">
        <v>1</v>
      </c>
      <c r="AM1008">
        <v>98.75</v>
      </c>
      <c r="AN1008">
        <v>10.2653</v>
      </c>
      <c r="AO1008">
        <v>69.989999999999995</v>
      </c>
      <c r="AP1008" s="13">
        <v>45182</v>
      </c>
      <c r="AQ1008">
        <v>0</v>
      </c>
      <c r="AR1008">
        <v>1</v>
      </c>
    </row>
    <row r="1009" spans="1:44" x14ac:dyDescent="0.35">
      <c r="A1009" s="12" t="s">
        <v>1684</v>
      </c>
      <c r="B1009" s="12" t="s">
        <v>617</v>
      </c>
      <c r="C1009" s="12" t="s">
        <v>618</v>
      </c>
      <c r="D1009" s="12" t="s">
        <v>78</v>
      </c>
      <c r="E1009" s="12" t="s">
        <v>65</v>
      </c>
      <c r="F1009">
        <v>2</v>
      </c>
      <c r="G1009">
        <v>4</v>
      </c>
      <c r="H1009">
        <v>0</v>
      </c>
      <c r="I1009" s="12" t="s">
        <v>209</v>
      </c>
      <c r="J1009" s="12" t="s">
        <v>210</v>
      </c>
      <c r="K1009" s="12" t="s">
        <v>133</v>
      </c>
      <c r="L1009" s="12" t="s">
        <v>96</v>
      </c>
      <c r="M1009">
        <v>7.82</v>
      </c>
      <c r="N1009" s="12" t="s">
        <v>97</v>
      </c>
      <c r="O1009" s="12" t="s">
        <v>98</v>
      </c>
      <c r="P1009" s="12" t="s">
        <v>72</v>
      </c>
      <c r="Q1009" s="13">
        <v>45161</v>
      </c>
      <c r="R1009" s="13">
        <v>45186</v>
      </c>
      <c r="S1009">
        <v>2023</v>
      </c>
      <c r="T1009" s="12" t="s">
        <v>1536</v>
      </c>
      <c r="U1009">
        <v>110</v>
      </c>
      <c r="V1009">
        <v>108.2711</v>
      </c>
      <c r="W1009">
        <v>284.33</v>
      </c>
      <c r="X1009">
        <v>0</v>
      </c>
      <c r="Y1009">
        <v>0</v>
      </c>
      <c r="Z1009">
        <v>11909.82</v>
      </c>
      <c r="AA1009">
        <v>12194.15</v>
      </c>
      <c r="AB1009" s="12" t="s">
        <v>1523</v>
      </c>
      <c r="AC1009">
        <v>108.2711</v>
      </c>
      <c r="AD1009">
        <v>1</v>
      </c>
      <c r="AE1009">
        <v>1</v>
      </c>
      <c r="AF1009">
        <v>0</v>
      </c>
      <c r="AG1009">
        <v>11909.82</v>
      </c>
      <c r="AH1009">
        <v>110</v>
      </c>
      <c r="AI1009">
        <v>107</v>
      </c>
      <c r="AJ1009">
        <v>3</v>
      </c>
      <c r="AK1009">
        <v>1</v>
      </c>
      <c r="AL1009">
        <v>1</v>
      </c>
      <c r="AM1009">
        <v>97.27</v>
      </c>
      <c r="AN1009">
        <v>113.964</v>
      </c>
      <c r="AO1009">
        <v>324.81</v>
      </c>
      <c r="AP1009" s="13">
        <v>45187</v>
      </c>
      <c r="AQ1009">
        <v>1</v>
      </c>
      <c r="AR1009">
        <v>0</v>
      </c>
    </row>
    <row r="1010" spans="1:44" x14ac:dyDescent="0.35">
      <c r="A1010" s="12" t="s">
        <v>1685</v>
      </c>
      <c r="B1010" s="12" t="s">
        <v>273</v>
      </c>
      <c r="C1010" s="12" t="s">
        <v>274</v>
      </c>
      <c r="D1010" s="12" t="s">
        <v>175</v>
      </c>
      <c r="E1010" s="12" t="s">
        <v>104</v>
      </c>
      <c r="F1010">
        <v>3</v>
      </c>
      <c r="G1010">
        <v>1</v>
      </c>
      <c r="H1010">
        <v>0</v>
      </c>
      <c r="I1010" s="12" t="s">
        <v>275</v>
      </c>
      <c r="J1010" s="12" t="s">
        <v>276</v>
      </c>
      <c r="K1010" s="12" t="s">
        <v>89</v>
      </c>
      <c r="L1010" s="12" t="s">
        <v>82</v>
      </c>
      <c r="M1010">
        <v>14.26</v>
      </c>
      <c r="N1010" s="12" t="s">
        <v>107</v>
      </c>
      <c r="O1010" s="12" t="s">
        <v>108</v>
      </c>
      <c r="P1010" s="12" t="s">
        <v>109</v>
      </c>
      <c r="Q1010" s="13">
        <v>45161</v>
      </c>
      <c r="R1010" s="13">
        <v>45184</v>
      </c>
      <c r="S1010">
        <v>2023</v>
      </c>
      <c r="T1010" s="12" t="s">
        <v>1536</v>
      </c>
      <c r="U1010">
        <v>98</v>
      </c>
      <c r="V1010">
        <v>113.5119</v>
      </c>
      <c r="W1010">
        <v>86.6</v>
      </c>
      <c r="X1010">
        <v>0</v>
      </c>
      <c r="Y1010">
        <v>0</v>
      </c>
      <c r="Z1010">
        <v>11124.17</v>
      </c>
      <c r="AA1010">
        <v>11210.77</v>
      </c>
      <c r="AB1010" s="12" t="s">
        <v>277</v>
      </c>
      <c r="AC1010">
        <v>117.48480000000001</v>
      </c>
      <c r="AD1010">
        <v>2</v>
      </c>
      <c r="AE1010">
        <v>1</v>
      </c>
      <c r="AF1010">
        <v>-389.34</v>
      </c>
      <c r="AG1010">
        <v>11513.51</v>
      </c>
      <c r="AH1010">
        <v>98</v>
      </c>
      <c r="AI1010">
        <v>97</v>
      </c>
      <c r="AJ1010">
        <v>1</v>
      </c>
      <c r="AK1010">
        <v>1</v>
      </c>
      <c r="AL1010">
        <v>1</v>
      </c>
      <c r="AM1010">
        <v>98.98</v>
      </c>
      <c r="AN1010">
        <v>115.5749</v>
      </c>
      <c r="AO1010">
        <v>113.51</v>
      </c>
      <c r="AP1010" s="13">
        <v>45184</v>
      </c>
      <c r="AQ1010">
        <v>0</v>
      </c>
      <c r="AR1010">
        <v>1</v>
      </c>
    </row>
    <row r="1011" spans="1:44" x14ac:dyDescent="0.35">
      <c r="A1011" s="12" t="s">
        <v>1686</v>
      </c>
      <c r="B1011" s="12" t="s">
        <v>451</v>
      </c>
      <c r="C1011" s="12" t="s">
        <v>452</v>
      </c>
      <c r="D1011" s="12" t="s">
        <v>175</v>
      </c>
      <c r="E1011" s="12" t="s">
        <v>104</v>
      </c>
      <c r="F1011">
        <v>3</v>
      </c>
      <c r="G1011">
        <v>1</v>
      </c>
      <c r="H1011">
        <v>0</v>
      </c>
      <c r="I1011" s="12" t="s">
        <v>359</v>
      </c>
      <c r="J1011" s="12" t="s">
        <v>360</v>
      </c>
      <c r="K1011" s="12" t="s">
        <v>133</v>
      </c>
      <c r="L1011" s="12" t="s">
        <v>82</v>
      </c>
      <c r="M1011">
        <v>12.65</v>
      </c>
      <c r="N1011" s="12" t="s">
        <v>145</v>
      </c>
      <c r="O1011" s="12" t="s">
        <v>146</v>
      </c>
      <c r="P1011" s="12" t="s">
        <v>109</v>
      </c>
      <c r="Q1011" s="13">
        <v>45161</v>
      </c>
      <c r="R1011" s="13">
        <v>45179</v>
      </c>
      <c r="S1011">
        <v>2023</v>
      </c>
      <c r="T1011" s="12" t="s">
        <v>1536</v>
      </c>
      <c r="U1011">
        <v>58</v>
      </c>
      <c r="V1011">
        <v>254.15530000000001</v>
      </c>
      <c r="W1011">
        <v>146.71</v>
      </c>
      <c r="X1011">
        <v>0</v>
      </c>
      <c r="Y1011">
        <v>0</v>
      </c>
      <c r="Z1011">
        <v>14741.01</v>
      </c>
      <c r="AA1011">
        <v>14887.72</v>
      </c>
      <c r="AB1011" s="12" t="s">
        <v>627</v>
      </c>
      <c r="AC1011">
        <v>254.15530000000001</v>
      </c>
      <c r="AD1011">
        <v>1</v>
      </c>
      <c r="AE1011">
        <v>1</v>
      </c>
      <c r="AF1011">
        <v>0</v>
      </c>
      <c r="AG1011">
        <v>14741.01</v>
      </c>
      <c r="AH1011">
        <v>58</v>
      </c>
      <c r="AI1011">
        <v>58</v>
      </c>
      <c r="AJ1011">
        <v>0</v>
      </c>
      <c r="AK1011">
        <v>1</v>
      </c>
      <c r="AL1011">
        <v>1</v>
      </c>
      <c r="AM1011">
        <v>100</v>
      </c>
      <c r="AN1011">
        <v>256.6848</v>
      </c>
      <c r="AO1011">
        <v>0</v>
      </c>
      <c r="AP1011" s="13">
        <v>45175</v>
      </c>
      <c r="AQ1011">
        <v>-4</v>
      </c>
      <c r="AR1011">
        <v>1</v>
      </c>
    </row>
    <row r="1012" spans="1:44" x14ac:dyDescent="0.35">
      <c r="A1012" s="12" t="s">
        <v>1687</v>
      </c>
      <c r="B1012" s="12" t="s">
        <v>1075</v>
      </c>
      <c r="C1012" s="12" t="s">
        <v>1076</v>
      </c>
      <c r="D1012" s="12" t="s">
        <v>103</v>
      </c>
      <c r="E1012" s="12" t="s">
        <v>65</v>
      </c>
      <c r="F1012">
        <v>2</v>
      </c>
      <c r="G1012">
        <v>4</v>
      </c>
      <c r="H1012">
        <v>0</v>
      </c>
      <c r="I1012" s="12" t="s">
        <v>183</v>
      </c>
      <c r="J1012" s="12" t="s">
        <v>184</v>
      </c>
      <c r="K1012" s="12" t="s">
        <v>133</v>
      </c>
      <c r="L1012" s="12" t="s">
        <v>82</v>
      </c>
      <c r="M1012">
        <v>8.6199999999999992</v>
      </c>
      <c r="N1012" s="12" t="s">
        <v>107</v>
      </c>
      <c r="O1012" s="12" t="s">
        <v>108</v>
      </c>
      <c r="P1012" s="12" t="s">
        <v>109</v>
      </c>
      <c r="Q1012" s="13">
        <v>45161</v>
      </c>
      <c r="R1012" s="13">
        <v>45184</v>
      </c>
      <c r="S1012">
        <v>2023</v>
      </c>
      <c r="T1012" s="12" t="s">
        <v>1536</v>
      </c>
      <c r="U1012">
        <v>29</v>
      </c>
      <c r="V1012">
        <v>68.470200000000006</v>
      </c>
      <c r="W1012">
        <v>41.26</v>
      </c>
      <c r="X1012">
        <v>0</v>
      </c>
      <c r="Y1012">
        <v>0</v>
      </c>
      <c r="Z1012">
        <v>1985.64</v>
      </c>
      <c r="AA1012">
        <v>2026.9</v>
      </c>
      <c r="AB1012" s="12" t="s">
        <v>1163</v>
      </c>
      <c r="AC1012">
        <v>68.470200000000006</v>
      </c>
      <c r="AD1012">
        <v>1</v>
      </c>
      <c r="AE1012">
        <v>1</v>
      </c>
      <c r="AF1012">
        <v>0</v>
      </c>
      <c r="AG1012">
        <v>1985.64</v>
      </c>
      <c r="AH1012">
        <v>29</v>
      </c>
      <c r="AI1012">
        <v>29</v>
      </c>
      <c r="AJ1012">
        <v>0</v>
      </c>
      <c r="AK1012">
        <v>1</v>
      </c>
      <c r="AL1012">
        <v>1</v>
      </c>
      <c r="AM1012">
        <v>100</v>
      </c>
      <c r="AN1012">
        <v>69.893000000000001</v>
      </c>
      <c r="AO1012">
        <v>0</v>
      </c>
      <c r="AP1012" s="13">
        <v>45184</v>
      </c>
      <c r="AQ1012">
        <v>0</v>
      </c>
      <c r="AR1012">
        <v>1</v>
      </c>
    </row>
    <row r="1013" spans="1:44" x14ac:dyDescent="0.35">
      <c r="A1013" s="12" t="s">
        <v>1688</v>
      </c>
      <c r="B1013" s="12" t="s">
        <v>773</v>
      </c>
      <c r="C1013" s="12" t="s">
        <v>774</v>
      </c>
      <c r="D1013" s="12" t="s">
        <v>64</v>
      </c>
      <c r="E1013" s="12" t="s">
        <v>142</v>
      </c>
      <c r="F1013">
        <v>1</v>
      </c>
      <c r="G1013">
        <v>7</v>
      </c>
      <c r="H1013">
        <v>1</v>
      </c>
      <c r="I1013" s="12" t="s">
        <v>251</v>
      </c>
      <c r="J1013" s="12" t="s">
        <v>252</v>
      </c>
      <c r="K1013" s="12" t="s">
        <v>133</v>
      </c>
      <c r="L1013" s="12" t="s">
        <v>69</v>
      </c>
      <c r="M1013">
        <v>34.49</v>
      </c>
      <c r="N1013" s="12" t="s">
        <v>97</v>
      </c>
      <c r="O1013" s="12" t="s">
        <v>98</v>
      </c>
      <c r="P1013" s="12" t="s">
        <v>72</v>
      </c>
      <c r="Q1013" s="13">
        <v>45161</v>
      </c>
      <c r="R1013" s="13">
        <v>45197</v>
      </c>
      <c r="S1013">
        <v>2023</v>
      </c>
      <c r="T1013" s="12" t="s">
        <v>1536</v>
      </c>
      <c r="U1013">
        <v>180</v>
      </c>
      <c r="V1013">
        <v>10.0604</v>
      </c>
      <c r="W1013">
        <v>12.22</v>
      </c>
      <c r="X1013">
        <v>0</v>
      </c>
      <c r="Y1013">
        <v>0</v>
      </c>
      <c r="Z1013">
        <v>1810.87</v>
      </c>
      <c r="AA1013">
        <v>1823.09</v>
      </c>
      <c r="AB1013" s="12" t="s">
        <v>775</v>
      </c>
      <c r="AC1013">
        <v>10.0604</v>
      </c>
      <c r="AD1013">
        <v>1</v>
      </c>
      <c r="AE1013">
        <v>1</v>
      </c>
      <c r="AF1013">
        <v>0</v>
      </c>
      <c r="AG1013">
        <v>1810.87</v>
      </c>
      <c r="AH1013">
        <v>180</v>
      </c>
      <c r="AI1013">
        <v>178</v>
      </c>
      <c r="AJ1013">
        <v>2</v>
      </c>
      <c r="AK1013">
        <v>1</v>
      </c>
      <c r="AL1013">
        <v>1</v>
      </c>
      <c r="AM1013">
        <v>98.89</v>
      </c>
      <c r="AN1013">
        <v>10.242100000000001</v>
      </c>
      <c r="AO1013">
        <v>20.12</v>
      </c>
      <c r="AP1013" s="13">
        <v>45194</v>
      </c>
      <c r="AQ1013">
        <v>-3</v>
      </c>
      <c r="AR1013">
        <v>1</v>
      </c>
    </row>
    <row r="1014" spans="1:44" x14ac:dyDescent="0.35">
      <c r="A1014" s="12" t="s">
        <v>1689</v>
      </c>
      <c r="B1014" s="12" t="s">
        <v>978</v>
      </c>
      <c r="C1014" s="12" t="s">
        <v>979</v>
      </c>
      <c r="D1014" s="12" t="s">
        <v>122</v>
      </c>
      <c r="E1014" s="12" t="s">
        <v>65</v>
      </c>
      <c r="F1014">
        <v>1</v>
      </c>
      <c r="G1014">
        <v>2</v>
      </c>
      <c r="H1014">
        <v>1</v>
      </c>
      <c r="I1014" s="12" t="s">
        <v>310</v>
      </c>
      <c r="J1014" s="12" t="s">
        <v>311</v>
      </c>
      <c r="K1014" s="12" t="s">
        <v>81</v>
      </c>
      <c r="L1014" s="12" t="s">
        <v>69</v>
      </c>
      <c r="M1014">
        <v>28.3</v>
      </c>
      <c r="N1014" s="12" t="s">
        <v>70</v>
      </c>
      <c r="O1014" s="12" t="s">
        <v>71</v>
      </c>
      <c r="P1014" s="12" t="s">
        <v>72</v>
      </c>
      <c r="Q1014" s="13">
        <v>45161</v>
      </c>
      <c r="R1014" s="13">
        <v>45194</v>
      </c>
      <c r="S1014">
        <v>2023</v>
      </c>
      <c r="T1014" s="12" t="s">
        <v>1536</v>
      </c>
      <c r="U1014">
        <v>1443</v>
      </c>
      <c r="V1014">
        <v>43.709699999999998</v>
      </c>
      <c r="W1014">
        <v>772.54</v>
      </c>
      <c r="X1014">
        <v>0</v>
      </c>
      <c r="Y1014">
        <v>0</v>
      </c>
      <c r="Z1014">
        <v>63073.1</v>
      </c>
      <c r="AA1014">
        <v>63845.64</v>
      </c>
      <c r="AB1014" s="12" t="s">
        <v>980</v>
      </c>
      <c r="AC1014">
        <v>43.709699999999998</v>
      </c>
      <c r="AD1014">
        <v>1</v>
      </c>
      <c r="AE1014">
        <v>1</v>
      </c>
      <c r="AF1014">
        <v>0</v>
      </c>
      <c r="AG1014">
        <v>63073.1</v>
      </c>
      <c r="AH1014">
        <v>1443</v>
      </c>
      <c r="AI1014">
        <v>1439</v>
      </c>
      <c r="AJ1014">
        <v>4</v>
      </c>
      <c r="AK1014">
        <v>1</v>
      </c>
      <c r="AL1014">
        <v>1</v>
      </c>
      <c r="AM1014">
        <v>99.72</v>
      </c>
      <c r="AN1014">
        <v>44.368099999999998</v>
      </c>
      <c r="AO1014">
        <v>174.84</v>
      </c>
      <c r="AP1014" s="13">
        <v>45192</v>
      </c>
      <c r="AQ1014">
        <v>-2</v>
      </c>
      <c r="AR1014">
        <v>1</v>
      </c>
    </row>
    <row r="1015" spans="1:44" x14ac:dyDescent="0.35">
      <c r="A1015" s="12" t="s">
        <v>1690</v>
      </c>
      <c r="B1015" s="12" t="s">
        <v>193</v>
      </c>
      <c r="C1015" s="12" t="s">
        <v>194</v>
      </c>
      <c r="D1015" s="12" t="s">
        <v>114</v>
      </c>
      <c r="E1015" s="12" t="s">
        <v>65</v>
      </c>
      <c r="F1015">
        <v>3</v>
      </c>
      <c r="G1015">
        <v>4</v>
      </c>
      <c r="H1015">
        <v>0</v>
      </c>
      <c r="I1015" s="12" t="s">
        <v>195</v>
      </c>
      <c r="J1015" s="12" t="s">
        <v>196</v>
      </c>
      <c r="K1015" s="12" t="s">
        <v>117</v>
      </c>
      <c r="L1015" s="12" t="s">
        <v>134</v>
      </c>
      <c r="M1015">
        <v>4.7699999999999996</v>
      </c>
      <c r="N1015" s="12" t="s">
        <v>70</v>
      </c>
      <c r="O1015" s="12" t="s">
        <v>71</v>
      </c>
      <c r="P1015" s="12" t="s">
        <v>72</v>
      </c>
      <c r="Q1015" s="13">
        <v>45161</v>
      </c>
      <c r="R1015" s="13">
        <v>45182</v>
      </c>
      <c r="S1015">
        <v>2023</v>
      </c>
      <c r="T1015" s="12" t="s">
        <v>1536</v>
      </c>
      <c r="U1015">
        <v>10</v>
      </c>
      <c r="V1015">
        <v>107.28270000000001</v>
      </c>
      <c r="W1015">
        <v>15.52</v>
      </c>
      <c r="X1015">
        <v>0</v>
      </c>
      <c r="Y1015">
        <v>0</v>
      </c>
      <c r="Z1015">
        <v>1072.83</v>
      </c>
      <c r="AA1015">
        <v>1088.3499999999999</v>
      </c>
      <c r="AB1015" s="12" t="s">
        <v>197</v>
      </c>
      <c r="AC1015">
        <v>107.28270000000001</v>
      </c>
      <c r="AD1015">
        <v>1</v>
      </c>
      <c r="AE1015">
        <v>1</v>
      </c>
      <c r="AF1015">
        <v>0</v>
      </c>
      <c r="AG1015">
        <v>1072.83</v>
      </c>
      <c r="AH1015">
        <v>10</v>
      </c>
      <c r="AI1015">
        <v>10</v>
      </c>
      <c r="AJ1015">
        <v>0</v>
      </c>
      <c r="AK1015">
        <v>1</v>
      </c>
      <c r="AL1015">
        <v>1</v>
      </c>
      <c r="AM1015">
        <v>100</v>
      </c>
      <c r="AN1015">
        <v>108.8347</v>
      </c>
      <c r="AO1015">
        <v>0</v>
      </c>
      <c r="AP1015" s="13">
        <v>45181</v>
      </c>
      <c r="AQ1015">
        <v>-1</v>
      </c>
      <c r="AR1015">
        <v>1</v>
      </c>
    </row>
    <row r="1016" spans="1:44" x14ac:dyDescent="0.35">
      <c r="A1016" s="12" t="s">
        <v>1691</v>
      </c>
      <c r="B1016" s="12" t="s">
        <v>215</v>
      </c>
      <c r="C1016" s="12" t="s">
        <v>216</v>
      </c>
      <c r="D1016" s="12" t="s">
        <v>122</v>
      </c>
      <c r="E1016" s="12" t="s">
        <v>142</v>
      </c>
      <c r="F1016">
        <v>3</v>
      </c>
      <c r="G1016">
        <v>11</v>
      </c>
      <c r="H1016">
        <v>0</v>
      </c>
      <c r="I1016" s="12" t="s">
        <v>217</v>
      </c>
      <c r="J1016" s="12" t="s">
        <v>218</v>
      </c>
      <c r="K1016" s="12" t="s">
        <v>68</v>
      </c>
      <c r="L1016" s="12" t="s">
        <v>82</v>
      </c>
      <c r="M1016">
        <v>14.24</v>
      </c>
      <c r="N1016" s="12" t="s">
        <v>70</v>
      </c>
      <c r="O1016" s="12" t="s">
        <v>71</v>
      </c>
      <c r="P1016" s="12" t="s">
        <v>72</v>
      </c>
      <c r="Q1016" s="13">
        <v>45161</v>
      </c>
      <c r="R1016" s="13">
        <v>45203</v>
      </c>
      <c r="S1016">
        <v>2023</v>
      </c>
      <c r="T1016" s="12" t="s">
        <v>1536</v>
      </c>
      <c r="U1016">
        <v>992</v>
      </c>
      <c r="V1016">
        <v>15.462199999999999</v>
      </c>
      <c r="W1016">
        <v>111.76</v>
      </c>
      <c r="X1016">
        <v>0</v>
      </c>
      <c r="Y1016">
        <v>0</v>
      </c>
      <c r="Z1016">
        <v>15338.5</v>
      </c>
      <c r="AA1016">
        <v>15450.26</v>
      </c>
      <c r="AB1016" s="12" t="s">
        <v>219</v>
      </c>
      <c r="AC1016">
        <v>15.462199999999999</v>
      </c>
      <c r="AD1016">
        <v>1</v>
      </c>
      <c r="AE1016">
        <v>1</v>
      </c>
      <c r="AF1016">
        <v>0</v>
      </c>
      <c r="AG1016">
        <v>15338.5</v>
      </c>
      <c r="AH1016">
        <v>992</v>
      </c>
      <c r="AI1016">
        <v>987</v>
      </c>
      <c r="AJ1016">
        <v>5</v>
      </c>
      <c r="AK1016">
        <v>1</v>
      </c>
      <c r="AL1016">
        <v>1</v>
      </c>
      <c r="AM1016">
        <v>99.5</v>
      </c>
      <c r="AN1016">
        <v>15.6538</v>
      </c>
      <c r="AO1016">
        <v>77.31</v>
      </c>
      <c r="AP1016" s="13">
        <v>45203</v>
      </c>
      <c r="AQ1016">
        <v>0</v>
      </c>
      <c r="AR1016">
        <v>1</v>
      </c>
    </row>
    <row r="1017" spans="1:44" x14ac:dyDescent="0.35">
      <c r="A1017" s="12" t="s">
        <v>1692</v>
      </c>
      <c r="B1017" s="12" t="s">
        <v>1042</v>
      </c>
      <c r="C1017" s="12" t="s">
        <v>1043</v>
      </c>
      <c r="D1017" s="12" t="s">
        <v>269</v>
      </c>
      <c r="E1017" s="12" t="s">
        <v>104</v>
      </c>
      <c r="F1017">
        <v>2</v>
      </c>
      <c r="G1017">
        <v>0</v>
      </c>
      <c r="H1017">
        <v>0</v>
      </c>
      <c r="I1017" s="12" t="s">
        <v>143</v>
      </c>
      <c r="J1017" s="12" t="s">
        <v>144</v>
      </c>
      <c r="K1017" s="12" t="s">
        <v>133</v>
      </c>
      <c r="L1017" s="12" t="s">
        <v>96</v>
      </c>
      <c r="M1017">
        <v>5.43</v>
      </c>
      <c r="N1017" s="12" t="s">
        <v>135</v>
      </c>
      <c r="O1017" s="12" t="s">
        <v>136</v>
      </c>
      <c r="P1017" s="12" t="s">
        <v>137</v>
      </c>
      <c r="Q1017" s="13">
        <v>45161</v>
      </c>
      <c r="R1017" s="13">
        <v>45180</v>
      </c>
      <c r="S1017">
        <v>2023</v>
      </c>
      <c r="T1017" s="12" t="s">
        <v>1536</v>
      </c>
      <c r="U1017">
        <v>69</v>
      </c>
      <c r="V1017">
        <v>290.76319999999998</v>
      </c>
      <c r="W1017">
        <v>182.29</v>
      </c>
      <c r="X1017">
        <v>0</v>
      </c>
      <c r="Y1017">
        <v>0</v>
      </c>
      <c r="Z1017">
        <v>20062.66</v>
      </c>
      <c r="AA1017">
        <v>20244.95</v>
      </c>
      <c r="AB1017" s="12" t="s">
        <v>1044</v>
      </c>
      <c r="AC1017">
        <v>290.76319999999998</v>
      </c>
      <c r="AD1017">
        <v>1</v>
      </c>
      <c r="AE1017">
        <v>1</v>
      </c>
      <c r="AF1017">
        <v>0</v>
      </c>
      <c r="AG1017">
        <v>20062.66</v>
      </c>
      <c r="AH1017">
        <v>69</v>
      </c>
      <c r="AI1017">
        <v>69</v>
      </c>
      <c r="AJ1017">
        <v>0</v>
      </c>
      <c r="AK1017">
        <v>1</v>
      </c>
      <c r="AL1017">
        <v>1</v>
      </c>
      <c r="AM1017">
        <v>100</v>
      </c>
      <c r="AN1017">
        <v>293.4051</v>
      </c>
      <c r="AO1017">
        <v>0</v>
      </c>
      <c r="AP1017" s="13">
        <v>45178</v>
      </c>
      <c r="AQ1017">
        <v>-2</v>
      </c>
      <c r="AR1017">
        <v>1</v>
      </c>
    </row>
    <row r="1018" spans="1:44" x14ac:dyDescent="0.35">
      <c r="A1018" s="12" t="s">
        <v>1693</v>
      </c>
      <c r="B1018" s="12" t="s">
        <v>1433</v>
      </c>
      <c r="C1018" s="12" t="s">
        <v>1434</v>
      </c>
      <c r="D1018" s="12" t="s">
        <v>269</v>
      </c>
      <c r="E1018" s="12" t="s">
        <v>65</v>
      </c>
      <c r="F1018">
        <v>3</v>
      </c>
      <c r="G1018">
        <v>5</v>
      </c>
      <c r="H1018">
        <v>0</v>
      </c>
      <c r="I1018" s="12" t="s">
        <v>223</v>
      </c>
      <c r="J1018" s="12" t="s">
        <v>224</v>
      </c>
      <c r="K1018" s="12" t="s">
        <v>81</v>
      </c>
      <c r="L1018" s="12" t="s">
        <v>134</v>
      </c>
      <c r="M1018">
        <v>2.4900000000000002</v>
      </c>
      <c r="N1018" s="12" t="s">
        <v>135</v>
      </c>
      <c r="O1018" s="12" t="s">
        <v>136</v>
      </c>
      <c r="P1018" s="12" t="s">
        <v>137</v>
      </c>
      <c r="Q1018" s="13">
        <v>45161</v>
      </c>
      <c r="R1018" s="13">
        <v>45183</v>
      </c>
      <c r="S1018">
        <v>2023</v>
      </c>
      <c r="T1018" s="12" t="s">
        <v>1536</v>
      </c>
      <c r="U1018">
        <v>18</v>
      </c>
      <c r="V1018">
        <v>457.42090000000002</v>
      </c>
      <c r="W1018">
        <v>90.05</v>
      </c>
      <c r="X1018">
        <v>0</v>
      </c>
      <c r="Y1018">
        <v>0</v>
      </c>
      <c r="Z1018">
        <v>8233.58</v>
      </c>
      <c r="AA1018">
        <v>8323.6299999999992</v>
      </c>
      <c r="AB1018" s="12" t="s">
        <v>1435</v>
      </c>
      <c r="AC1018">
        <v>457.42090000000002</v>
      </c>
      <c r="AD1018">
        <v>1</v>
      </c>
      <c r="AE1018">
        <v>1</v>
      </c>
      <c r="AF1018">
        <v>0</v>
      </c>
      <c r="AG1018">
        <v>8233.58</v>
      </c>
      <c r="AH1018">
        <v>18</v>
      </c>
      <c r="AI1018">
        <v>18</v>
      </c>
      <c r="AJ1018">
        <v>0</v>
      </c>
      <c r="AK1018">
        <v>1</v>
      </c>
      <c r="AL1018">
        <v>1</v>
      </c>
      <c r="AM1018">
        <v>100</v>
      </c>
      <c r="AN1018">
        <v>462.4237</v>
      </c>
      <c r="AO1018">
        <v>0</v>
      </c>
      <c r="AP1018" s="13">
        <v>45183</v>
      </c>
      <c r="AQ1018">
        <v>0</v>
      </c>
      <c r="AR1018">
        <v>1</v>
      </c>
    </row>
    <row r="1019" spans="1:44" x14ac:dyDescent="0.35">
      <c r="A1019" s="12" t="s">
        <v>1694</v>
      </c>
      <c r="B1019" s="12" t="s">
        <v>802</v>
      </c>
      <c r="C1019" s="12" t="s">
        <v>803</v>
      </c>
      <c r="D1019" s="12" t="s">
        <v>114</v>
      </c>
      <c r="E1019" s="12" t="s">
        <v>65</v>
      </c>
      <c r="F1019">
        <v>3</v>
      </c>
      <c r="G1019">
        <v>5</v>
      </c>
      <c r="H1019">
        <v>0</v>
      </c>
      <c r="I1019" s="12" t="s">
        <v>804</v>
      </c>
      <c r="J1019" s="12" t="s">
        <v>342</v>
      </c>
      <c r="K1019" s="12" t="s">
        <v>117</v>
      </c>
      <c r="L1019" s="12" t="s">
        <v>69</v>
      </c>
      <c r="M1019">
        <v>30.07</v>
      </c>
      <c r="N1019" s="12" t="s">
        <v>97</v>
      </c>
      <c r="O1019" s="12" t="s">
        <v>98</v>
      </c>
      <c r="P1019" s="12" t="s">
        <v>72</v>
      </c>
      <c r="Q1019" s="13">
        <v>45162</v>
      </c>
      <c r="R1019" s="13">
        <v>45187</v>
      </c>
      <c r="S1019">
        <v>2023</v>
      </c>
      <c r="T1019" s="12" t="s">
        <v>1536</v>
      </c>
      <c r="U1019">
        <v>43</v>
      </c>
      <c r="V1019">
        <v>350.71699999999998</v>
      </c>
      <c r="W1019">
        <v>285.45</v>
      </c>
      <c r="X1019">
        <v>0</v>
      </c>
      <c r="Y1019">
        <v>0</v>
      </c>
      <c r="Z1019">
        <v>15080.83</v>
      </c>
      <c r="AA1019">
        <v>15366.28</v>
      </c>
      <c r="AB1019" s="12" t="s">
        <v>805</v>
      </c>
      <c r="AC1019">
        <v>362.99209999999999</v>
      </c>
      <c r="AD1019">
        <v>2</v>
      </c>
      <c r="AE1019">
        <v>1</v>
      </c>
      <c r="AF1019">
        <v>-527.83000000000004</v>
      </c>
      <c r="AG1019">
        <v>15608.66</v>
      </c>
      <c r="AH1019">
        <v>43</v>
      </c>
      <c r="AI1019">
        <v>42</v>
      </c>
      <c r="AJ1019">
        <v>1</v>
      </c>
      <c r="AK1019">
        <v>1</v>
      </c>
      <c r="AL1019">
        <v>1</v>
      </c>
      <c r="AM1019">
        <v>97.67</v>
      </c>
      <c r="AN1019">
        <v>365.86380000000003</v>
      </c>
      <c r="AO1019">
        <v>350.72</v>
      </c>
      <c r="AP1019" s="13">
        <v>45185</v>
      </c>
      <c r="AQ1019">
        <v>-2</v>
      </c>
      <c r="AR1019">
        <v>1</v>
      </c>
    </row>
    <row r="1020" spans="1:44" x14ac:dyDescent="0.35">
      <c r="A1020" s="12" t="s">
        <v>1695</v>
      </c>
      <c r="B1020" s="12" t="s">
        <v>101</v>
      </c>
      <c r="C1020" s="12" t="s">
        <v>102</v>
      </c>
      <c r="D1020" s="12" t="s">
        <v>103</v>
      </c>
      <c r="E1020" s="12" t="s">
        <v>104</v>
      </c>
      <c r="F1020">
        <v>1</v>
      </c>
      <c r="G1020">
        <v>0</v>
      </c>
      <c r="H1020">
        <v>1</v>
      </c>
      <c r="I1020" s="12" t="s">
        <v>105</v>
      </c>
      <c r="J1020" s="12" t="s">
        <v>106</v>
      </c>
      <c r="K1020" s="12" t="s">
        <v>81</v>
      </c>
      <c r="L1020" s="12" t="s">
        <v>96</v>
      </c>
      <c r="M1020">
        <v>5.01</v>
      </c>
      <c r="N1020" s="12" t="s">
        <v>107</v>
      </c>
      <c r="O1020" s="12" t="s">
        <v>108</v>
      </c>
      <c r="P1020" s="12" t="s">
        <v>109</v>
      </c>
      <c r="Q1020" s="13">
        <v>45162</v>
      </c>
      <c r="R1020" s="13">
        <v>45190</v>
      </c>
      <c r="S1020">
        <v>2023</v>
      </c>
      <c r="T1020" s="12" t="s">
        <v>1536</v>
      </c>
      <c r="U1020">
        <v>138</v>
      </c>
      <c r="V1020">
        <v>207.4813</v>
      </c>
      <c r="W1020">
        <v>216.29</v>
      </c>
      <c r="X1020">
        <v>0</v>
      </c>
      <c r="Y1020">
        <v>0</v>
      </c>
      <c r="Z1020">
        <v>28632.42</v>
      </c>
      <c r="AA1020">
        <v>28848.71</v>
      </c>
      <c r="AB1020" s="12" t="s">
        <v>110</v>
      </c>
      <c r="AC1020">
        <v>207.4813</v>
      </c>
      <c r="AD1020">
        <v>1</v>
      </c>
      <c r="AE1020">
        <v>1</v>
      </c>
      <c r="AF1020">
        <v>0</v>
      </c>
      <c r="AG1020">
        <v>28632.42</v>
      </c>
      <c r="AH1020">
        <v>138</v>
      </c>
      <c r="AI1020">
        <v>137</v>
      </c>
      <c r="AJ1020">
        <v>1</v>
      </c>
      <c r="AK1020">
        <v>1</v>
      </c>
      <c r="AL1020">
        <v>1</v>
      </c>
      <c r="AM1020">
        <v>99.28</v>
      </c>
      <c r="AN1020">
        <v>210.5745</v>
      </c>
      <c r="AO1020">
        <v>207.48</v>
      </c>
      <c r="AP1020" s="13">
        <v>45187</v>
      </c>
      <c r="AQ1020">
        <v>-3</v>
      </c>
      <c r="AR1020">
        <v>1</v>
      </c>
    </row>
    <row r="1021" spans="1:44" x14ac:dyDescent="0.35">
      <c r="A1021" s="12" t="s">
        <v>1696</v>
      </c>
      <c r="B1021" s="12" t="s">
        <v>437</v>
      </c>
      <c r="C1021" s="12" t="s">
        <v>438</v>
      </c>
      <c r="D1021" s="12" t="s">
        <v>269</v>
      </c>
      <c r="E1021" s="12" t="s">
        <v>65</v>
      </c>
      <c r="F1021">
        <v>2</v>
      </c>
      <c r="G1021">
        <v>4</v>
      </c>
      <c r="H1021">
        <v>0</v>
      </c>
      <c r="I1021" s="12" t="s">
        <v>115</v>
      </c>
      <c r="J1021" s="12" t="s">
        <v>116</v>
      </c>
      <c r="K1021" s="12" t="s">
        <v>117</v>
      </c>
      <c r="L1021" s="12" t="s">
        <v>82</v>
      </c>
      <c r="M1021">
        <v>17.170000000000002</v>
      </c>
      <c r="N1021" s="12" t="s">
        <v>159</v>
      </c>
      <c r="O1021" s="12" t="s">
        <v>160</v>
      </c>
      <c r="P1021" s="12" t="s">
        <v>137</v>
      </c>
      <c r="Q1021" s="13">
        <v>45162</v>
      </c>
      <c r="R1021" s="13">
        <v>45189</v>
      </c>
      <c r="S1021">
        <v>2023</v>
      </c>
      <c r="T1021" s="12" t="s">
        <v>1536</v>
      </c>
      <c r="U1021">
        <v>59</v>
      </c>
      <c r="V1021">
        <v>473.21539999999999</v>
      </c>
      <c r="W1021">
        <v>309.73</v>
      </c>
      <c r="X1021">
        <v>0</v>
      </c>
      <c r="Y1021">
        <v>0</v>
      </c>
      <c r="Z1021">
        <v>27919.71</v>
      </c>
      <c r="AA1021">
        <v>28229.439999999999</v>
      </c>
      <c r="AB1021" s="12" t="s">
        <v>439</v>
      </c>
      <c r="AC1021">
        <v>473.21539999999999</v>
      </c>
      <c r="AD1021">
        <v>1</v>
      </c>
      <c r="AE1021">
        <v>1</v>
      </c>
      <c r="AF1021">
        <v>0</v>
      </c>
      <c r="AG1021">
        <v>27919.71</v>
      </c>
      <c r="AH1021">
        <v>59</v>
      </c>
      <c r="AI1021">
        <v>59</v>
      </c>
      <c r="AJ1021">
        <v>0</v>
      </c>
      <c r="AK1021">
        <v>1</v>
      </c>
      <c r="AL1021">
        <v>1</v>
      </c>
      <c r="AM1021">
        <v>100</v>
      </c>
      <c r="AN1021">
        <v>478.46510000000001</v>
      </c>
      <c r="AO1021">
        <v>0</v>
      </c>
      <c r="AP1021" s="13">
        <v>45153</v>
      </c>
      <c r="AQ1021">
        <v>-36</v>
      </c>
      <c r="AR1021">
        <v>1</v>
      </c>
    </row>
    <row r="1022" spans="1:44" x14ac:dyDescent="0.35">
      <c r="A1022" s="12" t="s">
        <v>1697</v>
      </c>
      <c r="B1022" s="12" t="s">
        <v>112</v>
      </c>
      <c r="C1022" s="12" t="s">
        <v>113</v>
      </c>
      <c r="D1022" s="12" t="s">
        <v>114</v>
      </c>
      <c r="E1022" s="12" t="s">
        <v>104</v>
      </c>
      <c r="F1022">
        <v>3</v>
      </c>
      <c r="G1022">
        <v>1</v>
      </c>
      <c r="H1022">
        <v>0</v>
      </c>
      <c r="I1022" s="12" t="s">
        <v>115</v>
      </c>
      <c r="J1022" s="12" t="s">
        <v>116</v>
      </c>
      <c r="K1022" s="12" t="s">
        <v>117</v>
      </c>
      <c r="L1022" s="12" t="s">
        <v>82</v>
      </c>
      <c r="M1022">
        <v>17.170000000000002</v>
      </c>
      <c r="N1022" s="12" t="s">
        <v>97</v>
      </c>
      <c r="O1022" s="12" t="s">
        <v>98</v>
      </c>
      <c r="P1022" s="12" t="s">
        <v>72</v>
      </c>
      <c r="Q1022" s="13">
        <v>45162</v>
      </c>
      <c r="R1022" s="13">
        <v>45180</v>
      </c>
      <c r="S1022">
        <v>2023</v>
      </c>
      <c r="T1022" s="12" t="s">
        <v>1536</v>
      </c>
      <c r="U1022">
        <v>63</v>
      </c>
      <c r="V1022">
        <v>264.17590000000001</v>
      </c>
      <c r="W1022">
        <v>101.24</v>
      </c>
      <c r="X1022">
        <v>0</v>
      </c>
      <c r="Y1022">
        <v>0</v>
      </c>
      <c r="Z1022">
        <v>16643.080000000002</v>
      </c>
      <c r="AA1022">
        <v>16744.32</v>
      </c>
      <c r="AB1022" s="12" t="s">
        <v>118</v>
      </c>
      <c r="AC1022">
        <v>264.17590000000001</v>
      </c>
      <c r="AD1022">
        <v>1</v>
      </c>
      <c r="AE1022">
        <v>1</v>
      </c>
      <c r="AF1022">
        <v>0</v>
      </c>
      <c r="AG1022">
        <v>16643.080000000002</v>
      </c>
      <c r="AH1022">
        <v>63</v>
      </c>
      <c r="AI1022">
        <v>63</v>
      </c>
      <c r="AJ1022">
        <v>0</v>
      </c>
      <c r="AK1022">
        <v>1</v>
      </c>
      <c r="AL1022">
        <v>1</v>
      </c>
      <c r="AM1022">
        <v>100</v>
      </c>
      <c r="AN1022">
        <v>265.78289999999998</v>
      </c>
      <c r="AO1022">
        <v>0</v>
      </c>
      <c r="AP1022" s="13">
        <v>45184</v>
      </c>
      <c r="AQ1022">
        <v>4</v>
      </c>
      <c r="AR1022">
        <v>0</v>
      </c>
    </row>
    <row r="1023" spans="1:44" x14ac:dyDescent="0.35">
      <c r="A1023" s="12" t="s">
        <v>1698</v>
      </c>
      <c r="B1023" s="12" t="s">
        <v>350</v>
      </c>
      <c r="C1023" s="12" t="s">
        <v>351</v>
      </c>
      <c r="D1023" s="12" t="s">
        <v>64</v>
      </c>
      <c r="E1023" s="12" t="s">
        <v>104</v>
      </c>
      <c r="F1023">
        <v>3</v>
      </c>
      <c r="G1023">
        <v>1</v>
      </c>
      <c r="H1023">
        <v>0</v>
      </c>
      <c r="I1023" s="12" t="s">
        <v>486</v>
      </c>
      <c r="J1023" s="12" t="s">
        <v>487</v>
      </c>
      <c r="K1023" s="12" t="s">
        <v>125</v>
      </c>
      <c r="L1023" s="12" t="s">
        <v>69</v>
      </c>
      <c r="M1023">
        <v>36.86</v>
      </c>
      <c r="N1023" s="12" t="s">
        <v>70</v>
      </c>
      <c r="O1023" s="12" t="s">
        <v>71</v>
      </c>
      <c r="P1023" s="12" t="s">
        <v>72</v>
      </c>
      <c r="Q1023" s="13">
        <v>45162</v>
      </c>
      <c r="R1023" s="13">
        <v>45174</v>
      </c>
      <c r="S1023">
        <v>2023</v>
      </c>
      <c r="T1023" s="12" t="s">
        <v>1536</v>
      </c>
      <c r="U1023">
        <v>104</v>
      </c>
      <c r="V1023">
        <v>8.7273999999999994</v>
      </c>
      <c r="W1023">
        <v>20.79</v>
      </c>
      <c r="X1023">
        <v>0</v>
      </c>
      <c r="Y1023">
        <v>0</v>
      </c>
      <c r="Z1023">
        <v>907.65</v>
      </c>
      <c r="AA1023">
        <v>928.44</v>
      </c>
      <c r="AB1023" s="12" t="s">
        <v>488</v>
      </c>
      <c r="AC1023">
        <v>8.7273999999999994</v>
      </c>
      <c r="AD1023">
        <v>1</v>
      </c>
      <c r="AE1023">
        <v>1</v>
      </c>
      <c r="AF1023">
        <v>0</v>
      </c>
      <c r="AG1023">
        <v>907.65</v>
      </c>
      <c r="AH1023">
        <v>104</v>
      </c>
      <c r="AI1023">
        <v>104</v>
      </c>
      <c r="AJ1023">
        <v>0</v>
      </c>
      <c r="AK1023">
        <v>1</v>
      </c>
      <c r="AL1023">
        <v>1</v>
      </c>
      <c r="AM1023">
        <v>100</v>
      </c>
      <c r="AN1023">
        <v>8.9273000000000007</v>
      </c>
      <c r="AO1023">
        <v>0</v>
      </c>
      <c r="AP1023" s="13">
        <v>45171</v>
      </c>
      <c r="AQ1023">
        <v>-3</v>
      </c>
      <c r="AR1023">
        <v>1</v>
      </c>
    </row>
    <row r="1024" spans="1:44" x14ac:dyDescent="0.35">
      <c r="A1024" s="12" t="s">
        <v>1699</v>
      </c>
      <c r="B1024" s="12" t="s">
        <v>909</v>
      </c>
      <c r="C1024" s="12" t="s">
        <v>910</v>
      </c>
      <c r="D1024" s="12" t="s">
        <v>269</v>
      </c>
      <c r="E1024" s="12" t="s">
        <v>65</v>
      </c>
      <c r="F1024">
        <v>3</v>
      </c>
      <c r="G1024">
        <v>4</v>
      </c>
      <c r="H1024">
        <v>0</v>
      </c>
      <c r="I1024" s="12" t="s">
        <v>199</v>
      </c>
      <c r="J1024" s="12" t="s">
        <v>200</v>
      </c>
      <c r="K1024" s="12" t="s">
        <v>68</v>
      </c>
      <c r="L1024" s="12" t="s">
        <v>96</v>
      </c>
      <c r="M1024">
        <v>9.4700000000000006</v>
      </c>
      <c r="N1024" s="12" t="s">
        <v>135</v>
      </c>
      <c r="O1024" s="12" t="s">
        <v>136</v>
      </c>
      <c r="P1024" s="12" t="s">
        <v>137</v>
      </c>
      <c r="Q1024" s="13">
        <v>45162</v>
      </c>
      <c r="R1024" s="13">
        <v>45186</v>
      </c>
      <c r="S1024">
        <v>2023</v>
      </c>
      <c r="T1024" s="12" t="s">
        <v>1536</v>
      </c>
      <c r="U1024">
        <v>38</v>
      </c>
      <c r="V1024">
        <v>108.32040000000001</v>
      </c>
      <c r="W1024">
        <v>53.63</v>
      </c>
      <c r="X1024">
        <v>0</v>
      </c>
      <c r="Y1024">
        <v>0</v>
      </c>
      <c r="Z1024">
        <v>4116.18</v>
      </c>
      <c r="AA1024">
        <v>4169.8100000000004</v>
      </c>
      <c r="AB1024" s="12" t="s">
        <v>911</v>
      </c>
      <c r="AC1024">
        <v>108.32040000000001</v>
      </c>
      <c r="AD1024">
        <v>1</v>
      </c>
      <c r="AE1024">
        <v>1</v>
      </c>
      <c r="AF1024">
        <v>0</v>
      </c>
      <c r="AG1024">
        <v>4116.18</v>
      </c>
      <c r="AH1024">
        <v>38</v>
      </c>
      <c r="AI1024">
        <v>38</v>
      </c>
      <c r="AJ1024">
        <v>0</v>
      </c>
      <c r="AK1024">
        <v>1</v>
      </c>
      <c r="AL1024">
        <v>1</v>
      </c>
      <c r="AM1024">
        <v>100</v>
      </c>
      <c r="AN1024">
        <v>109.7317</v>
      </c>
      <c r="AO1024">
        <v>0</v>
      </c>
      <c r="AP1024" s="13">
        <v>45183</v>
      </c>
      <c r="AQ1024">
        <v>-3</v>
      </c>
      <c r="AR1024">
        <v>1</v>
      </c>
    </row>
    <row r="1025" spans="1:44" x14ac:dyDescent="0.35">
      <c r="A1025" s="12" t="s">
        <v>1700</v>
      </c>
      <c r="B1025" s="12" t="s">
        <v>120</v>
      </c>
      <c r="C1025" s="12" t="s">
        <v>121</v>
      </c>
      <c r="D1025" s="12" t="s">
        <v>122</v>
      </c>
      <c r="E1025" s="12" t="s">
        <v>65</v>
      </c>
      <c r="F1025">
        <v>3</v>
      </c>
      <c r="G1025">
        <v>4</v>
      </c>
      <c r="H1025">
        <v>0</v>
      </c>
      <c r="I1025" s="12" t="s">
        <v>123</v>
      </c>
      <c r="J1025" s="12" t="s">
        <v>124</v>
      </c>
      <c r="K1025" s="12" t="s">
        <v>125</v>
      </c>
      <c r="L1025" s="12" t="s">
        <v>82</v>
      </c>
      <c r="M1025">
        <v>6.75</v>
      </c>
      <c r="N1025" s="12" t="s">
        <v>97</v>
      </c>
      <c r="O1025" s="12" t="s">
        <v>98</v>
      </c>
      <c r="P1025" s="12" t="s">
        <v>72</v>
      </c>
      <c r="Q1025" s="13">
        <v>45162</v>
      </c>
      <c r="R1025" s="13">
        <v>45192</v>
      </c>
      <c r="S1025">
        <v>2023</v>
      </c>
      <c r="T1025" s="12" t="s">
        <v>1536</v>
      </c>
      <c r="U1025">
        <v>1192</v>
      </c>
      <c r="V1025">
        <v>55.544699999999999</v>
      </c>
      <c r="W1025">
        <v>639.34</v>
      </c>
      <c r="X1025">
        <v>0</v>
      </c>
      <c r="Y1025">
        <v>0</v>
      </c>
      <c r="Z1025">
        <v>66209.279999999999</v>
      </c>
      <c r="AA1025">
        <v>66848.62</v>
      </c>
      <c r="AB1025" s="12" t="s">
        <v>126</v>
      </c>
      <c r="AC1025">
        <v>55.544699999999999</v>
      </c>
      <c r="AD1025">
        <v>1</v>
      </c>
      <c r="AE1025">
        <v>1</v>
      </c>
      <c r="AF1025">
        <v>0</v>
      </c>
      <c r="AG1025">
        <v>66209.279999999999</v>
      </c>
      <c r="AH1025">
        <v>1192</v>
      </c>
      <c r="AI1025">
        <v>1185</v>
      </c>
      <c r="AJ1025">
        <v>7</v>
      </c>
      <c r="AK1025">
        <v>1</v>
      </c>
      <c r="AL1025">
        <v>1</v>
      </c>
      <c r="AM1025">
        <v>99.41</v>
      </c>
      <c r="AN1025">
        <v>56.412300000000002</v>
      </c>
      <c r="AO1025">
        <v>388.81</v>
      </c>
      <c r="AP1025" s="13">
        <v>45190</v>
      </c>
      <c r="AQ1025">
        <v>-2</v>
      </c>
      <c r="AR1025">
        <v>1</v>
      </c>
    </row>
    <row r="1026" spans="1:44" x14ac:dyDescent="0.35">
      <c r="A1026" s="12" t="s">
        <v>1701</v>
      </c>
      <c r="B1026" s="12" t="s">
        <v>924</v>
      </c>
      <c r="C1026" s="12" t="s">
        <v>925</v>
      </c>
      <c r="D1026" s="12" t="s">
        <v>103</v>
      </c>
      <c r="E1026" s="12" t="s">
        <v>104</v>
      </c>
      <c r="F1026">
        <v>2</v>
      </c>
      <c r="G1026">
        <v>0</v>
      </c>
      <c r="H1026">
        <v>0</v>
      </c>
      <c r="I1026" s="12" t="s">
        <v>335</v>
      </c>
      <c r="J1026" s="12" t="s">
        <v>336</v>
      </c>
      <c r="K1026" s="12" t="s">
        <v>89</v>
      </c>
      <c r="L1026" s="12" t="s">
        <v>82</v>
      </c>
      <c r="M1026">
        <v>16</v>
      </c>
      <c r="N1026" s="12" t="s">
        <v>107</v>
      </c>
      <c r="O1026" s="12" t="s">
        <v>108</v>
      </c>
      <c r="P1026" s="12" t="s">
        <v>109</v>
      </c>
      <c r="Q1026" s="13">
        <v>45162</v>
      </c>
      <c r="R1026" s="13">
        <v>45190</v>
      </c>
      <c r="S1026">
        <v>2023</v>
      </c>
      <c r="T1026" s="12" t="s">
        <v>1536</v>
      </c>
      <c r="U1026">
        <v>140</v>
      </c>
      <c r="V1026">
        <v>161.51509999999999</v>
      </c>
      <c r="W1026">
        <v>394.89</v>
      </c>
      <c r="X1026">
        <v>0</v>
      </c>
      <c r="Y1026">
        <v>0</v>
      </c>
      <c r="Z1026">
        <v>22612.11</v>
      </c>
      <c r="AA1026">
        <v>23007</v>
      </c>
      <c r="AB1026" s="12" t="s">
        <v>926</v>
      </c>
      <c r="AC1026">
        <v>161.51509999999999</v>
      </c>
      <c r="AD1026">
        <v>1</v>
      </c>
      <c r="AE1026">
        <v>1</v>
      </c>
      <c r="AF1026">
        <v>0</v>
      </c>
      <c r="AG1026">
        <v>22612.11</v>
      </c>
      <c r="AH1026">
        <v>140</v>
      </c>
      <c r="AI1026">
        <v>139</v>
      </c>
      <c r="AJ1026">
        <v>1</v>
      </c>
      <c r="AK1026">
        <v>1</v>
      </c>
      <c r="AL1026">
        <v>1</v>
      </c>
      <c r="AM1026">
        <v>99.29</v>
      </c>
      <c r="AN1026">
        <v>165.518</v>
      </c>
      <c r="AO1026">
        <v>161.52000000000001</v>
      </c>
      <c r="AP1026" s="13">
        <v>45187</v>
      </c>
      <c r="AQ1026">
        <v>-3</v>
      </c>
      <c r="AR1026">
        <v>1</v>
      </c>
    </row>
    <row r="1027" spans="1:44" x14ac:dyDescent="0.35">
      <c r="A1027" s="12" t="s">
        <v>1702</v>
      </c>
      <c r="B1027" s="12" t="s">
        <v>565</v>
      </c>
      <c r="C1027" s="12" t="s">
        <v>566</v>
      </c>
      <c r="D1027" s="12" t="s">
        <v>122</v>
      </c>
      <c r="E1027" s="12" t="s">
        <v>104</v>
      </c>
      <c r="F1027">
        <v>3</v>
      </c>
      <c r="G1027">
        <v>1</v>
      </c>
      <c r="H1027">
        <v>0</v>
      </c>
      <c r="I1027" s="12" t="s">
        <v>87</v>
      </c>
      <c r="J1027" s="12" t="s">
        <v>88</v>
      </c>
      <c r="K1027" s="12" t="s">
        <v>89</v>
      </c>
      <c r="L1027" s="12" t="s">
        <v>69</v>
      </c>
      <c r="M1027">
        <v>14.93</v>
      </c>
      <c r="N1027" s="12" t="s">
        <v>70</v>
      </c>
      <c r="O1027" s="12" t="s">
        <v>71</v>
      </c>
      <c r="P1027" s="12" t="s">
        <v>72</v>
      </c>
      <c r="Q1027" s="13">
        <v>45163</v>
      </c>
      <c r="R1027" s="13">
        <v>45176</v>
      </c>
      <c r="S1027">
        <v>2023</v>
      </c>
      <c r="T1027" s="12" t="s">
        <v>1536</v>
      </c>
      <c r="U1027">
        <v>382</v>
      </c>
      <c r="V1027">
        <v>36.2883</v>
      </c>
      <c r="W1027">
        <v>221.89</v>
      </c>
      <c r="X1027">
        <v>0</v>
      </c>
      <c r="Y1027">
        <v>0</v>
      </c>
      <c r="Z1027">
        <v>13862.13</v>
      </c>
      <c r="AA1027">
        <v>14084.02</v>
      </c>
      <c r="AB1027" s="12" t="s">
        <v>567</v>
      </c>
      <c r="AC1027">
        <v>36.2883</v>
      </c>
      <c r="AD1027">
        <v>1</v>
      </c>
      <c r="AE1027">
        <v>1</v>
      </c>
      <c r="AF1027">
        <v>0</v>
      </c>
      <c r="AG1027">
        <v>13862.13</v>
      </c>
      <c r="AH1027">
        <v>382</v>
      </c>
      <c r="AI1027">
        <v>381</v>
      </c>
      <c r="AJ1027">
        <v>1</v>
      </c>
      <c r="AK1027">
        <v>1</v>
      </c>
      <c r="AL1027">
        <v>1</v>
      </c>
      <c r="AM1027">
        <v>99.74</v>
      </c>
      <c r="AN1027">
        <v>36.965899999999998</v>
      </c>
      <c r="AO1027">
        <v>36.29</v>
      </c>
      <c r="AP1027" s="13">
        <v>45173</v>
      </c>
      <c r="AQ1027">
        <v>-3</v>
      </c>
      <c r="AR1027">
        <v>1</v>
      </c>
    </row>
    <row r="1028" spans="1:44" x14ac:dyDescent="0.35">
      <c r="A1028" s="12" t="s">
        <v>1703</v>
      </c>
      <c r="B1028" s="12" t="s">
        <v>1034</v>
      </c>
      <c r="C1028" s="12" t="s">
        <v>1035</v>
      </c>
      <c r="D1028" s="12" t="s">
        <v>64</v>
      </c>
      <c r="E1028" s="12" t="s">
        <v>104</v>
      </c>
      <c r="F1028">
        <v>2</v>
      </c>
      <c r="G1028">
        <v>0</v>
      </c>
      <c r="H1028">
        <v>0</v>
      </c>
      <c r="I1028" s="12" t="s">
        <v>157</v>
      </c>
      <c r="J1028" s="12" t="s">
        <v>158</v>
      </c>
      <c r="K1028" s="12" t="s">
        <v>117</v>
      </c>
      <c r="L1028" s="12" t="s">
        <v>96</v>
      </c>
      <c r="M1028">
        <v>4.72</v>
      </c>
      <c r="N1028" s="12" t="s">
        <v>70</v>
      </c>
      <c r="O1028" s="12" t="s">
        <v>71</v>
      </c>
      <c r="P1028" s="12" t="s">
        <v>72</v>
      </c>
      <c r="Q1028" s="13">
        <v>45163</v>
      </c>
      <c r="R1028" s="13">
        <v>45187</v>
      </c>
      <c r="S1028">
        <v>2023</v>
      </c>
      <c r="T1028" s="12" t="s">
        <v>1536</v>
      </c>
      <c r="U1028">
        <v>743</v>
      </c>
      <c r="V1028">
        <v>9.9979999999999993</v>
      </c>
      <c r="W1028">
        <v>67.22</v>
      </c>
      <c r="X1028">
        <v>0</v>
      </c>
      <c r="Y1028">
        <v>0</v>
      </c>
      <c r="Z1028">
        <v>7428.51</v>
      </c>
      <c r="AA1028">
        <v>7495.73</v>
      </c>
      <c r="AB1028" s="12" t="s">
        <v>1036</v>
      </c>
      <c r="AC1028">
        <v>9.9979999999999993</v>
      </c>
      <c r="AD1028">
        <v>1</v>
      </c>
      <c r="AE1028">
        <v>1</v>
      </c>
      <c r="AF1028">
        <v>0</v>
      </c>
      <c r="AG1028">
        <v>7428.51</v>
      </c>
      <c r="AH1028">
        <v>743</v>
      </c>
      <c r="AI1028">
        <v>740</v>
      </c>
      <c r="AJ1028">
        <v>3</v>
      </c>
      <c r="AK1028">
        <v>1</v>
      </c>
      <c r="AL1028">
        <v>1</v>
      </c>
      <c r="AM1028">
        <v>99.6</v>
      </c>
      <c r="AN1028">
        <v>10.1294</v>
      </c>
      <c r="AO1028">
        <v>29.99</v>
      </c>
      <c r="AP1028" s="13">
        <v>45186</v>
      </c>
      <c r="AQ1028">
        <v>-1</v>
      </c>
      <c r="AR1028">
        <v>1</v>
      </c>
    </row>
    <row r="1029" spans="1:44" x14ac:dyDescent="0.35">
      <c r="A1029" s="12" t="s">
        <v>1704</v>
      </c>
      <c r="B1029" s="12" t="s">
        <v>465</v>
      </c>
      <c r="C1029" s="12" t="s">
        <v>466</v>
      </c>
      <c r="D1029" s="12" t="s">
        <v>78</v>
      </c>
      <c r="E1029" s="12" t="s">
        <v>142</v>
      </c>
      <c r="F1029">
        <v>3</v>
      </c>
      <c r="G1029">
        <v>11</v>
      </c>
      <c r="H1029">
        <v>0</v>
      </c>
      <c r="I1029" s="12" t="s">
        <v>195</v>
      </c>
      <c r="J1029" s="12" t="s">
        <v>196</v>
      </c>
      <c r="K1029" s="12" t="s">
        <v>117</v>
      </c>
      <c r="L1029" s="12" t="s">
        <v>134</v>
      </c>
      <c r="M1029">
        <v>4.7699999999999996</v>
      </c>
      <c r="N1029" s="12" t="s">
        <v>70</v>
      </c>
      <c r="O1029" s="12" t="s">
        <v>71</v>
      </c>
      <c r="P1029" s="12" t="s">
        <v>72</v>
      </c>
      <c r="Q1029" s="13">
        <v>45163</v>
      </c>
      <c r="R1029" s="13">
        <v>45199</v>
      </c>
      <c r="S1029">
        <v>2023</v>
      </c>
      <c r="T1029" s="12" t="s">
        <v>1536</v>
      </c>
      <c r="U1029">
        <v>68</v>
      </c>
      <c r="V1029">
        <v>110.11579999999999</v>
      </c>
      <c r="W1029">
        <v>169.49</v>
      </c>
      <c r="X1029">
        <v>231.86</v>
      </c>
      <c r="Y1029">
        <v>1</v>
      </c>
      <c r="Z1029">
        <v>7487.87</v>
      </c>
      <c r="AA1029">
        <v>7889.22</v>
      </c>
      <c r="AB1029" s="12" t="s">
        <v>467</v>
      </c>
      <c r="AC1029">
        <v>110.11579999999999</v>
      </c>
      <c r="AD1029">
        <v>1</v>
      </c>
      <c r="AE1029">
        <v>1</v>
      </c>
      <c r="AF1029">
        <v>0</v>
      </c>
      <c r="AG1029">
        <v>7487.87</v>
      </c>
      <c r="AH1029">
        <v>68</v>
      </c>
      <c r="AI1029">
        <v>68</v>
      </c>
      <c r="AJ1029">
        <v>0</v>
      </c>
      <c r="AK1029">
        <v>1</v>
      </c>
      <c r="AL1029">
        <v>1</v>
      </c>
      <c r="AM1029">
        <v>100</v>
      </c>
      <c r="AN1029">
        <v>116.018</v>
      </c>
      <c r="AO1029">
        <v>0</v>
      </c>
      <c r="AP1029" s="13">
        <v>45196</v>
      </c>
      <c r="AQ1029">
        <v>-3</v>
      </c>
      <c r="AR1029">
        <v>1</v>
      </c>
    </row>
    <row r="1030" spans="1:44" x14ac:dyDescent="0.35">
      <c r="A1030" s="12" t="s">
        <v>1705</v>
      </c>
      <c r="B1030" s="12" t="s">
        <v>755</v>
      </c>
      <c r="C1030" s="12" t="s">
        <v>756</v>
      </c>
      <c r="D1030" s="12" t="s">
        <v>78</v>
      </c>
      <c r="E1030" s="12" t="s">
        <v>65</v>
      </c>
      <c r="F1030">
        <v>2</v>
      </c>
      <c r="G1030">
        <v>2</v>
      </c>
      <c r="H1030">
        <v>0</v>
      </c>
      <c r="I1030" s="12" t="s">
        <v>251</v>
      </c>
      <c r="J1030" s="12" t="s">
        <v>252</v>
      </c>
      <c r="K1030" s="12" t="s">
        <v>133</v>
      </c>
      <c r="L1030" s="12" t="s">
        <v>69</v>
      </c>
      <c r="M1030">
        <v>34.49</v>
      </c>
      <c r="N1030" s="12" t="s">
        <v>97</v>
      </c>
      <c r="O1030" s="12" t="s">
        <v>98</v>
      </c>
      <c r="P1030" s="12" t="s">
        <v>72</v>
      </c>
      <c r="Q1030" s="13">
        <v>45163</v>
      </c>
      <c r="R1030" s="13">
        <v>45185</v>
      </c>
      <c r="S1030">
        <v>2023</v>
      </c>
      <c r="T1030" s="12" t="s">
        <v>1536</v>
      </c>
      <c r="U1030">
        <v>55</v>
      </c>
      <c r="V1030">
        <v>46.9101</v>
      </c>
      <c r="W1030">
        <v>36.409999999999997</v>
      </c>
      <c r="X1030">
        <v>0</v>
      </c>
      <c r="Y1030">
        <v>0</v>
      </c>
      <c r="Z1030">
        <v>2580.06</v>
      </c>
      <c r="AA1030">
        <v>2616.4699999999998</v>
      </c>
      <c r="AB1030" s="12" t="s">
        <v>757</v>
      </c>
      <c r="AC1030">
        <v>45.472499999999997</v>
      </c>
      <c r="AD1030">
        <v>1</v>
      </c>
      <c r="AE1030">
        <v>1</v>
      </c>
      <c r="AF1030">
        <v>79.069999999999993</v>
      </c>
      <c r="AG1030">
        <v>2500.9899999999998</v>
      </c>
      <c r="AH1030">
        <v>55</v>
      </c>
      <c r="AI1030">
        <v>54</v>
      </c>
      <c r="AJ1030">
        <v>1</v>
      </c>
      <c r="AK1030">
        <v>1</v>
      </c>
      <c r="AL1030">
        <v>1</v>
      </c>
      <c r="AM1030">
        <v>98.18</v>
      </c>
      <c r="AN1030">
        <v>48.453099999999999</v>
      </c>
      <c r="AO1030">
        <v>46.91</v>
      </c>
      <c r="AP1030" s="13">
        <v>45182</v>
      </c>
      <c r="AQ1030">
        <v>-3</v>
      </c>
      <c r="AR1030">
        <v>1</v>
      </c>
    </row>
    <row r="1031" spans="1:44" x14ac:dyDescent="0.35">
      <c r="A1031" s="12" t="s">
        <v>1706</v>
      </c>
      <c r="B1031" s="12" t="s">
        <v>339</v>
      </c>
      <c r="C1031" s="12" t="s">
        <v>340</v>
      </c>
      <c r="D1031" s="12" t="s">
        <v>103</v>
      </c>
      <c r="E1031" s="12" t="s">
        <v>142</v>
      </c>
      <c r="F1031">
        <v>2</v>
      </c>
      <c r="G1031">
        <v>9</v>
      </c>
      <c r="H1031">
        <v>0</v>
      </c>
      <c r="I1031" s="12" t="s">
        <v>169</v>
      </c>
      <c r="J1031" s="12" t="s">
        <v>170</v>
      </c>
      <c r="K1031" s="12" t="s">
        <v>89</v>
      </c>
      <c r="L1031" s="12" t="s">
        <v>134</v>
      </c>
      <c r="M1031">
        <v>1.37</v>
      </c>
      <c r="N1031" s="12" t="s">
        <v>107</v>
      </c>
      <c r="O1031" s="12" t="s">
        <v>108</v>
      </c>
      <c r="P1031" s="12" t="s">
        <v>109</v>
      </c>
      <c r="Q1031" s="13">
        <v>45163</v>
      </c>
      <c r="R1031" s="13">
        <v>45207</v>
      </c>
      <c r="S1031">
        <v>2023</v>
      </c>
      <c r="T1031" s="12" t="s">
        <v>1536</v>
      </c>
      <c r="U1031">
        <v>86</v>
      </c>
      <c r="V1031">
        <v>249.9879</v>
      </c>
      <c r="W1031">
        <v>161.06</v>
      </c>
      <c r="X1031">
        <v>0</v>
      </c>
      <c r="Y1031">
        <v>0</v>
      </c>
      <c r="Z1031">
        <v>21498.959999999999</v>
      </c>
      <c r="AA1031">
        <v>21660.02</v>
      </c>
      <c r="AB1031" s="12" t="s">
        <v>345</v>
      </c>
      <c r="AC1031">
        <v>249.9879</v>
      </c>
      <c r="AD1031">
        <v>1</v>
      </c>
      <c r="AE1031">
        <v>1</v>
      </c>
      <c r="AF1031">
        <v>0</v>
      </c>
      <c r="AG1031">
        <v>21498.959999999999</v>
      </c>
      <c r="AH1031">
        <v>86</v>
      </c>
      <c r="AI1031">
        <v>85</v>
      </c>
      <c r="AJ1031">
        <v>1</v>
      </c>
      <c r="AK1031">
        <v>1</v>
      </c>
      <c r="AL1031">
        <v>1</v>
      </c>
      <c r="AM1031">
        <v>98.84</v>
      </c>
      <c r="AN1031">
        <v>254.82380000000001</v>
      </c>
      <c r="AO1031">
        <v>249.99</v>
      </c>
      <c r="AP1031" s="13">
        <v>45204</v>
      </c>
      <c r="AQ1031">
        <v>-3</v>
      </c>
      <c r="AR1031">
        <v>1</v>
      </c>
    </row>
    <row r="1032" spans="1:44" x14ac:dyDescent="0.35">
      <c r="A1032" s="12" t="s">
        <v>1707</v>
      </c>
      <c r="B1032" s="12" t="s">
        <v>128</v>
      </c>
      <c r="C1032" s="12" t="s">
        <v>129</v>
      </c>
      <c r="D1032" s="12" t="s">
        <v>130</v>
      </c>
      <c r="E1032" s="12" t="s">
        <v>65</v>
      </c>
      <c r="F1032">
        <v>3</v>
      </c>
      <c r="G1032">
        <v>5</v>
      </c>
      <c r="H1032">
        <v>0</v>
      </c>
      <c r="I1032" s="12" t="s">
        <v>131</v>
      </c>
      <c r="J1032" s="12" t="s">
        <v>132</v>
      </c>
      <c r="K1032" s="12" t="s">
        <v>133</v>
      </c>
      <c r="L1032" s="12" t="s">
        <v>134</v>
      </c>
      <c r="M1032">
        <v>1.51</v>
      </c>
      <c r="N1032" s="12" t="s">
        <v>135</v>
      </c>
      <c r="O1032" s="12" t="s">
        <v>136</v>
      </c>
      <c r="P1032" s="12" t="s">
        <v>137</v>
      </c>
      <c r="Q1032" s="13">
        <v>45163</v>
      </c>
      <c r="R1032" s="13">
        <v>45197</v>
      </c>
      <c r="S1032">
        <v>2023</v>
      </c>
      <c r="T1032" s="12" t="s">
        <v>1536</v>
      </c>
      <c r="U1032">
        <v>117</v>
      </c>
      <c r="V1032">
        <v>501.92320000000001</v>
      </c>
      <c r="W1032">
        <v>874.86</v>
      </c>
      <c r="X1032">
        <v>0</v>
      </c>
      <c r="Y1032">
        <v>0</v>
      </c>
      <c r="Z1032">
        <v>58725.01</v>
      </c>
      <c r="AA1032">
        <v>59599.87</v>
      </c>
      <c r="AB1032" s="12" t="s">
        <v>138</v>
      </c>
      <c r="AC1032">
        <v>501.92320000000001</v>
      </c>
      <c r="AD1032">
        <v>1</v>
      </c>
      <c r="AE1032">
        <v>1</v>
      </c>
      <c r="AF1032">
        <v>0</v>
      </c>
      <c r="AG1032">
        <v>58725.01</v>
      </c>
      <c r="AH1032">
        <v>117</v>
      </c>
      <c r="AI1032">
        <v>106</v>
      </c>
      <c r="AJ1032">
        <v>11</v>
      </c>
      <c r="AK1032">
        <v>1</v>
      </c>
      <c r="AL1032">
        <v>1</v>
      </c>
      <c r="AM1032">
        <v>90.6</v>
      </c>
      <c r="AN1032">
        <v>562.26300000000003</v>
      </c>
      <c r="AO1032">
        <v>5521.16</v>
      </c>
      <c r="AP1032" s="13">
        <v>45195</v>
      </c>
      <c r="AQ1032">
        <v>-2</v>
      </c>
      <c r="AR1032">
        <v>1</v>
      </c>
    </row>
    <row r="1033" spans="1:44" x14ac:dyDescent="0.35">
      <c r="A1033" s="12" t="s">
        <v>1708</v>
      </c>
      <c r="B1033" s="12" t="s">
        <v>357</v>
      </c>
      <c r="C1033" s="12" t="s">
        <v>358</v>
      </c>
      <c r="D1033" s="12" t="s">
        <v>103</v>
      </c>
      <c r="E1033" s="12" t="s">
        <v>104</v>
      </c>
      <c r="F1033">
        <v>3</v>
      </c>
      <c r="G1033">
        <v>1</v>
      </c>
      <c r="H1033">
        <v>0</v>
      </c>
      <c r="I1033" s="12" t="s">
        <v>105</v>
      </c>
      <c r="J1033" s="12" t="s">
        <v>106</v>
      </c>
      <c r="K1033" s="12" t="s">
        <v>81</v>
      </c>
      <c r="L1033" s="12" t="s">
        <v>96</v>
      </c>
      <c r="M1033">
        <v>5.01</v>
      </c>
      <c r="N1033" s="12" t="s">
        <v>107</v>
      </c>
      <c r="O1033" s="12" t="s">
        <v>108</v>
      </c>
      <c r="P1033" s="12" t="s">
        <v>109</v>
      </c>
      <c r="Q1033" s="13">
        <v>45163</v>
      </c>
      <c r="R1033" s="13">
        <v>45185</v>
      </c>
      <c r="S1033">
        <v>2023</v>
      </c>
      <c r="T1033" s="12" t="s">
        <v>1536</v>
      </c>
      <c r="U1033">
        <v>91</v>
      </c>
      <c r="V1033">
        <v>106.6914</v>
      </c>
      <c r="W1033">
        <v>143.63999999999999</v>
      </c>
      <c r="X1033">
        <v>0</v>
      </c>
      <c r="Y1033">
        <v>0</v>
      </c>
      <c r="Z1033">
        <v>9708.92</v>
      </c>
      <c r="AA1033">
        <v>9852.56</v>
      </c>
      <c r="AB1033" s="12" t="s">
        <v>882</v>
      </c>
      <c r="AC1033">
        <v>106.6914</v>
      </c>
      <c r="AD1033">
        <v>1</v>
      </c>
      <c r="AE1033">
        <v>1</v>
      </c>
      <c r="AF1033">
        <v>0</v>
      </c>
      <c r="AG1033">
        <v>9708.92</v>
      </c>
      <c r="AH1033">
        <v>91</v>
      </c>
      <c r="AI1033">
        <v>90</v>
      </c>
      <c r="AJ1033">
        <v>1</v>
      </c>
      <c r="AK1033">
        <v>1</v>
      </c>
      <c r="AL1033">
        <v>1</v>
      </c>
      <c r="AM1033">
        <v>98.9</v>
      </c>
      <c r="AN1033">
        <v>109.4729</v>
      </c>
      <c r="AO1033">
        <v>106.69</v>
      </c>
      <c r="AP1033" s="13">
        <v>45185</v>
      </c>
      <c r="AQ1033">
        <v>0</v>
      </c>
      <c r="AR1033">
        <v>1</v>
      </c>
    </row>
    <row r="1034" spans="1:44" x14ac:dyDescent="0.35">
      <c r="A1034" s="12" t="s">
        <v>1709</v>
      </c>
      <c r="B1034" s="12" t="s">
        <v>92</v>
      </c>
      <c r="C1034" s="12" t="s">
        <v>93</v>
      </c>
      <c r="D1034" s="12" t="s">
        <v>64</v>
      </c>
      <c r="E1034" s="12" t="s">
        <v>65</v>
      </c>
      <c r="F1034">
        <v>3</v>
      </c>
      <c r="G1034">
        <v>5</v>
      </c>
      <c r="H1034">
        <v>0</v>
      </c>
      <c r="I1034" s="12" t="s">
        <v>94</v>
      </c>
      <c r="J1034" s="12" t="s">
        <v>95</v>
      </c>
      <c r="K1034" s="12" t="s">
        <v>81</v>
      </c>
      <c r="L1034" s="12" t="s">
        <v>96</v>
      </c>
      <c r="M1034">
        <v>4.8099999999999996</v>
      </c>
      <c r="N1034" s="12" t="s">
        <v>70</v>
      </c>
      <c r="O1034" s="12" t="s">
        <v>71</v>
      </c>
      <c r="P1034" s="12" t="s">
        <v>72</v>
      </c>
      <c r="Q1034" s="13">
        <v>45163</v>
      </c>
      <c r="R1034" s="13">
        <v>45198</v>
      </c>
      <c r="S1034">
        <v>2023</v>
      </c>
      <c r="T1034" s="12" t="s">
        <v>1536</v>
      </c>
      <c r="U1034">
        <v>849</v>
      </c>
      <c r="V1034">
        <v>24.617899999999999</v>
      </c>
      <c r="W1034">
        <v>388.69</v>
      </c>
      <c r="X1034">
        <v>0</v>
      </c>
      <c r="Y1034">
        <v>0</v>
      </c>
      <c r="Z1034">
        <v>20900.599999999999</v>
      </c>
      <c r="AA1034">
        <v>21289.29</v>
      </c>
      <c r="AB1034" s="12" t="s">
        <v>99</v>
      </c>
      <c r="AC1034">
        <v>24.617899999999999</v>
      </c>
      <c r="AD1034">
        <v>1</v>
      </c>
      <c r="AE1034">
        <v>1</v>
      </c>
      <c r="AF1034">
        <v>0</v>
      </c>
      <c r="AG1034">
        <v>20900.599999999999</v>
      </c>
      <c r="AH1034">
        <v>849</v>
      </c>
      <c r="AI1034">
        <v>846</v>
      </c>
      <c r="AJ1034">
        <v>3</v>
      </c>
      <c r="AK1034">
        <v>1</v>
      </c>
      <c r="AL1034">
        <v>1</v>
      </c>
      <c r="AM1034">
        <v>99.65</v>
      </c>
      <c r="AN1034">
        <v>25.1646</v>
      </c>
      <c r="AO1034">
        <v>73.849999999999994</v>
      </c>
      <c r="AP1034" s="13">
        <v>45198</v>
      </c>
      <c r="AQ1034">
        <v>0</v>
      </c>
      <c r="AR1034">
        <v>1</v>
      </c>
    </row>
    <row r="1035" spans="1:44" x14ac:dyDescent="0.35">
      <c r="A1035" s="12" t="s">
        <v>1710</v>
      </c>
      <c r="B1035" s="12" t="s">
        <v>1433</v>
      </c>
      <c r="C1035" s="12" t="s">
        <v>1434</v>
      </c>
      <c r="D1035" s="12" t="s">
        <v>269</v>
      </c>
      <c r="E1035" s="12" t="s">
        <v>65</v>
      </c>
      <c r="F1035">
        <v>3</v>
      </c>
      <c r="G1035">
        <v>5</v>
      </c>
      <c r="H1035">
        <v>0</v>
      </c>
      <c r="I1035" s="12" t="s">
        <v>223</v>
      </c>
      <c r="J1035" s="12" t="s">
        <v>224</v>
      </c>
      <c r="K1035" s="12" t="s">
        <v>81</v>
      </c>
      <c r="L1035" s="12" t="s">
        <v>134</v>
      </c>
      <c r="M1035">
        <v>2.4900000000000002</v>
      </c>
      <c r="N1035" s="12" t="s">
        <v>159</v>
      </c>
      <c r="O1035" s="12" t="s">
        <v>160</v>
      </c>
      <c r="P1035" s="12" t="s">
        <v>137</v>
      </c>
      <c r="Q1035" s="13">
        <v>45163</v>
      </c>
      <c r="R1035" s="13">
        <v>45195</v>
      </c>
      <c r="S1035">
        <v>2023</v>
      </c>
      <c r="T1035" s="12" t="s">
        <v>1536</v>
      </c>
      <c r="U1035">
        <v>96</v>
      </c>
      <c r="V1035">
        <v>457.42090000000002</v>
      </c>
      <c r="W1035">
        <v>1097.5899999999999</v>
      </c>
      <c r="X1035">
        <v>0</v>
      </c>
      <c r="Y1035">
        <v>0</v>
      </c>
      <c r="Z1035">
        <v>43912.41</v>
      </c>
      <c r="AA1035">
        <v>45010</v>
      </c>
      <c r="AB1035" s="12" t="s">
        <v>1435</v>
      </c>
      <c r="AC1035">
        <v>457.42090000000002</v>
      </c>
      <c r="AD1035">
        <v>1</v>
      </c>
      <c r="AE1035">
        <v>1</v>
      </c>
      <c r="AF1035">
        <v>0</v>
      </c>
      <c r="AG1035">
        <v>43912.41</v>
      </c>
      <c r="AH1035">
        <v>96</v>
      </c>
      <c r="AI1035">
        <v>95</v>
      </c>
      <c r="AJ1035">
        <v>1</v>
      </c>
      <c r="AK1035">
        <v>1</v>
      </c>
      <c r="AL1035">
        <v>1</v>
      </c>
      <c r="AM1035">
        <v>98.96</v>
      </c>
      <c r="AN1035">
        <v>473.7894</v>
      </c>
      <c r="AO1035">
        <v>457.42</v>
      </c>
      <c r="AP1035" s="13">
        <v>45199</v>
      </c>
      <c r="AQ1035">
        <v>4</v>
      </c>
      <c r="AR1035">
        <v>0</v>
      </c>
    </row>
    <row r="1036" spans="1:44" x14ac:dyDescent="0.35">
      <c r="A1036" s="12" t="s">
        <v>1711</v>
      </c>
      <c r="B1036" s="12" t="s">
        <v>1433</v>
      </c>
      <c r="C1036" s="12" t="s">
        <v>1434</v>
      </c>
      <c r="D1036" s="12" t="s">
        <v>269</v>
      </c>
      <c r="E1036" s="12" t="s">
        <v>65</v>
      </c>
      <c r="F1036">
        <v>3</v>
      </c>
      <c r="G1036">
        <v>5</v>
      </c>
      <c r="H1036">
        <v>0</v>
      </c>
      <c r="I1036" s="12" t="s">
        <v>115</v>
      </c>
      <c r="J1036" s="12" t="s">
        <v>116</v>
      </c>
      <c r="K1036" s="12" t="s">
        <v>117</v>
      </c>
      <c r="L1036" s="12" t="s">
        <v>82</v>
      </c>
      <c r="M1036">
        <v>17.170000000000002</v>
      </c>
      <c r="N1036" s="12" t="s">
        <v>159</v>
      </c>
      <c r="O1036" s="12" t="s">
        <v>160</v>
      </c>
      <c r="P1036" s="12" t="s">
        <v>137</v>
      </c>
      <c r="Q1036" s="13">
        <v>45163</v>
      </c>
      <c r="R1036" s="13">
        <v>45186</v>
      </c>
      <c r="S1036">
        <v>2023</v>
      </c>
      <c r="T1036" s="12" t="s">
        <v>1536</v>
      </c>
      <c r="U1036">
        <v>31</v>
      </c>
      <c r="V1036">
        <v>457.42090000000002</v>
      </c>
      <c r="W1036">
        <v>105.21</v>
      </c>
      <c r="X1036">
        <v>0</v>
      </c>
      <c r="Y1036">
        <v>0</v>
      </c>
      <c r="Z1036">
        <v>14180.05</v>
      </c>
      <c r="AA1036">
        <v>14285.26</v>
      </c>
      <c r="AB1036" s="12" t="s">
        <v>1712</v>
      </c>
      <c r="AC1036">
        <v>457.42090000000002</v>
      </c>
      <c r="AD1036">
        <v>1</v>
      </c>
      <c r="AE1036">
        <v>1</v>
      </c>
      <c r="AF1036">
        <v>0</v>
      </c>
      <c r="AG1036">
        <v>14180.05</v>
      </c>
      <c r="AH1036">
        <v>31</v>
      </c>
      <c r="AI1036">
        <v>31</v>
      </c>
      <c r="AJ1036">
        <v>0</v>
      </c>
      <c r="AK1036">
        <v>1</v>
      </c>
      <c r="AL1036">
        <v>1</v>
      </c>
      <c r="AM1036">
        <v>100</v>
      </c>
      <c r="AN1036">
        <v>460.81479999999999</v>
      </c>
      <c r="AO1036">
        <v>0</v>
      </c>
      <c r="AP1036" s="13">
        <v>45184</v>
      </c>
      <c r="AQ1036">
        <v>-2</v>
      </c>
      <c r="AR1036">
        <v>1</v>
      </c>
    </row>
    <row r="1037" spans="1:44" x14ac:dyDescent="0.35">
      <c r="A1037" s="12" t="s">
        <v>1713</v>
      </c>
      <c r="B1037" s="12" t="s">
        <v>1108</v>
      </c>
      <c r="C1037" s="12" t="s">
        <v>1109</v>
      </c>
      <c r="D1037" s="12" t="s">
        <v>103</v>
      </c>
      <c r="E1037" s="12" t="s">
        <v>65</v>
      </c>
      <c r="F1037">
        <v>3</v>
      </c>
      <c r="G1037">
        <v>4</v>
      </c>
      <c r="H1037">
        <v>0</v>
      </c>
      <c r="I1037" s="12" t="s">
        <v>66</v>
      </c>
      <c r="J1037" s="12" t="s">
        <v>67</v>
      </c>
      <c r="K1037" s="12" t="s">
        <v>68</v>
      </c>
      <c r="L1037" s="12" t="s">
        <v>69</v>
      </c>
      <c r="M1037">
        <v>17.66</v>
      </c>
      <c r="N1037" s="12" t="s">
        <v>145</v>
      </c>
      <c r="O1037" s="12" t="s">
        <v>146</v>
      </c>
      <c r="P1037" s="12" t="s">
        <v>109</v>
      </c>
      <c r="Q1037" s="13">
        <v>45166</v>
      </c>
      <c r="R1037" s="13">
        <v>45198</v>
      </c>
      <c r="S1037">
        <v>2023</v>
      </c>
      <c r="T1037" s="12" t="s">
        <v>1536</v>
      </c>
      <c r="U1037">
        <v>96</v>
      </c>
      <c r="V1037">
        <v>99.926400000000001</v>
      </c>
      <c r="W1037">
        <v>108.51</v>
      </c>
      <c r="X1037">
        <v>0</v>
      </c>
      <c r="Y1037">
        <v>0</v>
      </c>
      <c r="Z1037">
        <v>9592.93</v>
      </c>
      <c r="AA1037">
        <v>9701.44</v>
      </c>
      <c r="AB1037" s="12" t="s">
        <v>201</v>
      </c>
      <c r="AD1037">
        <v>0</v>
      </c>
      <c r="AE1037">
        <v>0</v>
      </c>
      <c r="AH1037">
        <v>96</v>
      </c>
      <c r="AI1037">
        <v>95</v>
      </c>
      <c r="AJ1037">
        <v>1</v>
      </c>
      <c r="AK1037">
        <v>1</v>
      </c>
      <c r="AL1037">
        <v>1</v>
      </c>
      <c r="AM1037">
        <v>98.96</v>
      </c>
      <c r="AN1037">
        <v>102.12050000000001</v>
      </c>
      <c r="AO1037">
        <v>99.93</v>
      </c>
      <c r="AP1037" s="13">
        <v>45195</v>
      </c>
      <c r="AQ1037">
        <v>-3</v>
      </c>
      <c r="AR1037">
        <v>1</v>
      </c>
    </row>
    <row r="1038" spans="1:44" x14ac:dyDescent="0.35">
      <c r="A1038" s="12" t="s">
        <v>1714</v>
      </c>
      <c r="B1038" s="12" t="s">
        <v>630</v>
      </c>
      <c r="C1038" s="12" t="s">
        <v>631</v>
      </c>
      <c r="D1038" s="12" t="s">
        <v>130</v>
      </c>
      <c r="E1038" s="12" t="s">
        <v>65</v>
      </c>
      <c r="F1038">
        <v>1</v>
      </c>
      <c r="G1038">
        <v>2</v>
      </c>
      <c r="H1038">
        <v>1</v>
      </c>
      <c r="I1038" s="12" t="s">
        <v>335</v>
      </c>
      <c r="J1038" s="12" t="s">
        <v>336</v>
      </c>
      <c r="K1038" s="12" t="s">
        <v>89</v>
      </c>
      <c r="L1038" s="12" t="s">
        <v>82</v>
      </c>
      <c r="M1038">
        <v>16</v>
      </c>
      <c r="N1038" s="12" t="s">
        <v>159</v>
      </c>
      <c r="O1038" s="12" t="s">
        <v>160</v>
      </c>
      <c r="P1038" s="12" t="s">
        <v>137</v>
      </c>
      <c r="Q1038" s="13">
        <v>45166</v>
      </c>
      <c r="R1038" s="13">
        <v>45187</v>
      </c>
      <c r="S1038">
        <v>2023</v>
      </c>
      <c r="T1038" s="12" t="s">
        <v>1536</v>
      </c>
      <c r="U1038">
        <v>10</v>
      </c>
      <c r="V1038">
        <v>448.44209999999998</v>
      </c>
      <c r="W1038">
        <v>113.75</v>
      </c>
      <c r="X1038">
        <v>0</v>
      </c>
      <c r="Y1038">
        <v>0</v>
      </c>
      <c r="Z1038">
        <v>4484.42</v>
      </c>
      <c r="AA1038">
        <v>4598.17</v>
      </c>
      <c r="AB1038" s="12" t="s">
        <v>632</v>
      </c>
      <c r="AC1038">
        <v>448.44209999999998</v>
      </c>
      <c r="AD1038">
        <v>1</v>
      </c>
      <c r="AE1038">
        <v>1</v>
      </c>
      <c r="AF1038">
        <v>0</v>
      </c>
      <c r="AG1038">
        <v>4484.42</v>
      </c>
      <c r="AH1038">
        <v>10</v>
      </c>
      <c r="AI1038">
        <v>10</v>
      </c>
      <c r="AJ1038">
        <v>0</v>
      </c>
      <c r="AK1038">
        <v>1</v>
      </c>
      <c r="AL1038">
        <v>1</v>
      </c>
      <c r="AM1038">
        <v>100</v>
      </c>
      <c r="AN1038">
        <v>459.81709999999998</v>
      </c>
      <c r="AO1038">
        <v>0</v>
      </c>
      <c r="AP1038" s="13">
        <v>45186</v>
      </c>
      <c r="AQ1038">
        <v>-1</v>
      </c>
      <c r="AR1038">
        <v>1</v>
      </c>
    </row>
    <row r="1039" spans="1:44" x14ac:dyDescent="0.35">
      <c r="A1039" s="12" t="s">
        <v>1715</v>
      </c>
      <c r="B1039" s="12" t="s">
        <v>350</v>
      </c>
      <c r="C1039" s="12" t="s">
        <v>351</v>
      </c>
      <c r="D1039" s="12" t="s">
        <v>64</v>
      </c>
      <c r="E1039" s="12" t="s">
        <v>104</v>
      </c>
      <c r="F1039">
        <v>3</v>
      </c>
      <c r="G1039">
        <v>1</v>
      </c>
      <c r="H1039">
        <v>0</v>
      </c>
      <c r="I1039" s="12" t="s">
        <v>486</v>
      </c>
      <c r="J1039" s="12" t="s">
        <v>487</v>
      </c>
      <c r="K1039" s="12" t="s">
        <v>125</v>
      </c>
      <c r="L1039" s="12" t="s">
        <v>69</v>
      </c>
      <c r="M1039">
        <v>36.86</v>
      </c>
      <c r="N1039" s="12" t="s">
        <v>70</v>
      </c>
      <c r="O1039" s="12" t="s">
        <v>71</v>
      </c>
      <c r="P1039" s="12" t="s">
        <v>72</v>
      </c>
      <c r="Q1039" s="13">
        <v>45166</v>
      </c>
      <c r="R1039" s="13">
        <v>45192</v>
      </c>
      <c r="S1039">
        <v>2023</v>
      </c>
      <c r="T1039" s="12" t="s">
        <v>1536</v>
      </c>
      <c r="U1039">
        <v>810</v>
      </c>
      <c r="V1039">
        <v>8.7273999999999994</v>
      </c>
      <c r="W1039">
        <v>107.92</v>
      </c>
      <c r="X1039">
        <v>0</v>
      </c>
      <c r="Y1039">
        <v>0</v>
      </c>
      <c r="Z1039">
        <v>7069.19</v>
      </c>
      <c r="AA1039">
        <v>7177.11</v>
      </c>
      <c r="AB1039" s="12" t="s">
        <v>488</v>
      </c>
      <c r="AC1039">
        <v>8.7273999999999994</v>
      </c>
      <c r="AD1039">
        <v>1</v>
      </c>
      <c r="AE1039">
        <v>1</v>
      </c>
      <c r="AF1039">
        <v>0</v>
      </c>
      <c r="AG1039">
        <v>7069.19</v>
      </c>
      <c r="AH1039">
        <v>810</v>
      </c>
      <c r="AI1039">
        <v>800</v>
      </c>
      <c r="AJ1039">
        <v>10</v>
      </c>
      <c r="AK1039">
        <v>1</v>
      </c>
      <c r="AL1039">
        <v>1</v>
      </c>
      <c r="AM1039">
        <v>98.77</v>
      </c>
      <c r="AN1039">
        <v>8.9713999999999992</v>
      </c>
      <c r="AO1039">
        <v>87.27</v>
      </c>
      <c r="AP1039" s="13">
        <v>45191</v>
      </c>
      <c r="AQ1039">
        <v>-1</v>
      </c>
      <c r="AR1039">
        <v>1</v>
      </c>
    </row>
    <row r="1040" spans="1:44" x14ac:dyDescent="0.35">
      <c r="A1040" s="12" t="s">
        <v>1716</v>
      </c>
      <c r="B1040" s="12" t="s">
        <v>1068</v>
      </c>
      <c r="C1040" s="12" t="s">
        <v>1069</v>
      </c>
      <c r="D1040" s="12" t="s">
        <v>122</v>
      </c>
      <c r="E1040" s="12" t="s">
        <v>65</v>
      </c>
      <c r="F1040">
        <v>2</v>
      </c>
      <c r="G1040">
        <v>2</v>
      </c>
      <c r="H1040">
        <v>0</v>
      </c>
      <c r="I1040" s="12" t="s">
        <v>79</v>
      </c>
      <c r="J1040" s="12" t="s">
        <v>80</v>
      </c>
      <c r="K1040" s="12" t="s">
        <v>81</v>
      </c>
      <c r="L1040" s="12" t="s">
        <v>82</v>
      </c>
      <c r="M1040">
        <v>12.07</v>
      </c>
      <c r="N1040" s="12" t="s">
        <v>70</v>
      </c>
      <c r="O1040" s="12" t="s">
        <v>71</v>
      </c>
      <c r="P1040" s="12" t="s">
        <v>72</v>
      </c>
      <c r="Q1040" s="13">
        <v>45166</v>
      </c>
      <c r="R1040" s="13">
        <v>45194</v>
      </c>
      <c r="S1040">
        <v>2023</v>
      </c>
      <c r="T1040" s="12" t="s">
        <v>1536</v>
      </c>
      <c r="U1040">
        <v>951</v>
      </c>
      <c r="V1040">
        <v>21.667100000000001</v>
      </c>
      <c r="W1040">
        <v>355.8</v>
      </c>
      <c r="X1040">
        <v>0</v>
      </c>
      <c r="Y1040">
        <v>0</v>
      </c>
      <c r="Z1040">
        <v>20605.41</v>
      </c>
      <c r="AA1040">
        <v>20961.21</v>
      </c>
      <c r="AB1040" s="12" t="s">
        <v>1070</v>
      </c>
      <c r="AC1040">
        <v>21.667100000000001</v>
      </c>
      <c r="AD1040">
        <v>1</v>
      </c>
      <c r="AE1040">
        <v>1</v>
      </c>
      <c r="AF1040">
        <v>0</v>
      </c>
      <c r="AG1040">
        <v>20605.41</v>
      </c>
      <c r="AH1040">
        <v>951</v>
      </c>
      <c r="AI1040">
        <v>943</v>
      </c>
      <c r="AJ1040">
        <v>8</v>
      </c>
      <c r="AK1040">
        <v>1</v>
      </c>
      <c r="AL1040">
        <v>1</v>
      </c>
      <c r="AM1040">
        <v>99.16</v>
      </c>
      <c r="AN1040">
        <v>22.228200000000001</v>
      </c>
      <c r="AO1040">
        <v>173.34</v>
      </c>
      <c r="AP1040" s="13">
        <v>45193</v>
      </c>
      <c r="AQ1040">
        <v>-1</v>
      </c>
      <c r="AR1040">
        <v>1</v>
      </c>
    </row>
    <row r="1041" spans="1:44" x14ac:dyDescent="0.35">
      <c r="A1041" s="12" t="s">
        <v>1717</v>
      </c>
      <c r="B1041" s="12" t="s">
        <v>657</v>
      </c>
      <c r="C1041" s="12" t="s">
        <v>658</v>
      </c>
      <c r="D1041" s="12" t="s">
        <v>175</v>
      </c>
      <c r="E1041" s="12" t="s">
        <v>65</v>
      </c>
      <c r="F1041">
        <v>1</v>
      </c>
      <c r="G1041">
        <v>2</v>
      </c>
      <c r="H1041">
        <v>1</v>
      </c>
      <c r="I1041" s="12" t="s">
        <v>183</v>
      </c>
      <c r="J1041" s="12" t="s">
        <v>184</v>
      </c>
      <c r="K1041" s="12" t="s">
        <v>133</v>
      </c>
      <c r="L1041" s="12" t="s">
        <v>82</v>
      </c>
      <c r="M1041">
        <v>8.6199999999999992</v>
      </c>
      <c r="N1041" s="12" t="s">
        <v>145</v>
      </c>
      <c r="O1041" s="12" t="s">
        <v>146</v>
      </c>
      <c r="P1041" s="12" t="s">
        <v>109</v>
      </c>
      <c r="Q1041" s="13">
        <v>45166</v>
      </c>
      <c r="R1041" s="13">
        <v>45193</v>
      </c>
      <c r="S1041">
        <v>2023</v>
      </c>
      <c r="T1041" s="12" t="s">
        <v>1536</v>
      </c>
      <c r="U1041">
        <v>59</v>
      </c>
      <c r="V1041">
        <v>153.8561</v>
      </c>
      <c r="W1041">
        <v>119.74</v>
      </c>
      <c r="X1041">
        <v>0</v>
      </c>
      <c r="Y1041">
        <v>0</v>
      </c>
      <c r="Z1041">
        <v>9077.51</v>
      </c>
      <c r="AA1041">
        <v>9197.25</v>
      </c>
      <c r="AB1041" s="12" t="s">
        <v>659</v>
      </c>
      <c r="AC1041">
        <v>153.8561</v>
      </c>
      <c r="AD1041">
        <v>1</v>
      </c>
      <c r="AE1041">
        <v>1</v>
      </c>
      <c r="AF1041">
        <v>0</v>
      </c>
      <c r="AG1041">
        <v>9077.51</v>
      </c>
      <c r="AH1041">
        <v>59</v>
      </c>
      <c r="AI1041">
        <v>58</v>
      </c>
      <c r="AJ1041">
        <v>1</v>
      </c>
      <c r="AK1041">
        <v>1</v>
      </c>
      <c r="AL1041">
        <v>1</v>
      </c>
      <c r="AM1041">
        <v>98.31</v>
      </c>
      <c r="AN1041">
        <v>158.57329999999999</v>
      </c>
      <c r="AO1041">
        <v>153.86000000000001</v>
      </c>
      <c r="AP1041" s="13">
        <v>45192</v>
      </c>
      <c r="AQ1041">
        <v>-1</v>
      </c>
      <c r="AR1041">
        <v>1</v>
      </c>
    </row>
    <row r="1042" spans="1:44" x14ac:dyDescent="0.35">
      <c r="A1042" s="12" t="s">
        <v>1718</v>
      </c>
      <c r="B1042" s="12" t="s">
        <v>823</v>
      </c>
      <c r="C1042" s="12" t="s">
        <v>824</v>
      </c>
      <c r="D1042" s="12" t="s">
        <v>114</v>
      </c>
      <c r="E1042" s="12" t="s">
        <v>142</v>
      </c>
      <c r="F1042">
        <v>1</v>
      </c>
      <c r="G1042">
        <v>8</v>
      </c>
      <c r="H1042">
        <v>1</v>
      </c>
      <c r="I1042" s="12" t="s">
        <v>515</v>
      </c>
      <c r="J1042" s="12" t="s">
        <v>516</v>
      </c>
      <c r="K1042" s="12" t="s">
        <v>68</v>
      </c>
      <c r="L1042" s="12" t="s">
        <v>134</v>
      </c>
      <c r="M1042">
        <v>3.69</v>
      </c>
      <c r="N1042" s="12" t="s">
        <v>97</v>
      </c>
      <c r="O1042" s="12" t="s">
        <v>98</v>
      </c>
      <c r="P1042" s="12" t="s">
        <v>72</v>
      </c>
      <c r="Q1042" s="13">
        <v>45166</v>
      </c>
      <c r="R1042" s="13">
        <v>45207</v>
      </c>
      <c r="S1042">
        <v>2023</v>
      </c>
      <c r="T1042" s="12" t="s">
        <v>1536</v>
      </c>
      <c r="U1042">
        <v>56</v>
      </c>
      <c r="V1042">
        <v>361.73399999999998</v>
      </c>
      <c r="W1042">
        <v>227.46</v>
      </c>
      <c r="X1042">
        <v>0</v>
      </c>
      <c r="Y1042">
        <v>0</v>
      </c>
      <c r="Z1042">
        <v>20257.099999999999</v>
      </c>
      <c r="AA1042">
        <v>20484.560000000001</v>
      </c>
      <c r="AB1042" s="12" t="s">
        <v>825</v>
      </c>
      <c r="AC1042">
        <v>361.73399999999998</v>
      </c>
      <c r="AD1042">
        <v>1</v>
      </c>
      <c r="AE1042">
        <v>1</v>
      </c>
      <c r="AF1042">
        <v>0</v>
      </c>
      <c r="AG1042">
        <v>20257.099999999999</v>
      </c>
      <c r="AH1042">
        <v>56</v>
      </c>
      <c r="AI1042">
        <v>55</v>
      </c>
      <c r="AJ1042">
        <v>1</v>
      </c>
      <c r="AK1042">
        <v>1</v>
      </c>
      <c r="AL1042">
        <v>1</v>
      </c>
      <c r="AM1042">
        <v>98.21</v>
      </c>
      <c r="AN1042">
        <v>372.44659999999999</v>
      </c>
      <c r="AO1042">
        <v>361.73</v>
      </c>
      <c r="AP1042" s="13">
        <v>45209</v>
      </c>
      <c r="AQ1042">
        <v>2</v>
      </c>
      <c r="AR1042">
        <v>0</v>
      </c>
    </row>
    <row r="1043" spans="1:44" x14ac:dyDescent="0.35">
      <c r="A1043" s="12" t="s">
        <v>1719</v>
      </c>
      <c r="B1043" s="12" t="s">
        <v>827</v>
      </c>
      <c r="C1043" s="12" t="s">
        <v>828</v>
      </c>
      <c r="D1043" s="12" t="s">
        <v>175</v>
      </c>
      <c r="E1043" s="12" t="s">
        <v>104</v>
      </c>
      <c r="F1043">
        <v>2</v>
      </c>
      <c r="G1043">
        <v>0</v>
      </c>
      <c r="H1043">
        <v>0</v>
      </c>
      <c r="I1043" s="12" t="s">
        <v>183</v>
      </c>
      <c r="J1043" s="12" t="s">
        <v>184</v>
      </c>
      <c r="K1043" s="12" t="s">
        <v>133</v>
      </c>
      <c r="L1043" s="12" t="s">
        <v>82</v>
      </c>
      <c r="M1043">
        <v>8.6199999999999992</v>
      </c>
      <c r="N1043" s="12" t="s">
        <v>107</v>
      </c>
      <c r="O1043" s="12" t="s">
        <v>108</v>
      </c>
      <c r="P1043" s="12" t="s">
        <v>109</v>
      </c>
      <c r="Q1043" s="13">
        <v>45166</v>
      </c>
      <c r="R1043" s="13">
        <v>45189</v>
      </c>
      <c r="S1043">
        <v>2023</v>
      </c>
      <c r="T1043" s="12" t="s">
        <v>1536</v>
      </c>
      <c r="U1043">
        <v>98</v>
      </c>
      <c r="V1043">
        <v>101.5812</v>
      </c>
      <c r="W1043">
        <v>74.06</v>
      </c>
      <c r="X1043">
        <v>0</v>
      </c>
      <c r="Y1043">
        <v>0</v>
      </c>
      <c r="Z1043">
        <v>9954.9599999999991</v>
      </c>
      <c r="AA1043">
        <v>10029.02</v>
      </c>
      <c r="AB1043" s="12" t="s">
        <v>829</v>
      </c>
      <c r="AC1043">
        <v>107.794</v>
      </c>
      <c r="AD1043">
        <v>1</v>
      </c>
      <c r="AE1043">
        <v>1</v>
      </c>
      <c r="AF1043">
        <v>-608.85</v>
      </c>
      <c r="AG1043">
        <v>10563.81</v>
      </c>
      <c r="AH1043">
        <v>98</v>
      </c>
      <c r="AI1043">
        <v>97</v>
      </c>
      <c r="AJ1043">
        <v>1</v>
      </c>
      <c r="AK1043">
        <v>1</v>
      </c>
      <c r="AL1043">
        <v>1</v>
      </c>
      <c r="AM1043">
        <v>98.98</v>
      </c>
      <c r="AN1043">
        <v>103.39190000000001</v>
      </c>
      <c r="AO1043">
        <v>101.58</v>
      </c>
      <c r="AP1043" s="13">
        <v>45187</v>
      </c>
      <c r="AQ1043">
        <v>-2</v>
      </c>
      <c r="AR1043">
        <v>1</v>
      </c>
    </row>
    <row r="1044" spans="1:44" x14ac:dyDescent="0.35">
      <c r="A1044" s="12" t="s">
        <v>1720</v>
      </c>
      <c r="B1044" s="12" t="s">
        <v>891</v>
      </c>
      <c r="C1044" s="12" t="s">
        <v>892</v>
      </c>
      <c r="D1044" s="12" t="s">
        <v>122</v>
      </c>
      <c r="E1044" s="12" t="s">
        <v>65</v>
      </c>
      <c r="F1044">
        <v>3</v>
      </c>
      <c r="G1044">
        <v>5</v>
      </c>
      <c r="H1044">
        <v>0</v>
      </c>
      <c r="I1044" s="12" t="s">
        <v>195</v>
      </c>
      <c r="J1044" s="12" t="s">
        <v>196</v>
      </c>
      <c r="K1044" s="12" t="s">
        <v>117</v>
      </c>
      <c r="L1044" s="12" t="s">
        <v>134</v>
      </c>
      <c r="M1044">
        <v>4.7699999999999996</v>
      </c>
      <c r="N1044" s="12" t="s">
        <v>70</v>
      </c>
      <c r="O1044" s="12" t="s">
        <v>71</v>
      </c>
      <c r="P1044" s="12" t="s">
        <v>72</v>
      </c>
      <c r="Q1044" s="13">
        <v>45167</v>
      </c>
      <c r="R1044" s="13">
        <v>45191</v>
      </c>
      <c r="S1044">
        <v>2023</v>
      </c>
      <c r="T1044" s="12" t="s">
        <v>1536</v>
      </c>
      <c r="U1044">
        <v>594</v>
      </c>
      <c r="V1044">
        <v>39.456000000000003</v>
      </c>
      <c r="W1044">
        <v>375.49</v>
      </c>
      <c r="X1044">
        <v>0</v>
      </c>
      <c r="Y1044">
        <v>0</v>
      </c>
      <c r="Z1044">
        <v>23436.86</v>
      </c>
      <c r="AA1044">
        <v>23812.35</v>
      </c>
      <c r="AB1044" s="12" t="s">
        <v>893</v>
      </c>
      <c r="AC1044">
        <v>39.456000000000003</v>
      </c>
      <c r="AD1044">
        <v>1</v>
      </c>
      <c r="AE1044">
        <v>1</v>
      </c>
      <c r="AF1044">
        <v>0</v>
      </c>
      <c r="AG1044">
        <v>23436.86</v>
      </c>
      <c r="AH1044">
        <v>594</v>
      </c>
      <c r="AI1044">
        <v>587</v>
      </c>
      <c r="AJ1044">
        <v>7</v>
      </c>
      <c r="AK1044">
        <v>1</v>
      </c>
      <c r="AL1044">
        <v>1</v>
      </c>
      <c r="AM1044">
        <v>98.82</v>
      </c>
      <c r="AN1044">
        <v>40.566200000000002</v>
      </c>
      <c r="AO1044">
        <v>276.19</v>
      </c>
      <c r="AP1044" s="13">
        <v>45188</v>
      </c>
      <c r="AQ1044">
        <v>-3</v>
      </c>
      <c r="AR1044">
        <v>1</v>
      </c>
    </row>
    <row r="1045" spans="1:44" x14ac:dyDescent="0.35">
      <c r="A1045" s="12" t="s">
        <v>1721</v>
      </c>
      <c r="B1045" s="12" t="s">
        <v>706</v>
      </c>
      <c r="C1045" s="12" t="s">
        <v>707</v>
      </c>
      <c r="D1045" s="12" t="s">
        <v>130</v>
      </c>
      <c r="E1045" s="12" t="s">
        <v>142</v>
      </c>
      <c r="F1045">
        <v>1</v>
      </c>
      <c r="G1045">
        <v>8</v>
      </c>
      <c r="H1045">
        <v>1</v>
      </c>
      <c r="I1045" s="12" t="s">
        <v>263</v>
      </c>
      <c r="J1045" s="12" t="s">
        <v>264</v>
      </c>
      <c r="K1045" s="12" t="s">
        <v>125</v>
      </c>
      <c r="L1045" s="12" t="s">
        <v>82</v>
      </c>
      <c r="M1045">
        <v>10.210000000000001</v>
      </c>
      <c r="N1045" s="12" t="s">
        <v>135</v>
      </c>
      <c r="O1045" s="12" t="s">
        <v>136</v>
      </c>
      <c r="P1045" s="12" t="s">
        <v>137</v>
      </c>
      <c r="Q1045" s="13">
        <v>45167</v>
      </c>
      <c r="R1045" s="13">
        <v>45219</v>
      </c>
      <c r="S1045">
        <v>2023</v>
      </c>
      <c r="T1045" s="12" t="s">
        <v>1536</v>
      </c>
      <c r="U1045">
        <v>148</v>
      </c>
      <c r="V1045">
        <v>277.71210000000002</v>
      </c>
      <c r="W1045">
        <v>860.99</v>
      </c>
      <c r="X1045">
        <v>0</v>
      </c>
      <c r="Y1045">
        <v>0</v>
      </c>
      <c r="Z1045">
        <v>41101.39</v>
      </c>
      <c r="AA1045">
        <v>41962.38</v>
      </c>
      <c r="AB1045" s="12" t="s">
        <v>708</v>
      </c>
      <c r="AC1045">
        <v>277.71210000000002</v>
      </c>
      <c r="AD1045">
        <v>1</v>
      </c>
      <c r="AE1045">
        <v>1</v>
      </c>
      <c r="AF1045">
        <v>0</v>
      </c>
      <c r="AG1045">
        <v>41101.39</v>
      </c>
      <c r="AH1045">
        <v>148</v>
      </c>
      <c r="AI1045">
        <v>146</v>
      </c>
      <c r="AJ1045">
        <v>2</v>
      </c>
      <c r="AK1045">
        <v>1</v>
      </c>
      <c r="AL1045">
        <v>1</v>
      </c>
      <c r="AM1045">
        <v>98.65</v>
      </c>
      <c r="AN1045">
        <v>287.41359999999997</v>
      </c>
      <c r="AO1045">
        <v>555.41999999999996</v>
      </c>
      <c r="AP1045" s="13">
        <v>45225</v>
      </c>
      <c r="AQ1045">
        <v>6</v>
      </c>
      <c r="AR1045">
        <v>0</v>
      </c>
    </row>
    <row r="1046" spans="1:44" x14ac:dyDescent="0.35">
      <c r="A1046" s="12" t="s">
        <v>1722</v>
      </c>
      <c r="B1046" s="12" t="s">
        <v>437</v>
      </c>
      <c r="C1046" s="12" t="s">
        <v>438</v>
      </c>
      <c r="D1046" s="12" t="s">
        <v>269</v>
      </c>
      <c r="E1046" s="12" t="s">
        <v>65</v>
      </c>
      <c r="F1046">
        <v>2</v>
      </c>
      <c r="G1046">
        <v>4</v>
      </c>
      <c r="H1046">
        <v>0</v>
      </c>
      <c r="I1046" s="12" t="s">
        <v>183</v>
      </c>
      <c r="J1046" s="12" t="s">
        <v>184</v>
      </c>
      <c r="K1046" s="12" t="s">
        <v>133</v>
      </c>
      <c r="L1046" s="12" t="s">
        <v>82</v>
      </c>
      <c r="M1046">
        <v>8.6199999999999992</v>
      </c>
      <c r="N1046" s="12" t="s">
        <v>159</v>
      </c>
      <c r="O1046" s="12" t="s">
        <v>160</v>
      </c>
      <c r="P1046" s="12" t="s">
        <v>137</v>
      </c>
      <c r="Q1046" s="13">
        <v>45167</v>
      </c>
      <c r="R1046" s="13">
        <v>45194</v>
      </c>
      <c r="S1046">
        <v>2023</v>
      </c>
      <c r="T1046" s="12" t="s">
        <v>1536</v>
      </c>
      <c r="U1046">
        <v>58</v>
      </c>
      <c r="V1046">
        <v>473.21539999999999</v>
      </c>
      <c r="W1046">
        <v>291.52999999999997</v>
      </c>
      <c r="X1046">
        <v>0</v>
      </c>
      <c r="Y1046">
        <v>0</v>
      </c>
      <c r="Z1046">
        <v>27446.49</v>
      </c>
      <c r="AA1046">
        <v>27738.02</v>
      </c>
      <c r="AB1046" s="12" t="s">
        <v>917</v>
      </c>
      <c r="AC1046">
        <v>473.21539999999999</v>
      </c>
      <c r="AD1046">
        <v>1</v>
      </c>
      <c r="AE1046">
        <v>1</v>
      </c>
      <c r="AF1046">
        <v>0</v>
      </c>
      <c r="AG1046">
        <v>27446.49</v>
      </c>
      <c r="AH1046">
        <v>58</v>
      </c>
      <c r="AI1046">
        <v>57</v>
      </c>
      <c r="AJ1046">
        <v>1</v>
      </c>
      <c r="AK1046">
        <v>1</v>
      </c>
      <c r="AL1046">
        <v>1</v>
      </c>
      <c r="AM1046">
        <v>98.28</v>
      </c>
      <c r="AN1046">
        <v>486.63200000000001</v>
      </c>
      <c r="AO1046">
        <v>473.22</v>
      </c>
      <c r="AP1046" s="13">
        <v>45192</v>
      </c>
      <c r="AQ1046">
        <v>-2</v>
      </c>
      <c r="AR1046">
        <v>1</v>
      </c>
    </row>
    <row r="1047" spans="1:44" x14ac:dyDescent="0.35">
      <c r="A1047" s="12" t="s">
        <v>1723</v>
      </c>
      <c r="B1047" s="12" t="s">
        <v>513</v>
      </c>
      <c r="C1047" s="12" t="s">
        <v>514</v>
      </c>
      <c r="D1047" s="12" t="s">
        <v>269</v>
      </c>
      <c r="E1047" s="12" t="s">
        <v>65</v>
      </c>
      <c r="F1047">
        <v>1</v>
      </c>
      <c r="G1047">
        <v>2</v>
      </c>
      <c r="H1047">
        <v>1</v>
      </c>
      <c r="I1047" s="12" t="s">
        <v>515</v>
      </c>
      <c r="J1047" s="12" t="s">
        <v>516</v>
      </c>
      <c r="K1047" s="12" t="s">
        <v>68</v>
      </c>
      <c r="L1047" s="12" t="s">
        <v>134</v>
      </c>
      <c r="M1047">
        <v>3.69</v>
      </c>
      <c r="N1047" s="12" t="s">
        <v>159</v>
      </c>
      <c r="O1047" s="12" t="s">
        <v>160</v>
      </c>
      <c r="P1047" s="12" t="s">
        <v>137</v>
      </c>
      <c r="Q1047" s="13">
        <v>45167</v>
      </c>
      <c r="R1047" s="13">
        <v>45192</v>
      </c>
      <c r="S1047">
        <v>2023</v>
      </c>
      <c r="T1047" s="12" t="s">
        <v>1536</v>
      </c>
      <c r="U1047">
        <v>47</v>
      </c>
      <c r="V1047">
        <v>229.3486</v>
      </c>
      <c r="W1047">
        <v>230.15</v>
      </c>
      <c r="X1047">
        <v>0</v>
      </c>
      <c r="Y1047">
        <v>0</v>
      </c>
      <c r="Z1047">
        <v>10779.38</v>
      </c>
      <c r="AA1047">
        <v>11009.53</v>
      </c>
      <c r="AB1047" s="12" t="s">
        <v>517</v>
      </c>
      <c r="AC1047">
        <v>229.3486</v>
      </c>
      <c r="AD1047">
        <v>1</v>
      </c>
      <c r="AE1047">
        <v>1</v>
      </c>
      <c r="AF1047">
        <v>0</v>
      </c>
      <c r="AG1047">
        <v>10779.38</v>
      </c>
      <c r="AH1047">
        <v>47</v>
      </c>
      <c r="AI1047">
        <v>47</v>
      </c>
      <c r="AJ1047">
        <v>0</v>
      </c>
      <c r="AK1047">
        <v>1</v>
      </c>
      <c r="AL1047">
        <v>1</v>
      </c>
      <c r="AM1047">
        <v>100</v>
      </c>
      <c r="AN1047">
        <v>234.24539999999999</v>
      </c>
      <c r="AO1047">
        <v>0</v>
      </c>
      <c r="AP1047" s="13">
        <v>45190</v>
      </c>
      <c r="AQ1047">
        <v>-2</v>
      </c>
      <c r="AR1047">
        <v>1</v>
      </c>
    </row>
    <row r="1048" spans="1:44" x14ac:dyDescent="0.35">
      <c r="A1048" s="12" t="s">
        <v>1724</v>
      </c>
      <c r="B1048" s="12" t="s">
        <v>451</v>
      </c>
      <c r="C1048" s="12" t="s">
        <v>452</v>
      </c>
      <c r="D1048" s="12" t="s">
        <v>175</v>
      </c>
      <c r="E1048" s="12" t="s">
        <v>104</v>
      </c>
      <c r="F1048">
        <v>3</v>
      </c>
      <c r="G1048">
        <v>1</v>
      </c>
      <c r="H1048">
        <v>0</v>
      </c>
      <c r="I1048" s="12" t="s">
        <v>359</v>
      </c>
      <c r="J1048" s="12" t="s">
        <v>360</v>
      </c>
      <c r="K1048" s="12" t="s">
        <v>133</v>
      </c>
      <c r="L1048" s="12" t="s">
        <v>82</v>
      </c>
      <c r="M1048">
        <v>12.65</v>
      </c>
      <c r="N1048" s="12" t="s">
        <v>107</v>
      </c>
      <c r="O1048" s="12" t="s">
        <v>108</v>
      </c>
      <c r="P1048" s="12" t="s">
        <v>109</v>
      </c>
      <c r="Q1048" s="13">
        <v>45167</v>
      </c>
      <c r="R1048" s="13">
        <v>45185</v>
      </c>
      <c r="S1048">
        <v>2023</v>
      </c>
      <c r="T1048" s="12" t="s">
        <v>1536</v>
      </c>
      <c r="U1048">
        <v>58</v>
      </c>
      <c r="V1048">
        <v>254.15530000000001</v>
      </c>
      <c r="W1048">
        <v>173.7</v>
      </c>
      <c r="X1048">
        <v>0</v>
      </c>
      <c r="Y1048">
        <v>0</v>
      </c>
      <c r="Z1048">
        <v>14741.01</v>
      </c>
      <c r="AA1048">
        <v>14914.71</v>
      </c>
      <c r="AB1048" s="12" t="s">
        <v>627</v>
      </c>
      <c r="AC1048">
        <v>254.15530000000001</v>
      </c>
      <c r="AD1048">
        <v>1</v>
      </c>
      <c r="AE1048">
        <v>1</v>
      </c>
      <c r="AF1048">
        <v>0</v>
      </c>
      <c r="AG1048">
        <v>14741.01</v>
      </c>
      <c r="AH1048">
        <v>58</v>
      </c>
      <c r="AI1048">
        <v>58</v>
      </c>
      <c r="AJ1048">
        <v>0</v>
      </c>
      <c r="AK1048">
        <v>1</v>
      </c>
      <c r="AL1048">
        <v>1</v>
      </c>
      <c r="AM1048">
        <v>100</v>
      </c>
      <c r="AN1048">
        <v>257.15010000000001</v>
      </c>
      <c r="AO1048">
        <v>0</v>
      </c>
      <c r="AP1048" s="13">
        <v>45184</v>
      </c>
      <c r="AQ1048">
        <v>-1</v>
      </c>
      <c r="AR1048">
        <v>1</v>
      </c>
    </row>
    <row r="1049" spans="1:44" x14ac:dyDescent="0.35">
      <c r="A1049" s="12" t="s">
        <v>1725</v>
      </c>
      <c r="B1049" s="12" t="s">
        <v>128</v>
      </c>
      <c r="C1049" s="12" t="s">
        <v>129</v>
      </c>
      <c r="D1049" s="12" t="s">
        <v>130</v>
      </c>
      <c r="E1049" s="12" t="s">
        <v>65</v>
      </c>
      <c r="F1049">
        <v>3</v>
      </c>
      <c r="G1049">
        <v>5</v>
      </c>
      <c r="H1049">
        <v>0</v>
      </c>
      <c r="I1049" s="12" t="s">
        <v>66</v>
      </c>
      <c r="J1049" s="12" t="s">
        <v>67</v>
      </c>
      <c r="K1049" s="12" t="s">
        <v>68</v>
      </c>
      <c r="L1049" s="12" t="s">
        <v>69</v>
      </c>
      <c r="M1049">
        <v>17.66</v>
      </c>
      <c r="N1049" s="12" t="s">
        <v>159</v>
      </c>
      <c r="O1049" s="12" t="s">
        <v>160</v>
      </c>
      <c r="P1049" s="12" t="s">
        <v>137</v>
      </c>
      <c r="Q1049" s="13">
        <v>45167</v>
      </c>
      <c r="R1049" s="13">
        <v>45205</v>
      </c>
      <c r="S1049">
        <v>2023</v>
      </c>
      <c r="T1049" s="12" t="s">
        <v>1536</v>
      </c>
      <c r="U1049">
        <v>149</v>
      </c>
      <c r="V1049">
        <v>535.84180000000003</v>
      </c>
      <c r="W1049">
        <v>995.16</v>
      </c>
      <c r="X1049">
        <v>2522.1799999999998</v>
      </c>
      <c r="Y1049">
        <v>1</v>
      </c>
      <c r="Z1049">
        <v>79840.429999999993</v>
      </c>
      <c r="AA1049">
        <v>83357.77</v>
      </c>
      <c r="AB1049" s="12" t="s">
        <v>201</v>
      </c>
      <c r="AD1049">
        <v>0</v>
      </c>
      <c r="AE1049">
        <v>0</v>
      </c>
      <c r="AH1049">
        <v>149</v>
      </c>
      <c r="AI1049">
        <v>147</v>
      </c>
      <c r="AJ1049">
        <v>2</v>
      </c>
      <c r="AK1049">
        <v>1</v>
      </c>
      <c r="AL1049">
        <v>1</v>
      </c>
      <c r="AM1049">
        <v>98.66</v>
      </c>
      <c r="AN1049">
        <v>567.05960000000005</v>
      </c>
      <c r="AO1049">
        <v>1071.68</v>
      </c>
      <c r="AP1049" s="13">
        <v>45208</v>
      </c>
      <c r="AQ1049">
        <v>3</v>
      </c>
      <c r="AR1049">
        <v>0</v>
      </c>
    </row>
    <row r="1050" spans="1:44" x14ac:dyDescent="0.35">
      <c r="A1050" s="12" t="s">
        <v>1726</v>
      </c>
      <c r="B1050" s="12" t="s">
        <v>952</v>
      </c>
      <c r="C1050" s="12" t="s">
        <v>953</v>
      </c>
      <c r="D1050" s="12" t="s">
        <v>64</v>
      </c>
      <c r="E1050" s="12" t="s">
        <v>142</v>
      </c>
      <c r="F1050">
        <v>1</v>
      </c>
      <c r="G1050">
        <v>8</v>
      </c>
      <c r="H1050">
        <v>1</v>
      </c>
      <c r="I1050" s="12" t="s">
        <v>131</v>
      </c>
      <c r="J1050" s="12" t="s">
        <v>132</v>
      </c>
      <c r="K1050" s="12" t="s">
        <v>133</v>
      </c>
      <c r="L1050" s="12" t="s">
        <v>134</v>
      </c>
      <c r="M1050">
        <v>1.51</v>
      </c>
      <c r="N1050" s="12" t="s">
        <v>97</v>
      </c>
      <c r="O1050" s="12" t="s">
        <v>98</v>
      </c>
      <c r="P1050" s="12" t="s">
        <v>72</v>
      </c>
      <c r="Q1050" s="13">
        <v>45167</v>
      </c>
      <c r="R1050" s="13">
        <v>45206</v>
      </c>
      <c r="S1050">
        <v>2023</v>
      </c>
      <c r="T1050" s="12" t="s">
        <v>1536</v>
      </c>
      <c r="U1050">
        <v>313</v>
      </c>
      <c r="V1050">
        <v>31.146599999999999</v>
      </c>
      <c r="W1050">
        <v>96.67</v>
      </c>
      <c r="X1050">
        <v>0</v>
      </c>
      <c r="Y1050">
        <v>0</v>
      </c>
      <c r="Z1050">
        <v>9748.89</v>
      </c>
      <c r="AA1050">
        <v>9845.56</v>
      </c>
      <c r="AB1050" s="12" t="s">
        <v>954</v>
      </c>
      <c r="AC1050">
        <v>31.146599999999999</v>
      </c>
      <c r="AD1050">
        <v>1</v>
      </c>
      <c r="AE1050">
        <v>1</v>
      </c>
      <c r="AF1050">
        <v>0</v>
      </c>
      <c r="AG1050">
        <v>9748.89</v>
      </c>
      <c r="AH1050">
        <v>313</v>
      </c>
      <c r="AI1050">
        <v>312</v>
      </c>
      <c r="AJ1050">
        <v>1</v>
      </c>
      <c r="AK1050">
        <v>1</v>
      </c>
      <c r="AL1050">
        <v>1</v>
      </c>
      <c r="AM1050">
        <v>99.68</v>
      </c>
      <c r="AN1050">
        <v>31.5563</v>
      </c>
      <c r="AO1050">
        <v>31.15</v>
      </c>
      <c r="AP1050" s="13">
        <v>45205</v>
      </c>
      <c r="AQ1050">
        <v>-1</v>
      </c>
      <c r="AR1050">
        <v>1</v>
      </c>
    </row>
    <row r="1051" spans="1:44" x14ac:dyDescent="0.35">
      <c r="A1051" s="12" t="s">
        <v>1727</v>
      </c>
      <c r="B1051" s="12" t="s">
        <v>362</v>
      </c>
      <c r="C1051" s="12" t="s">
        <v>363</v>
      </c>
      <c r="D1051" s="12" t="s">
        <v>78</v>
      </c>
      <c r="E1051" s="12" t="s">
        <v>104</v>
      </c>
      <c r="F1051">
        <v>3</v>
      </c>
      <c r="G1051">
        <v>0</v>
      </c>
      <c r="H1051">
        <v>0</v>
      </c>
      <c r="I1051" s="12" t="s">
        <v>157</v>
      </c>
      <c r="J1051" s="12" t="s">
        <v>158</v>
      </c>
      <c r="K1051" s="12" t="s">
        <v>117</v>
      </c>
      <c r="L1051" s="12" t="s">
        <v>96</v>
      </c>
      <c r="M1051">
        <v>4.72</v>
      </c>
      <c r="N1051" s="12" t="s">
        <v>97</v>
      </c>
      <c r="O1051" s="12" t="s">
        <v>98</v>
      </c>
      <c r="P1051" s="12" t="s">
        <v>72</v>
      </c>
      <c r="Q1051" s="13">
        <v>45167</v>
      </c>
      <c r="R1051" s="13">
        <v>45183</v>
      </c>
      <c r="S1051">
        <v>2023</v>
      </c>
      <c r="T1051" s="12" t="s">
        <v>1536</v>
      </c>
      <c r="U1051">
        <v>102</v>
      </c>
      <c r="V1051">
        <v>63.140599999999999</v>
      </c>
      <c r="W1051">
        <v>100.2</v>
      </c>
      <c r="X1051">
        <v>0</v>
      </c>
      <c r="Y1051">
        <v>0</v>
      </c>
      <c r="Z1051">
        <v>6440.34</v>
      </c>
      <c r="AA1051">
        <v>6540.54</v>
      </c>
      <c r="AB1051" s="12" t="s">
        <v>364</v>
      </c>
      <c r="AC1051">
        <v>63.140599999999999</v>
      </c>
      <c r="AD1051">
        <v>1</v>
      </c>
      <c r="AE1051">
        <v>1</v>
      </c>
      <c r="AF1051">
        <v>0</v>
      </c>
      <c r="AG1051">
        <v>6440.34</v>
      </c>
      <c r="AH1051">
        <v>102</v>
      </c>
      <c r="AI1051">
        <v>101</v>
      </c>
      <c r="AJ1051">
        <v>1</v>
      </c>
      <c r="AK1051">
        <v>1</v>
      </c>
      <c r="AL1051">
        <v>1</v>
      </c>
      <c r="AM1051">
        <v>99.02</v>
      </c>
      <c r="AN1051">
        <v>64.757800000000003</v>
      </c>
      <c r="AO1051">
        <v>63.14</v>
      </c>
      <c r="AP1051" s="13">
        <v>45184</v>
      </c>
      <c r="AQ1051">
        <v>1</v>
      </c>
      <c r="AR1051">
        <v>0</v>
      </c>
    </row>
    <row r="1052" spans="1:44" x14ac:dyDescent="0.35">
      <c r="A1052" s="12" t="s">
        <v>1728</v>
      </c>
      <c r="B1052" s="12" t="s">
        <v>869</v>
      </c>
      <c r="C1052" s="12" t="s">
        <v>870</v>
      </c>
      <c r="D1052" s="12" t="s">
        <v>130</v>
      </c>
      <c r="E1052" s="12" t="s">
        <v>104</v>
      </c>
      <c r="F1052">
        <v>2</v>
      </c>
      <c r="G1052">
        <v>0</v>
      </c>
      <c r="H1052">
        <v>0</v>
      </c>
      <c r="I1052" s="12" t="s">
        <v>515</v>
      </c>
      <c r="J1052" s="12" t="s">
        <v>516</v>
      </c>
      <c r="K1052" s="12" t="s">
        <v>68</v>
      </c>
      <c r="L1052" s="12" t="s">
        <v>134</v>
      </c>
      <c r="M1052">
        <v>3.69</v>
      </c>
      <c r="N1052" s="12" t="s">
        <v>135</v>
      </c>
      <c r="O1052" s="12" t="s">
        <v>136</v>
      </c>
      <c r="P1052" s="12" t="s">
        <v>137</v>
      </c>
      <c r="Q1052" s="13">
        <v>45167</v>
      </c>
      <c r="R1052" s="13">
        <v>45184</v>
      </c>
      <c r="S1052">
        <v>2023</v>
      </c>
      <c r="T1052" s="12" t="s">
        <v>1536</v>
      </c>
      <c r="U1052">
        <v>53</v>
      </c>
      <c r="V1052">
        <v>583.34230000000002</v>
      </c>
      <c r="W1052">
        <v>644.5</v>
      </c>
      <c r="X1052">
        <v>0</v>
      </c>
      <c r="Y1052">
        <v>0</v>
      </c>
      <c r="Z1052">
        <v>30917.14</v>
      </c>
      <c r="AA1052">
        <v>31561.64</v>
      </c>
      <c r="AB1052" s="12" t="s">
        <v>871</v>
      </c>
      <c r="AC1052">
        <v>583.34230000000002</v>
      </c>
      <c r="AD1052">
        <v>1</v>
      </c>
      <c r="AE1052">
        <v>1</v>
      </c>
      <c r="AF1052">
        <v>0</v>
      </c>
      <c r="AG1052">
        <v>30917.14</v>
      </c>
      <c r="AH1052">
        <v>53</v>
      </c>
      <c r="AI1052">
        <v>53</v>
      </c>
      <c r="AJ1052">
        <v>0</v>
      </c>
      <c r="AK1052">
        <v>1</v>
      </c>
      <c r="AL1052">
        <v>1</v>
      </c>
      <c r="AM1052">
        <v>100</v>
      </c>
      <c r="AN1052">
        <v>595.5027</v>
      </c>
      <c r="AO1052">
        <v>0</v>
      </c>
      <c r="AP1052" s="13">
        <v>45184</v>
      </c>
      <c r="AQ1052">
        <v>0</v>
      </c>
      <c r="AR1052">
        <v>1</v>
      </c>
    </row>
    <row r="1053" spans="1:44" x14ac:dyDescent="0.35">
      <c r="A1053" s="12" t="s">
        <v>1729</v>
      </c>
      <c r="B1053" s="12" t="s">
        <v>924</v>
      </c>
      <c r="C1053" s="12" t="s">
        <v>925</v>
      </c>
      <c r="D1053" s="12" t="s">
        <v>103</v>
      </c>
      <c r="E1053" s="12" t="s">
        <v>104</v>
      </c>
      <c r="F1053">
        <v>2</v>
      </c>
      <c r="G1053">
        <v>0</v>
      </c>
      <c r="H1053">
        <v>0</v>
      </c>
      <c r="I1053" s="12" t="s">
        <v>335</v>
      </c>
      <c r="J1053" s="12" t="s">
        <v>336</v>
      </c>
      <c r="K1053" s="12" t="s">
        <v>89</v>
      </c>
      <c r="L1053" s="12" t="s">
        <v>82</v>
      </c>
      <c r="M1053">
        <v>16</v>
      </c>
      <c r="N1053" s="12" t="s">
        <v>107</v>
      </c>
      <c r="O1053" s="12" t="s">
        <v>108</v>
      </c>
      <c r="P1053" s="12" t="s">
        <v>109</v>
      </c>
      <c r="Q1053" s="13">
        <v>45167</v>
      </c>
      <c r="R1053" s="13">
        <v>45180</v>
      </c>
      <c r="S1053">
        <v>2023</v>
      </c>
      <c r="T1053" s="12" t="s">
        <v>1536</v>
      </c>
      <c r="U1053">
        <v>23</v>
      </c>
      <c r="V1053">
        <v>161.51509999999999</v>
      </c>
      <c r="W1053">
        <v>38.49</v>
      </c>
      <c r="X1053">
        <v>0</v>
      </c>
      <c r="Y1053">
        <v>0</v>
      </c>
      <c r="Z1053">
        <v>3714.85</v>
      </c>
      <c r="AA1053">
        <v>3753.34</v>
      </c>
      <c r="AB1053" s="12" t="s">
        <v>926</v>
      </c>
      <c r="AC1053">
        <v>161.51509999999999</v>
      </c>
      <c r="AD1053">
        <v>1</v>
      </c>
      <c r="AE1053">
        <v>1</v>
      </c>
      <c r="AF1053">
        <v>0</v>
      </c>
      <c r="AG1053">
        <v>3714.85</v>
      </c>
      <c r="AH1053">
        <v>23</v>
      </c>
      <c r="AI1053">
        <v>23</v>
      </c>
      <c r="AJ1053">
        <v>0</v>
      </c>
      <c r="AK1053">
        <v>1</v>
      </c>
      <c r="AL1053">
        <v>1</v>
      </c>
      <c r="AM1053">
        <v>100</v>
      </c>
      <c r="AN1053">
        <v>163.18860000000001</v>
      </c>
      <c r="AO1053">
        <v>0</v>
      </c>
      <c r="AP1053" s="13">
        <v>45182</v>
      </c>
      <c r="AQ1053">
        <v>2</v>
      </c>
      <c r="AR1053">
        <v>0</v>
      </c>
    </row>
    <row r="1054" spans="1:44" x14ac:dyDescent="0.35">
      <c r="A1054" s="12" t="s">
        <v>1730</v>
      </c>
      <c r="B1054" s="12" t="s">
        <v>587</v>
      </c>
      <c r="C1054" s="12" t="s">
        <v>588</v>
      </c>
      <c r="D1054" s="12" t="s">
        <v>122</v>
      </c>
      <c r="E1054" s="12" t="s">
        <v>104</v>
      </c>
      <c r="F1054">
        <v>2</v>
      </c>
      <c r="G1054">
        <v>0</v>
      </c>
      <c r="H1054">
        <v>0</v>
      </c>
      <c r="I1054" s="12" t="s">
        <v>486</v>
      </c>
      <c r="J1054" s="12" t="s">
        <v>487</v>
      </c>
      <c r="K1054" s="12" t="s">
        <v>125</v>
      </c>
      <c r="L1054" s="12" t="s">
        <v>69</v>
      </c>
      <c r="M1054">
        <v>36.86</v>
      </c>
      <c r="N1054" s="12" t="s">
        <v>97</v>
      </c>
      <c r="O1054" s="12" t="s">
        <v>98</v>
      </c>
      <c r="P1054" s="12" t="s">
        <v>72</v>
      </c>
      <c r="Q1054" s="13">
        <v>45167</v>
      </c>
      <c r="R1054" s="13">
        <v>45188</v>
      </c>
      <c r="S1054">
        <v>2023</v>
      </c>
      <c r="T1054" s="12" t="s">
        <v>1536</v>
      </c>
      <c r="U1054">
        <v>1105</v>
      </c>
      <c r="V1054">
        <v>12.517899999999999</v>
      </c>
      <c r="W1054">
        <v>137.54</v>
      </c>
      <c r="X1054">
        <v>0</v>
      </c>
      <c r="Y1054">
        <v>0</v>
      </c>
      <c r="Z1054">
        <v>13832.28</v>
      </c>
      <c r="AA1054">
        <v>13969.82</v>
      </c>
      <c r="AB1054" s="12" t="s">
        <v>744</v>
      </c>
      <c r="AC1054">
        <v>12.517899999999999</v>
      </c>
      <c r="AD1054">
        <v>1</v>
      </c>
      <c r="AE1054">
        <v>1</v>
      </c>
      <c r="AF1054">
        <v>0</v>
      </c>
      <c r="AG1054">
        <v>13832.28</v>
      </c>
      <c r="AH1054">
        <v>1105</v>
      </c>
      <c r="AI1054">
        <v>1100</v>
      </c>
      <c r="AJ1054">
        <v>5</v>
      </c>
      <c r="AK1054">
        <v>1</v>
      </c>
      <c r="AL1054">
        <v>1</v>
      </c>
      <c r="AM1054">
        <v>99.55</v>
      </c>
      <c r="AN1054">
        <v>12.6998</v>
      </c>
      <c r="AO1054">
        <v>62.59</v>
      </c>
      <c r="AP1054" s="13">
        <v>45188</v>
      </c>
      <c r="AQ1054">
        <v>0</v>
      </c>
      <c r="AR1054">
        <v>1</v>
      </c>
    </row>
    <row r="1055" spans="1:44" x14ac:dyDescent="0.35">
      <c r="A1055" s="12" t="s">
        <v>1731</v>
      </c>
      <c r="B1055" s="12" t="s">
        <v>509</v>
      </c>
      <c r="C1055" s="12" t="s">
        <v>510</v>
      </c>
      <c r="D1055" s="12" t="s">
        <v>78</v>
      </c>
      <c r="E1055" s="12" t="s">
        <v>142</v>
      </c>
      <c r="F1055">
        <v>3</v>
      </c>
      <c r="G1055">
        <v>11</v>
      </c>
      <c r="H1055">
        <v>0</v>
      </c>
      <c r="I1055" s="12" t="s">
        <v>176</v>
      </c>
      <c r="J1055" s="12" t="s">
        <v>177</v>
      </c>
      <c r="K1055" s="12" t="s">
        <v>125</v>
      </c>
      <c r="L1055" s="12" t="s">
        <v>134</v>
      </c>
      <c r="M1055">
        <v>1.75</v>
      </c>
      <c r="N1055" s="12" t="s">
        <v>70</v>
      </c>
      <c r="O1055" s="12" t="s">
        <v>71</v>
      </c>
      <c r="P1055" s="12" t="s">
        <v>72</v>
      </c>
      <c r="Q1055" s="13">
        <v>45167</v>
      </c>
      <c r="R1055" s="13">
        <v>45206</v>
      </c>
      <c r="S1055">
        <v>2023</v>
      </c>
      <c r="T1055" s="12" t="s">
        <v>1536</v>
      </c>
      <c r="U1055">
        <v>110</v>
      </c>
      <c r="V1055">
        <v>144.51259999999999</v>
      </c>
      <c r="W1055">
        <v>305.89999999999998</v>
      </c>
      <c r="X1055">
        <v>0</v>
      </c>
      <c r="Y1055">
        <v>0</v>
      </c>
      <c r="Z1055">
        <v>15896.39</v>
      </c>
      <c r="AA1055">
        <v>16202.29</v>
      </c>
      <c r="AB1055" s="12" t="s">
        <v>511</v>
      </c>
      <c r="AC1055">
        <v>144.51259999999999</v>
      </c>
      <c r="AD1055">
        <v>1</v>
      </c>
      <c r="AE1055">
        <v>1</v>
      </c>
      <c r="AF1055">
        <v>0</v>
      </c>
      <c r="AG1055">
        <v>15896.39</v>
      </c>
      <c r="AH1055">
        <v>110</v>
      </c>
      <c r="AI1055">
        <v>108</v>
      </c>
      <c r="AJ1055">
        <v>2</v>
      </c>
      <c r="AK1055">
        <v>1</v>
      </c>
      <c r="AL1055">
        <v>1</v>
      </c>
      <c r="AM1055">
        <v>98.18</v>
      </c>
      <c r="AN1055">
        <v>150.02119999999999</v>
      </c>
      <c r="AO1055">
        <v>289.02999999999997</v>
      </c>
      <c r="AP1055" s="13">
        <v>45208</v>
      </c>
      <c r="AQ1055">
        <v>2</v>
      </c>
      <c r="AR1055">
        <v>0</v>
      </c>
    </row>
    <row r="1056" spans="1:44" x14ac:dyDescent="0.35">
      <c r="A1056" s="12" t="s">
        <v>1732</v>
      </c>
      <c r="B1056" s="12" t="s">
        <v>513</v>
      </c>
      <c r="C1056" s="12" t="s">
        <v>514</v>
      </c>
      <c r="D1056" s="12" t="s">
        <v>269</v>
      </c>
      <c r="E1056" s="12" t="s">
        <v>65</v>
      </c>
      <c r="F1056">
        <v>1</v>
      </c>
      <c r="G1056">
        <v>2</v>
      </c>
      <c r="H1056">
        <v>1</v>
      </c>
      <c r="I1056" s="12" t="s">
        <v>515</v>
      </c>
      <c r="J1056" s="12" t="s">
        <v>516</v>
      </c>
      <c r="K1056" s="12" t="s">
        <v>68</v>
      </c>
      <c r="L1056" s="12" t="s">
        <v>134</v>
      </c>
      <c r="M1056">
        <v>3.69</v>
      </c>
      <c r="N1056" s="12" t="s">
        <v>159</v>
      </c>
      <c r="O1056" s="12" t="s">
        <v>160</v>
      </c>
      <c r="P1056" s="12" t="s">
        <v>137</v>
      </c>
      <c r="Q1056" s="13">
        <v>45168</v>
      </c>
      <c r="R1056" s="13">
        <v>45200</v>
      </c>
      <c r="S1056">
        <v>2023</v>
      </c>
      <c r="T1056" s="12" t="s">
        <v>1536</v>
      </c>
      <c r="U1056">
        <v>99</v>
      </c>
      <c r="V1056">
        <v>229.3486</v>
      </c>
      <c r="W1056">
        <v>479.36</v>
      </c>
      <c r="X1056">
        <v>0</v>
      </c>
      <c r="Y1056">
        <v>0</v>
      </c>
      <c r="Z1056">
        <v>22705.51</v>
      </c>
      <c r="AA1056">
        <v>23184.87</v>
      </c>
      <c r="AB1056" s="12" t="s">
        <v>517</v>
      </c>
      <c r="AC1056">
        <v>229.3486</v>
      </c>
      <c r="AD1056">
        <v>1</v>
      </c>
      <c r="AE1056">
        <v>1</v>
      </c>
      <c r="AF1056">
        <v>0</v>
      </c>
      <c r="AG1056">
        <v>22705.51</v>
      </c>
      <c r="AH1056">
        <v>99</v>
      </c>
      <c r="AI1056">
        <v>99</v>
      </c>
      <c r="AJ1056">
        <v>0</v>
      </c>
      <c r="AK1056">
        <v>1</v>
      </c>
      <c r="AL1056">
        <v>1</v>
      </c>
      <c r="AM1056">
        <v>100</v>
      </c>
      <c r="AN1056">
        <v>234.19059999999999</v>
      </c>
      <c r="AO1056">
        <v>0</v>
      </c>
      <c r="AP1056" s="13">
        <v>45201</v>
      </c>
      <c r="AQ1056">
        <v>1</v>
      </c>
      <c r="AR1056">
        <v>0</v>
      </c>
    </row>
    <row r="1057" spans="1:44" x14ac:dyDescent="0.35">
      <c r="A1057" s="12" t="s">
        <v>1733</v>
      </c>
      <c r="B1057" s="12" t="s">
        <v>519</v>
      </c>
      <c r="C1057" s="12" t="s">
        <v>520</v>
      </c>
      <c r="D1057" s="12" t="s">
        <v>78</v>
      </c>
      <c r="E1057" s="12" t="s">
        <v>65</v>
      </c>
      <c r="F1057">
        <v>2</v>
      </c>
      <c r="G1057">
        <v>3</v>
      </c>
      <c r="H1057">
        <v>0</v>
      </c>
      <c r="I1057" s="12" t="s">
        <v>143</v>
      </c>
      <c r="J1057" s="12" t="s">
        <v>144</v>
      </c>
      <c r="K1057" s="12" t="s">
        <v>133</v>
      </c>
      <c r="L1057" s="12" t="s">
        <v>96</v>
      </c>
      <c r="M1057">
        <v>5.43</v>
      </c>
      <c r="N1057" s="12" t="s">
        <v>97</v>
      </c>
      <c r="O1057" s="12" t="s">
        <v>98</v>
      </c>
      <c r="P1057" s="12" t="s">
        <v>72</v>
      </c>
      <c r="Q1057" s="13">
        <v>45168</v>
      </c>
      <c r="R1057" s="13">
        <v>45196</v>
      </c>
      <c r="S1057">
        <v>2023</v>
      </c>
      <c r="T1057" s="12" t="s">
        <v>1536</v>
      </c>
      <c r="U1057">
        <v>149</v>
      </c>
      <c r="V1057">
        <v>31.7883</v>
      </c>
      <c r="W1057">
        <v>94.73</v>
      </c>
      <c r="X1057">
        <v>0</v>
      </c>
      <c r="Y1057">
        <v>0</v>
      </c>
      <c r="Z1057">
        <v>4736.46</v>
      </c>
      <c r="AA1057">
        <v>4831.1899999999996</v>
      </c>
      <c r="AB1057" s="12" t="s">
        <v>1154</v>
      </c>
      <c r="AC1057">
        <v>31.7883</v>
      </c>
      <c r="AD1057">
        <v>1</v>
      </c>
      <c r="AE1057">
        <v>1</v>
      </c>
      <c r="AF1057">
        <v>0</v>
      </c>
      <c r="AG1057">
        <v>4736.46</v>
      </c>
      <c r="AH1057">
        <v>149</v>
      </c>
      <c r="AI1057">
        <v>148</v>
      </c>
      <c r="AJ1057">
        <v>1</v>
      </c>
      <c r="AK1057">
        <v>1</v>
      </c>
      <c r="AL1057">
        <v>1</v>
      </c>
      <c r="AM1057">
        <v>99.33</v>
      </c>
      <c r="AN1057">
        <v>32.6432</v>
      </c>
      <c r="AO1057">
        <v>31.79</v>
      </c>
      <c r="AP1057" s="13">
        <v>45196</v>
      </c>
      <c r="AQ1057">
        <v>0</v>
      </c>
      <c r="AR1057">
        <v>1</v>
      </c>
    </row>
    <row r="1058" spans="1:44" x14ac:dyDescent="0.35">
      <c r="A1058" s="12" t="s">
        <v>1734</v>
      </c>
      <c r="B1058" s="12" t="s">
        <v>378</v>
      </c>
      <c r="C1058" s="12" t="s">
        <v>379</v>
      </c>
      <c r="D1058" s="12" t="s">
        <v>64</v>
      </c>
      <c r="E1058" s="12" t="s">
        <v>104</v>
      </c>
      <c r="F1058">
        <v>3</v>
      </c>
      <c r="G1058">
        <v>1</v>
      </c>
      <c r="H1058">
        <v>0</v>
      </c>
      <c r="I1058" s="12" t="s">
        <v>380</v>
      </c>
      <c r="J1058" s="12" t="s">
        <v>381</v>
      </c>
      <c r="K1058" s="12" t="s">
        <v>89</v>
      </c>
      <c r="L1058" s="12" t="s">
        <v>96</v>
      </c>
      <c r="M1058">
        <v>10.210000000000001</v>
      </c>
      <c r="N1058" s="12" t="s">
        <v>70</v>
      </c>
      <c r="O1058" s="12" t="s">
        <v>71</v>
      </c>
      <c r="P1058" s="12" t="s">
        <v>72</v>
      </c>
      <c r="Q1058" s="13">
        <v>45168</v>
      </c>
      <c r="R1058" s="13">
        <v>45195</v>
      </c>
      <c r="S1058">
        <v>2023</v>
      </c>
      <c r="T1058" s="12" t="s">
        <v>1536</v>
      </c>
      <c r="U1058">
        <v>883</v>
      </c>
      <c r="V1058">
        <v>16.160900000000002</v>
      </c>
      <c r="W1058">
        <v>190.77</v>
      </c>
      <c r="X1058">
        <v>0</v>
      </c>
      <c r="Y1058">
        <v>0</v>
      </c>
      <c r="Z1058">
        <v>14270.07</v>
      </c>
      <c r="AA1058">
        <v>14460.84</v>
      </c>
      <c r="AB1058" s="12" t="s">
        <v>382</v>
      </c>
      <c r="AC1058">
        <v>16.160900000000002</v>
      </c>
      <c r="AD1058">
        <v>1</v>
      </c>
      <c r="AE1058">
        <v>1</v>
      </c>
      <c r="AF1058">
        <v>0</v>
      </c>
      <c r="AG1058">
        <v>14270.07</v>
      </c>
      <c r="AH1058">
        <v>883</v>
      </c>
      <c r="AI1058">
        <v>878</v>
      </c>
      <c r="AJ1058">
        <v>5</v>
      </c>
      <c r="AK1058">
        <v>1</v>
      </c>
      <c r="AL1058">
        <v>1</v>
      </c>
      <c r="AM1058">
        <v>99.43</v>
      </c>
      <c r="AN1058">
        <v>16.470199999999998</v>
      </c>
      <c r="AO1058">
        <v>80.8</v>
      </c>
      <c r="AP1058" s="13">
        <v>45193</v>
      </c>
      <c r="AQ1058">
        <v>-2</v>
      </c>
      <c r="AR1058">
        <v>1</v>
      </c>
    </row>
    <row r="1059" spans="1:44" x14ac:dyDescent="0.35">
      <c r="A1059" s="12" t="s">
        <v>1735</v>
      </c>
      <c r="B1059" s="12" t="s">
        <v>1666</v>
      </c>
      <c r="C1059" s="12" t="s">
        <v>1667</v>
      </c>
      <c r="D1059" s="12" t="s">
        <v>78</v>
      </c>
      <c r="E1059" s="12" t="s">
        <v>65</v>
      </c>
      <c r="F1059">
        <v>2</v>
      </c>
      <c r="G1059">
        <v>3</v>
      </c>
      <c r="H1059">
        <v>0</v>
      </c>
      <c r="I1059" s="12" t="s">
        <v>310</v>
      </c>
      <c r="J1059" s="12" t="s">
        <v>311</v>
      </c>
      <c r="K1059" s="12" t="s">
        <v>81</v>
      </c>
      <c r="L1059" s="12" t="s">
        <v>69</v>
      </c>
      <c r="M1059">
        <v>28.3</v>
      </c>
      <c r="N1059" s="12" t="s">
        <v>70</v>
      </c>
      <c r="O1059" s="12" t="s">
        <v>71</v>
      </c>
      <c r="P1059" s="12" t="s">
        <v>72</v>
      </c>
      <c r="Q1059" s="13">
        <v>45168</v>
      </c>
      <c r="R1059" s="13">
        <v>45205</v>
      </c>
      <c r="S1059">
        <v>2023</v>
      </c>
      <c r="T1059" s="12" t="s">
        <v>1536</v>
      </c>
      <c r="U1059">
        <v>273</v>
      </c>
      <c r="V1059">
        <v>75.122299999999996</v>
      </c>
      <c r="W1059">
        <v>305.18</v>
      </c>
      <c r="X1059">
        <v>0</v>
      </c>
      <c r="Y1059">
        <v>0</v>
      </c>
      <c r="Z1059">
        <v>20508.39</v>
      </c>
      <c r="AA1059">
        <v>20813.57</v>
      </c>
      <c r="AB1059" s="12" t="s">
        <v>1668</v>
      </c>
      <c r="AC1059">
        <v>75.122299999999996</v>
      </c>
      <c r="AD1059">
        <v>1</v>
      </c>
      <c r="AE1059">
        <v>1</v>
      </c>
      <c r="AF1059">
        <v>0</v>
      </c>
      <c r="AG1059">
        <v>20508.39</v>
      </c>
      <c r="AH1059">
        <v>273</v>
      </c>
      <c r="AI1059">
        <v>267</v>
      </c>
      <c r="AJ1059">
        <v>6</v>
      </c>
      <c r="AK1059">
        <v>1</v>
      </c>
      <c r="AL1059">
        <v>1</v>
      </c>
      <c r="AM1059">
        <v>97.8</v>
      </c>
      <c r="AN1059">
        <v>77.953400000000002</v>
      </c>
      <c r="AO1059">
        <v>450.73</v>
      </c>
      <c r="AP1059" s="13">
        <v>45204</v>
      </c>
      <c r="AQ1059">
        <v>-1</v>
      </c>
      <c r="AR1059">
        <v>1</v>
      </c>
    </row>
    <row r="1060" spans="1:44" x14ac:dyDescent="0.35">
      <c r="A1060" s="12" t="s">
        <v>1736</v>
      </c>
      <c r="B1060" s="12" t="s">
        <v>657</v>
      </c>
      <c r="C1060" s="12" t="s">
        <v>658</v>
      </c>
      <c r="D1060" s="12" t="s">
        <v>175</v>
      </c>
      <c r="E1060" s="12" t="s">
        <v>65</v>
      </c>
      <c r="F1060">
        <v>1</v>
      </c>
      <c r="G1060">
        <v>2</v>
      </c>
      <c r="H1060">
        <v>1</v>
      </c>
      <c r="I1060" s="12" t="s">
        <v>183</v>
      </c>
      <c r="J1060" s="12" t="s">
        <v>184</v>
      </c>
      <c r="K1060" s="12" t="s">
        <v>133</v>
      </c>
      <c r="L1060" s="12" t="s">
        <v>82</v>
      </c>
      <c r="M1060">
        <v>8.6199999999999992</v>
      </c>
      <c r="N1060" s="12" t="s">
        <v>107</v>
      </c>
      <c r="O1060" s="12" t="s">
        <v>108</v>
      </c>
      <c r="P1060" s="12" t="s">
        <v>109</v>
      </c>
      <c r="Q1060" s="13">
        <v>45168</v>
      </c>
      <c r="R1060" s="13">
        <v>45201</v>
      </c>
      <c r="S1060">
        <v>2023</v>
      </c>
      <c r="T1060" s="12" t="s">
        <v>1536</v>
      </c>
      <c r="U1060">
        <v>105</v>
      </c>
      <c r="V1060">
        <v>153.8561</v>
      </c>
      <c r="W1060">
        <v>399.72</v>
      </c>
      <c r="X1060">
        <v>0</v>
      </c>
      <c r="Y1060">
        <v>0</v>
      </c>
      <c r="Z1060">
        <v>16154.89</v>
      </c>
      <c r="AA1060">
        <v>16554.61</v>
      </c>
      <c r="AB1060" s="12" t="s">
        <v>659</v>
      </c>
      <c r="AC1060">
        <v>153.8561</v>
      </c>
      <c r="AD1060">
        <v>1</v>
      </c>
      <c r="AE1060">
        <v>1</v>
      </c>
      <c r="AF1060">
        <v>0</v>
      </c>
      <c r="AG1060">
        <v>16154.89</v>
      </c>
      <c r="AH1060">
        <v>105</v>
      </c>
      <c r="AI1060">
        <v>103</v>
      </c>
      <c r="AJ1060">
        <v>2</v>
      </c>
      <c r="AK1060">
        <v>1</v>
      </c>
      <c r="AL1060">
        <v>1</v>
      </c>
      <c r="AM1060">
        <v>98.1</v>
      </c>
      <c r="AN1060">
        <v>160.7244</v>
      </c>
      <c r="AO1060">
        <v>307.70999999999998</v>
      </c>
      <c r="AP1060" s="13">
        <v>45199</v>
      </c>
      <c r="AQ1060">
        <v>-2</v>
      </c>
      <c r="AR1060">
        <v>1</v>
      </c>
    </row>
    <row r="1061" spans="1:44" x14ac:dyDescent="0.35">
      <c r="A1061" s="12" t="s">
        <v>1737</v>
      </c>
      <c r="B1061" s="12" t="s">
        <v>1134</v>
      </c>
      <c r="C1061" s="12" t="s">
        <v>1135</v>
      </c>
      <c r="D1061" s="12" t="s">
        <v>269</v>
      </c>
      <c r="E1061" s="12" t="s">
        <v>104</v>
      </c>
      <c r="F1061">
        <v>2</v>
      </c>
      <c r="G1061">
        <v>0</v>
      </c>
      <c r="H1061">
        <v>0</v>
      </c>
      <c r="I1061" s="12" t="s">
        <v>380</v>
      </c>
      <c r="J1061" s="12" t="s">
        <v>381</v>
      </c>
      <c r="K1061" s="12" t="s">
        <v>89</v>
      </c>
      <c r="L1061" s="12" t="s">
        <v>96</v>
      </c>
      <c r="M1061">
        <v>10.210000000000001</v>
      </c>
      <c r="N1061" s="12" t="s">
        <v>135</v>
      </c>
      <c r="O1061" s="12" t="s">
        <v>136</v>
      </c>
      <c r="P1061" s="12" t="s">
        <v>137</v>
      </c>
      <c r="Q1061" s="13">
        <v>45168</v>
      </c>
      <c r="R1061" s="13">
        <v>45188</v>
      </c>
      <c r="S1061">
        <v>2023</v>
      </c>
      <c r="T1061" s="12" t="s">
        <v>1536</v>
      </c>
      <c r="U1061">
        <v>79</v>
      </c>
      <c r="V1061">
        <v>107.5608</v>
      </c>
      <c r="W1061">
        <v>111.89</v>
      </c>
      <c r="X1061">
        <v>0</v>
      </c>
      <c r="Y1061">
        <v>0</v>
      </c>
      <c r="Z1061">
        <v>8497.2999999999993</v>
      </c>
      <c r="AA1061">
        <v>8609.19</v>
      </c>
      <c r="AB1061" s="12" t="s">
        <v>1136</v>
      </c>
      <c r="AC1061">
        <v>107.5608</v>
      </c>
      <c r="AD1061">
        <v>1</v>
      </c>
      <c r="AE1061">
        <v>1</v>
      </c>
      <c r="AF1061">
        <v>0</v>
      </c>
      <c r="AG1061">
        <v>8497.2999999999993</v>
      </c>
      <c r="AH1061">
        <v>79</v>
      </c>
      <c r="AI1061">
        <v>78</v>
      </c>
      <c r="AJ1061">
        <v>1</v>
      </c>
      <c r="AK1061">
        <v>1</v>
      </c>
      <c r="AL1061">
        <v>1</v>
      </c>
      <c r="AM1061">
        <v>98.73</v>
      </c>
      <c r="AN1061">
        <v>110.37430000000001</v>
      </c>
      <c r="AO1061">
        <v>107.56</v>
      </c>
      <c r="AP1061" s="13">
        <v>45186</v>
      </c>
      <c r="AQ1061">
        <v>-2</v>
      </c>
      <c r="AR1061">
        <v>1</v>
      </c>
    </row>
    <row r="1062" spans="1:44" x14ac:dyDescent="0.35">
      <c r="A1062" s="12" t="s">
        <v>1738</v>
      </c>
      <c r="B1062" s="12" t="s">
        <v>674</v>
      </c>
      <c r="C1062" s="12" t="s">
        <v>675</v>
      </c>
      <c r="D1062" s="12" t="s">
        <v>269</v>
      </c>
      <c r="E1062" s="12" t="s">
        <v>142</v>
      </c>
      <c r="F1062">
        <v>1</v>
      </c>
      <c r="G1062">
        <v>7</v>
      </c>
      <c r="H1062">
        <v>1</v>
      </c>
      <c r="I1062" s="12" t="s">
        <v>676</v>
      </c>
      <c r="J1062" s="12" t="s">
        <v>677</v>
      </c>
      <c r="K1062" s="12" t="s">
        <v>68</v>
      </c>
      <c r="L1062" s="12" t="s">
        <v>96</v>
      </c>
      <c r="M1062">
        <v>3.57</v>
      </c>
      <c r="N1062" s="12" t="s">
        <v>159</v>
      </c>
      <c r="O1062" s="12" t="s">
        <v>160</v>
      </c>
      <c r="P1062" s="12" t="s">
        <v>137</v>
      </c>
      <c r="Q1062" s="13">
        <v>45169</v>
      </c>
      <c r="R1062" s="13">
        <v>45217</v>
      </c>
      <c r="S1062">
        <v>2023</v>
      </c>
      <c r="T1062" s="12" t="s">
        <v>1536</v>
      </c>
      <c r="U1062">
        <v>111</v>
      </c>
      <c r="V1062">
        <v>355.32960000000003</v>
      </c>
      <c r="W1062">
        <v>719.08</v>
      </c>
      <c r="X1062">
        <v>0</v>
      </c>
      <c r="Y1062">
        <v>0</v>
      </c>
      <c r="Z1062">
        <v>39441.589999999997</v>
      </c>
      <c r="AA1062">
        <v>40160.67</v>
      </c>
      <c r="AB1062" s="12" t="s">
        <v>678</v>
      </c>
      <c r="AC1062">
        <v>355.32960000000003</v>
      </c>
      <c r="AD1062">
        <v>1</v>
      </c>
      <c r="AE1062">
        <v>1</v>
      </c>
      <c r="AF1062">
        <v>0</v>
      </c>
      <c r="AG1062">
        <v>39441.589999999997</v>
      </c>
      <c r="AH1062">
        <v>111</v>
      </c>
      <c r="AI1062">
        <v>109</v>
      </c>
      <c r="AJ1062">
        <v>2</v>
      </c>
      <c r="AK1062">
        <v>1</v>
      </c>
      <c r="AL1062">
        <v>1</v>
      </c>
      <c r="AM1062">
        <v>98.2</v>
      </c>
      <c r="AN1062">
        <v>368.44650000000001</v>
      </c>
      <c r="AO1062">
        <v>710.66</v>
      </c>
      <c r="AP1062" s="13">
        <v>45216</v>
      </c>
      <c r="AQ1062">
        <v>-1</v>
      </c>
      <c r="AR1062">
        <v>1</v>
      </c>
    </row>
    <row r="1063" spans="1:44" x14ac:dyDescent="0.35">
      <c r="A1063" s="12" t="s">
        <v>1739</v>
      </c>
      <c r="B1063" s="12" t="s">
        <v>101</v>
      </c>
      <c r="C1063" s="12" t="s">
        <v>102</v>
      </c>
      <c r="D1063" s="12" t="s">
        <v>103</v>
      </c>
      <c r="E1063" s="12" t="s">
        <v>104</v>
      </c>
      <c r="F1063">
        <v>1</v>
      </c>
      <c r="G1063">
        <v>0</v>
      </c>
      <c r="H1063">
        <v>1</v>
      </c>
      <c r="I1063" s="12" t="s">
        <v>105</v>
      </c>
      <c r="J1063" s="12" t="s">
        <v>106</v>
      </c>
      <c r="K1063" s="12" t="s">
        <v>81</v>
      </c>
      <c r="L1063" s="12" t="s">
        <v>96</v>
      </c>
      <c r="M1063">
        <v>5.01</v>
      </c>
      <c r="N1063" s="12" t="s">
        <v>107</v>
      </c>
      <c r="O1063" s="12" t="s">
        <v>108</v>
      </c>
      <c r="P1063" s="12" t="s">
        <v>109</v>
      </c>
      <c r="Q1063" s="13">
        <v>45169</v>
      </c>
      <c r="R1063" s="13">
        <v>45193</v>
      </c>
      <c r="S1063">
        <v>2023</v>
      </c>
      <c r="T1063" s="12" t="s">
        <v>1536</v>
      </c>
      <c r="U1063">
        <v>110</v>
      </c>
      <c r="V1063">
        <v>207.4813</v>
      </c>
      <c r="W1063">
        <v>272.91000000000003</v>
      </c>
      <c r="X1063">
        <v>0</v>
      </c>
      <c r="Y1063">
        <v>0</v>
      </c>
      <c r="Z1063">
        <v>22822.94</v>
      </c>
      <c r="AA1063">
        <v>23095.85</v>
      </c>
      <c r="AB1063" s="12" t="s">
        <v>110</v>
      </c>
      <c r="AC1063">
        <v>207.4813</v>
      </c>
      <c r="AD1063">
        <v>1</v>
      </c>
      <c r="AE1063">
        <v>1</v>
      </c>
      <c r="AF1063">
        <v>0</v>
      </c>
      <c r="AG1063">
        <v>22822.94</v>
      </c>
      <c r="AH1063">
        <v>110</v>
      </c>
      <c r="AI1063">
        <v>109</v>
      </c>
      <c r="AJ1063">
        <v>1</v>
      </c>
      <c r="AK1063">
        <v>1</v>
      </c>
      <c r="AL1063">
        <v>1</v>
      </c>
      <c r="AM1063">
        <v>99.09</v>
      </c>
      <c r="AN1063">
        <v>211.8886</v>
      </c>
      <c r="AO1063">
        <v>207.48</v>
      </c>
      <c r="AP1063" s="13">
        <v>45191</v>
      </c>
      <c r="AQ1063">
        <v>-2</v>
      </c>
      <c r="AR1063">
        <v>1</v>
      </c>
    </row>
    <row r="1064" spans="1:44" x14ac:dyDescent="0.35">
      <c r="A1064" s="12" t="s">
        <v>1740</v>
      </c>
      <c r="B1064" s="12" t="s">
        <v>1220</v>
      </c>
      <c r="C1064" s="12" t="s">
        <v>1221</v>
      </c>
      <c r="D1064" s="12" t="s">
        <v>175</v>
      </c>
      <c r="E1064" s="12" t="s">
        <v>104</v>
      </c>
      <c r="F1064">
        <v>3</v>
      </c>
      <c r="G1064">
        <v>1</v>
      </c>
      <c r="H1064">
        <v>0</v>
      </c>
      <c r="I1064" s="12" t="s">
        <v>251</v>
      </c>
      <c r="J1064" s="12" t="s">
        <v>252</v>
      </c>
      <c r="K1064" s="12" t="s">
        <v>133</v>
      </c>
      <c r="L1064" s="12" t="s">
        <v>69</v>
      </c>
      <c r="M1064">
        <v>34.49</v>
      </c>
      <c r="N1064" s="12" t="s">
        <v>145</v>
      </c>
      <c r="O1064" s="12" t="s">
        <v>146</v>
      </c>
      <c r="P1064" s="12" t="s">
        <v>109</v>
      </c>
      <c r="Q1064" s="13">
        <v>45169</v>
      </c>
      <c r="R1064" s="13">
        <v>45182</v>
      </c>
      <c r="S1064">
        <v>2023</v>
      </c>
      <c r="T1064" s="12" t="s">
        <v>1536</v>
      </c>
      <c r="U1064">
        <v>18</v>
      </c>
      <c r="V1064">
        <v>138.98759999999999</v>
      </c>
      <c r="W1064">
        <v>20.78</v>
      </c>
      <c r="X1064">
        <v>0</v>
      </c>
      <c r="Y1064">
        <v>0</v>
      </c>
      <c r="Z1064">
        <v>2501.7800000000002</v>
      </c>
      <c r="AA1064">
        <v>2522.56</v>
      </c>
      <c r="AB1064" s="12" t="s">
        <v>1438</v>
      </c>
      <c r="AC1064">
        <v>138.98759999999999</v>
      </c>
      <c r="AD1064">
        <v>1</v>
      </c>
      <c r="AE1064">
        <v>1</v>
      </c>
      <c r="AF1064">
        <v>0</v>
      </c>
      <c r="AG1064">
        <v>2501.7800000000002</v>
      </c>
      <c r="AH1064">
        <v>18</v>
      </c>
      <c r="AI1064">
        <v>18</v>
      </c>
      <c r="AJ1064">
        <v>0</v>
      </c>
      <c r="AK1064">
        <v>1</v>
      </c>
      <c r="AL1064">
        <v>1</v>
      </c>
      <c r="AM1064">
        <v>100</v>
      </c>
      <c r="AN1064">
        <v>140.142</v>
      </c>
      <c r="AO1064">
        <v>0</v>
      </c>
      <c r="AP1064" s="13">
        <v>45181</v>
      </c>
      <c r="AQ1064">
        <v>-1</v>
      </c>
      <c r="AR1064">
        <v>1</v>
      </c>
    </row>
    <row r="1065" spans="1:44" x14ac:dyDescent="0.35">
      <c r="A1065" s="12" t="s">
        <v>1741</v>
      </c>
      <c r="B1065" s="12" t="s">
        <v>350</v>
      </c>
      <c r="C1065" s="12" t="s">
        <v>351</v>
      </c>
      <c r="D1065" s="12" t="s">
        <v>64</v>
      </c>
      <c r="E1065" s="12" t="s">
        <v>104</v>
      </c>
      <c r="F1065">
        <v>3</v>
      </c>
      <c r="G1065">
        <v>1</v>
      </c>
      <c r="H1065">
        <v>0</v>
      </c>
      <c r="I1065" s="12" t="s">
        <v>223</v>
      </c>
      <c r="J1065" s="12" t="s">
        <v>224</v>
      </c>
      <c r="K1065" s="12" t="s">
        <v>81</v>
      </c>
      <c r="L1065" s="12" t="s">
        <v>134</v>
      </c>
      <c r="M1065">
        <v>2.4900000000000002</v>
      </c>
      <c r="N1065" s="12" t="s">
        <v>97</v>
      </c>
      <c r="O1065" s="12" t="s">
        <v>98</v>
      </c>
      <c r="P1065" s="12" t="s">
        <v>72</v>
      </c>
      <c r="Q1065" s="13">
        <v>45169</v>
      </c>
      <c r="R1065" s="13">
        <v>45193</v>
      </c>
      <c r="S1065">
        <v>2023</v>
      </c>
      <c r="T1065" s="12" t="s">
        <v>1536</v>
      </c>
      <c r="U1065">
        <v>725</v>
      </c>
      <c r="V1065">
        <v>9.3729999999999993</v>
      </c>
      <c r="W1065">
        <v>172.58</v>
      </c>
      <c r="X1065">
        <v>0</v>
      </c>
      <c r="Y1065">
        <v>0</v>
      </c>
      <c r="Z1065">
        <v>6795.43</v>
      </c>
      <c r="AA1065">
        <v>6968.01</v>
      </c>
      <c r="AB1065" s="12" t="s">
        <v>201</v>
      </c>
      <c r="AD1065">
        <v>0</v>
      </c>
      <c r="AE1065">
        <v>0</v>
      </c>
      <c r="AH1065">
        <v>725</v>
      </c>
      <c r="AI1065">
        <v>716</v>
      </c>
      <c r="AJ1065">
        <v>9</v>
      </c>
      <c r="AK1065">
        <v>1</v>
      </c>
      <c r="AL1065">
        <v>1</v>
      </c>
      <c r="AM1065">
        <v>98.76</v>
      </c>
      <c r="AN1065">
        <v>9.7318999999999996</v>
      </c>
      <c r="AO1065">
        <v>84.36</v>
      </c>
      <c r="AP1065" s="13">
        <v>45190</v>
      </c>
      <c r="AQ1065">
        <v>-3</v>
      </c>
      <c r="AR1065">
        <v>1</v>
      </c>
    </row>
    <row r="1066" spans="1:44" x14ac:dyDescent="0.35">
      <c r="A1066" s="12" t="s">
        <v>1742</v>
      </c>
      <c r="B1066" s="12" t="s">
        <v>646</v>
      </c>
      <c r="C1066" s="12" t="s">
        <v>647</v>
      </c>
      <c r="D1066" s="12" t="s">
        <v>175</v>
      </c>
      <c r="E1066" s="12" t="s">
        <v>104</v>
      </c>
      <c r="F1066">
        <v>3</v>
      </c>
      <c r="G1066">
        <v>1</v>
      </c>
      <c r="H1066">
        <v>0</v>
      </c>
      <c r="I1066" s="12" t="s">
        <v>227</v>
      </c>
      <c r="J1066" s="12" t="s">
        <v>228</v>
      </c>
      <c r="K1066" s="12" t="s">
        <v>89</v>
      </c>
      <c r="L1066" s="12" t="s">
        <v>96</v>
      </c>
      <c r="M1066">
        <v>9.15</v>
      </c>
      <c r="N1066" s="12" t="s">
        <v>107</v>
      </c>
      <c r="O1066" s="12" t="s">
        <v>108</v>
      </c>
      <c r="P1066" s="12" t="s">
        <v>109</v>
      </c>
      <c r="Q1066" s="13">
        <v>45169</v>
      </c>
      <c r="R1066" s="13">
        <v>45198</v>
      </c>
      <c r="S1066">
        <v>2023</v>
      </c>
      <c r="T1066" s="12" t="s">
        <v>1536</v>
      </c>
      <c r="U1066">
        <v>149</v>
      </c>
      <c r="V1066">
        <v>216.21350000000001</v>
      </c>
      <c r="W1066">
        <v>481.41</v>
      </c>
      <c r="X1066">
        <v>0</v>
      </c>
      <c r="Y1066">
        <v>0</v>
      </c>
      <c r="Z1066">
        <v>32215.81</v>
      </c>
      <c r="AA1066">
        <v>32697.22</v>
      </c>
      <c r="AB1066" s="12" t="s">
        <v>781</v>
      </c>
      <c r="AC1066">
        <v>216.21350000000001</v>
      </c>
      <c r="AD1066">
        <v>1</v>
      </c>
      <c r="AE1066">
        <v>1</v>
      </c>
      <c r="AF1066">
        <v>0</v>
      </c>
      <c r="AG1066">
        <v>32215.81</v>
      </c>
      <c r="AH1066">
        <v>149</v>
      </c>
      <c r="AI1066">
        <v>147</v>
      </c>
      <c r="AJ1066">
        <v>2</v>
      </c>
      <c r="AK1066">
        <v>1</v>
      </c>
      <c r="AL1066">
        <v>1</v>
      </c>
      <c r="AM1066">
        <v>98.66</v>
      </c>
      <c r="AN1066">
        <v>222.43010000000001</v>
      </c>
      <c r="AO1066">
        <v>432.43</v>
      </c>
      <c r="AP1066" s="13">
        <v>45195</v>
      </c>
      <c r="AQ1066">
        <v>-3</v>
      </c>
      <c r="AR1066">
        <v>1</v>
      </c>
    </row>
    <row r="1067" spans="1:44" x14ac:dyDescent="0.35">
      <c r="A1067" s="12" t="s">
        <v>1743</v>
      </c>
      <c r="B1067" s="12" t="s">
        <v>62</v>
      </c>
      <c r="C1067" s="12" t="s">
        <v>63</v>
      </c>
      <c r="D1067" s="12" t="s">
        <v>64</v>
      </c>
      <c r="E1067" s="12" t="s">
        <v>65</v>
      </c>
      <c r="F1067">
        <v>1</v>
      </c>
      <c r="G1067">
        <v>2</v>
      </c>
      <c r="H1067">
        <v>1</v>
      </c>
      <c r="I1067" s="12" t="s">
        <v>66</v>
      </c>
      <c r="J1067" s="12" t="s">
        <v>67</v>
      </c>
      <c r="K1067" s="12" t="s">
        <v>68</v>
      </c>
      <c r="L1067" s="12" t="s">
        <v>69</v>
      </c>
      <c r="M1067">
        <v>17.66</v>
      </c>
      <c r="N1067" s="12" t="s">
        <v>70</v>
      </c>
      <c r="O1067" s="12" t="s">
        <v>71</v>
      </c>
      <c r="P1067" s="12" t="s">
        <v>72</v>
      </c>
      <c r="Q1067" s="13">
        <v>45169</v>
      </c>
      <c r="R1067" s="13">
        <v>45190</v>
      </c>
      <c r="S1067">
        <v>2023</v>
      </c>
      <c r="T1067" s="12" t="s">
        <v>1536</v>
      </c>
      <c r="U1067">
        <v>118</v>
      </c>
      <c r="V1067">
        <v>24.687000000000001</v>
      </c>
      <c r="W1067">
        <v>39.72</v>
      </c>
      <c r="X1067">
        <v>0</v>
      </c>
      <c r="Y1067">
        <v>0</v>
      </c>
      <c r="Z1067">
        <v>2913.07</v>
      </c>
      <c r="AA1067">
        <v>2952.79</v>
      </c>
      <c r="AB1067" s="12" t="s">
        <v>74</v>
      </c>
      <c r="AC1067">
        <v>24.687000000000001</v>
      </c>
      <c r="AD1067">
        <v>1</v>
      </c>
      <c r="AE1067">
        <v>1</v>
      </c>
      <c r="AF1067">
        <v>0</v>
      </c>
      <c r="AG1067">
        <v>2913.07</v>
      </c>
      <c r="AH1067">
        <v>118</v>
      </c>
      <c r="AI1067">
        <v>116</v>
      </c>
      <c r="AJ1067">
        <v>2</v>
      </c>
      <c r="AK1067">
        <v>1</v>
      </c>
      <c r="AL1067">
        <v>1</v>
      </c>
      <c r="AM1067">
        <v>98.31</v>
      </c>
      <c r="AN1067">
        <v>25.455100000000002</v>
      </c>
      <c r="AO1067">
        <v>49.37</v>
      </c>
      <c r="AP1067" s="13">
        <v>45187</v>
      </c>
      <c r="AQ1067">
        <v>-3</v>
      </c>
      <c r="AR1067">
        <v>1</v>
      </c>
    </row>
    <row r="1068" spans="1:44" x14ac:dyDescent="0.35">
      <c r="A1068" s="12" t="s">
        <v>1744</v>
      </c>
      <c r="B1068" s="12" t="s">
        <v>685</v>
      </c>
      <c r="C1068" s="12" t="s">
        <v>686</v>
      </c>
      <c r="D1068" s="12" t="s">
        <v>175</v>
      </c>
      <c r="E1068" s="12" t="s">
        <v>104</v>
      </c>
      <c r="F1068">
        <v>2</v>
      </c>
      <c r="G1068">
        <v>0</v>
      </c>
      <c r="H1068">
        <v>0</v>
      </c>
      <c r="I1068" s="12" t="s">
        <v>243</v>
      </c>
      <c r="J1068" s="12" t="s">
        <v>244</v>
      </c>
      <c r="K1068" s="12" t="s">
        <v>81</v>
      </c>
      <c r="L1068" s="12" t="s">
        <v>82</v>
      </c>
      <c r="M1068">
        <v>9.2200000000000006</v>
      </c>
      <c r="N1068" s="12" t="s">
        <v>145</v>
      </c>
      <c r="O1068" s="12" t="s">
        <v>146</v>
      </c>
      <c r="P1068" s="12" t="s">
        <v>109</v>
      </c>
      <c r="Q1068" s="13">
        <v>45169</v>
      </c>
      <c r="R1068" s="13">
        <v>45182</v>
      </c>
      <c r="S1068">
        <v>2023</v>
      </c>
      <c r="T1068" s="12" t="s">
        <v>1536</v>
      </c>
      <c r="U1068">
        <v>18</v>
      </c>
      <c r="V1068">
        <v>221.7389</v>
      </c>
      <c r="W1068">
        <v>52.97</v>
      </c>
      <c r="X1068">
        <v>0</v>
      </c>
      <c r="Y1068">
        <v>0</v>
      </c>
      <c r="Z1068">
        <v>3991.3</v>
      </c>
      <c r="AA1068">
        <v>4044.27</v>
      </c>
      <c r="AB1068" s="12" t="s">
        <v>687</v>
      </c>
      <c r="AC1068">
        <v>221.7389</v>
      </c>
      <c r="AD1068">
        <v>1</v>
      </c>
      <c r="AE1068">
        <v>1</v>
      </c>
      <c r="AF1068">
        <v>0</v>
      </c>
      <c r="AG1068">
        <v>3991.3</v>
      </c>
      <c r="AH1068">
        <v>18</v>
      </c>
      <c r="AI1068">
        <v>18</v>
      </c>
      <c r="AJ1068">
        <v>0</v>
      </c>
      <c r="AK1068">
        <v>1</v>
      </c>
      <c r="AL1068">
        <v>1</v>
      </c>
      <c r="AM1068">
        <v>100</v>
      </c>
      <c r="AN1068">
        <v>224.68170000000001</v>
      </c>
      <c r="AO1068">
        <v>0</v>
      </c>
      <c r="AP1068" s="13">
        <v>45179</v>
      </c>
      <c r="AQ1068">
        <v>-3</v>
      </c>
      <c r="AR1068">
        <v>1</v>
      </c>
    </row>
    <row r="1069" spans="1:44" x14ac:dyDescent="0.35">
      <c r="A1069" s="12" t="s">
        <v>1745</v>
      </c>
      <c r="B1069" s="12" t="s">
        <v>331</v>
      </c>
      <c r="C1069" s="12" t="s">
        <v>332</v>
      </c>
      <c r="D1069" s="12" t="s">
        <v>122</v>
      </c>
      <c r="E1069" s="12" t="s">
        <v>142</v>
      </c>
      <c r="F1069">
        <v>3</v>
      </c>
      <c r="G1069">
        <v>11</v>
      </c>
      <c r="H1069">
        <v>0</v>
      </c>
      <c r="I1069" s="12" t="s">
        <v>263</v>
      </c>
      <c r="J1069" s="12" t="s">
        <v>264</v>
      </c>
      <c r="K1069" s="12" t="s">
        <v>125</v>
      </c>
      <c r="L1069" s="12" t="s">
        <v>82</v>
      </c>
      <c r="M1069">
        <v>10.210000000000001</v>
      </c>
      <c r="N1069" s="12" t="s">
        <v>70</v>
      </c>
      <c r="O1069" s="12" t="s">
        <v>71</v>
      </c>
      <c r="P1069" s="12" t="s">
        <v>72</v>
      </c>
      <c r="Q1069" s="13">
        <v>45169</v>
      </c>
      <c r="R1069" s="13">
        <v>45209</v>
      </c>
      <c r="S1069">
        <v>2023</v>
      </c>
      <c r="T1069" s="12" t="s">
        <v>1536</v>
      </c>
      <c r="U1069">
        <v>764</v>
      </c>
      <c r="V1069">
        <v>25.052199999999999</v>
      </c>
      <c r="W1069">
        <v>468.18</v>
      </c>
      <c r="X1069">
        <v>0</v>
      </c>
      <c r="Y1069">
        <v>0</v>
      </c>
      <c r="Z1069">
        <v>19139.88</v>
      </c>
      <c r="AA1069">
        <v>19608.060000000001</v>
      </c>
      <c r="AB1069" s="12" t="s">
        <v>333</v>
      </c>
      <c r="AC1069">
        <v>25.052199999999999</v>
      </c>
      <c r="AD1069">
        <v>1</v>
      </c>
      <c r="AE1069">
        <v>1</v>
      </c>
      <c r="AF1069">
        <v>0</v>
      </c>
      <c r="AG1069">
        <v>19139.88</v>
      </c>
      <c r="AH1069">
        <v>764</v>
      </c>
      <c r="AI1069">
        <v>759</v>
      </c>
      <c r="AJ1069">
        <v>5</v>
      </c>
      <c r="AK1069">
        <v>1</v>
      </c>
      <c r="AL1069">
        <v>1</v>
      </c>
      <c r="AM1069">
        <v>99.35</v>
      </c>
      <c r="AN1069">
        <v>25.834099999999999</v>
      </c>
      <c r="AO1069">
        <v>125.26</v>
      </c>
      <c r="AP1069" s="13">
        <v>45213</v>
      </c>
      <c r="AQ1069">
        <v>4</v>
      </c>
      <c r="AR1069">
        <v>0</v>
      </c>
    </row>
    <row r="1070" spans="1:44" x14ac:dyDescent="0.35">
      <c r="A1070" s="12" t="s">
        <v>1746</v>
      </c>
      <c r="B1070" s="12" t="s">
        <v>827</v>
      </c>
      <c r="C1070" s="12" t="s">
        <v>828</v>
      </c>
      <c r="D1070" s="12" t="s">
        <v>175</v>
      </c>
      <c r="E1070" s="12" t="s">
        <v>104</v>
      </c>
      <c r="F1070">
        <v>2</v>
      </c>
      <c r="G1070">
        <v>0</v>
      </c>
      <c r="H1070">
        <v>0</v>
      </c>
      <c r="I1070" s="12" t="s">
        <v>310</v>
      </c>
      <c r="J1070" s="12" t="s">
        <v>311</v>
      </c>
      <c r="K1070" s="12" t="s">
        <v>81</v>
      </c>
      <c r="L1070" s="12" t="s">
        <v>69</v>
      </c>
      <c r="M1070">
        <v>28.3</v>
      </c>
      <c r="N1070" s="12" t="s">
        <v>145</v>
      </c>
      <c r="O1070" s="12" t="s">
        <v>146</v>
      </c>
      <c r="P1070" s="12" t="s">
        <v>109</v>
      </c>
      <c r="Q1070" s="13">
        <v>45169</v>
      </c>
      <c r="R1070" s="13">
        <v>45185</v>
      </c>
      <c r="S1070">
        <v>2023</v>
      </c>
      <c r="T1070" s="12" t="s">
        <v>1536</v>
      </c>
      <c r="U1070">
        <v>46</v>
      </c>
      <c r="V1070">
        <v>107.794</v>
      </c>
      <c r="W1070">
        <v>128.01</v>
      </c>
      <c r="X1070">
        <v>0</v>
      </c>
      <c r="Y1070">
        <v>0</v>
      </c>
      <c r="Z1070">
        <v>4958.5200000000004</v>
      </c>
      <c r="AA1070">
        <v>5086.53</v>
      </c>
      <c r="AB1070" s="12" t="s">
        <v>1548</v>
      </c>
      <c r="AC1070">
        <v>107.794</v>
      </c>
      <c r="AD1070">
        <v>1</v>
      </c>
      <c r="AE1070">
        <v>1</v>
      </c>
      <c r="AF1070">
        <v>0</v>
      </c>
      <c r="AG1070">
        <v>4958.5200000000004</v>
      </c>
      <c r="AH1070">
        <v>46</v>
      </c>
      <c r="AI1070">
        <v>46</v>
      </c>
      <c r="AJ1070">
        <v>0</v>
      </c>
      <c r="AK1070">
        <v>1</v>
      </c>
      <c r="AL1070">
        <v>1</v>
      </c>
      <c r="AM1070">
        <v>100</v>
      </c>
      <c r="AN1070">
        <v>110.57680000000001</v>
      </c>
      <c r="AO1070">
        <v>0</v>
      </c>
      <c r="AP1070" s="13">
        <v>45182</v>
      </c>
      <c r="AQ1070">
        <v>-3</v>
      </c>
      <c r="AR1070">
        <v>1</v>
      </c>
    </row>
    <row r="1071" spans="1:44" x14ac:dyDescent="0.35">
      <c r="A1071" s="12" t="s">
        <v>1747</v>
      </c>
      <c r="B1071" s="12" t="s">
        <v>490</v>
      </c>
      <c r="C1071" s="12" t="s">
        <v>491</v>
      </c>
      <c r="D1071" s="12" t="s">
        <v>130</v>
      </c>
      <c r="E1071" s="12" t="s">
        <v>104</v>
      </c>
      <c r="F1071">
        <v>3</v>
      </c>
      <c r="G1071">
        <v>1</v>
      </c>
      <c r="H1071">
        <v>0</v>
      </c>
      <c r="I1071" s="12" t="s">
        <v>123</v>
      </c>
      <c r="J1071" s="12" t="s">
        <v>124</v>
      </c>
      <c r="K1071" s="12" t="s">
        <v>125</v>
      </c>
      <c r="L1071" s="12" t="s">
        <v>82</v>
      </c>
      <c r="M1071">
        <v>6.75</v>
      </c>
      <c r="N1071" s="12" t="s">
        <v>159</v>
      </c>
      <c r="O1071" s="12" t="s">
        <v>160</v>
      </c>
      <c r="P1071" s="12" t="s">
        <v>137</v>
      </c>
      <c r="Q1071" s="13">
        <v>45169</v>
      </c>
      <c r="R1071" s="13">
        <v>45189</v>
      </c>
      <c r="S1071">
        <v>2023</v>
      </c>
      <c r="T1071" s="12" t="s">
        <v>1536</v>
      </c>
      <c r="U1071">
        <v>76</v>
      </c>
      <c r="V1071">
        <v>297.19900000000001</v>
      </c>
      <c r="W1071">
        <v>367.28</v>
      </c>
      <c r="X1071">
        <v>0</v>
      </c>
      <c r="Y1071">
        <v>0</v>
      </c>
      <c r="Z1071">
        <v>22587.119999999999</v>
      </c>
      <c r="AA1071">
        <v>22954.400000000001</v>
      </c>
      <c r="AB1071" s="12" t="s">
        <v>1289</v>
      </c>
      <c r="AC1071">
        <v>297.19900000000001</v>
      </c>
      <c r="AD1071">
        <v>1</v>
      </c>
      <c r="AE1071">
        <v>1</v>
      </c>
      <c r="AF1071">
        <v>0</v>
      </c>
      <c r="AG1071">
        <v>22587.119999999999</v>
      </c>
      <c r="AH1071">
        <v>76</v>
      </c>
      <c r="AI1071">
        <v>76</v>
      </c>
      <c r="AJ1071">
        <v>0</v>
      </c>
      <c r="AK1071">
        <v>1</v>
      </c>
      <c r="AL1071">
        <v>1</v>
      </c>
      <c r="AM1071">
        <v>100</v>
      </c>
      <c r="AN1071">
        <v>302.03160000000003</v>
      </c>
      <c r="AO1071">
        <v>0</v>
      </c>
      <c r="AP1071" s="13">
        <v>45186</v>
      </c>
      <c r="AQ1071">
        <v>-3</v>
      </c>
      <c r="AR1071">
        <v>1</v>
      </c>
    </row>
    <row r="1072" spans="1:44" x14ac:dyDescent="0.35">
      <c r="A1072" s="12" t="s">
        <v>1748</v>
      </c>
      <c r="B1072" s="12" t="s">
        <v>1166</v>
      </c>
      <c r="C1072" s="12" t="s">
        <v>1167</v>
      </c>
      <c r="D1072" s="12" t="s">
        <v>175</v>
      </c>
      <c r="E1072" s="12" t="s">
        <v>65</v>
      </c>
      <c r="F1072">
        <v>3</v>
      </c>
      <c r="G1072">
        <v>5</v>
      </c>
      <c r="H1072">
        <v>0</v>
      </c>
      <c r="I1072" s="12" t="s">
        <v>143</v>
      </c>
      <c r="J1072" s="12" t="s">
        <v>144</v>
      </c>
      <c r="K1072" s="12" t="s">
        <v>133</v>
      </c>
      <c r="L1072" s="12" t="s">
        <v>96</v>
      </c>
      <c r="M1072">
        <v>5.43</v>
      </c>
      <c r="N1072" s="12" t="s">
        <v>145</v>
      </c>
      <c r="O1072" s="12" t="s">
        <v>146</v>
      </c>
      <c r="P1072" s="12" t="s">
        <v>109</v>
      </c>
      <c r="Q1072" s="13">
        <v>45169</v>
      </c>
      <c r="R1072" s="13">
        <v>45196</v>
      </c>
      <c r="S1072">
        <v>2023</v>
      </c>
      <c r="T1072" s="12" t="s">
        <v>1536</v>
      </c>
      <c r="U1072">
        <v>62</v>
      </c>
      <c r="V1072">
        <v>248.16210000000001</v>
      </c>
      <c r="W1072">
        <v>162.19</v>
      </c>
      <c r="X1072">
        <v>0</v>
      </c>
      <c r="Y1072">
        <v>0</v>
      </c>
      <c r="Z1072">
        <v>15386.05</v>
      </c>
      <c r="AA1072">
        <v>15548.24</v>
      </c>
      <c r="AB1072" s="12" t="s">
        <v>1168</v>
      </c>
      <c r="AC1072">
        <v>248.16210000000001</v>
      </c>
      <c r="AD1072">
        <v>1</v>
      </c>
      <c r="AE1072">
        <v>1</v>
      </c>
      <c r="AF1072">
        <v>0</v>
      </c>
      <c r="AG1072">
        <v>15386.05</v>
      </c>
      <c r="AH1072">
        <v>62</v>
      </c>
      <c r="AI1072">
        <v>62</v>
      </c>
      <c r="AJ1072">
        <v>0</v>
      </c>
      <c r="AK1072">
        <v>1</v>
      </c>
      <c r="AL1072">
        <v>1</v>
      </c>
      <c r="AM1072">
        <v>100</v>
      </c>
      <c r="AN1072">
        <v>250.77809999999999</v>
      </c>
      <c r="AO1072">
        <v>0</v>
      </c>
      <c r="AP1072" s="13">
        <v>45196</v>
      </c>
      <c r="AQ1072">
        <v>0</v>
      </c>
      <c r="AR1072">
        <v>1</v>
      </c>
    </row>
    <row r="1073" spans="1:44" x14ac:dyDescent="0.35">
      <c r="A1073" s="12" t="s">
        <v>1749</v>
      </c>
      <c r="B1073" s="12" t="s">
        <v>587</v>
      </c>
      <c r="C1073" s="12" t="s">
        <v>588</v>
      </c>
      <c r="D1073" s="12" t="s">
        <v>122</v>
      </c>
      <c r="E1073" s="12" t="s">
        <v>104</v>
      </c>
      <c r="F1073">
        <v>2</v>
      </c>
      <c r="G1073">
        <v>0</v>
      </c>
      <c r="H1073">
        <v>0</v>
      </c>
      <c r="I1073" s="12" t="s">
        <v>486</v>
      </c>
      <c r="J1073" s="12" t="s">
        <v>487</v>
      </c>
      <c r="K1073" s="12" t="s">
        <v>125</v>
      </c>
      <c r="L1073" s="12" t="s">
        <v>69</v>
      </c>
      <c r="M1073">
        <v>36.86</v>
      </c>
      <c r="N1073" s="12" t="s">
        <v>70</v>
      </c>
      <c r="O1073" s="12" t="s">
        <v>71</v>
      </c>
      <c r="P1073" s="12" t="s">
        <v>72</v>
      </c>
      <c r="Q1073" s="13">
        <v>45169</v>
      </c>
      <c r="R1073" s="13">
        <v>45191</v>
      </c>
      <c r="S1073">
        <v>2023</v>
      </c>
      <c r="T1073" s="12" t="s">
        <v>1536</v>
      </c>
      <c r="U1073">
        <v>1294</v>
      </c>
      <c r="V1073">
        <v>12.517899999999999</v>
      </c>
      <c r="W1073">
        <v>122.9</v>
      </c>
      <c r="X1073">
        <v>0</v>
      </c>
      <c r="Y1073">
        <v>0</v>
      </c>
      <c r="Z1073">
        <v>16198.16</v>
      </c>
      <c r="AA1073">
        <v>16321.06</v>
      </c>
      <c r="AB1073" s="12" t="s">
        <v>744</v>
      </c>
      <c r="AC1073">
        <v>12.517899999999999</v>
      </c>
      <c r="AD1073">
        <v>1</v>
      </c>
      <c r="AE1073">
        <v>1</v>
      </c>
      <c r="AF1073">
        <v>0</v>
      </c>
      <c r="AG1073">
        <v>16198.16</v>
      </c>
      <c r="AH1073">
        <v>1294</v>
      </c>
      <c r="AI1073">
        <v>1283</v>
      </c>
      <c r="AJ1073">
        <v>11</v>
      </c>
      <c r="AK1073">
        <v>1</v>
      </c>
      <c r="AL1073">
        <v>1</v>
      </c>
      <c r="AM1073">
        <v>99.15</v>
      </c>
      <c r="AN1073">
        <v>12.721</v>
      </c>
      <c r="AO1073">
        <v>137.69999999999999</v>
      </c>
      <c r="AP1073" s="13">
        <v>45191</v>
      </c>
      <c r="AQ1073">
        <v>0</v>
      </c>
      <c r="AR1073">
        <v>1</v>
      </c>
    </row>
    <row r="1074" spans="1:44" x14ac:dyDescent="0.35">
      <c r="A1074" s="12" t="s">
        <v>1750</v>
      </c>
      <c r="B1074" s="12" t="s">
        <v>323</v>
      </c>
      <c r="C1074" s="12" t="s">
        <v>324</v>
      </c>
      <c r="D1074" s="12" t="s">
        <v>64</v>
      </c>
      <c r="E1074" s="12" t="s">
        <v>142</v>
      </c>
      <c r="F1074">
        <v>1</v>
      </c>
      <c r="G1074">
        <v>7</v>
      </c>
      <c r="H1074">
        <v>1</v>
      </c>
      <c r="I1074" s="12" t="s">
        <v>143</v>
      </c>
      <c r="J1074" s="12" t="s">
        <v>144</v>
      </c>
      <c r="K1074" s="12" t="s">
        <v>133</v>
      </c>
      <c r="L1074" s="12" t="s">
        <v>96</v>
      </c>
      <c r="M1074">
        <v>5.43</v>
      </c>
      <c r="N1074" s="12" t="s">
        <v>97</v>
      </c>
      <c r="O1074" s="12" t="s">
        <v>98</v>
      </c>
      <c r="P1074" s="12" t="s">
        <v>72</v>
      </c>
      <c r="Q1074" s="13">
        <v>45169</v>
      </c>
      <c r="R1074" s="13">
        <v>45205</v>
      </c>
      <c r="S1074">
        <v>2023</v>
      </c>
      <c r="T1074" s="12" t="s">
        <v>1536</v>
      </c>
      <c r="U1074">
        <v>188</v>
      </c>
      <c r="V1074">
        <v>37.151000000000003</v>
      </c>
      <c r="W1074">
        <v>48.4</v>
      </c>
      <c r="X1074">
        <v>0</v>
      </c>
      <c r="Y1074">
        <v>0</v>
      </c>
      <c r="Z1074">
        <v>6984.39</v>
      </c>
      <c r="AA1074">
        <v>7032.79</v>
      </c>
      <c r="AB1074" s="12" t="s">
        <v>325</v>
      </c>
      <c r="AC1074">
        <v>39.503399999999999</v>
      </c>
      <c r="AD1074">
        <v>1</v>
      </c>
      <c r="AE1074">
        <v>1</v>
      </c>
      <c r="AF1074">
        <v>-442.25</v>
      </c>
      <c r="AG1074">
        <v>7426.64</v>
      </c>
      <c r="AH1074">
        <v>188</v>
      </c>
      <c r="AI1074">
        <v>187</v>
      </c>
      <c r="AJ1074">
        <v>1</v>
      </c>
      <c r="AK1074">
        <v>1</v>
      </c>
      <c r="AL1074">
        <v>1</v>
      </c>
      <c r="AM1074">
        <v>99.47</v>
      </c>
      <c r="AN1074">
        <v>37.608499999999999</v>
      </c>
      <c r="AO1074">
        <v>37.15</v>
      </c>
      <c r="AP1074" s="13">
        <v>45203</v>
      </c>
      <c r="AQ1074">
        <v>-2</v>
      </c>
      <c r="AR1074">
        <v>1</v>
      </c>
    </row>
    <row r="1075" spans="1:44" x14ac:dyDescent="0.35">
      <c r="A1075" s="12" t="s">
        <v>1751</v>
      </c>
      <c r="B1075" s="12" t="s">
        <v>602</v>
      </c>
      <c r="C1075" s="12" t="s">
        <v>603</v>
      </c>
      <c r="D1075" s="12" t="s">
        <v>114</v>
      </c>
      <c r="E1075" s="12" t="s">
        <v>142</v>
      </c>
      <c r="F1075">
        <v>2</v>
      </c>
      <c r="G1075">
        <v>10</v>
      </c>
      <c r="H1075">
        <v>0</v>
      </c>
      <c r="I1075" s="12" t="s">
        <v>604</v>
      </c>
      <c r="J1075" s="12" t="s">
        <v>605</v>
      </c>
      <c r="K1075" s="12" t="s">
        <v>68</v>
      </c>
      <c r="L1075" s="12" t="s">
        <v>82</v>
      </c>
      <c r="M1075">
        <v>7.24</v>
      </c>
      <c r="N1075" s="12" t="s">
        <v>97</v>
      </c>
      <c r="O1075" s="12" t="s">
        <v>98</v>
      </c>
      <c r="P1075" s="12" t="s">
        <v>72</v>
      </c>
      <c r="Q1075" s="13">
        <v>45169</v>
      </c>
      <c r="R1075" s="13">
        <v>45212</v>
      </c>
      <c r="S1075">
        <v>2023</v>
      </c>
      <c r="T1075" s="12" t="s">
        <v>1536</v>
      </c>
      <c r="U1075">
        <v>73</v>
      </c>
      <c r="V1075">
        <v>213.4624</v>
      </c>
      <c r="W1075">
        <v>273.77999999999997</v>
      </c>
      <c r="X1075">
        <v>0</v>
      </c>
      <c r="Y1075">
        <v>0</v>
      </c>
      <c r="Z1075">
        <v>15582.76</v>
      </c>
      <c r="AA1075">
        <v>15856.54</v>
      </c>
      <c r="AB1075" s="12" t="s">
        <v>606</v>
      </c>
      <c r="AC1075">
        <v>213.4624</v>
      </c>
      <c r="AD1075">
        <v>1</v>
      </c>
      <c r="AE1075">
        <v>1</v>
      </c>
      <c r="AF1075">
        <v>0</v>
      </c>
      <c r="AG1075">
        <v>15582.76</v>
      </c>
      <c r="AH1075">
        <v>73</v>
      </c>
      <c r="AI1075">
        <v>72</v>
      </c>
      <c r="AJ1075">
        <v>1</v>
      </c>
      <c r="AK1075">
        <v>1</v>
      </c>
      <c r="AL1075">
        <v>1</v>
      </c>
      <c r="AM1075">
        <v>98.63</v>
      </c>
      <c r="AN1075">
        <v>220.22970000000001</v>
      </c>
      <c r="AO1075">
        <v>213.46</v>
      </c>
      <c r="AP1075" s="13">
        <v>45209</v>
      </c>
      <c r="AQ1075">
        <v>-3</v>
      </c>
      <c r="AR1075">
        <v>1</v>
      </c>
    </row>
    <row r="1076" spans="1:44" x14ac:dyDescent="0.35">
      <c r="A1076" s="12" t="s">
        <v>1752</v>
      </c>
      <c r="B1076" s="12" t="s">
        <v>963</v>
      </c>
      <c r="C1076" s="12" t="s">
        <v>964</v>
      </c>
      <c r="D1076" s="12" t="s">
        <v>114</v>
      </c>
      <c r="E1076" s="12" t="s">
        <v>142</v>
      </c>
      <c r="F1076">
        <v>1</v>
      </c>
      <c r="G1076">
        <v>6</v>
      </c>
      <c r="H1076">
        <v>1</v>
      </c>
      <c r="I1076" s="12" t="s">
        <v>176</v>
      </c>
      <c r="J1076" s="12" t="s">
        <v>177</v>
      </c>
      <c r="K1076" s="12" t="s">
        <v>125</v>
      </c>
      <c r="L1076" s="12" t="s">
        <v>134</v>
      </c>
      <c r="M1076">
        <v>1.75</v>
      </c>
      <c r="N1076" s="12" t="s">
        <v>97</v>
      </c>
      <c r="O1076" s="12" t="s">
        <v>98</v>
      </c>
      <c r="P1076" s="12" t="s">
        <v>72</v>
      </c>
      <c r="Q1076" s="13">
        <v>45170</v>
      </c>
      <c r="R1076" s="13">
        <v>45207</v>
      </c>
      <c r="S1076">
        <v>2023</v>
      </c>
      <c r="T1076" s="12" t="s">
        <v>1753</v>
      </c>
      <c r="U1076">
        <v>29</v>
      </c>
      <c r="V1076">
        <v>194.73220000000001</v>
      </c>
      <c r="W1076">
        <v>39.46</v>
      </c>
      <c r="X1076">
        <v>0</v>
      </c>
      <c r="Y1076">
        <v>0</v>
      </c>
      <c r="Z1076">
        <v>5647.23</v>
      </c>
      <c r="AA1076">
        <v>5686.69</v>
      </c>
      <c r="AB1076" s="12" t="s">
        <v>965</v>
      </c>
      <c r="AC1076">
        <v>194.73220000000001</v>
      </c>
      <c r="AD1076">
        <v>1</v>
      </c>
      <c r="AE1076">
        <v>1</v>
      </c>
      <c r="AF1076">
        <v>0</v>
      </c>
      <c r="AG1076">
        <v>5647.23</v>
      </c>
      <c r="AH1076">
        <v>29</v>
      </c>
      <c r="AI1076">
        <v>29</v>
      </c>
      <c r="AJ1076">
        <v>0</v>
      </c>
      <c r="AK1076">
        <v>1</v>
      </c>
      <c r="AL1076">
        <v>1</v>
      </c>
      <c r="AM1076">
        <v>100</v>
      </c>
      <c r="AN1076">
        <v>196.09289999999999</v>
      </c>
      <c r="AO1076">
        <v>0</v>
      </c>
      <c r="AP1076" s="13">
        <v>45206</v>
      </c>
      <c r="AQ1076">
        <v>-1</v>
      </c>
      <c r="AR1076">
        <v>1</v>
      </c>
    </row>
    <row r="1077" spans="1:44" x14ac:dyDescent="0.35">
      <c r="A1077" s="12" t="s">
        <v>1754</v>
      </c>
      <c r="B1077" s="12" t="s">
        <v>680</v>
      </c>
      <c r="C1077" s="12" t="s">
        <v>681</v>
      </c>
      <c r="D1077" s="12" t="s">
        <v>122</v>
      </c>
      <c r="E1077" s="12" t="s">
        <v>104</v>
      </c>
      <c r="F1077">
        <v>3</v>
      </c>
      <c r="G1077">
        <v>1</v>
      </c>
      <c r="H1077">
        <v>0</v>
      </c>
      <c r="I1077" s="12" t="s">
        <v>227</v>
      </c>
      <c r="J1077" s="12" t="s">
        <v>228</v>
      </c>
      <c r="K1077" s="12" t="s">
        <v>89</v>
      </c>
      <c r="L1077" s="12" t="s">
        <v>96</v>
      </c>
      <c r="M1077">
        <v>9.15</v>
      </c>
      <c r="N1077" s="12" t="s">
        <v>70</v>
      </c>
      <c r="O1077" s="12" t="s">
        <v>71</v>
      </c>
      <c r="P1077" s="12" t="s">
        <v>72</v>
      </c>
      <c r="Q1077" s="13">
        <v>45173</v>
      </c>
      <c r="R1077" s="13">
        <v>45199</v>
      </c>
      <c r="S1077">
        <v>2023</v>
      </c>
      <c r="T1077" s="12" t="s">
        <v>1753</v>
      </c>
      <c r="U1077">
        <v>1664</v>
      </c>
      <c r="V1077">
        <v>23.246099999999998</v>
      </c>
      <c r="W1077">
        <v>254.01</v>
      </c>
      <c r="X1077">
        <v>0</v>
      </c>
      <c r="Y1077">
        <v>0</v>
      </c>
      <c r="Z1077">
        <v>38681.51</v>
      </c>
      <c r="AA1077">
        <v>38935.519999999997</v>
      </c>
      <c r="AB1077" s="12" t="s">
        <v>861</v>
      </c>
      <c r="AC1077">
        <v>23.246099999999998</v>
      </c>
      <c r="AD1077">
        <v>1</v>
      </c>
      <c r="AE1077">
        <v>1</v>
      </c>
      <c r="AF1077">
        <v>0</v>
      </c>
      <c r="AG1077">
        <v>38681.51</v>
      </c>
      <c r="AH1077">
        <v>1664</v>
      </c>
      <c r="AI1077">
        <v>1648</v>
      </c>
      <c r="AJ1077">
        <v>16</v>
      </c>
      <c r="AK1077">
        <v>1</v>
      </c>
      <c r="AL1077">
        <v>1</v>
      </c>
      <c r="AM1077">
        <v>99.04</v>
      </c>
      <c r="AN1077">
        <v>23.625900000000001</v>
      </c>
      <c r="AO1077">
        <v>371.94</v>
      </c>
      <c r="AP1077" s="13">
        <v>45199</v>
      </c>
      <c r="AQ1077">
        <v>0</v>
      </c>
      <c r="AR1077">
        <v>1</v>
      </c>
    </row>
    <row r="1078" spans="1:44" x14ac:dyDescent="0.35">
      <c r="A1078" s="12" t="s">
        <v>1755</v>
      </c>
      <c r="B1078" s="12" t="s">
        <v>891</v>
      </c>
      <c r="C1078" s="12" t="s">
        <v>892</v>
      </c>
      <c r="D1078" s="12" t="s">
        <v>122</v>
      </c>
      <c r="E1078" s="12" t="s">
        <v>65</v>
      </c>
      <c r="F1078">
        <v>3</v>
      </c>
      <c r="G1078">
        <v>5</v>
      </c>
      <c r="H1078">
        <v>0</v>
      </c>
      <c r="I1078" s="12" t="s">
        <v>195</v>
      </c>
      <c r="J1078" s="12" t="s">
        <v>196</v>
      </c>
      <c r="K1078" s="12" t="s">
        <v>117</v>
      </c>
      <c r="L1078" s="12" t="s">
        <v>134</v>
      </c>
      <c r="M1078">
        <v>4.7699999999999996</v>
      </c>
      <c r="N1078" s="12" t="s">
        <v>70</v>
      </c>
      <c r="O1078" s="12" t="s">
        <v>71</v>
      </c>
      <c r="P1078" s="12" t="s">
        <v>72</v>
      </c>
      <c r="Q1078" s="13">
        <v>45173</v>
      </c>
      <c r="R1078" s="13">
        <v>45199</v>
      </c>
      <c r="S1078">
        <v>2023</v>
      </c>
      <c r="T1078" s="12" t="s">
        <v>1753</v>
      </c>
      <c r="U1078">
        <v>715</v>
      </c>
      <c r="V1078">
        <v>39.456000000000003</v>
      </c>
      <c r="W1078">
        <v>252.62</v>
      </c>
      <c r="X1078">
        <v>0</v>
      </c>
      <c r="Y1078">
        <v>0</v>
      </c>
      <c r="Z1078">
        <v>28211.040000000001</v>
      </c>
      <c r="AA1078">
        <v>28463.66</v>
      </c>
      <c r="AB1078" s="12" t="s">
        <v>893</v>
      </c>
      <c r="AC1078">
        <v>39.456000000000003</v>
      </c>
      <c r="AD1078">
        <v>1</v>
      </c>
      <c r="AE1078">
        <v>1</v>
      </c>
      <c r="AF1078">
        <v>0</v>
      </c>
      <c r="AG1078">
        <v>28211.040000000001</v>
      </c>
      <c r="AH1078">
        <v>715</v>
      </c>
      <c r="AI1078">
        <v>711</v>
      </c>
      <c r="AJ1078">
        <v>4</v>
      </c>
      <c r="AK1078">
        <v>1</v>
      </c>
      <c r="AL1078">
        <v>1</v>
      </c>
      <c r="AM1078">
        <v>99.44</v>
      </c>
      <c r="AN1078">
        <v>40.033299999999997</v>
      </c>
      <c r="AO1078">
        <v>157.82</v>
      </c>
      <c r="AP1078" s="13">
        <v>45199</v>
      </c>
      <c r="AQ1078">
        <v>0</v>
      </c>
      <c r="AR1078">
        <v>1</v>
      </c>
    </row>
    <row r="1079" spans="1:44" x14ac:dyDescent="0.35">
      <c r="A1079" s="12" t="s">
        <v>1756</v>
      </c>
      <c r="B1079" s="12" t="s">
        <v>766</v>
      </c>
      <c r="C1079" s="12" t="s">
        <v>767</v>
      </c>
      <c r="D1079" s="12" t="s">
        <v>175</v>
      </c>
      <c r="E1079" s="12" t="s">
        <v>65</v>
      </c>
      <c r="F1079">
        <v>3</v>
      </c>
      <c r="G1079">
        <v>5</v>
      </c>
      <c r="H1079">
        <v>0</v>
      </c>
      <c r="I1079" s="12" t="s">
        <v>87</v>
      </c>
      <c r="J1079" s="12" t="s">
        <v>88</v>
      </c>
      <c r="K1079" s="12" t="s">
        <v>89</v>
      </c>
      <c r="L1079" s="12" t="s">
        <v>69</v>
      </c>
      <c r="M1079">
        <v>14.93</v>
      </c>
      <c r="N1079" s="12" t="s">
        <v>107</v>
      </c>
      <c r="O1079" s="12" t="s">
        <v>108</v>
      </c>
      <c r="P1079" s="12" t="s">
        <v>109</v>
      </c>
      <c r="Q1079" s="13">
        <v>45173</v>
      </c>
      <c r="R1079" s="13">
        <v>45209</v>
      </c>
      <c r="S1079">
        <v>2023</v>
      </c>
      <c r="T1079" s="12" t="s">
        <v>1753</v>
      </c>
      <c r="U1079">
        <v>127</v>
      </c>
      <c r="V1079">
        <v>86.977900000000005</v>
      </c>
      <c r="W1079">
        <v>149.30000000000001</v>
      </c>
      <c r="X1079">
        <v>0</v>
      </c>
      <c r="Y1079">
        <v>0</v>
      </c>
      <c r="Z1079">
        <v>11046.19</v>
      </c>
      <c r="AA1079">
        <v>11195.49</v>
      </c>
      <c r="AB1079" s="12" t="s">
        <v>768</v>
      </c>
      <c r="AC1079">
        <v>86.977900000000005</v>
      </c>
      <c r="AD1079">
        <v>1</v>
      </c>
      <c r="AE1079">
        <v>1</v>
      </c>
      <c r="AF1079">
        <v>0</v>
      </c>
      <c r="AG1079">
        <v>11046.19</v>
      </c>
      <c r="AH1079">
        <v>127</v>
      </c>
      <c r="AI1079">
        <v>127</v>
      </c>
      <c r="AJ1079">
        <v>0</v>
      </c>
      <c r="AK1079">
        <v>1</v>
      </c>
      <c r="AL1079">
        <v>1</v>
      </c>
      <c r="AM1079">
        <v>100</v>
      </c>
      <c r="AN1079">
        <v>88.153499999999994</v>
      </c>
      <c r="AO1079">
        <v>0</v>
      </c>
      <c r="AP1079" s="13">
        <v>45209</v>
      </c>
      <c r="AQ1079">
        <v>0</v>
      </c>
      <c r="AR1079">
        <v>1</v>
      </c>
    </row>
    <row r="1080" spans="1:44" x14ac:dyDescent="0.35">
      <c r="A1080" s="12" t="s">
        <v>1757</v>
      </c>
      <c r="B1080" s="12" t="s">
        <v>412</v>
      </c>
      <c r="C1080" s="12" t="s">
        <v>413</v>
      </c>
      <c r="D1080" s="12" t="s">
        <v>269</v>
      </c>
      <c r="E1080" s="12" t="s">
        <v>65</v>
      </c>
      <c r="F1080">
        <v>1</v>
      </c>
      <c r="G1080">
        <v>2</v>
      </c>
      <c r="H1080">
        <v>1</v>
      </c>
      <c r="I1080" s="12" t="s">
        <v>233</v>
      </c>
      <c r="J1080" s="12" t="s">
        <v>234</v>
      </c>
      <c r="K1080" s="12" t="s">
        <v>125</v>
      </c>
      <c r="L1080" s="12" t="s">
        <v>96</v>
      </c>
      <c r="M1080">
        <v>3.73</v>
      </c>
      <c r="N1080" s="12" t="s">
        <v>135</v>
      </c>
      <c r="O1080" s="12" t="s">
        <v>136</v>
      </c>
      <c r="P1080" s="12" t="s">
        <v>137</v>
      </c>
      <c r="Q1080" s="13">
        <v>45173</v>
      </c>
      <c r="R1080" s="13">
        <v>45209</v>
      </c>
      <c r="S1080">
        <v>2023</v>
      </c>
      <c r="T1080" s="12" t="s">
        <v>1753</v>
      </c>
      <c r="U1080">
        <v>130</v>
      </c>
      <c r="V1080">
        <v>104.4832</v>
      </c>
      <c r="W1080">
        <v>188.85</v>
      </c>
      <c r="X1080">
        <v>0</v>
      </c>
      <c r="Y1080">
        <v>0</v>
      </c>
      <c r="Z1080">
        <v>13582.82</v>
      </c>
      <c r="AA1080">
        <v>13771.67</v>
      </c>
      <c r="AB1080" s="12" t="s">
        <v>414</v>
      </c>
      <c r="AC1080">
        <v>104.4832</v>
      </c>
      <c r="AD1080">
        <v>1</v>
      </c>
      <c r="AE1080">
        <v>1</v>
      </c>
      <c r="AF1080">
        <v>0</v>
      </c>
      <c r="AG1080">
        <v>13582.82</v>
      </c>
      <c r="AH1080">
        <v>130</v>
      </c>
      <c r="AI1080">
        <v>129</v>
      </c>
      <c r="AJ1080">
        <v>1</v>
      </c>
      <c r="AK1080">
        <v>1</v>
      </c>
      <c r="AL1080">
        <v>1</v>
      </c>
      <c r="AM1080">
        <v>99.23</v>
      </c>
      <c r="AN1080">
        <v>106.75709999999999</v>
      </c>
      <c r="AO1080">
        <v>104.48</v>
      </c>
      <c r="AP1080" s="13">
        <v>45207</v>
      </c>
      <c r="AQ1080">
        <v>-2</v>
      </c>
      <c r="AR1080">
        <v>1</v>
      </c>
    </row>
    <row r="1081" spans="1:44" x14ac:dyDescent="0.35">
      <c r="A1081" s="12" t="s">
        <v>1758</v>
      </c>
      <c r="B1081" s="12" t="s">
        <v>609</v>
      </c>
      <c r="C1081" s="12" t="s">
        <v>610</v>
      </c>
      <c r="D1081" s="12" t="s">
        <v>64</v>
      </c>
      <c r="E1081" s="12" t="s">
        <v>104</v>
      </c>
      <c r="F1081">
        <v>1</v>
      </c>
      <c r="G1081">
        <v>0</v>
      </c>
      <c r="H1081">
        <v>1</v>
      </c>
      <c r="I1081" s="12" t="s">
        <v>227</v>
      </c>
      <c r="J1081" s="12" t="s">
        <v>228</v>
      </c>
      <c r="K1081" s="12" t="s">
        <v>89</v>
      </c>
      <c r="L1081" s="12" t="s">
        <v>96</v>
      </c>
      <c r="M1081">
        <v>9.15</v>
      </c>
      <c r="N1081" s="12" t="s">
        <v>70</v>
      </c>
      <c r="O1081" s="12" t="s">
        <v>71</v>
      </c>
      <c r="P1081" s="12" t="s">
        <v>72</v>
      </c>
      <c r="Q1081" s="13">
        <v>45173</v>
      </c>
      <c r="R1081" s="13">
        <v>45189</v>
      </c>
      <c r="S1081">
        <v>2023</v>
      </c>
      <c r="T1081" s="12" t="s">
        <v>1753</v>
      </c>
      <c r="U1081">
        <v>311</v>
      </c>
      <c r="V1081">
        <v>20.713699999999999</v>
      </c>
      <c r="W1081">
        <v>161.12</v>
      </c>
      <c r="X1081">
        <v>0</v>
      </c>
      <c r="Y1081">
        <v>0</v>
      </c>
      <c r="Z1081">
        <v>6441.96</v>
      </c>
      <c r="AA1081">
        <v>6603.08</v>
      </c>
      <c r="AB1081" s="12" t="s">
        <v>611</v>
      </c>
      <c r="AC1081">
        <v>20.713699999999999</v>
      </c>
      <c r="AD1081">
        <v>1</v>
      </c>
      <c r="AE1081">
        <v>1</v>
      </c>
      <c r="AF1081">
        <v>0</v>
      </c>
      <c r="AG1081">
        <v>6441.96</v>
      </c>
      <c r="AH1081">
        <v>311</v>
      </c>
      <c r="AI1081">
        <v>308</v>
      </c>
      <c r="AJ1081">
        <v>3</v>
      </c>
      <c r="AK1081">
        <v>1</v>
      </c>
      <c r="AL1081">
        <v>1</v>
      </c>
      <c r="AM1081">
        <v>99.04</v>
      </c>
      <c r="AN1081">
        <v>21.438600000000001</v>
      </c>
      <c r="AO1081">
        <v>62.14</v>
      </c>
      <c r="AP1081" s="13">
        <v>45193</v>
      </c>
      <c r="AQ1081">
        <v>4</v>
      </c>
      <c r="AR1081">
        <v>0</v>
      </c>
    </row>
    <row r="1082" spans="1:44" x14ac:dyDescent="0.35">
      <c r="A1082" s="12" t="s">
        <v>1759</v>
      </c>
      <c r="B1082" s="12" t="s">
        <v>155</v>
      </c>
      <c r="C1082" s="12" t="s">
        <v>156</v>
      </c>
      <c r="D1082" s="12" t="s">
        <v>130</v>
      </c>
      <c r="E1082" s="12" t="s">
        <v>104</v>
      </c>
      <c r="F1082">
        <v>3</v>
      </c>
      <c r="G1082">
        <v>1</v>
      </c>
      <c r="H1082">
        <v>0</v>
      </c>
      <c r="I1082" s="12" t="s">
        <v>199</v>
      </c>
      <c r="J1082" s="12" t="s">
        <v>200</v>
      </c>
      <c r="K1082" s="12" t="s">
        <v>68</v>
      </c>
      <c r="L1082" s="12" t="s">
        <v>96</v>
      </c>
      <c r="M1082">
        <v>9.4700000000000006</v>
      </c>
      <c r="N1082" s="12" t="s">
        <v>159</v>
      </c>
      <c r="O1082" s="12" t="s">
        <v>160</v>
      </c>
      <c r="P1082" s="12" t="s">
        <v>137</v>
      </c>
      <c r="Q1082" s="13">
        <v>45173</v>
      </c>
      <c r="R1082" s="13">
        <v>45188</v>
      </c>
      <c r="S1082">
        <v>2023</v>
      </c>
      <c r="T1082" s="12" t="s">
        <v>1753</v>
      </c>
      <c r="U1082">
        <v>41</v>
      </c>
      <c r="V1082">
        <v>207.14410000000001</v>
      </c>
      <c r="W1082">
        <v>74.05</v>
      </c>
      <c r="X1082">
        <v>0</v>
      </c>
      <c r="Y1082">
        <v>0</v>
      </c>
      <c r="Z1082">
        <v>8492.91</v>
      </c>
      <c r="AA1082">
        <v>8566.9599999999991</v>
      </c>
      <c r="AB1082" s="12" t="s">
        <v>201</v>
      </c>
      <c r="AD1082">
        <v>0</v>
      </c>
      <c r="AE1082">
        <v>0</v>
      </c>
      <c r="AH1082">
        <v>41</v>
      </c>
      <c r="AI1082">
        <v>41</v>
      </c>
      <c r="AJ1082">
        <v>0</v>
      </c>
      <c r="AK1082">
        <v>1</v>
      </c>
      <c r="AL1082">
        <v>1</v>
      </c>
      <c r="AM1082">
        <v>100</v>
      </c>
      <c r="AN1082">
        <v>208.9502</v>
      </c>
      <c r="AO1082">
        <v>0</v>
      </c>
      <c r="AP1082" s="13">
        <v>45186</v>
      </c>
      <c r="AQ1082">
        <v>-2</v>
      </c>
      <c r="AR1082">
        <v>1</v>
      </c>
    </row>
    <row r="1083" spans="1:44" x14ac:dyDescent="0.35">
      <c r="A1083" s="12" t="s">
        <v>1760</v>
      </c>
      <c r="B1083" s="12" t="s">
        <v>1666</v>
      </c>
      <c r="C1083" s="12" t="s">
        <v>1667</v>
      </c>
      <c r="D1083" s="12" t="s">
        <v>78</v>
      </c>
      <c r="E1083" s="12" t="s">
        <v>65</v>
      </c>
      <c r="F1083">
        <v>2</v>
      </c>
      <c r="G1083">
        <v>3</v>
      </c>
      <c r="H1083">
        <v>0</v>
      </c>
      <c r="I1083" s="12" t="s">
        <v>310</v>
      </c>
      <c r="J1083" s="12" t="s">
        <v>311</v>
      </c>
      <c r="K1083" s="12" t="s">
        <v>81</v>
      </c>
      <c r="L1083" s="12" t="s">
        <v>69</v>
      </c>
      <c r="M1083">
        <v>28.3</v>
      </c>
      <c r="N1083" s="12" t="s">
        <v>97</v>
      </c>
      <c r="O1083" s="12" t="s">
        <v>98</v>
      </c>
      <c r="P1083" s="12" t="s">
        <v>72</v>
      </c>
      <c r="Q1083" s="13">
        <v>45173</v>
      </c>
      <c r="R1083" s="13">
        <v>45208</v>
      </c>
      <c r="S1083">
        <v>2023</v>
      </c>
      <c r="T1083" s="12" t="s">
        <v>1753</v>
      </c>
      <c r="U1083">
        <v>256</v>
      </c>
      <c r="V1083">
        <v>75.122299999999996</v>
      </c>
      <c r="W1083">
        <v>142.32</v>
      </c>
      <c r="X1083">
        <v>0</v>
      </c>
      <c r="Y1083">
        <v>0</v>
      </c>
      <c r="Z1083">
        <v>19231.310000000001</v>
      </c>
      <c r="AA1083">
        <v>19373.63</v>
      </c>
      <c r="AB1083" s="12" t="s">
        <v>1668</v>
      </c>
      <c r="AC1083">
        <v>75.122299999999996</v>
      </c>
      <c r="AD1083">
        <v>1</v>
      </c>
      <c r="AE1083">
        <v>1</v>
      </c>
      <c r="AF1083">
        <v>0</v>
      </c>
      <c r="AG1083">
        <v>19231.310000000001</v>
      </c>
      <c r="AH1083">
        <v>256</v>
      </c>
      <c r="AI1083">
        <v>254</v>
      </c>
      <c r="AJ1083">
        <v>2</v>
      </c>
      <c r="AK1083">
        <v>1</v>
      </c>
      <c r="AL1083">
        <v>1</v>
      </c>
      <c r="AM1083">
        <v>99.22</v>
      </c>
      <c r="AN1083">
        <v>76.274100000000004</v>
      </c>
      <c r="AO1083">
        <v>150.24</v>
      </c>
      <c r="AP1083" s="13">
        <v>45207</v>
      </c>
      <c r="AQ1083">
        <v>-1</v>
      </c>
      <c r="AR1083">
        <v>1</v>
      </c>
    </row>
    <row r="1084" spans="1:44" x14ac:dyDescent="0.35">
      <c r="A1084" s="12" t="s">
        <v>1761</v>
      </c>
      <c r="B1084" s="12" t="s">
        <v>207</v>
      </c>
      <c r="C1084" s="12" t="s">
        <v>208</v>
      </c>
      <c r="D1084" s="12" t="s">
        <v>78</v>
      </c>
      <c r="E1084" s="12" t="s">
        <v>65</v>
      </c>
      <c r="F1084">
        <v>2</v>
      </c>
      <c r="G1084">
        <v>3</v>
      </c>
      <c r="H1084">
        <v>0</v>
      </c>
      <c r="I1084" s="12" t="s">
        <v>209</v>
      </c>
      <c r="J1084" s="12" t="s">
        <v>210</v>
      </c>
      <c r="K1084" s="12" t="s">
        <v>133</v>
      </c>
      <c r="L1084" s="12" t="s">
        <v>96</v>
      </c>
      <c r="M1084">
        <v>7.82</v>
      </c>
      <c r="N1084" s="12" t="s">
        <v>70</v>
      </c>
      <c r="O1084" s="12" t="s">
        <v>71</v>
      </c>
      <c r="P1084" s="12" t="s">
        <v>72</v>
      </c>
      <c r="Q1084" s="13">
        <v>45173</v>
      </c>
      <c r="R1084" s="13">
        <v>45203</v>
      </c>
      <c r="S1084">
        <v>2023</v>
      </c>
      <c r="T1084" s="12" t="s">
        <v>1753</v>
      </c>
      <c r="U1084">
        <v>176</v>
      </c>
      <c r="V1084">
        <v>152.13079999999999</v>
      </c>
      <c r="W1084">
        <v>355.54</v>
      </c>
      <c r="X1084">
        <v>0</v>
      </c>
      <c r="Y1084">
        <v>0</v>
      </c>
      <c r="Z1084">
        <v>26775.02</v>
      </c>
      <c r="AA1084">
        <v>27130.560000000001</v>
      </c>
      <c r="AB1084" s="12" t="s">
        <v>211</v>
      </c>
      <c r="AC1084">
        <v>152.13079999999999</v>
      </c>
      <c r="AD1084">
        <v>1</v>
      </c>
      <c r="AE1084">
        <v>1</v>
      </c>
      <c r="AF1084">
        <v>0</v>
      </c>
      <c r="AG1084">
        <v>26775.02</v>
      </c>
      <c r="AH1084">
        <v>176</v>
      </c>
      <c r="AI1084">
        <v>173</v>
      </c>
      <c r="AJ1084">
        <v>3</v>
      </c>
      <c r="AK1084">
        <v>1</v>
      </c>
      <c r="AL1084">
        <v>1</v>
      </c>
      <c r="AM1084">
        <v>98.3</v>
      </c>
      <c r="AN1084">
        <v>156.82409999999999</v>
      </c>
      <c r="AO1084">
        <v>456.39</v>
      </c>
      <c r="AP1084" s="13">
        <v>45210</v>
      </c>
      <c r="AQ1084">
        <v>7</v>
      </c>
      <c r="AR1084">
        <v>0</v>
      </c>
    </row>
    <row r="1085" spans="1:44" x14ac:dyDescent="0.35">
      <c r="A1085" s="12" t="s">
        <v>1762</v>
      </c>
      <c r="B1085" s="12" t="s">
        <v>490</v>
      </c>
      <c r="C1085" s="12" t="s">
        <v>491</v>
      </c>
      <c r="D1085" s="12" t="s">
        <v>130</v>
      </c>
      <c r="E1085" s="12" t="s">
        <v>104</v>
      </c>
      <c r="F1085">
        <v>3</v>
      </c>
      <c r="G1085">
        <v>1</v>
      </c>
      <c r="H1085">
        <v>0</v>
      </c>
      <c r="I1085" s="12" t="s">
        <v>176</v>
      </c>
      <c r="J1085" s="12" t="s">
        <v>177</v>
      </c>
      <c r="K1085" s="12" t="s">
        <v>125</v>
      </c>
      <c r="L1085" s="12" t="s">
        <v>134</v>
      </c>
      <c r="M1085">
        <v>1.75</v>
      </c>
      <c r="N1085" s="12" t="s">
        <v>135</v>
      </c>
      <c r="O1085" s="12" t="s">
        <v>136</v>
      </c>
      <c r="P1085" s="12" t="s">
        <v>137</v>
      </c>
      <c r="Q1085" s="13">
        <v>45173</v>
      </c>
      <c r="R1085" s="13">
        <v>45202</v>
      </c>
      <c r="S1085">
        <v>2023</v>
      </c>
      <c r="T1085" s="12" t="s">
        <v>1753</v>
      </c>
      <c r="U1085">
        <v>146</v>
      </c>
      <c r="V1085">
        <v>297.19900000000001</v>
      </c>
      <c r="W1085">
        <v>617.39</v>
      </c>
      <c r="X1085">
        <v>0</v>
      </c>
      <c r="Y1085">
        <v>0</v>
      </c>
      <c r="Z1085">
        <v>43391.05</v>
      </c>
      <c r="AA1085">
        <v>44008.44</v>
      </c>
      <c r="AB1085" s="12" t="s">
        <v>492</v>
      </c>
      <c r="AC1085">
        <v>297.19900000000001</v>
      </c>
      <c r="AD1085">
        <v>1</v>
      </c>
      <c r="AE1085">
        <v>1</v>
      </c>
      <c r="AF1085">
        <v>0</v>
      </c>
      <c r="AG1085">
        <v>43391.05</v>
      </c>
      <c r="AH1085">
        <v>146</v>
      </c>
      <c r="AI1085">
        <v>144</v>
      </c>
      <c r="AJ1085">
        <v>2</v>
      </c>
      <c r="AK1085">
        <v>1</v>
      </c>
      <c r="AL1085">
        <v>1</v>
      </c>
      <c r="AM1085">
        <v>98.63</v>
      </c>
      <c r="AN1085">
        <v>305.61419999999998</v>
      </c>
      <c r="AO1085">
        <v>594.4</v>
      </c>
      <c r="AP1085" s="13">
        <v>45202</v>
      </c>
      <c r="AQ1085">
        <v>0</v>
      </c>
      <c r="AR1085">
        <v>1</v>
      </c>
    </row>
    <row r="1086" spans="1:44" x14ac:dyDescent="0.35">
      <c r="A1086" s="12" t="s">
        <v>1763</v>
      </c>
      <c r="B1086" s="12" t="s">
        <v>661</v>
      </c>
      <c r="C1086" s="12" t="s">
        <v>662</v>
      </c>
      <c r="D1086" s="12" t="s">
        <v>175</v>
      </c>
      <c r="E1086" s="12" t="s">
        <v>104</v>
      </c>
      <c r="F1086">
        <v>1</v>
      </c>
      <c r="G1086">
        <v>0</v>
      </c>
      <c r="H1086">
        <v>1</v>
      </c>
      <c r="I1086" s="12" t="s">
        <v>183</v>
      </c>
      <c r="J1086" s="12" t="s">
        <v>184</v>
      </c>
      <c r="K1086" s="12" t="s">
        <v>133</v>
      </c>
      <c r="L1086" s="12" t="s">
        <v>82</v>
      </c>
      <c r="M1086">
        <v>8.6199999999999992</v>
      </c>
      <c r="N1086" s="12" t="s">
        <v>145</v>
      </c>
      <c r="O1086" s="12" t="s">
        <v>146</v>
      </c>
      <c r="P1086" s="12" t="s">
        <v>109</v>
      </c>
      <c r="Q1086" s="13">
        <v>45173</v>
      </c>
      <c r="R1086" s="13">
        <v>45200</v>
      </c>
      <c r="S1086">
        <v>2023</v>
      </c>
      <c r="T1086" s="12" t="s">
        <v>1753</v>
      </c>
      <c r="U1086">
        <v>127</v>
      </c>
      <c r="V1086">
        <v>194.86689999999999</v>
      </c>
      <c r="W1086">
        <v>355.45</v>
      </c>
      <c r="X1086">
        <v>0</v>
      </c>
      <c r="Y1086">
        <v>0</v>
      </c>
      <c r="Z1086">
        <v>24748.1</v>
      </c>
      <c r="AA1086">
        <v>25103.55</v>
      </c>
      <c r="AB1086" s="12" t="s">
        <v>663</v>
      </c>
      <c r="AC1086">
        <v>201.68719999999999</v>
      </c>
      <c r="AD1086">
        <v>2</v>
      </c>
      <c r="AE1086">
        <v>1</v>
      </c>
      <c r="AF1086">
        <v>-866.18</v>
      </c>
      <c r="AG1086">
        <v>25614.27</v>
      </c>
      <c r="AH1086">
        <v>127</v>
      </c>
      <c r="AI1086">
        <v>126</v>
      </c>
      <c r="AJ1086">
        <v>1</v>
      </c>
      <c r="AK1086">
        <v>1</v>
      </c>
      <c r="AL1086">
        <v>1</v>
      </c>
      <c r="AM1086">
        <v>99.21</v>
      </c>
      <c r="AN1086">
        <v>199.2345</v>
      </c>
      <c r="AO1086">
        <v>194.87</v>
      </c>
      <c r="AP1086" s="13">
        <v>45200</v>
      </c>
      <c r="AQ1086">
        <v>0</v>
      </c>
      <c r="AR1086">
        <v>1</v>
      </c>
    </row>
    <row r="1087" spans="1:44" x14ac:dyDescent="0.35">
      <c r="A1087" s="12" t="s">
        <v>1764</v>
      </c>
      <c r="B1087" s="12" t="s">
        <v>391</v>
      </c>
      <c r="C1087" s="12" t="s">
        <v>392</v>
      </c>
      <c r="D1087" s="12" t="s">
        <v>114</v>
      </c>
      <c r="E1087" s="12" t="s">
        <v>65</v>
      </c>
      <c r="F1087">
        <v>2</v>
      </c>
      <c r="G1087">
        <v>2</v>
      </c>
      <c r="H1087">
        <v>0</v>
      </c>
      <c r="I1087" s="12" t="s">
        <v>310</v>
      </c>
      <c r="J1087" s="12" t="s">
        <v>311</v>
      </c>
      <c r="K1087" s="12" t="s">
        <v>81</v>
      </c>
      <c r="L1087" s="12" t="s">
        <v>69</v>
      </c>
      <c r="M1087">
        <v>28.3</v>
      </c>
      <c r="N1087" s="12" t="s">
        <v>70</v>
      </c>
      <c r="O1087" s="12" t="s">
        <v>71</v>
      </c>
      <c r="P1087" s="12" t="s">
        <v>72</v>
      </c>
      <c r="Q1087" s="13">
        <v>45173</v>
      </c>
      <c r="R1087" s="13">
        <v>45195</v>
      </c>
      <c r="S1087">
        <v>2023</v>
      </c>
      <c r="T1087" s="12" t="s">
        <v>1753</v>
      </c>
      <c r="U1087">
        <v>17</v>
      </c>
      <c r="V1087">
        <v>223.56530000000001</v>
      </c>
      <c r="W1087">
        <v>78.13</v>
      </c>
      <c r="X1087">
        <v>0</v>
      </c>
      <c r="Y1087">
        <v>0</v>
      </c>
      <c r="Z1087">
        <v>3800.61</v>
      </c>
      <c r="AA1087">
        <v>3878.74</v>
      </c>
      <c r="AB1087" s="12" t="s">
        <v>393</v>
      </c>
      <c r="AC1087">
        <v>223.56530000000001</v>
      </c>
      <c r="AD1087">
        <v>1</v>
      </c>
      <c r="AE1087">
        <v>1</v>
      </c>
      <c r="AF1087">
        <v>0</v>
      </c>
      <c r="AG1087">
        <v>3800.61</v>
      </c>
      <c r="AH1087">
        <v>17</v>
      </c>
      <c r="AI1087">
        <v>17</v>
      </c>
      <c r="AJ1087">
        <v>0</v>
      </c>
      <c r="AK1087">
        <v>1</v>
      </c>
      <c r="AL1087">
        <v>1</v>
      </c>
      <c r="AM1087">
        <v>100</v>
      </c>
      <c r="AN1087">
        <v>228.16120000000001</v>
      </c>
      <c r="AO1087">
        <v>0</v>
      </c>
      <c r="AP1087" s="13">
        <v>45194</v>
      </c>
      <c r="AQ1087">
        <v>-1</v>
      </c>
      <c r="AR1087">
        <v>1</v>
      </c>
    </row>
    <row r="1088" spans="1:44" x14ac:dyDescent="0.35">
      <c r="A1088" s="12" t="s">
        <v>1765</v>
      </c>
      <c r="B1088" s="12" t="s">
        <v>503</v>
      </c>
      <c r="C1088" s="12" t="s">
        <v>504</v>
      </c>
      <c r="D1088" s="12" t="s">
        <v>103</v>
      </c>
      <c r="E1088" s="12" t="s">
        <v>104</v>
      </c>
      <c r="F1088">
        <v>3</v>
      </c>
      <c r="G1088">
        <v>1</v>
      </c>
      <c r="H1088">
        <v>0</v>
      </c>
      <c r="I1088" s="12" t="s">
        <v>251</v>
      </c>
      <c r="J1088" s="12" t="s">
        <v>252</v>
      </c>
      <c r="K1088" s="12" t="s">
        <v>133</v>
      </c>
      <c r="L1088" s="12" t="s">
        <v>69</v>
      </c>
      <c r="M1088">
        <v>34.49</v>
      </c>
      <c r="N1088" s="12" t="s">
        <v>145</v>
      </c>
      <c r="O1088" s="12" t="s">
        <v>146</v>
      </c>
      <c r="P1088" s="12" t="s">
        <v>109</v>
      </c>
      <c r="Q1088" s="13">
        <v>45174</v>
      </c>
      <c r="R1088" s="13">
        <v>45191</v>
      </c>
      <c r="S1088">
        <v>2023</v>
      </c>
      <c r="T1088" s="12" t="s">
        <v>1753</v>
      </c>
      <c r="U1088">
        <v>50</v>
      </c>
      <c r="V1088">
        <v>158.00909999999999</v>
      </c>
      <c r="W1088">
        <v>90.31</v>
      </c>
      <c r="X1088">
        <v>0</v>
      </c>
      <c r="Y1088">
        <v>0</v>
      </c>
      <c r="Z1088">
        <v>7900.46</v>
      </c>
      <c r="AA1088">
        <v>7990.77</v>
      </c>
      <c r="AB1088" s="12" t="s">
        <v>1358</v>
      </c>
      <c r="AC1088">
        <v>158.00909999999999</v>
      </c>
      <c r="AD1088">
        <v>1</v>
      </c>
      <c r="AE1088">
        <v>1</v>
      </c>
      <c r="AF1088">
        <v>0</v>
      </c>
      <c r="AG1088">
        <v>7900.46</v>
      </c>
      <c r="AH1088">
        <v>50</v>
      </c>
      <c r="AI1088">
        <v>49</v>
      </c>
      <c r="AJ1088">
        <v>1</v>
      </c>
      <c r="AK1088">
        <v>1</v>
      </c>
      <c r="AL1088">
        <v>1</v>
      </c>
      <c r="AM1088">
        <v>98</v>
      </c>
      <c r="AN1088">
        <v>163.07679999999999</v>
      </c>
      <c r="AO1088">
        <v>158.01</v>
      </c>
      <c r="AP1088" s="13">
        <v>45188</v>
      </c>
      <c r="AQ1088">
        <v>-3</v>
      </c>
      <c r="AR1088">
        <v>1</v>
      </c>
    </row>
    <row r="1089" spans="1:44" x14ac:dyDescent="0.35">
      <c r="A1089" s="12" t="s">
        <v>1766</v>
      </c>
      <c r="B1089" s="12" t="s">
        <v>357</v>
      </c>
      <c r="C1089" s="12" t="s">
        <v>358</v>
      </c>
      <c r="D1089" s="12" t="s">
        <v>103</v>
      </c>
      <c r="E1089" s="12" t="s">
        <v>104</v>
      </c>
      <c r="F1089">
        <v>3</v>
      </c>
      <c r="G1089">
        <v>1</v>
      </c>
      <c r="H1089">
        <v>0</v>
      </c>
      <c r="I1089" s="12" t="s">
        <v>151</v>
      </c>
      <c r="J1089" s="12" t="s">
        <v>152</v>
      </c>
      <c r="K1089" s="12" t="s">
        <v>125</v>
      </c>
      <c r="L1089" s="12" t="s">
        <v>69</v>
      </c>
      <c r="M1089">
        <v>36.479999999999997</v>
      </c>
      <c r="N1089" s="12" t="s">
        <v>145</v>
      </c>
      <c r="O1089" s="12" t="s">
        <v>146</v>
      </c>
      <c r="P1089" s="12" t="s">
        <v>109</v>
      </c>
      <c r="Q1089" s="13">
        <v>45174</v>
      </c>
      <c r="R1089" s="13">
        <v>45195</v>
      </c>
      <c r="S1089">
        <v>2023</v>
      </c>
      <c r="T1089" s="12" t="s">
        <v>1753</v>
      </c>
      <c r="U1089">
        <v>85</v>
      </c>
      <c r="V1089">
        <v>106.6914</v>
      </c>
      <c r="W1089">
        <v>73.84</v>
      </c>
      <c r="X1089">
        <v>0</v>
      </c>
      <c r="Y1089">
        <v>0</v>
      </c>
      <c r="Z1089">
        <v>9068.77</v>
      </c>
      <c r="AA1089">
        <v>9142.61</v>
      </c>
      <c r="AB1089" s="12" t="s">
        <v>584</v>
      </c>
      <c r="AC1089">
        <v>106.6914</v>
      </c>
      <c r="AD1089">
        <v>1</v>
      </c>
      <c r="AE1089">
        <v>1</v>
      </c>
      <c r="AF1089">
        <v>0</v>
      </c>
      <c r="AG1089">
        <v>9068.77</v>
      </c>
      <c r="AH1089">
        <v>85</v>
      </c>
      <c r="AI1089">
        <v>84</v>
      </c>
      <c r="AJ1089">
        <v>1</v>
      </c>
      <c r="AK1089">
        <v>1</v>
      </c>
      <c r="AL1089">
        <v>1</v>
      </c>
      <c r="AM1089">
        <v>98.82</v>
      </c>
      <c r="AN1089">
        <v>108.84059999999999</v>
      </c>
      <c r="AO1089">
        <v>106.69</v>
      </c>
      <c r="AP1089" s="13">
        <v>45193</v>
      </c>
      <c r="AQ1089">
        <v>-2</v>
      </c>
      <c r="AR1089">
        <v>1</v>
      </c>
    </row>
    <row r="1090" spans="1:44" x14ac:dyDescent="0.35">
      <c r="A1090" s="12" t="s">
        <v>1767</v>
      </c>
      <c r="B1090" s="12" t="s">
        <v>140</v>
      </c>
      <c r="C1090" s="12" t="s">
        <v>141</v>
      </c>
      <c r="D1090" s="12" t="s">
        <v>103</v>
      </c>
      <c r="E1090" s="12" t="s">
        <v>142</v>
      </c>
      <c r="F1090">
        <v>1</v>
      </c>
      <c r="G1090">
        <v>7</v>
      </c>
      <c r="H1090">
        <v>1</v>
      </c>
      <c r="I1090" s="12" t="s">
        <v>143</v>
      </c>
      <c r="J1090" s="12" t="s">
        <v>144</v>
      </c>
      <c r="K1090" s="12" t="s">
        <v>133</v>
      </c>
      <c r="L1090" s="12" t="s">
        <v>96</v>
      </c>
      <c r="M1090">
        <v>5.43</v>
      </c>
      <c r="N1090" s="12" t="s">
        <v>107</v>
      </c>
      <c r="O1090" s="12" t="s">
        <v>108</v>
      </c>
      <c r="P1090" s="12" t="s">
        <v>109</v>
      </c>
      <c r="Q1090" s="13">
        <v>45174</v>
      </c>
      <c r="R1090" s="13">
        <v>45217</v>
      </c>
      <c r="S1090">
        <v>2023</v>
      </c>
      <c r="T1090" s="12" t="s">
        <v>1753</v>
      </c>
      <c r="U1090">
        <v>79</v>
      </c>
      <c r="V1090">
        <v>211.78559999999999</v>
      </c>
      <c r="W1090">
        <v>161.54</v>
      </c>
      <c r="X1090">
        <v>0</v>
      </c>
      <c r="Y1090">
        <v>0</v>
      </c>
      <c r="Z1090">
        <v>16731.060000000001</v>
      </c>
      <c r="AA1090">
        <v>16892.599999999999</v>
      </c>
      <c r="AB1090" s="12" t="s">
        <v>147</v>
      </c>
      <c r="AC1090">
        <v>211.78559999999999</v>
      </c>
      <c r="AD1090">
        <v>1</v>
      </c>
      <c r="AE1090">
        <v>1</v>
      </c>
      <c r="AF1090">
        <v>0</v>
      </c>
      <c r="AG1090">
        <v>16731.060000000001</v>
      </c>
      <c r="AH1090">
        <v>79</v>
      </c>
      <c r="AI1090">
        <v>79</v>
      </c>
      <c r="AJ1090">
        <v>0</v>
      </c>
      <c r="AK1090">
        <v>1</v>
      </c>
      <c r="AL1090">
        <v>1</v>
      </c>
      <c r="AM1090">
        <v>100</v>
      </c>
      <c r="AN1090">
        <v>213.8304</v>
      </c>
      <c r="AO1090">
        <v>0</v>
      </c>
      <c r="AP1090" s="13">
        <v>45214</v>
      </c>
      <c r="AQ1090">
        <v>-3</v>
      </c>
      <c r="AR1090">
        <v>1</v>
      </c>
    </row>
    <row r="1091" spans="1:44" x14ac:dyDescent="0.35">
      <c r="A1091" s="12" t="s">
        <v>1768</v>
      </c>
      <c r="B1091" s="12" t="s">
        <v>902</v>
      </c>
      <c r="C1091" s="12" t="s">
        <v>903</v>
      </c>
      <c r="D1091" s="12" t="s">
        <v>122</v>
      </c>
      <c r="E1091" s="12" t="s">
        <v>142</v>
      </c>
      <c r="F1091">
        <v>1</v>
      </c>
      <c r="G1091">
        <v>6</v>
      </c>
      <c r="H1091">
        <v>1</v>
      </c>
      <c r="I1091" s="12" t="s">
        <v>105</v>
      </c>
      <c r="J1091" s="12" t="s">
        <v>106</v>
      </c>
      <c r="K1091" s="12" t="s">
        <v>81</v>
      </c>
      <c r="L1091" s="12" t="s">
        <v>96</v>
      </c>
      <c r="M1091">
        <v>5.01</v>
      </c>
      <c r="N1091" s="12" t="s">
        <v>70</v>
      </c>
      <c r="O1091" s="12" t="s">
        <v>71</v>
      </c>
      <c r="P1091" s="12" t="s">
        <v>72</v>
      </c>
      <c r="Q1091" s="13">
        <v>45174</v>
      </c>
      <c r="R1091" s="13">
        <v>45221</v>
      </c>
      <c r="S1091">
        <v>2023</v>
      </c>
      <c r="T1091" s="12" t="s">
        <v>1753</v>
      </c>
      <c r="U1091">
        <v>1481</v>
      </c>
      <c r="V1091">
        <v>39.376600000000003</v>
      </c>
      <c r="W1091">
        <v>1468.5</v>
      </c>
      <c r="X1091">
        <v>0</v>
      </c>
      <c r="Y1091">
        <v>0</v>
      </c>
      <c r="Z1091">
        <v>58316.74</v>
      </c>
      <c r="AA1091">
        <v>59785.24</v>
      </c>
      <c r="AB1091" s="12" t="s">
        <v>904</v>
      </c>
      <c r="AC1091">
        <v>41.861199999999997</v>
      </c>
      <c r="AD1091">
        <v>1</v>
      </c>
      <c r="AE1091">
        <v>1</v>
      </c>
      <c r="AF1091">
        <v>-3679.69</v>
      </c>
      <c r="AG1091">
        <v>61996.44</v>
      </c>
      <c r="AH1091">
        <v>1481</v>
      </c>
      <c r="AI1091">
        <v>1476</v>
      </c>
      <c r="AJ1091">
        <v>5</v>
      </c>
      <c r="AK1091">
        <v>1</v>
      </c>
      <c r="AL1091">
        <v>1</v>
      </c>
      <c r="AM1091">
        <v>99.66</v>
      </c>
      <c r="AN1091">
        <v>40.504899999999999</v>
      </c>
      <c r="AO1091">
        <v>196.88</v>
      </c>
      <c r="AP1091" s="13">
        <v>45221</v>
      </c>
      <c r="AQ1091">
        <v>0</v>
      </c>
      <c r="AR1091">
        <v>1</v>
      </c>
    </row>
    <row r="1092" spans="1:44" x14ac:dyDescent="0.35">
      <c r="A1092" s="12" t="s">
        <v>1769</v>
      </c>
      <c r="B1092" s="12" t="s">
        <v>323</v>
      </c>
      <c r="C1092" s="12" t="s">
        <v>324</v>
      </c>
      <c r="D1092" s="12" t="s">
        <v>64</v>
      </c>
      <c r="E1092" s="12" t="s">
        <v>142</v>
      </c>
      <c r="F1092">
        <v>1</v>
      </c>
      <c r="G1092">
        <v>7</v>
      </c>
      <c r="H1092">
        <v>1</v>
      </c>
      <c r="I1092" s="12" t="s">
        <v>143</v>
      </c>
      <c r="J1092" s="12" t="s">
        <v>144</v>
      </c>
      <c r="K1092" s="12" t="s">
        <v>133</v>
      </c>
      <c r="L1092" s="12" t="s">
        <v>96</v>
      </c>
      <c r="M1092">
        <v>5.43</v>
      </c>
      <c r="N1092" s="12" t="s">
        <v>70</v>
      </c>
      <c r="O1092" s="12" t="s">
        <v>71</v>
      </c>
      <c r="P1092" s="12" t="s">
        <v>72</v>
      </c>
      <c r="Q1092" s="13">
        <v>45174</v>
      </c>
      <c r="R1092" s="13">
        <v>45220</v>
      </c>
      <c r="S1092">
        <v>2023</v>
      </c>
      <c r="T1092" s="12" t="s">
        <v>1753</v>
      </c>
      <c r="U1092">
        <v>685</v>
      </c>
      <c r="V1092">
        <v>39.503399999999999</v>
      </c>
      <c r="W1092">
        <v>641.97</v>
      </c>
      <c r="X1092">
        <v>0</v>
      </c>
      <c r="Y1092">
        <v>0</v>
      </c>
      <c r="Z1092">
        <v>27059.83</v>
      </c>
      <c r="AA1092">
        <v>27701.8</v>
      </c>
      <c r="AB1092" s="12" t="s">
        <v>325</v>
      </c>
      <c r="AC1092">
        <v>39.503399999999999</v>
      </c>
      <c r="AD1092">
        <v>1</v>
      </c>
      <c r="AE1092">
        <v>1</v>
      </c>
      <c r="AF1092">
        <v>0</v>
      </c>
      <c r="AG1092">
        <v>27059.83</v>
      </c>
      <c r="AH1092">
        <v>685</v>
      </c>
      <c r="AI1092">
        <v>676</v>
      </c>
      <c r="AJ1092">
        <v>9</v>
      </c>
      <c r="AK1092">
        <v>1</v>
      </c>
      <c r="AL1092">
        <v>1</v>
      </c>
      <c r="AM1092">
        <v>98.69</v>
      </c>
      <c r="AN1092">
        <v>40.978999999999999</v>
      </c>
      <c r="AO1092">
        <v>355.53</v>
      </c>
      <c r="AP1092" s="13">
        <v>45219</v>
      </c>
      <c r="AQ1092">
        <v>-1</v>
      </c>
      <c r="AR1092">
        <v>1</v>
      </c>
    </row>
    <row r="1093" spans="1:44" x14ac:dyDescent="0.35">
      <c r="A1093" s="12" t="s">
        <v>1770</v>
      </c>
      <c r="B1093" s="12" t="s">
        <v>347</v>
      </c>
      <c r="C1093" s="12" t="s">
        <v>348</v>
      </c>
      <c r="D1093" s="12" t="s">
        <v>78</v>
      </c>
      <c r="E1093" s="12" t="s">
        <v>104</v>
      </c>
      <c r="F1093">
        <v>3</v>
      </c>
      <c r="G1093">
        <v>1</v>
      </c>
      <c r="H1093">
        <v>0</v>
      </c>
      <c r="I1093" s="12" t="s">
        <v>209</v>
      </c>
      <c r="J1093" s="12" t="s">
        <v>210</v>
      </c>
      <c r="K1093" s="12" t="s">
        <v>133</v>
      </c>
      <c r="L1093" s="12" t="s">
        <v>96</v>
      </c>
      <c r="M1093">
        <v>7.82</v>
      </c>
      <c r="N1093" s="12" t="s">
        <v>97</v>
      </c>
      <c r="O1093" s="12" t="s">
        <v>98</v>
      </c>
      <c r="P1093" s="12" t="s">
        <v>72</v>
      </c>
      <c r="Q1093" s="13">
        <v>45175</v>
      </c>
      <c r="R1093" s="13">
        <v>45201</v>
      </c>
      <c r="S1093">
        <v>2023</v>
      </c>
      <c r="T1093" s="12" t="s">
        <v>1753</v>
      </c>
      <c r="U1093">
        <v>242</v>
      </c>
      <c r="V1093">
        <v>100.34050000000001</v>
      </c>
      <c r="W1093">
        <v>287.76</v>
      </c>
      <c r="X1093">
        <v>0</v>
      </c>
      <c r="Y1093">
        <v>0</v>
      </c>
      <c r="Z1093">
        <v>24282.400000000001</v>
      </c>
      <c r="AA1093">
        <v>24570.16</v>
      </c>
      <c r="AB1093" s="12" t="s">
        <v>593</v>
      </c>
      <c r="AC1093">
        <v>100.34050000000001</v>
      </c>
      <c r="AD1093">
        <v>1</v>
      </c>
      <c r="AE1093">
        <v>1</v>
      </c>
      <c r="AF1093">
        <v>0</v>
      </c>
      <c r="AG1093">
        <v>24282.400000000001</v>
      </c>
      <c r="AH1093">
        <v>242</v>
      </c>
      <c r="AI1093">
        <v>237</v>
      </c>
      <c r="AJ1093">
        <v>5</v>
      </c>
      <c r="AK1093">
        <v>1</v>
      </c>
      <c r="AL1093">
        <v>1</v>
      </c>
      <c r="AM1093">
        <v>97.93</v>
      </c>
      <c r="AN1093">
        <v>103.6716</v>
      </c>
      <c r="AO1093">
        <v>501.7</v>
      </c>
      <c r="AP1093" s="13">
        <v>45200</v>
      </c>
      <c r="AQ1093">
        <v>-1</v>
      </c>
      <c r="AR1093">
        <v>1</v>
      </c>
    </row>
    <row r="1094" spans="1:44" x14ac:dyDescent="0.35">
      <c r="A1094" s="12" t="s">
        <v>1771</v>
      </c>
      <c r="B1094" s="12" t="s">
        <v>513</v>
      </c>
      <c r="C1094" s="12" t="s">
        <v>514</v>
      </c>
      <c r="D1094" s="12" t="s">
        <v>269</v>
      </c>
      <c r="E1094" s="12" t="s">
        <v>65</v>
      </c>
      <c r="F1094">
        <v>1</v>
      </c>
      <c r="G1094">
        <v>2</v>
      </c>
      <c r="H1094">
        <v>1</v>
      </c>
      <c r="I1094" s="12" t="s">
        <v>515</v>
      </c>
      <c r="J1094" s="12" t="s">
        <v>516</v>
      </c>
      <c r="K1094" s="12" t="s">
        <v>68</v>
      </c>
      <c r="L1094" s="12" t="s">
        <v>134</v>
      </c>
      <c r="M1094">
        <v>3.69</v>
      </c>
      <c r="N1094" s="12" t="s">
        <v>135</v>
      </c>
      <c r="O1094" s="12" t="s">
        <v>136</v>
      </c>
      <c r="P1094" s="12" t="s">
        <v>137</v>
      </c>
      <c r="Q1094" s="13">
        <v>45175</v>
      </c>
      <c r="R1094" s="13">
        <v>45211</v>
      </c>
      <c r="S1094">
        <v>2023</v>
      </c>
      <c r="T1094" s="12" t="s">
        <v>1753</v>
      </c>
      <c r="U1094">
        <v>131</v>
      </c>
      <c r="V1094">
        <v>229.3486</v>
      </c>
      <c r="W1094">
        <v>770.17</v>
      </c>
      <c r="X1094">
        <v>0</v>
      </c>
      <c r="Y1094">
        <v>0</v>
      </c>
      <c r="Z1094">
        <v>30044.67</v>
      </c>
      <c r="AA1094">
        <v>30814.84</v>
      </c>
      <c r="AB1094" s="12" t="s">
        <v>517</v>
      </c>
      <c r="AC1094">
        <v>229.3486</v>
      </c>
      <c r="AD1094">
        <v>1</v>
      </c>
      <c r="AE1094">
        <v>1</v>
      </c>
      <c r="AF1094">
        <v>0</v>
      </c>
      <c r="AG1094">
        <v>30044.67</v>
      </c>
      <c r="AH1094">
        <v>131</v>
      </c>
      <c r="AI1094">
        <v>129</v>
      </c>
      <c r="AJ1094">
        <v>2</v>
      </c>
      <c r="AK1094">
        <v>1</v>
      </c>
      <c r="AL1094">
        <v>1</v>
      </c>
      <c r="AM1094">
        <v>98.47</v>
      </c>
      <c r="AN1094">
        <v>238.87469999999999</v>
      </c>
      <c r="AO1094">
        <v>458.7</v>
      </c>
      <c r="AP1094" s="13">
        <v>45210</v>
      </c>
      <c r="AQ1094">
        <v>-1</v>
      </c>
      <c r="AR1094">
        <v>1</v>
      </c>
    </row>
    <row r="1095" spans="1:44" x14ac:dyDescent="0.35">
      <c r="A1095" s="12" t="s">
        <v>1772</v>
      </c>
      <c r="B1095" s="12" t="s">
        <v>378</v>
      </c>
      <c r="C1095" s="12" t="s">
        <v>379</v>
      </c>
      <c r="D1095" s="12" t="s">
        <v>64</v>
      </c>
      <c r="E1095" s="12" t="s">
        <v>104</v>
      </c>
      <c r="F1095">
        <v>3</v>
      </c>
      <c r="G1095">
        <v>1</v>
      </c>
      <c r="H1095">
        <v>0</v>
      </c>
      <c r="I1095" s="12" t="s">
        <v>176</v>
      </c>
      <c r="J1095" s="12" t="s">
        <v>177</v>
      </c>
      <c r="K1095" s="12" t="s">
        <v>125</v>
      </c>
      <c r="L1095" s="12" t="s">
        <v>134</v>
      </c>
      <c r="M1095">
        <v>1.75</v>
      </c>
      <c r="N1095" s="12" t="s">
        <v>97</v>
      </c>
      <c r="O1095" s="12" t="s">
        <v>98</v>
      </c>
      <c r="P1095" s="12" t="s">
        <v>72</v>
      </c>
      <c r="Q1095" s="13">
        <v>45175</v>
      </c>
      <c r="R1095" s="13">
        <v>45195</v>
      </c>
      <c r="S1095">
        <v>2023</v>
      </c>
      <c r="T1095" s="12" t="s">
        <v>1753</v>
      </c>
      <c r="U1095">
        <v>511</v>
      </c>
      <c r="V1095">
        <v>16.160900000000002</v>
      </c>
      <c r="W1095">
        <v>112.62</v>
      </c>
      <c r="X1095">
        <v>0</v>
      </c>
      <c r="Y1095">
        <v>0</v>
      </c>
      <c r="Z1095">
        <v>8258.2199999999993</v>
      </c>
      <c r="AA1095">
        <v>8370.84</v>
      </c>
      <c r="AB1095" s="12" t="s">
        <v>1539</v>
      </c>
      <c r="AC1095">
        <v>16.160900000000002</v>
      </c>
      <c r="AD1095">
        <v>1</v>
      </c>
      <c r="AE1095">
        <v>1</v>
      </c>
      <c r="AF1095">
        <v>0</v>
      </c>
      <c r="AG1095">
        <v>8258.2199999999993</v>
      </c>
      <c r="AH1095">
        <v>511</v>
      </c>
      <c r="AI1095">
        <v>506</v>
      </c>
      <c r="AJ1095">
        <v>5</v>
      </c>
      <c r="AK1095">
        <v>1</v>
      </c>
      <c r="AL1095">
        <v>1</v>
      </c>
      <c r="AM1095">
        <v>99.02</v>
      </c>
      <c r="AN1095">
        <v>16.543199999999999</v>
      </c>
      <c r="AO1095">
        <v>80.8</v>
      </c>
      <c r="AP1095" s="13">
        <v>45193</v>
      </c>
      <c r="AQ1095">
        <v>-2</v>
      </c>
      <c r="AR1095">
        <v>1</v>
      </c>
    </row>
    <row r="1096" spans="1:44" x14ac:dyDescent="0.35">
      <c r="A1096" s="12" t="s">
        <v>1773</v>
      </c>
      <c r="B1096" s="12" t="s">
        <v>155</v>
      </c>
      <c r="C1096" s="12" t="s">
        <v>156</v>
      </c>
      <c r="D1096" s="12" t="s">
        <v>130</v>
      </c>
      <c r="E1096" s="12" t="s">
        <v>104</v>
      </c>
      <c r="F1096">
        <v>3</v>
      </c>
      <c r="G1096">
        <v>1</v>
      </c>
      <c r="H1096">
        <v>0</v>
      </c>
      <c r="I1096" s="12" t="s">
        <v>157</v>
      </c>
      <c r="J1096" s="12" t="s">
        <v>158</v>
      </c>
      <c r="K1096" s="12" t="s">
        <v>117</v>
      </c>
      <c r="L1096" s="12" t="s">
        <v>96</v>
      </c>
      <c r="M1096">
        <v>4.72</v>
      </c>
      <c r="N1096" s="12" t="s">
        <v>159</v>
      </c>
      <c r="O1096" s="12" t="s">
        <v>160</v>
      </c>
      <c r="P1096" s="12" t="s">
        <v>137</v>
      </c>
      <c r="Q1096" s="13">
        <v>45175</v>
      </c>
      <c r="R1096" s="13">
        <v>45198</v>
      </c>
      <c r="S1096">
        <v>2023</v>
      </c>
      <c r="T1096" s="12" t="s">
        <v>1753</v>
      </c>
      <c r="U1096">
        <v>100</v>
      </c>
      <c r="V1096">
        <v>206.28880000000001</v>
      </c>
      <c r="W1096">
        <v>259.83999999999997</v>
      </c>
      <c r="X1096">
        <v>0</v>
      </c>
      <c r="Y1096">
        <v>0</v>
      </c>
      <c r="Z1096">
        <v>20628.88</v>
      </c>
      <c r="AA1096">
        <v>20888.72</v>
      </c>
      <c r="AB1096" s="12" t="s">
        <v>161</v>
      </c>
      <c r="AC1096">
        <v>206.28880000000001</v>
      </c>
      <c r="AD1096">
        <v>1</v>
      </c>
      <c r="AE1096">
        <v>1</v>
      </c>
      <c r="AF1096">
        <v>0</v>
      </c>
      <c r="AG1096">
        <v>20628.88</v>
      </c>
      <c r="AH1096">
        <v>100</v>
      </c>
      <c r="AI1096">
        <v>99</v>
      </c>
      <c r="AJ1096">
        <v>1</v>
      </c>
      <c r="AK1096">
        <v>1</v>
      </c>
      <c r="AL1096">
        <v>1</v>
      </c>
      <c r="AM1096">
        <v>99</v>
      </c>
      <c r="AN1096">
        <v>210.99719999999999</v>
      </c>
      <c r="AO1096">
        <v>206.29</v>
      </c>
      <c r="AP1096" s="13">
        <v>45196</v>
      </c>
      <c r="AQ1096">
        <v>-2</v>
      </c>
      <c r="AR1096">
        <v>1</v>
      </c>
    </row>
    <row r="1097" spans="1:44" x14ac:dyDescent="0.35">
      <c r="A1097" s="12" t="s">
        <v>1774</v>
      </c>
      <c r="B1097" s="12" t="s">
        <v>267</v>
      </c>
      <c r="C1097" s="12" t="s">
        <v>268</v>
      </c>
      <c r="D1097" s="12" t="s">
        <v>269</v>
      </c>
      <c r="E1097" s="12" t="s">
        <v>142</v>
      </c>
      <c r="F1097">
        <v>1</v>
      </c>
      <c r="G1097">
        <v>8</v>
      </c>
      <c r="H1097">
        <v>1</v>
      </c>
      <c r="I1097" s="12" t="s">
        <v>94</v>
      </c>
      <c r="J1097" s="12" t="s">
        <v>95</v>
      </c>
      <c r="K1097" s="12" t="s">
        <v>81</v>
      </c>
      <c r="L1097" s="12" t="s">
        <v>96</v>
      </c>
      <c r="M1097">
        <v>4.8099999999999996</v>
      </c>
      <c r="N1097" s="12" t="s">
        <v>159</v>
      </c>
      <c r="O1097" s="12" t="s">
        <v>160</v>
      </c>
      <c r="P1097" s="12" t="s">
        <v>137</v>
      </c>
      <c r="Q1097" s="13">
        <v>45175</v>
      </c>
      <c r="R1097" s="13">
        <v>45223</v>
      </c>
      <c r="S1097">
        <v>2023</v>
      </c>
      <c r="T1097" s="12" t="s">
        <v>1753</v>
      </c>
      <c r="U1097">
        <v>112</v>
      </c>
      <c r="V1097">
        <v>247.31829999999999</v>
      </c>
      <c r="W1097">
        <v>217.58</v>
      </c>
      <c r="X1097">
        <v>0</v>
      </c>
      <c r="Y1097">
        <v>0</v>
      </c>
      <c r="Z1097">
        <v>27699.65</v>
      </c>
      <c r="AA1097">
        <v>27917.23</v>
      </c>
      <c r="AB1097" s="12" t="s">
        <v>270</v>
      </c>
      <c r="AC1097">
        <v>247.31829999999999</v>
      </c>
      <c r="AD1097">
        <v>1</v>
      </c>
      <c r="AE1097">
        <v>1</v>
      </c>
      <c r="AF1097">
        <v>0</v>
      </c>
      <c r="AG1097">
        <v>27699.65</v>
      </c>
      <c r="AH1097">
        <v>112</v>
      </c>
      <c r="AI1097">
        <v>111</v>
      </c>
      <c r="AJ1097">
        <v>1</v>
      </c>
      <c r="AK1097">
        <v>1</v>
      </c>
      <c r="AL1097">
        <v>1</v>
      </c>
      <c r="AM1097">
        <v>99.11</v>
      </c>
      <c r="AN1097">
        <v>251.50659999999999</v>
      </c>
      <c r="AO1097">
        <v>247.32</v>
      </c>
      <c r="AP1097" s="13">
        <v>45220</v>
      </c>
      <c r="AQ1097">
        <v>-3</v>
      </c>
      <c r="AR1097">
        <v>1</v>
      </c>
    </row>
    <row r="1098" spans="1:44" x14ac:dyDescent="0.35">
      <c r="A1098" s="12" t="s">
        <v>1775</v>
      </c>
      <c r="B1098" s="12" t="s">
        <v>787</v>
      </c>
      <c r="C1098" s="12" t="s">
        <v>788</v>
      </c>
      <c r="D1098" s="12" t="s">
        <v>269</v>
      </c>
      <c r="E1098" s="12" t="s">
        <v>65</v>
      </c>
      <c r="F1098">
        <v>2</v>
      </c>
      <c r="G1098">
        <v>3</v>
      </c>
      <c r="H1098">
        <v>0</v>
      </c>
      <c r="I1098" s="12" t="s">
        <v>143</v>
      </c>
      <c r="J1098" s="12" t="s">
        <v>144</v>
      </c>
      <c r="K1098" s="12" t="s">
        <v>133</v>
      </c>
      <c r="L1098" s="12" t="s">
        <v>96</v>
      </c>
      <c r="M1098">
        <v>5.43</v>
      </c>
      <c r="N1098" s="12" t="s">
        <v>159</v>
      </c>
      <c r="O1098" s="12" t="s">
        <v>160</v>
      </c>
      <c r="P1098" s="12" t="s">
        <v>137</v>
      </c>
      <c r="Q1098" s="13">
        <v>45175</v>
      </c>
      <c r="R1098" s="13">
        <v>45213</v>
      </c>
      <c r="S1098">
        <v>2023</v>
      </c>
      <c r="T1098" s="12" t="s">
        <v>1753</v>
      </c>
      <c r="U1098">
        <v>143</v>
      </c>
      <c r="V1098">
        <v>354.36430000000001</v>
      </c>
      <c r="W1098">
        <v>1122.3</v>
      </c>
      <c r="X1098">
        <v>0</v>
      </c>
      <c r="Y1098">
        <v>0</v>
      </c>
      <c r="Z1098">
        <v>50674.09</v>
      </c>
      <c r="AA1098">
        <v>51796.39</v>
      </c>
      <c r="AB1098" s="12" t="s">
        <v>789</v>
      </c>
      <c r="AC1098">
        <v>354.36430000000001</v>
      </c>
      <c r="AD1098">
        <v>1</v>
      </c>
      <c r="AE1098">
        <v>1</v>
      </c>
      <c r="AF1098">
        <v>0</v>
      </c>
      <c r="AG1098">
        <v>50674.09</v>
      </c>
      <c r="AH1098">
        <v>143</v>
      </c>
      <c r="AI1098">
        <v>142</v>
      </c>
      <c r="AJ1098">
        <v>1</v>
      </c>
      <c r="AK1098">
        <v>1</v>
      </c>
      <c r="AL1098">
        <v>1</v>
      </c>
      <c r="AM1098">
        <v>99.3</v>
      </c>
      <c r="AN1098">
        <v>364.76330000000002</v>
      </c>
      <c r="AO1098">
        <v>354.36</v>
      </c>
      <c r="AP1098" s="13">
        <v>45216</v>
      </c>
      <c r="AQ1098">
        <v>3</v>
      </c>
      <c r="AR1098">
        <v>0</v>
      </c>
    </row>
    <row r="1099" spans="1:44" x14ac:dyDescent="0.35">
      <c r="A1099" s="12" t="s">
        <v>1776</v>
      </c>
      <c r="B1099" s="12" t="s">
        <v>740</v>
      </c>
      <c r="C1099" s="12" t="s">
        <v>741</v>
      </c>
      <c r="D1099" s="12" t="s">
        <v>64</v>
      </c>
      <c r="E1099" s="12" t="s">
        <v>104</v>
      </c>
      <c r="F1099">
        <v>2</v>
      </c>
      <c r="G1099">
        <v>0</v>
      </c>
      <c r="H1099">
        <v>0</v>
      </c>
      <c r="I1099" s="12" t="s">
        <v>183</v>
      </c>
      <c r="J1099" s="12" t="s">
        <v>184</v>
      </c>
      <c r="K1099" s="12" t="s">
        <v>133</v>
      </c>
      <c r="L1099" s="12" t="s">
        <v>82</v>
      </c>
      <c r="M1099">
        <v>8.6199999999999992</v>
      </c>
      <c r="N1099" s="12" t="s">
        <v>70</v>
      </c>
      <c r="O1099" s="12" t="s">
        <v>71</v>
      </c>
      <c r="P1099" s="12" t="s">
        <v>72</v>
      </c>
      <c r="Q1099" s="13">
        <v>45175</v>
      </c>
      <c r="R1099" s="13">
        <v>45199</v>
      </c>
      <c r="S1099">
        <v>2023</v>
      </c>
      <c r="T1099" s="12" t="s">
        <v>1753</v>
      </c>
      <c r="U1099">
        <v>748</v>
      </c>
      <c r="V1099">
        <v>41.2042</v>
      </c>
      <c r="W1099">
        <v>502.08</v>
      </c>
      <c r="X1099">
        <v>0</v>
      </c>
      <c r="Y1099">
        <v>0</v>
      </c>
      <c r="Z1099">
        <v>30820.74</v>
      </c>
      <c r="AA1099">
        <v>31322.82</v>
      </c>
      <c r="AB1099" s="12" t="s">
        <v>742</v>
      </c>
      <c r="AC1099">
        <v>41.2042</v>
      </c>
      <c r="AD1099">
        <v>1</v>
      </c>
      <c r="AE1099">
        <v>1</v>
      </c>
      <c r="AF1099">
        <v>0</v>
      </c>
      <c r="AG1099">
        <v>30820.74</v>
      </c>
      <c r="AH1099">
        <v>748</v>
      </c>
      <c r="AI1099">
        <v>736</v>
      </c>
      <c r="AJ1099">
        <v>12</v>
      </c>
      <c r="AK1099">
        <v>1</v>
      </c>
      <c r="AL1099">
        <v>1</v>
      </c>
      <c r="AM1099">
        <v>98.4</v>
      </c>
      <c r="AN1099">
        <v>42.558199999999999</v>
      </c>
      <c r="AO1099">
        <v>494.45</v>
      </c>
      <c r="AP1099" s="13">
        <v>45200</v>
      </c>
      <c r="AQ1099">
        <v>1</v>
      </c>
      <c r="AR1099">
        <v>0</v>
      </c>
    </row>
    <row r="1100" spans="1:44" x14ac:dyDescent="0.35">
      <c r="A1100" s="12" t="s">
        <v>1777</v>
      </c>
      <c r="B1100" s="12" t="s">
        <v>792</v>
      </c>
      <c r="C1100" s="12" t="s">
        <v>793</v>
      </c>
      <c r="D1100" s="12" t="s">
        <v>103</v>
      </c>
      <c r="E1100" s="12" t="s">
        <v>65</v>
      </c>
      <c r="F1100">
        <v>2</v>
      </c>
      <c r="G1100">
        <v>3</v>
      </c>
      <c r="H1100">
        <v>0</v>
      </c>
      <c r="I1100" s="12" t="s">
        <v>115</v>
      </c>
      <c r="J1100" s="12" t="s">
        <v>116</v>
      </c>
      <c r="K1100" s="12" t="s">
        <v>117</v>
      </c>
      <c r="L1100" s="12" t="s">
        <v>82</v>
      </c>
      <c r="M1100">
        <v>17.170000000000002</v>
      </c>
      <c r="N1100" s="12" t="s">
        <v>145</v>
      </c>
      <c r="O1100" s="12" t="s">
        <v>146</v>
      </c>
      <c r="P1100" s="12" t="s">
        <v>109</v>
      </c>
      <c r="Q1100" s="13">
        <v>45175</v>
      </c>
      <c r="R1100" s="13">
        <v>45213</v>
      </c>
      <c r="S1100">
        <v>2023</v>
      </c>
      <c r="T1100" s="12" t="s">
        <v>1753</v>
      </c>
      <c r="U1100">
        <v>143</v>
      </c>
      <c r="V1100">
        <v>99.173299999999998</v>
      </c>
      <c r="W1100">
        <v>178.58</v>
      </c>
      <c r="X1100">
        <v>0</v>
      </c>
      <c r="Y1100">
        <v>0</v>
      </c>
      <c r="Z1100">
        <v>14181.78</v>
      </c>
      <c r="AA1100">
        <v>14360.36</v>
      </c>
      <c r="AB1100" s="12" t="s">
        <v>794</v>
      </c>
      <c r="AC1100">
        <v>99.173299999999998</v>
      </c>
      <c r="AD1100">
        <v>1</v>
      </c>
      <c r="AE1100">
        <v>1</v>
      </c>
      <c r="AF1100">
        <v>0</v>
      </c>
      <c r="AG1100">
        <v>14181.78</v>
      </c>
      <c r="AH1100">
        <v>143</v>
      </c>
      <c r="AI1100">
        <v>142</v>
      </c>
      <c r="AJ1100">
        <v>1</v>
      </c>
      <c r="AK1100">
        <v>1</v>
      </c>
      <c r="AL1100">
        <v>1</v>
      </c>
      <c r="AM1100">
        <v>99.3</v>
      </c>
      <c r="AN1100">
        <v>101.1293</v>
      </c>
      <c r="AO1100">
        <v>99.17</v>
      </c>
      <c r="AP1100" s="13">
        <v>45212</v>
      </c>
      <c r="AQ1100">
        <v>-1</v>
      </c>
      <c r="AR1100">
        <v>1</v>
      </c>
    </row>
    <row r="1101" spans="1:44" x14ac:dyDescent="0.35">
      <c r="A1101" s="12" t="s">
        <v>1778</v>
      </c>
      <c r="B1101" s="12" t="s">
        <v>602</v>
      </c>
      <c r="C1101" s="12" t="s">
        <v>603</v>
      </c>
      <c r="D1101" s="12" t="s">
        <v>114</v>
      </c>
      <c r="E1101" s="12" t="s">
        <v>142</v>
      </c>
      <c r="F1101">
        <v>2</v>
      </c>
      <c r="G1101">
        <v>10</v>
      </c>
      <c r="H1101">
        <v>0</v>
      </c>
      <c r="I1101" s="12" t="s">
        <v>263</v>
      </c>
      <c r="J1101" s="12" t="s">
        <v>264</v>
      </c>
      <c r="K1101" s="12" t="s">
        <v>125</v>
      </c>
      <c r="L1101" s="12" t="s">
        <v>82</v>
      </c>
      <c r="M1101">
        <v>10.210000000000001</v>
      </c>
      <c r="N1101" s="12" t="s">
        <v>70</v>
      </c>
      <c r="O1101" s="12" t="s">
        <v>71</v>
      </c>
      <c r="P1101" s="12" t="s">
        <v>72</v>
      </c>
      <c r="Q1101" s="13">
        <v>45175</v>
      </c>
      <c r="R1101" s="13">
        <v>45219</v>
      </c>
      <c r="S1101">
        <v>2023</v>
      </c>
      <c r="T1101" s="12" t="s">
        <v>1753</v>
      </c>
      <c r="U1101">
        <v>84</v>
      </c>
      <c r="V1101">
        <v>213.4624</v>
      </c>
      <c r="W1101">
        <v>449.81</v>
      </c>
      <c r="X1101">
        <v>0</v>
      </c>
      <c r="Y1101">
        <v>0</v>
      </c>
      <c r="Z1101">
        <v>17930.84</v>
      </c>
      <c r="AA1101">
        <v>18380.650000000001</v>
      </c>
      <c r="AB1101" s="12" t="s">
        <v>691</v>
      </c>
      <c r="AC1101">
        <v>213.4624</v>
      </c>
      <c r="AD1101">
        <v>1</v>
      </c>
      <c r="AE1101">
        <v>1</v>
      </c>
      <c r="AF1101">
        <v>0</v>
      </c>
      <c r="AG1101">
        <v>17930.84</v>
      </c>
      <c r="AH1101">
        <v>84</v>
      </c>
      <c r="AI1101">
        <v>82</v>
      </c>
      <c r="AJ1101">
        <v>2</v>
      </c>
      <c r="AK1101">
        <v>1</v>
      </c>
      <c r="AL1101">
        <v>1</v>
      </c>
      <c r="AM1101">
        <v>97.62</v>
      </c>
      <c r="AN1101">
        <v>224.15430000000001</v>
      </c>
      <c r="AO1101">
        <v>426.92</v>
      </c>
      <c r="AP1101" s="13">
        <v>45222</v>
      </c>
      <c r="AQ1101">
        <v>3</v>
      </c>
      <c r="AR1101">
        <v>0</v>
      </c>
    </row>
    <row r="1102" spans="1:44" x14ac:dyDescent="0.35">
      <c r="A1102" s="12" t="s">
        <v>1779</v>
      </c>
      <c r="B1102" s="12" t="s">
        <v>317</v>
      </c>
      <c r="C1102" s="12" t="s">
        <v>318</v>
      </c>
      <c r="D1102" s="12" t="s">
        <v>64</v>
      </c>
      <c r="E1102" s="12" t="s">
        <v>104</v>
      </c>
      <c r="F1102">
        <v>2</v>
      </c>
      <c r="G1102">
        <v>0</v>
      </c>
      <c r="H1102">
        <v>0</v>
      </c>
      <c r="I1102" s="12" t="s">
        <v>169</v>
      </c>
      <c r="J1102" s="12" t="s">
        <v>170</v>
      </c>
      <c r="K1102" s="12" t="s">
        <v>89</v>
      </c>
      <c r="L1102" s="12" t="s">
        <v>134</v>
      </c>
      <c r="M1102">
        <v>1.37</v>
      </c>
      <c r="N1102" s="12" t="s">
        <v>97</v>
      </c>
      <c r="O1102" s="12" t="s">
        <v>98</v>
      </c>
      <c r="P1102" s="12" t="s">
        <v>72</v>
      </c>
      <c r="Q1102" s="13">
        <v>45176</v>
      </c>
      <c r="R1102" s="13">
        <v>45191</v>
      </c>
      <c r="S1102">
        <v>2023</v>
      </c>
      <c r="T1102" s="12" t="s">
        <v>1753</v>
      </c>
      <c r="U1102">
        <v>296</v>
      </c>
      <c r="V1102">
        <v>15.848100000000001</v>
      </c>
      <c r="W1102">
        <v>62.79</v>
      </c>
      <c r="X1102">
        <v>0</v>
      </c>
      <c r="Y1102">
        <v>0</v>
      </c>
      <c r="Z1102">
        <v>4691.04</v>
      </c>
      <c r="AA1102">
        <v>4753.83</v>
      </c>
      <c r="AB1102" s="12" t="s">
        <v>319</v>
      </c>
      <c r="AC1102">
        <v>15.848100000000001</v>
      </c>
      <c r="AD1102">
        <v>1</v>
      </c>
      <c r="AE1102">
        <v>1</v>
      </c>
      <c r="AF1102">
        <v>0</v>
      </c>
      <c r="AG1102">
        <v>4691.04</v>
      </c>
      <c r="AH1102">
        <v>296</v>
      </c>
      <c r="AI1102">
        <v>294</v>
      </c>
      <c r="AJ1102">
        <v>2</v>
      </c>
      <c r="AK1102">
        <v>1</v>
      </c>
      <c r="AL1102">
        <v>1</v>
      </c>
      <c r="AM1102">
        <v>99.32</v>
      </c>
      <c r="AN1102">
        <v>16.169499999999999</v>
      </c>
      <c r="AO1102">
        <v>31.7</v>
      </c>
      <c r="AP1102" s="13">
        <v>45190</v>
      </c>
      <c r="AQ1102">
        <v>-1</v>
      </c>
      <c r="AR1102">
        <v>1</v>
      </c>
    </row>
    <row r="1103" spans="1:44" x14ac:dyDescent="0.35">
      <c r="A1103" s="12" t="s">
        <v>1780</v>
      </c>
      <c r="B1103" s="12" t="s">
        <v>399</v>
      </c>
      <c r="C1103" s="12" t="s">
        <v>400</v>
      </c>
      <c r="D1103" s="12" t="s">
        <v>114</v>
      </c>
      <c r="E1103" s="12" t="s">
        <v>65</v>
      </c>
      <c r="F1103">
        <v>1</v>
      </c>
      <c r="G1103">
        <v>2</v>
      </c>
      <c r="H1103">
        <v>1</v>
      </c>
      <c r="I1103" s="12" t="s">
        <v>151</v>
      </c>
      <c r="J1103" s="12" t="s">
        <v>152</v>
      </c>
      <c r="K1103" s="12" t="s">
        <v>125</v>
      </c>
      <c r="L1103" s="12" t="s">
        <v>69</v>
      </c>
      <c r="M1103">
        <v>36.479999999999997</v>
      </c>
      <c r="N1103" s="12" t="s">
        <v>97</v>
      </c>
      <c r="O1103" s="12" t="s">
        <v>98</v>
      </c>
      <c r="P1103" s="12" t="s">
        <v>72</v>
      </c>
      <c r="Q1103" s="13">
        <v>45176</v>
      </c>
      <c r="R1103" s="13">
        <v>45209</v>
      </c>
      <c r="S1103">
        <v>2023</v>
      </c>
      <c r="T1103" s="12" t="s">
        <v>1753</v>
      </c>
      <c r="U1103">
        <v>106</v>
      </c>
      <c r="V1103">
        <v>296.81490000000002</v>
      </c>
      <c r="W1103">
        <v>427.69</v>
      </c>
      <c r="X1103">
        <v>0</v>
      </c>
      <c r="Y1103">
        <v>0</v>
      </c>
      <c r="Z1103">
        <v>31462.38</v>
      </c>
      <c r="AA1103">
        <v>31890.07</v>
      </c>
      <c r="AB1103" s="12" t="s">
        <v>401</v>
      </c>
      <c r="AC1103">
        <v>296.81490000000002</v>
      </c>
      <c r="AD1103">
        <v>1</v>
      </c>
      <c r="AE1103">
        <v>1</v>
      </c>
      <c r="AF1103">
        <v>0</v>
      </c>
      <c r="AG1103">
        <v>31462.38</v>
      </c>
      <c r="AH1103">
        <v>106</v>
      </c>
      <c r="AI1103">
        <v>105</v>
      </c>
      <c r="AJ1103">
        <v>1</v>
      </c>
      <c r="AK1103">
        <v>1</v>
      </c>
      <c r="AL1103">
        <v>1</v>
      </c>
      <c r="AM1103">
        <v>99.06</v>
      </c>
      <c r="AN1103">
        <v>303.7149</v>
      </c>
      <c r="AO1103">
        <v>296.81</v>
      </c>
      <c r="AP1103" s="13">
        <v>45206</v>
      </c>
      <c r="AQ1103">
        <v>-3</v>
      </c>
      <c r="AR1103">
        <v>1</v>
      </c>
    </row>
    <row r="1104" spans="1:44" x14ac:dyDescent="0.35">
      <c r="A1104" s="12" t="s">
        <v>1781</v>
      </c>
      <c r="B1104" s="12" t="s">
        <v>167</v>
      </c>
      <c r="C1104" s="12" t="s">
        <v>168</v>
      </c>
      <c r="D1104" s="12" t="s">
        <v>64</v>
      </c>
      <c r="E1104" s="12" t="s">
        <v>104</v>
      </c>
      <c r="F1104">
        <v>3</v>
      </c>
      <c r="G1104">
        <v>1</v>
      </c>
      <c r="H1104">
        <v>0</v>
      </c>
      <c r="I1104" s="12" t="s">
        <v>243</v>
      </c>
      <c r="J1104" s="12" t="s">
        <v>244</v>
      </c>
      <c r="K1104" s="12" t="s">
        <v>81</v>
      </c>
      <c r="L1104" s="12" t="s">
        <v>82</v>
      </c>
      <c r="M1104">
        <v>9.2200000000000006</v>
      </c>
      <c r="N1104" s="12" t="s">
        <v>97</v>
      </c>
      <c r="O1104" s="12" t="s">
        <v>98</v>
      </c>
      <c r="P1104" s="12" t="s">
        <v>72</v>
      </c>
      <c r="Q1104" s="13">
        <v>45176</v>
      </c>
      <c r="R1104" s="13">
        <v>45197</v>
      </c>
      <c r="S1104">
        <v>2023</v>
      </c>
      <c r="T1104" s="12" t="s">
        <v>1753</v>
      </c>
      <c r="U1104">
        <v>570</v>
      </c>
      <c r="V1104">
        <v>28.7181</v>
      </c>
      <c r="W1104">
        <v>321.72000000000003</v>
      </c>
      <c r="X1104">
        <v>0</v>
      </c>
      <c r="Y1104">
        <v>0</v>
      </c>
      <c r="Z1104">
        <v>16369.32</v>
      </c>
      <c r="AA1104">
        <v>16691.04</v>
      </c>
      <c r="AB1104" s="12" t="s">
        <v>530</v>
      </c>
      <c r="AC1104">
        <v>28.7181</v>
      </c>
      <c r="AD1104">
        <v>1</v>
      </c>
      <c r="AE1104">
        <v>1</v>
      </c>
      <c r="AF1104">
        <v>0</v>
      </c>
      <c r="AG1104">
        <v>16369.32</v>
      </c>
      <c r="AH1104">
        <v>570</v>
      </c>
      <c r="AI1104">
        <v>562</v>
      </c>
      <c r="AJ1104">
        <v>8</v>
      </c>
      <c r="AK1104">
        <v>1</v>
      </c>
      <c r="AL1104">
        <v>1</v>
      </c>
      <c r="AM1104">
        <v>98.6</v>
      </c>
      <c r="AN1104">
        <v>29.699400000000001</v>
      </c>
      <c r="AO1104">
        <v>229.74</v>
      </c>
      <c r="AP1104" s="13">
        <v>45195</v>
      </c>
      <c r="AQ1104">
        <v>-2</v>
      </c>
      <c r="AR1104">
        <v>1</v>
      </c>
    </row>
    <row r="1105" spans="1:44" x14ac:dyDescent="0.35">
      <c r="A1105" s="12" t="s">
        <v>1782</v>
      </c>
      <c r="B1105" s="12" t="s">
        <v>519</v>
      </c>
      <c r="C1105" s="12" t="s">
        <v>520</v>
      </c>
      <c r="D1105" s="12" t="s">
        <v>78</v>
      </c>
      <c r="E1105" s="12" t="s">
        <v>65</v>
      </c>
      <c r="F1105">
        <v>2</v>
      </c>
      <c r="G1105">
        <v>3</v>
      </c>
      <c r="H1105">
        <v>0</v>
      </c>
      <c r="I1105" s="12" t="s">
        <v>66</v>
      </c>
      <c r="J1105" s="12" t="s">
        <v>67</v>
      </c>
      <c r="K1105" s="12" t="s">
        <v>68</v>
      </c>
      <c r="L1105" s="12" t="s">
        <v>69</v>
      </c>
      <c r="M1105">
        <v>17.66</v>
      </c>
      <c r="N1105" s="12" t="s">
        <v>97</v>
      </c>
      <c r="O1105" s="12" t="s">
        <v>98</v>
      </c>
      <c r="P1105" s="12" t="s">
        <v>72</v>
      </c>
      <c r="Q1105" s="13">
        <v>45176</v>
      </c>
      <c r="R1105" s="13">
        <v>45198</v>
      </c>
      <c r="S1105">
        <v>2023</v>
      </c>
      <c r="T1105" s="12" t="s">
        <v>1753</v>
      </c>
      <c r="U1105">
        <v>58</v>
      </c>
      <c r="V1105">
        <v>31.7883</v>
      </c>
      <c r="W1105">
        <v>31.02</v>
      </c>
      <c r="X1105">
        <v>0</v>
      </c>
      <c r="Y1105">
        <v>0</v>
      </c>
      <c r="Z1105">
        <v>1843.72</v>
      </c>
      <c r="AA1105">
        <v>1874.74</v>
      </c>
      <c r="AB1105" s="12" t="s">
        <v>521</v>
      </c>
      <c r="AC1105">
        <v>31.7883</v>
      </c>
      <c r="AD1105">
        <v>1</v>
      </c>
      <c r="AE1105">
        <v>1</v>
      </c>
      <c r="AF1105">
        <v>0</v>
      </c>
      <c r="AG1105">
        <v>1843.72</v>
      </c>
      <c r="AH1105">
        <v>58</v>
      </c>
      <c r="AI1105">
        <v>57</v>
      </c>
      <c r="AJ1105">
        <v>1</v>
      </c>
      <c r="AK1105">
        <v>1</v>
      </c>
      <c r="AL1105">
        <v>1</v>
      </c>
      <c r="AM1105">
        <v>98.28</v>
      </c>
      <c r="AN1105">
        <v>32.8902</v>
      </c>
      <c r="AO1105">
        <v>31.79</v>
      </c>
      <c r="AP1105" s="13">
        <v>45195</v>
      </c>
      <c r="AQ1105">
        <v>-3</v>
      </c>
      <c r="AR1105">
        <v>1</v>
      </c>
    </row>
    <row r="1106" spans="1:44" x14ac:dyDescent="0.35">
      <c r="A1106" s="12" t="s">
        <v>1783</v>
      </c>
      <c r="B1106" s="12" t="s">
        <v>451</v>
      </c>
      <c r="C1106" s="12" t="s">
        <v>452</v>
      </c>
      <c r="D1106" s="12" t="s">
        <v>175</v>
      </c>
      <c r="E1106" s="12" t="s">
        <v>104</v>
      </c>
      <c r="F1106">
        <v>3</v>
      </c>
      <c r="G1106">
        <v>1</v>
      </c>
      <c r="H1106">
        <v>0</v>
      </c>
      <c r="I1106" s="12" t="s">
        <v>176</v>
      </c>
      <c r="J1106" s="12" t="s">
        <v>177</v>
      </c>
      <c r="K1106" s="12" t="s">
        <v>125</v>
      </c>
      <c r="L1106" s="12" t="s">
        <v>134</v>
      </c>
      <c r="M1106">
        <v>1.75</v>
      </c>
      <c r="N1106" s="12" t="s">
        <v>145</v>
      </c>
      <c r="O1106" s="12" t="s">
        <v>146</v>
      </c>
      <c r="P1106" s="12" t="s">
        <v>109</v>
      </c>
      <c r="Q1106" s="13">
        <v>45176</v>
      </c>
      <c r="R1106" s="13">
        <v>45205</v>
      </c>
      <c r="S1106">
        <v>2023</v>
      </c>
      <c r="T1106" s="12" t="s">
        <v>1753</v>
      </c>
      <c r="U1106">
        <v>143</v>
      </c>
      <c r="V1106">
        <v>259.51839999999999</v>
      </c>
      <c r="W1106">
        <v>366.06</v>
      </c>
      <c r="X1106">
        <v>0</v>
      </c>
      <c r="Y1106">
        <v>0</v>
      </c>
      <c r="Z1106">
        <v>37111.129999999997</v>
      </c>
      <c r="AA1106">
        <v>37477.19</v>
      </c>
      <c r="AB1106" s="12" t="s">
        <v>1784</v>
      </c>
      <c r="AC1106">
        <v>254.15530000000001</v>
      </c>
      <c r="AD1106">
        <v>1</v>
      </c>
      <c r="AE1106">
        <v>1</v>
      </c>
      <c r="AF1106">
        <v>766.92</v>
      </c>
      <c r="AG1106">
        <v>36344.21</v>
      </c>
      <c r="AH1106">
        <v>143</v>
      </c>
      <c r="AI1106">
        <v>141</v>
      </c>
      <c r="AJ1106">
        <v>2</v>
      </c>
      <c r="AK1106">
        <v>1</v>
      </c>
      <c r="AL1106">
        <v>1</v>
      </c>
      <c r="AM1106">
        <v>98.6</v>
      </c>
      <c r="AN1106">
        <v>265.79570000000001</v>
      </c>
      <c r="AO1106">
        <v>519.04</v>
      </c>
      <c r="AP1106" s="13">
        <v>45206</v>
      </c>
      <c r="AQ1106">
        <v>1</v>
      </c>
      <c r="AR1106">
        <v>0</v>
      </c>
    </row>
    <row r="1107" spans="1:44" x14ac:dyDescent="0.35">
      <c r="A1107" s="12" t="s">
        <v>1785</v>
      </c>
      <c r="B1107" s="12" t="s">
        <v>347</v>
      </c>
      <c r="C1107" s="12" t="s">
        <v>348</v>
      </c>
      <c r="D1107" s="12" t="s">
        <v>78</v>
      </c>
      <c r="E1107" s="12" t="s">
        <v>104</v>
      </c>
      <c r="F1107">
        <v>3</v>
      </c>
      <c r="G1107">
        <v>1</v>
      </c>
      <c r="H1107">
        <v>0</v>
      </c>
      <c r="I1107" s="12" t="s">
        <v>105</v>
      </c>
      <c r="J1107" s="12" t="s">
        <v>106</v>
      </c>
      <c r="K1107" s="12" t="s">
        <v>81</v>
      </c>
      <c r="L1107" s="12" t="s">
        <v>96</v>
      </c>
      <c r="M1107">
        <v>5.01</v>
      </c>
      <c r="N1107" s="12" t="s">
        <v>70</v>
      </c>
      <c r="O1107" s="12" t="s">
        <v>71</v>
      </c>
      <c r="P1107" s="12" t="s">
        <v>72</v>
      </c>
      <c r="Q1107" s="13">
        <v>45177</v>
      </c>
      <c r="R1107" s="13">
        <v>45205</v>
      </c>
      <c r="S1107">
        <v>2023</v>
      </c>
      <c r="T1107" s="12" t="s">
        <v>1753</v>
      </c>
      <c r="U1107">
        <v>280</v>
      </c>
      <c r="V1107">
        <v>100.34050000000001</v>
      </c>
      <c r="W1107">
        <v>324.62</v>
      </c>
      <c r="X1107">
        <v>0</v>
      </c>
      <c r="Y1107">
        <v>0</v>
      </c>
      <c r="Z1107">
        <v>28095.34</v>
      </c>
      <c r="AA1107">
        <v>28419.96</v>
      </c>
      <c r="AB1107" s="12" t="s">
        <v>841</v>
      </c>
      <c r="AC1107">
        <v>100.34050000000001</v>
      </c>
      <c r="AD1107">
        <v>1</v>
      </c>
      <c r="AE1107">
        <v>1</v>
      </c>
      <c r="AF1107">
        <v>0</v>
      </c>
      <c r="AG1107">
        <v>28095.34</v>
      </c>
      <c r="AH1107">
        <v>280</v>
      </c>
      <c r="AI1107">
        <v>276</v>
      </c>
      <c r="AJ1107">
        <v>4</v>
      </c>
      <c r="AK1107">
        <v>1</v>
      </c>
      <c r="AL1107">
        <v>1</v>
      </c>
      <c r="AM1107">
        <v>98.57</v>
      </c>
      <c r="AN1107">
        <v>102.9709</v>
      </c>
      <c r="AO1107">
        <v>401.36</v>
      </c>
      <c r="AP1107" s="13">
        <v>45205</v>
      </c>
      <c r="AQ1107">
        <v>0</v>
      </c>
      <c r="AR1107">
        <v>1</v>
      </c>
    </row>
    <row r="1108" spans="1:44" x14ac:dyDescent="0.35">
      <c r="A1108" s="12" t="s">
        <v>1786</v>
      </c>
      <c r="B1108" s="12" t="s">
        <v>76</v>
      </c>
      <c r="C1108" s="12" t="s">
        <v>77</v>
      </c>
      <c r="D1108" s="12" t="s">
        <v>78</v>
      </c>
      <c r="E1108" s="12" t="s">
        <v>65</v>
      </c>
      <c r="F1108">
        <v>2</v>
      </c>
      <c r="G1108">
        <v>4</v>
      </c>
      <c r="H1108">
        <v>0</v>
      </c>
      <c r="I1108" s="12" t="s">
        <v>151</v>
      </c>
      <c r="J1108" s="12" t="s">
        <v>152</v>
      </c>
      <c r="K1108" s="12" t="s">
        <v>125</v>
      </c>
      <c r="L1108" s="12" t="s">
        <v>69</v>
      </c>
      <c r="M1108">
        <v>36.479999999999997</v>
      </c>
      <c r="N1108" s="12" t="s">
        <v>97</v>
      </c>
      <c r="O1108" s="12" t="s">
        <v>98</v>
      </c>
      <c r="P1108" s="12" t="s">
        <v>72</v>
      </c>
      <c r="Q1108" s="13">
        <v>45177</v>
      </c>
      <c r="R1108" s="13">
        <v>45210</v>
      </c>
      <c r="S1108">
        <v>2023</v>
      </c>
      <c r="T1108" s="12" t="s">
        <v>1753</v>
      </c>
      <c r="U1108">
        <v>225</v>
      </c>
      <c r="V1108">
        <v>45.991</v>
      </c>
      <c r="W1108">
        <v>107.97</v>
      </c>
      <c r="X1108">
        <v>0</v>
      </c>
      <c r="Y1108">
        <v>0</v>
      </c>
      <c r="Z1108">
        <v>10347.98</v>
      </c>
      <c r="AA1108">
        <v>10455.950000000001</v>
      </c>
      <c r="AB1108" s="12" t="s">
        <v>1267</v>
      </c>
      <c r="AC1108">
        <v>45.991</v>
      </c>
      <c r="AD1108">
        <v>1</v>
      </c>
      <c r="AE1108">
        <v>1</v>
      </c>
      <c r="AF1108">
        <v>0</v>
      </c>
      <c r="AG1108">
        <v>10347.98</v>
      </c>
      <c r="AH1108">
        <v>225</v>
      </c>
      <c r="AI1108">
        <v>221</v>
      </c>
      <c r="AJ1108">
        <v>4</v>
      </c>
      <c r="AK1108">
        <v>1</v>
      </c>
      <c r="AL1108">
        <v>1</v>
      </c>
      <c r="AM1108">
        <v>98.22</v>
      </c>
      <c r="AN1108">
        <v>47.311999999999998</v>
      </c>
      <c r="AO1108">
        <v>183.96</v>
      </c>
      <c r="AP1108" s="13">
        <v>45208</v>
      </c>
      <c r="AQ1108">
        <v>-2</v>
      </c>
      <c r="AR1108">
        <v>1</v>
      </c>
    </row>
    <row r="1109" spans="1:44" x14ac:dyDescent="0.35">
      <c r="A1109" s="12" t="s">
        <v>1787</v>
      </c>
      <c r="B1109" s="12" t="s">
        <v>408</v>
      </c>
      <c r="C1109" s="12" t="s">
        <v>409</v>
      </c>
      <c r="D1109" s="12" t="s">
        <v>130</v>
      </c>
      <c r="E1109" s="12" t="s">
        <v>65</v>
      </c>
      <c r="F1109">
        <v>3</v>
      </c>
      <c r="G1109">
        <v>5</v>
      </c>
      <c r="H1109">
        <v>0</v>
      </c>
      <c r="I1109" s="12" t="s">
        <v>105</v>
      </c>
      <c r="J1109" s="12" t="s">
        <v>106</v>
      </c>
      <c r="K1109" s="12" t="s">
        <v>81</v>
      </c>
      <c r="L1109" s="12" t="s">
        <v>96</v>
      </c>
      <c r="M1109">
        <v>5.01</v>
      </c>
      <c r="N1109" s="12" t="s">
        <v>135</v>
      </c>
      <c r="O1109" s="12" t="s">
        <v>136</v>
      </c>
      <c r="P1109" s="12" t="s">
        <v>137</v>
      </c>
      <c r="Q1109" s="13">
        <v>45177</v>
      </c>
      <c r="R1109" s="13">
        <v>45199</v>
      </c>
      <c r="S1109">
        <v>2023</v>
      </c>
      <c r="T1109" s="12" t="s">
        <v>1753</v>
      </c>
      <c r="U1109">
        <v>20</v>
      </c>
      <c r="V1109">
        <v>770.47230000000002</v>
      </c>
      <c r="W1109">
        <v>393.61</v>
      </c>
      <c r="X1109">
        <v>0</v>
      </c>
      <c r="Y1109">
        <v>0</v>
      </c>
      <c r="Z1109">
        <v>15409.45</v>
      </c>
      <c r="AA1109">
        <v>15803.06</v>
      </c>
      <c r="AB1109" s="12" t="s">
        <v>410</v>
      </c>
      <c r="AC1109">
        <v>770.47230000000002</v>
      </c>
      <c r="AD1109">
        <v>1</v>
      </c>
      <c r="AE1109">
        <v>1</v>
      </c>
      <c r="AF1109">
        <v>0</v>
      </c>
      <c r="AG1109">
        <v>15409.45</v>
      </c>
      <c r="AH1109">
        <v>20</v>
      </c>
      <c r="AI1109">
        <v>20</v>
      </c>
      <c r="AJ1109">
        <v>0</v>
      </c>
      <c r="AK1109">
        <v>1</v>
      </c>
      <c r="AL1109">
        <v>1</v>
      </c>
      <c r="AM1109">
        <v>100</v>
      </c>
      <c r="AN1109">
        <v>790.15279999999996</v>
      </c>
      <c r="AO1109">
        <v>0</v>
      </c>
      <c r="AP1109" s="13">
        <v>45198</v>
      </c>
      <c r="AQ1109">
        <v>-1</v>
      </c>
      <c r="AR1109">
        <v>1</v>
      </c>
    </row>
    <row r="1110" spans="1:44" x14ac:dyDescent="0.35">
      <c r="A1110" s="12" t="s">
        <v>1788</v>
      </c>
      <c r="B1110" s="12" t="s">
        <v>331</v>
      </c>
      <c r="C1110" s="12" t="s">
        <v>332</v>
      </c>
      <c r="D1110" s="12" t="s">
        <v>122</v>
      </c>
      <c r="E1110" s="12" t="s">
        <v>142</v>
      </c>
      <c r="F1110">
        <v>3</v>
      </c>
      <c r="G1110">
        <v>11</v>
      </c>
      <c r="H1110">
        <v>0</v>
      </c>
      <c r="I1110" s="12" t="s">
        <v>263</v>
      </c>
      <c r="J1110" s="12" t="s">
        <v>264</v>
      </c>
      <c r="K1110" s="12" t="s">
        <v>125</v>
      </c>
      <c r="L1110" s="12" t="s">
        <v>82</v>
      </c>
      <c r="M1110">
        <v>10.210000000000001</v>
      </c>
      <c r="N1110" s="12" t="s">
        <v>70</v>
      </c>
      <c r="O1110" s="12" t="s">
        <v>71</v>
      </c>
      <c r="P1110" s="12" t="s">
        <v>72</v>
      </c>
      <c r="Q1110" s="13">
        <v>45177</v>
      </c>
      <c r="R1110" s="13">
        <v>45222</v>
      </c>
      <c r="S1110">
        <v>2023</v>
      </c>
      <c r="T1110" s="12" t="s">
        <v>1753</v>
      </c>
      <c r="U1110">
        <v>1232</v>
      </c>
      <c r="V1110">
        <v>25.052199999999999</v>
      </c>
      <c r="W1110">
        <v>465.2</v>
      </c>
      <c r="X1110">
        <v>0</v>
      </c>
      <c r="Y1110">
        <v>0</v>
      </c>
      <c r="Z1110">
        <v>30864.31</v>
      </c>
      <c r="AA1110">
        <v>31329.51</v>
      </c>
      <c r="AB1110" s="12" t="s">
        <v>333</v>
      </c>
      <c r="AC1110">
        <v>25.052199999999999</v>
      </c>
      <c r="AD1110">
        <v>1</v>
      </c>
      <c r="AE1110">
        <v>1</v>
      </c>
      <c r="AF1110">
        <v>0</v>
      </c>
      <c r="AG1110">
        <v>30864.31</v>
      </c>
      <c r="AH1110">
        <v>1232</v>
      </c>
      <c r="AI1110">
        <v>1217</v>
      </c>
      <c r="AJ1110">
        <v>15</v>
      </c>
      <c r="AK1110">
        <v>1</v>
      </c>
      <c r="AL1110">
        <v>1</v>
      </c>
      <c r="AM1110">
        <v>98.78</v>
      </c>
      <c r="AN1110">
        <v>25.743200000000002</v>
      </c>
      <c r="AO1110">
        <v>375.78</v>
      </c>
      <c r="AP1110" s="13">
        <v>45221</v>
      </c>
      <c r="AQ1110">
        <v>-1</v>
      </c>
      <c r="AR1110">
        <v>1</v>
      </c>
    </row>
    <row r="1111" spans="1:44" x14ac:dyDescent="0.35">
      <c r="A1111" s="12" t="s">
        <v>1789</v>
      </c>
      <c r="B1111" s="12" t="s">
        <v>207</v>
      </c>
      <c r="C1111" s="12" t="s">
        <v>208</v>
      </c>
      <c r="D1111" s="12" t="s">
        <v>78</v>
      </c>
      <c r="E1111" s="12" t="s">
        <v>65</v>
      </c>
      <c r="F1111">
        <v>2</v>
      </c>
      <c r="G1111">
        <v>3</v>
      </c>
      <c r="H1111">
        <v>0</v>
      </c>
      <c r="I1111" s="12" t="s">
        <v>209</v>
      </c>
      <c r="J1111" s="12" t="s">
        <v>210</v>
      </c>
      <c r="K1111" s="12" t="s">
        <v>133</v>
      </c>
      <c r="L1111" s="12" t="s">
        <v>96</v>
      </c>
      <c r="M1111">
        <v>7.82</v>
      </c>
      <c r="N1111" s="12" t="s">
        <v>97</v>
      </c>
      <c r="O1111" s="12" t="s">
        <v>98</v>
      </c>
      <c r="P1111" s="12" t="s">
        <v>72</v>
      </c>
      <c r="Q1111" s="13">
        <v>45177</v>
      </c>
      <c r="R1111" s="13">
        <v>45198</v>
      </c>
      <c r="S1111">
        <v>2023</v>
      </c>
      <c r="T1111" s="12" t="s">
        <v>1753</v>
      </c>
      <c r="U1111">
        <v>42</v>
      </c>
      <c r="V1111">
        <v>161.5385</v>
      </c>
      <c r="W1111">
        <v>112.16</v>
      </c>
      <c r="X1111">
        <v>0</v>
      </c>
      <c r="Y1111">
        <v>0</v>
      </c>
      <c r="Z1111">
        <v>6784.62</v>
      </c>
      <c r="AA1111">
        <v>6896.78</v>
      </c>
      <c r="AB1111" s="12" t="s">
        <v>211</v>
      </c>
      <c r="AC1111">
        <v>152.13079999999999</v>
      </c>
      <c r="AD1111">
        <v>1</v>
      </c>
      <c r="AE1111">
        <v>1</v>
      </c>
      <c r="AF1111">
        <v>395.12</v>
      </c>
      <c r="AG1111">
        <v>6389.49</v>
      </c>
      <c r="AH1111">
        <v>42</v>
      </c>
      <c r="AI1111">
        <v>41</v>
      </c>
      <c r="AJ1111">
        <v>1</v>
      </c>
      <c r="AK1111">
        <v>1</v>
      </c>
      <c r="AL1111">
        <v>1</v>
      </c>
      <c r="AM1111">
        <v>97.62</v>
      </c>
      <c r="AN1111">
        <v>168.2141</v>
      </c>
      <c r="AO1111">
        <v>161.54</v>
      </c>
      <c r="AP1111" s="13">
        <v>45198</v>
      </c>
      <c r="AQ1111">
        <v>0</v>
      </c>
      <c r="AR1111">
        <v>1</v>
      </c>
    </row>
    <row r="1112" spans="1:44" x14ac:dyDescent="0.35">
      <c r="A1112" s="12" t="s">
        <v>1790</v>
      </c>
      <c r="B1112" s="12" t="s">
        <v>490</v>
      </c>
      <c r="C1112" s="12" t="s">
        <v>491</v>
      </c>
      <c r="D1112" s="12" t="s">
        <v>130</v>
      </c>
      <c r="E1112" s="12" t="s">
        <v>104</v>
      </c>
      <c r="F1112">
        <v>3</v>
      </c>
      <c r="G1112">
        <v>1</v>
      </c>
      <c r="H1112">
        <v>0</v>
      </c>
      <c r="I1112" s="12" t="s">
        <v>123</v>
      </c>
      <c r="J1112" s="12" t="s">
        <v>124</v>
      </c>
      <c r="K1112" s="12" t="s">
        <v>125</v>
      </c>
      <c r="L1112" s="12" t="s">
        <v>82</v>
      </c>
      <c r="M1112">
        <v>6.75</v>
      </c>
      <c r="N1112" s="12" t="s">
        <v>159</v>
      </c>
      <c r="O1112" s="12" t="s">
        <v>160</v>
      </c>
      <c r="P1112" s="12" t="s">
        <v>137</v>
      </c>
      <c r="Q1112" s="13">
        <v>45177</v>
      </c>
      <c r="R1112" s="13">
        <v>45202</v>
      </c>
      <c r="S1112">
        <v>2023</v>
      </c>
      <c r="T1112" s="12" t="s">
        <v>1753</v>
      </c>
      <c r="U1112">
        <v>111</v>
      </c>
      <c r="V1112">
        <v>297.19900000000001</v>
      </c>
      <c r="W1112">
        <v>383.37</v>
      </c>
      <c r="X1112">
        <v>0</v>
      </c>
      <c r="Y1112">
        <v>0</v>
      </c>
      <c r="Z1112">
        <v>32989.089999999997</v>
      </c>
      <c r="AA1112">
        <v>33372.46</v>
      </c>
      <c r="AB1112" s="12" t="s">
        <v>1289</v>
      </c>
      <c r="AC1112">
        <v>297.19900000000001</v>
      </c>
      <c r="AD1112">
        <v>1</v>
      </c>
      <c r="AE1112">
        <v>1</v>
      </c>
      <c r="AF1112">
        <v>0</v>
      </c>
      <c r="AG1112">
        <v>32989.089999999997</v>
      </c>
      <c r="AH1112">
        <v>111</v>
      </c>
      <c r="AI1112">
        <v>110</v>
      </c>
      <c r="AJ1112">
        <v>1</v>
      </c>
      <c r="AK1112">
        <v>1</v>
      </c>
      <c r="AL1112">
        <v>1</v>
      </c>
      <c r="AM1112">
        <v>99.1</v>
      </c>
      <c r="AN1112">
        <v>303.38600000000002</v>
      </c>
      <c r="AO1112">
        <v>297.2</v>
      </c>
      <c r="AP1112" s="13">
        <v>45201</v>
      </c>
      <c r="AQ1112">
        <v>-1</v>
      </c>
      <c r="AR1112">
        <v>1</v>
      </c>
    </row>
    <row r="1113" spans="1:44" x14ac:dyDescent="0.35">
      <c r="A1113" s="12" t="s">
        <v>1791</v>
      </c>
      <c r="B1113" s="12" t="s">
        <v>1026</v>
      </c>
      <c r="C1113" s="12" t="s">
        <v>1027</v>
      </c>
      <c r="D1113" s="12" t="s">
        <v>122</v>
      </c>
      <c r="E1113" s="12" t="s">
        <v>104</v>
      </c>
      <c r="F1113">
        <v>3</v>
      </c>
      <c r="G1113">
        <v>1</v>
      </c>
      <c r="H1113">
        <v>0</v>
      </c>
      <c r="I1113" s="12" t="s">
        <v>183</v>
      </c>
      <c r="J1113" s="12" t="s">
        <v>184</v>
      </c>
      <c r="K1113" s="12" t="s">
        <v>133</v>
      </c>
      <c r="L1113" s="12" t="s">
        <v>82</v>
      </c>
      <c r="M1113">
        <v>8.6199999999999992</v>
      </c>
      <c r="N1113" s="12" t="s">
        <v>97</v>
      </c>
      <c r="O1113" s="12" t="s">
        <v>98</v>
      </c>
      <c r="P1113" s="12" t="s">
        <v>72</v>
      </c>
      <c r="Q1113" s="13">
        <v>45177</v>
      </c>
      <c r="R1113" s="13">
        <v>45202</v>
      </c>
      <c r="S1113">
        <v>2023</v>
      </c>
      <c r="T1113" s="12" t="s">
        <v>1753</v>
      </c>
      <c r="U1113">
        <v>1548</v>
      </c>
      <c r="V1113">
        <v>41.886099999999999</v>
      </c>
      <c r="W1113">
        <v>828.73</v>
      </c>
      <c r="X1113">
        <v>0</v>
      </c>
      <c r="Y1113">
        <v>0</v>
      </c>
      <c r="Z1113">
        <v>64839.68</v>
      </c>
      <c r="AA1113">
        <v>65668.41</v>
      </c>
      <c r="AB1113" s="12" t="s">
        <v>1116</v>
      </c>
      <c r="AC1113">
        <v>41.886099999999999</v>
      </c>
      <c r="AD1113">
        <v>1</v>
      </c>
      <c r="AE1113">
        <v>1</v>
      </c>
      <c r="AF1113">
        <v>0</v>
      </c>
      <c r="AG1113">
        <v>64839.68</v>
      </c>
      <c r="AH1113">
        <v>1548</v>
      </c>
      <c r="AI1113">
        <v>1541</v>
      </c>
      <c r="AJ1113">
        <v>7</v>
      </c>
      <c r="AK1113">
        <v>1</v>
      </c>
      <c r="AL1113">
        <v>1</v>
      </c>
      <c r="AM1113">
        <v>99.55</v>
      </c>
      <c r="AN1113">
        <v>42.614199999999997</v>
      </c>
      <c r="AO1113">
        <v>293.2</v>
      </c>
      <c r="AP1113" s="13">
        <v>45200</v>
      </c>
      <c r="AQ1113">
        <v>-2</v>
      </c>
      <c r="AR1113">
        <v>1</v>
      </c>
    </row>
    <row r="1114" spans="1:44" x14ac:dyDescent="0.35">
      <c r="A1114" s="12" t="s">
        <v>1792</v>
      </c>
      <c r="B1114" s="12" t="s">
        <v>787</v>
      </c>
      <c r="C1114" s="12" t="s">
        <v>788</v>
      </c>
      <c r="D1114" s="12" t="s">
        <v>269</v>
      </c>
      <c r="E1114" s="12" t="s">
        <v>65</v>
      </c>
      <c r="F1114">
        <v>2</v>
      </c>
      <c r="G1114">
        <v>3</v>
      </c>
      <c r="H1114">
        <v>0</v>
      </c>
      <c r="I1114" s="12" t="s">
        <v>143</v>
      </c>
      <c r="J1114" s="12" t="s">
        <v>144</v>
      </c>
      <c r="K1114" s="12" t="s">
        <v>133</v>
      </c>
      <c r="L1114" s="12" t="s">
        <v>96</v>
      </c>
      <c r="M1114">
        <v>5.43</v>
      </c>
      <c r="N1114" s="12" t="s">
        <v>135</v>
      </c>
      <c r="O1114" s="12" t="s">
        <v>136</v>
      </c>
      <c r="P1114" s="12" t="s">
        <v>137</v>
      </c>
      <c r="Q1114" s="13">
        <v>45177</v>
      </c>
      <c r="R1114" s="13">
        <v>45215</v>
      </c>
      <c r="S1114">
        <v>2023</v>
      </c>
      <c r="T1114" s="12" t="s">
        <v>1753</v>
      </c>
      <c r="U1114">
        <v>148</v>
      </c>
      <c r="V1114">
        <v>354.36430000000001</v>
      </c>
      <c r="W1114">
        <v>1041.5</v>
      </c>
      <c r="X1114">
        <v>0</v>
      </c>
      <c r="Y1114">
        <v>0</v>
      </c>
      <c r="Z1114">
        <v>52445.919999999998</v>
      </c>
      <c r="AA1114">
        <v>53487.42</v>
      </c>
      <c r="AB1114" s="12" t="s">
        <v>789</v>
      </c>
      <c r="AC1114">
        <v>354.36430000000001</v>
      </c>
      <c r="AD1114">
        <v>1</v>
      </c>
      <c r="AE1114">
        <v>1</v>
      </c>
      <c r="AF1114">
        <v>0</v>
      </c>
      <c r="AG1114">
        <v>52445.919999999998</v>
      </c>
      <c r="AH1114">
        <v>148</v>
      </c>
      <c r="AI1114">
        <v>148</v>
      </c>
      <c r="AJ1114">
        <v>0</v>
      </c>
      <c r="AK1114">
        <v>1</v>
      </c>
      <c r="AL1114">
        <v>1</v>
      </c>
      <c r="AM1114">
        <v>100</v>
      </c>
      <c r="AN1114">
        <v>361.4015</v>
      </c>
      <c r="AO1114">
        <v>0</v>
      </c>
      <c r="AP1114" s="13">
        <v>45219</v>
      </c>
      <c r="AQ1114">
        <v>4</v>
      </c>
      <c r="AR1114">
        <v>0</v>
      </c>
    </row>
    <row r="1115" spans="1:44" x14ac:dyDescent="0.35">
      <c r="A1115" s="12" t="s">
        <v>1793</v>
      </c>
      <c r="B1115" s="12" t="s">
        <v>1042</v>
      </c>
      <c r="C1115" s="12" t="s">
        <v>1043</v>
      </c>
      <c r="D1115" s="12" t="s">
        <v>269</v>
      </c>
      <c r="E1115" s="12" t="s">
        <v>104</v>
      </c>
      <c r="F1115">
        <v>2</v>
      </c>
      <c r="G1115">
        <v>0</v>
      </c>
      <c r="H1115">
        <v>0</v>
      </c>
      <c r="I1115" s="12" t="s">
        <v>143</v>
      </c>
      <c r="J1115" s="12" t="s">
        <v>144</v>
      </c>
      <c r="K1115" s="12" t="s">
        <v>133</v>
      </c>
      <c r="L1115" s="12" t="s">
        <v>96</v>
      </c>
      <c r="M1115">
        <v>5.43</v>
      </c>
      <c r="N1115" s="12" t="s">
        <v>159</v>
      </c>
      <c r="O1115" s="12" t="s">
        <v>160</v>
      </c>
      <c r="P1115" s="12" t="s">
        <v>137</v>
      </c>
      <c r="Q1115" s="13">
        <v>45177</v>
      </c>
      <c r="R1115" s="13">
        <v>45189</v>
      </c>
      <c r="S1115">
        <v>2023</v>
      </c>
      <c r="T1115" s="12" t="s">
        <v>1753</v>
      </c>
      <c r="U1115">
        <v>17</v>
      </c>
      <c r="V1115">
        <v>290.76319999999998</v>
      </c>
      <c r="W1115">
        <v>99.22</v>
      </c>
      <c r="X1115">
        <v>148.72</v>
      </c>
      <c r="Y1115">
        <v>1</v>
      </c>
      <c r="Z1115">
        <v>4942.97</v>
      </c>
      <c r="AA1115">
        <v>5190.91</v>
      </c>
      <c r="AB1115" s="12" t="s">
        <v>1044</v>
      </c>
      <c r="AC1115">
        <v>290.76319999999998</v>
      </c>
      <c r="AD1115">
        <v>1</v>
      </c>
      <c r="AE1115">
        <v>1</v>
      </c>
      <c r="AF1115">
        <v>0</v>
      </c>
      <c r="AG1115">
        <v>4942.97</v>
      </c>
      <c r="AH1115">
        <v>17</v>
      </c>
      <c r="AI1115">
        <v>17</v>
      </c>
      <c r="AJ1115">
        <v>0</v>
      </c>
      <c r="AK1115">
        <v>1</v>
      </c>
      <c r="AL1115">
        <v>1</v>
      </c>
      <c r="AM1115">
        <v>100</v>
      </c>
      <c r="AN1115">
        <v>305.34789999999998</v>
      </c>
      <c r="AO1115">
        <v>0</v>
      </c>
      <c r="AP1115" s="13">
        <v>45185</v>
      </c>
      <c r="AQ1115">
        <v>-4</v>
      </c>
      <c r="AR1115">
        <v>1</v>
      </c>
    </row>
    <row r="1116" spans="1:44" x14ac:dyDescent="0.35">
      <c r="A1116" s="12" t="s">
        <v>1794</v>
      </c>
      <c r="B1116" s="12" t="s">
        <v>670</v>
      </c>
      <c r="C1116" s="12" t="s">
        <v>671</v>
      </c>
      <c r="D1116" s="12" t="s">
        <v>175</v>
      </c>
      <c r="E1116" s="12" t="s">
        <v>142</v>
      </c>
      <c r="F1116">
        <v>2</v>
      </c>
      <c r="G1116">
        <v>9</v>
      </c>
      <c r="H1116">
        <v>0</v>
      </c>
      <c r="I1116" s="12" t="s">
        <v>105</v>
      </c>
      <c r="J1116" s="12" t="s">
        <v>106</v>
      </c>
      <c r="K1116" s="12" t="s">
        <v>81</v>
      </c>
      <c r="L1116" s="12" t="s">
        <v>96</v>
      </c>
      <c r="M1116">
        <v>5.01</v>
      </c>
      <c r="N1116" s="12" t="s">
        <v>145</v>
      </c>
      <c r="O1116" s="12" t="s">
        <v>146</v>
      </c>
      <c r="P1116" s="12" t="s">
        <v>109</v>
      </c>
      <c r="Q1116" s="13">
        <v>45177</v>
      </c>
      <c r="R1116" s="13">
        <v>45216</v>
      </c>
      <c r="S1116">
        <v>2023</v>
      </c>
      <c r="T1116" s="12" t="s">
        <v>1753</v>
      </c>
      <c r="U1116">
        <v>46</v>
      </c>
      <c r="V1116">
        <v>151.31620000000001</v>
      </c>
      <c r="W1116">
        <v>65</v>
      </c>
      <c r="X1116">
        <v>0</v>
      </c>
      <c r="Y1116">
        <v>0</v>
      </c>
      <c r="Z1116">
        <v>6960.55</v>
      </c>
      <c r="AA1116">
        <v>7025.55</v>
      </c>
      <c r="AB1116" s="12" t="s">
        <v>1203</v>
      </c>
      <c r="AC1116">
        <v>151.31620000000001</v>
      </c>
      <c r="AD1116">
        <v>1</v>
      </c>
      <c r="AE1116">
        <v>1</v>
      </c>
      <c r="AF1116">
        <v>0</v>
      </c>
      <c r="AG1116">
        <v>6960.55</v>
      </c>
      <c r="AH1116">
        <v>46</v>
      </c>
      <c r="AI1116">
        <v>46</v>
      </c>
      <c r="AJ1116">
        <v>0</v>
      </c>
      <c r="AK1116">
        <v>1</v>
      </c>
      <c r="AL1116">
        <v>1</v>
      </c>
      <c r="AM1116">
        <v>100</v>
      </c>
      <c r="AN1116">
        <v>152.72919999999999</v>
      </c>
      <c r="AO1116">
        <v>0</v>
      </c>
      <c r="AP1116" s="13">
        <v>45222</v>
      </c>
      <c r="AQ1116">
        <v>6</v>
      </c>
      <c r="AR1116">
        <v>0</v>
      </c>
    </row>
    <row r="1117" spans="1:44" x14ac:dyDescent="0.35">
      <c r="A1117" s="12" t="s">
        <v>1795</v>
      </c>
      <c r="B1117" s="12" t="s">
        <v>404</v>
      </c>
      <c r="C1117" s="12" t="s">
        <v>405</v>
      </c>
      <c r="D1117" s="12" t="s">
        <v>269</v>
      </c>
      <c r="E1117" s="12" t="s">
        <v>65</v>
      </c>
      <c r="F1117">
        <v>3</v>
      </c>
      <c r="G1117">
        <v>5</v>
      </c>
      <c r="H1117">
        <v>0</v>
      </c>
      <c r="I1117" s="12" t="s">
        <v>79</v>
      </c>
      <c r="J1117" s="12" t="s">
        <v>80</v>
      </c>
      <c r="K1117" s="12" t="s">
        <v>81</v>
      </c>
      <c r="L1117" s="12" t="s">
        <v>82</v>
      </c>
      <c r="M1117">
        <v>12.07</v>
      </c>
      <c r="N1117" s="12" t="s">
        <v>159</v>
      </c>
      <c r="O1117" s="12" t="s">
        <v>160</v>
      </c>
      <c r="P1117" s="12" t="s">
        <v>137</v>
      </c>
      <c r="Q1117" s="13">
        <v>45180</v>
      </c>
      <c r="R1117" s="13">
        <v>45208</v>
      </c>
      <c r="S1117">
        <v>2023</v>
      </c>
      <c r="T1117" s="12" t="s">
        <v>1753</v>
      </c>
      <c r="U1117">
        <v>68</v>
      </c>
      <c r="V1117">
        <v>430.41070000000002</v>
      </c>
      <c r="W1117">
        <v>669.11</v>
      </c>
      <c r="X1117">
        <v>0</v>
      </c>
      <c r="Y1117">
        <v>0</v>
      </c>
      <c r="Z1117">
        <v>29267.93</v>
      </c>
      <c r="AA1117">
        <v>29937.040000000001</v>
      </c>
      <c r="AB1117" s="12" t="s">
        <v>406</v>
      </c>
      <c r="AC1117">
        <v>430.41070000000002</v>
      </c>
      <c r="AD1117">
        <v>1</v>
      </c>
      <c r="AE1117">
        <v>1</v>
      </c>
      <c r="AF1117">
        <v>0</v>
      </c>
      <c r="AG1117">
        <v>29267.93</v>
      </c>
      <c r="AH1117">
        <v>68</v>
      </c>
      <c r="AI1117">
        <v>68</v>
      </c>
      <c r="AJ1117">
        <v>0</v>
      </c>
      <c r="AK1117">
        <v>1</v>
      </c>
      <c r="AL1117">
        <v>1</v>
      </c>
      <c r="AM1117">
        <v>100</v>
      </c>
      <c r="AN1117">
        <v>440.25060000000002</v>
      </c>
      <c r="AO1117">
        <v>0</v>
      </c>
      <c r="AP1117" s="13">
        <v>45206</v>
      </c>
      <c r="AQ1117">
        <v>-2</v>
      </c>
      <c r="AR1117">
        <v>1</v>
      </c>
    </row>
    <row r="1118" spans="1:44" x14ac:dyDescent="0.35">
      <c r="A1118" s="12" t="s">
        <v>1796</v>
      </c>
      <c r="B1118" s="12" t="s">
        <v>437</v>
      </c>
      <c r="C1118" s="12" t="s">
        <v>438</v>
      </c>
      <c r="D1118" s="12" t="s">
        <v>269</v>
      </c>
      <c r="E1118" s="12" t="s">
        <v>65</v>
      </c>
      <c r="F1118">
        <v>2</v>
      </c>
      <c r="G1118">
        <v>4</v>
      </c>
      <c r="H1118">
        <v>0</v>
      </c>
      <c r="I1118" s="12" t="s">
        <v>115</v>
      </c>
      <c r="J1118" s="12" t="s">
        <v>116</v>
      </c>
      <c r="K1118" s="12" t="s">
        <v>117</v>
      </c>
      <c r="L1118" s="12" t="s">
        <v>82</v>
      </c>
      <c r="M1118">
        <v>17.170000000000002</v>
      </c>
      <c r="N1118" s="12" t="s">
        <v>135</v>
      </c>
      <c r="O1118" s="12" t="s">
        <v>136</v>
      </c>
      <c r="P1118" s="12" t="s">
        <v>137</v>
      </c>
      <c r="Q1118" s="13">
        <v>45180</v>
      </c>
      <c r="R1118" s="13">
        <v>45208</v>
      </c>
      <c r="S1118">
        <v>2023</v>
      </c>
      <c r="T1118" s="12" t="s">
        <v>1753</v>
      </c>
      <c r="U1118">
        <v>68</v>
      </c>
      <c r="V1118">
        <v>473.21539999999999</v>
      </c>
      <c r="W1118">
        <v>536</v>
      </c>
      <c r="X1118">
        <v>0</v>
      </c>
      <c r="Y1118">
        <v>0</v>
      </c>
      <c r="Z1118">
        <v>32178.65</v>
      </c>
      <c r="AA1118">
        <v>32714.65</v>
      </c>
      <c r="AB1118" s="12" t="s">
        <v>439</v>
      </c>
      <c r="AC1118">
        <v>473.21539999999999</v>
      </c>
      <c r="AD1118">
        <v>1</v>
      </c>
      <c r="AE1118">
        <v>1</v>
      </c>
      <c r="AF1118">
        <v>0</v>
      </c>
      <c r="AG1118">
        <v>32178.65</v>
      </c>
      <c r="AH1118">
        <v>68</v>
      </c>
      <c r="AI1118">
        <v>67</v>
      </c>
      <c r="AJ1118">
        <v>1</v>
      </c>
      <c r="AK1118">
        <v>1</v>
      </c>
      <c r="AL1118">
        <v>1</v>
      </c>
      <c r="AM1118">
        <v>98.53</v>
      </c>
      <c r="AN1118">
        <v>488.2783</v>
      </c>
      <c r="AO1118">
        <v>473.22</v>
      </c>
      <c r="AP1118" s="13">
        <v>45207</v>
      </c>
      <c r="AQ1118">
        <v>-1</v>
      </c>
      <c r="AR1118">
        <v>1</v>
      </c>
    </row>
    <row r="1119" spans="1:44" x14ac:dyDescent="0.35">
      <c r="A1119" s="12" t="s">
        <v>1797</v>
      </c>
      <c r="B1119" s="12" t="s">
        <v>843</v>
      </c>
      <c r="C1119" s="12" t="s">
        <v>844</v>
      </c>
      <c r="D1119" s="12" t="s">
        <v>175</v>
      </c>
      <c r="E1119" s="12" t="s">
        <v>65</v>
      </c>
      <c r="F1119">
        <v>3</v>
      </c>
      <c r="G1119">
        <v>5</v>
      </c>
      <c r="H1119">
        <v>0</v>
      </c>
      <c r="I1119" s="12" t="s">
        <v>359</v>
      </c>
      <c r="J1119" s="12" t="s">
        <v>360</v>
      </c>
      <c r="K1119" s="12" t="s">
        <v>133</v>
      </c>
      <c r="L1119" s="12" t="s">
        <v>82</v>
      </c>
      <c r="M1119">
        <v>12.65</v>
      </c>
      <c r="N1119" s="12" t="s">
        <v>107</v>
      </c>
      <c r="O1119" s="12" t="s">
        <v>108</v>
      </c>
      <c r="P1119" s="12" t="s">
        <v>109</v>
      </c>
      <c r="Q1119" s="13">
        <v>45180</v>
      </c>
      <c r="R1119" s="13">
        <v>45204</v>
      </c>
      <c r="S1119">
        <v>2023</v>
      </c>
      <c r="T1119" s="12" t="s">
        <v>1753</v>
      </c>
      <c r="U1119">
        <v>35</v>
      </c>
      <c r="V1119">
        <v>267.03480000000002</v>
      </c>
      <c r="W1119">
        <v>240.93</v>
      </c>
      <c r="X1119">
        <v>0</v>
      </c>
      <c r="Y1119">
        <v>0</v>
      </c>
      <c r="Z1119">
        <v>9346.2199999999993</v>
      </c>
      <c r="AA1119">
        <v>9587.15</v>
      </c>
      <c r="AB1119" s="12" t="s">
        <v>845</v>
      </c>
      <c r="AC1119">
        <v>267.03480000000002</v>
      </c>
      <c r="AD1119">
        <v>1</v>
      </c>
      <c r="AE1119">
        <v>1</v>
      </c>
      <c r="AF1119">
        <v>0</v>
      </c>
      <c r="AG1119">
        <v>9346.2199999999993</v>
      </c>
      <c r="AH1119">
        <v>35</v>
      </c>
      <c r="AI1119">
        <v>35</v>
      </c>
      <c r="AJ1119">
        <v>0</v>
      </c>
      <c r="AK1119">
        <v>1</v>
      </c>
      <c r="AL1119">
        <v>1</v>
      </c>
      <c r="AM1119">
        <v>100</v>
      </c>
      <c r="AN1119">
        <v>273.91849999999999</v>
      </c>
      <c r="AO1119">
        <v>0</v>
      </c>
      <c r="AP1119" s="13">
        <v>45212</v>
      </c>
      <c r="AQ1119">
        <v>8</v>
      </c>
      <c r="AR1119">
        <v>0</v>
      </c>
    </row>
    <row r="1120" spans="1:44" x14ac:dyDescent="0.35">
      <c r="A1120" s="12" t="s">
        <v>1798</v>
      </c>
      <c r="B1120" s="12" t="s">
        <v>451</v>
      </c>
      <c r="C1120" s="12" t="s">
        <v>452</v>
      </c>
      <c r="D1120" s="12" t="s">
        <v>175</v>
      </c>
      <c r="E1120" s="12" t="s">
        <v>104</v>
      </c>
      <c r="F1120">
        <v>3</v>
      </c>
      <c r="G1120">
        <v>1</v>
      </c>
      <c r="H1120">
        <v>0</v>
      </c>
      <c r="I1120" s="12" t="s">
        <v>176</v>
      </c>
      <c r="J1120" s="12" t="s">
        <v>177</v>
      </c>
      <c r="K1120" s="12" t="s">
        <v>125</v>
      </c>
      <c r="L1120" s="12" t="s">
        <v>134</v>
      </c>
      <c r="M1120">
        <v>1.75</v>
      </c>
      <c r="N1120" s="12" t="s">
        <v>145</v>
      </c>
      <c r="O1120" s="12" t="s">
        <v>146</v>
      </c>
      <c r="P1120" s="12" t="s">
        <v>109</v>
      </c>
      <c r="Q1120" s="13">
        <v>45180</v>
      </c>
      <c r="R1120" s="13">
        <v>45194</v>
      </c>
      <c r="S1120">
        <v>2023</v>
      </c>
      <c r="T1120" s="12" t="s">
        <v>1753</v>
      </c>
      <c r="U1120">
        <v>27</v>
      </c>
      <c r="V1120">
        <v>254.15530000000001</v>
      </c>
      <c r="W1120">
        <v>110</v>
      </c>
      <c r="X1120">
        <v>0</v>
      </c>
      <c r="Y1120">
        <v>0</v>
      </c>
      <c r="Z1120">
        <v>6862.19</v>
      </c>
      <c r="AA1120">
        <v>6972.19</v>
      </c>
      <c r="AB1120" s="12" t="s">
        <v>1784</v>
      </c>
      <c r="AC1120">
        <v>254.15530000000001</v>
      </c>
      <c r="AD1120">
        <v>1</v>
      </c>
      <c r="AE1120">
        <v>1</v>
      </c>
      <c r="AF1120">
        <v>0</v>
      </c>
      <c r="AG1120">
        <v>6862.19</v>
      </c>
      <c r="AH1120">
        <v>27</v>
      </c>
      <c r="AI1120">
        <v>27</v>
      </c>
      <c r="AJ1120">
        <v>0</v>
      </c>
      <c r="AK1120">
        <v>1</v>
      </c>
      <c r="AL1120">
        <v>1</v>
      </c>
      <c r="AM1120">
        <v>100</v>
      </c>
      <c r="AN1120">
        <v>258.2294</v>
      </c>
      <c r="AO1120">
        <v>0</v>
      </c>
      <c r="AP1120" s="13">
        <v>45192</v>
      </c>
      <c r="AQ1120">
        <v>-2</v>
      </c>
      <c r="AR1120">
        <v>1</v>
      </c>
    </row>
    <row r="1121" spans="1:44" x14ac:dyDescent="0.35">
      <c r="A1121" s="12" t="s">
        <v>1799</v>
      </c>
      <c r="B1121" s="12" t="s">
        <v>941</v>
      </c>
      <c r="C1121" s="12" t="s">
        <v>942</v>
      </c>
      <c r="D1121" s="12" t="s">
        <v>130</v>
      </c>
      <c r="E1121" s="12" t="s">
        <v>104</v>
      </c>
      <c r="F1121">
        <v>2</v>
      </c>
      <c r="G1121">
        <v>0</v>
      </c>
      <c r="H1121">
        <v>0</v>
      </c>
      <c r="I1121" s="12" t="s">
        <v>131</v>
      </c>
      <c r="J1121" s="12" t="s">
        <v>132</v>
      </c>
      <c r="K1121" s="12" t="s">
        <v>133</v>
      </c>
      <c r="L1121" s="12" t="s">
        <v>134</v>
      </c>
      <c r="M1121">
        <v>1.51</v>
      </c>
      <c r="N1121" s="12" t="s">
        <v>159</v>
      </c>
      <c r="O1121" s="12" t="s">
        <v>160</v>
      </c>
      <c r="P1121" s="12" t="s">
        <v>137</v>
      </c>
      <c r="Q1121" s="13">
        <v>45180</v>
      </c>
      <c r="R1121" s="13">
        <v>45196</v>
      </c>
      <c r="S1121">
        <v>2023</v>
      </c>
      <c r="T1121" s="12" t="s">
        <v>1753</v>
      </c>
      <c r="U1121">
        <v>44</v>
      </c>
      <c r="V1121">
        <v>1051.3751999999999</v>
      </c>
      <c r="W1121">
        <v>903.72</v>
      </c>
      <c r="X1121">
        <v>0</v>
      </c>
      <c r="Y1121">
        <v>0</v>
      </c>
      <c r="Z1121">
        <v>46260.51</v>
      </c>
      <c r="AA1121">
        <v>47164.23</v>
      </c>
      <c r="AB1121" s="12" t="s">
        <v>943</v>
      </c>
      <c r="AC1121">
        <v>990.29020000000003</v>
      </c>
      <c r="AD1121">
        <v>1</v>
      </c>
      <c r="AE1121">
        <v>1</v>
      </c>
      <c r="AF1121">
        <v>2687.74</v>
      </c>
      <c r="AG1121">
        <v>43572.77</v>
      </c>
      <c r="AH1121">
        <v>44</v>
      </c>
      <c r="AI1121">
        <v>40</v>
      </c>
      <c r="AJ1121">
        <v>4</v>
      </c>
      <c r="AK1121">
        <v>1</v>
      </c>
      <c r="AL1121">
        <v>1</v>
      </c>
      <c r="AM1121">
        <v>90.91</v>
      </c>
      <c r="AN1121">
        <v>1179.1057000000001</v>
      </c>
      <c r="AO1121">
        <v>4205.5</v>
      </c>
      <c r="AP1121" s="13">
        <v>45195</v>
      </c>
      <c r="AQ1121">
        <v>-1</v>
      </c>
      <c r="AR1121">
        <v>1</v>
      </c>
    </row>
    <row r="1122" spans="1:44" x14ac:dyDescent="0.35">
      <c r="A1122" s="12" t="s">
        <v>1800</v>
      </c>
      <c r="B1122" s="12" t="s">
        <v>428</v>
      </c>
      <c r="C1122" s="12" t="s">
        <v>429</v>
      </c>
      <c r="D1122" s="12" t="s">
        <v>64</v>
      </c>
      <c r="E1122" s="12" t="s">
        <v>65</v>
      </c>
      <c r="F1122">
        <v>3</v>
      </c>
      <c r="G1122">
        <v>4</v>
      </c>
      <c r="H1122">
        <v>0</v>
      </c>
      <c r="I1122" s="12" t="s">
        <v>380</v>
      </c>
      <c r="J1122" s="12" t="s">
        <v>381</v>
      </c>
      <c r="K1122" s="12" t="s">
        <v>89</v>
      </c>
      <c r="L1122" s="12" t="s">
        <v>96</v>
      </c>
      <c r="M1122">
        <v>10.210000000000001</v>
      </c>
      <c r="N1122" s="12" t="s">
        <v>70</v>
      </c>
      <c r="O1122" s="12" t="s">
        <v>71</v>
      </c>
      <c r="P1122" s="12" t="s">
        <v>72</v>
      </c>
      <c r="Q1122" s="13">
        <v>45180</v>
      </c>
      <c r="R1122" s="13">
        <v>45218</v>
      </c>
      <c r="S1122">
        <v>2023</v>
      </c>
      <c r="T1122" s="12" t="s">
        <v>1753</v>
      </c>
      <c r="U1122">
        <v>972</v>
      </c>
      <c r="V1122">
        <v>15.0402</v>
      </c>
      <c r="W1122">
        <v>151.44999999999999</v>
      </c>
      <c r="X1122">
        <v>0</v>
      </c>
      <c r="Y1122">
        <v>0</v>
      </c>
      <c r="Z1122">
        <v>14619.07</v>
      </c>
      <c r="AA1122">
        <v>14770.52</v>
      </c>
      <c r="AB1122" s="12" t="s">
        <v>430</v>
      </c>
      <c r="AC1122">
        <v>15.0402</v>
      </c>
      <c r="AD1122">
        <v>1</v>
      </c>
      <c r="AE1122">
        <v>1</v>
      </c>
      <c r="AF1122">
        <v>0</v>
      </c>
      <c r="AG1122">
        <v>14619.07</v>
      </c>
      <c r="AH1122">
        <v>972</v>
      </c>
      <c r="AI1122">
        <v>968</v>
      </c>
      <c r="AJ1122">
        <v>4</v>
      </c>
      <c r="AK1122">
        <v>1</v>
      </c>
      <c r="AL1122">
        <v>1</v>
      </c>
      <c r="AM1122">
        <v>99.59</v>
      </c>
      <c r="AN1122">
        <v>15.258800000000001</v>
      </c>
      <c r="AO1122">
        <v>60.16</v>
      </c>
      <c r="AP1122" s="13">
        <v>45215</v>
      </c>
      <c r="AQ1122">
        <v>-3</v>
      </c>
      <c r="AR1122">
        <v>1</v>
      </c>
    </row>
    <row r="1123" spans="1:44" x14ac:dyDescent="0.35">
      <c r="A1123" s="12" t="s">
        <v>1801</v>
      </c>
      <c r="B1123" s="12" t="s">
        <v>792</v>
      </c>
      <c r="C1123" s="12" t="s">
        <v>793</v>
      </c>
      <c r="D1123" s="12" t="s">
        <v>103</v>
      </c>
      <c r="E1123" s="12" t="s">
        <v>65</v>
      </c>
      <c r="F1123">
        <v>2</v>
      </c>
      <c r="G1123">
        <v>3</v>
      </c>
      <c r="H1123">
        <v>0</v>
      </c>
      <c r="I1123" s="12" t="s">
        <v>115</v>
      </c>
      <c r="J1123" s="12" t="s">
        <v>116</v>
      </c>
      <c r="K1123" s="12" t="s">
        <v>117</v>
      </c>
      <c r="L1123" s="12" t="s">
        <v>82</v>
      </c>
      <c r="M1123">
        <v>17.170000000000002</v>
      </c>
      <c r="N1123" s="12" t="s">
        <v>107</v>
      </c>
      <c r="O1123" s="12" t="s">
        <v>108</v>
      </c>
      <c r="P1123" s="12" t="s">
        <v>109</v>
      </c>
      <c r="Q1123" s="13">
        <v>45180</v>
      </c>
      <c r="R1123" s="13">
        <v>45204</v>
      </c>
      <c r="S1123">
        <v>2023</v>
      </c>
      <c r="T1123" s="12" t="s">
        <v>1753</v>
      </c>
      <c r="U1123">
        <v>35</v>
      </c>
      <c r="V1123">
        <v>99.173299999999998</v>
      </c>
      <c r="W1123">
        <v>32.46</v>
      </c>
      <c r="X1123">
        <v>0</v>
      </c>
      <c r="Y1123">
        <v>0</v>
      </c>
      <c r="Z1123">
        <v>3471.07</v>
      </c>
      <c r="AA1123">
        <v>3503.53</v>
      </c>
      <c r="AB1123" s="12" t="s">
        <v>794</v>
      </c>
      <c r="AC1123">
        <v>99.173299999999998</v>
      </c>
      <c r="AD1123">
        <v>1</v>
      </c>
      <c r="AE1123">
        <v>1</v>
      </c>
      <c r="AF1123">
        <v>0</v>
      </c>
      <c r="AG1123">
        <v>3471.07</v>
      </c>
      <c r="AH1123">
        <v>35</v>
      </c>
      <c r="AI1123">
        <v>35</v>
      </c>
      <c r="AJ1123">
        <v>0</v>
      </c>
      <c r="AK1123">
        <v>1</v>
      </c>
      <c r="AL1123">
        <v>1</v>
      </c>
      <c r="AM1123">
        <v>100</v>
      </c>
      <c r="AN1123">
        <v>100.1007</v>
      </c>
      <c r="AO1123">
        <v>0</v>
      </c>
      <c r="AP1123" s="13">
        <v>45201</v>
      </c>
      <c r="AQ1123">
        <v>-3</v>
      </c>
      <c r="AR1123">
        <v>1</v>
      </c>
    </row>
    <row r="1124" spans="1:44" x14ac:dyDescent="0.35">
      <c r="A1124" s="12" t="s">
        <v>1802</v>
      </c>
      <c r="B1124" s="12" t="s">
        <v>561</v>
      </c>
      <c r="C1124" s="12" t="s">
        <v>562</v>
      </c>
      <c r="D1124" s="12" t="s">
        <v>130</v>
      </c>
      <c r="E1124" s="12" t="s">
        <v>142</v>
      </c>
      <c r="F1124">
        <v>1</v>
      </c>
      <c r="G1124">
        <v>9</v>
      </c>
      <c r="H1124">
        <v>1</v>
      </c>
      <c r="I1124" s="12" t="s">
        <v>223</v>
      </c>
      <c r="J1124" s="12" t="s">
        <v>224</v>
      </c>
      <c r="K1124" s="12" t="s">
        <v>81</v>
      </c>
      <c r="L1124" s="12" t="s">
        <v>134</v>
      </c>
      <c r="M1124">
        <v>2.4900000000000002</v>
      </c>
      <c r="N1124" s="12" t="s">
        <v>159</v>
      </c>
      <c r="O1124" s="12" t="s">
        <v>160</v>
      </c>
      <c r="P1124" s="12" t="s">
        <v>137</v>
      </c>
      <c r="Q1124" s="13">
        <v>45180</v>
      </c>
      <c r="R1124" s="13">
        <v>45222</v>
      </c>
      <c r="S1124">
        <v>2023</v>
      </c>
      <c r="T1124" s="12" t="s">
        <v>1753</v>
      </c>
      <c r="U1124">
        <v>69</v>
      </c>
      <c r="V1124">
        <v>603.56020000000001</v>
      </c>
      <c r="W1124">
        <v>315.86</v>
      </c>
      <c r="X1124">
        <v>0</v>
      </c>
      <c r="Y1124">
        <v>0</v>
      </c>
      <c r="Z1124">
        <v>41645.65</v>
      </c>
      <c r="AA1124">
        <v>41961.51</v>
      </c>
      <c r="AB1124" s="12" t="s">
        <v>563</v>
      </c>
      <c r="AC1124">
        <v>603.56020000000001</v>
      </c>
      <c r="AD1124">
        <v>1</v>
      </c>
      <c r="AE1124">
        <v>1</v>
      </c>
      <c r="AF1124">
        <v>0</v>
      </c>
      <c r="AG1124">
        <v>41645.65</v>
      </c>
      <c r="AH1124">
        <v>69</v>
      </c>
      <c r="AI1124">
        <v>69</v>
      </c>
      <c r="AJ1124">
        <v>0</v>
      </c>
      <c r="AK1124">
        <v>1</v>
      </c>
      <c r="AL1124">
        <v>1</v>
      </c>
      <c r="AM1124">
        <v>100</v>
      </c>
      <c r="AN1124">
        <v>608.13789999999995</v>
      </c>
      <c r="AO1124">
        <v>0</v>
      </c>
      <c r="AP1124" s="13">
        <v>45220</v>
      </c>
      <c r="AQ1124">
        <v>-2</v>
      </c>
      <c r="AR1124">
        <v>1</v>
      </c>
    </row>
    <row r="1125" spans="1:44" x14ac:dyDescent="0.35">
      <c r="A1125" s="12" t="s">
        <v>1803</v>
      </c>
      <c r="B1125" s="12" t="s">
        <v>613</v>
      </c>
      <c r="C1125" s="12" t="s">
        <v>614</v>
      </c>
      <c r="D1125" s="12" t="s">
        <v>130</v>
      </c>
      <c r="E1125" s="12" t="s">
        <v>104</v>
      </c>
      <c r="F1125">
        <v>3</v>
      </c>
      <c r="G1125">
        <v>1</v>
      </c>
      <c r="H1125">
        <v>0</v>
      </c>
      <c r="I1125" s="12" t="s">
        <v>66</v>
      </c>
      <c r="J1125" s="12" t="s">
        <v>67</v>
      </c>
      <c r="K1125" s="12" t="s">
        <v>68</v>
      </c>
      <c r="L1125" s="12" t="s">
        <v>69</v>
      </c>
      <c r="M1125">
        <v>17.66</v>
      </c>
      <c r="N1125" s="12" t="s">
        <v>159</v>
      </c>
      <c r="O1125" s="12" t="s">
        <v>160</v>
      </c>
      <c r="P1125" s="12" t="s">
        <v>137</v>
      </c>
      <c r="Q1125" s="13">
        <v>45181</v>
      </c>
      <c r="R1125" s="13">
        <v>45194</v>
      </c>
      <c r="S1125">
        <v>2023</v>
      </c>
      <c r="T1125" s="12" t="s">
        <v>1753</v>
      </c>
      <c r="U1125">
        <v>23</v>
      </c>
      <c r="V1125">
        <v>195.35140000000001</v>
      </c>
      <c r="W1125">
        <v>27.59</v>
      </c>
      <c r="X1125">
        <v>0</v>
      </c>
      <c r="Y1125">
        <v>0</v>
      </c>
      <c r="Z1125">
        <v>4493.08</v>
      </c>
      <c r="AA1125">
        <v>4520.67</v>
      </c>
      <c r="AB1125" s="12" t="s">
        <v>615</v>
      </c>
      <c r="AC1125">
        <v>195.35140000000001</v>
      </c>
      <c r="AD1125">
        <v>1</v>
      </c>
      <c r="AE1125">
        <v>1</v>
      </c>
      <c r="AF1125">
        <v>0</v>
      </c>
      <c r="AG1125">
        <v>4493.08</v>
      </c>
      <c r="AH1125">
        <v>23</v>
      </c>
      <c r="AI1125">
        <v>23</v>
      </c>
      <c r="AJ1125">
        <v>0</v>
      </c>
      <c r="AK1125">
        <v>1</v>
      </c>
      <c r="AL1125">
        <v>1</v>
      </c>
      <c r="AM1125">
        <v>100</v>
      </c>
      <c r="AN1125">
        <v>196.55099999999999</v>
      </c>
      <c r="AO1125">
        <v>0</v>
      </c>
      <c r="AP1125" s="13">
        <v>45198</v>
      </c>
      <c r="AQ1125">
        <v>4</v>
      </c>
      <c r="AR1125">
        <v>0</v>
      </c>
    </row>
    <row r="1126" spans="1:44" x14ac:dyDescent="0.35">
      <c r="A1126" s="12" t="s">
        <v>1804</v>
      </c>
      <c r="B1126" s="12" t="s">
        <v>167</v>
      </c>
      <c r="C1126" s="12" t="s">
        <v>168</v>
      </c>
      <c r="D1126" s="12" t="s">
        <v>64</v>
      </c>
      <c r="E1126" s="12" t="s">
        <v>104</v>
      </c>
      <c r="F1126">
        <v>3</v>
      </c>
      <c r="G1126">
        <v>1</v>
      </c>
      <c r="H1126">
        <v>0</v>
      </c>
      <c r="I1126" s="12" t="s">
        <v>195</v>
      </c>
      <c r="J1126" s="12" t="s">
        <v>196</v>
      </c>
      <c r="K1126" s="12" t="s">
        <v>117</v>
      </c>
      <c r="L1126" s="12" t="s">
        <v>134</v>
      </c>
      <c r="M1126">
        <v>4.7699999999999996</v>
      </c>
      <c r="N1126" s="12" t="s">
        <v>97</v>
      </c>
      <c r="O1126" s="12" t="s">
        <v>98</v>
      </c>
      <c r="P1126" s="12" t="s">
        <v>72</v>
      </c>
      <c r="Q1126" s="13">
        <v>45181</v>
      </c>
      <c r="R1126" s="13">
        <v>45195</v>
      </c>
      <c r="S1126">
        <v>2023</v>
      </c>
      <c r="T1126" s="12" t="s">
        <v>1753</v>
      </c>
      <c r="U1126">
        <v>217</v>
      </c>
      <c r="V1126">
        <v>28.596800000000002</v>
      </c>
      <c r="W1126">
        <v>136.74</v>
      </c>
      <c r="X1126">
        <v>0</v>
      </c>
      <c r="Y1126">
        <v>0</v>
      </c>
      <c r="Z1126">
        <v>6205.51</v>
      </c>
      <c r="AA1126">
        <v>6342.25</v>
      </c>
      <c r="AB1126" s="12" t="s">
        <v>201</v>
      </c>
      <c r="AD1126">
        <v>0</v>
      </c>
      <c r="AE1126">
        <v>0</v>
      </c>
      <c r="AH1126">
        <v>217</v>
      </c>
      <c r="AI1126">
        <v>216</v>
      </c>
      <c r="AJ1126">
        <v>1</v>
      </c>
      <c r="AK1126">
        <v>1</v>
      </c>
      <c r="AL1126">
        <v>1</v>
      </c>
      <c r="AM1126">
        <v>99.54</v>
      </c>
      <c r="AN1126">
        <v>29.362200000000001</v>
      </c>
      <c r="AO1126">
        <v>28.6</v>
      </c>
      <c r="AP1126" s="13">
        <v>45195</v>
      </c>
      <c r="AQ1126">
        <v>0</v>
      </c>
      <c r="AR1126">
        <v>1</v>
      </c>
    </row>
    <row r="1127" spans="1:44" x14ac:dyDescent="0.35">
      <c r="A1127" s="12" t="s">
        <v>1805</v>
      </c>
      <c r="B1127" s="12" t="s">
        <v>454</v>
      </c>
      <c r="C1127" s="12" t="s">
        <v>455</v>
      </c>
      <c r="D1127" s="12" t="s">
        <v>122</v>
      </c>
      <c r="E1127" s="12" t="s">
        <v>104</v>
      </c>
      <c r="F1127">
        <v>3</v>
      </c>
      <c r="G1127">
        <v>1</v>
      </c>
      <c r="H1127">
        <v>0</v>
      </c>
      <c r="I1127" s="12" t="s">
        <v>87</v>
      </c>
      <c r="J1127" s="12" t="s">
        <v>88</v>
      </c>
      <c r="K1127" s="12" t="s">
        <v>89</v>
      </c>
      <c r="L1127" s="12" t="s">
        <v>69</v>
      </c>
      <c r="M1127">
        <v>14.93</v>
      </c>
      <c r="N1127" s="12" t="s">
        <v>70</v>
      </c>
      <c r="O1127" s="12" t="s">
        <v>71</v>
      </c>
      <c r="P1127" s="12" t="s">
        <v>72</v>
      </c>
      <c r="Q1127" s="13">
        <v>45181</v>
      </c>
      <c r="R1127" s="13">
        <v>45193</v>
      </c>
      <c r="S1127">
        <v>2023</v>
      </c>
      <c r="T1127" s="12" t="s">
        <v>1753</v>
      </c>
      <c r="U1127">
        <v>293</v>
      </c>
      <c r="V1127">
        <v>21.796199999999999</v>
      </c>
      <c r="W1127">
        <v>67.19</v>
      </c>
      <c r="X1127">
        <v>0</v>
      </c>
      <c r="Y1127">
        <v>0</v>
      </c>
      <c r="Z1127">
        <v>6386.29</v>
      </c>
      <c r="AA1127">
        <v>6453.48</v>
      </c>
      <c r="AB1127" s="12" t="s">
        <v>456</v>
      </c>
      <c r="AC1127">
        <v>21.796199999999999</v>
      </c>
      <c r="AD1127">
        <v>1</v>
      </c>
      <c r="AE1127">
        <v>1</v>
      </c>
      <c r="AF1127">
        <v>0</v>
      </c>
      <c r="AG1127">
        <v>6386.29</v>
      </c>
      <c r="AH1127">
        <v>293</v>
      </c>
      <c r="AI1127">
        <v>292</v>
      </c>
      <c r="AJ1127">
        <v>1</v>
      </c>
      <c r="AK1127">
        <v>1</v>
      </c>
      <c r="AL1127">
        <v>1</v>
      </c>
      <c r="AM1127">
        <v>99.66</v>
      </c>
      <c r="AN1127">
        <v>22.100899999999999</v>
      </c>
      <c r="AO1127">
        <v>21.8</v>
      </c>
      <c r="AP1127" s="13">
        <v>45190</v>
      </c>
      <c r="AQ1127">
        <v>-3</v>
      </c>
      <c r="AR1127">
        <v>1</v>
      </c>
    </row>
    <row r="1128" spans="1:44" x14ac:dyDescent="0.35">
      <c r="A1128" s="12" t="s">
        <v>1806</v>
      </c>
      <c r="B1128" s="12" t="s">
        <v>1042</v>
      </c>
      <c r="C1128" s="12" t="s">
        <v>1043</v>
      </c>
      <c r="D1128" s="12" t="s">
        <v>269</v>
      </c>
      <c r="E1128" s="12" t="s">
        <v>104</v>
      </c>
      <c r="F1128">
        <v>2</v>
      </c>
      <c r="G1128">
        <v>0</v>
      </c>
      <c r="H1128">
        <v>0</v>
      </c>
      <c r="I1128" s="12" t="s">
        <v>143</v>
      </c>
      <c r="J1128" s="12" t="s">
        <v>144</v>
      </c>
      <c r="K1128" s="12" t="s">
        <v>133</v>
      </c>
      <c r="L1128" s="12" t="s">
        <v>96</v>
      </c>
      <c r="M1128">
        <v>5.43</v>
      </c>
      <c r="N1128" s="12" t="s">
        <v>159</v>
      </c>
      <c r="O1128" s="12" t="s">
        <v>160</v>
      </c>
      <c r="P1128" s="12" t="s">
        <v>137</v>
      </c>
      <c r="Q1128" s="13">
        <v>45181</v>
      </c>
      <c r="R1128" s="13">
        <v>45203</v>
      </c>
      <c r="S1128">
        <v>2023</v>
      </c>
      <c r="T1128" s="12" t="s">
        <v>1753</v>
      </c>
      <c r="U1128">
        <v>91</v>
      </c>
      <c r="V1128">
        <v>290.76319999999998</v>
      </c>
      <c r="W1128">
        <v>202.5</v>
      </c>
      <c r="X1128">
        <v>0</v>
      </c>
      <c r="Y1128">
        <v>0</v>
      </c>
      <c r="Z1128">
        <v>26459.45</v>
      </c>
      <c r="AA1128">
        <v>26661.95</v>
      </c>
      <c r="AB1128" s="12" t="s">
        <v>1044</v>
      </c>
      <c r="AC1128">
        <v>290.76319999999998</v>
      </c>
      <c r="AD1128">
        <v>1</v>
      </c>
      <c r="AE1128">
        <v>1</v>
      </c>
      <c r="AF1128">
        <v>0</v>
      </c>
      <c r="AG1128">
        <v>26459.45</v>
      </c>
      <c r="AH1128">
        <v>91</v>
      </c>
      <c r="AI1128">
        <v>90</v>
      </c>
      <c r="AJ1128">
        <v>1</v>
      </c>
      <c r="AK1128">
        <v>1</v>
      </c>
      <c r="AL1128">
        <v>1</v>
      </c>
      <c r="AM1128">
        <v>98.9</v>
      </c>
      <c r="AN1128">
        <v>296.2439</v>
      </c>
      <c r="AO1128">
        <v>290.76</v>
      </c>
      <c r="AP1128" s="13">
        <v>45203</v>
      </c>
      <c r="AQ1128">
        <v>0</v>
      </c>
      <c r="AR1128">
        <v>1</v>
      </c>
    </row>
    <row r="1129" spans="1:44" x14ac:dyDescent="0.35">
      <c r="A1129" s="12" t="s">
        <v>1807</v>
      </c>
      <c r="B1129" s="12" t="s">
        <v>1034</v>
      </c>
      <c r="C1129" s="12" t="s">
        <v>1035</v>
      </c>
      <c r="D1129" s="12" t="s">
        <v>64</v>
      </c>
      <c r="E1129" s="12" t="s">
        <v>104</v>
      </c>
      <c r="F1129">
        <v>2</v>
      </c>
      <c r="G1129">
        <v>0</v>
      </c>
      <c r="H1129">
        <v>0</v>
      </c>
      <c r="I1129" s="12" t="s">
        <v>676</v>
      </c>
      <c r="J1129" s="12" t="s">
        <v>677</v>
      </c>
      <c r="K1129" s="12" t="s">
        <v>68</v>
      </c>
      <c r="L1129" s="12" t="s">
        <v>96</v>
      </c>
      <c r="M1129">
        <v>3.57</v>
      </c>
      <c r="N1129" s="12" t="s">
        <v>97</v>
      </c>
      <c r="O1129" s="12" t="s">
        <v>98</v>
      </c>
      <c r="P1129" s="12" t="s">
        <v>72</v>
      </c>
      <c r="Q1129" s="13">
        <v>45182</v>
      </c>
      <c r="R1129" s="13">
        <v>45200</v>
      </c>
      <c r="S1129">
        <v>2023</v>
      </c>
      <c r="T1129" s="12" t="s">
        <v>1753</v>
      </c>
      <c r="U1129">
        <v>436</v>
      </c>
      <c r="V1129">
        <v>9.9979999999999993</v>
      </c>
      <c r="W1129">
        <v>39.840000000000003</v>
      </c>
      <c r="X1129">
        <v>0</v>
      </c>
      <c r="Y1129">
        <v>0</v>
      </c>
      <c r="Z1129">
        <v>4359.13</v>
      </c>
      <c r="AA1129">
        <v>4398.97</v>
      </c>
      <c r="AB1129" s="12" t="s">
        <v>1626</v>
      </c>
      <c r="AC1129">
        <v>9.9979999999999993</v>
      </c>
      <c r="AD1129">
        <v>1</v>
      </c>
      <c r="AE1129">
        <v>1</v>
      </c>
      <c r="AF1129">
        <v>0</v>
      </c>
      <c r="AG1129">
        <v>4359.13</v>
      </c>
      <c r="AH1129">
        <v>436</v>
      </c>
      <c r="AI1129">
        <v>434</v>
      </c>
      <c r="AJ1129">
        <v>2</v>
      </c>
      <c r="AK1129">
        <v>1</v>
      </c>
      <c r="AL1129">
        <v>1</v>
      </c>
      <c r="AM1129">
        <v>99.54</v>
      </c>
      <c r="AN1129">
        <v>10.135899999999999</v>
      </c>
      <c r="AO1129">
        <v>20</v>
      </c>
      <c r="AP1129" s="13">
        <v>45200</v>
      </c>
      <c r="AQ1129">
        <v>0</v>
      </c>
      <c r="AR1129">
        <v>1</v>
      </c>
    </row>
    <row r="1130" spans="1:44" x14ac:dyDescent="0.35">
      <c r="A1130" s="12" t="s">
        <v>1808</v>
      </c>
      <c r="B1130" s="12" t="s">
        <v>513</v>
      </c>
      <c r="C1130" s="12" t="s">
        <v>514</v>
      </c>
      <c r="D1130" s="12" t="s">
        <v>269</v>
      </c>
      <c r="E1130" s="12" t="s">
        <v>65</v>
      </c>
      <c r="F1130">
        <v>1</v>
      </c>
      <c r="G1130">
        <v>2</v>
      </c>
      <c r="H1130">
        <v>1</v>
      </c>
      <c r="I1130" s="12" t="s">
        <v>515</v>
      </c>
      <c r="J1130" s="12" t="s">
        <v>516</v>
      </c>
      <c r="K1130" s="12" t="s">
        <v>68</v>
      </c>
      <c r="L1130" s="12" t="s">
        <v>134</v>
      </c>
      <c r="M1130">
        <v>3.69</v>
      </c>
      <c r="N1130" s="12" t="s">
        <v>159</v>
      </c>
      <c r="O1130" s="12" t="s">
        <v>160</v>
      </c>
      <c r="P1130" s="12" t="s">
        <v>137</v>
      </c>
      <c r="Q1130" s="13">
        <v>45182</v>
      </c>
      <c r="R1130" s="13">
        <v>45217</v>
      </c>
      <c r="S1130">
        <v>2023</v>
      </c>
      <c r="T1130" s="12" t="s">
        <v>1753</v>
      </c>
      <c r="U1130">
        <v>122</v>
      </c>
      <c r="V1130">
        <v>229.3486</v>
      </c>
      <c r="W1130">
        <v>621.55999999999995</v>
      </c>
      <c r="X1130">
        <v>0</v>
      </c>
      <c r="Y1130">
        <v>0</v>
      </c>
      <c r="Z1130">
        <v>27980.53</v>
      </c>
      <c r="AA1130">
        <v>28602.09</v>
      </c>
      <c r="AB1130" s="12" t="s">
        <v>517</v>
      </c>
      <c r="AC1130">
        <v>229.3486</v>
      </c>
      <c r="AD1130">
        <v>1</v>
      </c>
      <c r="AE1130">
        <v>1</v>
      </c>
      <c r="AF1130">
        <v>0</v>
      </c>
      <c r="AG1130">
        <v>27980.53</v>
      </c>
      <c r="AH1130">
        <v>122</v>
      </c>
      <c r="AI1130">
        <v>121</v>
      </c>
      <c r="AJ1130">
        <v>1</v>
      </c>
      <c r="AK1130">
        <v>1</v>
      </c>
      <c r="AL1130">
        <v>1</v>
      </c>
      <c r="AM1130">
        <v>99.18</v>
      </c>
      <c r="AN1130">
        <v>236.3809</v>
      </c>
      <c r="AO1130">
        <v>229.35</v>
      </c>
      <c r="AP1130" s="13">
        <v>45216</v>
      </c>
      <c r="AQ1130">
        <v>-1</v>
      </c>
      <c r="AR1130">
        <v>1</v>
      </c>
    </row>
    <row r="1131" spans="1:44" x14ac:dyDescent="0.35">
      <c r="A1131" s="12" t="s">
        <v>1809</v>
      </c>
      <c r="B1131" s="12" t="s">
        <v>472</v>
      </c>
      <c r="C1131" s="12" t="s">
        <v>473</v>
      </c>
      <c r="D1131" s="12" t="s">
        <v>122</v>
      </c>
      <c r="E1131" s="12" t="s">
        <v>142</v>
      </c>
      <c r="F1131">
        <v>2</v>
      </c>
      <c r="G1131">
        <v>9</v>
      </c>
      <c r="H1131">
        <v>0</v>
      </c>
      <c r="I1131" s="12" t="s">
        <v>209</v>
      </c>
      <c r="J1131" s="12" t="s">
        <v>210</v>
      </c>
      <c r="K1131" s="12" t="s">
        <v>133</v>
      </c>
      <c r="L1131" s="12" t="s">
        <v>96</v>
      </c>
      <c r="M1131">
        <v>7.82</v>
      </c>
      <c r="N1131" s="12" t="s">
        <v>70</v>
      </c>
      <c r="O1131" s="12" t="s">
        <v>71</v>
      </c>
      <c r="P1131" s="12" t="s">
        <v>72</v>
      </c>
      <c r="Q1131" s="13">
        <v>45182</v>
      </c>
      <c r="R1131" s="13">
        <v>45219</v>
      </c>
      <c r="S1131">
        <v>2023</v>
      </c>
      <c r="T1131" s="12" t="s">
        <v>1753</v>
      </c>
      <c r="U1131">
        <v>456</v>
      </c>
      <c r="V1131">
        <v>48.7896</v>
      </c>
      <c r="W1131">
        <v>252.27</v>
      </c>
      <c r="X1131">
        <v>705.48</v>
      </c>
      <c r="Y1131">
        <v>1</v>
      </c>
      <c r="Z1131">
        <v>22248.06</v>
      </c>
      <c r="AA1131">
        <v>23205.81</v>
      </c>
      <c r="AB1131" s="12" t="s">
        <v>474</v>
      </c>
      <c r="AC1131">
        <v>48.7896</v>
      </c>
      <c r="AD1131">
        <v>1</v>
      </c>
      <c r="AE1131">
        <v>1</v>
      </c>
      <c r="AF1131">
        <v>0</v>
      </c>
      <c r="AG1131">
        <v>22248.06</v>
      </c>
      <c r="AH1131">
        <v>456</v>
      </c>
      <c r="AI1131">
        <v>452</v>
      </c>
      <c r="AJ1131">
        <v>4</v>
      </c>
      <c r="AK1131">
        <v>1</v>
      </c>
      <c r="AL1131">
        <v>1</v>
      </c>
      <c r="AM1131">
        <v>99.12</v>
      </c>
      <c r="AN1131">
        <v>51.340299999999999</v>
      </c>
      <c r="AO1131">
        <v>195.16</v>
      </c>
      <c r="AP1131" s="13">
        <v>45218</v>
      </c>
      <c r="AQ1131">
        <v>-1</v>
      </c>
      <c r="AR1131">
        <v>1</v>
      </c>
    </row>
    <row r="1132" spans="1:44" x14ac:dyDescent="0.35">
      <c r="A1132" s="12" t="s">
        <v>1810</v>
      </c>
      <c r="B1132" s="12" t="s">
        <v>848</v>
      </c>
      <c r="C1132" s="12" t="s">
        <v>849</v>
      </c>
      <c r="D1132" s="12" t="s">
        <v>103</v>
      </c>
      <c r="E1132" s="12" t="s">
        <v>65</v>
      </c>
      <c r="F1132">
        <v>2</v>
      </c>
      <c r="G1132">
        <v>4</v>
      </c>
      <c r="H1132">
        <v>0</v>
      </c>
      <c r="I1132" s="12" t="s">
        <v>87</v>
      </c>
      <c r="J1132" s="12" t="s">
        <v>88</v>
      </c>
      <c r="K1132" s="12" t="s">
        <v>89</v>
      </c>
      <c r="L1132" s="12" t="s">
        <v>69</v>
      </c>
      <c r="M1132">
        <v>14.93</v>
      </c>
      <c r="N1132" s="12" t="s">
        <v>145</v>
      </c>
      <c r="O1132" s="12" t="s">
        <v>146</v>
      </c>
      <c r="P1132" s="12" t="s">
        <v>109</v>
      </c>
      <c r="Q1132" s="13">
        <v>45182</v>
      </c>
      <c r="R1132" s="13">
        <v>45215</v>
      </c>
      <c r="S1132">
        <v>2023</v>
      </c>
      <c r="T1132" s="12" t="s">
        <v>1753</v>
      </c>
      <c r="U1132">
        <v>106</v>
      </c>
      <c r="V1132">
        <v>123.8275</v>
      </c>
      <c r="W1132">
        <v>248.89</v>
      </c>
      <c r="X1132">
        <v>0</v>
      </c>
      <c r="Y1132">
        <v>0</v>
      </c>
      <c r="Z1132">
        <v>13125.72</v>
      </c>
      <c r="AA1132">
        <v>13374.61</v>
      </c>
      <c r="AB1132" s="12" t="s">
        <v>850</v>
      </c>
      <c r="AC1132">
        <v>123.8275</v>
      </c>
      <c r="AD1132">
        <v>1</v>
      </c>
      <c r="AE1132">
        <v>1</v>
      </c>
      <c r="AF1132">
        <v>0</v>
      </c>
      <c r="AG1132">
        <v>13125.72</v>
      </c>
      <c r="AH1132">
        <v>106</v>
      </c>
      <c r="AI1132">
        <v>106</v>
      </c>
      <c r="AJ1132">
        <v>0</v>
      </c>
      <c r="AK1132">
        <v>1</v>
      </c>
      <c r="AL1132">
        <v>1</v>
      </c>
      <c r="AM1132">
        <v>100</v>
      </c>
      <c r="AN1132">
        <v>126.1755</v>
      </c>
      <c r="AO1132">
        <v>0</v>
      </c>
      <c r="AP1132" s="13">
        <v>45212</v>
      </c>
      <c r="AQ1132">
        <v>-3</v>
      </c>
      <c r="AR1132">
        <v>1</v>
      </c>
    </row>
    <row r="1133" spans="1:44" x14ac:dyDescent="0.35">
      <c r="A1133" s="12" t="s">
        <v>1811</v>
      </c>
      <c r="B1133" s="12" t="s">
        <v>848</v>
      </c>
      <c r="C1133" s="12" t="s">
        <v>849</v>
      </c>
      <c r="D1133" s="12" t="s">
        <v>103</v>
      </c>
      <c r="E1133" s="12" t="s">
        <v>65</v>
      </c>
      <c r="F1133">
        <v>2</v>
      </c>
      <c r="G1133">
        <v>4</v>
      </c>
      <c r="H1133">
        <v>0</v>
      </c>
      <c r="I1133" s="12" t="s">
        <v>87</v>
      </c>
      <c r="J1133" s="12" t="s">
        <v>88</v>
      </c>
      <c r="K1133" s="12" t="s">
        <v>89</v>
      </c>
      <c r="L1133" s="12" t="s">
        <v>69</v>
      </c>
      <c r="M1133">
        <v>14.93</v>
      </c>
      <c r="N1133" s="12" t="s">
        <v>107</v>
      </c>
      <c r="O1133" s="12" t="s">
        <v>108</v>
      </c>
      <c r="P1133" s="12" t="s">
        <v>109</v>
      </c>
      <c r="Q1133" s="13">
        <v>45182</v>
      </c>
      <c r="R1133" s="13">
        <v>45208</v>
      </c>
      <c r="S1133">
        <v>2023</v>
      </c>
      <c r="T1133" s="12" t="s">
        <v>1753</v>
      </c>
      <c r="U1133">
        <v>54</v>
      </c>
      <c r="V1133">
        <v>123.8275</v>
      </c>
      <c r="W1133">
        <v>111.73</v>
      </c>
      <c r="X1133">
        <v>0</v>
      </c>
      <c r="Y1133">
        <v>0</v>
      </c>
      <c r="Z1133">
        <v>6686.69</v>
      </c>
      <c r="AA1133">
        <v>6798.42</v>
      </c>
      <c r="AB1133" s="12" t="s">
        <v>850</v>
      </c>
      <c r="AC1133">
        <v>123.8275</v>
      </c>
      <c r="AD1133">
        <v>1</v>
      </c>
      <c r="AE1133">
        <v>1</v>
      </c>
      <c r="AF1133">
        <v>0</v>
      </c>
      <c r="AG1133">
        <v>6686.69</v>
      </c>
      <c r="AH1133">
        <v>54</v>
      </c>
      <c r="AI1133">
        <v>53</v>
      </c>
      <c r="AJ1133">
        <v>1</v>
      </c>
      <c r="AK1133">
        <v>1</v>
      </c>
      <c r="AL1133">
        <v>1</v>
      </c>
      <c r="AM1133">
        <v>98.15</v>
      </c>
      <c r="AN1133">
        <v>128.27199999999999</v>
      </c>
      <c r="AO1133">
        <v>123.83</v>
      </c>
      <c r="AP1133" s="13">
        <v>45205</v>
      </c>
      <c r="AQ1133">
        <v>-3</v>
      </c>
      <c r="AR1133">
        <v>1</v>
      </c>
    </row>
    <row r="1134" spans="1:44" x14ac:dyDescent="0.35">
      <c r="A1134" s="12" t="s">
        <v>1812</v>
      </c>
      <c r="B1134" s="12" t="s">
        <v>1068</v>
      </c>
      <c r="C1134" s="12" t="s">
        <v>1069</v>
      </c>
      <c r="D1134" s="12" t="s">
        <v>122</v>
      </c>
      <c r="E1134" s="12" t="s">
        <v>65</v>
      </c>
      <c r="F1134">
        <v>2</v>
      </c>
      <c r="G1134">
        <v>2</v>
      </c>
      <c r="H1134">
        <v>0</v>
      </c>
      <c r="I1134" s="12" t="s">
        <v>195</v>
      </c>
      <c r="J1134" s="12" t="s">
        <v>196</v>
      </c>
      <c r="K1134" s="12" t="s">
        <v>117</v>
      </c>
      <c r="L1134" s="12" t="s">
        <v>134</v>
      </c>
      <c r="M1134">
        <v>4.7699999999999996</v>
      </c>
      <c r="N1134" s="12" t="s">
        <v>97</v>
      </c>
      <c r="O1134" s="12" t="s">
        <v>98</v>
      </c>
      <c r="P1134" s="12" t="s">
        <v>72</v>
      </c>
      <c r="Q1134" s="13">
        <v>45182</v>
      </c>
      <c r="R1134" s="13">
        <v>45214</v>
      </c>
      <c r="S1134">
        <v>2023</v>
      </c>
      <c r="T1134" s="12" t="s">
        <v>1753</v>
      </c>
      <c r="U1134">
        <v>1325</v>
      </c>
      <c r="V1134">
        <v>21.667100000000001</v>
      </c>
      <c r="W1134">
        <v>445.21</v>
      </c>
      <c r="X1134">
        <v>0</v>
      </c>
      <c r="Y1134">
        <v>0</v>
      </c>
      <c r="Z1134">
        <v>28708.91</v>
      </c>
      <c r="AA1134">
        <v>29154.12</v>
      </c>
      <c r="AB1134" s="12" t="s">
        <v>1370</v>
      </c>
      <c r="AC1134">
        <v>21.667100000000001</v>
      </c>
      <c r="AD1134">
        <v>1</v>
      </c>
      <c r="AE1134">
        <v>1</v>
      </c>
      <c r="AF1134">
        <v>0</v>
      </c>
      <c r="AG1134">
        <v>28708.91</v>
      </c>
      <c r="AH1134">
        <v>1325</v>
      </c>
      <c r="AI1134">
        <v>1310</v>
      </c>
      <c r="AJ1134">
        <v>15</v>
      </c>
      <c r="AK1134">
        <v>1</v>
      </c>
      <c r="AL1134">
        <v>1</v>
      </c>
      <c r="AM1134">
        <v>98.87</v>
      </c>
      <c r="AN1134">
        <v>22.255099999999999</v>
      </c>
      <c r="AO1134">
        <v>325.01</v>
      </c>
      <c r="AP1134" s="13">
        <v>45215</v>
      </c>
      <c r="AQ1134">
        <v>1</v>
      </c>
      <c r="AR1134">
        <v>0</v>
      </c>
    </row>
    <row r="1135" spans="1:44" x14ac:dyDescent="0.35">
      <c r="A1135" s="12" t="s">
        <v>1813</v>
      </c>
      <c r="B1135" s="12" t="s">
        <v>120</v>
      </c>
      <c r="C1135" s="12" t="s">
        <v>121</v>
      </c>
      <c r="D1135" s="12" t="s">
        <v>122</v>
      </c>
      <c r="E1135" s="12" t="s">
        <v>65</v>
      </c>
      <c r="F1135">
        <v>3</v>
      </c>
      <c r="G1135">
        <v>4</v>
      </c>
      <c r="H1135">
        <v>0</v>
      </c>
      <c r="I1135" s="12" t="s">
        <v>123</v>
      </c>
      <c r="J1135" s="12" t="s">
        <v>124</v>
      </c>
      <c r="K1135" s="12" t="s">
        <v>125</v>
      </c>
      <c r="L1135" s="12" t="s">
        <v>82</v>
      </c>
      <c r="M1135">
        <v>6.75</v>
      </c>
      <c r="N1135" s="12" t="s">
        <v>97</v>
      </c>
      <c r="O1135" s="12" t="s">
        <v>98</v>
      </c>
      <c r="P1135" s="12" t="s">
        <v>72</v>
      </c>
      <c r="Q1135" s="13">
        <v>45182</v>
      </c>
      <c r="R1135" s="13">
        <v>45218</v>
      </c>
      <c r="S1135">
        <v>2023</v>
      </c>
      <c r="T1135" s="12" t="s">
        <v>1753</v>
      </c>
      <c r="U1135">
        <v>1791</v>
      </c>
      <c r="V1135">
        <v>55.544699999999999</v>
      </c>
      <c r="W1135">
        <v>839.61</v>
      </c>
      <c r="X1135">
        <v>0</v>
      </c>
      <c r="Y1135">
        <v>0</v>
      </c>
      <c r="Z1135">
        <v>99480.56</v>
      </c>
      <c r="AA1135">
        <v>100320.17</v>
      </c>
      <c r="AB1135" s="12" t="s">
        <v>126</v>
      </c>
      <c r="AC1135">
        <v>55.544699999999999</v>
      </c>
      <c r="AD1135">
        <v>1</v>
      </c>
      <c r="AE1135">
        <v>1</v>
      </c>
      <c r="AF1135">
        <v>0</v>
      </c>
      <c r="AG1135">
        <v>99480.56</v>
      </c>
      <c r="AH1135">
        <v>1791</v>
      </c>
      <c r="AI1135">
        <v>1778</v>
      </c>
      <c r="AJ1135">
        <v>13</v>
      </c>
      <c r="AK1135">
        <v>1</v>
      </c>
      <c r="AL1135">
        <v>1</v>
      </c>
      <c r="AM1135">
        <v>99.27</v>
      </c>
      <c r="AN1135">
        <v>56.423000000000002</v>
      </c>
      <c r="AO1135">
        <v>722.08</v>
      </c>
      <c r="AP1135" s="13">
        <v>45217</v>
      </c>
      <c r="AQ1135">
        <v>-1</v>
      </c>
      <c r="AR1135">
        <v>1</v>
      </c>
    </row>
    <row r="1136" spans="1:44" x14ac:dyDescent="0.35">
      <c r="A1136" s="12" t="s">
        <v>1814</v>
      </c>
      <c r="B1136" s="12" t="s">
        <v>747</v>
      </c>
      <c r="C1136" s="12" t="s">
        <v>748</v>
      </c>
      <c r="D1136" s="12" t="s">
        <v>114</v>
      </c>
      <c r="E1136" s="12" t="s">
        <v>104</v>
      </c>
      <c r="F1136">
        <v>2</v>
      </c>
      <c r="G1136">
        <v>0</v>
      </c>
      <c r="H1136">
        <v>0</v>
      </c>
      <c r="I1136" s="12" t="s">
        <v>380</v>
      </c>
      <c r="J1136" s="12" t="s">
        <v>381</v>
      </c>
      <c r="K1136" s="12" t="s">
        <v>89</v>
      </c>
      <c r="L1136" s="12" t="s">
        <v>96</v>
      </c>
      <c r="M1136">
        <v>10.210000000000001</v>
      </c>
      <c r="N1136" s="12" t="s">
        <v>70</v>
      </c>
      <c r="O1136" s="12" t="s">
        <v>71</v>
      </c>
      <c r="P1136" s="12" t="s">
        <v>72</v>
      </c>
      <c r="Q1136" s="13">
        <v>45182</v>
      </c>
      <c r="R1136" s="13">
        <v>45198</v>
      </c>
      <c r="S1136">
        <v>2023</v>
      </c>
      <c r="T1136" s="12" t="s">
        <v>1753</v>
      </c>
      <c r="U1136">
        <v>44</v>
      </c>
      <c r="V1136">
        <v>245.56890000000001</v>
      </c>
      <c r="W1136">
        <v>97.15</v>
      </c>
      <c r="X1136">
        <v>0</v>
      </c>
      <c r="Y1136">
        <v>0</v>
      </c>
      <c r="Z1136">
        <v>10805.03</v>
      </c>
      <c r="AA1136">
        <v>10902.18</v>
      </c>
      <c r="AB1136" s="12" t="s">
        <v>896</v>
      </c>
      <c r="AC1136">
        <v>245.56890000000001</v>
      </c>
      <c r="AD1136">
        <v>1</v>
      </c>
      <c r="AE1136">
        <v>1</v>
      </c>
      <c r="AF1136">
        <v>0</v>
      </c>
      <c r="AG1136">
        <v>10805.03</v>
      </c>
      <c r="AH1136">
        <v>44</v>
      </c>
      <c r="AI1136">
        <v>43</v>
      </c>
      <c r="AJ1136">
        <v>1</v>
      </c>
      <c r="AK1136">
        <v>1</v>
      </c>
      <c r="AL1136">
        <v>1</v>
      </c>
      <c r="AM1136">
        <v>97.73</v>
      </c>
      <c r="AN1136">
        <v>253.53909999999999</v>
      </c>
      <c r="AO1136">
        <v>245.57</v>
      </c>
      <c r="AP1136" s="13">
        <v>45197</v>
      </c>
      <c r="AQ1136">
        <v>-1</v>
      </c>
      <c r="AR1136">
        <v>1</v>
      </c>
    </row>
    <row r="1137" spans="1:44" x14ac:dyDescent="0.35">
      <c r="A1137" s="12" t="s">
        <v>1815</v>
      </c>
      <c r="B1137" s="12" t="s">
        <v>173</v>
      </c>
      <c r="C1137" s="12" t="s">
        <v>174</v>
      </c>
      <c r="D1137" s="12" t="s">
        <v>175</v>
      </c>
      <c r="E1137" s="12" t="s">
        <v>104</v>
      </c>
      <c r="F1137">
        <v>3</v>
      </c>
      <c r="G1137">
        <v>1</v>
      </c>
      <c r="H1137">
        <v>0</v>
      </c>
      <c r="I1137" s="12" t="s">
        <v>227</v>
      </c>
      <c r="J1137" s="12" t="s">
        <v>228</v>
      </c>
      <c r="K1137" s="12" t="s">
        <v>89</v>
      </c>
      <c r="L1137" s="12" t="s">
        <v>96</v>
      </c>
      <c r="M1137">
        <v>9.15</v>
      </c>
      <c r="N1137" s="12" t="s">
        <v>145</v>
      </c>
      <c r="O1137" s="12" t="s">
        <v>146</v>
      </c>
      <c r="P1137" s="12" t="s">
        <v>109</v>
      </c>
      <c r="Q1137" s="13">
        <v>45182</v>
      </c>
      <c r="R1137" s="13">
        <v>45208</v>
      </c>
      <c r="S1137">
        <v>2023</v>
      </c>
      <c r="T1137" s="12" t="s">
        <v>1753</v>
      </c>
      <c r="U1137">
        <v>125</v>
      </c>
      <c r="V1137">
        <v>79.9559</v>
      </c>
      <c r="W1137">
        <v>152.32</v>
      </c>
      <c r="X1137">
        <v>0</v>
      </c>
      <c r="Y1137">
        <v>0</v>
      </c>
      <c r="Z1137">
        <v>9994.49</v>
      </c>
      <c r="AA1137">
        <v>10146.81</v>
      </c>
      <c r="AB1137" s="12" t="s">
        <v>229</v>
      </c>
      <c r="AC1137">
        <v>79.9559</v>
      </c>
      <c r="AD1137">
        <v>1</v>
      </c>
      <c r="AE1137">
        <v>1</v>
      </c>
      <c r="AF1137">
        <v>0</v>
      </c>
      <c r="AG1137">
        <v>9994.49</v>
      </c>
      <c r="AH1137">
        <v>125</v>
      </c>
      <c r="AI1137">
        <v>124</v>
      </c>
      <c r="AJ1137">
        <v>1</v>
      </c>
      <c r="AK1137">
        <v>1</v>
      </c>
      <c r="AL1137">
        <v>1</v>
      </c>
      <c r="AM1137">
        <v>99.2</v>
      </c>
      <c r="AN1137">
        <v>81.829099999999997</v>
      </c>
      <c r="AO1137">
        <v>79.959999999999994</v>
      </c>
      <c r="AP1137" s="13">
        <v>45205</v>
      </c>
      <c r="AQ1137">
        <v>-3</v>
      </c>
      <c r="AR1137">
        <v>1</v>
      </c>
    </row>
    <row r="1138" spans="1:44" x14ac:dyDescent="0.35">
      <c r="A1138" s="12" t="s">
        <v>1816</v>
      </c>
      <c r="B1138" s="12" t="s">
        <v>855</v>
      </c>
      <c r="C1138" s="12" t="s">
        <v>856</v>
      </c>
      <c r="D1138" s="12" t="s">
        <v>269</v>
      </c>
      <c r="E1138" s="12" t="s">
        <v>65</v>
      </c>
      <c r="F1138">
        <v>3</v>
      </c>
      <c r="G1138">
        <v>5</v>
      </c>
      <c r="H1138">
        <v>0</v>
      </c>
      <c r="I1138" s="12" t="s">
        <v>66</v>
      </c>
      <c r="J1138" s="12" t="s">
        <v>67</v>
      </c>
      <c r="K1138" s="12" t="s">
        <v>68</v>
      </c>
      <c r="L1138" s="12" t="s">
        <v>69</v>
      </c>
      <c r="M1138">
        <v>17.66</v>
      </c>
      <c r="N1138" s="12" t="s">
        <v>159</v>
      </c>
      <c r="O1138" s="12" t="s">
        <v>160</v>
      </c>
      <c r="P1138" s="12" t="s">
        <v>137</v>
      </c>
      <c r="Q1138" s="13">
        <v>45182</v>
      </c>
      <c r="R1138" s="13">
        <v>45218</v>
      </c>
      <c r="S1138">
        <v>2023</v>
      </c>
      <c r="T1138" s="12" t="s">
        <v>1753</v>
      </c>
      <c r="U1138">
        <v>126</v>
      </c>
      <c r="V1138">
        <v>493.6902</v>
      </c>
      <c r="W1138">
        <v>898.71</v>
      </c>
      <c r="X1138">
        <v>0</v>
      </c>
      <c r="Y1138">
        <v>0</v>
      </c>
      <c r="Z1138">
        <v>62204.97</v>
      </c>
      <c r="AA1138">
        <v>63103.68</v>
      </c>
      <c r="AB1138" s="12" t="s">
        <v>1817</v>
      </c>
      <c r="AC1138">
        <v>493.6902</v>
      </c>
      <c r="AD1138">
        <v>1</v>
      </c>
      <c r="AE1138">
        <v>1</v>
      </c>
      <c r="AF1138">
        <v>0</v>
      </c>
      <c r="AG1138">
        <v>62204.97</v>
      </c>
      <c r="AH1138">
        <v>126</v>
      </c>
      <c r="AI1138">
        <v>126</v>
      </c>
      <c r="AJ1138">
        <v>0</v>
      </c>
      <c r="AK1138">
        <v>1</v>
      </c>
      <c r="AL1138">
        <v>1</v>
      </c>
      <c r="AM1138">
        <v>100</v>
      </c>
      <c r="AN1138">
        <v>500.82279999999997</v>
      </c>
      <c r="AO1138">
        <v>0</v>
      </c>
      <c r="AP1138" s="13">
        <v>45215</v>
      </c>
      <c r="AQ1138">
        <v>-3</v>
      </c>
      <c r="AR1138">
        <v>1</v>
      </c>
    </row>
    <row r="1139" spans="1:44" x14ac:dyDescent="0.35">
      <c r="A1139" s="12" t="s">
        <v>1818</v>
      </c>
      <c r="B1139" s="12" t="s">
        <v>193</v>
      </c>
      <c r="C1139" s="12" t="s">
        <v>194</v>
      </c>
      <c r="D1139" s="12" t="s">
        <v>114</v>
      </c>
      <c r="E1139" s="12" t="s">
        <v>65</v>
      </c>
      <c r="F1139">
        <v>3</v>
      </c>
      <c r="G1139">
        <v>4</v>
      </c>
      <c r="H1139">
        <v>0</v>
      </c>
      <c r="I1139" s="12" t="s">
        <v>143</v>
      </c>
      <c r="J1139" s="12" t="s">
        <v>144</v>
      </c>
      <c r="K1139" s="12" t="s">
        <v>133</v>
      </c>
      <c r="L1139" s="12" t="s">
        <v>96</v>
      </c>
      <c r="M1139">
        <v>5.43</v>
      </c>
      <c r="N1139" s="12" t="s">
        <v>97</v>
      </c>
      <c r="O1139" s="12" t="s">
        <v>98</v>
      </c>
      <c r="P1139" s="12" t="s">
        <v>72</v>
      </c>
      <c r="Q1139" s="13">
        <v>45182</v>
      </c>
      <c r="R1139" s="13">
        <v>45204</v>
      </c>
      <c r="S1139">
        <v>2023</v>
      </c>
      <c r="T1139" s="12" t="s">
        <v>1753</v>
      </c>
      <c r="U1139">
        <v>18</v>
      </c>
      <c r="V1139">
        <v>107.28270000000001</v>
      </c>
      <c r="W1139">
        <v>34.24</v>
      </c>
      <c r="X1139">
        <v>0</v>
      </c>
      <c r="Y1139">
        <v>0</v>
      </c>
      <c r="Z1139">
        <v>1931.09</v>
      </c>
      <c r="AA1139">
        <v>1965.33</v>
      </c>
      <c r="AB1139" s="12" t="s">
        <v>213</v>
      </c>
      <c r="AC1139">
        <v>107.28270000000001</v>
      </c>
      <c r="AD1139">
        <v>1</v>
      </c>
      <c r="AE1139">
        <v>1</v>
      </c>
      <c r="AF1139">
        <v>0</v>
      </c>
      <c r="AG1139">
        <v>1931.09</v>
      </c>
      <c r="AH1139">
        <v>18</v>
      </c>
      <c r="AI1139">
        <v>18</v>
      </c>
      <c r="AJ1139">
        <v>0</v>
      </c>
      <c r="AK1139">
        <v>1</v>
      </c>
      <c r="AL1139">
        <v>1</v>
      </c>
      <c r="AM1139">
        <v>100</v>
      </c>
      <c r="AN1139">
        <v>109.1849</v>
      </c>
      <c r="AO1139">
        <v>0</v>
      </c>
      <c r="AP1139" s="13">
        <v>45201</v>
      </c>
      <c r="AQ1139">
        <v>-3</v>
      </c>
      <c r="AR1139">
        <v>1</v>
      </c>
    </row>
    <row r="1140" spans="1:44" x14ac:dyDescent="0.35">
      <c r="A1140" s="12" t="s">
        <v>1819</v>
      </c>
      <c r="B1140" s="12" t="s">
        <v>957</v>
      </c>
      <c r="C1140" s="12" t="s">
        <v>958</v>
      </c>
      <c r="D1140" s="12" t="s">
        <v>103</v>
      </c>
      <c r="E1140" s="12" t="s">
        <v>142</v>
      </c>
      <c r="F1140">
        <v>1</v>
      </c>
      <c r="G1140">
        <v>7</v>
      </c>
      <c r="H1140">
        <v>1</v>
      </c>
      <c r="I1140" s="12" t="s">
        <v>183</v>
      </c>
      <c r="J1140" s="12" t="s">
        <v>184</v>
      </c>
      <c r="K1140" s="12" t="s">
        <v>133</v>
      </c>
      <c r="L1140" s="12" t="s">
        <v>82</v>
      </c>
      <c r="M1140">
        <v>8.6199999999999992</v>
      </c>
      <c r="N1140" s="12" t="s">
        <v>145</v>
      </c>
      <c r="O1140" s="12" t="s">
        <v>146</v>
      </c>
      <c r="P1140" s="12" t="s">
        <v>109</v>
      </c>
      <c r="Q1140" s="13">
        <v>45182</v>
      </c>
      <c r="R1140" s="13">
        <v>45218</v>
      </c>
      <c r="S1140">
        <v>2023</v>
      </c>
      <c r="T1140" s="12" t="s">
        <v>1753</v>
      </c>
      <c r="U1140">
        <v>23</v>
      </c>
      <c r="V1140">
        <v>199.1737</v>
      </c>
      <c r="W1140">
        <v>111.11</v>
      </c>
      <c r="X1140">
        <v>0</v>
      </c>
      <c r="Y1140">
        <v>0</v>
      </c>
      <c r="Z1140">
        <v>4581</v>
      </c>
      <c r="AA1140">
        <v>4692.1099999999997</v>
      </c>
      <c r="AB1140" s="12" t="s">
        <v>959</v>
      </c>
      <c r="AC1140">
        <v>199.1737</v>
      </c>
      <c r="AD1140">
        <v>1</v>
      </c>
      <c r="AE1140">
        <v>1</v>
      </c>
      <c r="AF1140">
        <v>0</v>
      </c>
      <c r="AG1140">
        <v>4581</v>
      </c>
      <c r="AH1140">
        <v>23</v>
      </c>
      <c r="AI1140">
        <v>23</v>
      </c>
      <c r="AJ1140">
        <v>0</v>
      </c>
      <c r="AK1140">
        <v>1</v>
      </c>
      <c r="AL1140">
        <v>1</v>
      </c>
      <c r="AM1140">
        <v>100</v>
      </c>
      <c r="AN1140">
        <v>204.00460000000001</v>
      </c>
      <c r="AO1140">
        <v>0</v>
      </c>
      <c r="AP1140" s="13">
        <v>45217</v>
      </c>
      <c r="AQ1140">
        <v>-1</v>
      </c>
      <c r="AR1140">
        <v>1</v>
      </c>
    </row>
    <row r="1141" spans="1:44" x14ac:dyDescent="0.35">
      <c r="A1141" s="12" t="s">
        <v>1820</v>
      </c>
      <c r="B1141" s="12" t="s">
        <v>482</v>
      </c>
      <c r="C1141" s="12" t="s">
        <v>483</v>
      </c>
      <c r="D1141" s="12" t="s">
        <v>78</v>
      </c>
      <c r="E1141" s="12" t="s">
        <v>142</v>
      </c>
      <c r="F1141">
        <v>2</v>
      </c>
      <c r="G1141">
        <v>9</v>
      </c>
      <c r="H1141">
        <v>0</v>
      </c>
      <c r="I1141" s="12" t="s">
        <v>183</v>
      </c>
      <c r="J1141" s="12" t="s">
        <v>184</v>
      </c>
      <c r="K1141" s="12" t="s">
        <v>133</v>
      </c>
      <c r="L1141" s="12" t="s">
        <v>82</v>
      </c>
      <c r="M1141">
        <v>8.6199999999999992</v>
      </c>
      <c r="N1141" s="12" t="s">
        <v>97</v>
      </c>
      <c r="O1141" s="12" t="s">
        <v>98</v>
      </c>
      <c r="P1141" s="12" t="s">
        <v>72</v>
      </c>
      <c r="Q1141" s="13">
        <v>45182</v>
      </c>
      <c r="R1141" s="13">
        <v>45233</v>
      </c>
      <c r="S1141">
        <v>2023</v>
      </c>
      <c r="T1141" s="12" t="s">
        <v>1753</v>
      </c>
      <c r="U1141">
        <v>271</v>
      </c>
      <c r="V1141">
        <v>49.685899999999997</v>
      </c>
      <c r="W1141">
        <v>95.02</v>
      </c>
      <c r="X1141">
        <v>429.99</v>
      </c>
      <c r="Y1141">
        <v>1</v>
      </c>
      <c r="Z1141">
        <v>13464.88</v>
      </c>
      <c r="AA1141">
        <v>13989.89</v>
      </c>
      <c r="AB1141" s="12" t="s">
        <v>1084</v>
      </c>
      <c r="AC1141">
        <v>49.685899999999997</v>
      </c>
      <c r="AD1141">
        <v>1</v>
      </c>
      <c r="AE1141">
        <v>1</v>
      </c>
      <c r="AF1141">
        <v>0</v>
      </c>
      <c r="AG1141">
        <v>13464.88</v>
      </c>
      <c r="AH1141">
        <v>271</v>
      </c>
      <c r="AI1141">
        <v>264</v>
      </c>
      <c r="AJ1141">
        <v>7</v>
      </c>
      <c r="AK1141">
        <v>1</v>
      </c>
      <c r="AL1141">
        <v>1</v>
      </c>
      <c r="AM1141">
        <v>97.42</v>
      </c>
      <c r="AN1141">
        <v>52.991999999999997</v>
      </c>
      <c r="AO1141">
        <v>347.8</v>
      </c>
      <c r="AP1141" s="13">
        <v>45230</v>
      </c>
      <c r="AQ1141">
        <v>-3</v>
      </c>
      <c r="AR1141">
        <v>1</v>
      </c>
    </row>
    <row r="1142" spans="1:44" x14ac:dyDescent="0.35">
      <c r="A1142" s="12" t="s">
        <v>1821</v>
      </c>
      <c r="B1142" s="12" t="s">
        <v>561</v>
      </c>
      <c r="C1142" s="12" t="s">
        <v>562</v>
      </c>
      <c r="D1142" s="12" t="s">
        <v>130</v>
      </c>
      <c r="E1142" s="12" t="s">
        <v>142</v>
      </c>
      <c r="F1142">
        <v>1</v>
      </c>
      <c r="G1142">
        <v>9</v>
      </c>
      <c r="H1142">
        <v>1</v>
      </c>
      <c r="I1142" s="12" t="s">
        <v>223</v>
      </c>
      <c r="J1142" s="12" t="s">
        <v>224</v>
      </c>
      <c r="K1142" s="12" t="s">
        <v>81</v>
      </c>
      <c r="L1142" s="12" t="s">
        <v>134</v>
      </c>
      <c r="M1142">
        <v>2.4900000000000002</v>
      </c>
      <c r="N1142" s="12" t="s">
        <v>135</v>
      </c>
      <c r="O1142" s="12" t="s">
        <v>136</v>
      </c>
      <c r="P1142" s="12" t="s">
        <v>137</v>
      </c>
      <c r="Q1142" s="13">
        <v>45182</v>
      </c>
      <c r="R1142" s="13">
        <v>45224</v>
      </c>
      <c r="S1142">
        <v>2023</v>
      </c>
      <c r="T1142" s="12" t="s">
        <v>1753</v>
      </c>
      <c r="U1142">
        <v>71</v>
      </c>
      <c r="V1142">
        <v>603.56020000000001</v>
      </c>
      <c r="W1142">
        <v>576.39</v>
      </c>
      <c r="X1142">
        <v>0</v>
      </c>
      <c r="Y1142">
        <v>0</v>
      </c>
      <c r="Z1142">
        <v>42852.77</v>
      </c>
      <c r="AA1142">
        <v>43429.16</v>
      </c>
      <c r="AB1142" s="12" t="s">
        <v>563</v>
      </c>
      <c r="AC1142">
        <v>603.56020000000001</v>
      </c>
      <c r="AD1142">
        <v>1</v>
      </c>
      <c r="AE1142">
        <v>1</v>
      </c>
      <c r="AF1142">
        <v>0</v>
      </c>
      <c r="AG1142">
        <v>42852.77</v>
      </c>
      <c r="AH1142">
        <v>71</v>
      </c>
      <c r="AI1142">
        <v>70</v>
      </c>
      <c r="AJ1142">
        <v>1</v>
      </c>
      <c r="AK1142">
        <v>1</v>
      </c>
      <c r="AL1142">
        <v>1</v>
      </c>
      <c r="AM1142">
        <v>98.59</v>
      </c>
      <c r="AN1142">
        <v>620.41660000000002</v>
      </c>
      <c r="AO1142">
        <v>603.55999999999995</v>
      </c>
      <c r="AP1142" s="13">
        <v>45224</v>
      </c>
      <c r="AQ1142">
        <v>0</v>
      </c>
      <c r="AR1142">
        <v>1</v>
      </c>
    </row>
    <row r="1143" spans="1:44" x14ac:dyDescent="0.35">
      <c r="A1143" s="12" t="s">
        <v>1822</v>
      </c>
      <c r="B1143" s="12" t="s">
        <v>472</v>
      </c>
      <c r="C1143" s="12" t="s">
        <v>473</v>
      </c>
      <c r="D1143" s="12" t="s">
        <v>122</v>
      </c>
      <c r="E1143" s="12" t="s">
        <v>142</v>
      </c>
      <c r="F1143">
        <v>2</v>
      </c>
      <c r="G1143">
        <v>9</v>
      </c>
      <c r="H1143">
        <v>0</v>
      </c>
      <c r="I1143" s="12" t="s">
        <v>87</v>
      </c>
      <c r="J1143" s="12" t="s">
        <v>88</v>
      </c>
      <c r="K1143" s="12" t="s">
        <v>89</v>
      </c>
      <c r="L1143" s="12" t="s">
        <v>69</v>
      </c>
      <c r="M1143">
        <v>14.93</v>
      </c>
      <c r="N1143" s="12" t="s">
        <v>97</v>
      </c>
      <c r="O1143" s="12" t="s">
        <v>98</v>
      </c>
      <c r="P1143" s="12" t="s">
        <v>72</v>
      </c>
      <c r="Q1143" s="13">
        <v>45183</v>
      </c>
      <c r="R1143" s="13">
        <v>45235</v>
      </c>
      <c r="S1143">
        <v>2023</v>
      </c>
      <c r="T1143" s="12" t="s">
        <v>1753</v>
      </c>
      <c r="U1143">
        <v>1905</v>
      </c>
      <c r="V1143">
        <v>48.7896</v>
      </c>
      <c r="W1143">
        <v>835.91</v>
      </c>
      <c r="X1143">
        <v>0</v>
      </c>
      <c r="Y1143">
        <v>0</v>
      </c>
      <c r="Z1143">
        <v>92944.19</v>
      </c>
      <c r="AA1143">
        <v>93780.1</v>
      </c>
      <c r="AB1143" s="12" t="s">
        <v>1187</v>
      </c>
      <c r="AC1143">
        <v>48.7896</v>
      </c>
      <c r="AD1143">
        <v>1</v>
      </c>
      <c r="AE1143">
        <v>1</v>
      </c>
      <c r="AF1143">
        <v>0</v>
      </c>
      <c r="AG1143">
        <v>92944.19</v>
      </c>
      <c r="AH1143">
        <v>1905</v>
      </c>
      <c r="AI1143">
        <v>1883</v>
      </c>
      <c r="AJ1143">
        <v>22</v>
      </c>
      <c r="AK1143">
        <v>1</v>
      </c>
      <c r="AL1143">
        <v>1</v>
      </c>
      <c r="AM1143">
        <v>98.85</v>
      </c>
      <c r="AN1143">
        <v>49.803600000000003</v>
      </c>
      <c r="AO1143">
        <v>1073.3699999999999</v>
      </c>
      <c r="AP1143" s="13">
        <v>45235</v>
      </c>
      <c r="AQ1143">
        <v>0</v>
      </c>
      <c r="AR1143">
        <v>1</v>
      </c>
    </row>
    <row r="1144" spans="1:44" x14ac:dyDescent="0.35">
      <c r="A1144" s="12" t="s">
        <v>1823</v>
      </c>
      <c r="B1144" s="12" t="s">
        <v>598</v>
      </c>
      <c r="C1144" s="12" t="s">
        <v>599</v>
      </c>
      <c r="D1144" s="12" t="s">
        <v>269</v>
      </c>
      <c r="E1144" s="12" t="s">
        <v>65</v>
      </c>
      <c r="F1144">
        <v>1</v>
      </c>
      <c r="G1144">
        <v>2</v>
      </c>
      <c r="H1144">
        <v>1</v>
      </c>
      <c r="I1144" s="12" t="s">
        <v>176</v>
      </c>
      <c r="J1144" s="12" t="s">
        <v>177</v>
      </c>
      <c r="K1144" s="12" t="s">
        <v>125</v>
      </c>
      <c r="L1144" s="12" t="s">
        <v>134</v>
      </c>
      <c r="M1144">
        <v>1.75</v>
      </c>
      <c r="N1144" s="12" t="s">
        <v>159</v>
      </c>
      <c r="O1144" s="12" t="s">
        <v>160</v>
      </c>
      <c r="P1144" s="12" t="s">
        <v>137</v>
      </c>
      <c r="Q1144" s="13">
        <v>45183</v>
      </c>
      <c r="R1144" s="13">
        <v>45209</v>
      </c>
      <c r="S1144">
        <v>2023</v>
      </c>
      <c r="T1144" s="12" t="s">
        <v>1753</v>
      </c>
      <c r="U1144">
        <v>55</v>
      </c>
      <c r="V1144">
        <v>454.90469999999999</v>
      </c>
      <c r="W1144">
        <v>583.71</v>
      </c>
      <c r="X1144">
        <v>0</v>
      </c>
      <c r="Y1144">
        <v>0</v>
      </c>
      <c r="Z1144">
        <v>25019.759999999998</v>
      </c>
      <c r="AA1144">
        <v>25603.47</v>
      </c>
      <c r="AB1144" s="12" t="s">
        <v>600</v>
      </c>
      <c r="AC1144">
        <v>454.90469999999999</v>
      </c>
      <c r="AD1144">
        <v>1</v>
      </c>
      <c r="AE1144">
        <v>1</v>
      </c>
      <c r="AF1144">
        <v>0</v>
      </c>
      <c r="AG1144">
        <v>25019.759999999998</v>
      </c>
      <c r="AH1144">
        <v>55</v>
      </c>
      <c r="AI1144">
        <v>54</v>
      </c>
      <c r="AJ1144">
        <v>1</v>
      </c>
      <c r="AK1144">
        <v>1</v>
      </c>
      <c r="AL1144">
        <v>1</v>
      </c>
      <c r="AM1144">
        <v>98.18</v>
      </c>
      <c r="AN1144">
        <v>474.13830000000002</v>
      </c>
      <c r="AO1144">
        <v>454.9</v>
      </c>
      <c r="AP1144" s="13">
        <v>45207</v>
      </c>
      <c r="AQ1144">
        <v>-2</v>
      </c>
      <c r="AR1144">
        <v>1</v>
      </c>
    </row>
    <row r="1145" spans="1:44" x14ac:dyDescent="0.35">
      <c r="A1145" s="12" t="s">
        <v>1824</v>
      </c>
      <c r="B1145" s="12" t="s">
        <v>990</v>
      </c>
      <c r="C1145" s="12" t="s">
        <v>991</v>
      </c>
      <c r="D1145" s="12" t="s">
        <v>122</v>
      </c>
      <c r="E1145" s="12" t="s">
        <v>142</v>
      </c>
      <c r="F1145">
        <v>1</v>
      </c>
      <c r="G1145">
        <v>6</v>
      </c>
      <c r="H1145">
        <v>1</v>
      </c>
      <c r="I1145" s="12" t="s">
        <v>217</v>
      </c>
      <c r="J1145" s="12" t="s">
        <v>218</v>
      </c>
      <c r="K1145" s="12" t="s">
        <v>68</v>
      </c>
      <c r="L1145" s="12" t="s">
        <v>82</v>
      </c>
      <c r="M1145">
        <v>14.24</v>
      </c>
      <c r="N1145" s="12" t="s">
        <v>70</v>
      </c>
      <c r="O1145" s="12" t="s">
        <v>71</v>
      </c>
      <c r="P1145" s="12" t="s">
        <v>72</v>
      </c>
      <c r="Q1145" s="13">
        <v>45183</v>
      </c>
      <c r="R1145" s="13">
        <v>45220</v>
      </c>
      <c r="S1145">
        <v>2023</v>
      </c>
      <c r="T1145" s="12" t="s">
        <v>1753</v>
      </c>
      <c r="U1145">
        <v>456</v>
      </c>
      <c r="V1145">
        <v>33.697499999999998</v>
      </c>
      <c r="W1145">
        <v>260.31</v>
      </c>
      <c r="X1145">
        <v>0</v>
      </c>
      <c r="Y1145">
        <v>0</v>
      </c>
      <c r="Z1145">
        <v>15366.06</v>
      </c>
      <c r="AA1145">
        <v>15626.37</v>
      </c>
      <c r="AB1145" s="12" t="s">
        <v>992</v>
      </c>
      <c r="AC1145">
        <v>33.697499999999998</v>
      </c>
      <c r="AD1145">
        <v>1</v>
      </c>
      <c r="AE1145">
        <v>1</v>
      </c>
      <c r="AF1145">
        <v>0</v>
      </c>
      <c r="AG1145">
        <v>15366.06</v>
      </c>
      <c r="AH1145">
        <v>456</v>
      </c>
      <c r="AI1145">
        <v>453</v>
      </c>
      <c r="AJ1145">
        <v>3</v>
      </c>
      <c r="AK1145">
        <v>1</v>
      </c>
      <c r="AL1145">
        <v>1</v>
      </c>
      <c r="AM1145">
        <v>99.34</v>
      </c>
      <c r="AN1145">
        <v>34.4953</v>
      </c>
      <c r="AO1145">
        <v>101.09</v>
      </c>
      <c r="AP1145" s="13">
        <v>45218</v>
      </c>
      <c r="AQ1145">
        <v>-2</v>
      </c>
      <c r="AR1145">
        <v>1</v>
      </c>
    </row>
    <row r="1146" spans="1:44" x14ac:dyDescent="0.35">
      <c r="A1146" s="12" t="s">
        <v>1825</v>
      </c>
      <c r="B1146" s="12" t="s">
        <v>255</v>
      </c>
      <c r="C1146" s="12" t="s">
        <v>256</v>
      </c>
      <c r="D1146" s="12" t="s">
        <v>103</v>
      </c>
      <c r="E1146" s="12" t="s">
        <v>65</v>
      </c>
      <c r="F1146">
        <v>2</v>
      </c>
      <c r="G1146">
        <v>4</v>
      </c>
      <c r="H1146">
        <v>0</v>
      </c>
      <c r="I1146" s="12" t="s">
        <v>143</v>
      </c>
      <c r="J1146" s="12" t="s">
        <v>144</v>
      </c>
      <c r="K1146" s="12" t="s">
        <v>133</v>
      </c>
      <c r="L1146" s="12" t="s">
        <v>96</v>
      </c>
      <c r="M1146">
        <v>5.43</v>
      </c>
      <c r="N1146" s="12" t="s">
        <v>107</v>
      </c>
      <c r="O1146" s="12" t="s">
        <v>108</v>
      </c>
      <c r="P1146" s="12" t="s">
        <v>109</v>
      </c>
      <c r="Q1146" s="13">
        <v>45183</v>
      </c>
      <c r="R1146" s="13">
        <v>45204</v>
      </c>
      <c r="S1146">
        <v>2023</v>
      </c>
      <c r="T1146" s="12" t="s">
        <v>1753</v>
      </c>
      <c r="U1146">
        <v>12</v>
      </c>
      <c r="V1146">
        <v>95.085700000000003</v>
      </c>
      <c r="W1146">
        <v>14.53</v>
      </c>
      <c r="X1146">
        <v>0</v>
      </c>
      <c r="Y1146">
        <v>0</v>
      </c>
      <c r="Z1146">
        <v>1141.03</v>
      </c>
      <c r="AA1146">
        <v>1155.56</v>
      </c>
      <c r="AB1146" s="12" t="s">
        <v>366</v>
      </c>
      <c r="AC1146">
        <v>95.085700000000003</v>
      </c>
      <c r="AD1146">
        <v>1</v>
      </c>
      <c r="AE1146">
        <v>1</v>
      </c>
      <c r="AF1146">
        <v>0</v>
      </c>
      <c r="AG1146">
        <v>1141.03</v>
      </c>
      <c r="AH1146">
        <v>12</v>
      </c>
      <c r="AI1146">
        <v>12</v>
      </c>
      <c r="AJ1146">
        <v>0</v>
      </c>
      <c r="AK1146">
        <v>1</v>
      </c>
      <c r="AL1146">
        <v>1</v>
      </c>
      <c r="AM1146">
        <v>100</v>
      </c>
      <c r="AN1146">
        <v>96.296499999999995</v>
      </c>
      <c r="AO1146">
        <v>0</v>
      </c>
      <c r="AP1146" s="13">
        <v>45203</v>
      </c>
      <c r="AQ1146">
        <v>-1</v>
      </c>
      <c r="AR1146">
        <v>1</v>
      </c>
    </row>
    <row r="1147" spans="1:44" x14ac:dyDescent="0.35">
      <c r="A1147" s="12" t="s">
        <v>1826</v>
      </c>
      <c r="B1147" s="12" t="s">
        <v>963</v>
      </c>
      <c r="C1147" s="12" t="s">
        <v>964</v>
      </c>
      <c r="D1147" s="12" t="s">
        <v>114</v>
      </c>
      <c r="E1147" s="12" t="s">
        <v>142</v>
      </c>
      <c r="F1147">
        <v>1</v>
      </c>
      <c r="G1147">
        <v>6</v>
      </c>
      <c r="H1147">
        <v>1</v>
      </c>
      <c r="I1147" s="12" t="s">
        <v>176</v>
      </c>
      <c r="J1147" s="12" t="s">
        <v>177</v>
      </c>
      <c r="K1147" s="12" t="s">
        <v>125</v>
      </c>
      <c r="L1147" s="12" t="s">
        <v>134</v>
      </c>
      <c r="M1147">
        <v>1.75</v>
      </c>
      <c r="N1147" s="12" t="s">
        <v>70</v>
      </c>
      <c r="O1147" s="12" t="s">
        <v>71</v>
      </c>
      <c r="P1147" s="12" t="s">
        <v>72</v>
      </c>
      <c r="Q1147" s="13">
        <v>45184</v>
      </c>
      <c r="R1147" s="13">
        <v>45229</v>
      </c>
      <c r="S1147">
        <v>2023</v>
      </c>
      <c r="T1147" s="12" t="s">
        <v>1753</v>
      </c>
      <c r="U1147">
        <v>91</v>
      </c>
      <c r="V1147">
        <v>194.73220000000001</v>
      </c>
      <c r="W1147">
        <v>258.45</v>
      </c>
      <c r="X1147">
        <v>0</v>
      </c>
      <c r="Y1147">
        <v>0</v>
      </c>
      <c r="Z1147">
        <v>17720.63</v>
      </c>
      <c r="AA1147">
        <v>17979.080000000002</v>
      </c>
      <c r="AB1147" s="12" t="s">
        <v>965</v>
      </c>
      <c r="AC1147">
        <v>194.73220000000001</v>
      </c>
      <c r="AD1147">
        <v>1</v>
      </c>
      <c r="AE1147">
        <v>1</v>
      </c>
      <c r="AF1147">
        <v>0</v>
      </c>
      <c r="AG1147">
        <v>17720.63</v>
      </c>
      <c r="AH1147">
        <v>91</v>
      </c>
      <c r="AI1147">
        <v>90</v>
      </c>
      <c r="AJ1147">
        <v>1</v>
      </c>
      <c r="AK1147">
        <v>1</v>
      </c>
      <c r="AL1147">
        <v>1</v>
      </c>
      <c r="AM1147">
        <v>98.9</v>
      </c>
      <c r="AN1147">
        <v>199.76759999999999</v>
      </c>
      <c r="AO1147">
        <v>194.73</v>
      </c>
      <c r="AP1147" s="13">
        <v>45231</v>
      </c>
      <c r="AQ1147">
        <v>2</v>
      </c>
      <c r="AR1147">
        <v>0</v>
      </c>
    </row>
    <row r="1148" spans="1:44" x14ac:dyDescent="0.35">
      <c r="A1148" s="12" t="s">
        <v>1827</v>
      </c>
      <c r="B1148" s="12" t="s">
        <v>1054</v>
      </c>
      <c r="C1148" s="12" t="s">
        <v>1055</v>
      </c>
      <c r="D1148" s="12" t="s">
        <v>122</v>
      </c>
      <c r="E1148" s="12" t="s">
        <v>65</v>
      </c>
      <c r="F1148">
        <v>1</v>
      </c>
      <c r="G1148">
        <v>2</v>
      </c>
      <c r="H1148">
        <v>1</v>
      </c>
      <c r="I1148" s="12" t="s">
        <v>176</v>
      </c>
      <c r="J1148" s="12" t="s">
        <v>177</v>
      </c>
      <c r="K1148" s="12" t="s">
        <v>125</v>
      </c>
      <c r="L1148" s="12" t="s">
        <v>134</v>
      </c>
      <c r="M1148">
        <v>1.75</v>
      </c>
      <c r="N1148" s="12" t="s">
        <v>97</v>
      </c>
      <c r="O1148" s="12" t="s">
        <v>98</v>
      </c>
      <c r="P1148" s="12" t="s">
        <v>72</v>
      </c>
      <c r="Q1148" s="13">
        <v>45184</v>
      </c>
      <c r="R1148" s="13">
        <v>45220</v>
      </c>
      <c r="S1148">
        <v>2023</v>
      </c>
      <c r="T1148" s="12" t="s">
        <v>1753</v>
      </c>
      <c r="U1148">
        <v>1732</v>
      </c>
      <c r="V1148">
        <v>46.916699999999999</v>
      </c>
      <c r="W1148">
        <v>531.21</v>
      </c>
      <c r="X1148">
        <v>0</v>
      </c>
      <c r="Y1148">
        <v>0</v>
      </c>
      <c r="Z1148">
        <v>81259.72</v>
      </c>
      <c r="AA1148">
        <v>81790.929999999993</v>
      </c>
      <c r="AB1148" s="12" t="s">
        <v>1056</v>
      </c>
      <c r="AC1148">
        <v>46.916699999999999</v>
      </c>
      <c r="AD1148">
        <v>1</v>
      </c>
      <c r="AE1148">
        <v>1</v>
      </c>
      <c r="AF1148">
        <v>0</v>
      </c>
      <c r="AG1148">
        <v>81259.72</v>
      </c>
      <c r="AH1148">
        <v>1732</v>
      </c>
      <c r="AI1148">
        <v>1719</v>
      </c>
      <c r="AJ1148">
        <v>13</v>
      </c>
      <c r="AK1148">
        <v>1</v>
      </c>
      <c r="AL1148">
        <v>1</v>
      </c>
      <c r="AM1148">
        <v>99.25</v>
      </c>
      <c r="AN1148">
        <v>47.580500000000001</v>
      </c>
      <c r="AO1148">
        <v>609.91999999999996</v>
      </c>
      <c r="AP1148" s="13">
        <v>45217</v>
      </c>
      <c r="AQ1148">
        <v>-3</v>
      </c>
      <c r="AR1148">
        <v>1</v>
      </c>
    </row>
    <row r="1149" spans="1:44" x14ac:dyDescent="0.35">
      <c r="A1149" s="12" t="s">
        <v>1828</v>
      </c>
      <c r="B1149" s="12" t="s">
        <v>112</v>
      </c>
      <c r="C1149" s="12" t="s">
        <v>113</v>
      </c>
      <c r="D1149" s="12" t="s">
        <v>114</v>
      </c>
      <c r="E1149" s="12" t="s">
        <v>104</v>
      </c>
      <c r="F1149">
        <v>3</v>
      </c>
      <c r="G1149">
        <v>1</v>
      </c>
      <c r="H1149">
        <v>0</v>
      </c>
      <c r="I1149" s="12" t="s">
        <v>115</v>
      </c>
      <c r="J1149" s="12" t="s">
        <v>116</v>
      </c>
      <c r="K1149" s="12" t="s">
        <v>117</v>
      </c>
      <c r="L1149" s="12" t="s">
        <v>82</v>
      </c>
      <c r="M1149">
        <v>17.170000000000002</v>
      </c>
      <c r="N1149" s="12" t="s">
        <v>97</v>
      </c>
      <c r="O1149" s="12" t="s">
        <v>98</v>
      </c>
      <c r="P1149" s="12" t="s">
        <v>72</v>
      </c>
      <c r="Q1149" s="13">
        <v>45184</v>
      </c>
      <c r="R1149" s="13">
        <v>45204</v>
      </c>
      <c r="S1149">
        <v>2023</v>
      </c>
      <c r="T1149" s="12" t="s">
        <v>1753</v>
      </c>
      <c r="U1149">
        <v>75</v>
      </c>
      <c r="V1149">
        <v>264.17590000000001</v>
      </c>
      <c r="W1149">
        <v>198.18</v>
      </c>
      <c r="X1149">
        <v>0</v>
      </c>
      <c r="Y1149">
        <v>0</v>
      </c>
      <c r="Z1149">
        <v>19813.189999999999</v>
      </c>
      <c r="AA1149">
        <v>20011.37</v>
      </c>
      <c r="AB1149" s="12" t="s">
        <v>118</v>
      </c>
      <c r="AC1149">
        <v>264.17590000000001</v>
      </c>
      <c r="AD1149">
        <v>1</v>
      </c>
      <c r="AE1149">
        <v>1</v>
      </c>
      <c r="AF1149">
        <v>0</v>
      </c>
      <c r="AG1149">
        <v>19813.189999999999</v>
      </c>
      <c r="AH1149">
        <v>75</v>
      </c>
      <c r="AI1149">
        <v>73</v>
      </c>
      <c r="AJ1149">
        <v>2</v>
      </c>
      <c r="AK1149">
        <v>1</v>
      </c>
      <c r="AL1149">
        <v>1</v>
      </c>
      <c r="AM1149">
        <v>97.33</v>
      </c>
      <c r="AN1149">
        <v>274.1284</v>
      </c>
      <c r="AO1149">
        <v>528.35</v>
      </c>
      <c r="AP1149" s="13">
        <v>45212</v>
      </c>
      <c r="AQ1149">
        <v>8</v>
      </c>
      <c r="AR1149">
        <v>0</v>
      </c>
    </row>
    <row r="1150" spans="1:44" x14ac:dyDescent="0.35">
      <c r="A1150" s="12" t="s">
        <v>1829</v>
      </c>
      <c r="B1150" s="12" t="s">
        <v>76</v>
      </c>
      <c r="C1150" s="12" t="s">
        <v>77</v>
      </c>
      <c r="D1150" s="12" t="s">
        <v>78</v>
      </c>
      <c r="E1150" s="12" t="s">
        <v>65</v>
      </c>
      <c r="F1150">
        <v>2</v>
      </c>
      <c r="G1150">
        <v>4</v>
      </c>
      <c r="H1150">
        <v>0</v>
      </c>
      <c r="I1150" s="12" t="s">
        <v>79</v>
      </c>
      <c r="J1150" s="12" t="s">
        <v>80</v>
      </c>
      <c r="K1150" s="12" t="s">
        <v>81</v>
      </c>
      <c r="L1150" s="12" t="s">
        <v>82</v>
      </c>
      <c r="M1150">
        <v>12.07</v>
      </c>
      <c r="N1150" s="12" t="s">
        <v>70</v>
      </c>
      <c r="O1150" s="12" t="s">
        <v>71</v>
      </c>
      <c r="P1150" s="12" t="s">
        <v>72</v>
      </c>
      <c r="Q1150" s="13">
        <v>45184</v>
      </c>
      <c r="R1150" s="13">
        <v>45218</v>
      </c>
      <c r="S1150">
        <v>2023</v>
      </c>
      <c r="T1150" s="12" t="s">
        <v>1753</v>
      </c>
      <c r="U1150">
        <v>231</v>
      </c>
      <c r="V1150">
        <v>45.991</v>
      </c>
      <c r="W1150">
        <v>207.68</v>
      </c>
      <c r="X1150">
        <v>0</v>
      </c>
      <c r="Y1150">
        <v>0</v>
      </c>
      <c r="Z1150">
        <v>10623.92</v>
      </c>
      <c r="AA1150">
        <v>10831.6</v>
      </c>
      <c r="AB1150" s="12" t="s">
        <v>83</v>
      </c>
      <c r="AC1150">
        <v>45.991</v>
      </c>
      <c r="AD1150">
        <v>1</v>
      </c>
      <c r="AE1150">
        <v>1</v>
      </c>
      <c r="AF1150">
        <v>0</v>
      </c>
      <c r="AG1150">
        <v>10623.92</v>
      </c>
      <c r="AH1150">
        <v>231</v>
      </c>
      <c r="AI1150">
        <v>229</v>
      </c>
      <c r="AJ1150">
        <v>2</v>
      </c>
      <c r="AK1150">
        <v>1</v>
      </c>
      <c r="AL1150">
        <v>1</v>
      </c>
      <c r="AM1150">
        <v>99.13</v>
      </c>
      <c r="AN1150">
        <v>47.299599999999998</v>
      </c>
      <c r="AO1150">
        <v>91.98</v>
      </c>
      <c r="AP1150" s="13">
        <v>45218</v>
      </c>
      <c r="AQ1150">
        <v>0</v>
      </c>
      <c r="AR1150">
        <v>1</v>
      </c>
    </row>
    <row r="1151" spans="1:44" x14ac:dyDescent="0.35">
      <c r="A1151" s="12" t="s">
        <v>1830</v>
      </c>
      <c r="B1151" s="12" t="s">
        <v>617</v>
      </c>
      <c r="C1151" s="12" t="s">
        <v>618</v>
      </c>
      <c r="D1151" s="12" t="s">
        <v>78</v>
      </c>
      <c r="E1151" s="12" t="s">
        <v>65</v>
      </c>
      <c r="F1151">
        <v>2</v>
      </c>
      <c r="G1151">
        <v>4</v>
      </c>
      <c r="H1151">
        <v>0</v>
      </c>
      <c r="I1151" s="12" t="s">
        <v>341</v>
      </c>
      <c r="J1151" s="12" t="s">
        <v>342</v>
      </c>
      <c r="K1151" s="12" t="s">
        <v>117</v>
      </c>
      <c r="L1151" s="12" t="s">
        <v>82</v>
      </c>
      <c r="M1151">
        <v>18.36</v>
      </c>
      <c r="N1151" s="12" t="s">
        <v>70</v>
      </c>
      <c r="O1151" s="12" t="s">
        <v>71</v>
      </c>
      <c r="P1151" s="12" t="s">
        <v>72</v>
      </c>
      <c r="Q1151" s="13">
        <v>45184</v>
      </c>
      <c r="R1151" s="13">
        <v>45207</v>
      </c>
      <c r="S1151">
        <v>2023</v>
      </c>
      <c r="T1151" s="12" t="s">
        <v>1753</v>
      </c>
      <c r="U1151">
        <v>80</v>
      </c>
      <c r="V1151">
        <v>108.2711</v>
      </c>
      <c r="W1151">
        <v>94.99</v>
      </c>
      <c r="X1151">
        <v>0</v>
      </c>
      <c r="Y1151">
        <v>0</v>
      </c>
      <c r="Z1151">
        <v>8661.69</v>
      </c>
      <c r="AA1151">
        <v>8756.68</v>
      </c>
      <c r="AB1151" s="12" t="s">
        <v>619</v>
      </c>
      <c r="AC1151">
        <v>108.2711</v>
      </c>
      <c r="AD1151">
        <v>1</v>
      </c>
      <c r="AE1151">
        <v>1</v>
      </c>
      <c r="AF1151">
        <v>0</v>
      </c>
      <c r="AG1151">
        <v>8661.69</v>
      </c>
      <c r="AH1151">
        <v>80</v>
      </c>
      <c r="AI1151">
        <v>80</v>
      </c>
      <c r="AJ1151">
        <v>0</v>
      </c>
      <c r="AK1151">
        <v>1</v>
      </c>
      <c r="AL1151">
        <v>1</v>
      </c>
      <c r="AM1151">
        <v>100</v>
      </c>
      <c r="AN1151">
        <v>109.4585</v>
      </c>
      <c r="AO1151">
        <v>0</v>
      </c>
      <c r="AP1151" s="13">
        <v>45203</v>
      </c>
      <c r="AQ1151">
        <v>-4</v>
      </c>
      <c r="AR1151">
        <v>1</v>
      </c>
    </row>
    <row r="1152" spans="1:44" x14ac:dyDescent="0.35">
      <c r="A1152" s="12" t="s">
        <v>1831</v>
      </c>
      <c r="B1152" s="12" t="s">
        <v>128</v>
      </c>
      <c r="C1152" s="12" t="s">
        <v>129</v>
      </c>
      <c r="D1152" s="12" t="s">
        <v>130</v>
      </c>
      <c r="E1152" s="12" t="s">
        <v>65</v>
      </c>
      <c r="F1152">
        <v>3</v>
      </c>
      <c r="G1152">
        <v>5</v>
      </c>
      <c r="H1152">
        <v>0</v>
      </c>
      <c r="I1152" s="12" t="s">
        <v>131</v>
      </c>
      <c r="J1152" s="12" t="s">
        <v>132</v>
      </c>
      <c r="K1152" s="12" t="s">
        <v>133</v>
      </c>
      <c r="L1152" s="12" t="s">
        <v>134</v>
      </c>
      <c r="M1152">
        <v>1.51</v>
      </c>
      <c r="N1152" s="12" t="s">
        <v>135</v>
      </c>
      <c r="O1152" s="12" t="s">
        <v>136</v>
      </c>
      <c r="P1152" s="12" t="s">
        <v>137</v>
      </c>
      <c r="Q1152" s="13">
        <v>45184</v>
      </c>
      <c r="R1152" s="13">
        <v>45212</v>
      </c>
      <c r="S1152">
        <v>2023</v>
      </c>
      <c r="T1152" s="12" t="s">
        <v>1753</v>
      </c>
      <c r="U1152">
        <v>64</v>
      </c>
      <c r="V1152">
        <v>501.92320000000001</v>
      </c>
      <c r="W1152">
        <v>565.85</v>
      </c>
      <c r="X1152">
        <v>0</v>
      </c>
      <c r="Y1152">
        <v>0</v>
      </c>
      <c r="Z1152">
        <v>32123.08</v>
      </c>
      <c r="AA1152">
        <v>32688.93</v>
      </c>
      <c r="AB1152" s="12" t="s">
        <v>138</v>
      </c>
      <c r="AC1152">
        <v>501.92320000000001</v>
      </c>
      <c r="AD1152">
        <v>1</v>
      </c>
      <c r="AE1152">
        <v>1</v>
      </c>
      <c r="AF1152">
        <v>0</v>
      </c>
      <c r="AG1152">
        <v>32123.08</v>
      </c>
      <c r="AH1152">
        <v>64</v>
      </c>
      <c r="AI1152">
        <v>59</v>
      </c>
      <c r="AJ1152">
        <v>5</v>
      </c>
      <c r="AK1152">
        <v>1</v>
      </c>
      <c r="AL1152">
        <v>1</v>
      </c>
      <c r="AM1152">
        <v>92.19</v>
      </c>
      <c r="AN1152">
        <v>554.04970000000003</v>
      </c>
      <c r="AO1152">
        <v>2509.62</v>
      </c>
      <c r="AP1152" s="13">
        <v>45218</v>
      </c>
      <c r="AQ1152">
        <v>6</v>
      </c>
      <c r="AR1152">
        <v>0</v>
      </c>
    </row>
    <row r="1153" spans="1:44" x14ac:dyDescent="0.35">
      <c r="A1153" s="12" t="s">
        <v>1832</v>
      </c>
      <c r="B1153" s="12" t="s">
        <v>732</v>
      </c>
      <c r="C1153" s="12" t="s">
        <v>733</v>
      </c>
      <c r="D1153" s="12" t="s">
        <v>114</v>
      </c>
      <c r="E1153" s="12" t="s">
        <v>104</v>
      </c>
      <c r="F1153">
        <v>3</v>
      </c>
      <c r="G1153">
        <v>1</v>
      </c>
      <c r="H1153">
        <v>0</v>
      </c>
      <c r="I1153" s="12" t="s">
        <v>199</v>
      </c>
      <c r="J1153" s="12" t="s">
        <v>200</v>
      </c>
      <c r="K1153" s="12" t="s">
        <v>68</v>
      </c>
      <c r="L1153" s="12" t="s">
        <v>96</v>
      </c>
      <c r="M1153">
        <v>9.4700000000000006</v>
      </c>
      <c r="N1153" s="12" t="s">
        <v>97</v>
      </c>
      <c r="O1153" s="12" t="s">
        <v>98</v>
      </c>
      <c r="P1153" s="12" t="s">
        <v>72</v>
      </c>
      <c r="Q1153" s="13">
        <v>45184</v>
      </c>
      <c r="R1153" s="13">
        <v>45212</v>
      </c>
      <c r="S1153">
        <v>2023</v>
      </c>
      <c r="T1153" s="12" t="s">
        <v>1753</v>
      </c>
      <c r="U1153">
        <v>139</v>
      </c>
      <c r="V1153">
        <v>314.15269999999998</v>
      </c>
      <c r="W1153">
        <v>529.03</v>
      </c>
      <c r="X1153">
        <v>0</v>
      </c>
      <c r="Y1153">
        <v>0</v>
      </c>
      <c r="Z1153">
        <v>43667.23</v>
      </c>
      <c r="AA1153">
        <v>44196.26</v>
      </c>
      <c r="AB1153" s="12" t="s">
        <v>734</v>
      </c>
      <c r="AC1153">
        <v>314.15269999999998</v>
      </c>
      <c r="AD1153">
        <v>1</v>
      </c>
      <c r="AE1153">
        <v>1</v>
      </c>
      <c r="AF1153">
        <v>0</v>
      </c>
      <c r="AG1153">
        <v>43667.23</v>
      </c>
      <c r="AH1153">
        <v>139</v>
      </c>
      <c r="AI1153">
        <v>136</v>
      </c>
      <c r="AJ1153">
        <v>3</v>
      </c>
      <c r="AK1153">
        <v>1</v>
      </c>
      <c r="AL1153">
        <v>1</v>
      </c>
      <c r="AM1153">
        <v>97.84</v>
      </c>
      <c r="AN1153">
        <v>324.97250000000003</v>
      </c>
      <c r="AO1153">
        <v>942.46</v>
      </c>
      <c r="AP1153" s="13">
        <v>45210</v>
      </c>
      <c r="AQ1153">
        <v>-2</v>
      </c>
      <c r="AR1153">
        <v>1</v>
      </c>
    </row>
    <row r="1154" spans="1:44" x14ac:dyDescent="0.35">
      <c r="A1154" s="12" t="s">
        <v>1833</v>
      </c>
      <c r="B1154" s="12" t="s">
        <v>482</v>
      </c>
      <c r="C1154" s="12" t="s">
        <v>483</v>
      </c>
      <c r="D1154" s="12" t="s">
        <v>78</v>
      </c>
      <c r="E1154" s="12" t="s">
        <v>142</v>
      </c>
      <c r="F1154">
        <v>2</v>
      </c>
      <c r="G1154">
        <v>9</v>
      </c>
      <c r="H1154">
        <v>0</v>
      </c>
      <c r="I1154" s="12" t="s">
        <v>183</v>
      </c>
      <c r="J1154" s="12" t="s">
        <v>184</v>
      </c>
      <c r="K1154" s="12" t="s">
        <v>133</v>
      </c>
      <c r="L1154" s="12" t="s">
        <v>82</v>
      </c>
      <c r="M1154">
        <v>8.6199999999999992</v>
      </c>
      <c r="N1154" s="12" t="s">
        <v>97</v>
      </c>
      <c r="O1154" s="12" t="s">
        <v>98</v>
      </c>
      <c r="P1154" s="12" t="s">
        <v>72</v>
      </c>
      <c r="Q1154" s="13">
        <v>45184</v>
      </c>
      <c r="R1154" s="13">
        <v>45228</v>
      </c>
      <c r="S1154">
        <v>2023</v>
      </c>
      <c r="T1154" s="12" t="s">
        <v>1753</v>
      </c>
      <c r="U1154">
        <v>181</v>
      </c>
      <c r="V1154">
        <v>49.685899999999997</v>
      </c>
      <c r="W1154">
        <v>109.29</v>
      </c>
      <c r="X1154">
        <v>0</v>
      </c>
      <c r="Y1154">
        <v>0</v>
      </c>
      <c r="Z1154">
        <v>8993.15</v>
      </c>
      <c r="AA1154">
        <v>9102.44</v>
      </c>
      <c r="AB1154" s="12" t="s">
        <v>1084</v>
      </c>
      <c r="AC1154">
        <v>49.685899999999997</v>
      </c>
      <c r="AD1154">
        <v>1</v>
      </c>
      <c r="AE1154">
        <v>1</v>
      </c>
      <c r="AF1154">
        <v>0</v>
      </c>
      <c r="AG1154">
        <v>8993.15</v>
      </c>
      <c r="AH1154">
        <v>181</v>
      </c>
      <c r="AI1154">
        <v>176</v>
      </c>
      <c r="AJ1154">
        <v>5</v>
      </c>
      <c r="AK1154">
        <v>1</v>
      </c>
      <c r="AL1154">
        <v>1</v>
      </c>
      <c r="AM1154">
        <v>97.24</v>
      </c>
      <c r="AN1154">
        <v>51.718400000000003</v>
      </c>
      <c r="AO1154">
        <v>248.43</v>
      </c>
      <c r="AP1154" s="13">
        <v>45227</v>
      </c>
      <c r="AQ1154">
        <v>-1</v>
      </c>
      <c r="AR1154">
        <v>1</v>
      </c>
    </row>
    <row r="1155" spans="1:44" x14ac:dyDescent="0.35">
      <c r="A1155" s="12" t="s">
        <v>1834</v>
      </c>
      <c r="B1155" s="12" t="s">
        <v>740</v>
      </c>
      <c r="C1155" s="12" t="s">
        <v>741</v>
      </c>
      <c r="D1155" s="12" t="s">
        <v>64</v>
      </c>
      <c r="E1155" s="12" t="s">
        <v>104</v>
      </c>
      <c r="F1155">
        <v>2</v>
      </c>
      <c r="G1155">
        <v>0</v>
      </c>
      <c r="H1155">
        <v>0</v>
      </c>
      <c r="I1155" s="12" t="s">
        <v>183</v>
      </c>
      <c r="J1155" s="12" t="s">
        <v>184</v>
      </c>
      <c r="K1155" s="12" t="s">
        <v>133</v>
      </c>
      <c r="L1155" s="12" t="s">
        <v>82</v>
      </c>
      <c r="M1155">
        <v>8.6199999999999992</v>
      </c>
      <c r="N1155" s="12" t="s">
        <v>70</v>
      </c>
      <c r="O1155" s="12" t="s">
        <v>71</v>
      </c>
      <c r="P1155" s="12" t="s">
        <v>72</v>
      </c>
      <c r="Q1155" s="13">
        <v>45184</v>
      </c>
      <c r="R1155" s="13">
        <v>45203</v>
      </c>
      <c r="S1155">
        <v>2023</v>
      </c>
      <c r="T1155" s="12" t="s">
        <v>1753</v>
      </c>
      <c r="U1155">
        <v>452</v>
      </c>
      <c r="V1155">
        <v>42.835999999999999</v>
      </c>
      <c r="W1155">
        <v>387.76</v>
      </c>
      <c r="X1155">
        <v>0</v>
      </c>
      <c r="Y1155">
        <v>0</v>
      </c>
      <c r="Z1155">
        <v>19361.87</v>
      </c>
      <c r="AA1155">
        <v>19749.63</v>
      </c>
      <c r="AB1155" s="12" t="s">
        <v>742</v>
      </c>
      <c r="AC1155">
        <v>41.2042</v>
      </c>
      <c r="AD1155">
        <v>1</v>
      </c>
      <c r="AE1155">
        <v>1</v>
      </c>
      <c r="AF1155">
        <v>737.57</v>
      </c>
      <c r="AG1155">
        <v>18624.3</v>
      </c>
      <c r="AH1155">
        <v>452</v>
      </c>
      <c r="AI1155">
        <v>450</v>
      </c>
      <c r="AJ1155">
        <v>2</v>
      </c>
      <c r="AK1155">
        <v>1</v>
      </c>
      <c r="AL1155">
        <v>1</v>
      </c>
      <c r="AM1155">
        <v>99.56</v>
      </c>
      <c r="AN1155">
        <v>43.888100000000001</v>
      </c>
      <c r="AO1155">
        <v>85.67</v>
      </c>
      <c r="AP1155" s="13">
        <v>45203</v>
      </c>
      <c r="AQ1155">
        <v>0</v>
      </c>
      <c r="AR1155">
        <v>1</v>
      </c>
    </row>
    <row r="1156" spans="1:44" x14ac:dyDescent="0.35">
      <c r="A1156" s="12" t="s">
        <v>1835</v>
      </c>
      <c r="B1156" s="12" t="s">
        <v>221</v>
      </c>
      <c r="C1156" s="12" t="s">
        <v>222</v>
      </c>
      <c r="D1156" s="12" t="s">
        <v>114</v>
      </c>
      <c r="E1156" s="12" t="s">
        <v>142</v>
      </c>
      <c r="F1156">
        <v>3</v>
      </c>
      <c r="G1156">
        <v>11</v>
      </c>
      <c r="H1156">
        <v>0</v>
      </c>
      <c r="I1156" s="12" t="s">
        <v>105</v>
      </c>
      <c r="J1156" s="12" t="s">
        <v>106</v>
      </c>
      <c r="K1156" s="12" t="s">
        <v>81</v>
      </c>
      <c r="L1156" s="12" t="s">
        <v>96</v>
      </c>
      <c r="M1156">
        <v>5.01</v>
      </c>
      <c r="N1156" s="12" t="s">
        <v>97</v>
      </c>
      <c r="O1156" s="12" t="s">
        <v>98</v>
      </c>
      <c r="P1156" s="12" t="s">
        <v>72</v>
      </c>
      <c r="Q1156" s="13">
        <v>45184</v>
      </c>
      <c r="R1156" s="13">
        <v>45219</v>
      </c>
      <c r="S1156">
        <v>2023</v>
      </c>
      <c r="T1156" s="12" t="s">
        <v>1753</v>
      </c>
      <c r="U1156">
        <v>13</v>
      </c>
      <c r="V1156">
        <v>239.12739999999999</v>
      </c>
      <c r="W1156">
        <v>20.58</v>
      </c>
      <c r="X1156">
        <v>0</v>
      </c>
      <c r="Y1156">
        <v>0</v>
      </c>
      <c r="Z1156">
        <v>3108.66</v>
      </c>
      <c r="AA1156">
        <v>3129.24</v>
      </c>
      <c r="AB1156" s="12" t="s">
        <v>1239</v>
      </c>
      <c r="AC1156">
        <v>239.12739999999999</v>
      </c>
      <c r="AD1156">
        <v>1</v>
      </c>
      <c r="AE1156">
        <v>1</v>
      </c>
      <c r="AF1156">
        <v>0</v>
      </c>
      <c r="AG1156">
        <v>3108.66</v>
      </c>
      <c r="AH1156">
        <v>13</v>
      </c>
      <c r="AI1156">
        <v>13</v>
      </c>
      <c r="AJ1156">
        <v>0</v>
      </c>
      <c r="AK1156">
        <v>1</v>
      </c>
      <c r="AL1156">
        <v>1</v>
      </c>
      <c r="AM1156">
        <v>100</v>
      </c>
      <c r="AN1156">
        <v>240.7105</v>
      </c>
      <c r="AO1156">
        <v>0</v>
      </c>
      <c r="AP1156" s="13">
        <v>45219</v>
      </c>
      <c r="AQ1156">
        <v>0</v>
      </c>
      <c r="AR1156">
        <v>1</v>
      </c>
    </row>
    <row r="1157" spans="1:44" x14ac:dyDescent="0.35">
      <c r="A1157" s="12" t="s">
        <v>1836</v>
      </c>
      <c r="B1157" s="12" t="s">
        <v>902</v>
      </c>
      <c r="C1157" s="12" t="s">
        <v>903</v>
      </c>
      <c r="D1157" s="12" t="s">
        <v>122</v>
      </c>
      <c r="E1157" s="12" t="s">
        <v>142</v>
      </c>
      <c r="F1157">
        <v>1</v>
      </c>
      <c r="G1157">
        <v>6</v>
      </c>
      <c r="H1157">
        <v>1</v>
      </c>
      <c r="I1157" s="12" t="s">
        <v>105</v>
      </c>
      <c r="J1157" s="12" t="s">
        <v>106</v>
      </c>
      <c r="K1157" s="12" t="s">
        <v>81</v>
      </c>
      <c r="L1157" s="12" t="s">
        <v>96</v>
      </c>
      <c r="M1157">
        <v>5.01</v>
      </c>
      <c r="N1157" s="12" t="s">
        <v>97</v>
      </c>
      <c r="O1157" s="12" t="s">
        <v>98</v>
      </c>
      <c r="P1157" s="12" t="s">
        <v>72</v>
      </c>
      <c r="Q1157" s="13">
        <v>45184</v>
      </c>
      <c r="R1157" s="13">
        <v>45233</v>
      </c>
      <c r="S1157">
        <v>2023</v>
      </c>
      <c r="T1157" s="12" t="s">
        <v>1753</v>
      </c>
      <c r="U1157">
        <v>1660</v>
      </c>
      <c r="V1157">
        <v>41.861199999999997</v>
      </c>
      <c r="W1157">
        <v>579.83000000000004</v>
      </c>
      <c r="X1157">
        <v>0</v>
      </c>
      <c r="Y1157">
        <v>0</v>
      </c>
      <c r="Z1157">
        <v>69489.59</v>
      </c>
      <c r="AA1157">
        <v>70069.42</v>
      </c>
      <c r="AB1157" s="12" t="s">
        <v>904</v>
      </c>
      <c r="AC1157">
        <v>41.861199999999997</v>
      </c>
      <c r="AD1157">
        <v>1</v>
      </c>
      <c r="AE1157">
        <v>1</v>
      </c>
      <c r="AF1157">
        <v>0</v>
      </c>
      <c r="AG1157">
        <v>69489.59</v>
      </c>
      <c r="AH1157">
        <v>1660</v>
      </c>
      <c r="AI1157">
        <v>1644</v>
      </c>
      <c r="AJ1157">
        <v>16</v>
      </c>
      <c r="AK1157">
        <v>1</v>
      </c>
      <c r="AL1157">
        <v>1</v>
      </c>
      <c r="AM1157">
        <v>99.04</v>
      </c>
      <c r="AN1157">
        <v>42.621299999999998</v>
      </c>
      <c r="AO1157">
        <v>669.78</v>
      </c>
      <c r="AP1157" s="13">
        <v>45232</v>
      </c>
      <c r="AQ1157">
        <v>-1</v>
      </c>
      <c r="AR1157">
        <v>1</v>
      </c>
    </row>
    <row r="1158" spans="1:44" x14ac:dyDescent="0.35">
      <c r="A1158" s="12" t="s">
        <v>1837</v>
      </c>
      <c r="B1158" s="12" t="s">
        <v>891</v>
      </c>
      <c r="C1158" s="12" t="s">
        <v>892</v>
      </c>
      <c r="D1158" s="12" t="s">
        <v>122</v>
      </c>
      <c r="E1158" s="12" t="s">
        <v>65</v>
      </c>
      <c r="F1158">
        <v>3</v>
      </c>
      <c r="G1158">
        <v>5</v>
      </c>
      <c r="H1158">
        <v>0</v>
      </c>
      <c r="I1158" s="12" t="s">
        <v>195</v>
      </c>
      <c r="J1158" s="12" t="s">
        <v>196</v>
      </c>
      <c r="K1158" s="12" t="s">
        <v>117</v>
      </c>
      <c r="L1158" s="12" t="s">
        <v>134</v>
      </c>
      <c r="M1158">
        <v>4.7699999999999996</v>
      </c>
      <c r="N1158" s="12" t="s">
        <v>70</v>
      </c>
      <c r="O1158" s="12" t="s">
        <v>71</v>
      </c>
      <c r="P1158" s="12" t="s">
        <v>72</v>
      </c>
      <c r="Q1158" s="13">
        <v>45187</v>
      </c>
      <c r="R1158" s="13">
        <v>45222</v>
      </c>
      <c r="S1158">
        <v>2023</v>
      </c>
      <c r="T1158" s="12" t="s">
        <v>1753</v>
      </c>
      <c r="U1158">
        <v>1663</v>
      </c>
      <c r="V1158">
        <v>39.456000000000003</v>
      </c>
      <c r="W1158">
        <v>689.8</v>
      </c>
      <c r="X1158">
        <v>0</v>
      </c>
      <c r="Y1158">
        <v>0</v>
      </c>
      <c r="Z1158">
        <v>65615.33</v>
      </c>
      <c r="AA1158">
        <v>66305.13</v>
      </c>
      <c r="AB1158" s="12" t="s">
        <v>893</v>
      </c>
      <c r="AC1158">
        <v>39.456000000000003</v>
      </c>
      <c r="AD1158">
        <v>1</v>
      </c>
      <c r="AE1158">
        <v>1</v>
      </c>
      <c r="AF1158">
        <v>0</v>
      </c>
      <c r="AG1158">
        <v>65615.33</v>
      </c>
      <c r="AH1158">
        <v>1663</v>
      </c>
      <c r="AI1158">
        <v>1654</v>
      </c>
      <c r="AJ1158">
        <v>9</v>
      </c>
      <c r="AK1158">
        <v>1</v>
      </c>
      <c r="AL1158">
        <v>1</v>
      </c>
      <c r="AM1158">
        <v>99.46</v>
      </c>
      <c r="AN1158">
        <v>40.087699999999998</v>
      </c>
      <c r="AO1158">
        <v>355.1</v>
      </c>
      <c r="AP1158" s="13">
        <v>45221</v>
      </c>
      <c r="AQ1158">
        <v>-1</v>
      </c>
      <c r="AR1158">
        <v>1</v>
      </c>
    </row>
    <row r="1159" spans="1:44" x14ac:dyDescent="0.35">
      <c r="A1159" s="12" t="s">
        <v>1838</v>
      </c>
      <c r="B1159" s="12" t="s">
        <v>706</v>
      </c>
      <c r="C1159" s="12" t="s">
        <v>707</v>
      </c>
      <c r="D1159" s="12" t="s">
        <v>130</v>
      </c>
      <c r="E1159" s="12" t="s">
        <v>142</v>
      </c>
      <c r="F1159">
        <v>1</v>
      </c>
      <c r="G1159">
        <v>8</v>
      </c>
      <c r="H1159">
        <v>1</v>
      </c>
      <c r="I1159" s="12" t="s">
        <v>263</v>
      </c>
      <c r="J1159" s="12" t="s">
        <v>264</v>
      </c>
      <c r="K1159" s="12" t="s">
        <v>125</v>
      </c>
      <c r="L1159" s="12" t="s">
        <v>82</v>
      </c>
      <c r="M1159">
        <v>10.210000000000001</v>
      </c>
      <c r="N1159" s="12" t="s">
        <v>159</v>
      </c>
      <c r="O1159" s="12" t="s">
        <v>160</v>
      </c>
      <c r="P1159" s="12" t="s">
        <v>137</v>
      </c>
      <c r="Q1159" s="13">
        <v>45187</v>
      </c>
      <c r="R1159" s="13">
        <v>45235</v>
      </c>
      <c r="S1159">
        <v>2023</v>
      </c>
      <c r="T1159" s="12" t="s">
        <v>1753</v>
      </c>
      <c r="U1159">
        <v>114</v>
      </c>
      <c r="V1159">
        <v>277.71210000000002</v>
      </c>
      <c r="W1159">
        <v>757.4</v>
      </c>
      <c r="X1159">
        <v>0</v>
      </c>
      <c r="Y1159">
        <v>0</v>
      </c>
      <c r="Z1159">
        <v>31659.18</v>
      </c>
      <c r="AA1159">
        <v>32416.58</v>
      </c>
      <c r="AB1159" s="12" t="s">
        <v>708</v>
      </c>
      <c r="AC1159">
        <v>277.71210000000002</v>
      </c>
      <c r="AD1159">
        <v>1</v>
      </c>
      <c r="AE1159">
        <v>1</v>
      </c>
      <c r="AF1159">
        <v>0</v>
      </c>
      <c r="AG1159">
        <v>31659.18</v>
      </c>
      <c r="AH1159">
        <v>114</v>
      </c>
      <c r="AI1159">
        <v>114</v>
      </c>
      <c r="AJ1159">
        <v>0</v>
      </c>
      <c r="AK1159">
        <v>1</v>
      </c>
      <c r="AL1159">
        <v>1</v>
      </c>
      <c r="AM1159">
        <v>100</v>
      </c>
      <c r="AN1159">
        <v>284.35599999999999</v>
      </c>
      <c r="AO1159">
        <v>0</v>
      </c>
      <c r="AP1159" s="13">
        <v>45233</v>
      </c>
      <c r="AQ1159">
        <v>-2</v>
      </c>
      <c r="AR1159">
        <v>1</v>
      </c>
    </row>
    <row r="1160" spans="1:44" x14ac:dyDescent="0.35">
      <c r="A1160" s="12" t="s">
        <v>1839</v>
      </c>
      <c r="B1160" s="12" t="s">
        <v>357</v>
      </c>
      <c r="C1160" s="12" t="s">
        <v>358</v>
      </c>
      <c r="D1160" s="12" t="s">
        <v>103</v>
      </c>
      <c r="E1160" s="12" t="s">
        <v>104</v>
      </c>
      <c r="F1160">
        <v>3</v>
      </c>
      <c r="G1160">
        <v>1</v>
      </c>
      <c r="H1160">
        <v>0</v>
      </c>
      <c r="I1160" s="12" t="s">
        <v>105</v>
      </c>
      <c r="J1160" s="12" t="s">
        <v>106</v>
      </c>
      <c r="K1160" s="12" t="s">
        <v>81</v>
      </c>
      <c r="L1160" s="12" t="s">
        <v>96</v>
      </c>
      <c r="M1160">
        <v>5.01</v>
      </c>
      <c r="N1160" s="12" t="s">
        <v>107</v>
      </c>
      <c r="O1160" s="12" t="s">
        <v>108</v>
      </c>
      <c r="P1160" s="12" t="s">
        <v>109</v>
      </c>
      <c r="Q1160" s="13">
        <v>45187</v>
      </c>
      <c r="R1160" s="13">
        <v>45216</v>
      </c>
      <c r="S1160">
        <v>2023</v>
      </c>
      <c r="T1160" s="12" t="s">
        <v>1753</v>
      </c>
      <c r="U1160">
        <v>145</v>
      </c>
      <c r="V1160">
        <v>106.6914</v>
      </c>
      <c r="W1160">
        <v>323.8</v>
      </c>
      <c r="X1160">
        <v>0</v>
      </c>
      <c r="Y1160">
        <v>0</v>
      </c>
      <c r="Z1160">
        <v>15470.25</v>
      </c>
      <c r="AA1160">
        <v>15794.05</v>
      </c>
      <c r="AB1160" s="12" t="s">
        <v>882</v>
      </c>
      <c r="AC1160">
        <v>106.6914</v>
      </c>
      <c r="AD1160">
        <v>1</v>
      </c>
      <c r="AE1160">
        <v>1</v>
      </c>
      <c r="AF1160">
        <v>0</v>
      </c>
      <c r="AG1160">
        <v>15470.25</v>
      </c>
      <c r="AH1160">
        <v>145</v>
      </c>
      <c r="AI1160">
        <v>144</v>
      </c>
      <c r="AJ1160">
        <v>1</v>
      </c>
      <c r="AK1160">
        <v>1</v>
      </c>
      <c r="AL1160">
        <v>1</v>
      </c>
      <c r="AM1160">
        <v>99.31</v>
      </c>
      <c r="AN1160">
        <v>109.68089999999999</v>
      </c>
      <c r="AO1160">
        <v>106.69</v>
      </c>
      <c r="AP1160" s="13">
        <v>45213</v>
      </c>
      <c r="AQ1160">
        <v>-3</v>
      </c>
      <c r="AR1160">
        <v>1</v>
      </c>
    </row>
    <row r="1161" spans="1:44" x14ac:dyDescent="0.35">
      <c r="A1161" s="12" t="s">
        <v>1840</v>
      </c>
      <c r="B1161" s="12" t="s">
        <v>454</v>
      </c>
      <c r="C1161" s="12" t="s">
        <v>455</v>
      </c>
      <c r="D1161" s="12" t="s">
        <v>122</v>
      </c>
      <c r="E1161" s="12" t="s">
        <v>104</v>
      </c>
      <c r="F1161">
        <v>3</v>
      </c>
      <c r="G1161">
        <v>1</v>
      </c>
      <c r="H1161">
        <v>0</v>
      </c>
      <c r="I1161" s="12" t="s">
        <v>87</v>
      </c>
      <c r="J1161" s="12" t="s">
        <v>88</v>
      </c>
      <c r="K1161" s="12" t="s">
        <v>89</v>
      </c>
      <c r="L1161" s="12" t="s">
        <v>69</v>
      </c>
      <c r="M1161">
        <v>14.93</v>
      </c>
      <c r="N1161" s="12" t="s">
        <v>70</v>
      </c>
      <c r="O1161" s="12" t="s">
        <v>71</v>
      </c>
      <c r="P1161" s="12" t="s">
        <v>72</v>
      </c>
      <c r="Q1161" s="13">
        <v>45187</v>
      </c>
      <c r="R1161" s="13">
        <v>45203</v>
      </c>
      <c r="S1161">
        <v>2023</v>
      </c>
      <c r="T1161" s="12" t="s">
        <v>1753</v>
      </c>
      <c r="U1161">
        <v>667</v>
      </c>
      <c r="V1161">
        <v>23.051400000000001</v>
      </c>
      <c r="W1161">
        <v>240.49</v>
      </c>
      <c r="X1161">
        <v>0</v>
      </c>
      <c r="Y1161">
        <v>0</v>
      </c>
      <c r="Z1161">
        <v>15375.28</v>
      </c>
      <c r="AA1161">
        <v>15615.77</v>
      </c>
      <c r="AB1161" s="12" t="s">
        <v>456</v>
      </c>
      <c r="AC1161">
        <v>21.796199999999999</v>
      </c>
      <c r="AD1161">
        <v>1</v>
      </c>
      <c r="AE1161">
        <v>1</v>
      </c>
      <c r="AF1161">
        <v>837.22</v>
      </c>
      <c r="AG1161">
        <v>14538.07</v>
      </c>
      <c r="AH1161">
        <v>667</v>
      </c>
      <c r="AI1161">
        <v>666</v>
      </c>
      <c r="AJ1161">
        <v>1</v>
      </c>
      <c r="AK1161">
        <v>1</v>
      </c>
      <c r="AL1161">
        <v>1</v>
      </c>
      <c r="AM1161">
        <v>99.85</v>
      </c>
      <c r="AN1161">
        <v>23.447099999999999</v>
      </c>
      <c r="AO1161">
        <v>23.05</v>
      </c>
      <c r="AP1161" s="13">
        <v>45201</v>
      </c>
      <c r="AQ1161">
        <v>-2</v>
      </c>
      <c r="AR1161">
        <v>1</v>
      </c>
    </row>
    <row r="1162" spans="1:44" x14ac:dyDescent="0.35">
      <c r="A1162" s="12" t="s">
        <v>1841</v>
      </c>
      <c r="B1162" s="12" t="s">
        <v>92</v>
      </c>
      <c r="C1162" s="12" t="s">
        <v>93</v>
      </c>
      <c r="D1162" s="12" t="s">
        <v>64</v>
      </c>
      <c r="E1162" s="12" t="s">
        <v>65</v>
      </c>
      <c r="F1162">
        <v>3</v>
      </c>
      <c r="G1162">
        <v>5</v>
      </c>
      <c r="H1162">
        <v>0</v>
      </c>
      <c r="I1162" s="12" t="s">
        <v>94</v>
      </c>
      <c r="J1162" s="12" t="s">
        <v>95</v>
      </c>
      <c r="K1162" s="12" t="s">
        <v>81</v>
      </c>
      <c r="L1162" s="12" t="s">
        <v>96</v>
      </c>
      <c r="M1162">
        <v>4.8099999999999996</v>
      </c>
      <c r="N1162" s="12" t="s">
        <v>97</v>
      </c>
      <c r="O1162" s="12" t="s">
        <v>98</v>
      </c>
      <c r="P1162" s="12" t="s">
        <v>72</v>
      </c>
      <c r="Q1162" s="13">
        <v>45187</v>
      </c>
      <c r="R1162" s="13">
        <v>45221</v>
      </c>
      <c r="S1162">
        <v>2023</v>
      </c>
      <c r="T1162" s="12" t="s">
        <v>1753</v>
      </c>
      <c r="U1162">
        <v>787</v>
      </c>
      <c r="V1162">
        <v>24.617899999999999</v>
      </c>
      <c r="W1162">
        <v>257.67</v>
      </c>
      <c r="X1162">
        <v>0</v>
      </c>
      <c r="Y1162">
        <v>0</v>
      </c>
      <c r="Z1162">
        <v>19374.29</v>
      </c>
      <c r="AA1162">
        <v>19631.96</v>
      </c>
      <c r="AB1162" s="12" t="s">
        <v>99</v>
      </c>
      <c r="AC1162">
        <v>24.617899999999999</v>
      </c>
      <c r="AD1162">
        <v>1</v>
      </c>
      <c r="AE1162">
        <v>1</v>
      </c>
      <c r="AF1162">
        <v>0</v>
      </c>
      <c r="AG1162">
        <v>19374.29</v>
      </c>
      <c r="AH1162">
        <v>787</v>
      </c>
      <c r="AI1162">
        <v>778</v>
      </c>
      <c r="AJ1162">
        <v>9</v>
      </c>
      <c r="AK1162">
        <v>1</v>
      </c>
      <c r="AL1162">
        <v>1</v>
      </c>
      <c r="AM1162">
        <v>98.86</v>
      </c>
      <c r="AN1162">
        <v>25.233899999999998</v>
      </c>
      <c r="AO1162">
        <v>221.56</v>
      </c>
      <c r="AP1162" s="13">
        <v>45223</v>
      </c>
      <c r="AQ1162">
        <v>2</v>
      </c>
      <c r="AR1162">
        <v>0</v>
      </c>
    </row>
    <row r="1163" spans="1:44" x14ac:dyDescent="0.35">
      <c r="A1163" s="12" t="s">
        <v>1842</v>
      </c>
      <c r="B1163" s="12" t="s">
        <v>674</v>
      </c>
      <c r="C1163" s="12" t="s">
        <v>675</v>
      </c>
      <c r="D1163" s="12" t="s">
        <v>269</v>
      </c>
      <c r="E1163" s="12" t="s">
        <v>142</v>
      </c>
      <c r="F1163">
        <v>1</v>
      </c>
      <c r="G1163">
        <v>7</v>
      </c>
      <c r="H1163">
        <v>1</v>
      </c>
      <c r="I1163" s="12" t="s">
        <v>676</v>
      </c>
      <c r="J1163" s="12" t="s">
        <v>677</v>
      </c>
      <c r="K1163" s="12" t="s">
        <v>68</v>
      </c>
      <c r="L1163" s="12" t="s">
        <v>96</v>
      </c>
      <c r="M1163">
        <v>3.57</v>
      </c>
      <c r="N1163" s="12" t="s">
        <v>159</v>
      </c>
      <c r="O1163" s="12" t="s">
        <v>160</v>
      </c>
      <c r="P1163" s="12" t="s">
        <v>137</v>
      </c>
      <c r="Q1163" s="13">
        <v>45188</v>
      </c>
      <c r="R1163" s="13">
        <v>45223</v>
      </c>
      <c r="S1163">
        <v>2023</v>
      </c>
      <c r="T1163" s="12" t="s">
        <v>1753</v>
      </c>
      <c r="U1163">
        <v>17</v>
      </c>
      <c r="V1163">
        <v>355.32960000000003</v>
      </c>
      <c r="W1163">
        <v>135.21</v>
      </c>
      <c r="X1163">
        <v>0</v>
      </c>
      <c r="Y1163">
        <v>0</v>
      </c>
      <c r="Z1163">
        <v>6040.6</v>
      </c>
      <c r="AA1163">
        <v>6175.81</v>
      </c>
      <c r="AB1163" s="12" t="s">
        <v>678</v>
      </c>
      <c r="AC1163">
        <v>355.32960000000003</v>
      </c>
      <c r="AD1163">
        <v>1</v>
      </c>
      <c r="AE1163">
        <v>1</v>
      </c>
      <c r="AF1163">
        <v>0</v>
      </c>
      <c r="AG1163">
        <v>6040.6</v>
      </c>
      <c r="AH1163">
        <v>17</v>
      </c>
      <c r="AI1163">
        <v>17</v>
      </c>
      <c r="AJ1163">
        <v>0</v>
      </c>
      <c r="AK1163">
        <v>1</v>
      </c>
      <c r="AL1163">
        <v>1</v>
      </c>
      <c r="AM1163">
        <v>100</v>
      </c>
      <c r="AN1163">
        <v>363.28309999999999</v>
      </c>
      <c r="AO1163">
        <v>0</v>
      </c>
      <c r="AP1163" s="13">
        <v>45221</v>
      </c>
      <c r="AQ1163">
        <v>-2</v>
      </c>
      <c r="AR1163">
        <v>1</v>
      </c>
    </row>
    <row r="1164" spans="1:44" x14ac:dyDescent="0.35">
      <c r="A1164" s="12" t="s">
        <v>1843</v>
      </c>
      <c r="B1164" s="12" t="s">
        <v>609</v>
      </c>
      <c r="C1164" s="12" t="s">
        <v>610</v>
      </c>
      <c r="D1164" s="12" t="s">
        <v>64</v>
      </c>
      <c r="E1164" s="12" t="s">
        <v>104</v>
      </c>
      <c r="F1164">
        <v>1</v>
      </c>
      <c r="G1164">
        <v>0</v>
      </c>
      <c r="H1164">
        <v>1</v>
      </c>
      <c r="I1164" s="12" t="s">
        <v>227</v>
      </c>
      <c r="J1164" s="12" t="s">
        <v>228</v>
      </c>
      <c r="K1164" s="12" t="s">
        <v>89</v>
      </c>
      <c r="L1164" s="12" t="s">
        <v>96</v>
      </c>
      <c r="M1164">
        <v>9.15</v>
      </c>
      <c r="N1164" s="12" t="s">
        <v>70</v>
      </c>
      <c r="O1164" s="12" t="s">
        <v>71</v>
      </c>
      <c r="P1164" s="12" t="s">
        <v>72</v>
      </c>
      <c r="Q1164" s="13">
        <v>45188</v>
      </c>
      <c r="R1164" s="13">
        <v>45206</v>
      </c>
      <c r="S1164">
        <v>2023</v>
      </c>
      <c r="T1164" s="12" t="s">
        <v>1753</v>
      </c>
      <c r="U1164">
        <v>445</v>
      </c>
      <c r="V1164">
        <v>20.713699999999999</v>
      </c>
      <c r="W1164">
        <v>150.56</v>
      </c>
      <c r="X1164">
        <v>0</v>
      </c>
      <c r="Y1164">
        <v>0</v>
      </c>
      <c r="Z1164">
        <v>9217.6</v>
      </c>
      <c r="AA1164">
        <v>9368.16</v>
      </c>
      <c r="AB1164" s="12" t="s">
        <v>611</v>
      </c>
      <c r="AC1164">
        <v>20.713699999999999</v>
      </c>
      <c r="AD1164">
        <v>1</v>
      </c>
      <c r="AE1164">
        <v>1</v>
      </c>
      <c r="AF1164">
        <v>0</v>
      </c>
      <c r="AG1164">
        <v>9217.6</v>
      </c>
      <c r="AH1164">
        <v>445</v>
      </c>
      <c r="AI1164">
        <v>440</v>
      </c>
      <c r="AJ1164">
        <v>5</v>
      </c>
      <c r="AK1164">
        <v>1</v>
      </c>
      <c r="AL1164">
        <v>1</v>
      </c>
      <c r="AM1164">
        <v>98.88</v>
      </c>
      <c r="AN1164">
        <v>21.2913</v>
      </c>
      <c r="AO1164">
        <v>103.57</v>
      </c>
      <c r="AP1164" s="13">
        <v>45205</v>
      </c>
      <c r="AQ1164">
        <v>-1</v>
      </c>
      <c r="AR1164">
        <v>1</v>
      </c>
    </row>
    <row r="1165" spans="1:44" x14ac:dyDescent="0.35">
      <c r="A1165" s="12" t="s">
        <v>1844</v>
      </c>
      <c r="B1165" s="12" t="s">
        <v>513</v>
      </c>
      <c r="C1165" s="12" t="s">
        <v>514</v>
      </c>
      <c r="D1165" s="12" t="s">
        <v>269</v>
      </c>
      <c r="E1165" s="12" t="s">
        <v>65</v>
      </c>
      <c r="F1165">
        <v>1</v>
      </c>
      <c r="G1165">
        <v>2</v>
      </c>
      <c r="H1165">
        <v>1</v>
      </c>
      <c r="I1165" s="12" t="s">
        <v>515</v>
      </c>
      <c r="J1165" s="12" t="s">
        <v>516</v>
      </c>
      <c r="K1165" s="12" t="s">
        <v>68</v>
      </c>
      <c r="L1165" s="12" t="s">
        <v>134</v>
      </c>
      <c r="M1165">
        <v>3.69</v>
      </c>
      <c r="N1165" s="12" t="s">
        <v>135</v>
      </c>
      <c r="O1165" s="12" t="s">
        <v>136</v>
      </c>
      <c r="P1165" s="12" t="s">
        <v>137</v>
      </c>
      <c r="Q1165" s="13">
        <v>45188</v>
      </c>
      <c r="R1165" s="13">
        <v>45222</v>
      </c>
      <c r="S1165">
        <v>2023</v>
      </c>
      <c r="T1165" s="12" t="s">
        <v>1753</v>
      </c>
      <c r="U1165">
        <v>112</v>
      </c>
      <c r="V1165">
        <v>229.3486</v>
      </c>
      <c r="W1165">
        <v>419.19</v>
      </c>
      <c r="X1165">
        <v>0</v>
      </c>
      <c r="Y1165">
        <v>0</v>
      </c>
      <c r="Z1165">
        <v>25687.040000000001</v>
      </c>
      <c r="AA1165">
        <v>26106.23</v>
      </c>
      <c r="AB1165" s="12" t="s">
        <v>517</v>
      </c>
      <c r="AC1165">
        <v>229.3486</v>
      </c>
      <c r="AD1165">
        <v>1</v>
      </c>
      <c r="AE1165">
        <v>1</v>
      </c>
      <c r="AF1165">
        <v>0</v>
      </c>
      <c r="AG1165">
        <v>25687.040000000001</v>
      </c>
      <c r="AH1165">
        <v>112</v>
      </c>
      <c r="AI1165">
        <v>111</v>
      </c>
      <c r="AJ1165">
        <v>1</v>
      </c>
      <c r="AK1165">
        <v>1</v>
      </c>
      <c r="AL1165">
        <v>1</v>
      </c>
      <c r="AM1165">
        <v>99.11</v>
      </c>
      <c r="AN1165">
        <v>235.19130000000001</v>
      </c>
      <c r="AO1165">
        <v>229.35</v>
      </c>
      <c r="AP1165" s="13">
        <v>45222</v>
      </c>
      <c r="AQ1165">
        <v>0</v>
      </c>
      <c r="AR1165">
        <v>1</v>
      </c>
    </row>
    <row r="1166" spans="1:44" x14ac:dyDescent="0.35">
      <c r="A1166" s="12" t="s">
        <v>1845</v>
      </c>
      <c r="B1166" s="12" t="s">
        <v>442</v>
      </c>
      <c r="C1166" s="12" t="s">
        <v>443</v>
      </c>
      <c r="D1166" s="12" t="s">
        <v>130</v>
      </c>
      <c r="E1166" s="12" t="s">
        <v>65</v>
      </c>
      <c r="F1166">
        <v>3</v>
      </c>
      <c r="G1166">
        <v>4</v>
      </c>
      <c r="H1166">
        <v>0</v>
      </c>
      <c r="I1166" s="12" t="s">
        <v>251</v>
      </c>
      <c r="J1166" s="12" t="s">
        <v>252</v>
      </c>
      <c r="K1166" s="12" t="s">
        <v>133</v>
      </c>
      <c r="L1166" s="12" t="s">
        <v>69</v>
      </c>
      <c r="M1166">
        <v>34.49</v>
      </c>
      <c r="N1166" s="12" t="s">
        <v>159</v>
      </c>
      <c r="O1166" s="12" t="s">
        <v>160</v>
      </c>
      <c r="P1166" s="12" t="s">
        <v>137</v>
      </c>
      <c r="Q1166" s="13">
        <v>45188</v>
      </c>
      <c r="R1166" s="13">
        <v>45220</v>
      </c>
      <c r="S1166">
        <v>2023</v>
      </c>
      <c r="T1166" s="12" t="s">
        <v>1753</v>
      </c>
      <c r="U1166">
        <v>100</v>
      </c>
      <c r="V1166">
        <v>610.72789999999998</v>
      </c>
      <c r="W1166">
        <v>1177.79</v>
      </c>
      <c r="X1166">
        <v>0</v>
      </c>
      <c r="Y1166">
        <v>0</v>
      </c>
      <c r="Z1166">
        <v>61072.79</v>
      </c>
      <c r="AA1166">
        <v>62250.58</v>
      </c>
      <c r="AB1166" s="12" t="s">
        <v>444</v>
      </c>
      <c r="AC1166">
        <v>610.72789999999998</v>
      </c>
      <c r="AD1166">
        <v>1</v>
      </c>
      <c r="AE1166">
        <v>1</v>
      </c>
      <c r="AF1166">
        <v>0</v>
      </c>
      <c r="AG1166">
        <v>61072.79</v>
      </c>
      <c r="AH1166">
        <v>100</v>
      </c>
      <c r="AI1166">
        <v>99</v>
      </c>
      <c r="AJ1166">
        <v>1</v>
      </c>
      <c r="AK1166">
        <v>1</v>
      </c>
      <c r="AL1166">
        <v>1</v>
      </c>
      <c r="AM1166">
        <v>99</v>
      </c>
      <c r="AN1166">
        <v>628.79369999999994</v>
      </c>
      <c r="AO1166">
        <v>610.73</v>
      </c>
      <c r="AP1166" s="13">
        <v>45218</v>
      </c>
      <c r="AQ1166">
        <v>-2</v>
      </c>
      <c r="AR1166">
        <v>1</v>
      </c>
    </row>
    <row r="1167" spans="1:44" x14ac:dyDescent="0.35">
      <c r="A1167" s="12" t="s">
        <v>1846</v>
      </c>
      <c r="B1167" s="12" t="s">
        <v>990</v>
      </c>
      <c r="C1167" s="12" t="s">
        <v>991</v>
      </c>
      <c r="D1167" s="12" t="s">
        <v>122</v>
      </c>
      <c r="E1167" s="12" t="s">
        <v>142</v>
      </c>
      <c r="F1167">
        <v>1</v>
      </c>
      <c r="G1167">
        <v>6</v>
      </c>
      <c r="H1167">
        <v>1</v>
      </c>
      <c r="I1167" s="12" t="s">
        <v>217</v>
      </c>
      <c r="J1167" s="12" t="s">
        <v>218</v>
      </c>
      <c r="K1167" s="12" t="s">
        <v>68</v>
      </c>
      <c r="L1167" s="12" t="s">
        <v>82</v>
      </c>
      <c r="M1167">
        <v>14.24</v>
      </c>
      <c r="N1167" s="12" t="s">
        <v>70</v>
      </c>
      <c r="O1167" s="12" t="s">
        <v>71</v>
      </c>
      <c r="P1167" s="12" t="s">
        <v>72</v>
      </c>
      <c r="Q1167" s="13">
        <v>45188</v>
      </c>
      <c r="R1167" s="13">
        <v>45235</v>
      </c>
      <c r="S1167">
        <v>2023</v>
      </c>
      <c r="T1167" s="12" t="s">
        <v>1753</v>
      </c>
      <c r="U1167">
        <v>1488</v>
      </c>
      <c r="V1167">
        <v>33.697499999999998</v>
      </c>
      <c r="W1167">
        <v>333.36</v>
      </c>
      <c r="X1167">
        <v>1604.53</v>
      </c>
      <c r="Y1167">
        <v>1</v>
      </c>
      <c r="Z1167">
        <v>50141.88</v>
      </c>
      <c r="AA1167">
        <v>52079.77</v>
      </c>
      <c r="AB1167" s="12" t="s">
        <v>992</v>
      </c>
      <c r="AC1167">
        <v>33.697499999999998</v>
      </c>
      <c r="AD1167">
        <v>1</v>
      </c>
      <c r="AE1167">
        <v>1</v>
      </c>
      <c r="AF1167">
        <v>0</v>
      </c>
      <c r="AG1167">
        <v>50141.88</v>
      </c>
      <c r="AH1167">
        <v>1488</v>
      </c>
      <c r="AI1167">
        <v>1471</v>
      </c>
      <c r="AJ1167">
        <v>17</v>
      </c>
      <c r="AK1167">
        <v>1</v>
      </c>
      <c r="AL1167">
        <v>1</v>
      </c>
      <c r="AM1167">
        <v>98.86</v>
      </c>
      <c r="AN1167">
        <v>35.404299999999999</v>
      </c>
      <c r="AO1167">
        <v>572.86</v>
      </c>
      <c r="AP1167" s="13">
        <v>45234</v>
      </c>
      <c r="AQ1167">
        <v>-1</v>
      </c>
      <c r="AR1167">
        <v>1</v>
      </c>
    </row>
    <row r="1168" spans="1:44" x14ac:dyDescent="0.35">
      <c r="A1168" s="12" t="s">
        <v>1847</v>
      </c>
      <c r="B1168" s="12" t="s">
        <v>92</v>
      </c>
      <c r="C1168" s="12" t="s">
        <v>93</v>
      </c>
      <c r="D1168" s="12" t="s">
        <v>64</v>
      </c>
      <c r="E1168" s="12" t="s">
        <v>65</v>
      </c>
      <c r="F1168">
        <v>3</v>
      </c>
      <c r="G1168">
        <v>5</v>
      </c>
      <c r="H1168">
        <v>0</v>
      </c>
      <c r="I1168" s="12" t="s">
        <v>94</v>
      </c>
      <c r="J1168" s="12" t="s">
        <v>95</v>
      </c>
      <c r="K1168" s="12" t="s">
        <v>81</v>
      </c>
      <c r="L1168" s="12" t="s">
        <v>96</v>
      </c>
      <c r="M1168">
        <v>4.8099999999999996</v>
      </c>
      <c r="N1168" s="12" t="s">
        <v>70</v>
      </c>
      <c r="O1168" s="12" t="s">
        <v>71</v>
      </c>
      <c r="P1168" s="12" t="s">
        <v>72</v>
      </c>
      <c r="Q1168" s="13">
        <v>45188</v>
      </c>
      <c r="R1168" s="13">
        <v>45217</v>
      </c>
      <c r="S1168">
        <v>2023</v>
      </c>
      <c r="T1168" s="12" t="s">
        <v>1753</v>
      </c>
      <c r="U1168">
        <v>501</v>
      </c>
      <c r="V1168">
        <v>24.617899999999999</v>
      </c>
      <c r="W1168">
        <v>192.21</v>
      </c>
      <c r="X1168">
        <v>0</v>
      </c>
      <c r="Y1168">
        <v>0</v>
      </c>
      <c r="Z1168">
        <v>12333.57</v>
      </c>
      <c r="AA1168">
        <v>12525.78</v>
      </c>
      <c r="AB1168" s="12" t="s">
        <v>99</v>
      </c>
      <c r="AC1168">
        <v>24.617899999999999</v>
      </c>
      <c r="AD1168">
        <v>1</v>
      </c>
      <c r="AE1168">
        <v>1</v>
      </c>
      <c r="AF1168">
        <v>0</v>
      </c>
      <c r="AG1168">
        <v>12333.57</v>
      </c>
      <c r="AH1168">
        <v>501</v>
      </c>
      <c r="AI1168">
        <v>495</v>
      </c>
      <c r="AJ1168">
        <v>6</v>
      </c>
      <c r="AK1168">
        <v>1</v>
      </c>
      <c r="AL1168">
        <v>1</v>
      </c>
      <c r="AM1168">
        <v>98.8</v>
      </c>
      <c r="AN1168">
        <v>25.304600000000001</v>
      </c>
      <c r="AO1168">
        <v>147.71</v>
      </c>
      <c r="AP1168" s="13">
        <v>45215</v>
      </c>
      <c r="AQ1168">
        <v>-2</v>
      </c>
      <c r="AR1168">
        <v>1</v>
      </c>
    </row>
    <row r="1169" spans="1:44" x14ac:dyDescent="0.35">
      <c r="A1169" s="12" t="s">
        <v>1848</v>
      </c>
      <c r="B1169" s="12" t="s">
        <v>661</v>
      </c>
      <c r="C1169" s="12" t="s">
        <v>662</v>
      </c>
      <c r="D1169" s="12" t="s">
        <v>175</v>
      </c>
      <c r="E1169" s="12" t="s">
        <v>104</v>
      </c>
      <c r="F1169">
        <v>1</v>
      </c>
      <c r="G1169">
        <v>0</v>
      </c>
      <c r="H1169">
        <v>1</v>
      </c>
      <c r="I1169" s="12" t="s">
        <v>183</v>
      </c>
      <c r="J1169" s="12" t="s">
        <v>184</v>
      </c>
      <c r="K1169" s="12" t="s">
        <v>133</v>
      </c>
      <c r="L1169" s="12" t="s">
        <v>82</v>
      </c>
      <c r="M1169">
        <v>8.6199999999999992</v>
      </c>
      <c r="N1169" s="12" t="s">
        <v>145</v>
      </c>
      <c r="O1169" s="12" t="s">
        <v>146</v>
      </c>
      <c r="P1169" s="12" t="s">
        <v>109</v>
      </c>
      <c r="Q1169" s="13">
        <v>45188</v>
      </c>
      <c r="R1169" s="13">
        <v>45202</v>
      </c>
      <c r="S1169">
        <v>2023</v>
      </c>
      <c r="T1169" s="12" t="s">
        <v>1753</v>
      </c>
      <c r="U1169">
        <v>31</v>
      </c>
      <c r="V1169">
        <v>194.86689999999999</v>
      </c>
      <c r="W1169">
        <v>99.26</v>
      </c>
      <c r="X1169">
        <v>192.63</v>
      </c>
      <c r="Y1169">
        <v>1</v>
      </c>
      <c r="Z1169">
        <v>6040.87</v>
      </c>
      <c r="AA1169">
        <v>6332.76</v>
      </c>
      <c r="AB1169" s="12" t="s">
        <v>663</v>
      </c>
      <c r="AC1169">
        <v>201.68719999999999</v>
      </c>
      <c r="AD1169">
        <v>2</v>
      </c>
      <c r="AE1169">
        <v>1</v>
      </c>
      <c r="AF1169">
        <v>-211.43</v>
      </c>
      <c r="AG1169">
        <v>6252.3</v>
      </c>
      <c r="AH1169">
        <v>31</v>
      </c>
      <c r="AI1169">
        <v>31</v>
      </c>
      <c r="AJ1169">
        <v>0</v>
      </c>
      <c r="AK1169">
        <v>1</v>
      </c>
      <c r="AL1169">
        <v>1</v>
      </c>
      <c r="AM1169">
        <v>100</v>
      </c>
      <c r="AN1169">
        <v>204.28270000000001</v>
      </c>
      <c r="AO1169">
        <v>0</v>
      </c>
      <c r="AP1169" s="13">
        <v>45201</v>
      </c>
      <c r="AQ1169">
        <v>-1</v>
      </c>
      <c r="AR1169">
        <v>1</v>
      </c>
    </row>
    <row r="1170" spans="1:44" x14ac:dyDescent="0.35">
      <c r="A1170" s="12" t="s">
        <v>1849</v>
      </c>
      <c r="B1170" s="12" t="s">
        <v>221</v>
      </c>
      <c r="C1170" s="12" t="s">
        <v>222</v>
      </c>
      <c r="D1170" s="12" t="s">
        <v>114</v>
      </c>
      <c r="E1170" s="12" t="s">
        <v>142</v>
      </c>
      <c r="F1170">
        <v>3</v>
      </c>
      <c r="G1170">
        <v>11</v>
      </c>
      <c r="H1170">
        <v>0</v>
      </c>
      <c r="I1170" s="12" t="s">
        <v>105</v>
      </c>
      <c r="J1170" s="12" t="s">
        <v>106</v>
      </c>
      <c r="K1170" s="12" t="s">
        <v>81</v>
      </c>
      <c r="L1170" s="12" t="s">
        <v>96</v>
      </c>
      <c r="M1170">
        <v>5.01</v>
      </c>
      <c r="N1170" s="12" t="s">
        <v>97</v>
      </c>
      <c r="O1170" s="12" t="s">
        <v>98</v>
      </c>
      <c r="P1170" s="12" t="s">
        <v>72</v>
      </c>
      <c r="Q1170" s="13">
        <v>45188</v>
      </c>
      <c r="R1170" s="13">
        <v>45226</v>
      </c>
      <c r="S1170">
        <v>2023</v>
      </c>
      <c r="T1170" s="12" t="s">
        <v>1753</v>
      </c>
      <c r="U1170">
        <v>37</v>
      </c>
      <c r="V1170">
        <v>249.44739999999999</v>
      </c>
      <c r="W1170">
        <v>162.38</v>
      </c>
      <c r="X1170">
        <v>0</v>
      </c>
      <c r="Y1170">
        <v>0</v>
      </c>
      <c r="Z1170">
        <v>9229.5499999999993</v>
      </c>
      <c r="AA1170">
        <v>9391.93</v>
      </c>
      <c r="AB1170" s="12" t="s">
        <v>1239</v>
      </c>
      <c r="AC1170">
        <v>239.12739999999999</v>
      </c>
      <c r="AD1170">
        <v>1</v>
      </c>
      <c r="AE1170">
        <v>1</v>
      </c>
      <c r="AF1170">
        <v>381.84</v>
      </c>
      <c r="AG1170">
        <v>8847.7099999999991</v>
      </c>
      <c r="AH1170">
        <v>37</v>
      </c>
      <c r="AI1170">
        <v>36</v>
      </c>
      <c r="AJ1170">
        <v>1</v>
      </c>
      <c r="AK1170">
        <v>1</v>
      </c>
      <c r="AL1170">
        <v>1</v>
      </c>
      <c r="AM1170">
        <v>97.3</v>
      </c>
      <c r="AN1170">
        <v>260.88709999999998</v>
      </c>
      <c r="AO1170">
        <v>249.45</v>
      </c>
      <c r="AP1170" s="13">
        <v>45226</v>
      </c>
      <c r="AQ1170">
        <v>0</v>
      </c>
      <c r="AR1170">
        <v>1</v>
      </c>
    </row>
    <row r="1171" spans="1:44" x14ac:dyDescent="0.35">
      <c r="A1171" s="12" t="s">
        <v>1850</v>
      </c>
      <c r="B1171" s="12" t="s">
        <v>602</v>
      </c>
      <c r="C1171" s="12" t="s">
        <v>603</v>
      </c>
      <c r="D1171" s="12" t="s">
        <v>114</v>
      </c>
      <c r="E1171" s="12" t="s">
        <v>142</v>
      </c>
      <c r="F1171">
        <v>2</v>
      </c>
      <c r="G1171">
        <v>10</v>
      </c>
      <c r="H1171">
        <v>0</v>
      </c>
      <c r="I1171" s="12" t="s">
        <v>263</v>
      </c>
      <c r="J1171" s="12" t="s">
        <v>264</v>
      </c>
      <c r="K1171" s="12" t="s">
        <v>125</v>
      </c>
      <c r="L1171" s="12" t="s">
        <v>82</v>
      </c>
      <c r="M1171">
        <v>10.210000000000001</v>
      </c>
      <c r="N1171" s="12" t="s">
        <v>97</v>
      </c>
      <c r="O1171" s="12" t="s">
        <v>98</v>
      </c>
      <c r="P1171" s="12" t="s">
        <v>72</v>
      </c>
      <c r="Q1171" s="13">
        <v>45188</v>
      </c>
      <c r="R1171" s="13">
        <v>45238</v>
      </c>
      <c r="S1171">
        <v>2023</v>
      </c>
      <c r="T1171" s="12" t="s">
        <v>1753</v>
      </c>
      <c r="U1171">
        <v>133</v>
      </c>
      <c r="V1171">
        <v>201.023</v>
      </c>
      <c r="W1171">
        <v>469.73</v>
      </c>
      <c r="X1171">
        <v>0</v>
      </c>
      <c r="Y1171">
        <v>0</v>
      </c>
      <c r="Z1171">
        <v>26736.06</v>
      </c>
      <c r="AA1171">
        <v>27205.79</v>
      </c>
      <c r="AB1171" s="12" t="s">
        <v>691</v>
      </c>
      <c r="AC1171">
        <v>213.4624</v>
      </c>
      <c r="AD1171">
        <v>1</v>
      </c>
      <c r="AE1171">
        <v>1</v>
      </c>
      <c r="AF1171">
        <v>-1654.44</v>
      </c>
      <c r="AG1171">
        <v>28390.5</v>
      </c>
      <c r="AH1171">
        <v>133</v>
      </c>
      <c r="AI1171">
        <v>132</v>
      </c>
      <c r="AJ1171">
        <v>1</v>
      </c>
      <c r="AK1171">
        <v>1</v>
      </c>
      <c r="AL1171">
        <v>1</v>
      </c>
      <c r="AM1171">
        <v>99.25</v>
      </c>
      <c r="AN1171">
        <v>206.1045</v>
      </c>
      <c r="AO1171">
        <v>201.02</v>
      </c>
      <c r="AP1171" s="13">
        <v>45237</v>
      </c>
      <c r="AQ1171">
        <v>-1</v>
      </c>
      <c r="AR1171">
        <v>1</v>
      </c>
    </row>
    <row r="1172" spans="1:44" x14ac:dyDescent="0.35">
      <c r="A1172" s="12" t="s">
        <v>1851</v>
      </c>
      <c r="B1172" s="12" t="s">
        <v>331</v>
      </c>
      <c r="C1172" s="12" t="s">
        <v>332</v>
      </c>
      <c r="D1172" s="12" t="s">
        <v>122</v>
      </c>
      <c r="E1172" s="12" t="s">
        <v>142</v>
      </c>
      <c r="F1172">
        <v>3</v>
      </c>
      <c r="G1172">
        <v>11</v>
      </c>
      <c r="H1172">
        <v>0</v>
      </c>
      <c r="I1172" s="12" t="s">
        <v>66</v>
      </c>
      <c r="J1172" s="12" t="s">
        <v>67</v>
      </c>
      <c r="K1172" s="12" t="s">
        <v>68</v>
      </c>
      <c r="L1172" s="12" t="s">
        <v>69</v>
      </c>
      <c r="M1172">
        <v>17.66</v>
      </c>
      <c r="N1172" s="12" t="s">
        <v>97</v>
      </c>
      <c r="O1172" s="12" t="s">
        <v>98</v>
      </c>
      <c r="P1172" s="12" t="s">
        <v>72</v>
      </c>
      <c r="Q1172" s="13">
        <v>45189</v>
      </c>
      <c r="R1172" s="13">
        <v>45233</v>
      </c>
      <c r="S1172">
        <v>2023</v>
      </c>
      <c r="T1172" s="12" t="s">
        <v>1753</v>
      </c>
      <c r="U1172">
        <v>1121</v>
      </c>
      <c r="V1172">
        <v>26.530200000000001</v>
      </c>
      <c r="W1172">
        <v>680.26</v>
      </c>
      <c r="X1172">
        <v>0</v>
      </c>
      <c r="Y1172">
        <v>0</v>
      </c>
      <c r="Z1172">
        <v>29740.35</v>
      </c>
      <c r="AA1172">
        <v>30420.61</v>
      </c>
      <c r="AB1172" s="12" t="s">
        <v>201</v>
      </c>
      <c r="AD1172">
        <v>0</v>
      </c>
      <c r="AE1172">
        <v>0</v>
      </c>
      <c r="AH1172">
        <v>1121</v>
      </c>
      <c r="AI1172">
        <v>1109</v>
      </c>
      <c r="AJ1172">
        <v>12</v>
      </c>
      <c r="AK1172">
        <v>1</v>
      </c>
      <c r="AL1172">
        <v>1</v>
      </c>
      <c r="AM1172">
        <v>98.93</v>
      </c>
      <c r="AN1172">
        <v>27.430700000000002</v>
      </c>
      <c r="AO1172">
        <v>318.36</v>
      </c>
      <c r="AP1172" s="13">
        <v>45235</v>
      </c>
      <c r="AQ1172">
        <v>2</v>
      </c>
      <c r="AR1172">
        <v>0</v>
      </c>
    </row>
    <row r="1173" spans="1:44" x14ac:dyDescent="0.35">
      <c r="A1173" s="12" t="s">
        <v>1852</v>
      </c>
      <c r="B1173" s="12" t="s">
        <v>773</v>
      </c>
      <c r="C1173" s="12" t="s">
        <v>774</v>
      </c>
      <c r="D1173" s="12" t="s">
        <v>64</v>
      </c>
      <c r="E1173" s="12" t="s">
        <v>142</v>
      </c>
      <c r="F1173">
        <v>1</v>
      </c>
      <c r="G1173">
        <v>7</v>
      </c>
      <c r="H1173">
        <v>1</v>
      </c>
      <c r="I1173" s="12" t="s">
        <v>251</v>
      </c>
      <c r="J1173" s="12" t="s">
        <v>252</v>
      </c>
      <c r="K1173" s="12" t="s">
        <v>133</v>
      </c>
      <c r="L1173" s="12" t="s">
        <v>69</v>
      </c>
      <c r="M1173">
        <v>34.49</v>
      </c>
      <c r="N1173" s="12" t="s">
        <v>97</v>
      </c>
      <c r="O1173" s="12" t="s">
        <v>98</v>
      </c>
      <c r="P1173" s="12" t="s">
        <v>72</v>
      </c>
      <c r="Q1173" s="13">
        <v>45189</v>
      </c>
      <c r="R1173" s="13">
        <v>45232</v>
      </c>
      <c r="S1173">
        <v>2023</v>
      </c>
      <c r="T1173" s="12" t="s">
        <v>1753</v>
      </c>
      <c r="U1173">
        <v>544</v>
      </c>
      <c r="V1173">
        <v>10.0604</v>
      </c>
      <c r="W1173">
        <v>35.03</v>
      </c>
      <c r="X1173">
        <v>0</v>
      </c>
      <c r="Y1173">
        <v>0</v>
      </c>
      <c r="Z1173">
        <v>5472.86</v>
      </c>
      <c r="AA1173">
        <v>5507.89</v>
      </c>
      <c r="AB1173" s="12" t="s">
        <v>775</v>
      </c>
      <c r="AC1173">
        <v>10.0604</v>
      </c>
      <c r="AD1173">
        <v>1</v>
      </c>
      <c r="AE1173">
        <v>1</v>
      </c>
      <c r="AF1173">
        <v>0</v>
      </c>
      <c r="AG1173">
        <v>5472.86</v>
      </c>
      <c r="AH1173">
        <v>544</v>
      </c>
      <c r="AI1173">
        <v>539</v>
      </c>
      <c r="AJ1173">
        <v>5</v>
      </c>
      <c r="AK1173">
        <v>1</v>
      </c>
      <c r="AL1173">
        <v>1</v>
      </c>
      <c r="AM1173">
        <v>99.08</v>
      </c>
      <c r="AN1173">
        <v>10.2187</v>
      </c>
      <c r="AO1173">
        <v>50.3</v>
      </c>
      <c r="AP1173" s="13">
        <v>45230</v>
      </c>
      <c r="AQ1173">
        <v>-2</v>
      </c>
      <c r="AR1173">
        <v>1</v>
      </c>
    </row>
    <row r="1174" spans="1:44" x14ac:dyDescent="0.35">
      <c r="A1174" s="12" t="s">
        <v>1853</v>
      </c>
      <c r="B1174" s="12" t="s">
        <v>823</v>
      </c>
      <c r="C1174" s="12" t="s">
        <v>824</v>
      </c>
      <c r="D1174" s="12" t="s">
        <v>114</v>
      </c>
      <c r="E1174" s="12" t="s">
        <v>142</v>
      </c>
      <c r="F1174">
        <v>1</v>
      </c>
      <c r="G1174">
        <v>8</v>
      </c>
      <c r="H1174">
        <v>1</v>
      </c>
      <c r="I1174" s="12" t="s">
        <v>515</v>
      </c>
      <c r="J1174" s="12" t="s">
        <v>516</v>
      </c>
      <c r="K1174" s="12" t="s">
        <v>68</v>
      </c>
      <c r="L1174" s="12" t="s">
        <v>134</v>
      </c>
      <c r="M1174">
        <v>3.69</v>
      </c>
      <c r="N1174" s="12" t="s">
        <v>70</v>
      </c>
      <c r="O1174" s="12" t="s">
        <v>71</v>
      </c>
      <c r="P1174" s="12" t="s">
        <v>72</v>
      </c>
      <c r="Q1174" s="13">
        <v>45189</v>
      </c>
      <c r="R1174" s="13">
        <v>45241</v>
      </c>
      <c r="S1174">
        <v>2023</v>
      </c>
      <c r="T1174" s="12" t="s">
        <v>1753</v>
      </c>
      <c r="U1174">
        <v>146</v>
      </c>
      <c r="V1174">
        <v>361.73399999999998</v>
      </c>
      <c r="W1174">
        <v>625.83000000000004</v>
      </c>
      <c r="X1174">
        <v>0</v>
      </c>
      <c r="Y1174">
        <v>0</v>
      </c>
      <c r="Z1174">
        <v>52813.16</v>
      </c>
      <c r="AA1174">
        <v>53438.99</v>
      </c>
      <c r="AB1174" s="12" t="s">
        <v>825</v>
      </c>
      <c r="AC1174">
        <v>361.73399999999998</v>
      </c>
      <c r="AD1174">
        <v>1</v>
      </c>
      <c r="AE1174">
        <v>1</v>
      </c>
      <c r="AF1174">
        <v>0</v>
      </c>
      <c r="AG1174">
        <v>52813.16</v>
      </c>
      <c r="AH1174">
        <v>146</v>
      </c>
      <c r="AI1174">
        <v>144</v>
      </c>
      <c r="AJ1174">
        <v>2</v>
      </c>
      <c r="AK1174">
        <v>1</v>
      </c>
      <c r="AL1174">
        <v>1</v>
      </c>
      <c r="AM1174">
        <v>98.63</v>
      </c>
      <c r="AN1174">
        <v>371.10410000000002</v>
      </c>
      <c r="AO1174">
        <v>723.47</v>
      </c>
      <c r="AP1174" s="13">
        <v>45238</v>
      </c>
      <c r="AQ1174">
        <v>-3</v>
      </c>
      <c r="AR1174">
        <v>1</v>
      </c>
    </row>
    <row r="1175" spans="1:44" x14ac:dyDescent="0.35">
      <c r="A1175" s="12" t="s">
        <v>1854</v>
      </c>
      <c r="B1175" s="12" t="s">
        <v>827</v>
      </c>
      <c r="C1175" s="12" t="s">
        <v>828</v>
      </c>
      <c r="D1175" s="12" t="s">
        <v>175</v>
      </c>
      <c r="E1175" s="12" t="s">
        <v>104</v>
      </c>
      <c r="F1175">
        <v>2</v>
      </c>
      <c r="G1175">
        <v>0</v>
      </c>
      <c r="H1175">
        <v>0</v>
      </c>
      <c r="I1175" s="12" t="s">
        <v>310</v>
      </c>
      <c r="J1175" s="12" t="s">
        <v>311</v>
      </c>
      <c r="K1175" s="12" t="s">
        <v>81</v>
      </c>
      <c r="L1175" s="12" t="s">
        <v>69</v>
      </c>
      <c r="M1175">
        <v>28.3</v>
      </c>
      <c r="N1175" s="12" t="s">
        <v>145</v>
      </c>
      <c r="O1175" s="12" t="s">
        <v>146</v>
      </c>
      <c r="P1175" s="12" t="s">
        <v>109</v>
      </c>
      <c r="Q1175" s="13">
        <v>45189</v>
      </c>
      <c r="R1175" s="13">
        <v>45216</v>
      </c>
      <c r="S1175">
        <v>2023</v>
      </c>
      <c r="T1175" s="12" t="s">
        <v>1753</v>
      </c>
      <c r="U1175">
        <v>128</v>
      </c>
      <c r="V1175">
        <v>107.794</v>
      </c>
      <c r="W1175">
        <v>249.98</v>
      </c>
      <c r="X1175">
        <v>0</v>
      </c>
      <c r="Y1175">
        <v>0</v>
      </c>
      <c r="Z1175">
        <v>13797.63</v>
      </c>
      <c r="AA1175">
        <v>14047.61</v>
      </c>
      <c r="AB1175" s="12" t="s">
        <v>1548</v>
      </c>
      <c r="AC1175">
        <v>107.794</v>
      </c>
      <c r="AD1175">
        <v>1</v>
      </c>
      <c r="AE1175">
        <v>1</v>
      </c>
      <c r="AF1175">
        <v>0</v>
      </c>
      <c r="AG1175">
        <v>13797.63</v>
      </c>
      <c r="AH1175">
        <v>128</v>
      </c>
      <c r="AI1175">
        <v>126</v>
      </c>
      <c r="AJ1175">
        <v>2</v>
      </c>
      <c r="AK1175">
        <v>1</v>
      </c>
      <c r="AL1175">
        <v>1</v>
      </c>
      <c r="AM1175">
        <v>98.44</v>
      </c>
      <c r="AN1175">
        <v>111.489</v>
      </c>
      <c r="AO1175">
        <v>215.59</v>
      </c>
      <c r="AP1175" s="13">
        <v>45216</v>
      </c>
      <c r="AQ1175">
        <v>0</v>
      </c>
      <c r="AR1175">
        <v>1</v>
      </c>
    </row>
    <row r="1176" spans="1:44" x14ac:dyDescent="0.35">
      <c r="A1176" s="12" t="s">
        <v>1855</v>
      </c>
      <c r="B1176" s="12" t="s">
        <v>490</v>
      </c>
      <c r="C1176" s="12" t="s">
        <v>491</v>
      </c>
      <c r="D1176" s="12" t="s">
        <v>130</v>
      </c>
      <c r="E1176" s="12" t="s">
        <v>104</v>
      </c>
      <c r="F1176">
        <v>3</v>
      </c>
      <c r="G1176">
        <v>1</v>
      </c>
      <c r="H1176">
        <v>0</v>
      </c>
      <c r="I1176" s="12" t="s">
        <v>176</v>
      </c>
      <c r="J1176" s="12" t="s">
        <v>177</v>
      </c>
      <c r="K1176" s="12" t="s">
        <v>125</v>
      </c>
      <c r="L1176" s="12" t="s">
        <v>134</v>
      </c>
      <c r="M1176">
        <v>1.75</v>
      </c>
      <c r="N1176" s="12" t="s">
        <v>135</v>
      </c>
      <c r="O1176" s="12" t="s">
        <v>136</v>
      </c>
      <c r="P1176" s="12" t="s">
        <v>137</v>
      </c>
      <c r="Q1176" s="13">
        <v>45189</v>
      </c>
      <c r="R1176" s="13">
        <v>45213</v>
      </c>
      <c r="S1176">
        <v>2023</v>
      </c>
      <c r="T1176" s="12" t="s">
        <v>1753</v>
      </c>
      <c r="U1176">
        <v>105</v>
      </c>
      <c r="V1176">
        <v>297.19900000000001</v>
      </c>
      <c r="W1176">
        <v>239.52</v>
      </c>
      <c r="X1176">
        <v>0</v>
      </c>
      <c r="Y1176">
        <v>0</v>
      </c>
      <c r="Z1176">
        <v>31205.9</v>
      </c>
      <c r="AA1176">
        <v>31445.42</v>
      </c>
      <c r="AB1176" s="12" t="s">
        <v>492</v>
      </c>
      <c r="AC1176">
        <v>297.19900000000001</v>
      </c>
      <c r="AD1176">
        <v>1</v>
      </c>
      <c r="AE1176">
        <v>1</v>
      </c>
      <c r="AF1176">
        <v>0</v>
      </c>
      <c r="AG1176">
        <v>31205.9</v>
      </c>
      <c r="AH1176">
        <v>105</v>
      </c>
      <c r="AI1176">
        <v>104</v>
      </c>
      <c r="AJ1176">
        <v>1</v>
      </c>
      <c r="AK1176">
        <v>1</v>
      </c>
      <c r="AL1176">
        <v>1</v>
      </c>
      <c r="AM1176">
        <v>99.05</v>
      </c>
      <c r="AN1176">
        <v>302.35980000000001</v>
      </c>
      <c r="AO1176">
        <v>297.2</v>
      </c>
      <c r="AP1176" s="13">
        <v>45221</v>
      </c>
      <c r="AQ1176">
        <v>8</v>
      </c>
      <c r="AR1176">
        <v>0</v>
      </c>
    </row>
    <row r="1177" spans="1:44" x14ac:dyDescent="0.35">
      <c r="A1177" s="12" t="s">
        <v>1856</v>
      </c>
      <c r="B1177" s="12" t="s">
        <v>289</v>
      </c>
      <c r="C1177" s="12" t="s">
        <v>290</v>
      </c>
      <c r="D1177" s="12" t="s">
        <v>175</v>
      </c>
      <c r="E1177" s="12" t="s">
        <v>104</v>
      </c>
      <c r="F1177">
        <v>3</v>
      </c>
      <c r="G1177">
        <v>1</v>
      </c>
      <c r="H1177">
        <v>0</v>
      </c>
      <c r="I1177" s="12" t="s">
        <v>209</v>
      </c>
      <c r="J1177" s="12" t="s">
        <v>210</v>
      </c>
      <c r="K1177" s="12" t="s">
        <v>133</v>
      </c>
      <c r="L1177" s="12" t="s">
        <v>96</v>
      </c>
      <c r="M1177">
        <v>7.82</v>
      </c>
      <c r="N1177" s="12" t="s">
        <v>145</v>
      </c>
      <c r="O1177" s="12" t="s">
        <v>146</v>
      </c>
      <c r="P1177" s="12" t="s">
        <v>109</v>
      </c>
      <c r="Q1177" s="13">
        <v>45189</v>
      </c>
      <c r="R1177" s="13">
        <v>45203</v>
      </c>
      <c r="S1177">
        <v>2023</v>
      </c>
      <c r="T1177" s="12" t="s">
        <v>1753</v>
      </c>
      <c r="U1177">
        <v>29</v>
      </c>
      <c r="V1177">
        <v>217.11699999999999</v>
      </c>
      <c r="W1177">
        <v>142.43</v>
      </c>
      <c r="X1177">
        <v>0</v>
      </c>
      <c r="Y1177">
        <v>0</v>
      </c>
      <c r="Z1177">
        <v>6296.39</v>
      </c>
      <c r="AA1177">
        <v>6438.82</v>
      </c>
      <c r="AB1177" s="12" t="s">
        <v>201</v>
      </c>
      <c r="AD1177">
        <v>0</v>
      </c>
      <c r="AE1177">
        <v>0</v>
      </c>
      <c r="AH1177">
        <v>29</v>
      </c>
      <c r="AI1177">
        <v>29</v>
      </c>
      <c r="AJ1177">
        <v>0</v>
      </c>
      <c r="AK1177">
        <v>1</v>
      </c>
      <c r="AL1177">
        <v>1</v>
      </c>
      <c r="AM1177">
        <v>100</v>
      </c>
      <c r="AN1177">
        <v>222.0284</v>
      </c>
      <c r="AO1177">
        <v>0</v>
      </c>
      <c r="AP1177" s="13">
        <v>45207</v>
      </c>
      <c r="AQ1177">
        <v>4</v>
      </c>
      <c r="AR1177">
        <v>0</v>
      </c>
    </row>
    <row r="1178" spans="1:44" x14ac:dyDescent="0.35">
      <c r="A1178" s="12" t="s">
        <v>1857</v>
      </c>
      <c r="B1178" s="12" t="s">
        <v>494</v>
      </c>
      <c r="C1178" s="12" t="s">
        <v>495</v>
      </c>
      <c r="D1178" s="12" t="s">
        <v>175</v>
      </c>
      <c r="E1178" s="12" t="s">
        <v>65</v>
      </c>
      <c r="F1178">
        <v>2</v>
      </c>
      <c r="G1178">
        <v>3</v>
      </c>
      <c r="H1178">
        <v>0</v>
      </c>
      <c r="I1178" s="12" t="s">
        <v>515</v>
      </c>
      <c r="J1178" s="12" t="s">
        <v>516</v>
      </c>
      <c r="K1178" s="12" t="s">
        <v>68</v>
      </c>
      <c r="L1178" s="12" t="s">
        <v>134</v>
      </c>
      <c r="M1178">
        <v>3.69</v>
      </c>
      <c r="N1178" s="12" t="s">
        <v>107</v>
      </c>
      <c r="O1178" s="12" t="s">
        <v>108</v>
      </c>
      <c r="P1178" s="12" t="s">
        <v>109</v>
      </c>
      <c r="Q1178" s="13">
        <v>45189</v>
      </c>
      <c r="R1178" s="13">
        <v>45223</v>
      </c>
      <c r="S1178">
        <v>2023</v>
      </c>
      <c r="T1178" s="12" t="s">
        <v>1753</v>
      </c>
      <c r="U1178">
        <v>111</v>
      </c>
      <c r="V1178">
        <v>161.94200000000001</v>
      </c>
      <c r="W1178">
        <v>336.09</v>
      </c>
      <c r="X1178">
        <v>0</v>
      </c>
      <c r="Y1178">
        <v>0</v>
      </c>
      <c r="Z1178">
        <v>17975.560000000001</v>
      </c>
      <c r="AA1178">
        <v>18311.650000000001</v>
      </c>
      <c r="AB1178" s="12" t="s">
        <v>982</v>
      </c>
      <c r="AC1178">
        <v>161.94200000000001</v>
      </c>
      <c r="AD1178">
        <v>1</v>
      </c>
      <c r="AE1178">
        <v>1</v>
      </c>
      <c r="AF1178">
        <v>0</v>
      </c>
      <c r="AG1178">
        <v>17975.560000000001</v>
      </c>
      <c r="AH1178">
        <v>111</v>
      </c>
      <c r="AI1178">
        <v>110</v>
      </c>
      <c r="AJ1178">
        <v>1</v>
      </c>
      <c r="AK1178">
        <v>1</v>
      </c>
      <c r="AL1178">
        <v>1</v>
      </c>
      <c r="AM1178">
        <v>99.1</v>
      </c>
      <c r="AN1178">
        <v>166.46960000000001</v>
      </c>
      <c r="AO1178">
        <v>161.94</v>
      </c>
      <c r="AP1178" s="13">
        <v>45224</v>
      </c>
      <c r="AQ1178">
        <v>1</v>
      </c>
      <c r="AR1178">
        <v>0</v>
      </c>
    </row>
    <row r="1179" spans="1:44" x14ac:dyDescent="0.35">
      <c r="A1179" s="12" t="s">
        <v>1858</v>
      </c>
      <c r="B1179" s="12" t="s">
        <v>1054</v>
      </c>
      <c r="C1179" s="12" t="s">
        <v>1055</v>
      </c>
      <c r="D1179" s="12" t="s">
        <v>122</v>
      </c>
      <c r="E1179" s="12" t="s">
        <v>65</v>
      </c>
      <c r="F1179">
        <v>1</v>
      </c>
      <c r="G1179">
        <v>2</v>
      </c>
      <c r="H1179">
        <v>1</v>
      </c>
      <c r="I1179" s="12" t="s">
        <v>176</v>
      </c>
      <c r="J1179" s="12" t="s">
        <v>177</v>
      </c>
      <c r="K1179" s="12" t="s">
        <v>125</v>
      </c>
      <c r="L1179" s="12" t="s">
        <v>134</v>
      </c>
      <c r="M1179">
        <v>1.75</v>
      </c>
      <c r="N1179" s="12" t="s">
        <v>97</v>
      </c>
      <c r="O1179" s="12" t="s">
        <v>98</v>
      </c>
      <c r="P1179" s="12" t="s">
        <v>72</v>
      </c>
      <c r="Q1179" s="13">
        <v>45190</v>
      </c>
      <c r="R1179" s="13">
        <v>45224</v>
      </c>
      <c r="S1179">
        <v>2023</v>
      </c>
      <c r="T1179" s="12" t="s">
        <v>1753</v>
      </c>
      <c r="U1179">
        <v>1505</v>
      </c>
      <c r="V1179">
        <v>46.916699999999999</v>
      </c>
      <c r="W1179">
        <v>863.35</v>
      </c>
      <c r="X1179">
        <v>0</v>
      </c>
      <c r="Y1179">
        <v>0</v>
      </c>
      <c r="Z1179">
        <v>70609.63</v>
      </c>
      <c r="AA1179">
        <v>71472.98</v>
      </c>
      <c r="AB1179" s="12" t="s">
        <v>1056</v>
      </c>
      <c r="AC1179">
        <v>46.916699999999999</v>
      </c>
      <c r="AD1179">
        <v>1</v>
      </c>
      <c r="AE1179">
        <v>1</v>
      </c>
      <c r="AF1179">
        <v>0</v>
      </c>
      <c r="AG1179">
        <v>70609.63</v>
      </c>
      <c r="AH1179">
        <v>1505</v>
      </c>
      <c r="AI1179">
        <v>1493</v>
      </c>
      <c r="AJ1179">
        <v>12</v>
      </c>
      <c r="AK1179">
        <v>1</v>
      </c>
      <c r="AL1179">
        <v>1</v>
      </c>
      <c r="AM1179">
        <v>99.2</v>
      </c>
      <c r="AN1179">
        <v>47.872100000000003</v>
      </c>
      <c r="AO1179">
        <v>563</v>
      </c>
      <c r="AP1179" s="13">
        <v>45224</v>
      </c>
      <c r="AQ1179">
        <v>0</v>
      </c>
      <c r="AR1179">
        <v>1</v>
      </c>
    </row>
    <row r="1180" spans="1:44" x14ac:dyDescent="0.35">
      <c r="A1180" s="12" t="s">
        <v>1859</v>
      </c>
      <c r="B1180" s="12" t="s">
        <v>62</v>
      </c>
      <c r="C1180" s="12" t="s">
        <v>63</v>
      </c>
      <c r="D1180" s="12" t="s">
        <v>64</v>
      </c>
      <c r="E1180" s="12" t="s">
        <v>65</v>
      </c>
      <c r="F1180">
        <v>1</v>
      </c>
      <c r="G1180">
        <v>2</v>
      </c>
      <c r="H1180">
        <v>1</v>
      </c>
      <c r="I1180" s="12" t="s">
        <v>66</v>
      </c>
      <c r="J1180" s="12" t="s">
        <v>67</v>
      </c>
      <c r="K1180" s="12" t="s">
        <v>68</v>
      </c>
      <c r="L1180" s="12" t="s">
        <v>69</v>
      </c>
      <c r="M1180">
        <v>17.66</v>
      </c>
      <c r="N1180" s="12" t="s">
        <v>70</v>
      </c>
      <c r="O1180" s="12" t="s">
        <v>71</v>
      </c>
      <c r="P1180" s="12" t="s">
        <v>72</v>
      </c>
      <c r="Q1180" s="13">
        <v>45190</v>
      </c>
      <c r="R1180" s="13">
        <v>45211</v>
      </c>
      <c r="S1180">
        <v>2023</v>
      </c>
      <c r="T1180" s="12" t="s">
        <v>1753</v>
      </c>
      <c r="U1180">
        <v>147</v>
      </c>
      <c r="V1180">
        <v>24.687000000000001</v>
      </c>
      <c r="W1180">
        <v>66.25</v>
      </c>
      <c r="X1180">
        <v>0</v>
      </c>
      <c r="Y1180">
        <v>0</v>
      </c>
      <c r="Z1180">
        <v>3628.99</v>
      </c>
      <c r="AA1180">
        <v>3695.24</v>
      </c>
      <c r="AB1180" s="12" t="s">
        <v>74</v>
      </c>
      <c r="AC1180">
        <v>24.687000000000001</v>
      </c>
      <c r="AD1180">
        <v>1</v>
      </c>
      <c r="AE1180">
        <v>1</v>
      </c>
      <c r="AF1180">
        <v>0</v>
      </c>
      <c r="AG1180">
        <v>3628.99</v>
      </c>
      <c r="AH1180">
        <v>147</v>
      </c>
      <c r="AI1180">
        <v>146</v>
      </c>
      <c r="AJ1180">
        <v>1</v>
      </c>
      <c r="AK1180">
        <v>1</v>
      </c>
      <c r="AL1180">
        <v>1</v>
      </c>
      <c r="AM1180">
        <v>99.32</v>
      </c>
      <c r="AN1180">
        <v>25.309899999999999</v>
      </c>
      <c r="AO1180">
        <v>24.69</v>
      </c>
      <c r="AP1180" s="13">
        <v>45212</v>
      </c>
      <c r="AQ1180">
        <v>1</v>
      </c>
      <c r="AR1180">
        <v>0</v>
      </c>
    </row>
    <row r="1181" spans="1:44" x14ac:dyDescent="0.35">
      <c r="A1181" s="12" t="s">
        <v>1860</v>
      </c>
      <c r="B1181" s="12" t="s">
        <v>249</v>
      </c>
      <c r="C1181" s="12" t="s">
        <v>250</v>
      </c>
      <c r="D1181" s="12" t="s">
        <v>64</v>
      </c>
      <c r="E1181" s="12" t="s">
        <v>65</v>
      </c>
      <c r="F1181">
        <v>2</v>
      </c>
      <c r="G1181">
        <v>3</v>
      </c>
      <c r="H1181">
        <v>0</v>
      </c>
      <c r="I1181" s="12" t="s">
        <v>251</v>
      </c>
      <c r="J1181" s="12" t="s">
        <v>252</v>
      </c>
      <c r="K1181" s="12" t="s">
        <v>133</v>
      </c>
      <c r="L1181" s="12" t="s">
        <v>69</v>
      </c>
      <c r="M1181">
        <v>34.49</v>
      </c>
      <c r="N1181" s="12" t="s">
        <v>97</v>
      </c>
      <c r="O1181" s="12" t="s">
        <v>98</v>
      </c>
      <c r="P1181" s="12" t="s">
        <v>72</v>
      </c>
      <c r="Q1181" s="13">
        <v>45190</v>
      </c>
      <c r="R1181" s="13">
        <v>45212</v>
      </c>
      <c r="S1181">
        <v>2023</v>
      </c>
      <c r="T1181" s="12" t="s">
        <v>1753</v>
      </c>
      <c r="U1181">
        <v>183</v>
      </c>
      <c r="V1181">
        <v>10.6486</v>
      </c>
      <c r="W1181">
        <v>16.84</v>
      </c>
      <c r="X1181">
        <v>0</v>
      </c>
      <c r="Y1181">
        <v>0</v>
      </c>
      <c r="Z1181">
        <v>1948.69</v>
      </c>
      <c r="AA1181">
        <v>1965.53</v>
      </c>
      <c r="AB1181" s="12" t="s">
        <v>253</v>
      </c>
      <c r="AC1181">
        <v>10.6486</v>
      </c>
      <c r="AD1181">
        <v>1</v>
      </c>
      <c r="AE1181">
        <v>1</v>
      </c>
      <c r="AF1181">
        <v>0</v>
      </c>
      <c r="AG1181">
        <v>1948.69</v>
      </c>
      <c r="AH1181">
        <v>183</v>
      </c>
      <c r="AI1181">
        <v>183</v>
      </c>
      <c r="AJ1181">
        <v>0</v>
      </c>
      <c r="AK1181">
        <v>1</v>
      </c>
      <c r="AL1181">
        <v>1</v>
      </c>
      <c r="AM1181">
        <v>100</v>
      </c>
      <c r="AN1181">
        <v>10.740600000000001</v>
      </c>
      <c r="AO1181">
        <v>0</v>
      </c>
      <c r="AP1181" s="13">
        <v>45216</v>
      </c>
      <c r="AQ1181">
        <v>4</v>
      </c>
      <c r="AR1181">
        <v>0</v>
      </c>
    </row>
    <row r="1182" spans="1:44" x14ac:dyDescent="0.35">
      <c r="A1182" s="12" t="s">
        <v>1861</v>
      </c>
      <c r="B1182" s="12" t="s">
        <v>331</v>
      </c>
      <c r="C1182" s="12" t="s">
        <v>332</v>
      </c>
      <c r="D1182" s="12" t="s">
        <v>122</v>
      </c>
      <c r="E1182" s="12" t="s">
        <v>142</v>
      </c>
      <c r="F1182">
        <v>3</v>
      </c>
      <c r="G1182">
        <v>11</v>
      </c>
      <c r="H1182">
        <v>0</v>
      </c>
      <c r="I1182" s="12" t="s">
        <v>263</v>
      </c>
      <c r="J1182" s="12" t="s">
        <v>264</v>
      </c>
      <c r="K1182" s="12" t="s">
        <v>125</v>
      </c>
      <c r="L1182" s="12" t="s">
        <v>82</v>
      </c>
      <c r="M1182">
        <v>10.210000000000001</v>
      </c>
      <c r="N1182" s="12" t="s">
        <v>97</v>
      </c>
      <c r="O1182" s="12" t="s">
        <v>98</v>
      </c>
      <c r="P1182" s="12" t="s">
        <v>72</v>
      </c>
      <c r="Q1182" s="13">
        <v>45190</v>
      </c>
      <c r="R1182" s="13">
        <v>45235</v>
      </c>
      <c r="S1182">
        <v>2023</v>
      </c>
      <c r="T1182" s="12" t="s">
        <v>1753</v>
      </c>
      <c r="U1182">
        <v>1247</v>
      </c>
      <c r="V1182">
        <v>25.052199999999999</v>
      </c>
      <c r="W1182">
        <v>512.47</v>
      </c>
      <c r="X1182">
        <v>0</v>
      </c>
      <c r="Y1182">
        <v>0</v>
      </c>
      <c r="Z1182">
        <v>31240.09</v>
      </c>
      <c r="AA1182">
        <v>31752.560000000001</v>
      </c>
      <c r="AB1182" s="12" t="s">
        <v>333</v>
      </c>
      <c r="AC1182">
        <v>25.052199999999999</v>
      </c>
      <c r="AD1182">
        <v>1</v>
      </c>
      <c r="AE1182">
        <v>1</v>
      </c>
      <c r="AF1182">
        <v>0</v>
      </c>
      <c r="AG1182">
        <v>31240.09</v>
      </c>
      <c r="AH1182">
        <v>1247</v>
      </c>
      <c r="AI1182">
        <v>1243</v>
      </c>
      <c r="AJ1182">
        <v>4</v>
      </c>
      <c r="AK1182">
        <v>1</v>
      </c>
      <c r="AL1182">
        <v>1</v>
      </c>
      <c r="AM1182">
        <v>99.68</v>
      </c>
      <c r="AN1182">
        <v>25.545100000000001</v>
      </c>
      <c r="AO1182">
        <v>100.21</v>
      </c>
      <c r="AP1182" s="13">
        <v>45234</v>
      </c>
      <c r="AQ1182">
        <v>-1</v>
      </c>
      <c r="AR1182">
        <v>1</v>
      </c>
    </row>
    <row r="1183" spans="1:44" x14ac:dyDescent="0.35">
      <c r="A1183" s="12" t="s">
        <v>1862</v>
      </c>
      <c r="B1183" s="12" t="s">
        <v>173</v>
      </c>
      <c r="C1183" s="12" t="s">
        <v>174</v>
      </c>
      <c r="D1183" s="12" t="s">
        <v>175</v>
      </c>
      <c r="E1183" s="12" t="s">
        <v>104</v>
      </c>
      <c r="F1183">
        <v>3</v>
      </c>
      <c r="G1183">
        <v>1</v>
      </c>
      <c r="H1183">
        <v>0</v>
      </c>
      <c r="I1183" s="12" t="s">
        <v>176</v>
      </c>
      <c r="J1183" s="12" t="s">
        <v>177</v>
      </c>
      <c r="K1183" s="12" t="s">
        <v>125</v>
      </c>
      <c r="L1183" s="12" t="s">
        <v>134</v>
      </c>
      <c r="M1183">
        <v>1.75</v>
      </c>
      <c r="N1183" s="12" t="s">
        <v>107</v>
      </c>
      <c r="O1183" s="12" t="s">
        <v>108</v>
      </c>
      <c r="P1183" s="12" t="s">
        <v>109</v>
      </c>
      <c r="Q1183" s="13">
        <v>45190</v>
      </c>
      <c r="R1183" s="13">
        <v>45219</v>
      </c>
      <c r="S1183">
        <v>2023</v>
      </c>
      <c r="T1183" s="12" t="s">
        <v>1753</v>
      </c>
      <c r="U1183">
        <v>146</v>
      </c>
      <c r="V1183">
        <v>79.9559</v>
      </c>
      <c r="W1183">
        <v>207.04</v>
      </c>
      <c r="X1183">
        <v>0</v>
      </c>
      <c r="Y1183">
        <v>0</v>
      </c>
      <c r="Z1183">
        <v>11673.56</v>
      </c>
      <c r="AA1183">
        <v>11880.6</v>
      </c>
      <c r="AB1183" s="12" t="s">
        <v>178</v>
      </c>
      <c r="AC1183">
        <v>79.9559</v>
      </c>
      <c r="AD1183">
        <v>1</v>
      </c>
      <c r="AE1183">
        <v>1</v>
      </c>
      <c r="AF1183">
        <v>0</v>
      </c>
      <c r="AG1183">
        <v>11673.56</v>
      </c>
      <c r="AH1183">
        <v>146</v>
      </c>
      <c r="AI1183">
        <v>144</v>
      </c>
      <c r="AJ1183">
        <v>2</v>
      </c>
      <c r="AK1183">
        <v>1</v>
      </c>
      <c r="AL1183">
        <v>1</v>
      </c>
      <c r="AM1183">
        <v>98.63</v>
      </c>
      <c r="AN1183">
        <v>82.504199999999997</v>
      </c>
      <c r="AO1183">
        <v>159.91</v>
      </c>
      <c r="AP1183" s="13">
        <v>45215</v>
      </c>
      <c r="AQ1183">
        <v>-4</v>
      </c>
      <c r="AR1183">
        <v>1</v>
      </c>
    </row>
    <row r="1184" spans="1:44" x14ac:dyDescent="0.35">
      <c r="A1184" s="12" t="s">
        <v>1863</v>
      </c>
      <c r="B1184" s="12" t="s">
        <v>339</v>
      </c>
      <c r="C1184" s="12" t="s">
        <v>340</v>
      </c>
      <c r="D1184" s="12" t="s">
        <v>103</v>
      </c>
      <c r="E1184" s="12" t="s">
        <v>142</v>
      </c>
      <c r="F1184">
        <v>2</v>
      </c>
      <c r="G1184">
        <v>9</v>
      </c>
      <c r="H1184">
        <v>0</v>
      </c>
      <c r="I1184" s="12" t="s">
        <v>341</v>
      </c>
      <c r="J1184" s="12" t="s">
        <v>342</v>
      </c>
      <c r="K1184" s="12" t="s">
        <v>117</v>
      </c>
      <c r="L1184" s="12" t="s">
        <v>82</v>
      </c>
      <c r="M1184">
        <v>18.36</v>
      </c>
      <c r="N1184" s="12" t="s">
        <v>145</v>
      </c>
      <c r="O1184" s="12" t="s">
        <v>146</v>
      </c>
      <c r="P1184" s="12" t="s">
        <v>109</v>
      </c>
      <c r="Q1184" s="13">
        <v>45190</v>
      </c>
      <c r="R1184" s="13">
        <v>45240</v>
      </c>
      <c r="S1184">
        <v>2023</v>
      </c>
      <c r="T1184" s="12" t="s">
        <v>1753</v>
      </c>
      <c r="U1184">
        <v>131</v>
      </c>
      <c r="V1184">
        <v>249.9879</v>
      </c>
      <c r="W1184">
        <v>846.88</v>
      </c>
      <c r="X1184">
        <v>0</v>
      </c>
      <c r="Y1184">
        <v>0</v>
      </c>
      <c r="Z1184">
        <v>32748.41</v>
      </c>
      <c r="AA1184">
        <v>33595.29</v>
      </c>
      <c r="AB1184" s="12" t="s">
        <v>343</v>
      </c>
      <c r="AC1184">
        <v>249.9879</v>
      </c>
      <c r="AD1184">
        <v>1</v>
      </c>
      <c r="AE1184">
        <v>1</v>
      </c>
      <c r="AF1184">
        <v>0</v>
      </c>
      <c r="AG1184">
        <v>32748.41</v>
      </c>
      <c r="AH1184">
        <v>131</v>
      </c>
      <c r="AI1184">
        <v>129</v>
      </c>
      <c r="AJ1184">
        <v>2</v>
      </c>
      <c r="AK1184">
        <v>1</v>
      </c>
      <c r="AL1184">
        <v>1</v>
      </c>
      <c r="AM1184">
        <v>98.47</v>
      </c>
      <c r="AN1184">
        <v>260.42860000000002</v>
      </c>
      <c r="AO1184">
        <v>499.98</v>
      </c>
      <c r="AP1184" s="13">
        <v>45242</v>
      </c>
      <c r="AQ1184">
        <v>2</v>
      </c>
      <c r="AR1184">
        <v>0</v>
      </c>
    </row>
    <row r="1185" spans="1:44" x14ac:dyDescent="0.35">
      <c r="A1185" s="12" t="s">
        <v>1864</v>
      </c>
      <c r="B1185" s="12" t="s">
        <v>823</v>
      </c>
      <c r="C1185" s="12" t="s">
        <v>824</v>
      </c>
      <c r="D1185" s="12" t="s">
        <v>114</v>
      </c>
      <c r="E1185" s="12" t="s">
        <v>142</v>
      </c>
      <c r="F1185">
        <v>1</v>
      </c>
      <c r="G1185">
        <v>8</v>
      </c>
      <c r="H1185">
        <v>1</v>
      </c>
      <c r="I1185" s="12" t="s">
        <v>515</v>
      </c>
      <c r="J1185" s="12" t="s">
        <v>516</v>
      </c>
      <c r="K1185" s="12" t="s">
        <v>68</v>
      </c>
      <c r="L1185" s="12" t="s">
        <v>134</v>
      </c>
      <c r="M1185">
        <v>3.69</v>
      </c>
      <c r="N1185" s="12" t="s">
        <v>97</v>
      </c>
      <c r="O1185" s="12" t="s">
        <v>98</v>
      </c>
      <c r="P1185" s="12" t="s">
        <v>72</v>
      </c>
      <c r="Q1185" s="13">
        <v>45190</v>
      </c>
      <c r="R1185" s="13">
        <v>45233</v>
      </c>
      <c r="S1185">
        <v>2023</v>
      </c>
      <c r="T1185" s="12" t="s">
        <v>1753</v>
      </c>
      <c r="U1185">
        <v>73</v>
      </c>
      <c r="V1185">
        <v>361.73399999999998</v>
      </c>
      <c r="W1185">
        <v>251.34</v>
      </c>
      <c r="X1185">
        <v>0</v>
      </c>
      <c r="Y1185">
        <v>0</v>
      </c>
      <c r="Z1185">
        <v>26406.58</v>
      </c>
      <c r="AA1185">
        <v>26657.919999999998</v>
      </c>
      <c r="AB1185" s="12" t="s">
        <v>825</v>
      </c>
      <c r="AC1185">
        <v>361.73399999999998</v>
      </c>
      <c r="AD1185">
        <v>1</v>
      </c>
      <c r="AE1185">
        <v>1</v>
      </c>
      <c r="AF1185">
        <v>0</v>
      </c>
      <c r="AG1185">
        <v>26406.58</v>
      </c>
      <c r="AH1185">
        <v>73</v>
      </c>
      <c r="AI1185">
        <v>71</v>
      </c>
      <c r="AJ1185">
        <v>2</v>
      </c>
      <c r="AK1185">
        <v>1</v>
      </c>
      <c r="AL1185">
        <v>1</v>
      </c>
      <c r="AM1185">
        <v>97.26</v>
      </c>
      <c r="AN1185">
        <v>375.46370000000002</v>
      </c>
      <c r="AO1185">
        <v>723.47</v>
      </c>
      <c r="AP1185" s="13">
        <v>45230</v>
      </c>
      <c r="AQ1185">
        <v>-3</v>
      </c>
      <c r="AR1185">
        <v>1</v>
      </c>
    </row>
    <row r="1186" spans="1:44" x14ac:dyDescent="0.35">
      <c r="A1186" s="12" t="s">
        <v>1865</v>
      </c>
      <c r="B1186" s="12" t="s">
        <v>1166</v>
      </c>
      <c r="C1186" s="12" t="s">
        <v>1167</v>
      </c>
      <c r="D1186" s="12" t="s">
        <v>175</v>
      </c>
      <c r="E1186" s="12" t="s">
        <v>65</v>
      </c>
      <c r="F1186">
        <v>3</v>
      </c>
      <c r="G1186">
        <v>5</v>
      </c>
      <c r="H1186">
        <v>0</v>
      </c>
      <c r="I1186" s="12" t="s">
        <v>143</v>
      </c>
      <c r="J1186" s="12" t="s">
        <v>144</v>
      </c>
      <c r="K1186" s="12" t="s">
        <v>133</v>
      </c>
      <c r="L1186" s="12" t="s">
        <v>96</v>
      </c>
      <c r="M1186">
        <v>5.43</v>
      </c>
      <c r="N1186" s="12" t="s">
        <v>107</v>
      </c>
      <c r="O1186" s="12" t="s">
        <v>108</v>
      </c>
      <c r="P1186" s="12" t="s">
        <v>109</v>
      </c>
      <c r="Q1186" s="13">
        <v>45190</v>
      </c>
      <c r="R1186" s="13">
        <v>45216</v>
      </c>
      <c r="S1186">
        <v>2023</v>
      </c>
      <c r="T1186" s="12" t="s">
        <v>1753</v>
      </c>
      <c r="U1186">
        <v>50</v>
      </c>
      <c r="V1186">
        <v>233.54499999999999</v>
      </c>
      <c r="W1186">
        <v>271.57</v>
      </c>
      <c r="X1186">
        <v>0</v>
      </c>
      <c r="Y1186">
        <v>0</v>
      </c>
      <c r="Z1186">
        <v>11677.25</v>
      </c>
      <c r="AA1186">
        <v>11948.82</v>
      </c>
      <c r="AB1186" s="12" t="s">
        <v>1168</v>
      </c>
      <c r="AC1186">
        <v>248.16210000000001</v>
      </c>
      <c r="AD1186">
        <v>1</v>
      </c>
      <c r="AE1186">
        <v>1</v>
      </c>
      <c r="AF1186">
        <v>-730.86</v>
      </c>
      <c r="AG1186">
        <v>12408.11</v>
      </c>
      <c r="AH1186">
        <v>50</v>
      </c>
      <c r="AI1186">
        <v>49</v>
      </c>
      <c r="AJ1186">
        <v>1</v>
      </c>
      <c r="AK1186">
        <v>1</v>
      </c>
      <c r="AL1186">
        <v>1</v>
      </c>
      <c r="AM1186">
        <v>98</v>
      </c>
      <c r="AN1186">
        <v>243.8535</v>
      </c>
      <c r="AO1186">
        <v>233.55</v>
      </c>
      <c r="AP1186" s="13">
        <v>45215</v>
      </c>
      <c r="AQ1186">
        <v>-1</v>
      </c>
      <c r="AR1186">
        <v>1</v>
      </c>
    </row>
    <row r="1187" spans="1:44" x14ac:dyDescent="0.35">
      <c r="A1187" s="12" t="s">
        <v>1866</v>
      </c>
      <c r="B1187" s="12" t="s">
        <v>391</v>
      </c>
      <c r="C1187" s="12" t="s">
        <v>392</v>
      </c>
      <c r="D1187" s="12" t="s">
        <v>114</v>
      </c>
      <c r="E1187" s="12" t="s">
        <v>65</v>
      </c>
      <c r="F1187">
        <v>2</v>
      </c>
      <c r="G1187">
        <v>2</v>
      </c>
      <c r="H1187">
        <v>0</v>
      </c>
      <c r="I1187" s="12" t="s">
        <v>310</v>
      </c>
      <c r="J1187" s="12" t="s">
        <v>311</v>
      </c>
      <c r="K1187" s="12" t="s">
        <v>81</v>
      </c>
      <c r="L1187" s="12" t="s">
        <v>69</v>
      </c>
      <c r="M1187">
        <v>28.3</v>
      </c>
      <c r="N1187" s="12" t="s">
        <v>70</v>
      </c>
      <c r="O1187" s="12" t="s">
        <v>71</v>
      </c>
      <c r="P1187" s="12" t="s">
        <v>72</v>
      </c>
      <c r="Q1187" s="13">
        <v>45190</v>
      </c>
      <c r="R1187" s="13">
        <v>45216</v>
      </c>
      <c r="S1187">
        <v>2023</v>
      </c>
      <c r="T1187" s="12" t="s">
        <v>1753</v>
      </c>
      <c r="U1187">
        <v>49</v>
      </c>
      <c r="V1187">
        <v>223.56530000000001</v>
      </c>
      <c r="W1187">
        <v>193.15</v>
      </c>
      <c r="X1187">
        <v>0</v>
      </c>
      <c r="Y1187">
        <v>0</v>
      </c>
      <c r="Z1187">
        <v>10954.7</v>
      </c>
      <c r="AA1187">
        <v>11147.85</v>
      </c>
      <c r="AB1187" s="12" t="s">
        <v>393</v>
      </c>
      <c r="AC1187">
        <v>223.56530000000001</v>
      </c>
      <c r="AD1187">
        <v>1</v>
      </c>
      <c r="AE1187">
        <v>1</v>
      </c>
      <c r="AF1187">
        <v>0</v>
      </c>
      <c r="AG1187">
        <v>10954.7</v>
      </c>
      <c r="AH1187">
        <v>49</v>
      </c>
      <c r="AI1187">
        <v>48</v>
      </c>
      <c r="AJ1187">
        <v>1</v>
      </c>
      <c r="AK1187">
        <v>1</v>
      </c>
      <c r="AL1187">
        <v>1</v>
      </c>
      <c r="AM1187">
        <v>97.96</v>
      </c>
      <c r="AN1187">
        <v>232.24690000000001</v>
      </c>
      <c r="AO1187">
        <v>223.57</v>
      </c>
      <c r="AP1187" s="13">
        <v>45215</v>
      </c>
      <c r="AQ1187">
        <v>-1</v>
      </c>
      <c r="AR1187">
        <v>1</v>
      </c>
    </row>
    <row r="1188" spans="1:44" x14ac:dyDescent="0.35">
      <c r="A1188" s="12" t="s">
        <v>1867</v>
      </c>
      <c r="B1188" s="12" t="s">
        <v>792</v>
      </c>
      <c r="C1188" s="12" t="s">
        <v>793</v>
      </c>
      <c r="D1188" s="12" t="s">
        <v>103</v>
      </c>
      <c r="E1188" s="12" t="s">
        <v>65</v>
      </c>
      <c r="F1188">
        <v>2</v>
      </c>
      <c r="G1188">
        <v>3</v>
      </c>
      <c r="H1188">
        <v>0</v>
      </c>
      <c r="I1188" s="12" t="s">
        <v>115</v>
      </c>
      <c r="J1188" s="12" t="s">
        <v>116</v>
      </c>
      <c r="K1188" s="12" t="s">
        <v>117</v>
      </c>
      <c r="L1188" s="12" t="s">
        <v>82</v>
      </c>
      <c r="M1188">
        <v>17.170000000000002</v>
      </c>
      <c r="N1188" s="12" t="s">
        <v>107</v>
      </c>
      <c r="O1188" s="12" t="s">
        <v>108</v>
      </c>
      <c r="P1188" s="12" t="s">
        <v>109</v>
      </c>
      <c r="Q1188" s="13">
        <v>45190</v>
      </c>
      <c r="R1188" s="13">
        <v>45223</v>
      </c>
      <c r="S1188">
        <v>2023</v>
      </c>
      <c r="T1188" s="12" t="s">
        <v>1753</v>
      </c>
      <c r="U1188">
        <v>107</v>
      </c>
      <c r="V1188">
        <v>93.405199999999994</v>
      </c>
      <c r="W1188">
        <v>178.1</v>
      </c>
      <c r="X1188">
        <v>0</v>
      </c>
      <c r="Y1188">
        <v>0</v>
      </c>
      <c r="Z1188">
        <v>9994.36</v>
      </c>
      <c r="AA1188">
        <v>10172.459999999999</v>
      </c>
      <c r="AB1188" s="12" t="s">
        <v>794</v>
      </c>
      <c r="AC1188">
        <v>99.173299999999998</v>
      </c>
      <c r="AD1188">
        <v>1</v>
      </c>
      <c r="AE1188">
        <v>1</v>
      </c>
      <c r="AF1188">
        <v>-617.19000000000005</v>
      </c>
      <c r="AG1188">
        <v>10611.54</v>
      </c>
      <c r="AH1188">
        <v>107</v>
      </c>
      <c r="AI1188">
        <v>106</v>
      </c>
      <c r="AJ1188">
        <v>1</v>
      </c>
      <c r="AK1188">
        <v>1</v>
      </c>
      <c r="AL1188">
        <v>1</v>
      </c>
      <c r="AM1188">
        <v>99.07</v>
      </c>
      <c r="AN1188">
        <v>95.9666</v>
      </c>
      <c r="AO1188">
        <v>93.41</v>
      </c>
      <c r="AP1188" s="13">
        <v>45220</v>
      </c>
      <c r="AQ1188">
        <v>-3</v>
      </c>
      <c r="AR1188">
        <v>1</v>
      </c>
    </row>
    <row r="1189" spans="1:44" x14ac:dyDescent="0.35">
      <c r="A1189" s="12" t="s">
        <v>1868</v>
      </c>
      <c r="B1189" s="12" t="s">
        <v>149</v>
      </c>
      <c r="C1189" s="12" t="s">
        <v>150</v>
      </c>
      <c r="D1189" s="12" t="s">
        <v>78</v>
      </c>
      <c r="E1189" s="12" t="s">
        <v>65</v>
      </c>
      <c r="F1189">
        <v>2</v>
      </c>
      <c r="G1189">
        <v>2</v>
      </c>
      <c r="H1189">
        <v>0</v>
      </c>
      <c r="I1189" s="12" t="s">
        <v>151</v>
      </c>
      <c r="J1189" s="12" t="s">
        <v>152</v>
      </c>
      <c r="K1189" s="12" t="s">
        <v>125</v>
      </c>
      <c r="L1189" s="12" t="s">
        <v>69</v>
      </c>
      <c r="M1189">
        <v>36.479999999999997</v>
      </c>
      <c r="N1189" s="12" t="s">
        <v>97</v>
      </c>
      <c r="O1189" s="12" t="s">
        <v>98</v>
      </c>
      <c r="P1189" s="12" t="s">
        <v>72</v>
      </c>
      <c r="Q1189" s="13">
        <v>45191</v>
      </c>
      <c r="R1189" s="13">
        <v>45226</v>
      </c>
      <c r="S1189">
        <v>2023</v>
      </c>
      <c r="T1189" s="12" t="s">
        <v>1753</v>
      </c>
      <c r="U1189">
        <v>245</v>
      </c>
      <c r="V1189">
        <v>76.092399999999998</v>
      </c>
      <c r="W1189">
        <v>178.91</v>
      </c>
      <c r="X1189">
        <v>0</v>
      </c>
      <c r="Y1189">
        <v>0</v>
      </c>
      <c r="Z1189">
        <v>18642.64</v>
      </c>
      <c r="AA1189">
        <v>18821.55</v>
      </c>
      <c r="AB1189" s="12" t="s">
        <v>153</v>
      </c>
      <c r="AC1189">
        <v>76.092399999999998</v>
      </c>
      <c r="AD1189">
        <v>1</v>
      </c>
      <c r="AE1189">
        <v>1</v>
      </c>
      <c r="AF1189">
        <v>0</v>
      </c>
      <c r="AG1189">
        <v>18642.64</v>
      </c>
      <c r="AH1189">
        <v>245</v>
      </c>
      <c r="AI1189">
        <v>242</v>
      </c>
      <c r="AJ1189">
        <v>3</v>
      </c>
      <c r="AK1189">
        <v>1</v>
      </c>
      <c r="AL1189">
        <v>1</v>
      </c>
      <c r="AM1189">
        <v>98.78</v>
      </c>
      <c r="AN1189">
        <v>77.775000000000006</v>
      </c>
      <c r="AO1189">
        <v>228.28</v>
      </c>
      <c r="AP1189" s="13">
        <v>45224</v>
      </c>
      <c r="AQ1189">
        <v>-2</v>
      </c>
      <c r="AR1189">
        <v>1</v>
      </c>
    </row>
    <row r="1190" spans="1:44" x14ac:dyDescent="0.35">
      <c r="A1190" s="12" t="s">
        <v>1869</v>
      </c>
      <c r="B1190" s="12" t="s">
        <v>766</v>
      </c>
      <c r="C1190" s="12" t="s">
        <v>767</v>
      </c>
      <c r="D1190" s="12" t="s">
        <v>175</v>
      </c>
      <c r="E1190" s="12" t="s">
        <v>65</v>
      </c>
      <c r="F1190">
        <v>3</v>
      </c>
      <c r="G1190">
        <v>5</v>
      </c>
      <c r="H1190">
        <v>0</v>
      </c>
      <c r="I1190" s="12" t="s">
        <v>87</v>
      </c>
      <c r="J1190" s="12" t="s">
        <v>88</v>
      </c>
      <c r="K1190" s="12" t="s">
        <v>89</v>
      </c>
      <c r="L1190" s="12" t="s">
        <v>69</v>
      </c>
      <c r="M1190">
        <v>14.93</v>
      </c>
      <c r="N1190" s="12" t="s">
        <v>107</v>
      </c>
      <c r="O1190" s="12" t="s">
        <v>108</v>
      </c>
      <c r="P1190" s="12" t="s">
        <v>109</v>
      </c>
      <c r="Q1190" s="13">
        <v>45191</v>
      </c>
      <c r="R1190" s="13">
        <v>45221</v>
      </c>
      <c r="S1190">
        <v>2023</v>
      </c>
      <c r="T1190" s="12" t="s">
        <v>1753</v>
      </c>
      <c r="U1190">
        <v>85</v>
      </c>
      <c r="V1190">
        <v>86.977900000000005</v>
      </c>
      <c r="W1190">
        <v>166.6</v>
      </c>
      <c r="X1190">
        <v>0</v>
      </c>
      <c r="Y1190">
        <v>0</v>
      </c>
      <c r="Z1190">
        <v>7393.12</v>
      </c>
      <c r="AA1190">
        <v>7559.72</v>
      </c>
      <c r="AB1190" s="12" t="s">
        <v>768</v>
      </c>
      <c r="AC1190">
        <v>86.977900000000005</v>
      </c>
      <c r="AD1190">
        <v>1</v>
      </c>
      <c r="AE1190">
        <v>1</v>
      </c>
      <c r="AF1190">
        <v>0</v>
      </c>
      <c r="AG1190">
        <v>7393.12</v>
      </c>
      <c r="AH1190">
        <v>85</v>
      </c>
      <c r="AI1190">
        <v>84</v>
      </c>
      <c r="AJ1190">
        <v>1</v>
      </c>
      <c r="AK1190">
        <v>1</v>
      </c>
      <c r="AL1190">
        <v>1</v>
      </c>
      <c r="AM1190">
        <v>98.82</v>
      </c>
      <c r="AN1190">
        <v>89.996700000000004</v>
      </c>
      <c r="AO1190">
        <v>86.98</v>
      </c>
      <c r="AP1190" s="13">
        <v>45220</v>
      </c>
      <c r="AQ1190">
        <v>-1</v>
      </c>
      <c r="AR1190">
        <v>1</v>
      </c>
    </row>
    <row r="1191" spans="1:44" x14ac:dyDescent="0.35">
      <c r="A1191" s="12" t="s">
        <v>1870</v>
      </c>
      <c r="B1191" s="12" t="s">
        <v>308</v>
      </c>
      <c r="C1191" s="12" t="s">
        <v>309</v>
      </c>
      <c r="D1191" s="12" t="s">
        <v>122</v>
      </c>
      <c r="E1191" s="12" t="s">
        <v>142</v>
      </c>
      <c r="F1191">
        <v>1</v>
      </c>
      <c r="G1191">
        <v>6</v>
      </c>
      <c r="H1191">
        <v>1</v>
      </c>
      <c r="I1191" s="12" t="s">
        <v>310</v>
      </c>
      <c r="J1191" s="12" t="s">
        <v>311</v>
      </c>
      <c r="K1191" s="12" t="s">
        <v>81</v>
      </c>
      <c r="L1191" s="12" t="s">
        <v>69</v>
      </c>
      <c r="M1191">
        <v>28.3</v>
      </c>
      <c r="N1191" s="12" t="s">
        <v>70</v>
      </c>
      <c r="O1191" s="12" t="s">
        <v>71</v>
      </c>
      <c r="P1191" s="12" t="s">
        <v>72</v>
      </c>
      <c r="Q1191" s="13">
        <v>45191</v>
      </c>
      <c r="R1191" s="13">
        <v>45242</v>
      </c>
      <c r="S1191">
        <v>2023</v>
      </c>
      <c r="T1191" s="12" t="s">
        <v>1753</v>
      </c>
      <c r="U1191">
        <v>1824</v>
      </c>
      <c r="V1191">
        <v>59.409700000000001</v>
      </c>
      <c r="W1191">
        <v>1049.8599999999999</v>
      </c>
      <c r="X1191">
        <v>0</v>
      </c>
      <c r="Y1191">
        <v>0</v>
      </c>
      <c r="Z1191">
        <v>108363.29</v>
      </c>
      <c r="AA1191">
        <v>109413.15</v>
      </c>
      <c r="AB1191" s="12" t="s">
        <v>312</v>
      </c>
      <c r="AC1191">
        <v>59.409700000000001</v>
      </c>
      <c r="AD1191">
        <v>1</v>
      </c>
      <c r="AE1191">
        <v>1</v>
      </c>
      <c r="AF1191">
        <v>0</v>
      </c>
      <c r="AG1191">
        <v>108363.29</v>
      </c>
      <c r="AH1191">
        <v>1824</v>
      </c>
      <c r="AI1191">
        <v>1818</v>
      </c>
      <c r="AJ1191">
        <v>6</v>
      </c>
      <c r="AK1191">
        <v>1</v>
      </c>
      <c r="AL1191">
        <v>1</v>
      </c>
      <c r="AM1191">
        <v>99.67</v>
      </c>
      <c r="AN1191">
        <v>60.183300000000003</v>
      </c>
      <c r="AO1191">
        <v>356.46</v>
      </c>
      <c r="AP1191" s="13">
        <v>45240</v>
      </c>
      <c r="AQ1191">
        <v>-2</v>
      </c>
      <c r="AR1191">
        <v>1</v>
      </c>
    </row>
    <row r="1192" spans="1:44" x14ac:dyDescent="0.35">
      <c r="A1192" s="12" t="s">
        <v>1871</v>
      </c>
      <c r="B1192" s="12" t="s">
        <v>621</v>
      </c>
      <c r="C1192" s="12" t="s">
        <v>622</v>
      </c>
      <c r="D1192" s="12" t="s">
        <v>103</v>
      </c>
      <c r="E1192" s="12" t="s">
        <v>65</v>
      </c>
      <c r="F1192">
        <v>1</v>
      </c>
      <c r="G1192">
        <v>2</v>
      </c>
      <c r="H1192">
        <v>1</v>
      </c>
      <c r="I1192" s="12" t="s">
        <v>486</v>
      </c>
      <c r="J1192" s="12" t="s">
        <v>487</v>
      </c>
      <c r="K1192" s="12" t="s">
        <v>125</v>
      </c>
      <c r="L1192" s="12" t="s">
        <v>69</v>
      </c>
      <c r="M1192">
        <v>36.86</v>
      </c>
      <c r="N1192" s="12" t="s">
        <v>145</v>
      </c>
      <c r="O1192" s="12" t="s">
        <v>146</v>
      </c>
      <c r="P1192" s="12" t="s">
        <v>109</v>
      </c>
      <c r="Q1192" s="13">
        <v>45191</v>
      </c>
      <c r="R1192" s="13">
        <v>45229</v>
      </c>
      <c r="S1192">
        <v>2023</v>
      </c>
      <c r="T1192" s="12" t="s">
        <v>1753</v>
      </c>
      <c r="U1192">
        <v>148</v>
      </c>
      <c r="V1192">
        <v>201.42019999999999</v>
      </c>
      <c r="W1192">
        <v>423.05</v>
      </c>
      <c r="X1192">
        <v>0</v>
      </c>
      <c r="Y1192">
        <v>0</v>
      </c>
      <c r="Z1192">
        <v>29810.19</v>
      </c>
      <c r="AA1192">
        <v>30233.24</v>
      </c>
      <c r="AB1192" s="12" t="s">
        <v>623</v>
      </c>
      <c r="AC1192">
        <v>201.42019999999999</v>
      </c>
      <c r="AD1192">
        <v>1</v>
      </c>
      <c r="AE1192">
        <v>1</v>
      </c>
      <c r="AF1192">
        <v>0</v>
      </c>
      <c r="AG1192">
        <v>29810.19</v>
      </c>
      <c r="AH1192">
        <v>148</v>
      </c>
      <c r="AI1192">
        <v>146</v>
      </c>
      <c r="AJ1192">
        <v>2</v>
      </c>
      <c r="AK1192">
        <v>1</v>
      </c>
      <c r="AL1192">
        <v>1</v>
      </c>
      <c r="AM1192">
        <v>98.65</v>
      </c>
      <c r="AN1192">
        <v>207.077</v>
      </c>
      <c r="AO1192">
        <v>402.84</v>
      </c>
      <c r="AP1192" s="13">
        <v>45225</v>
      </c>
      <c r="AQ1192">
        <v>-4</v>
      </c>
      <c r="AR1192">
        <v>1</v>
      </c>
    </row>
    <row r="1193" spans="1:44" x14ac:dyDescent="0.35">
      <c r="A1193" s="12" t="s">
        <v>1872</v>
      </c>
      <c r="B1193" s="12" t="s">
        <v>249</v>
      </c>
      <c r="C1193" s="12" t="s">
        <v>250</v>
      </c>
      <c r="D1193" s="12" t="s">
        <v>64</v>
      </c>
      <c r="E1193" s="12" t="s">
        <v>65</v>
      </c>
      <c r="F1193">
        <v>2</v>
      </c>
      <c r="G1193">
        <v>3</v>
      </c>
      <c r="H1193">
        <v>0</v>
      </c>
      <c r="I1193" s="12" t="s">
        <v>251</v>
      </c>
      <c r="J1193" s="12" t="s">
        <v>252</v>
      </c>
      <c r="K1193" s="12" t="s">
        <v>133</v>
      </c>
      <c r="L1193" s="12" t="s">
        <v>69</v>
      </c>
      <c r="M1193">
        <v>34.49</v>
      </c>
      <c r="N1193" s="12" t="s">
        <v>70</v>
      </c>
      <c r="O1193" s="12" t="s">
        <v>71</v>
      </c>
      <c r="P1193" s="12" t="s">
        <v>72</v>
      </c>
      <c r="Q1193" s="13">
        <v>45191</v>
      </c>
      <c r="R1193" s="13">
        <v>45217</v>
      </c>
      <c r="S1193">
        <v>2023</v>
      </c>
      <c r="T1193" s="12" t="s">
        <v>1753</v>
      </c>
      <c r="U1193">
        <v>365</v>
      </c>
      <c r="V1193">
        <v>10.945499999999999</v>
      </c>
      <c r="W1193">
        <v>66.37</v>
      </c>
      <c r="X1193">
        <v>0</v>
      </c>
      <c r="Y1193">
        <v>0</v>
      </c>
      <c r="Z1193">
        <v>3995.11</v>
      </c>
      <c r="AA1193">
        <v>4061.48</v>
      </c>
      <c r="AB1193" s="12" t="s">
        <v>253</v>
      </c>
      <c r="AC1193">
        <v>10.6486</v>
      </c>
      <c r="AD1193">
        <v>1</v>
      </c>
      <c r="AE1193">
        <v>1</v>
      </c>
      <c r="AF1193">
        <v>108.37</v>
      </c>
      <c r="AG1193">
        <v>3886.74</v>
      </c>
      <c r="AH1193">
        <v>365</v>
      </c>
      <c r="AI1193">
        <v>360</v>
      </c>
      <c r="AJ1193">
        <v>5</v>
      </c>
      <c r="AK1193">
        <v>1</v>
      </c>
      <c r="AL1193">
        <v>1</v>
      </c>
      <c r="AM1193">
        <v>98.63</v>
      </c>
      <c r="AN1193">
        <v>11.2819</v>
      </c>
      <c r="AO1193">
        <v>54.73</v>
      </c>
      <c r="AP1193" s="13">
        <v>45223</v>
      </c>
      <c r="AQ1193">
        <v>6</v>
      </c>
      <c r="AR1193">
        <v>0</v>
      </c>
    </row>
    <row r="1194" spans="1:44" x14ac:dyDescent="0.35">
      <c r="A1194" s="12" t="s">
        <v>1873</v>
      </c>
      <c r="B1194" s="12" t="s">
        <v>728</v>
      </c>
      <c r="C1194" s="12" t="s">
        <v>729</v>
      </c>
      <c r="D1194" s="12" t="s">
        <v>269</v>
      </c>
      <c r="E1194" s="12" t="s">
        <v>65</v>
      </c>
      <c r="F1194">
        <v>2</v>
      </c>
      <c r="G1194">
        <v>3</v>
      </c>
      <c r="H1194">
        <v>0</v>
      </c>
      <c r="I1194" s="12" t="s">
        <v>243</v>
      </c>
      <c r="J1194" s="12" t="s">
        <v>244</v>
      </c>
      <c r="K1194" s="12" t="s">
        <v>81</v>
      </c>
      <c r="L1194" s="12" t="s">
        <v>82</v>
      </c>
      <c r="M1194">
        <v>9.2200000000000006</v>
      </c>
      <c r="N1194" s="12" t="s">
        <v>159</v>
      </c>
      <c r="O1194" s="12" t="s">
        <v>160</v>
      </c>
      <c r="P1194" s="12" t="s">
        <v>137</v>
      </c>
      <c r="Q1194" s="13">
        <v>45191</v>
      </c>
      <c r="R1194" s="13">
        <v>45229</v>
      </c>
      <c r="S1194">
        <v>2023</v>
      </c>
      <c r="T1194" s="12" t="s">
        <v>1753</v>
      </c>
      <c r="U1194">
        <v>143</v>
      </c>
      <c r="V1194">
        <v>352.69839999999999</v>
      </c>
      <c r="W1194">
        <v>1167.19</v>
      </c>
      <c r="X1194">
        <v>0</v>
      </c>
      <c r="Y1194">
        <v>0</v>
      </c>
      <c r="Z1194">
        <v>50435.87</v>
      </c>
      <c r="AA1194">
        <v>51603.06</v>
      </c>
      <c r="AB1194" s="12" t="s">
        <v>783</v>
      </c>
      <c r="AC1194">
        <v>374.99740000000003</v>
      </c>
      <c r="AD1194">
        <v>1</v>
      </c>
      <c r="AE1194">
        <v>1</v>
      </c>
      <c r="AF1194">
        <v>-3188.76</v>
      </c>
      <c r="AG1194">
        <v>53624.63</v>
      </c>
      <c r="AH1194">
        <v>143</v>
      </c>
      <c r="AI1194">
        <v>142</v>
      </c>
      <c r="AJ1194">
        <v>1</v>
      </c>
      <c r="AK1194">
        <v>1</v>
      </c>
      <c r="AL1194">
        <v>1</v>
      </c>
      <c r="AM1194">
        <v>99.3</v>
      </c>
      <c r="AN1194">
        <v>363.40179999999998</v>
      </c>
      <c r="AO1194">
        <v>352.7</v>
      </c>
      <c r="AP1194" s="13">
        <v>45228</v>
      </c>
      <c r="AQ1194">
        <v>-1</v>
      </c>
      <c r="AR1194">
        <v>1</v>
      </c>
    </row>
    <row r="1195" spans="1:44" x14ac:dyDescent="0.35">
      <c r="A1195" s="12" t="s">
        <v>1874</v>
      </c>
      <c r="B1195" s="12" t="s">
        <v>952</v>
      </c>
      <c r="C1195" s="12" t="s">
        <v>953</v>
      </c>
      <c r="D1195" s="12" t="s">
        <v>64</v>
      </c>
      <c r="E1195" s="12" t="s">
        <v>142</v>
      </c>
      <c r="F1195">
        <v>1</v>
      </c>
      <c r="G1195">
        <v>8</v>
      </c>
      <c r="H1195">
        <v>1</v>
      </c>
      <c r="I1195" s="12" t="s">
        <v>131</v>
      </c>
      <c r="J1195" s="12" t="s">
        <v>132</v>
      </c>
      <c r="K1195" s="12" t="s">
        <v>133</v>
      </c>
      <c r="L1195" s="12" t="s">
        <v>134</v>
      </c>
      <c r="M1195">
        <v>1.51</v>
      </c>
      <c r="N1195" s="12" t="s">
        <v>97</v>
      </c>
      <c r="O1195" s="12" t="s">
        <v>98</v>
      </c>
      <c r="P1195" s="12" t="s">
        <v>72</v>
      </c>
      <c r="Q1195" s="13">
        <v>45191</v>
      </c>
      <c r="R1195" s="13">
        <v>45241</v>
      </c>
      <c r="S1195">
        <v>2023</v>
      </c>
      <c r="T1195" s="12" t="s">
        <v>1753</v>
      </c>
      <c r="U1195">
        <v>882</v>
      </c>
      <c r="V1195">
        <v>31.146599999999999</v>
      </c>
      <c r="W1195">
        <v>282.56</v>
      </c>
      <c r="X1195">
        <v>0</v>
      </c>
      <c r="Y1195">
        <v>0</v>
      </c>
      <c r="Z1195">
        <v>27471.3</v>
      </c>
      <c r="AA1195">
        <v>27753.86</v>
      </c>
      <c r="AB1195" s="12" t="s">
        <v>954</v>
      </c>
      <c r="AC1195">
        <v>31.146599999999999</v>
      </c>
      <c r="AD1195">
        <v>1</v>
      </c>
      <c r="AE1195">
        <v>1</v>
      </c>
      <c r="AF1195">
        <v>0</v>
      </c>
      <c r="AG1195">
        <v>27471.3</v>
      </c>
      <c r="AH1195">
        <v>882</v>
      </c>
      <c r="AI1195">
        <v>879</v>
      </c>
      <c r="AJ1195">
        <v>3</v>
      </c>
      <c r="AK1195">
        <v>1</v>
      </c>
      <c r="AL1195">
        <v>1</v>
      </c>
      <c r="AM1195">
        <v>99.66</v>
      </c>
      <c r="AN1195">
        <v>31.574400000000001</v>
      </c>
      <c r="AO1195">
        <v>93.44</v>
      </c>
      <c r="AP1195" s="13">
        <v>45241</v>
      </c>
      <c r="AQ1195">
        <v>0</v>
      </c>
      <c r="AR1195">
        <v>1</v>
      </c>
    </row>
    <row r="1196" spans="1:44" x14ac:dyDescent="0.35">
      <c r="A1196" s="12" t="s">
        <v>1875</v>
      </c>
      <c r="B1196" s="12" t="s">
        <v>362</v>
      </c>
      <c r="C1196" s="12" t="s">
        <v>363</v>
      </c>
      <c r="D1196" s="12" t="s">
        <v>78</v>
      </c>
      <c r="E1196" s="12" t="s">
        <v>104</v>
      </c>
      <c r="F1196">
        <v>3</v>
      </c>
      <c r="G1196">
        <v>0</v>
      </c>
      <c r="H1196">
        <v>0</v>
      </c>
      <c r="I1196" s="12" t="s">
        <v>157</v>
      </c>
      <c r="J1196" s="12" t="s">
        <v>158</v>
      </c>
      <c r="K1196" s="12" t="s">
        <v>117</v>
      </c>
      <c r="L1196" s="12" t="s">
        <v>96</v>
      </c>
      <c r="M1196">
        <v>4.72</v>
      </c>
      <c r="N1196" s="12" t="s">
        <v>70</v>
      </c>
      <c r="O1196" s="12" t="s">
        <v>71</v>
      </c>
      <c r="P1196" s="12" t="s">
        <v>72</v>
      </c>
      <c r="Q1196" s="13">
        <v>45191</v>
      </c>
      <c r="R1196" s="13">
        <v>45211</v>
      </c>
      <c r="S1196">
        <v>2023</v>
      </c>
      <c r="T1196" s="12" t="s">
        <v>1753</v>
      </c>
      <c r="U1196">
        <v>163</v>
      </c>
      <c r="V1196">
        <v>66.545400000000001</v>
      </c>
      <c r="W1196">
        <v>240.65</v>
      </c>
      <c r="X1196">
        <v>344.81</v>
      </c>
      <c r="Y1196">
        <v>1</v>
      </c>
      <c r="Z1196">
        <v>10846.9</v>
      </c>
      <c r="AA1196">
        <v>11432.36</v>
      </c>
      <c r="AB1196" s="12" t="s">
        <v>364</v>
      </c>
      <c r="AC1196">
        <v>63.140599999999999</v>
      </c>
      <c r="AD1196">
        <v>1</v>
      </c>
      <c r="AE1196">
        <v>1</v>
      </c>
      <c r="AF1196">
        <v>554.98</v>
      </c>
      <c r="AG1196">
        <v>10291.92</v>
      </c>
      <c r="AH1196">
        <v>163</v>
      </c>
      <c r="AI1196">
        <v>160</v>
      </c>
      <c r="AJ1196">
        <v>3</v>
      </c>
      <c r="AK1196">
        <v>1</v>
      </c>
      <c r="AL1196">
        <v>1</v>
      </c>
      <c r="AM1196">
        <v>98.16</v>
      </c>
      <c r="AN1196">
        <v>71.452299999999994</v>
      </c>
      <c r="AO1196">
        <v>199.64</v>
      </c>
      <c r="AP1196" s="13">
        <v>45211</v>
      </c>
      <c r="AQ1196">
        <v>0</v>
      </c>
      <c r="AR1196">
        <v>1</v>
      </c>
    </row>
    <row r="1197" spans="1:44" x14ac:dyDescent="0.35">
      <c r="A1197" s="12" t="s">
        <v>1876</v>
      </c>
      <c r="B1197" s="12" t="s">
        <v>674</v>
      </c>
      <c r="C1197" s="12" t="s">
        <v>675</v>
      </c>
      <c r="D1197" s="12" t="s">
        <v>269</v>
      </c>
      <c r="E1197" s="12" t="s">
        <v>142</v>
      </c>
      <c r="F1197">
        <v>1</v>
      </c>
      <c r="G1197">
        <v>7</v>
      </c>
      <c r="H1197">
        <v>1</v>
      </c>
      <c r="I1197" s="12" t="s">
        <v>676</v>
      </c>
      <c r="J1197" s="12" t="s">
        <v>677</v>
      </c>
      <c r="K1197" s="12" t="s">
        <v>68</v>
      </c>
      <c r="L1197" s="12" t="s">
        <v>96</v>
      </c>
      <c r="M1197">
        <v>3.57</v>
      </c>
      <c r="N1197" s="12" t="s">
        <v>135</v>
      </c>
      <c r="O1197" s="12" t="s">
        <v>136</v>
      </c>
      <c r="P1197" s="12" t="s">
        <v>137</v>
      </c>
      <c r="Q1197" s="13">
        <v>45194</v>
      </c>
      <c r="R1197" s="13">
        <v>45246</v>
      </c>
      <c r="S1197">
        <v>2023</v>
      </c>
      <c r="T1197" s="12" t="s">
        <v>1753</v>
      </c>
      <c r="U1197">
        <v>147</v>
      </c>
      <c r="V1197">
        <v>355.32960000000003</v>
      </c>
      <c r="W1197">
        <v>1130.1099999999999</v>
      </c>
      <c r="X1197">
        <v>0</v>
      </c>
      <c r="Y1197">
        <v>0</v>
      </c>
      <c r="Z1197">
        <v>52233.45</v>
      </c>
      <c r="AA1197">
        <v>53363.56</v>
      </c>
      <c r="AB1197" s="12" t="s">
        <v>678</v>
      </c>
      <c r="AC1197">
        <v>355.32960000000003</v>
      </c>
      <c r="AD1197">
        <v>1</v>
      </c>
      <c r="AE1197">
        <v>1</v>
      </c>
      <c r="AF1197">
        <v>0</v>
      </c>
      <c r="AG1197">
        <v>52233.45</v>
      </c>
      <c r="AH1197">
        <v>147</v>
      </c>
      <c r="AI1197">
        <v>145</v>
      </c>
      <c r="AJ1197">
        <v>2</v>
      </c>
      <c r="AK1197">
        <v>1</v>
      </c>
      <c r="AL1197">
        <v>1</v>
      </c>
      <c r="AM1197">
        <v>98.64</v>
      </c>
      <c r="AN1197">
        <v>368.02460000000002</v>
      </c>
      <c r="AO1197">
        <v>710.66</v>
      </c>
      <c r="AP1197" s="13">
        <v>45246</v>
      </c>
      <c r="AQ1197">
        <v>0</v>
      </c>
      <c r="AR1197">
        <v>1</v>
      </c>
    </row>
    <row r="1198" spans="1:44" x14ac:dyDescent="0.35">
      <c r="A1198" s="12" t="s">
        <v>1877</v>
      </c>
      <c r="B1198" s="12" t="s">
        <v>837</v>
      </c>
      <c r="C1198" s="12" t="s">
        <v>838</v>
      </c>
      <c r="D1198" s="12" t="s">
        <v>114</v>
      </c>
      <c r="E1198" s="12" t="s">
        <v>104</v>
      </c>
      <c r="F1198">
        <v>2</v>
      </c>
      <c r="G1198">
        <v>0</v>
      </c>
      <c r="H1198">
        <v>0</v>
      </c>
      <c r="I1198" s="12" t="s">
        <v>199</v>
      </c>
      <c r="J1198" s="12" t="s">
        <v>200</v>
      </c>
      <c r="K1198" s="12" t="s">
        <v>68</v>
      </c>
      <c r="L1198" s="12" t="s">
        <v>96</v>
      </c>
      <c r="M1198">
        <v>9.4700000000000006</v>
      </c>
      <c r="N1198" s="12" t="s">
        <v>70</v>
      </c>
      <c r="O1198" s="12" t="s">
        <v>71</v>
      </c>
      <c r="P1198" s="12" t="s">
        <v>72</v>
      </c>
      <c r="Q1198" s="13">
        <v>45194</v>
      </c>
      <c r="R1198" s="13">
        <v>45217</v>
      </c>
      <c r="S1198">
        <v>2023</v>
      </c>
      <c r="T1198" s="12" t="s">
        <v>1753</v>
      </c>
      <c r="U1198">
        <v>95</v>
      </c>
      <c r="V1198">
        <v>71.121200000000002</v>
      </c>
      <c r="W1198">
        <v>170.12</v>
      </c>
      <c r="X1198">
        <v>0</v>
      </c>
      <c r="Y1198">
        <v>0</v>
      </c>
      <c r="Z1198">
        <v>6756.51</v>
      </c>
      <c r="AA1198">
        <v>6926.63</v>
      </c>
      <c r="AB1198" s="12" t="s">
        <v>839</v>
      </c>
      <c r="AC1198">
        <v>71.121200000000002</v>
      </c>
      <c r="AD1198">
        <v>1</v>
      </c>
      <c r="AE1198">
        <v>1</v>
      </c>
      <c r="AF1198">
        <v>0</v>
      </c>
      <c r="AG1198">
        <v>6756.51</v>
      </c>
      <c r="AH1198">
        <v>95</v>
      </c>
      <c r="AI1198">
        <v>94</v>
      </c>
      <c r="AJ1198">
        <v>1</v>
      </c>
      <c r="AK1198">
        <v>1</v>
      </c>
      <c r="AL1198">
        <v>1</v>
      </c>
      <c r="AM1198">
        <v>98.95</v>
      </c>
      <c r="AN1198">
        <v>73.687600000000003</v>
      </c>
      <c r="AO1198">
        <v>71.12</v>
      </c>
      <c r="AP1198" s="13">
        <v>45216</v>
      </c>
      <c r="AQ1198">
        <v>-1</v>
      </c>
      <c r="AR1198">
        <v>1</v>
      </c>
    </row>
    <row r="1199" spans="1:44" x14ac:dyDescent="0.35">
      <c r="A1199" s="12" t="s">
        <v>1878</v>
      </c>
      <c r="B1199" s="12" t="s">
        <v>544</v>
      </c>
      <c r="C1199" s="12" t="s">
        <v>545</v>
      </c>
      <c r="D1199" s="12" t="s">
        <v>175</v>
      </c>
      <c r="E1199" s="12" t="s">
        <v>65</v>
      </c>
      <c r="F1199">
        <v>3</v>
      </c>
      <c r="G1199">
        <v>5</v>
      </c>
      <c r="H1199">
        <v>0</v>
      </c>
      <c r="I1199" s="12" t="s">
        <v>79</v>
      </c>
      <c r="J1199" s="12" t="s">
        <v>80</v>
      </c>
      <c r="K1199" s="12" t="s">
        <v>81</v>
      </c>
      <c r="L1199" s="12" t="s">
        <v>82</v>
      </c>
      <c r="M1199">
        <v>12.07</v>
      </c>
      <c r="N1199" s="12" t="s">
        <v>145</v>
      </c>
      <c r="O1199" s="12" t="s">
        <v>146</v>
      </c>
      <c r="P1199" s="12" t="s">
        <v>109</v>
      </c>
      <c r="Q1199" s="13">
        <v>45194</v>
      </c>
      <c r="R1199" s="13">
        <v>45222</v>
      </c>
      <c r="S1199">
        <v>2023</v>
      </c>
      <c r="T1199" s="12" t="s">
        <v>1753</v>
      </c>
      <c r="U1199">
        <v>67</v>
      </c>
      <c r="V1199">
        <v>158.86160000000001</v>
      </c>
      <c r="W1199">
        <v>115.29</v>
      </c>
      <c r="X1199">
        <v>0</v>
      </c>
      <c r="Y1199">
        <v>0</v>
      </c>
      <c r="Z1199">
        <v>10643.73</v>
      </c>
      <c r="AA1199">
        <v>10759.02</v>
      </c>
      <c r="AB1199" s="12" t="s">
        <v>201</v>
      </c>
      <c r="AD1199">
        <v>0</v>
      </c>
      <c r="AE1199">
        <v>0</v>
      </c>
      <c r="AH1199">
        <v>67</v>
      </c>
      <c r="AI1199">
        <v>66</v>
      </c>
      <c r="AJ1199">
        <v>1</v>
      </c>
      <c r="AK1199">
        <v>1</v>
      </c>
      <c r="AL1199">
        <v>1</v>
      </c>
      <c r="AM1199">
        <v>98.51</v>
      </c>
      <c r="AN1199">
        <v>163.0154</v>
      </c>
      <c r="AO1199">
        <v>158.86000000000001</v>
      </c>
      <c r="AP1199" s="13">
        <v>45219</v>
      </c>
      <c r="AQ1199">
        <v>-3</v>
      </c>
      <c r="AR1199">
        <v>1</v>
      </c>
    </row>
    <row r="1200" spans="1:44" x14ac:dyDescent="0.35">
      <c r="A1200" s="12" t="s">
        <v>1879</v>
      </c>
      <c r="B1200" s="12" t="s">
        <v>327</v>
      </c>
      <c r="C1200" s="12" t="s">
        <v>328</v>
      </c>
      <c r="D1200" s="12" t="s">
        <v>130</v>
      </c>
      <c r="E1200" s="12" t="s">
        <v>104</v>
      </c>
      <c r="F1200">
        <v>2</v>
      </c>
      <c r="G1200">
        <v>0</v>
      </c>
      <c r="H1200">
        <v>0</v>
      </c>
      <c r="I1200" s="12" t="s">
        <v>123</v>
      </c>
      <c r="J1200" s="12" t="s">
        <v>124</v>
      </c>
      <c r="K1200" s="12" t="s">
        <v>125</v>
      </c>
      <c r="L1200" s="12" t="s">
        <v>82</v>
      </c>
      <c r="M1200">
        <v>6.75</v>
      </c>
      <c r="N1200" s="12" t="s">
        <v>159</v>
      </c>
      <c r="O1200" s="12" t="s">
        <v>160</v>
      </c>
      <c r="P1200" s="12" t="s">
        <v>137</v>
      </c>
      <c r="Q1200" s="13">
        <v>45194</v>
      </c>
      <c r="R1200" s="13">
        <v>45212</v>
      </c>
      <c r="S1200">
        <v>2023</v>
      </c>
      <c r="T1200" s="12" t="s">
        <v>1753</v>
      </c>
      <c r="U1200">
        <v>59</v>
      </c>
      <c r="V1200">
        <v>762.93029999999999</v>
      </c>
      <c r="W1200">
        <v>997.96</v>
      </c>
      <c r="X1200">
        <v>0</v>
      </c>
      <c r="Y1200">
        <v>0</v>
      </c>
      <c r="Z1200">
        <v>45012.89</v>
      </c>
      <c r="AA1200">
        <v>46010.85</v>
      </c>
      <c r="AB1200" s="12" t="s">
        <v>388</v>
      </c>
      <c r="AC1200">
        <v>762.93029999999999</v>
      </c>
      <c r="AD1200">
        <v>1</v>
      </c>
      <c r="AE1200">
        <v>1</v>
      </c>
      <c r="AF1200">
        <v>0</v>
      </c>
      <c r="AG1200">
        <v>45012.89</v>
      </c>
      <c r="AH1200">
        <v>59</v>
      </c>
      <c r="AI1200">
        <v>58</v>
      </c>
      <c r="AJ1200">
        <v>1</v>
      </c>
      <c r="AK1200">
        <v>1</v>
      </c>
      <c r="AL1200">
        <v>1</v>
      </c>
      <c r="AM1200">
        <v>98.31</v>
      </c>
      <c r="AN1200">
        <v>793.29049999999995</v>
      </c>
      <c r="AO1200">
        <v>762.93</v>
      </c>
      <c r="AP1200" s="13">
        <v>45211</v>
      </c>
      <c r="AQ1200">
        <v>-1</v>
      </c>
      <c r="AR1200">
        <v>1</v>
      </c>
    </row>
    <row r="1201" spans="1:44" x14ac:dyDescent="0.35">
      <c r="A1201" s="12" t="s">
        <v>1880</v>
      </c>
      <c r="B1201" s="12" t="s">
        <v>437</v>
      </c>
      <c r="C1201" s="12" t="s">
        <v>438</v>
      </c>
      <c r="D1201" s="12" t="s">
        <v>269</v>
      </c>
      <c r="E1201" s="12" t="s">
        <v>65</v>
      </c>
      <c r="F1201">
        <v>2</v>
      </c>
      <c r="G1201">
        <v>4</v>
      </c>
      <c r="H1201">
        <v>0</v>
      </c>
      <c r="I1201" s="12" t="s">
        <v>183</v>
      </c>
      <c r="J1201" s="12" t="s">
        <v>184</v>
      </c>
      <c r="K1201" s="12" t="s">
        <v>133</v>
      </c>
      <c r="L1201" s="12" t="s">
        <v>82</v>
      </c>
      <c r="M1201">
        <v>8.6199999999999992</v>
      </c>
      <c r="N1201" s="12" t="s">
        <v>159</v>
      </c>
      <c r="O1201" s="12" t="s">
        <v>160</v>
      </c>
      <c r="P1201" s="12" t="s">
        <v>137</v>
      </c>
      <c r="Q1201" s="13">
        <v>45194</v>
      </c>
      <c r="R1201" s="13">
        <v>45222</v>
      </c>
      <c r="S1201">
        <v>2023</v>
      </c>
      <c r="T1201" s="12" t="s">
        <v>1753</v>
      </c>
      <c r="U1201">
        <v>68</v>
      </c>
      <c r="V1201">
        <v>445.22340000000003</v>
      </c>
      <c r="W1201">
        <v>527.14</v>
      </c>
      <c r="X1201">
        <v>0</v>
      </c>
      <c r="Y1201">
        <v>0</v>
      </c>
      <c r="Z1201">
        <v>30275.19</v>
      </c>
      <c r="AA1201">
        <v>30802.33</v>
      </c>
      <c r="AB1201" s="12" t="s">
        <v>917</v>
      </c>
      <c r="AC1201">
        <v>473.21539999999999</v>
      </c>
      <c r="AD1201">
        <v>1</v>
      </c>
      <c r="AE1201">
        <v>1</v>
      </c>
      <c r="AF1201">
        <v>-1903.46</v>
      </c>
      <c r="AG1201">
        <v>32178.65</v>
      </c>
      <c r="AH1201">
        <v>68</v>
      </c>
      <c r="AI1201">
        <v>68</v>
      </c>
      <c r="AJ1201">
        <v>0</v>
      </c>
      <c r="AK1201">
        <v>1</v>
      </c>
      <c r="AL1201">
        <v>1</v>
      </c>
      <c r="AM1201">
        <v>100</v>
      </c>
      <c r="AN1201">
        <v>452.97550000000001</v>
      </c>
      <c r="AO1201">
        <v>0</v>
      </c>
      <c r="AP1201" s="13">
        <v>45224</v>
      </c>
      <c r="AQ1201">
        <v>2</v>
      </c>
      <c r="AR1201">
        <v>0</v>
      </c>
    </row>
    <row r="1202" spans="1:44" x14ac:dyDescent="0.35">
      <c r="A1202" s="12" t="s">
        <v>1881</v>
      </c>
      <c r="B1202" s="12" t="s">
        <v>503</v>
      </c>
      <c r="C1202" s="12" t="s">
        <v>504</v>
      </c>
      <c r="D1202" s="12" t="s">
        <v>103</v>
      </c>
      <c r="E1202" s="12" t="s">
        <v>104</v>
      </c>
      <c r="F1202">
        <v>3</v>
      </c>
      <c r="G1202">
        <v>1</v>
      </c>
      <c r="H1202">
        <v>0</v>
      </c>
      <c r="I1202" s="12" t="s">
        <v>209</v>
      </c>
      <c r="J1202" s="12" t="s">
        <v>210</v>
      </c>
      <c r="K1202" s="12" t="s">
        <v>133</v>
      </c>
      <c r="L1202" s="12" t="s">
        <v>96</v>
      </c>
      <c r="M1202">
        <v>7.82</v>
      </c>
      <c r="N1202" s="12" t="s">
        <v>145</v>
      </c>
      <c r="O1202" s="12" t="s">
        <v>146</v>
      </c>
      <c r="P1202" s="12" t="s">
        <v>109</v>
      </c>
      <c r="Q1202" s="13">
        <v>45194</v>
      </c>
      <c r="R1202" s="13">
        <v>45215</v>
      </c>
      <c r="S1202">
        <v>2023</v>
      </c>
      <c r="T1202" s="12" t="s">
        <v>1753</v>
      </c>
      <c r="U1202">
        <v>85</v>
      </c>
      <c r="V1202">
        <v>164.6883</v>
      </c>
      <c r="W1202">
        <v>187.17</v>
      </c>
      <c r="X1202">
        <v>423.41</v>
      </c>
      <c r="Y1202">
        <v>1</v>
      </c>
      <c r="Z1202">
        <v>13998.51</v>
      </c>
      <c r="AA1202">
        <v>14609.09</v>
      </c>
      <c r="AB1202" s="12" t="s">
        <v>505</v>
      </c>
      <c r="AC1202">
        <v>158.00909999999999</v>
      </c>
      <c r="AD1202">
        <v>1</v>
      </c>
      <c r="AE1202">
        <v>1</v>
      </c>
      <c r="AF1202">
        <v>567.73</v>
      </c>
      <c r="AG1202">
        <v>13430.77</v>
      </c>
      <c r="AH1202">
        <v>85</v>
      </c>
      <c r="AI1202">
        <v>84</v>
      </c>
      <c r="AJ1202">
        <v>1</v>
      </c>
      <c r="AK1202">
        <v>1</v>
      </c>
      <c r="AL1202">
        <v>1</v>
      </c>
      <c r="AM1202">
        <v>98.82</v>
      </c>
      <c r="AN1202">
        <v>173.9177</v>
      </c>
      <c r="AO1202">
        <v>164.69</v>
      </c>
      <c r="AP1202" s="13">
        <v>45213</v>
      </c>
      <c r="AQ1202">
        <v>-2</v>
      </c>
      <c r="AR1202">
        <v>1</v>
      </c>
    </row>
    <row r="1203" spans="1:44" x14ac:dyDescent="0.35">
      <c r="A1203" s="12" t="s">
        <v>1882</v>
      </c>
      <c r="B1203" s="12" t="s">
        <v>617</v>
      </c>
      <c r="C1203" s="12" t="s">
        <v>618</v>
      </c>
      <c r="D1203" s="12" t="s">
        <v>78</v>
      </c>
      <c r="E1203" s="12" t="s">
        <v>65</v>
      </c>
      <c r="F1203">
        <v>2</v>
      </c>
      <c r="G1203">
        <v>4</v>
      </c>
      <c r="H1203">
        <v>0</v>
      </c>
      <c r="I1203" s="12" t="s">
        <v>341</v>
      </c>
      <c r="J1203" s="12" t="s">
        <v>342</v>
      </c>
      <c r="K1203" s="12" t="s">
        <v>117</v>
      </c>
      <c r="L1203" s="12" t="s">
        <v>82</v>
      </c>
      <c r="M1203">
        <v>18.36</v>
      </c>
      <c r="N1203" s="12" t="s">
        <v>97</v>
      </c>
      <c r="O1203" s="12" t="s">
        <v>98</v>
      </c>
      <c r="P1203" s="12" t="s">
        <v>72</v>
      </c>
      <c r="Q1203" s="13">
        <v>45194</v>
      </c>
      <c r="R1203" s="13">
        <v>45216</v>
      </c>
      <c r="S1203">
        <v>2023</v>
      </c>
      <c r="T1203" s="12" t="s">
        <v>1753</v>
      </c>
      <c r="U1203">
        <v>54</v>
      </c>
      <c r="V1203">
        <v>108.2711</v>
      </c>
      <c r="W1203">
        <v>57.47</v>
      </c>
      <c r="X1203">
        <v>0</v>
      </c>
      <c r="Y1203">
        <v>0</v>
      </c>
      <c r="Z1203">
        <v>5846.64</v>
      </c>
      <c r="AA1203">
        <v>5904.11</v>
      </c>
      <c r="AB1203" s="12" t="s">
        <v>619</v>
      </c>
      <c r="AC1203">
        <v>108.2711</v>
      </c>
      <c r="AD1203">
        <v>1</v>
      </c>
      <c r="AE1203">
        <v>1</v>
      </c>
      <c r="AF1203">
        <v>0</v>
      </c>
      <c r="AG1203">
        <v>5846.64</v>
      </c>
      <c r="AH1203">
        <v>54</v>
      </c>
      <c r="AI1203">
        <v>53</v>
      </c>
      <c r="AJ1203">
        <v>1</v>
      </c>
      <c r="AK1203">
        <v>1</v>
      </c>
      <c r="AL1203">
        <v>1</v>
      </c>
      <c r="AM1203">
        <v>98.15</v>
      </c>
      <c r="AN1203">
        <v>111.39830000000001</v>
      </c>
      <c r="AO1203">
        <v>108.27</v>
      </c>
      <c r="AP1203" s="13">
        <v>45215</v>
      </c>
      <c r="AQ1203">
        <v>-1</v>
      </c>
      <c r="AR1203">
        <v>1</v>
      </c>
    </row>
    <row r="1204" spans="1:44" x14ac:dyDescent="0.35">
      <c r="A1204" s="12" t="s">
        <v>1883</v>
      </c>
      <c r="B1204" s="12" t="s">
        <v>167</v>
      </c>
      <c r="C1204" s="12" t="s">
        <v>168</v>
      </c>
      <c r="D1204" s="12" t="s">
        <v>64</v>
      </c>
      <c r="E1204" s="12" t="s">
        <v>104</v>
      </c>
      <c r="F1204">
        <v>3</v>
      </c>
      <c r="G1204">
        <v>1</v>
      </c>
      <c r="H1204">
        <v>0</v>
      </c>
      <c r="I1204" s="12" t="s">
        <v>195</v>
      </c>
      <c r="J1204" s="12" t="s">
        <v>196</v>
      </c>
      <c r="K1204" s="12" t="s">
        <v>117</v>
      </c>
      <c r="L1204" s="12" t="s">
        <v>134</v>
      </c>
      <c r="M1204">
        <v>4.7699999999999996</v>
      </c>
      <c r="N1204" s="12" t="s">
        <v>97</v>
      </c>
      <c r="O1204" s="12" t="s">
        <v>98</v>
      </c>
      <c r="P1204" s="12" t="s">
        <v>72</v>
      </c>
      <c r="Q1204" s="13">
        <v>45194</v>
      </c>
      <c r="R1204" s="13">
        <v>45217</v>
      </c>
      <c r="S1204">
        <v>2023</v>
      </c>
      <c r="T1204" s="12" t="s">
        <v>1753</v>
      </c>
      <c r="U1204">
        <v>692</v>
      </c>
      <c r="V1204">
        <v>31.6877</v>
      </c>
      <c r="W1204">
        <v>544.23</v>
      </c>
      <c r="X1204">
        <v>0</v>
      </c>
      <c r="Y1204">
        <v>0</v>
      </c>
      <c r="Z1204">
        <v>21927.89</v>
      </c>
      <c r="AA1204">
        <v>22472.12</v>
      </c>
      <c r="AB1204" s="12" t="s">
        <v>201</v>
      </c>
      <c r="AD1204">
        <v>0</v>
      </c>
      <c r="AE1204">
        <v>0</v>
      </c>
      <c r="AH1204">
        <v>692</v>
      </c>
      <c r="AI1204">
        <v>684</v>
      </c>
      <c r="AJ1204">
        <v>8</v>
      </c>
      <c r="AK1204">
        <v>1</v>
      </c>
      <c r="AL1204">
        <v>1</v>
      </c>
      <c r="AM1204">
        <v>98.84</v>
      </c>
      <c r="AN1204">
        <v>32.853999999999999</v>
      </c>
      <c r="AO1204">
        <v>253.5</v>
      </c>
      <c r="AP1204" s="13">
        <v>45215</v>
      </c>
      <c r="AQ1204">
        <v>-2</v>
      </c>
      <c r="AR1204">
        <v>1</v>
      </c>
    </row>
    <row r="1205" spans="1:44" x14ac:dyDescent="0.35">
      <c r="A1205" s="12" t="s">
        <v>1884</v>
      </c>
      <c r="B1205" s="12" t="s">
        <v>249</v>
      </c>
      <c r="C1205" s="12" t="s">
        <v>250</v>
      </c>
      <c r="D1205" s="12" t="s">
        <v>64</v>
      </c>
      <c r="E1205" s="12" t="s">
        <v>65</v>
      </c>
      <c r="F1205">
        <v>2</v>
      </c>
      <c r="G1205">
        <v>3</v>
      </c>
      <c r="H1205">
        <v>0</v>
      </c>
      <c r="I1205" s="12" t="s">
        <v>251</v>
      </c>
      <c r="J1205" s="12" t="s">
        <v>252</v>
      </c>
      <c r="K1205" s="12" t="s">
        <v>133</v>
      </c>
      <c r="L1205" s="12" t="s">
        <v>69</v>
      </c>
      <c r="M1205">
        <v>34.49</v>
      </c>
      <c r="N1205" s="12" t="s">
        <v>70</v>
      </c>
      <c r="O1205" s="12" t="s">
        <v>71</v>
      </c>
      <c r="P1205" s="12" t="s">
        <v>72</v>
      </c>
      <c r="Q1205" s="13">
        <v>45194</v>
      </c>
      <c r="R1205" s="13">
        <v>45231</v>
      </c>
      <c r="S1205">
        <v>2023</v>
      </c>
      <c r="T1205" s="12" t="s">
        <v>1753</v>
      </c>
      <c r="U1205">
        <v>929</v>
      </c>
      <c r="V1205">
        <v>10.6486</v>
      </c>
      <c r="W1205">
        <v>89.77</v>
      </c>
      <c r="X1205">
        <v>0</v>
      </c>
      <c r="Y1205">
        <v>0</v>
      </c>
      <c r="Z1205">
        <v>9892.5499999999993</v>
      </c>
      <c r="AA1205">
        <v>9982.32</v>
      </c>
      <c r="AB1205" s="12" t="s">
        <v>253</v>
      </c>
      <c r="AC1205">
        <v>10.6486</v>
      </c>
      <c r="AD1205">
        <v>1</v>
      </c>
      <c r="AE1205">
        <v>1</v>
      </c>
      <c r="AF1205">
        <v>0</v>
      </c>
      <c r="AG1205">
        <v>9892.5499999999993</v>
      </c>
      <c r="AH1205">
        <v>929</v>
      </c>
      <c r="AI1205">
        <v>927</v>
      </c>
      <c r="AJ1205">
        <v>2</v>
      </c>
      <c r="AK1205">
        <v>1</v>
      </c>
      <c r="AL1205">
        <v>1</v>
      </c>
      <c r="AM1205">
        <v>99.78</v>
      </c>
      <c r="AN1205">
        <v>10.7684</v>
      </c>
      <c r="AO1205">
        <v>21.3</v>
      </c>
      <c r="AP1205" s="13">
        <v>45231</v>
      </c>
      <c r="AQ1205">
        <v>0</v>
      </c>
      <c r="AR1205">
        <v>1</v>
      </c>
    </row>
    <row r="1206" spans="1:44" x14ac:dyDescent="0.35">
      <c r="A1206" s="12" t="s">
        <v>1885</v>
      </c>
      <c r="B1206" s="12" t="s">
        <v>331</v>
      </c>
      <c r="C1206" s="12" t="s">
        <v>332</v>
      </c>
      <c r="D1206" s="12" t="s">
        <v>122</v>
      </c>
      <c r="E1206" s="12" t="s">
        <v>142</v>
      </c>
      <c r="F1206">
        <v>3</v>
      </c>
      <c r="G1206">
        <v>11</v>
      </c>
      <c r="H1206">
        <v>0</v>
      </c>
      <c r="I1206" s="12" t="s">
        <v>263</v>
      </c>
      <c r="J1206" s="12" t="s">
        <v>264</v>
      </c>
      <c r="K1206" s="12" t="s">
        <v>125</v>
      </c>
      <c r="L1206" s="12" t="s">
        <v>82</v>
      </c>
      <c r="M1206">
        <v>10.210000000000001</v>
      </c>
      <c r="N1206" s="12" t="s">
        <v>70</v>
      </c>
      <c r="O1206" s="12" t="s">
        <v>71</v>
      </c>
      <c r="P1206" s="12" t="s">
        <v>72</v>
      </c>
      <c r="Q1206" s="13">
        <v>45194</v>
      </c>
      <c r="R1206" s="13">
        <v>45240</v>
      </c>
      <c r="S1206">
        <v>2023</v>
      </c>
      <c r="T1206" s="12" t="s">
        <v>1753</v>
      </c>
      <c r="U1206">
        <v>1328</v>
      </c>
      <c r="V1206">
        <v>25.052199999999999</v>
      </c>
      <c r="W1206">
        <v>737.34</v>
      </c>
      <c r="X1206">
        <v>0</v>
      </c>
      <c r="Y1206">
        <v>0</v>
      </c>
      <c r="Z1206">
        <v>33269.32</v>
      </c>
      <c r="AA1206">
        <v>34006.660000000003</v>
      </c>
      <c r="AB1206" s="12" t="s">
        <v>333</v>
      </c>
      <c r="AC1206">
        <v>25.052199999999999</v>
      </c>
      <c r="AD1206">
        <v>1</v>
      </c>
      <c r="AE1206">
        <v>1</v>
      </c>
      <c r="AF1206">
        <v>0</v>
      </c>
      <c r="AG1206">
        <v>33269.32</v>
      </c>
      <c r="AH1206">
        <v>1328</v>
      </c>
      <c r="AI1206">
        <v>1314</v>
      </c>
      <c r="AJ1206">
        <v>14</v>
      </c>
      <c r="AK1206">
        <v>1</v>
      </c>
      <c r="AL1206">
        <v>1</v>
      </c>
      <c r="AM1206">
        <v>98.95</v>
      </c>
      <c r="AN1206">
        <v>25.880299999999998</v>
      </c>
      <c r="AO1206">
        <v>350.73</v>
      </c>
      <c r="AP1206" s="13">
        <v>45238</v>
      </c>
      <c r="AQ1206">
        <v>-2</v>
      </c>
      <c r="AR1206">
        <v>1</v>
      </c>
    </row>
    <row r="1207" spans="1:44" x14ac:dyDescent="0.35">
      <c r="A1207" s="12" t="s">
        <v>1886</v>
      </c>
      <c r="B1207" s="12" t="s">
        <v>255</v>
      </c>
      <c r="C1207" s="12" t="s">
        <v>256</v>
      </c>
      <c r="D1207" s="12" t="s">
        <v>103</v>
      </c>
      <c r="E1207" s="12" t="s">
        <v>65</v>
      </c>
      <c r="F1207">
        <v>2</v>
      </c>
      <c r="G1207">
        <v>4</v>
      </c>
      <c r="H1207">
        <v>0</v>
      </c>
      <c r="I1207" s="12" t="s">
        <v>143</v>
      </c>
      <c r="J1207" s="12" t="s">
        <v>144</v>
      </c>
      <c r="K1207" s="12" t="s">
        <v>133</v>
      </c>
      <c r="L1207" s="12" t="s">
        <v>96</v>
      </c>
      <c r="M1207">
        <v>5.43</v>
      </c>
      <c r="N1207" s="12" t="s">
        <v>145</v>
      </c>
      <c r="O1207" s="12" t="s">
        <v>146</v>
      </c>
      <c r="P1207" s="12" t="s">
        <v>109</v>
      </c>
      <c r="Q1207" s="13">
        <v>45194</v>
      </c>
      <c r="R1207" s="13">
        <v>45222</v>
      </c>
      <c r="S1207">
        <v>2023</v>
      </c>
      <c r="T1207" s="12" t="s">
        <v>1753</v>
      </c>
      <c r="U1207">
        <v>65</v>
      </c>
      <c r="V1207">
        <v>95.085700000000003</v>
      </c>
      <c r="W1207">
        <v>159.02000000000001</v>
      </c>
      <c r="X1207">
        <v>0</v>
      </c>
      <c r="Y1207">
        <v>0</v>
      </c>
      <c r="Z1207">
        <v>6180.57</v>
      </c>
      <c r="AA1207">
        <v>6339.59</v>
      </c>
      <c r="AB1207" s="12" t="s">
        <v>366</v>
      </c>
      <c r="AC1207">
        <v>95.085700000000003</v>
      </c>
      <c r="AD1207">
        <v>1</v>
      </c>
      <c r="AE1207">
        <v>1</v>
      </c>
      <c r="AF1207">
        <v>0</v>
      </c>
      <c r="AG1207">
        <v>6180.57</v>
      </c>
      <c r="AH1207">
        <v>65</v>
      </c>
      <c r="AI1207">
        <v>64</v>
      </c>
      <c r="AJ1207">
        <v>1</v>
      </c>
      <c r="AK1207">
        <v>1</v>
      </c>
      <c r="AL1207">
        <v>1</v>
      </c>
      <c r="AM1207">
        <v>98.46</v>
      </c>
      <c r="AN1207">
        <v>99.056100000000001</v>
      </c>
      <c r="AO1207">
        <v>95.09</v>
      </c>
      <c r="AP1207" s="13">
        <v>45220</v>
      </c>
      <c r="AQ1207">
        <v>-2</v>
      </c>
      <c r="AR1207">
        <v>1</v>
      </c>
    </row>
    <row r="1208" spans="1:44" x14ac:dyDescent="0.35">
      <c r="A1208" s="12" t="s">
        <v>1887</v>
      </c>
      <c r="B1208" s="12" t="s">
        <v>391</v>
      </c>
      <c r="C1208" s="12" t="s">
        <v>392</v>
      </c>
      <c r="D1208" s="12" t="s">
        <v>114</v>
      </c>
      <c r="E1208" s="12" t="s">
        <v>65</v>
      </c>
      <c r="F1208">
        <v>2</v>
      </c>
      <c r="G1208">
        <v>2</v>
      </c>
      <c r="H1208">
        <v>0</v>
      </c>
      <c r="I1208" s="12" t="s">
        <v>310</v>
      </c>
      <c r="J1208" s="12" t="s">
        <v>311</v>
      </c>
      <c r="K1208" s="12" t="s">
        <v>81</v>
      </c>
      <c r="L1208" s="12" t="s">
        <v>69</v>
      </c>
      <c r="M1208">
        <v>28.3</v>
      </c>
      <c r="N1208" s="12" t="s">
        <v>70</v>
      </c>
      <c r="O1208" s="12" t="s">
        <v>71</v>
      </c>
      <c r="P1208" s="12" t="s">
        <v>72</v>
      </c>
      <c r="Q1208" s="13">
        <v>45194</v>
      </c>
      <c r="R1208" s="13">
        <v>45224</v>
      </c>
      <c r="S1208">
        <v>2023</v>
      </c>
      <c r="T1208" s="12" t="s">
        <v>1753</v>
      </c>
      <c r="U1208">
        <v>83</v>
      </c>
      <c r="V1208">
        <v>223.56530000000001</v>
      </c>
      <c r="W1208">
        <v>343.34</v>
      </c>
      <c r="X1208">
        <v>0</v>
      </c>
      <c r="Y1208">
        <v>0</v>
      </c>
      <c r="Z1208">
        <v>18555.919999999998</v>
      </c>
      <c r="AA1208">
        <v>18899.259999999998</v>
      </c>
      <c r="AB1208" s="12" t="s">
        <v>393</v>
      </c>
      <c r="AC1208">
        <v>223.56530000000001</v>
      </c>
      <c r="AD1208">
        <v>1</v>
      </c>
      <c r="AE1208">
        <v>1</v>
      </c>
      <c r="AF1208">
        <v>0</v>
      </c>
      <c r="AG1208">
        <v>18555.919999999998</v>
      </c>
      <c r="AH1208">
        <v>83</v>
      </c>
      <c r="AI1208">
        <v>81</v>
      </c>
      <c r="AJ1208">
        <v>2</v>
      </c>
      <c r="AK1208">
        <v>1</v>
      </c>
      <c r="AL1208">
        <v>1</v>
      </c>
      <c r="AM1208">
        <v>97.59</v>
      </c>
      <c r="AN1208">
        <v>233.32419999999999</v>
      </c>
      <c r="AO1208">
        <v>447.13</v>
      </c>
      <c r="AP1208" s="13">
        <v>45223</v>
      </c>
      <c r="AQ1208">
        <v>-1</v>
      </c>
      <c r="AR1208">
        <v>1</v>
      </c>
    </row>
    <row r="1209" spans="1:44" x14ac:dyDescent="0.35">
      <c r="A1209" s="12" t="s">
        <v>1888</v>
      </c>
      <c r="B1209" s="12" t="s">
        <v>640</v>
      </c>
      <c r="C1209" s="12" t="s">
        <v>641</v>
      </c>
      <c r="D1209" s="12" t="s">
        <v>130</v>
      </c>
      <c r="E1209" s="12" t="s">
        <v>104</v>
      </c>
      <c r="F1209">
        <v>3</v>
      </c>
      <c r="G1209">
        <v>0</v>
      </c>
      <c r="H1209">
        <v>0</v>
      </c>
      <c r="I1209" s="12" t="s">
        <v>209</v>
      </c>
      <c r="J1209" s="12" t="s">
        <v>210</v>
      </c>
      <c r="K1209" s="12" t="s">
        <v>133</v>
      </c>
      <c r="L1209" s="12" t="s">
        <v>96</v>
      </c>
      <c r="M1209">
        <v>7.82</v>
      </c>
      <c r="N1209" s="12" t="s">
        <v>159</v>
      </c>
      <c r="O1209" s="12" t="s">
        <v>160</v>
      </c>
      <c r="P1209" s="12" t="s">
        <v>137</v>
      </c>
      <c r="Q1209" s="13">
        <v>45194</v>
      </c>
      <c r="R1209" s="13">
        <v>45215</v>
      </c>
      <c r="S1209">
        <v>2023</v>
      </c>
      <c r="T1209" s="12" t="s">
        <v>1753</v>
      </c>
      <c r="U1209">
        <v>84</v>
      </c>
      <c r="V1209">
        <v>1008.4116</v>
      </c>
      <c r="W1209">
        <v>1636.43</v>
      </c>
      <c r="X1209">
        <v>0</v>
      </c>
      <c r="Y1209">
        <v>0</v>
      </c>
      <c r="Z1209">
        <v>84706.57</v>
      </c>
      <c r="AA1209">
        <v>86343</v>
      </c>
      <c r="AB1209" s="12" t="s">
        <v>642</v>
      </c>
      <c r="AC1209">
        <v>1008.4116</v>
      </c>
      <c r="AD1209">
        <v>1</v>
      </c>
      <c r="AE1209">
        <v>1</v>
      </c>
      <c r="AF1209">
        <v>0</v>
      </c>
      <c r="AG1209">
        <v>84706.57</v>
      </c>
      <c r="AH1209">
        <v>84</v>
      </c>
      <c r="AI1209">
        <v>84</v>
      </c>
      <c r="AJ1209">
        <v>0</v>
      </c>
      <c r="AK1209">
        <v>1</v>
      </c>
      <c r="AL1209">
        <v>1</v>
      </c>
      <c r="AM1209">
        <v>100</v>
      </c>
      <c r="AN1209">
        <v>1027.8929000000001</v>
      </c>
      <c r="AO1209">
        <v>0</v>
      </c>
      <c r="AP1209" s="13">
        <v>45221</v>
      </c>
      <c r="AQ1209">
        <v>6</v>
      </c>
      <c r="AR1209">
        <v>0</v>
      </c>
    </row>
    <row r="1210" spans="1:44" x14ac:dyDescent="0.35">
      <c r="A1210" s="12" t="s">
        <v>1889</v>
      </c>
      <c r="B1210" s="12" t="s">
        <v>428</v>
      </c>
      <c r="C1210" s="12" t="s">
        <v>429</v>
      </c>
      <c r="D1210" s="12" t="s">
        <v>64</v>
      </c>
      <c r="E1210" s="12" t="s">
        <v>65</v>
      </c>
      <c r="F1210">
        <v>3</v>
      </c>
      <c r="G1210">
        <v>4</v>
      </c>
      <c r="H1210">
        <v>0</v>
      </c>
      <c r="I1210" s="12" t="s">
        <v>123</v>
      </c>
      <c r="J1210" s="12" t="s">
        <v>124</v>
      </c>
      <c r="K1210" s="12" t="s">
        <v>125</v>
      </c>
      <c r="L1210" s="12" t="s">
        <v>82</v>
      </c>
      <c r="M1210">
        <v>6.75</v>
      </c>
      <c r="N1210" s="12" t="s">
        <v>97</v>
      </c>
      <c r="O1210" s="12" t="s">
        <v>98</v>
      </c>
      <c r="P1210" s="12" t="s">
        <v>72</v>
      </c>
      <c r="Q1210" s="13">
        <v>45194</v>
      </c>
      <c r="R1210" s="13">
        <v>45231</v>
      </c>
      <c r="S1210">
        <v>2023</v>
      </c>
      <c r="T1210" s="12" t="s">
        <v>1753</v>
      </c>
      <c r="U1210">
        <v>914</v>
      </c>
      <c r="V1210">
        <v>15.773199999999999</v>
      </c>
      <c r="W1210">
        <v>339.9</v>
      </c>
      <c r="X1210">
        <v>0</v>
      </c>
      <c r="Y1210">
        <v>0</v>
      </c>
      <c r="Z1210">
        <v>14416.7</v>
      </c>
      <c r="AA1210">
        <v>14756.6</v>
      </c>
      <c r="AB1210" s="12" t="s">
        <v>201</v>
      </c>
      <c r="AD1210">
        <v>0</v>
      </c>
      <c r="AE1210">
        <v>0</v>
      </c>
      <c r="AH1210">
        <v>914</v>
      </c>
      <c r="AI1210">
        <v>905</v>
      </c>
      <c r="AJ1210">
        <v>9</v>
      </c>
      <c r="AK1210">
        <v>1</v>
      </c>
      <c r="AL1210">
        <v>1</v>
      </c>
      <c r="AM1210">
        <v>99.02</v>
      </c>
      <c r="AN1210">
        <v>16.305599999999998</v>
      </c>
      <c r="AO1210">
        <v>141.96</v>
      </c>
      <c r="AP1210" s="13">
        <v>45228</v>
      </c>
      <c r="AQ1210">
        <v>-3</v>
      </c>
      <c r="AR1210">
        <v>1</v>
      </c>
    </row>
    <row r="1211" spans="1:44" x14ac:dyDescent="0.35">
      <c r="A1211" s="12" t="s">
        <v>1890</v>
      </c>
      <c r="B1211" s="12" t="s">
        <v>293</v>
      </c>
      <c r="C1211" s="12" t="s">
        <v>294</v>
      </c>
      <c r="D1211" s="12" t="s">
        <v>114</v>
      </c>
      <c r="E1211" s="12" t="s">
        <v>142</v>
      </c>
      <c r="F1211">
        <v>1</v>
      </c>
      <c r="G1211">
        <v>6</v>
      </c>
      <c r="H1211">
        <v>1</v>
      </c>
      <c r="I1211" s="12" t="s">
        <v>195</v>
      </c>
      <c r="J1211" s="12" t="s">
        <v>196</v>
      </c>
      <c r="K1211" s="12" t="s">
        <v>117</v>
      </c>
      <c r="L1211" s="12" t="s">
        <v>134</v>
      </c>
      <c r="M1211">
        <v>4.7699999999999996</v>
      </c>
      <c r="N1211" s="12" t="s">
        <v>97</v>
      </c>
      <c r="O1211" s="12" t="s">
        <v>98</v>
      </c>
      <c r="P1211" s="12" t="s">
        <v>72</v>
      </c>
      <c r="Q1211" s="13">
        <v>45194</v>
      </c>
      <c r="R1211" s="13">
        <v>45236</v>
      </c>
      <c r="S1211">
        <v>2023</v>
      </c>
      <c r="T1211" s="12" t="s">
        <v>1753</v>
      </c>
      <c r="U1211">
        <v>71</v>
      </c>
      <c r="V1211">
        <v>206.0489</v>
      </c>
      <c r="W1211">
        <v>234.07</v>
      </c>
      <c r="X1211">
        <v>0</v>
      </c>
      <c r="Y1211">
        <v>0</v>
      </c>
      <c r="Z1211">
        <v>14629.47</v>
      </c>
      <c r="AA1211">
        <v>14863.54</v>
      </c>
      <c r="AB1211" s="12" t="s">
        <v>295</v>
      </c>
      <c r="AC1211">
        <v>206.0489</v>
      </c>
      <c r="AD1211">
        <v>1</v>
      </c>
      <c r="AE1211">
        <v>1</v>
      </c>
      <c r="AF1211">
        <v>0</v>
      </c>
      <c r="AG1211">
        <v>14629.47</v>
      </c>
      <c r="AH1211">
        <v>71</v>
      </c>
      <c r="AI1211">
        <v>70</v>
      </c>
      <c r="AJ1211">
        <v>1</v>
      </c>
      <c r="AK1211">
        <v>1</v>
      </c>
      <c r="AL1211">
        <v>1</v>
      </c>
      <c r="AM1211">
        <v>98.59</v>
      </c>
      <c r="AN1211">
        <v>212.33629999999999</v>
      </c>
      <c r="AO1211">
        <v>206.05</v>
      </c>
      <c r="AP1211" s="13">
        <v>45234</v>
      </c>
      <c r="AQ1211">
        <v>-2</v>
      </c>
      <c r="AR1211">
        <v>1</v>
      </c>
    </row>
    <row r="1212" spans="1:44" x14ac:dyDescent="0.35">
      <c r="A1212" s="12" t="s">
        <v>1891</v>
      </c>
      <c r="B1212" s="12" t="s">
        <v>323</v>
      </c>
      <c r="C1212" s="12" t="s">
        <v>324</v>
      </c>
      <c r="D1212" s="12" t="s">
        <v>64</v>
      </c>
      <c r="E1212" s="12" t="s">
        <v>142</v>
      </c>
      <c r="F1212">
        <v>1</v>
      </c>
      <c r="G1212">
        <v>7</v>
      </c>
      <c r="H1212">
        <v>1</v>
      </c>
      <c r="I1212" s="12" t="s">
        <v>143</v>
      </c>
      <c r="J1212" s="12" t="s">
        <v>144</v>
      </c>
      <c r="K1212" s="12" t="s">
        <v>133</v>
      </c>
      <c r="L1212" s="12" t="s">
        <v>96</v>
      </c>
      <c r="M1212">
        <v>5.43</v>
      </c>
      <c r="N1212" s="12" t="s">
        <v>97</v>
      </c>
      <c r="O1212" s="12" t="s">
        <v>98</v>
      </c>
      <c r="P1212" s="12" t="s">
        <v>72</v>
      </c>
      <c r="Q1212" s="13">
        <v>45194</v>
      </c>
      <c r="R1212" s="13">
        <v>45239</v>
      </c>
      <c r="S1212">
        <v>2023</v>
      </c>
      <c r="T1212" s="12" t="s">
        <v>1753</v>
      </c>
      <c r="U1212">
        <v>637</v>
      </c>
      <c r="V1212">
        <v>41.597000000000001</v>
      </c>
      <c r="W1212">
        <v>384.28</v>
      </c>
      <c r="X1212">
        <v>0</v>
      </c>
      <c r="Y1212">
        <v>0</v>
      </c>
      <c r="Z1212">
        <v>26497.29</v>
      </c>
      <c r="AA1212">
        <v>26881.57</v>
      </c>
      <c r="AB1212" s="12" t="s">
        <v>325</v>
      </c>
      <c r="AC1212">
        <v>39.503399999999999</v>
      </c>
      <c r="AD1212">
        <v>1</v>
      </c>
      <c r="AE1212">
        <v>1</v>
      </c>
      <c r="AF1212">
        <v>1333.62</v>
      </c>
      <c r="AG1212">
        <v>25163.67</v>
      </c>
      <c r="AH1212">
        <v>637</v>
      </c>
      <c r="AI1212">
        <v>627</v>
      </c>
      <c r="AJ1212">
        <v>10</v>
      </c>
      <c r="AK1212">
        <v>1</v>
      </c>
      <c r="AL1212">
        <v>1</v>
      </c>
      <c r="AM1212">
        <v>98.43</v>
      </c>
      <c r="AN1212">
        <v>42.8733</v>
      </c>
      <c r="AO1212">
        <v>415.97</v>
      </c>
      <c r="AP1212" s="13">
        <v>45247</v>
      </c>
      <c r="AQ1212">
        <v>8</v>
      </c>
      <c r="AR1212">
        <v>0</v>
      </c>
    </row>
    <row r="1213" spans="1:44" x14ac:dyDescent="0.35">
      <c r="A1213" s="12" t="s">
        <v>1892</v>
      </c>
      <c r="B1213" s="12" t="s">
        <v>602</v>
      </c>
      <c r="C1213" s="12" t="s">
        <v>603</v>
      </c>
      <c r="D1213" s="12" t="s">
        <v>114</v>
      </c>
      <c r="E1213" s="12" t="s">
        <v>142</v>
      </c>
      <c r="F1213">
        <v>2</v>
      </c>
      <c r="G1213">
        <v>10</v>
      </c>
      <c r="H1213">
        <v>0</v>
      </c>
      <c r="I1213" s="12" t="s">
        <v>604</v>
      </c>
      <c r="J1213" s="12" t="s">
        <v>605</v>
      </c>
      <c r="K1213" s="12" t="s">
        <v>68</v>
      </c>
      <c r="L1213" s="12" t="s">
        <v>82</v>
      </c>
      <c r="M1213">
        <v>7.24</v>
      </c>
      <c r="N1213" s="12" t="s">
        <v>97</v>
      </c>
      <c r="O1213" s="12" t="s">
        <v>98</v>
      </c>
      <c r="P1213" s="12" t="s">
        <v>72</v>
      </c>
      <c r="Q1213" s="13">
        <v>45194</v>
      </c>
      <c r="R1213" s="13">
        <v>45235</v>
      </c>
      <c r="S1213">
        <v>2023</v>
      </c>
      <c r="T1213" s="12" t="s">
        <v>1753</v>
      </c>
      <c r="U1213">
        <v>62</v>
      </c>
      <c r="V1213">
        <v>213.4624</v>
      </c>
      <c r="W1213">
        <v>126.1</v>
      </c>
      <c r="X1213">
        <v>0</v>
      </c>
      <c r="Y1213">
        <v>0</v>
      </c>
      <c r="Z1213">
        <v>13234.67</v>
      </c>
      <c r="AA1213">
        <v>13360.77</v>
      </c>
      <c r="AB1213" s="12" t="s">
        <v>606</v>
      </c>
      <c r="AC1213">
        <v>213.4624</v>
      </c>
      <c r="AD1213">
        <v>1</v>
      </c>
      <c r="AE1213">
        <v>1</v>
      </c>
      <c r="AF1213">
        <v>0</v>
      </c>
      <c r="AG1213">
        <v>13234.67</v>
      </c>
      <c r="AH1213">
        <v>62</v>
      </c>
      <c r="AI1213">
        <v>62</v>
      </c>
      <c r="AJ1213">
        <v>0</v>
      </c>
      <c r="AK1213">
        <v>1</v>
      </c>
      <c r="AL1213">
        <v>1</v>
      </c>
      <c r="AM1213">
        <v>100</v>
      </c>
      <c r="AN1213">
        <v>215.49629999999999</v>
      </c>
      <c r="AO1213">
        <v>0</v>
      </c>
      <c r="AP1213" s="13">
        <v>45233</v>
      </c>
      <c r="AQ1213">
        <v>-2</v>
      </c>
      <c r="AR1213">
        <v>1</v>
      </c>
    </row>
    <row r="1214" spans="1:44" x14ac:dyDescent="0.35">
      <c r="A1214" s="12" t="s">
        <v>1893</v>
      </c>
      <c r="B1214" s="12" t="s">
        <v>317</v>
      </c>
      <c r="C1214" s="12" t="s">
        <v>318</v>
      </c>
      <c r="D1214" s="12" t="s">
        <v>64</v>
      </c>
      <c r="E1214" s="12" t="s">
        <v>104</v>
      </c>
      <c r="F1214">
        <v>2</v>
      </c>
      <c r="G1214">
        <v>0</v>
      </c>
      <c r="H1214">
        <v>0</v>
      </c>
      <c r="I1214" s="12" t="s">
        <v>169</v>
      </c>
      <c r="J1214" s="12" t="s">
        <v>170</v>
      </c>
      <c r="K1214" s="12" t="s">
        <v>89</v>
      </c>
      <c r="L1214" s="12" t="s">
        <v>134</v>
      </c>
      <c r="M1214">
        <v>1.37</v>
      </c>
      <c r="N1214" s="12" t="s">
        <v>70</v>
      </c>
      <c r="O1214" s="12" t="s">
        <v>71</v>
      </c>
      <c r="P1214" s="12" t="s">
        <v>72</v>
      </c>
      <c r="Q1214" s="13">
        <v>45195</v>
      </c>
      <c r="R1214" s="13">
        <v>45207</v>
      </c>
      <c r="S1214">
        <v>2023</v>
      </c>
      <c r="T1214" s="12" t="s">
        <v>1753</v>
      </c>
      <c r="U1214">
        <v>111</v>
      </c>
      <c r="V1214">
        <v>15.848100000000001</v>
      </c>
      <c r="W1214">
        <v>33.69</v>
      </c>
      <c r="X1214">
        <v>0</v>
      </c>
      <c r="Y1214">
        <v>0</v>
      </c>
      <c r="Z1214">
        <v>1759.14</v>
      </c>
      <c r="AA1214">
        <v>1792.83</v>
      </c>
      <c r="AB1214" s="12" t="s">
        <v>319</v>
      </c>
      <c r="AC1214">
        <v>15.848100000000001</v>
      </c>
      <c r="AD1214">
        <v>1</v>
      </c>
      <c r="AE1214">
        <v>1</v>
      </c>
      <c r="AF1214">
        <v>0</v>
      </c>
      <c r="AG1214">
        <v>1759.14</v>
      </c>
      <c r="AH1214">
        <v>111</v>
      </c>
      <c r="AI1214">
        <v>109</v>
      </c>
      <c r="AJ1214">
        <v>2</v>
      </c>
      <c r="AK1214">
        <v>1</v>
      </c>
      <c r="AL1214">
        <v>1</v>
      </c>
      <c r="AM1214">
        <v>98.2</v>
      </c>
      <c r="AN1214">
        <v>16.448</v>
      </c>
      <c r="AO1214">
        <v>31.7</v>
      </c>
      <c r="AP1214" s="13">
        <v>45207</v>
      </c>
      <c r="AQ1214">
        <v>0</v>
      </c>
      <c r="AR1214">
        <v>1</v>
      </c>
    </row>
    <row r="1215" spans="1:44" x14ac:dyDescent="0.35">
      <c r="A1215" s="12" t="s">
        <v>1894</v>
      </c>
      <c r="B1215" s="12" t="s">
        <v>1054</v>
      </c>
      <c r="C1215" s="12" t="s">
        <v>1055</v>
      </c>
      <c r="D1215" s="12" t="s">
        <v>122</v>
      </c>
      <c r="E1215" s="12" t="s">
        <v>65</v>
      </c>
      <c r="F1215">
        <v>1</v>
      </c>
      <c r="G1215">
        <v>2</v>
      </c>
      <c r="H1215">
        <v>1</v>
      </c>
      <c r="I1215" s="12" t="s">
        <v>176</v>
      </c>
      <c r="J1215" s="12" t="s">
        <v>177</v>
      </c>
      <c r="K1215" s="12" t="s">
        <v>125</v>
      </c>
      <c r="L1215" s="12" t="s">
        <v>134</v>
      </c>
      <c r="M1215">
        <v>1.75</v>
      </c>
      <c r="N1215" s="12" t="s">
        <v>70</v>
      </c>
      <c r="O1215" s="12" t="s">
        <v>71</v>
      </c>
      <c r="P1215" s="12" t="s">
        <v>72</v>
      </c>
      <c r="Q1215" s="13">
        <v>45195</v>
      </c>
      <c r="R1215" s="13">
        <v>45228</v>
      </c>
      <c r="S1215">
        <v>2023</v>
      </c>
      <c r="T1215" s="12" t="s">
        <v>1753</v>
      </c>
      <c r="U1215">
        <v>1482</v>
      </c>
      <c r="V1215">
        <v>46.916699999999999</v>
      </c>
      <c r="W1215">
        <v>1003.96</v>
      </c>
      <c r="X1215">
        <v>0</v>
      </c>
      <c r="Y1215">
        <v>0</v>
      </c>
      <c r="Z1215">
        <v>69530.55</v>
      </c>
      <c r="AA1215">
        <v>70534.509999999995</v>
      </c>
      <c r="AB1215" s="12" t="s">
        <v>1056</v>
      </c>
      <c r="AC1215">
        <v>46.916699999999999</v>
      </c>
      <c r="AD1215">
        <v>1</v>
      </c>
      <c r="AE1215">
        <v>1</v>
      </c>
      <c r="AF1215">
        <v>0</v>
      </c>
      <c r="AG1215">
        <v>69530.55</v>
      </c>
      <c r="AH1215">
        <v>1482</v>
      </c>
      <c r="AI1215">
        <v>1471</v>
      </c>
      <c r="AJ1215">
        <v>11</v>
      </c>
      <c r="AK1215">
        <v>1</v>
      </c>
      <c r="AL1215">
        <v>1</v>
      </c>
      <c r="AM1215">
        <v>99.26</v>
      </c>
      <c r="AN1215">
        <v>47.95</v>
      </c>
      <c r="AO1215">
        <v>516.08000000000004</v>
      </c>
      <c r="AP1215" s="13">
        <v>45225</v>
      </c>
      <c r="AQ1215">
        <v>-3</v>
      </c>
      <c r="AR1215">
        <v>1</v>
      </c>
    </row>
    <row r="1216" spans="1:44" x14ac:dyDescent="0.35">
      <c r="A1216" s="12" t="s">
        <v>1895</v>
      </c>
      <c r="B1216" s="12" t="s">
        <v>1054</v>
      </c>
      <c r="C1216" s="12" t="s">
        <v>1055</v>
      </c>
      <c r="D1216" s="12" t="s">
        <v>122</v>
      </c>
      <c r="E1216" s="12" t="s">
        <v>65</v>
      </c>
      <c r="F1216">
        <v>1</v>
      </c>
      <c r="G1216">
        <v>2</v>
      </c>
      <c r="H1216">
        <v>1</v>
      </c>
      <c r="I1216" s="12" t="s">
        <v>176</v>
      </c>
      <c r="J1216" s="12" t="s">
        <v>177</v>
      </c>
      <c r="K1216" s="12" t="s">
        <v>125</v>
      </c>
      <c r="L1216" s="12" t="s">
        <v>134</v>
      </c>
      <c r="M1216">
        <v>1.75</v>
      </c>
      <c r="N1216" s="12" t="s">
        <v>70</v>
      </c>
      <c r="O1216" s="12" t="s">
        <v>71</v>
      </c>
      <c r="P1216" s="12" t="s">
        <v>72</v>
      </c>
      <c r="Q1216" s="13">
        <v>45195</v>
      </c>
      <c r="R1216" s="13">
        <v>45219</v>
      </c>
      <c r="S1216">
        <v>2023</v>
      </c>
      <c r="T1216" s="12" t="s">
        <v>1753</v>
      </c>
      <c r="U1216">
        <v>530</v>
      </c>
      <c r="V1216">
        <v>48.298200000000001</v>
      </c>
      <c r="W1216">
        <v>659.27</v>
      </c>
      <c r="X1216">
        <v>0</v>
      </c>
      <c r="Y1216">
        <v>0</v>
      </c>
      <c r="Z1216">
        <v>25598.05</v>
      </c>
      <c r="AA1216">
        <v>26257.32</v>
      </c>
      <c r="AB1216" s="12" t="s">
        <v>1056</v>
      </c>
      <c r="AC1216">
        <v>46.916699999999999</v>
      </c>
      <c r="AD1216">
        <v>1</v>
      </c>
      <c r="AE1216">
        <v>1</v>
      </c>
      <c r="AF1216">
        <v>732.2</v>
      </c>
      <c r="AG1216">
        <v>24865.85</v>
      </c>
      <c r="AH1216">
        <v>530</v>
      </c>
      <c r="AI1216">
        <v>529</v>
      </c>
      <c r="AJ1216">
        <v>1</v>
      </c>
      <c r="AK1216">
        <v>1</v>
      </c>
      <c r="AL1216">
        <v>1</v>
      </c>
      <c r="AM1216">
        <v>99.81</v>
      </c>
      <c r="AN1216">
        <v>49.635800000000003</v>
      </c>
      <c r="AO1216">
        <v>48.3</v>
      </c>
      <c r="AP1216" s="13">
        <v>45219</v>
      </c>
      <c r="AQ1216">
        <v>0</v>
      </c>
      <c r="AR1216">
        <v>1</v>
      </c>
    </row>
    <row r="1217" spans="1:44" x14ac:dyDescent="0.35">
      <c r="A1217" s="12" t="s">
        <v>1896</v>
      </c>
      <c r="B1217" s="12" t="s">
        <v>503</v>
      </c>
      <c r="C1217" s="12" t="s">
        <v>504</v>
      </c>
      <c r="D1217" s="12" t="s">
        <v>103</v>
      </c>
      <c r="E1217" s="12" t="s">
        <v>104</v>
      </c>
      <c r="F1217">
        <v>3</v>
      </c>
      <c r="G1217">
        <v>1</v>
      </c>
      <c r="H1217">
        <v>0</v>
      </c>
      <c r="I1217" s="12" t="s">
        <v>209</v>
      </c>
      <c r="J1217" s="12" t="s">
        <v>210</v>
      </c>
      <c r="K1217" s="12" t="s">
        <v>133</v>
      </c>
      <c r="L1217" s="12" t="s">
        <v>96</v>
      </c>
      <c r="M1217">
        <v>7.82</v>
      </c>
      <c r="N1217" s="12" t="s">
        <v>107</v>
      </c>
      <c r="O1217" s="12" t="s">
        <v>108</v>
      </c>
      <c r="P1217" s="12" t="s">
        <v>109</v>
      </c>
      <c r="Q1217" s="13">
        <v>45195</v>
      </c>
      <c r="R1217" s="13">
        <v>45218</v>
      </c>
      <c r="S1217">
        <v>2023</v>
      </c>
      <c r="T1217" s="12" t="s">
        <v>1753</v>
      </c>
      <c r="U1217">
        <v>101</v>
      </c>
      <c r="V1217">
        <v>158.00909999999999</v>
      </c>
      <c r="W1217">
        <v>356.83</v>
      </c>
      <c r="X1217">
        <v>0</v>
      </c>
      <c r="Y1217">
        <v>0</v>
      </c>
      <c r="Z1217">
        <v>15958.92</v>
      </c>
      <c r="AA1217">
        <v>16315.75</v>
      </c>
      <c r="AB1217" s="12" t="s">
        <v>505</v>
      </c>
      <c r="AC1217">
        <v>158.00909999999999</v>
      </c>
      <c r="AD1217">
        <v>1</v>
      </c>
      <c r="AE1217">
        <v>1</v>
      </c>
      <c r="AF1217">
        <v>0</v>
      </c>
      <c r="AG1217">
        <v>15958.92</v>
      </c>
      <c r="AH1217">
        <v>101</v>
      </c>
      <c r="AI1217">
        <v>100</v>
      </c>
      <c r="AJ1217">
        <v>1</v>
      </c>
      <c r="AK1217">
        <v>1</v>
      </c>
      <c r="AL1217">
        <v>1</v>
      </c>
      <c r="AM1217">
        <v>99.01</v>
      </c>
      <c r="AN1217">
        <v>163.1575</v>
      </c>
      <c r="AO1217">
        <v>158.01</v>
      </c>
      <c r="AP1217" s="13">
        <v>45216</v>
      </c>
      <c r="AQ1217">
        <v>-2</v>
      </c>
      <c r="AR1217">
        <v>1</v>
      </c>
    </row>
    <row r="1218" spans="1:44" x14ac:dyDescent="0.35">
      <c r="A1218" s="12" t="s">
        <v>1897</v>
      </c>
      <c r="B1218" s="12" t="s">
        <v>76</v>
      </c>
      <c r="C1218" s="12" t="s">
        <v>77</v>
      </c>
      <c r="D1218" s="12" t="s">
        <v>78</v>
      </c>
      <c r="E1218" s="12" t="s">
        <v>65</v>
      </c>
      <c r="F1218">
        <v>2</v>
      </c>
      <c r="G1218">
        <v>4</v>
      </c>
      <c r="H1218">
        <v>0</v>
      </c>
      <c r="I1218" s="12" t="s">
        <v>151</v>
      </c>
      <c r="J1218" s="12" t="s">
        <v>152</v>
      </c>
      <c r="K1218" s="12" t="s">
        <v>125</v>
      </c>
      <c r="L1218" s="12" t="s">
        <v>69</v>
      </c>
      <c r="M1218">
        <v>36.479999999999997</v>
      </c>
      <c r="N1218" s="12" t="s">
        <v>97</v>
      </c>
      <c r="O1218" s="12" t="s">
        <v>98</v>
      </c>
      <c r="P1218" s="12" t="s">
        <v>72</v>
      </c>
      <c r="Q1218" s="13">
        <v>45195</v>
      </c>
      <c r="R1218" s="13">
        <v>45218</v>
      </c>
      <c r="S1218">
        <v>2023</v>
      </c>
      <c r="T1218" s="12" t="s">
        <v>1753</v>
      </c>
      <c r="U1218">
        <v>77</v>
      </c>
      <c r="V1218">
        <v>45.991</v>
      </c>
      <c r="W1218">
        <v>92</v>
      </c>
      <c r="X1218">
        <v>0</v>
      </c>
      <c r="Y1218">
        <v>0</v>
      </c>
      <c r="Z1218">
        <v>3541.31</v>
      </c>
      <c r="AA1218">
        <v>3633.31</v>
      </c>
      <c r="AB1218" s="12" t="s">
        <v>1267</v>
      </c>
      <c r="AC1218">
        <v>45.991</v>
      </c>
      <c r="AD1218">
        <v>1</v>
      </c>
      <c r="AE1218">
        <v>1</v>
      </c>
      <c r="AF1218">
        <v>0</v>
      </c>
      <c r="AG1218">
        <v>3541.31</v>
      </c>
      <c r="AH1218">
        <v>77</v>
      </c>
      <c r="AI1218">
        <v>76</v>
      </c>
      <c r="AJ1218">
        <v>1</v>
      </c>
      <c r="AK1218">
        <v>1</v>
      </c>
      <c r="AL1218">
        <v>1</v>
      </c>
      <c r="AM1218">
        <v>98.7</v>
      </c>
      <c r="AN1218">
        <v>47.806699999999999</v>
      </c>
      <c r="AO1218">
        <v>45.99</v>
      </c>
      <c r="AP1218" s="13">
        <v>45218</v>
      </c>
      <c r="AQ1218">
        <v>0</v>
      </c>
      <c r="AR1218">
        <v>1</v>
      </c>
    </row>
    <row r="1219" spans="1:44" x14ac:dyDescent="0.35">
      <c r="A1219" s="12" t="s">
        <v>1898</v>
      </c>
      <c r="B1219" s="12" t="s">
        <v>442</v>
      </c>
      <c r="C1219" s="12" t="s">
        <v>443</v>
      </c>
      <c r="D1219" s="12" t="s">
        <v>130</v>
      </c>
      <c r="E1219" s="12" t="s">
        <v>65</v>
      </c>
      <c r="F1219">
        <v>3</v>
      </c>
      <c r="G1219">
        <v>4</v>
      </c>
      <c r="H1219">
        <v>0</v>
      </c>
      <c r="I1219" s="12" t="s">
        <v>233</v>
      </c>
      <c r="J1219" s="12" t="s">
        <v>234</v>
      </c>
      <c r="K1219" s="12" t="s">
        <v>125</v>
      </c>
      <c r="L1219" s="12" t="s">
        <v>96</v>
      </c>
      <c r="M1219">
        <v>3.73</v>
      </c>
      <c r="N1219" s="12" t="s">
        <v>159</v>
      </c>
      <c r="O1219" s="12" t="s">
        <v>160</v>
      </c>
      <c r="P1219" s="12" t="s">
        <v>137</v>
      </c>
      <c r="Q1219" s="13">
        <v>45195</v>
      </c>
      <c r="R1219" s="13">
        <v>45229</v>
      </c>
      <c r="S1219">
        <v>2023</v>
      </c>
      <c r="T1219" s="12" t="s">
        <v>1753</v>
      </c>
      <c r="U1219">
        <v>116</v>
      </c>
      <c r="V1219">
        <v>629.78959999999995</v>
      </c>
      <c r="W1219">
        <v>483.73</v>
      </c>
      <c r="X1219">
        <v>0</v>
      </c>
      <c r="Y1219">
        <v>0</v>
      </c>
      <c r="Z1219">
        <v>73055.59</v>
      </c>
      <c r="AA1219">
        <v>73539.320000000007</v>
      </c>
      <c r="AB1219" s="12" t="s">
        <v>201</v>
      </c>
      <c r="AD1219">
        <v>0</v>
      </c>
      <c r="AE1219">
        <v>0</v>
      </c>
      <c r="AH1219">
        <v>116</v>
      </c>
      <c r="AI1219">
        <v>116</v>
      </c>
      <c r="AJ1219">
        <v>0</v>
      </c>
      <c r="AK1219">
        <v>1</v>
      </c>
      <c r="AL1219">
        <v>1</v>
      </c>
      <c r="AM1219">
        <v>100</v>
      </c>
      <c r="AN1219">
        <v>633.9597</v>
      </c>
      <c r="AO1219">
        <v>0</v>
      </c>
      <c r="AP1219" s="13">
        <v>45227</v>
      </c>
      <c r="AQ1219">
        <v>-2</v>
      </c>
      <c r="AR1219">
        <v>1</v>
      </c>
    </row>
    <row r="1220" spans="1:44" x14ac:dyDescent="0.35">
      <c r="A1220" s="12" t="s">
        <v>1899</v>
      </c>
      <c r="B1220" s="12" t="s">
        <v>755</v>
      </c>
      <c r="C1220" s="12" t="s">
        <v>756</v>
      </c>
      <c r="D1220" s="12" t="s">
        <v>78</v>
      </c>
      <c r="E1220" s="12" t="s">
        <v>65</v>
      </c>
      <c r="F1220">
        <v>2</v>
      </c>
      <c r="G1220">
        <v>2</v>
      </c>
      <c r="H1220">
        <v>0</v>
      </c>
      <c r="I1220" s="12" t="s">
        <v>359</v>
      </c>
      <c r="J1220" s="12" t="s">
        <v>360</v>
      </c>
      <c r="K1220" s="12" t="s">
        <v>133</v>
      </c>
      <c r="L1220" s="12" t="s">
        <v>82</v>
      </c>
      <c r="M1220">
        <v>12.65</v>
      </c>
      <c r="N1220" s="12" t="s">
        <v>70</v>
      </c>
      <c r="O1220" s="12" t="s">
        <v>71</v>
      </c>
      <c r="P1220" s="12" t="s">
        <v>72</v>
      </c>
      <c r="Q1220" s="13">
        <v>45195</v>
      </c>
      <c r="R1220" s="13">
        <v>45230</v>
      </c>
      <c r="S1220">
        <v>2023</v>
      </c>
      <c r="T1220" s="12" t="s">
        <v>1753</v>
      </c>
      <c r="U1220">
        <v>244</v>
      </c>
      <c r="V1220">
        <v>45.472499999999997</v>
      </c>
      <c r="W1220">
        <v>257.38</v>
      </c>
      <c r="X1220">
        <v>0</v>
      </c>
      <c r="Y1220">
        <v>0</v>
      </c>
      <c r="Z1220">
        <v>11095.29</v>
      </c>
      <c r="AA1220">
        <v>11352.67</v>
      </c>
      <c r="AB1220" s="12" t="s">
        <v>759</v>
      </c>
      <c r="AC1220">
        <v>45.472499999999997</v>
      </c>
      <c r="AD1220">
        <v>1</v>
      </c>
      <c r="AE1220">
        <v>1</v>
      </c>
      <c r="AF1220">
        <v>0</v>
      </c>
      <c r="AG1220">
        <v>11095.29</v>
      </c>
      <c r="AH1220">
        <v>244</v>
      </c>
      <c r="AI1220">
        <v>239</v>
      </c>
      <c r="AJ1220">
        <v>5</v>
      </c>
      <c r="AK1220">
        <v>1</v>
      </c>
      <c r="AL1220">
        <v>1</v>
      </c>
      <c r="AM1220">
        <v>97.95</v>
      </c>
      <c r="AN1220">
        <v>47.500700000000002</v>
      </c>
      <c r="AO1220">
        <v>227.36</v>
      </c>
      <c r="AP1220" s="13">
        <v>45228</v>
      </c>
      <c r="AQ1220">
        <v>-2</v>
      </c>
      <c r="AR1220">
        <v>1</v>
      </c>
    </row>
    <row r="1221" spans="1:44" x14ac:dyDescent="0.35">
      <c r="A1221" s="12" t="s">
        <v>1900</v>
      </c>
      <c r="B1221" s="12" t="s">
        <v>378</v>
      </c>
      <c r="C1221" s="12" t="s">
        <v>379</v>
      </c>
      <c r="D1221" s="12" t="s">
        <v>64</v>
      </c>
      <c r="E1221" s="12" t="s">
        <v>104</v>
      </c>
      <c r="F1221">
        <v>3</v>
      </c>
      <c r="G1221">
        <v>1</v>
      </c>
      <c r="H1221">
        <v>0</v>
      </c>
      <c r="I1221" s="12" t="s">
        <v>380</v>
      </c>
      <c r="J1221" s="12" t="s">
        <v>381</v>
      </c>
      <c r="K1221" s="12" t="s">
        <v>89</v>
      </c>
      <c r="L1221" s="12" t="s">
        <v>96</v>
      </c>
      <c r="M1221">
        <v>10.210000000000001</v>
      </c>
      <c r="N1221" s="12" t="s">
        <v>70</v>
      </c>
      <c r="O1221" s="12" t="s">
        <v>71</v>
      </c>
      <c r="P1221" s="12" t="s">
        <v>72</v>
      </c>
      <c r="Q1221" s="13">
        <v>45195</v>
      </c>
      <c r="R1221" s="13">
        <v>45222</v>
      </c>
      <c r="S1221">
        <v>2023</v>
      </c>
      <c r="T1221" s="12" t="s">
        <v>1753</v>
      </c>
      <c r="U1221">
        <v>897</v>
      </c>
      <c r="V1221">
        <v>16.160900000000002</v>
      </c>
      <c r="W1221">
        <v>322.64999999999998</v>
      </c>
      <c r="X1221">
        <v>0</v>
      </c>
      <c r="Y1221">
        <v>0</v>
      </c>
      <c r="Z1221">
        <v>14496.33</v>
      </c>
      <c r="AA1221">
        <v>14818.98</v>
      </c>
      <c r="AB1221" s="12" t="s">
        <v>382</v>
      </c>
      <c r="AC1221">
        <v>16.160900000000002</v>
      </c>
      <c r="AD1221">
        <v>1</v>
      </c>
      <c r="AE1221">
        <v>1</v>
      </c>
      <c r="AF1221">
        <v>0</v>
      </c>
      <c r="AG1221">
        <v>14496.33</v>
      </c>
      <c r="AH1221">
        <v>897</v>
      </c>
      <c r="AI1221">
        <v>886</v>
      </c>
      <c r="AJ1221">
        <v>11</v>
      </c>
      <c r="AK1221">
        <v>1</v>
      </c>
      <c r="AL1221">
        <v>1</v>
      </c>
      <c r="AM1221">
        <v>98.77</v>
      </c>
      <c r="AN1221">
        <v>16.7257</v>
      </c>
      <c r="AO1221">
        <v>177.77</v>
      </c>
      <c r="AP1221" s="13">
        <v>45219</v>
      </c>
      <c r="AQ1221">
        <v>-3</v>
      </c>
      <c r="AR1221">
        <v>1</v>
      </c>
    </row>
    <row r="1222" spans="1:44" x14ac:dyDescent="0.35">
      <c r="A1222" s="12" t="s">
        <v>1901</v>
      </c>
      <c r="B1222" s="12" t="s">
        <v>362</v>
      </c>
      <c r="C1222" s="12" t="s">
        <v>363</v>
      </c>
      <c r="D1222" s="12" t="s">
        <v>78</v>
      </c>
      <c r="E1222" s="12" t="s">
        <v>104</v>
      </c>
      <c r="F1222">
        <v>3</v>
      </c>
      <c r="G1222">
        <v>0</v>
      </c>
      <c r="H1222">
        <v>0</v>
      </c>
      <c r="I1222" s="12" t="s">
        <v>335</v>
      </c>
      <c r="J1222" s="12" t="s">
        <v>336</v>
      </c>
      <c r="K1222" s="12" t="s">
        <v>89</v>
      </c>
      <c r="L1222" s="12" t="s">
        <v>82</v>
      </c>
      <c r="M1222">
        <v>16</v>
      </c>
      <c r="N1222" s="12" t="s">
        <v>97</v>
      </c>
      <c r="O1222" s="12" t="s">
        <v>98</v>
      </c>
      <c r="P1222" s="12" t="s">
        <v>72</v>
      </c>
      <c r="Q1222" s="13">
        <v>45195</v>
      </c>
      <c r="R1222" s="13">
        <v>45219</v>
      </c>
      <c r="S1222">
        <v>2023</v>
      </c>
      <c r="T1222" s="12" t="s">
        <v>1753</v>
      </c>
      <c r="U1222">
        <v>219</v>
      </c>
      <c r="V1222">
        <v>69.655799999999999</v>
      </c>
      <c r="W1222">
        <v>333.77</v>
      </c>
      <c r="X1222">
        <v>0</v>
      </c>
      <c r="Y1222">
        <v>0</v>
      </c>
      <c r="Z1222">
        <v>15254.62</v>
      </c>
      <c r="AA1222">
        <v>15588.39</v>
      </c>
      <c r="AB1222" s="12" t="s">
        <v>201</v>
      </c>
      <c r="AD1222">
        <v>0</v>
      </c>
      <c r="AE1222">
        <v>0</v>
      </c>
      <c r="AH1222">
        <v>219</v>
      </c>
      <c r="AI1222">
        <v>217</v>
      </c>
      <c r="AJ1222">
        <v>2</v>
      </c>
      <c r="AK1222">
        <v>1</v>
      </c>
      <c r="AL1222">
        <v>1</v>
      </c>
      <c r="AM1222">
        <v>99.09</v>
      </c>
      <c r="AN1222">
        <v>71.835899999999995</v>
      </c>
      <c r="AO1222">
        <v>139.31</v>
      </c>
      <c r="AP1222" s="13">
        <v>45216</v>
      </c>
      <c r="AQ1222">
        <v>-3</v>
      </c>
      <c r="AR1222">
        <v>1</v>
      </c>
    </row>
    <row r="1223" spans="1:44" x14ac:dyDescent="0.35">
      <c r="A1223" s="12" t="s">
        <v>1902</v>
      </c>
      <c r="B1223" s="12" t="s">
        <v>957</v>
      </c>
      <c r="C1223" s="12" t="s">
        <v>958</v>
      </c>
      <c r="D1223" s="12" t="s">
        <v>103</v>
      </c>
      <c r="E1223" s="12" t="s">
        <v>142</v>
      </c>
      <c r="F1223">
        <v>1</v>
      </c>
      <c r="G1223">
        <v>7</v>
      </c>
      <c r="H1223">
        <v>1</v>
      </c>
      <c r="I1223" s="12" t="s">
        <v>183</v>
      </c>
      <c r="J1223" s="12" t="s">
        <v>184</v>
      </c>
      <c r="K1223" s="12" t="s">
        <v>133</v>
      </c>
      <c r="L1223" s="12" t="s">
        <v>82</v>
      </c>
      <c r="M1223">
        <v>8.6199999999999992</v>
      </c>
      <c r="N1223" s="12" t="s">
        <v>107</v>
      </c>
      <c r="O1223" s="12" t="s">
        <v>108</v>
      </c>
      <c r="P1223" s="12" t="s">
        <v>109</v>
      </c>
      <c r="Q1223" s="13">
        <v>45195</v>
      </c>
      <c r="R1223" s="13">
        <v>45243</v>
      </c>
      <c r="S1223">
        <v>2023</v>
      </c>
      <c r="T1223" s="12" t="s">
        <v>1753</v>
      </c>
      <c r="U1223">
        <v>115</v>
      </c>
      <c r="V1223">
        <v>199.1737</v>
      </c>
      <c r="W1223">
        <v>207.54</v>
      </c>
      <c r="X1223">
        <v>0</v>
      </c>
      <c r="Y1223">
        <v>0</v>
      </c>
      <c r="Z1223">
        <v>22904.98</v>
      </c>
      <c r="AA1223">
        <v>23112.52</v>
      </c>
      <c r="AB1223" s="12" t="s">
        <v>959</v>
      </c>
      <c r="AC1223">
        <v>199.1737</v>
      </c>
      <c r="AD1223">
        <v>1</v>
      </c>
      <c r="AE1223">
        <v>1</v>
      </c>
      <c r="AF1223">
        <v>0</v>
      </c>
      <c r="AG1223">
        <v>22904.98</v>
      </c>
      <c r="AH1223">
        <v>115</v>
      </c>
      <c r="AI1223">
        <v>113</v>
      </c>
      <c r="AJ1223">
        <v>2</v>
      </c>
      <c r="AK1223">
        <v>1</v>
      </c>
      <c r="AL1223">
        <v>1</v>
      </c>
      <c r="AM1223">
        <v>98.26</v>
      </c>
      <c r="AN1223">
        <v>204.53550000000001</v>
      </c>
      <c r="AO1223">
        <v>398.35</v>
      </c>
      <c r="AP1223" s="13">
        <v>45243</v>
      </c>
      <c r="AQ1223">
        <v>0</v>
      </c>
      <c r="AR1223">
        <v>1</v>
      </c>
    </row>
    <row r="1224" spans="1:44" x14ac:dyDescent="0.35">
      <c r="A1224" s="12" t="s">
        <v>1903</v>
      </c>
      <c r="B1224" s="12" t="s">
        <v>289</v>
      </c>
      <c r="C1224" s="12" t="s">
        <v>290</v>
      </c>
      <c r="D1224" s="12" t="s">
        <v>175</v>
      </c>
      <c r="E1224" s="12" t="s">
        <v>104</v>
      </c>
      <c r="F1224">
        <v>3</v>
      </c>
      <c r="G1224">
        <v>1</v>
      </c>
      <c r="H1224">
        <v>0</v>
      </c>
      <c r="I1224" s="12" t="s">
        <v>157</v>
      </c>
      <c r="J1224" s="12" t="s">
        <v>158</v>
      </c>
      <c r="K1224" s="12" t="s">
        <v>117</v>
      </c>
      <c r="L1224" s="12" t="s">
        <v>96</v>
      </c>
      <c r="M1224">
        <v>4.72</v>
      </c>
      <c r="N1224" s="12" t="s">
        <v>145</v>
      </c>
      <c r="O1224" s="12" t="s">
        <v>146</v>
      </c>
      <c r="P1224" s="12" t="s">
        <v>109</v>
      </c>
      <c r="Q1224" s="13">
        <v>45195</v>
      </c>
      <c r="R1224" s="13">
        <v>45209</v>
      </c>
      <c r="S1224">
        <v>2023</v>
      </c>
      <c r="T1224" s="12" t="s">
        <v>1753</v>
      </c>
      <c r="U1224">
        <v>27</v>
      </c>
      <c r="V1224">
        <v>194.9136</v>
      </c>
      <c r="W1224">
        <v>81.239999999999995</v>
      </c>
      <c r="X1224">
        <v>0</v>
      </c>
      <c r="Y1224">
        <v>0</v>
      </c>
      <c r="Z1224">
        <v>5262.67</v>
      </c>
      <c r="AA1224">
        <v>5343.91</v>
      </c>
      <c r="AB1224" s="12" t="s">
        <v>291</v>
      </c>
      <c r="AC1224">
        <v>194.9136</v>
      </c>
      <c r="AD1224">
        <v>1</v>
      </c>
      <c r="AE1224">
        <v>1</v>
      </c>
      <c r="AF1224">
        <v>0</v>
      </c>
      <c r="AG1224">
        <v>5262.67</v>
      </c>
      <c r="AH1224">
        <v>27</v>
      </c>
      <c r="AI1224">
        <v>27</v>
      </c>
      <c r="AJ1224">
        <v>0</v>
      </c>
      <c r="AK1224">
        <v>1</v>
      </c>
      <c r="AL1224">
        <v>1</v>
      </c>
      <c r="AM1224">
        <v>100</v>
      </c>
      <c r="AN1224">
        <v>197.92250000000001</v>
      </c>
      <c r="AO1224">
        <v>0</v>
      </c>
      <c r="AP1224" s="13">
        <v>45209</v>
      </c>
      <c r="AQ1224">
        <v>0</v>
      </c>
      <c r="AR1224">
        <v>1</v>
      </c>
    </row>
    <row r="1225" spans="1:44" x14ac:dyDescent="0.35">
      <c r="A1225" s="12" t="s">
        <v>1904</v>
      </c>
      <c r="B1225" s="12" t="s">
        <v>736</v>
      </c>
      <c r="C1225" s="12" t="s">
        <v>737</v>
      </c>
      <c r="D1225" s="12" t="s">
        <v>64</v>
      </c>
      <c r="E1225" s="12" t="s">
        <v>104</v>
      </c>
      <c r="F1225">
        <v>3</v>
      </c>
      <c r="G1225">
        <v>1</v>
      </c>
      <c r="H1225">
        <v>0</v>
      </c>
      <c r="I1225" s="12" t="s">
        <v>94</v>
      </c>
      <c r="J1225" s="12" t="s">
        <v>95</v>
      </c>
      <c r="K1225" s="12" t="s">
        <v>81</v>
      </c>
      <c r="L1225" s="12" t="s">
        <v>96</v>
      </c>
      <c r="M1225">
        <v>4.8099999999999996</v>
      </c>
      <c r="N1225" s="12" t="s">
        <v>70</v>
      </c>
      <c r="O1225" s="12" t="s">
        <v>71</v>
      </c>
      <c r="P1225" s="12" t="s">
        <v>72</v>
      </c>
      <c r="Q1225" s="13">
        <v>45195</v>
      </c>
      <c r="R1225" s="13">
        <v>45211</v>
      </c>
      <c r="S1225">
        <v>2023</v>
      </c>
      <c r="T1225" s="12" t="s">
        <v>1753</v>
      </c>
      <c r="U1225">
        <v>330</v>
      </c>
      <c r="V1225">
        <v>24.696300000000001</v>
      </c>
      <c r="W1225">
        <v>91.17</v>
      </c>
      <c r="X1225">
        <v>0</v>
      </c>
      <c r="Y1225">
        <v>0</v>
      </c>
      <c r="Z1225">
        <v>8149.78</v>
      </c>
      <c r="AA1225">
        <v>8240.9500000000007</v>
      </c>
      <c r="AB1225" s="12" t="s">
        <v>738</v>
      </c>
      <c r="AC1225">
        <v>24.696300000000001</v>
      </c>
      <c r="AD1225">
        <v>1</v>
      </c>
      <c r="AE1225">
        <v>1</v>
      </c>
      <c r="AF1225">
        <v>0</v>
      </c>
      <c r="AG1225">
        <v>8149.78</v>
      </c>
      <c r="AH1225">
        <v>330</v>
      </c>
      <c r="AI1225">
        <v>329</v>
      </c>
      <c r="AJ1225">
        <v>1</v>
      </c>
      <c r="AK1225">
        <v>1</v>
      </c>
      <c r="AL1225">
        <v>1</v>
      </c>
      <c r="AM1225">
        <v>99.7</v>
      </c>
      <c r="AN1225">
        <v>25.048500000000001</v>
      </c>
      <c r="AO1225">
        <v>24.7</v>
      </c>
      <c r="AP1225" s="13">
        <v>45210</v>
      </c>
      <c r="AQ1225">
        <v>-1</v>
      </c>
      <c r="AR1225">
        <v>1</v>
      </c>
    </row>
    <row r="1226" spans="1:44" x14ac:dyDescent="0.35">
      <c r="A1226" s="12" t="s">
        <v>1905</v>
      </c>
      <c r="B1226" s="12" t="s">
        <v>902</v>
      </c>
      <c r="C1226" s="12" t="s">
        <v>903</v>
      </c>
      <c r="D1226" s="12" t="s">
        <v>122</v>
      </c>
      <c r="E1226" s="12" t="s">
        <v>142</v>
      </c>
      <c r="F1226">
        <v>1</v>
      </c>
      <c r="G1226">
        <v>6</v>
      </c>
      <c r="H1226">
        <v>1</v>
      </c>
      <c r="I1226" s="12" t="s">
        <v>105</v>
      </c>
      <c r="J1226" s="12" t="s">
        <v>106</v>
      </c>
      <c r="K1226" s="12" t="s">
        <v>81</v>
      </c>
      <c r="L1226" s="12" t="s">
        <v>96</v>
      </c>
      <c r="M1226">
        <v>5.01</v>
      </c>
      <c r="N1226" s="12" t="s">
        <v>70</v>
      </c>
      <c r="O1226" s="12" t="s">
        <v>71</v>
      </c>
      <c r="P1226" s="12" t="s">
        <v>72</v>
      </c>
      <c r="Q1226" s="13">
        <v>45195</v>
      </c>
      <c r="R1226" s="13">
        <v>45245</v>
      </c>
      <c r="S1226">
        <v>2023</v>
      </c>
      <c r="T1226" s="12" t="s">
        <v>1753</v>
      </c>
      <c r="U1226">
        <v>1706</v>
      </c>
      <c r="V1226">
        <v>41.861199999999997</v>
      </c>
      <c r="W1226">
        <v>1607.81</v>
      </c>
      <c r="X1226">
        <v>0</v>
      </c>
      <c r="Y1226">
        <v>0</v>
      </c>
      <c r="Z1226">
        <v>71415.210000000006</v>
      </c>
      <c r="AA1226">
        <v>73023.02</v>
      </c>
      <c r="AB1226" s="12" t="s">
        <v>904</v>
      </c>
      <c r="AC1226">
        <v>41.861199999999997</v>
      </c>
      <c r="AD1226">
        <v>1</v>
      </c>
      <c r="AE1226">
        <v>1</v>
      </c>
      <c r="AF1226">
        <v>0</v>
      </c>
      <c r="AG1226">
        <v>71415.210000000006</v>
      </c>
      <c r="AH1226">
        <v>1706</v>
      </c>
      <c r="AI1226">
        <v>1699</v>
      </c>
      <c r="AJ1226">
        <v>7</v>
      </c>
      <c r="AK1226">
        <v>1</v>
      </c>
      <c r="AL1226">
        <v>1</v>
      </c>
      <c r="AM1226">
        <v>99.59</v>
      </c>
      <c r="AN1226">
        <v>42.98</v>
      </c>
      <c r="AO1226">
        <v>293.02999999999997</v>
      </c>
      <c r="AP1226" s="13">
        <v>45242</v>
      </c>
      <c r="AQ1226">
        <v>-3</v>
      </c>
      <c r="AR1226">
        <v>1</v>
      </c>
    </row>
    <row r="1227" spans="1:44" x14ac:dyDescent="0.35">
      <c r="A1227" s="12" t="s">
        <v>1906</v>
      </c>
      <c r="B1227" s="12" t="s">
        <v>323</v>
      </c>
      <c r="C1227" s="12" t="s">
        <v>324</v>
      </c>
      <c r="D1227" s="12" t="s">
        <v>64</v>
      </c>
      <c r="E1227" s="12" t="s">
        <v>142</v>
      </c>
      <c r="F1227">
        <v>1</v>
      </c>
      <c r="G1227">
        <v>7</v>
      </c>
      <c r="H1227">
        <v>1</v>
      </c>
      <c r="I1227" s="12" t="s">
        <v>143</v>
      </c>
      <c r="J1227" s="12" t="s">
        <v>144</v>
      </c>
      <c r="K1227" s="12" t="s">
        <v>133</v>
      </c>
      <c r="L1227" s="12" t="s">
        <v>96</v>
      </c>
      <c r="M1227">
        <v>5.43</v>
      </c>
      <c r="N1227" s="12" t="s">
        <v>97</v>
      </c>
      <c r="O1227" s="12" t="s">
        <v>98</v>
      </c>
      <c r="P1227" s="12" t="s">
        <v>72</v>
      </c>
      <c r="Q1227" s="13">
        <v>45195</v>
      </c>
      <c r="R1227" s="13">
        <v>45238</v>
      </c>
      <c r="S1227">
        <v>2023</v>
      </c>
      <c r="T1227" s="12" t="s">
        <v>1753</v>
      </c>
      <c r="U1227">
        <v>516</v>
      </c>
      <c r="V1227">
        <v>39.503399999999999</v>
      </c>
      <c r="W1227">
        <v>215.09</v>
      </c>
      <c r="X1227">
        <v>0</v>
      </c>
      <c r="Y1227">
        <v>0</v>
      </c>
      <c r="Z1227">
        <v>20383.75</v>
      </c>
      <c r="AA1227">
        <v>20598.84</v>
      </c>
      <c r="AB1227" s="12" t="s">
        <v>325</v>
      </c>
      <c r="AC1227">
        <v>39.503399999999999</v>
      </c>
      <c r="AD1227">
        <v>1</v>
      </c>
      <c r="AE1227">
        <v>1</v>
      </c>
      <c r="AF1227">
        <v>0</v>
      </c>
      <c r="AG1227">
        <v>20383.75</v>
      </c>
      <c r="AH1227">
        <v>516</v>
      </c>
      <c r="AI1227">
        <v>512</v>
      </c>
      <c r="AJ1227">
        <v>4</v>
      </c>
      <c r="AK1227">
        <v>1</v>
      </c>
      <c r="AL1227">
        <v>1</v>
      </c>
      <c r="AM1227">
        <v>99.22</v>
      </c>
      <c r="AN1227">
        <v>40.232100000000003</v>
      </c>
      <c r="AO1227">
        <v>158.01</v>
      </c>
      <c r="AP1227" s="13">
        <v>45237</v>
      </c>
      <c r="AQ1227">
        <v>-1</v>
      </c>
      <c r="AR1227">
        <v>1</v>
      </c>
    </row>
    <row r="1228" spans="1:44" x14ac:dyDescent="0.35">
      <c r="A1228" s="12" t="s">
        <v>1907</v>
      </c>
      <c r="B1228" s="12" t="s">
        <v>674</v>
      </c>
      <c r="C1228" s="12" t="s">
        <v>675</v>
      </c>
      <c r="D1228" s="12" t="s">
        <v>269</v>
      </c>
      <c r="E1228" s="12" t="s">
        <v>142</v>
      </c>
      <c r="F1228">
        <v>1</v>
      </c>
      <c r="G1228">
        <v>7</v>
      </c>
      <c r="H1228">
        <v>1</v>
      </c>
      <c r="I1228" s="12" t="s">
        <v>676</v>
      </c>
      <c r="J1228" s="12" t="s">
        <v>677</v>
      </c>
      <c r="K1228" s="12" t="s">
        <v>68</v>
      </c>
      <c r="L1228" s="12" t="s">
        <v>96</v>
      </c>
      <c r="M1228">
        <v>3.57</v>
      </c>
      <c r="N1228" s="12" t="s">
        <v>135</v>
      </c>
      <c r="O1228" s="12" t="s">
        <v>136</v>
      </c>
      <c r="P1228" s="12" t="s">
        <v>137</v>
      </c>
      <c r="Q1228" s="13">
        <v>45196</v>
      </c>
      <c r="R1228" s="13">
        <v>45245</v>
      </c>
      <c r="S1228">
        <v>2023</v>
      </c>
      <c r="T1228" s="12" t="s">
        <v>1753</v>
      </c>
      <c r="U1228">
        <v>125</v>
      </c>
      <c r="V1228">
        <v>355.32960000000003</v>
      </c>
      <c r="W1228">
        <v>762.19</v>
      </c>
      <c r="X1228">
        <v>0</v>
      </c>
      <c r="Y1228">
        <v>0</v>
      </c>
      <c r="Z1228">
        <v>44416.2</v>
      </c>
      <c r="AA1228">
        <v>45178.39</v>
      </c>
      <c r="AB1228" s="12" t="s">
        <v>678</v>
      </c>
      <c r="AC1228">
        <v>355.32960000000003</v>
      </c>
      <c r="AD1228">
        <v>1</v>
      </c>
      <c r="AE1228">
        <v>1</v>
      </c>
      <c r="AF1228">
        <v>0</v>
      </c>
      <c r="AG1228">
        <v>44416.2</v>
      </c>
      <c r="AH1228">
        <v>125</v>
      </c>
      <c r="AI1228">
        <v>125</v>
      </c>
      <c r="AJ1228">
        <v>0</v>
      </c>
      <c r="AK1228">
        <v>1</v>
      </c>
      <c r="AL1228">
        <v>1</v>
      </c>
      <c r="AM1228">
        <v>100</v>
      </c>
      <c r="AN1228">
        <v>361.4271</v>
      </c>
      <c r="AO1228">
        <v>0</v>
      </c>
      <c r="AP1228" s="13">
        <v>45243</v>
      </c>
      <c r="AQ1228">
        <v>-2</v>
      </c>
      <c r="AR1228">
        <v>1</v>
      </c>
    </row>
    <row r="1229" spans="1:44" x14ac:dyDescent="0.35">
      <c r="A1229" s="12" t="s">
        <v>1908</v>
      </c>
      <c r="B1229" s="12" t="s">
        <v>544</v>
      </c>
      <c r="C1229" s="12" t="s">
        <v>545</v>
      </c>
      <c r="D1229" s="12" t="s">
        <v>175</v>
      </c>
      <c r="E1229" s="12" t="s">
        <v>65</v>
      </c>
      <c r="F1229">
        <v>3</v>
      </c>
      <c r="G1229">
        <v>5</v>
      </c>
      <c r="H1229">
        <v>0</v>
      </c>
      <c r="I1229" s="12" t="s">
        <v>66</v>
      </c>
      <c r="J1229" s="12" t="s">
        <v>67</v>
      </c>
      <c r="K1229" s="12" t="s">
        <v>68</v>
      </c>
      <c r="L1229" s="12" t="s">
        <v>69</v>
      </c>
      <c r="M1229">
        <v>17.66</v>
      </c>
      <c r="N1229" s="12" t="s">
        <v>145</v>
      </c>
      <c r="O1229" s="12" t="s">
        <v>146</v>
      </c>
      <c r="P1229" s="12" t="s">
        <v>109</v>
      </c>
      <c r="Q1229" s="13">
        <v>45196</v>
      </c>
      <c r="R1229" s="13">
        <v>45225</v>
      </c>
      <c r="S1229">
        <v>2023</v>
      </c>
      <c r="T1229" s="12" t="s">
        <v>1753</v>
      </c>
      <c r="U1229">
        <v>78</v>
      </c>
      <c r="V1229">
        <v>155.36940000000001</v>
      </c>
      <c r="W1229">
        <v>81.430000000000007</v>
      </c>
      <c r="X1229">
        <v>0</v>
      </c>
      <c r="Y1229">
        <v>0</v>
      </c>
      <c r="Z1229">
        <v>12118.81</v>
      </c>
      <c r="AA1229">
        <v>12200.24</v>
      </c>
      <c r="AB1229" s="12" t="s">
        <v>546</v>
      </c>
      <c r="AC1229">
        <v>155.36940000000001</v>
      </c>
      <c r="AD1229">
        <v>1</v>
      </c>
      <c r="AE1229">
        <v>1</v>
      </c>
      <c r="AF1229">
        <v>0</v>
      </c>
      <c r="AG1229">
        <v>12118.81</v>
      </c>
      <c r="AH1229">
        <v>78</v>
      </c>
      <c r="AI1229">
        <v>77</v>
      </c>
      <c r="AJ1229">
        <v>1</v>
      </c>
      <c r="AK1229">
        <v>1</v>
      </c>
      <c r="AL1229">
        <v>1</v>
      </c>
      <c r="AM1229">
        <v>98.72</v>
      </c>
      <c r="AN1229">
        <v>158.44470000000001</v>
      </c>
      <c r="AO1229">
        <v>155.37</v>
      </c>
      <c r="AP1229" s="13">
        <v>45232</v>
      </c>
      <c r="AQ1229">
        <v>7</v>
      </c>
      <c r="AR1229">
        <v>0</v>
      </c>
    </row>
    <row r="1230" spans="1:44" x14ac:dyDescent="0.35">
      <c r="A1230" s="12" t="s">
        <v>1909</v>
      </c>
      <c r="B1230" s="12" t="s">
        <v>101</v>
      </c>
      <c r="C1230" s="12" t="s">
        <v>102</v>
      </c>
      <c r="D1230" s="12" t="s">
        <v>103</v>
      </c>
      <c r="E1230" s="12" t="s">
        <v>104</v>
      </c>
      <c r="F1230">
        <v>1</v>
      </c>
      <c r="G1230">
        <v>0</v>
      </c>
      <c r="H1230">
        <v>1</v>
      </c>
      <c r="I1230" s="12" t="s">
        <v>105</v>
      </c>
      <c r="J1230" s="12" t="s">
        <v>106</v>
      </c>
      <c r="K1230" s="12" t="s">
        <v>81</v>
      </c>
      <c r="L1230" s="12" t="s">
        <v>96</v>
      </c>
      <c r="M1230">
        <v>5.01</v>
      </c>
      <c r="N1230" s="12" t="s">
        <v>107</v>
      </c>
      <c r="O1230" s="12" t="s">
        <v>108</v>
      </c>
      <c r="P1230" s="12" t="s">
        <v>109</v>
      </c>
      <c r="Q1230" s="13">
        <v>45196</v>
      </c>
      <c r="R1230" s="13">
        <v>45216</v>
      </c>
      <c r="S1230">
        <v>2023</v>
      </c>
      <c r="T1230" s="12" t="s">
        <v>1753</v>
      </c>
      <c r="U1230">
        <v>78</v>
      </c>
      <c r="V1230">
        <v>207.4813</v>
      </c>
      <c r="W1230">
        <v>128.81</v>
      </c>
      <c r="X1230">
        <v>0</v>
      </c>
      <c r="Y1230">
        <v>0</v>
      </c>
      <c r="Z1230">
        <v>16183.54</v>
      </c>
      <c r="AA1230">
        <v>16312.35</v>
      </c>
      <c r="AB1230" s="12" t="s">
        <v>110</v>
      </c>
      <c r="AC1230">
        <v>207.4813</v>
      </c>
      <c r="AD1230">
        <v>1</v>
      </c>
      <c r="AE1230">
        <v>1</v>
      </c>
      <c r="AF1230">
        <v>0</v>
      </c>
      <c r="AG1230">
        <v>16183.54</v>
      </c>
      <c r="AH1230">
        <v>78</v>
      </c>
      <c r="AI1230">
        <v>77</v>
      </c>
      <c r="AJ1230">
        <v>1</v>
      </c>
      <c r="AK1230">
        <v>1</v>
      </c>
      <c r="AL1230">
        <v>1</v>
      </c>
      <c r="AM1230">
        <v>98.72</v>
      </c>
      <c r="AN1230">
        <v>211.84870000000001</v>
      </c>
      <c r="AO1230">
        <v>207.48</v>
      </c>
      <c r="AP1230" s="13">
        <v>45215</v>
      </c>
      <c r="AQ1230">
        <v>-1</v>
      </c>
      <c r="AR1230">
        <v>1</v>
      </c>
    </row>
    <row r="1231" spans="1:44" x14ac:dyDescent="0.35">
      <c r="A1231" s="12" t="s">
        <v>1910</v>
      </c>
      <c r="B1231" s="12" t="s">
        <v>1054</v>
      </c>
      <c r="C1231" s="12" t="s">
        <v>1055</v>
      </c>
      <c r="D1231" s="12" t="s">
        <v>122</v>
      </c>
      <c r="E1231" s="12" t="s">
        <v>65</v>
      </c>
      <c r="F1231">
        <v>1</v>
      </c>
      <c r="G1231">
        <v>2</v>
      </c>
      <c r="H1231">
        <v>1</v>
      </c>
      <c r="I1231" s="12" t="s">
        <v>176</v>
      </c>
      <c r="J1231" s="12" t="s">
        <v>177</v>
      </c>
      <c r="K1231" s="12" t="s">
        <v>125</v>
      </c>
      <c r="L1231" s="12" t="s">
        <v>134</v>
      </c>
      <c r="M1231">
        <v>1.75</v>
      </c>
      <c r="N1231" s="12" t="s">
        <v>97</v>
      </c>
      <c r="O1231" s="12" t="s">
        <v>98</v>
      </c>
      <c r="P1231" s="12" t="s">
        <v>72</v>
      </c>
      <c r="Q1231" s="13">
        <v>45196</v>
      </c>
      <c r="R1231" s="13">
        <v>45217</v>
      </c>
      <c r="S1231">
        <v>2023</v>
      </c>
      <c r="T1231" s="12" t="s">
        <v>1753</v>
      </c>
      <c r="U1231">
        <v>283</v>
      </c>
      <c r="V1231">
        <v>46.916699999999999</v>
      </c>
      <c r="W1231">
        <v>148.36000000000001</v>
      </c>
      <c r="X1231">
        <v>0</v>
      </c>
      <c r="Y1231">
        <v>0</v>
      </c>
      <c r="Z1231">
        <v>13277.43</v>
      </c>
      <c r="AA1231">
        <v>13425.79</v>
      </c>
      <c r="AB1231" s="12" t="s">
        <v>1056</v>
      </c>
      <c r="AC1231">
        <v>46.916699999999999</v>
      </c>
      <c r="AD1231">
        <v>1</v>
      </c>
      <c r="AE1231">
        <v>1</v>
      </c>
      <c r="AF1231">
        <v>0</v>
      </c>
      <c r="AG1231">
        <v>13277.43</v>
      </c>
      <c r="AH1231">
        <v>283</v>
      </c>
      <c r="AI1231">
        <v>281</v>
      </c>
      <c r="AJ1231">
        <v>2</v>
      </c>
      <c r="AK1231">
        <v>1</v>
      </c>
      <c r="AL1231">
        <v>1</v>
      </c>
      <c r="AM1231">
        <v>99.29</v>
      </c>
      <c r="AN1231">
        <v>47.778599999999997</v>
      </c>
      <c r="AO1231">
        <v>93.83</v>
      </c>
      <c r="AP1231" s="13">
        <v>45214</v>
      </c>
      <c r="AQ1231">
        <v>-3</v>
      </c>
      <c r="AR1231">
        <v>1</v>
      </c>
    </row>
    <row r="1232" spans="1:44" x14ac:dyDescent="0.35">
      <c r="A1232" s="12" t="s">
        <v>1911</v>
      </c>
      <c r="B1232" s="12" t="s">
        <v>62</v>
      </c>
      <c r="C1232" s="12" t="s">
        <v>63</v>
      </c>
      <c r="D1232" s="12" t="s">
        <v>64</v>
      </c>
      <c r="E1232" s="12" t="s">
        <v>65</v>
      </c>
      <c r="F1232">
        <v>1</v>
      </c>
      <c r="G1232">
        <v>2</v>
      </c>
      <c r="H1232">
        <v>1</v>
      </c>
      <c r="I1232" s="12" t="s">
        <v>66</v>
      </c>
      <c r="J1232" s="12" t="s">
        <v>67</v>
      </c>
      <c r="K1232" s="12" t="s">
        <v>68</v>
      </c>
      <c r="L1232" s="12" t="s">
        <v>69</v>
      </c>
      <c r="M1232">
        <v>17.66</v>
      </c>
      <c r="N1232" s="12" t="s">
        <v>70</v>
      </c>
      <c r="O1232" s="12" t="s">
        <v>71</v>
      </c>
      <c r="P1232" s="12" t="s">
        <v>72</v>
      </c>
      <c r="Q1232" s="13">
        <v>45196</v>
      </c>
      <c r="R1232" s="13">
        <v>45220</v>
      </c>
      <c r="S1232">
        <v>2023</v>
      </c>
      <c r="T1232" s="12" t="s">
        <v>1753</v>
      </c>
      <c r="U1232">
        <v>277</v>
      </c>
      <c r="V1232">
        <v>24.687000000000001</v>
      </c>
      <c r="W1232">
        <v>117.68</v>
      </c>
      <c r="X1232">
        <v>0</v>
      </c>
      <c r="Y1232">
        <v>0</v>
      </c>
      <c r="Z1232">
        <v>6838.3</v>
      </c>
      <c r="AA1232">
        <v>6955.98</v>
      </c>
      <c r="AB1232" s="12" t="s">
        <v>74</v>
      </c>
      <c r="AC1232">
        <v>24.687000000000001</v>
      </c>
      <c r="AD1232">
        <v>1</v>
      </c>
      <c r="AE1232">
        <v>1</v>
      </c>
      <c r="AF1232">
        <v>0</v>
      </c>
      <c r="AG1232">
        <v>6838.3</v>
      </c>
      <c r="AH1232">
        <v>277</v>
      </c>
      <c r="AI1232">
        <v>276</v>
      </c>
      <c r="AJ1232">
        <v>1</v>
      </c>
      <c r="AK1232">
        <v>1</v>
      </c>
      <c r="AL1232">
        <v>1</v>
      </c>
      <c r="AM1232">
        <v>99.64</v>
      </c>
      <c r="AN1232">
        <v>25.2028</v>
      </c>
      <c r="AO1232">
        <v>24.69</v>
      </c>
      <c r="AP1232" s="13">
        <v>45219</v>
      </c>
      <c r="AQ1232">
        <v>-1</v>
      </c>
      <c r="AR1232">
        <v>1</v>
      </c>
    </row>
    <row r="1233" spans="1:44" x14ac:dyDescent="0.35">
      <c r="A1233" s="12" t="s">
        <v>1912</v>
      </c>
      <c r="B1233" s="12" t="s">
        <v>555</v>
      </c>
      <c r="C1233" s="12" t="s">
        <v>556</v>
      </c>
      <c r="D1233" s="12" t="s">
        <v>114</v>
      </c>
      <c r="E1233" s="12" t="s">
        <v>142</v>
      </c>
      <c r="F1233">
        <v>1</v>
      </c>
      <c r="G1233">
        <v>6</v>
      </c>
      <c r="H1233">
        <v>1</v>
      </c>
      <c r="I1233" s="12" t="s">
        <v>151</v>
      </c>
      <c r="J1233" s="12" t="s">
        <v>152</v>
      </c>
      <c r="K1233" s="12" t="s">
        <v>125</v>
      </c>
      <c r="L1233" s="12" t="s">
        <v>69</v>
      </c>
      <c r="M1233">
        <v>36.479999999999997</v>
      </c>
      <c r="N1233" s="12" t="s">
        <v>97</v>
      </c>
      <c r="O1233" s="12" t="s">
        <v>98</v>
      </c>
      <c r="P1233" s="12" t="s">
        <v>72</v>
      </c>
      <c r="Q1233" s="13">
        <v>45196</v>
      </c>
      <c r="R1233" s="13">
        <v>45234</v>
      </c>
      <c r="S1233">
        <v>2023</v>
      </c>
      <c r="T1233" s="12" t="s">
        <v>1753</v>
      </c>
      <c r="U1233">
        <v>38</v>
      </c>
      <c r="V1233">
        <v>290.42770000000002</v>
      </c>
      <c r="W1233">
        <v>228.79</v>
      </c>
      <c r="X1233">
        <v>0</v>
      </c>
      <c r="Y1233">
        <v>0</v>
      </c>
      <c r="Z1233">
        <v>11036.25</v>
      </c>
      <c r="AA1233">
        <v>11265.04</v>
      </c>
      <c r="AB1233" s="12" t="s">
        <v>557</v>
      </c>
      <c r="AC1233">
        <v>290.42770000000002</v>
      </c>
      <c r="AD1233">
        <v>1</v>
      </c>
      <c r="AE1233">
        <v>1</v>
      </c>
      <c r="AF1233">
        <v>0</v>
      </c>
      <c r="AG1233">
        <v>11036.25</v>
      </c>
      <c r="AH1233">
        <v>38</v>
      </c>
      <c r="AI1233">
        <v>38</v>
      </c>
      <c r="AJ1233">
        <v>0</v>
      </c>
      <c r="AK1233">
        <v>1</v>
      </c>
      <c r="AL1233">
        <v>1</v>
      </c>
      <c r="AM1233">
        <v>100</v>
      </c>
      <c r="AN1233">
        <v>296.44850000000002</v>
      </c>
      <c r="AO1233">
        <v>0</v>
      </c>
      <c r="AP1233" s="13">
        <v>45231</v>
      </c>
      <c r="AQ1233">
        <v>-3</v>
      </c>
      <c r="AR1233">
        <v>1</v>
      </c>
    </row>
    <row r="1234" spans="1:44" x14ac:dyDescent="0.35">
      <c r="A1234" s="12" t="s">
        <v>1913</v>
      </c>
      <c r="B1234" s="12" t="s">
        <v>273</v>
      </c>
      <c r="C1234" s="12" t="s">
        <v>274</v>
      </c>
      <c r="D1234" s="12" t="s">
        <v>175</v>
      </c>
      <c r="E1234" s="12" t="s">
        <v>104</v>
      </c>
      <c r="F1234">
        <v>3</v>
      </c>
      <c r="G1234">
        <v>1</v>
      </c>
      <c r="H1234">
        <v>0</v>
      </c>
      <c r="I1234" s="12" t="s">
        <v>275</v>
      </c>
      <c r="J1234" s="12" t="s">
        <v>276</v>
      </c>
      <c r="K1234" s="12" t="s">
        <v>89</v>
      </c>
      <c r="L1234" s="12" t="s">
        <v>82</v>
      </c>
      <c r="M1234">
        <v>14.26</v>
      </c>
      <c r="N1234" s="12" t="s">
        <v>107</v>
      </c>
      <c r="O1234" s="12" t="s">
        <v>108</v>
      </c>
      <c r="P1234" s="12" t="s">
        <v>109</v>
      </c>
      <c r="Q1234" s="13">
        <v>45196</v>
      </c>
      <c r="R1234" s="13">
        <v>45224</v>
      </c>
      <c r="S1234">
        <v>2023</v>
      </c>
      <c r="T1234" s="12" t="s">
        <v>1753</v>
      </c>
      <c r="U1234">
        <v>138</v>
      </c>
      <c r="V1234">
        <v>113.5119</v>
      </c>
      <c r="W1234">
        <v>394.26</v>
      </c>
      <c r="X1234">
        <v>0</v>
      </c>
      <c r="Y1234">
        <v>0</v>
      </c>
      <c r="Z1234">
        <v>15664.64</v>
      </c>
      <c r="AA1234">
        <v>16058.9</v>
      </c>
      <c r="AB1234" s="12" t="s">
        <v>277</v>
      </c>
      <c r="AC1234">
        <v>117.48480000000001</v>
      </c>
      <c r="AD1234">
        <v>2</v>
      </c>
      <c r="AE1234">
        <v>1</v>
      </c>
      <c r="AF1234">
        <v>-548.26</v>
      </c>
      <c r="AG1234">
        <v>16212.9</v>
      </c>
      <c r="AH1234">
        <v>138</v>
      </c>
      <c r="AI1234">
        <v>137</v>
      </c>
      <c r="AJ1234">
        <v>1</v>
      </c>
      <c r="AK1234">
        <v>1</v>
      </c>
      <c r="AL1234">
        <v>1</v>
      </c>
      <c r="AM1234">
        <v>99.28</v>
      </c>
      <c r="AN1234">
        <v>117.2183</v>
      </c>
      <c r="AO1234">
        <v>113.51</v>
      </c>
      <c r="AP1234" s="13">
        <v>45222</v>
      </c>
      <c r="AQ1234">
        <v>-2</v>
      </c>
      <c r="AR1234">
        <v>1</v>
      </c>
    </row>
    <row r="1235" spans="1:44" x14ac:dyDescent="0.35">
      <c r="A1235" s="12" t="s">
        <v>1914</v>
      </c>
      <c r="B1235" s="12" t="s">
        <v>221</v>
      </c>
      <c r="C1235" s="12" t="s">
        <v>222</v>
      </c>
      <c r="D1235" s="12" t="s">
        <v>114</v>
      </c>
      <c r="E1235" s="12" t="s">
        <v>142</v>
      </c>
      <c r="F1235">
        <v>3</v>
      </c>
      <c r="G1235">
        <v>11</v>
      </c>
      <c r="H1235">
        <v>0</v>
      </c>
      <c r="I1235" s="12" t="s">
        <v>105</v>
      </c>
      <c r="J1235" s="12" t="s">
        <v>106</v>
      </c>
      <c r="K1235" s="12" t="s">
        <v>81</v>
      </c>
      <c r="L1235" s="12" t="s">
        <v>96</v>
      </c>
      <c r="M1235">
        <v>5.01</v>
      </c>
      <c r="N1235" s="12" t="s">
        <v>97</v>
      </c>
      <c r="O1235" s="12" t="s">
        <v>98</v>
      </c>
      <c r="P1235" s="12" t="s">
        <v>72</v>
      </c>
      <c r="Q1235" s="13">
        <v>45196</v>
      </c>
      <c r="R1235" s="13">
        <v>45232</v>
      </c>
      <c r="S1235">
        <v>2023</v>
      </c>
      <c r="T1235" s="12" t="s">
        <v>1753</v>
      </c>
      <c r="U1235">
        <v>19</v>
      </c>
      <c r="V1235">
        <v>239.12739999999999</v>
      </c>
      <c r="W1235">
        <v>89.67</v>
      </c>
      <c r="X1235">
        <v>0</v>
      </c>
      <c r="Y1235">
        <v>0</v>
      </c>
      <c r="Z1235">
        <v>4543.42</v>
      </c>
      <c r="AA1235">
        <v>4633.09</v>
      </c>
      <c r="AB1235" s="12" t="s">
        <v>1239</v>
      </c>
      <c r="AC1235">
        <v>239.12739999999999</v>
      </c>
      <c r="AD1235">
        <v>1</v>
      </c>
      <c r="AE1235">
        <v>1</v>
      </c>
      <c r="AF1235">
        <v>0</v>
      </c>
      <c r="AG1235">
        <v>4543.42</v>
      </c>
      <c r="AH1235">
        <v>19</v>
      </c>
      <c r="AI1235">
        <v>19</v>
      </c>
      <c r="AJ1235">
        <v>0</v>
      </c>
      <c r="AK1235">
        <v>1</v>
      </c>
      <c r="AL1235">
        <v>1</v>
      </c>
      <c r="AM1235">
        <v>100</v>
      </c>
      <c r="AN1235">
        <v>243.84690000000001</v>
      </c>
      <c r="AO1235">
        <v>0</v>
      </c>
      <c r="AP1235" s="13">
        <v>45229</v>
      </c>
      <c r="AQ1235">
        <v>-3</v>
      </c>
      <c r="AR1235">
        <v>1</v>
      </c>
    </row>
    <row r="1236" spans="1:44" x14ac:dyDescent="0.35">
      <c r="A1236" s="12" t="s">
        <v>1915</v>
      </c>
      <c r="B1236" s="12" t="s">
        <v>350</v>
      </c>
      <c r="C1236" s="12" t="s">
        <v>351</v>
      </c>
      <c r="D1236" s="12" t="s">
        <v>64</v>
      </c>
      <c r="E1236" s="12" t="s">
        <v>104</v>
      </c>
      <c r="F1236">
        <v>3</v>
      </c>
      <c r="G1236">
        <v>1</v>
      </c>
      <c r="H1236">
        <v>0</v>
      </c>
      <c r="I1236" s="12" t="s">
        <v>227</v>
      </c>
      <c r="J1236" s="12" t="s">
        <v>228</v>
      </c>
      <c r="K1236" s="12" t="s">
        <v>89</v>
      </c>
      <c r="L1236" s="12" t="s">
        <v>96</v>
      </c>
      <c r="M1236">
        <v>9.15</v>
      </c>
      <c r="N1236" s="12" t="s">
        <v>97</v>
      </c>
      <c r="O1236" s="12" t="s">
        <v>98</v>
      </c>
      <c r="P1236" s="12" t="s">
        <v>72</v>
      </c>
      <c r="Q1236" s="13">
        <v>45197</v>
      </c>
      <c r="R1236" s="13">
        <v>45211</v>
      </c>
      <c r="S1236">
        <v>2023</v>
      </c>
      <c r="T1236" s="12" t="s">
        <v>1753</v>
      </c>
      <c r="U1236">
        <v>208</v>
      </c>
      <c r="V1236">
        <v>8.7273999999999994</v>
      </c>
      <c r="W1236">
        <v>11.59</v>
      </c>
      <c r="X1236">
        <v>0</v>
      </c>
      <c r="Y1236">
        <v>0</v>
      </c>
      <c r="Z1236">
        <v>1815.3</v>
      </c>
      <c r="AA1236">
        <v>1826.89</v>
      </c>
      <c r="AB1236" s="12" t="s">
        <v>352</v>
      </c>
      <c r="AC1236">
        <v>8.7273999999999994</v>
      </c>
      <c r="AD1236">
        <v>1</v>
      </c>
      <c r="AE1236">
        <v>1</v>
      </c>
      <c r="AF1236">
        <v>0</v>
      </c>
      <c r="AG1236">
        <v>1815.3</v>
      </c>
      <c r="AH1236">
        <v>208</v>
      </c>
      <c r="AI1236">
        <v>207</v>
      </c>
      <c r="AJ1236">
        <v>1</v>
      </c>
      <c r="AK1236">
        <v>1</v>
      </c>
      <c r="AL1236">
        <v>1</v>
      </c>
      <c r="AM1236">
        <v>99.52</v>
      </c>
      <c r="AN1236">
        <v>8.8255999999999997</v>
      </c>
      <c r="AO1236">
        <v>8.73</v>
      </c>
      <c r="AP1236" s="13">
        <v>45215</v>
      </c>
      <c r="AQ1236">
        <v>4</v>
      </c>
      <c r="AR1236">
        <v>0</v>
      </c>
    </row>
    <row r="1237" spans="1:44" x14ac:dyDescent="0.35">
      <c r="A1237" s="12" t="s">
        <v>1916</v>
      </c>
      <c r="B1237" s="12" t="s">
        <v>391</v>
      </c>
      <c r="C1237" s="12" t="s">
        <v>392</v>
      </c>
      <c r="D1237" s="12" t="s">
        <v>114</v>
      </c>
      <c r="E1237" s="12" t="s">
        <v>65</v>
      </c>
      <c r="F1237">
        <v>2</v>
      </c>
      <c r="G1237">
        <v>2</v>
      </c>
      <c r="H1237">
        <v>0</v>
      </c>
      <c r="I1237" s="12" t="s">
        <v>310</v>
      </c>
      <c r="J1237" s="12" t="s">
        <v>311</v>
      </c>
      <c r="K1237" s="12" t="s">
        <v>81</v>
      </c>
      <c r="L1237" s="12" t="s">
        <v>69</v>
      </c>
      <c r="M1237">
        <v>28.3</v>
      </c>
      <c r="N1237" s="12" t="s">
        <v>97</v>
      </c>
      <c r="O1237" s="12" t="s">
        <v>98</v>
      </c>
      <c r="P1237" s="12" t="s">
        <v>72</v>
      </c>
      <c r="Q1237" s="13">
        <v>45197</v>
      </c>
      <c r="R1237" s="13">
        <v>45234</v>
      </c>
      <c r="S1237">
        <v>2023</v>
      </c>
      <c r="T1237" s="12" t="s">
        <v>1753</v>
      </c>
      <c r="U1237">
        <v>141</v>
      </c>
      <c r="V1237">
        <v>223.56530000000001</v>
      </c>
      <c r="W1237">
        <v>654.44000000000005</v>
      </c>
      <c r="X1237">
        <v>0</v>
      </c>
      <c r="Y1237">
        <v>0</v>
      </c>
      <c r="Z1237">
        <v>31522.71</v>
      </c>
      <c r="AA1237">
        <v>32177.15</v>
      </c>
      <c r="AB1237" s="12" t="s">
        <v>393</v>
      </c>
      <c r="AC1237">
        <v>223.56530000000001</v>
      </c>
      <c r="AD1237">
        <v>1</v>
      </c>
      <c r="AE1237">
        <v>1</v>
      </c>
      <c r="AF1237">
        <v>0</v>
      </c>
      <c r="AG1237">
        <v>31522.71</v>
      </c>
      <c r="AH1237">
        <v>141</v>
      </c>
      <c r="AI1237">
        <v>140</v>
      </c>
      <c r="AJ1237">
        <v>1</v>
      </c>
      <c r="AK1237">
        <v>1</v>
      </c>
      <c r="AL1237">
        <v>1</v>
      </c>
      <c r="AM1237">
        <v>99.29</v>
      </c>
      <c r="AN1237">
        <v>229.83680000000001</v>
      </c>
      <c r="AO1237">
        <v>223.57</v>
      </c>
      <c r="AP1237" s="13">
        <v>45240</v>
      </c>
      <c r="AQ1237">
        <v>6</v>
      </c>
      <c r="AR1237">
        <v>0</v>
      </c>
    </row>
    <row r="1238" spans="1:44" x14ac:dyDescent="0.35">
      <c r="A1238" s="12" t="s">
        <v>1917</v>
      </c>
      <c r="B1238" s="12" t="s">
        <v>1433</v>
      </c>
      <c r="C1238" s="12" t="s">
        <v>1434</v>
      </c>
      <c r="D1238" s="12" t="s">
        <v>269</v>
      </c>
      <c r="E1238" s="12" t="s">
        <v>65</v>
      </c>
      <c r="F1238">
        <v>3</v>
      </c>
      <c r="G1238">
        <v>5</v>
      </c>
      <c r="H1238">
        <v>0</v>
      </c>
      <c r="I1238" s="12" t="s">
        <v>223</v>
      </c>
      <c r="J1238" s="12" t="s">
        <v>224</v>
      </c>
      <c r="K1238" s="12" t="s">
        <v>81</v>
      </c>
      <c r="L1238" s="12" t="s">
        <v>134</v>
      </c>
      <c r="M1238">
        <v>2.4900000000000002</v>
      </c>
      <c r="N1238" s="12" t="s">
        <v>159</v>
      </c>
      <c r="O1238" s="12" t="s">
        <v>160</v>
      </c>
      <c r="P1238" s="12" t="s">
        <v>137</v>
      </c>
      <c r="Q1238" s="13">
        <v>45197</v>
      </c>
      <c r="R1238" s="13">
        <v>45221</v>
      </c>
      <c r="S1238">
        <v>2023</v>
      </c>
      <c r="T1238" s="12" t="s">
        <v>1753</v>
      </c>
      <c r="U1238">
        <v>38</v>
      </c>
      <c r="V1238">
        <v>457.42090000000002</v>
      </c>
      <c r="W1238">
        <v>151.88999999999999</v>
      </c>
      <c r="X1238">
        <v>0</v>
      </c>
      <c r="Y1238">
        <v>0</v>
      </c>
      <c r="Z1238">
        <v>17381.990000000002</v>
      </c>
      <c r="AA1238">
        <v>17533.88</v>
      </c>
      <c r="AB1238" s="12" t="s">
        <v>1435</v>
      </c>
      <c r="AC1238">
        <v>457.42090000000002</v>
      </c>
      <c r="AD1238">
        <v>1</v>
      </c>
      <c r="AE1238">
        <v>1</v>
      </c>
      <c r="AF1238">
        <v>0</v>
      </c>
      <c r="AG1238">
        <v>17381.990000000002</v>
      </c>
      <c r="AH1238">
        <v>38</v>
      </c>
      <c r="AI1238">
        <v>38</v>
      </c>
      <c r="AJ1238">
        <v>0</v>
      </c>
      <c r="AK1238">
        <v>1</v>
      </c>
      <c r="AL1238">
        <v>1</v>
      </c>
      <c r="AM1238">
        <v>100</v>
      </c>
      <c r="AN1238">
        <v>461.41800000000001</v>
      </c>
      <c r="AO1238">
        <v>0</v>
      </c>
      <c r="AP1238" s="13">
        <v>45218</v>
      </c>
      <c r="AQ1238">
        <v>-3</v>
      </c>
      <c r="AR1238">
        <v>1</v>
      </c>
    </row>
    <row r="1239" spans="1:44" x14ac:dyDescent="0.35">
      <c r="A1239" s="12" t="s">
        <v>1918</v>
      </c>
      <c r="B1239" s="12" t="s">
        <v>837</v>
      </c>
      <c r="C1239" s="12" t="s">
        <v>838</v>
      </c>
      <c r="D1239" s="12" t="s">
        <v>114</v>
      </c>
      <c r="E1239" s="12" t="s">
        <v>104</v>
      </c>
      <c r="F1239">
        <v>2</v>
      </c>
      <c r="G1239">
        <v>0</v>
      </c>
      <c r="H1239">
        <v>0</v>
      </c>
      <c r="I1239" s="12" t="s">
        <v>199</v>
      </c>
      <c r="J1239" s="12" t="s">
        <v>200</v>
      </c>
      <c r="K1239" s="12" t="s">
        <v>68</v>
      </c>
      <c r="L1239" s="12" t="s">
        <v>96</v>
      </c>
      <c r="M1239">
        <v>9.4700000000000006</v>
      </c>
      <c r="N1239" s="12" t="s">
        <v>97</v>
      </c>
      <c r="O1239" s="12" t="s">
        <v>98</v>
      </c>
      <c r="P1239" s="12" t="s">
        <v>72</v>
      </c>
      <c r="Q1239" s="13">
        <v>45198</v>
      </c>
      <c r="R1239" s="13">
        <v>45223</v>
      </c>
      <c r="S1239">
        <v>2023</v>
      </c>
      <c r="T1239" s="12" t="s">
        <v>1753</v>
      </c>
      <c r="U1239">
        <v>116</v>
      </c>
      <c r="V1239">
        <v>71.121200000000002</v>
      </c>
      <c r="W1239">
        <v>201.51</v>
      </c>
      <c r="X1239">
        <v>0</v>
      </c>
      <c r="Y1239">
        <v>0</v>
      </c>
      <c r="Z1239">
        <v>8250.06</v>
      </c>
      <c r="AA1239">
        <v>8451.57</v>
      </c>
      <c r="AB1239" s="12" t="s">
        <v>839</v>
      </c>
      <c r="AC1239">
        <v>71.121200000000002</v>
      </c>
      <c r="AD1239">
        <v>1</v>
      </c>
      <c r="AE1239">
        <v>1</v>
      </c>
      <c r="AF1239">
        <v>0</v>
      </c>
      <c r="AG1239">
        <v>8250.06</v>
      </c>
      <c r="AH1239">
        <v>116</v>
      </c>
      <c r="AI1239">
        <v>115</v>
      </c>
      <c r="AJ1239">
        <v>1</v>
      </c>
      <c r="AK1239">
        <v>1</v>
      </c>
      <c r="AL1239">
        <v>1</v>
      </c>
      <c r="AM1239">
        <v>99.14</v>
      </c>
      <c r="AN1239">
        <v>73.491900000000001</v>
      </c>
      <c r="AO1239">
        <v>71.12</v>
      </c>
      <c r="AP1239" s="13">
        <v>45223</v>
      </c>
      <c r="AQ1239">
        <v>0</v>
      </c>
      <c r="AR1239">
        <v>1</v>
      </c>
    </row>
    <row r="1240" spans="1:44" x14ac:dyDescent="0.35">
      <c r="A1240" s="12" t="s">
        <v>1919</v>
      </c>
      <c r="B1240" s="12" t="s">
        <v>472</v>
      </c>
      <c r="C1240" s="12" t="s">
        <v>473</v>
      </c>
      <c r="D1240" s="12" t="s">
        <v>122</v>
      </c>
      <c r="E1240" s="12" t="s">
        <v>142</v>
      </c>
      <c r="F1240">
        <v>2</v>
      </c>
      <c r="G1240">
        <v>9</v>
      </c>
      <c r="H1240">
        <v>0</v>
      </c>
      <c r="I1240" s="12" t="s">
        <v>87</v>
      </c>
      <c r="J1240" s="12" t="s">
        <v>88</v>
      </c>
      <c r="K1240" s="12" t="s">
        <v>89</v>
      </c>
      <c r="L1240" s="12" t="s">
        <v>69</v>
      </c>
      <c r="M1240">
        <v>14.93</v>
      </c>
      <c r="N1240" s="12" t="s">
        <v>97</v>
      </c>
      <c r="O1240" s="12" t="s">
        <v>98</v>
      </c>
      <c r="P1240" s="12" t="s">
        <v>72</v>
      </c>
      <c r="Q1240" s="13">
        <v>45198</v>
      </c>
      <c r="R1240" s="13">
        <v>45238</v>
      </c>
      <c r="S1240">
        <v>2023</v>
      </c>
      <c r="T1240" s="12" t="s">
        <v>1753</v>
      </c>
      <c r="U1240">
        <v>740</v>
      </c>
      <c r="V1240">
        <v>45.991799999999998</v>
      </c>
      <c r="W1240">
        <v>685.38</v>
      </c>
      <c r="X1240">
        <v>0</v>
      </c>
      <c r="Y1240">
        <v>0</v>
      </c>
      <c r="Z1240">
        <v>34033.93</v>
      </c>
      <c r="AA1240">
        <v>34719.31</v>
      </c>
      <c r="AB1240" s="12" t="s">
        <v>1187</v>
      </c>
      <c r="AC1240">
        <v>48.7896</v>
      </c>
      <c r="AD1240">
        <v>1</v>
      </c>
      <c r="AE1240">
        <v>1</v>
      </c>
      <c r="AF1240">
        <v>-2070.37</v>
      </c>
      <c r="AG1240">
        <v>36104.300000000003</v>
      </c>
      <c r="AH1240">
        <v>740</v>
      </c>
      <c r="AI1240">
        <v>737</v>
      </c>
      <c r="AJ1240">
        <v>3</v>
      </c>
      <c r="AK1240">
        <v>1</v>
      </c>
      <c r="AL1240">
        <v>1</v>
      </c>
      <c r="AM1240">
        <v>99.59</v>
      </c>
      <c r="AN1240">
        <v>47.109000000000002</v>
      </c>
      <c r="AO1240">
        <v>137.97999999999999</v>
      </c>
      <c r="AP1240" s="13">
        <v>45236</v>
      </c>
      <c r="AQ1240">
        <v>-2</v>
      </c>
      <c r="AR1240">
        <v>1</v>
      </c>
    </row>
    <row r="1241" spans="1:44" x14ac:dyDescent="0.35">
      <c r="A1241" s="12" t="s">
        <v>1920</v>
      </c>
      <c r="B1241" s="12" t="s">
        <v>408</v>
      </c>
      <c r="C1241" s="12" t="s">
        <v>409</v>
      </c>
      <c r="D1241" s="12" t="s">
        <v>130</v>
      </c>
      <c r="E1241" s="12" t="s">
        <v>65</v>
      </c>
      <c r="F1241">
        <v>3</v>
      </c>
      <c r="G1241">
        <v>5</v>
      </c>
      <c r="H1241">
        <v>0</v>
      </c>
      <c r="I1241" s="12" t="s">
        <v>105</v>
      </c>
      <c r="J1241" s="12" t="s">
        <v>106</v>
      </c>
      <c r="K1241" s="12" t="s">
        <v>81</v>
      </c>
      <c r="L1241" s="12" t="s">
        <v>96</v>
      </c>
      <c r="M1241">
        <v>5.01</v>
      </c>
      <c r="N1241" s="12" t="s">
        <v>135</v>
      </c>
      <c r="O1241" s="12" t="s">
        <v>136</v>
      </c>
      <c r="P1241" s="12" t="s">
        <v>137</v>
      </c>
      <c r="Q1241" s="13">
        <v>45198</v>
      </c>
      <c r="R1241" s="13">
        <v>45225</v>
      </c>
      <c r="S1241">
        <v>2023</v>
      </c>
      <c r="T1241" s="12" t="s">
        <v>1753</v>
      </c>
      <c r="U1241">
        <v>63</v>
      </c>
      <c r="V1241">
        <v>770.47230000000002</v>
      </c>
      <c r="W1241">
        <v>1117.2</v>
      </c>
      <c r="X1241">
        <v>1543.48</v>
      </c>
      <c r="Y1241">
        <v>1</v>
      </c>
      <c r="Z1241">
        <v>48539.75</v>
      </c>
      <c r="AA1241">
        <v>51200.43</v>
      </c>
      <c r="AB1241" s="12" t="s">
        <v>410</v>
      </c>
      <c r="AC1241">
        <v>770.47230000000002</v>
      </c>
      <c r="AD1241">
        <v>1</v>
      </c>
      <c r="AE1241">
        <v>1</v>
      </c>
      <c r="AF1241">
        <v>0</v>
      </c>
      <c r="AG1241">
        <v>48539.75</v>
      </c>
      <c r="AH1241">
        <v>63</v>
      </c>
      <c r="AI1241">
        <v>63</v>
      </c>
      <c r="AJ1241">
        <v>0</v>
      </c>
      <c r="AK1241">
        <v>1</v>
      </c>
      <c r="AL1241">
        <v>1</v>
      </c>
      <c r="AM1241">
        <v>100</v>
      </c>
      <c r="AN1241">
        <v>812.70529999999997</v>
      </c>
      <c r="AO1241">
        <v>0</v>
      </c>
      <c r="AP1241" s="13">
        <v>45224</v>
      </c>
      <c r="AQ1241">
        <v>-1</v>
      </c>
      <c r="AR1241">
        <v>1</v>
      </c>
    </row>
    <row r="1242" spans="1:44" x14ac:dyDescent="0.35">
      <c r="A1242" s="12" t="s">
        <v>1921</v>
      </c>
      <c r="B1242" s="12" t="s">
        <v>555</v>
      </c>
      <c r="C1242" s="12" t="s">
        <v>556</v>
      </c>
      <c r="D1242" s="12" t="s">
        <v>114</v>
      </c>
      <c r="E1242" s="12" t="s">
        <v>142</v>
      </c>
      <c r="F1242">
        <v>1</v>
      </c>
      <c r="G1242">
        <v>6</v>
      </c>
      <c r="H1242">
        <v>1</v>
      </c>
      <c r="I1242" s="12" t="s">
        <v>151</v>
      </c>
      <c r="J1242" s="12" t="s">
        <v>152</v>
      </c>
      <c r="K1242" s="12" t="s">
        <v>125</v>
      </c>
      <c r="L1242" s="12" t="s">
        <v>69</v>
      </c>
      <c r="M1242">
        <v>36.479999999999997</v>
      </c>
      <c r="N1242" s="12" t="s">
        <v>70</v>
      </c>
      <c r="O1242" s="12" t="s">
        <v>71</v>
      </c>
      <c r="P1242" s="12" t="s">
        <v>72</v>
      </c>
      <c r="Q1242" s="13">
        <v>45198</v>
      </c>
      <c r="R1242" s="13">
        <v>45244</v>
      </c>
      <c r="S1242">
        <v>2023</v>
      </c>
      <c r="T1242" s="12" t="s">
        <v>1753</v>
      </c>
      <c r="U1242">
        <v>99</v>
      </c>
      <c r="V1242">
        <v>290.42770000000002</v>
      </c>
      <c r="W1242">
        <v>206.39</v>
      </c>
      <c r="X1242">
        <v>0</v>
      </c>
      <c r="Y1242">
        <v>0</v>
      </c>
      <c r="Z1242">
        <v>28752.34</v>
      </c>
      <c r="AA1242">
        <v>28958.73</v>
      </c>
      <c r="AB1242" s="12" t="s">
        <v>557</v>
      </c>
      <c r="AC1242">
        <v>290.42770000000002</v>
      </c>
      <c r="AD1242">
        <v>1</v>
      </c>
      <c r="AE1242">
        <v>1</v>
      </c>
      <c r="AF1242">
        <v>0</v>
      </c>
      <c r="AG1242">
        <v>28752.34</v>
      </c>
      <c r="AH1242">
        <v>99</v>
      </c>
      <c r="AI1242">
        <v>98</v>
      </c>
      <c r="AJ1242">
        <v>1</v>
      </c>
      <c r="AK1242">
        <v>1</v>
      </c>
      <c r="AL1242">
        <v>1</v>
      </c>
      <c r="AM1242">
        <v>98.99</v>
      </c>
      <c r="AN1242">
        <v>295.4973</v>
      </c>
      <c r="AO1242">
        <v>290.43</v>
      </c>
      <c r="AP1242" s="13">
        <v>45241</v>
      </c>
      <c r="AQ1242">
        <v>-3</v>
      </c>
      <c r="AR1242">
        <v>1</v>
      </c>
    </row>
    <row r="1243" spans="1:44" x14ac:dyDescent="0.35">
      <c r="A1243" s="12" t="s">
        <v>1922</v>
      </c>
      <c r="B1243" s="12" t="s">
        <v>1166</v>
      </c>
      <c r="C1243" s="12" t="s">
        <v>1167</v>
      </c>
      <c r="D1243" s="12" t="s">
        <v>175</v>
      </c>
      <c r="E1243" s="12" t="s">
        <v>65</v>
      </c>
      <c r="F1243">
        <v>3</v>
      </c>
      <c r="G1243">
        <v>5</v>
      </c>
      <c r="H1243">
        <v>0</v>
      </c>
      <c r="I1243" s="12" t="s">
        <v>143</v>
      </c>
      <c r="J1243" s="12" t="s">
        <v>144</v>
      </c>
      <c r="K1243" s="12" t="s">
        <v>133</v>
      </c>
      <c r="L1243" s="12" t="s">
        <v>96</v>
      </c>
      <c r="M1243">
        <v>5.43</v>
      </c>
      <c r="N1243" s="12" t="s">
        <v>107</v>
      </c>
      <c r="O1243" s="12" t="s">
        <v>108</v>
      </c>
      <c r="P1243" s="12" t="s">
        <v>109</v>
      </c>
      <c r="Q1243" s="13">
        <v>45198</v>
      </c>
      <c r="R1243" s="13">
        <v>45224</v>
      </c>
      <c r="S1243">
        <v>2023</v>
      </c>
      <c r="T1243" s="12" t="s">
        <v>1753</v>
      </c>
      <c r="U1243">
        <v>56</v>
      </c>
      <c r="V1243">
        <v>248.16210000000001</v>
      </c>
      <c r="W1243">
        <v>88.05</v>
      </c>
      <c r="X1243">
        <v>0</v>
      </c>
      <c r="Y1243">
        <v>0</v>
      </c>
      <c r="Z1243">
        <v>13897.08</v>
      </c>
      <c r="AA1243">
        <v>13985.13</v>
      </c>
      <c r="AB1243" s="12" t="s">
        <v>1168</v>
      </c>
      <c r="AC1243">
        <v>248.16210000000001</v>
      </c>
      <c r="AD1243">
        <v>1</v>
      </c>
      <c r="AE1243">
        <v>1</v>
      </c>
      <c r="AF1243">
        <v>0</v>
      </c>
      <c r="AG1243">
        <v>13897.08</v>
      </c>
      <c r="AH1243">
        <v>56</v>
      </c>
      <c r="AI1243">
        <v>55</v>
      </c>
      <c r="AJ1243">
        <v>1</v>
      </c>
      <c r="AK1243">
        <v>1</v>
      </c>
      <c r="AL1243">
        <v>1</v>
      </c>
      <c r="AM1243">
        <v>98.21</v>
      </c>
      <c r="AN1243">
        <v>254.27500000000001</v>
      </c>
      <c r="AO1243">
        <v>248.16</v>
      </c>
      <c r="AP1243" s="13">
        <v>45222</v>
      </c>
      <c r="AQ1243">
        <v>-2</v>
      </c>
      <c r="AR1243">
        <v>1</v>
      </c>
    </row>
    <row r="1244" spans="1:44" x14ac:dyDescent="0.35">
      <c r="A1244" s="12" t="s">
        <v>1923</v>
      </c>
      <c r="B1244" s="12" t="s">
        <v>670</v>
      </c>
      <c r="C1244" s="12" t="s">
        <v>671</v>
      </c>
      <c r="D1244" s="12" t="s">
        <v>175</v>
      </c>
      <c r="E1244" s="12" t="s">
        <v>142</v>
      </c>
      <c r="F1244">
        <v>2</v>
      </c>
      <c r="G1244">
        <v>9</v>
      </c>
      <c r="H1244">
        <v>0</v>
      </c>
      <c r="I1244" s="12" t="s">
        <v>233</v>
      </c>
      <c r="J1244" s="12" t="s">
        <v>234</v>
      </c>
      <c r="K1244" s="12" t="s">
        <v>125</v>
      </c>
      <c r="L1244" s="12" t="s">
        <v>96</v>
      </c>
      <c r="M1244">
        <v>3.73</v>
      </c>
      <c r="N1244" s="12" t="s">
        <v>145</v>
      </c>
      <c r="O1244" s="12" t="s">
        <v>146</v>
      </c>
      <c r="P1244" s="12" t="s">
        <v>109</v>
      </c>
      <c r="Q1244" s="13">
        <v>45198</v>
      </c>
      <c r="R1244" s="13">
        <v>45237</v>
      </c>
      <c r="S1244">
        <v>2023</v>
      </c>
      <c r="T1244" s="12" t="s">
        <v>1753</v>
      </c>
      <c r="U1244">
        <v>43</v>
      </c>
      <c r="V1244">
        <v>151.31620000000001</v>
      </c>
      <c r="W1244">
        <v>162.16999999999999</v>
      </c>
      <c r="X1244">
        <v>0</v>
      </c>
      <c r="Y1244">
        <v>0</v>
      </c>
      <c r="Z1244">
        <v>6506.6</v>
      </c>
      <c r="AA1244">
        <v>6668.77</v>
      </c>
      <c r="AB1244" s="12" t="s">
        <v>672</v>
      </c>
      <c r="AC1244">
        <v>151.31620000000001</v>
      </c>
      <c r="AD1244">
        <v>1</v>
      </c>
      <c r="AE1244">
        <v>1</v>
      </c>
      <c r="AF1244">
        <v>0</v>
      </c>
      <c r="AG1244">
        <v>6506.6</v>
      </c>
      <c r="AH1244">
        <v>43</v>
      </c>
      <c r="AI1244">
        <v>43</v>
      </c>
      <c r="AJ1244">
        <v>0</v>
      </c>
      <c r="AK1244">
        <v>1</v>
      </c>
      <c r="AL1244">
        <v>1</v>
      </c>
      <c r="AM1244">
        <v>100</v>
      </c>
      <c r="AN1244">
        <v>155.08760000000001</v>
      </c>
      <c r="AO1244">
        <v>0</v>
      </c>
      <c r="AP1244" s="13">
        <v>45234</v>
      </c>
      <c r="AQ1244">
        <v>-3</v>
      </c>
      <c r="AR1244">
        <v>1</v>
      </c>
    </row>
    <row r="1245" spans="1:44" x14ac:dyDescent="0.35">
      <c r="A1245" s="12" t="s">
        <v>1924</v>
      </c>
      <c r="B1245" s="12" t="s">
        <v>238</v>
      </c>
      <c r="C1245" s="12" t="s">
        <v>239</v>
      </c>
      <c r="D1245" s="12" t="s">
        <v>122</v>
      </c>
      <c r="E1245" s="12" t="s">
        <v>65</v>
      </c>
      <c r="F1245">
        <v>3</v>
      </c>
      <c r="G1245">
        <v>4</v>
      </c>
      <c r="H1245">
        <v>0</v>
      </c>
      <c r="I1245" s="12" t="s">
        <v>79</v>
      </c>
      <c r="J1245" s="12" t="s">
        <v>80</v>
      </c>
      <c r="K1245" s="12" t="s">
        <v>81</v>
      </c>
      <c r="L1245" s="12" t="s">
        <v>82</v>
      </c>
      <c r="M1245">
        <v>12.07</v>
      </c>
      <c r="N1245" s="12" t="s">
        <v>97</v>
      </c>
      <c r="O1245" s="12" t="s">
        <v>98</v>
      </c>
      <c r="P1245" s="12" t="s">
        <v>72</v>
      </c>
      <c r="Q1245" s="13">
        <v>45198</v>
      </c>
      <c r="R1245" s="13">
        <v>45233</v>
      </c>
      <c r="S1245">
        <v>2023</v>
      </c>
      <c r="T1245" s="12" t="s">
        <v>1753</v>
      </c>
      <c r="U1245">
        <v>1631</v>
      </c>
      <c r="V1245">
        <v>37.143599999999999</v>
      </c>
      <c r="W1245">
        <v>692.32</v>
      </c>
      <c r="X1245">
        <v>0</v>
      </c>
      <c r="Y1245">
        <v>0</v>
      </c>
      <c r="Z1245">
        <v>60581.21</v>
      </c>
      <c r="AA1245">
        <v>61273.53</v>
      </c>
      <c r="AB1245" s="12" t="s">
        <v>297</v>
      </c>
      <c r="AC1245">
        <v>37.143599999999999</v>
      </c>
      <c r="AD1245">
        <v>1</v>
      </c>
      <c r="AE1245">
        <v>1</v>
      </c>
      <c r="AF1245">
        <v>0</v>
      </c>
      <c r="AG1245">
        <v>60581.21</v>
      </c>
      <c r="AH1245">
        <v>1631</v>
      </c>
      <c r="AI1245">
        <v>1612</v>
      </c>
      <c r="AJ1245">
        <v>19</v>
      </c>
      <c r="AK1245">
        <v>1</v>
      </c>
      <c r="AL1245">
        <v>1</v>
      </c>
      <c r="AM1245">
        <v>98.84</v>
      </c>
      <c r="AN1245">
        <v>38.010899999999999</v>
      </c>
      <c r="AO1245">
        <v>705.73</v>
      </c>
      <c r="AP1245" s="13">
        <v>45237</v>
      </c>
      <c r="AQ1245">
        <v>4</v>
      </c>
      <c r="AR1245">
        <v>0</v>
      </c>
    </row>
    <row r="1246" spans="1:44" x14ac:dyDescent="0.35">
      <c r="A1246" s="12" t="s">
        <v>1925</v>
      </c>
      <c r="B1246" s="12" t="s">
        <v>674</v>
      </c>
      <c r="C1246" s="12" t="s">
        <v>675</v>
      </c>
      <c r="D1246" s="12" t="s">
        <v>269</v>
      </c>
      <c r="E1246" s="12" t="s">
        <v>142</v>
      </c>
      <c r="F1246">
        <v>1</v>
      </c>
      <c r="G1246">
        <v>7</v>
      </c>
      <c r="H1246">
        <v>1</v>
      </c>
      <c r="I1246" s="12" t="s">
        <v>676</v>
      </c>
      <c r="J1246" s="12" t="s">
        <v>677</v>
      </c>
      <c r="K1246" s="12" t="s">
        <v>68</v>
      </c>
      <c r="L1246" s="12" t="s">
        <v>96</v>
      </c>
      <c r="M1246">
        <v>3.57</v>
      </c>
      <c r="N1246" s="12" t="s">
        <v>159</v>
      </c>
      <c r="O1246" s="12" t="s">
        <v>160</v>
      </c>
      <c r="P1246" s="12" t="s">
        <v>137</v>
      </c>
      <c r="Q1246" s="13">
        <v>45201</v>
      </c>
      <c r="R1246" s="13">
        <v>45250</v>
      </c>
      <c r="S1246">
        <v>2023</v>
      </c>
      <c r="T1246" s="12" t="s">
        <v>1926</v>
      </c>
      <c r="U1246">
        <v>120</v>
      </c>
      <c r="V1246">
        <v>355.32960000000003</v>
      </c>
      <c r="W1246">
        <v>1001.53</v>
      </c>
      <c r="X1246">
        <v>0</v>
      </c>
      <c r="Y1246">
        <v>0</v>
      </c>
      <c r="Z1246">
        <v>42639.55</v>
      </c>
      <c r="AA1246">
        <v>43641.08</v>
      </c>
      <c r="AB1246" s="12" t="s">
        <v>678</v>
      </c>
      <c r="AC1246">
        <v>355.32960000000003</v>
      </c>
      <c r="AD1246">
        <v>1</v>
      </c>
      <c r="AE1246">
        <v>1</v>
      </c>
      <c r="AF1246">
        <v>0</v>
      </c>
      <c r="AG1246">
        <v>42639.55</v>
      </c>
      <c r="AH1246">
        <v>120</v>
      </c>
      <c r="AI1246">
        <v>119</v>
      </c>
      <c r="AJ1246">
        <v>1</v>
      </c>
      <c r="AK1246">
        <v>1</v>
      </c>
      <c r="AL1246">
        <v>1</v>
      </c>
      <c r="AM1246">
        <v>99.17</v>
      </c>
      <c r="AN1246">
        <v>366.73180000000002</v>
      </c>
      <c r="AO1246">
        <v>355.33</v>
      </c>
      <c r="AP1246" s="13">
        <v>45250</v>
      </c>
      <c r="AQ1246">
        <v>0</v>
      </c>
      <c r="AR1246">
        <v>1</v>
      </c>
    </row>
    <row r="1247" spans="1:44" x14ac:dyDescent="0.35">
      <c r="A1247" s="12" t="s">
        <v>1927</v>
      </c>
      <c r="B1247" s="12" t="s">
        <v>1034</v>
      </c>
      <c r="C1247" s="12" t="s">
        <v>1035</v>
      </c>
      <c r="D1247" s="12" t="s">
        <v>64</v>
      </c>
      <c r="E1247" s="12" t="s">
        <v>104</v>
      </c>
      <c r="F1247">
        <v>2</v>
      </c>
      <c r="G1247">
        <v>0</v>
      </c>
      <c r="H1247">
        <v>0</v>
      </c>
      <c r="I1247" s="12" t="s">
        <v>157</v>
      </c>
      <c r="J1247" s="12" t="s">
        <v>158</v>
      </c>
      <c r="K1247" s="12" t="s">
        <v>117</v>
      </c>
      <c r="L1247" s="12" t="s">
        <v>96</v>
      </c>
      <c r="M1247">
        <v>4.72</v>
      </c>
      <c r="N1247" s="12" t="s">
        <v>97</v>
      </c>
      <c r="O1247" s="12" t="s">
        <v>98</v>
      </c>
      <c r="P1247" s="12" t="s">
        <v>72</v>
      </c>
      <c r="Q1247" s="13">
        <v>45201</v>
      </c>
      <c r="R1247" s="13">
        <v>45221</v>
      </c>
      <c r="S1247">
        <v>2023</v>
      </c>
      <c r="T1247" s="12" t="s">
        <v>1926</v>
      </c>
      <c r="U1247">
        <v>513</v>
      </c>
      <c r="V1247">
        <v>9.9979999999999993</v>
      </c>
      <c r="W1247">
        <v>46.51</v>
      </c>
      <c r="X1247">
        <v>0</v>
      </c>
      <c r="Y1247">
        <v>0</v>
      </c>
      <c r="Z1247">
        <v>5128.97</v>
      </c>
      <c r="AA1247">
        <v>5175.4799999999996</v>
      </c>
      <c r="AB1247" s="12" t="s">
        <v>1036</v>
      </c>
      <c r="AC1247">
        <v>9.9979999999999993</v>
      </c>
      <c r="AD1247">
        <v>1</v>
      </c>
      <c r="AE1247">
        <v>1</v>
      </c>
      <c r="AF1247">
        <v>0</v>
      </c>
      <c r="AG1247">
        <v>5128.97</v>
      </c>
      <c r="AH1247">
        <v>513</v>
      </c>
      <c r="AI1247">
        <v>506</v>
      </c>
      <c r="AJ1247">
        <v>7</v>
      </c>
      <c r="AK1247">
        <v>1</v>
      </c>
      <c r="AL1247">
        <v>1</v>
      </c>
      <c r="AM1247">
        <v>98.64</v>
      </c>
      <c r="AN1247">
        <v>10.228199999999999</v>
      </c>
      <c r="AO1247">
        <v>69.989999999999995</v>
      </c>
      <c r="AP1247" s="13">
        <v>45228</v>
      </c>
      <c r="AQ1247">
        <v>7</v>
      </c>
      <c r="AR1247">
        <v>0</v>
      </c>
    </row>
    <row r="1248" spans="1:44" x14ac:dyDescent="0.35">
      <c r="A1248" s="12" t="s">
        <v>1928</v>
      </c>
      <c r="B1248" s="12" t="s">
        <v>503</v>
      </c>
      <c r="C1248" s="12" t="s">
        <v>504</v>
      </c>
      <c r="D1248" s="12" t="s">
        <v>103</v>
      </c>
      <c r="E1248" s="12" t="s">
        <v>104</v>
      </c>
      <c r="F1248">
        <v>3</v>
      </c>
      <c r="G1248">
        <v>1</v>
      </c>
      <c r="H1248">
        <v>0</v>
      </c>
      <c r="I1248" s="12" t="s">
        <v>209</v>
      </c>
      <c r="J1248" s="12" t="s">
        <v>210</v>
      </c>
      <c r="K1248" s="12" t="s">
        <v>133</v>
      </c>
      <c r="L1248" s="12" t="s">
        <v>96</v>
      </c>
      <c r="M1248">
        <v>7.82</v>
      </c>
      <c r="N1248" s="12" t="s">
        <v>107</v>
      </c>
      <c r="O1248" s="12" t="s">
        <v>108</v>
      </c>
      <c r="P1248" s="12" t="s">
        <v>109</v>
      </c>
      <c r="Q1248" s="13">
        <v>45201</v>
      </c>
      <c r="R1248" s="13">
        <v>45225</v>
      </c>
      <c r="S1248">
        <v>2023</v>
      </c>
      <c r="T1248" s="12" t="s">
        <v>1926</v>
      </c>
      <c r="U1248">
        <v>109</v>
      </c>
      <c r="V1248">
        <v>158.00909999999999</v>
      </c>
      <c r="W1248">
        <v>207.48</v>
      </c>
      <c r="X1248">
        <v>0</v>
      </c>
      <c r="Y1248">
        <v>0</v>
      </c>
      <c r="Z1248">
        <v>17222.990000000002</v>
      </c>
      <c r="AA1248">
        <v>17430.47</v>
      </c>
      <c r="AB1248" s="12" t="s">
        <v>505</v>
      </c>
      <c r="AC1248">
        <v>158.00909999999999</v>
      </c>
      <c r="AD1248">
        <v>1</v>
      </c>
      <c r="AE1248">
        <v>1</v>
      </c>
      <c r="AF1248">
        <v>0</v>
      </c>
      <c r="AG1248">
        <v>17222.990000000002</v>
      </c>
      <c r="AH1248">
        <v>109</v>
      </c>
      <c r="AI1248">
        <v>109</v>
      </c>
      <c r="AJ1248">
        <v>0</v>
      </c>
      <c r="AK1248">
        <v>1</v>
      </c>
      <c r="AL1248">
        <v>1</v>
      </c>
      <c r="AM1248">
        <v>100</v>
      </c>
      <c r="AN1248">
        <v>159.9126</v>
      </c>
      <c r="AO1248">
        <v>0</v>
      </c>
      <c r="AP1248" s="13">
        <v>45225</v>
      </c>
      <c r="AQ1248">
        <v>0</v>
      </c>
      <c r="AR1248">
        <v>1</v>
      </c>
    </row>
    <row r="1249" spans="1:44" x14ac:dyDescent="0.35">
      <c r="A1249" s="12" t="s">
        <v>1929</v>
      </c>
      <c r="B1249" s="12" t="s">
        <v>755</v>
      </c>
      <c r="C1249" s="12" t="s">
        <v>756</v>
      </c>
      <c r="D1249" s="12" t="s">
        <v>78</v>
      </c>
      <c r="E1249" s="12" t="s">
        <v>65</v>
      </c>
      <c r="F1249">
        <v>2</v>
      </c>
      <c r="G1249">
        <v>2</v>
      </c>
      <c r="H1249">
        <v>0</v>
      </c>
      <c r="I1249" s="12" t="s">
        <v>359</v>
      </c>
      <c r="J1249" s="12" t="s">
        <v>360</v>
      </c>
      <c r="K1249" s="12" t="s">
        <v>133</v>
      </c>
      <c r="L1249" s="12" t="s">
        <v>82</v>
      </c>
      <c r="M1249">
        <v>12.65</v>
      </c>
      <c r="N1249" s="12" t="s">
        <v>97</v>
      </c>
      <c r="O1249" s="12" t="s">
        <v>98</v>
      </c>
      <c r="P1249" s="12" t="s">
        <v>72</v>
      </c>
      <c r="Q1249" s="13">
        <v>45201</v>
      </c>
      <c r="R1249" s="13">
        <v>45236</v>
      </c>
      <c r="S1249">
        <v>2023</v>
      </c>
      <c r="T1249" s="12" t="s">
        <v>1926</v>
      </c>
      <c r="U1249">
        <v>248</v>
      </c>
      <c r="V1249">
        <v>45.472499999999997</v>
      </c>
      <c r="W1249">
        <v>217.67</v>
      </c>
      <c r="X1249">
        <v>0</v>
      </c>
      <c r="Y1249">
        <v>0</v>
      </c>
      <c r="Z1249">
        <v>11277.18</v>
      </c>
      <c r="AA1249">
        <v>11494.85</v>
      </c>
      <c r="AB1249" s="12" t="s">
        <v>759</v>
      </c>
      <c r="AC1249">
        <v>45.472499999999997</v>
      </c>
      <c r="AD1249">
        <v>1</v>
      </c>
      <c r="AE1249">
        <v>1</v>
      </c>
      <c r="AF1249">
        <v>0</v>
      </c>
      <c r="AG1249">
        <v>11277.18</v>
      </c>
      <c r="AH1249">
        <v>248</v>
      </c>
      <c r="AI1249">
        <v>247</v>
      </c>
      <c r="AJ1249">
        <v>1</v>
      </c>
      <c r="AK1249">
        <v>1</v>
      </c>
      <c r="AL1249">
        <v>1</v>
      </c>
      <c r="AM1249">
        <v>99.6</v>
      </c>
      <c r="AN1249">
        <v>46.5379</v>
      </c>
      <c r="AO1249">
        <v>45.47</v>
      </c>
      <c r="AP1249" s="13">
        <v>45234</v>
      </c>
      <c r="AQ1249">
        <v>-2</v>
      </c>
      <c r="AR1249">
        <v>1</v>
      </c>
    </row>
    <row r="1250" spans="1:44" x14ac:dyDescent="0.35">
      <c r="A1250" s="12" t="s">
        <v>1930</v>
      </c>
      <c r="B1250" s="12" t="s">
        <v>732</v>
      </c>
      <c r="C1250" s="12" t="s">
        <v>733</v>
      </c>
      <c r="D1250" s="12" t="s">
        <v>114</v>
      </c>
      <c r="E1250" s="12" t="s">
        <v>104</v>
      </c>
      <c r="F1250">
        <v>3</v>
      </c>
      <c r="G1250">
        <v>1</v>
      </c>
      <c r="H1250">
        <v>0</v>
      </c>
      <c r="I1250" s="12" t="s">
        <v>199</v>
      </c>
      <c r="J1250" s="12" t="s">
        <v>200</v>
      </c>
      <c r="K1250" s="12" t="s">
        <v>68</v>
      </c>
      <c r="L1250" s="12" t="s">
        <v>96</v>
      </c>
      <c r="M1250">
        <v>9.4700000000000006</v>
      </c>
      <c r="N1250" s="12" t="s">
        <v>70</v>
      </c>
      <c r="O1250" s="12" t="s">
        <v>71</v>
      </c>
      <c r="P1250" s="12" t="s">
        <v>72</v>
      </c>
      <c r="Q1250" s="13">
        <v>45201</v>
      </c>
      <c r="R1250" s="13">
        <v>45225</v>
      </c>
      <c r="S1250">
        <v>2023</v>
      </c>
      <c r="T1250" s="12" t="s">
        <v>1926</v>
      </c>
      <c r="U1250">
        <v>108</v>
      </c>
      <c r="V1250">
        <v>314.15269999999998</v>
      </c>
      <c r="W1250">
        <v>866.67</v>
      </c>
      <c r="X1250">
        <v>0</v>
      </c>
      <c r="Y1250">
        <v>0</v>
      </c>
      <c r="Z1250">
        <v>33928.49</v>
      </c>
      <c r="AA1250">
        <v>34795.160000000003</v>
      </c>
      <c r="AB1250" s="12" t="s">
        <v>734</v>
      </c>
      <c r="AC1250">
        <v>314.15269999999998</v>
      </c>
      <c r="AD1250">
        <v>1</v>
      </c>
      <c r="AE1250">
        <v>1</v>
      </c>
      <c r="AF1250">
        <v>0</v>
      </c>
      <c r="AG1250">
        <v>33928.49</v>
      </c>
      <c r="AH1250">
        <v>108</v>
      </c>
      <c r="AI1250">
        <v>107</v>
      </c>
      <c r="AJ1250">
        <v>1</v>
      </c>
      <c r="AK1250">
        <v>1</v>
      </c>
      <c r="AL1250">
        <v>1</v>
      </c>
      <c r="AM1250">
        <v>99.07</v>
      </c>
      <c r="AN1250">
        <v>325.1884</v>
      </c>
      <c r="AO1250">
        <v>314.14999999999998</v>
      </c>
      <c r="AP1250" s="13">
        <v>45223</v>
      </c>
      <c r="AQ1250">
        <v>-2</v>
      </c>
      <c r="AR1250">
        <v>1</v>
      </c>
    </row>
    <row r="1251" spans="1:44" x14ac:dyDescent="0.35">
      <c r="A1251" s="12" t="s">
        <v>1931</v>
      </c>
      <c r="B1251" s="12" t="s">
        <v>231</v>
      </c>
      <c r="C1251" s="12" t="s">
        <v>232</v>
      </c>
      <c r="D1251" s="12" t="s">
        <v>130</v>
      </c>
      <c r="E1251" s="12" t="s">
        <v>65</v>
      </c>
      <c r="F1251">
        <v>1</v>
      </c>
      <c r="G1251">
        <v>2</v>
      </c>
      <c r="H1251">
        <v>1</v>
      </c>
      <c r="I1251" s="12" t="s">
        <v>233</v>
      </c>
      <c r="J1251" s="12" t="s">
        <v>234</v>
      </c>
      <c r="K1251" s="12" t="s">
        <v>125</v>
      </c>
      <c r="L1251" s="12" t="s">
        <v>96</v>
      </c>
      <c r="M1251">
        <v>3.73</v>
      </c>
      <c r="N1251" s="12" t="s">
        <v>135</v>
      </c>
      <c r="O1251" s="12" t="s">
        <v>136</v>
      </c>
      <c r="P1251" s="12" t="s">
        <v>137</v>
      </c>
      <c r="Q1251" s="13">
        <v>45201</v>
      </c>
      <c r="R1251" s="13">
        <v>45232</v>
      </c>
      <c r="S1251">
        <v>2023</v>
      </c>
      <c r="T1251" s="12" t="s">
        <v>1926</v>
      </c>
      <c r="U1251">
        <v>88</v>
      </c>
      <c r="V1251">
        <v>416.40039999999999</v>
      </c>
      <c r="W1251">
        <v>454.25</v>
      </c>
      <c r="X1251">
        <v>0</v>
      </c>
      <c r="Y1251">
        <v>0</v>
      </c>
      <c r="Z1251">
        <v>36643.24</v>
      </c>
      <c r="AA1251">
        <v>37097.49</v>
      </c>
      <c r="AB1251" s="12" t="s">
        <v>235</v>
      </c>
      <c r="AC1251">
        <v>416.40039999999999</v>
      </c>
      <c r="AD1251">
        <v>1</v>
      </c>
      <c r="AE1251">
        <v>1</v>
      </c>
      <c r="AF1251">
        <v>0</v>
      </c>
      <c r="AG1251">
        <v>36643.24</v>
      </c>
      <c r="AH1251">
        <v>88</v>
      </c>
      <c r="AI1251">
        <v>87</v>
      </c>
      <c r="AJ1251">
        <v>1</v>
      </c>
      <c r="AK1251">
        <v>1</v>
      </c>
      <c r="AL1251">
        <v>1</v>
      </c>
      <c r="AM1251">
        <v>98.86</v>
      </c>
      <c r="AN1251">
        <v>426.40789999999998</v>
      </c>
      <c r="AO1251">
        <v>416.4</v>
      </c>
      <c r="AP1251" s="13">
        <v>45231</v>
      </c>
      <c r="AQ1251">
        <v>-1</v>
      </c>
      <c r="AR1251">
        <v>1</v>
      </c>
    </row>
    <row r="1252" spans="1:44" x14ac:dyDescent="0.35">
      <c r="A1252" s="12" t="s">
        <v>1932</v>
      </c>
      <c r="B1252" s="12" t="s">
        <v>447</v>
      </c>
      <c r="C1252" s="12" t="s">
        <v>448</v>
      </c>
      <c r="D1252" s="12" t="s">
        <v>269</v>
      </c>
      <c r="E1252" s="12" t="s">
        <v>65</v>
      </c>
      <c r="F1252">
        <v>2</v>
      </c>
      <c r="G1252">
        <v>2</v>
      </c>
      <c r="H1252">
        <v>0</v>
      </c>
      <c r="I1252" s="12" t="s">
        <v>94</v>
      </c>
      <c r="J1252" s="12" t="s">
        <v>95</v>
      </c>
      <c r="K1252" s="12" t="s">
        <v>81</v>
      </c>
      <c r="L1252" s="12" t="s">
        <v>96</v>
      </c>
      <c r="M1252">
        <v>4.8099999999999996</v>
      </c>
      <c r="N1252" s="12" t="s">
        <v>135</v>
      </c>
      <c r="O1252" s="12" t="s">
        <v>136</v>
      </c>
      <c r="P1252" s="12" t="s">
        <v>137</v>
      </c>
      <c r="Q1252" s="13">
        <v>45201</v>
      </c>
      <c r="R1252" s="13">
        <v>45231</v>
      </c>
      <c r="S1252">
        <v>2023</v>
      </c>
      <c r="T1252" s="12" t="s">
        <v>1926</v>
      </c>
      <c r="U1252">
        <v>80</v>
      </c>
      <c r="V1252">
        <v>388.54930000000002</v>
      </c>
      <c r="W1252">
        <v>508.26</v>
      </c>
      <c r="X1252">
        <v>0</v>
      </c>
      <c r="Y1252">
        <v>0</v>
      </c>
      <c r="Z1252">
        <v>31083.94</v>
      </c>
      <c r="AA1252">
        <v>31592.2</v>
      </c>
      <c r="AB1252" s="12" t="s">
        <v>449</v>
      </c>
      <c r="AC1252">
        <v>388.54930000000002</v>
      </c>
      <c r="AD1252">
        <v>1</v>
      </c>
      <c r="AE1252">
        <v>1</v>
      </c>
      <c r="AF1252">
        <v>0</v>
      </c>
      <c r="AG1252">
        <v>31083.94</v>
      </c>
      <c r="AH1252">
        <v>80</v>
      </c>
      <c r="AI1252">
        <v>79</v>
      </c>
      <c r="AJ1252">
        <v>1</v>
      </c>
      <c r="AK1252">
        <v>1</v>
      </c>
      <c r="AL1252">
        <v>1</v>
      </c>
      <c r="AM1252">
        <v>98.75</v>
      </c>
      <c r="AN1252">
        <v>399.90129999999999</v>
      </c>
      <c r="AO1252">
        <v>388.55</v>
      </c>
      <c r="AP1252" s="13">
        <v>45229</v>
      </c>
      <c r="AQ1252">
        <v>-2</v>
      </c>
      <c r="AR1252">
        <v>1</v>
      </c>
    </row>
    <row r="1253" spans="1:44" x14ac:dyDescent="0.35">
      <c r="A1253" s="12" t="s">
        <v>1933</v>
      </c>
      <c r="B1253" s="12" t="s">
        <v>163</v>
      </c>
      <c r="C1253" s="12" t="s">
        <v>164</v>
      </c>
      <c r="D1253" s="12" t="s">
        <v>64</v>
      </c>
      <c r="E1253" s="12" t="s">
        <v>104</v>
      </c>
      <c r="F1253">
        <v>2</v>
      </c>
      <c r="G1253">
        <v>0</v>
      </c>
      <c r="H1253">
        <v>0</v>
      </c>
      <c r="I1253" s="12" t="s">
        <v>79</v>
      </c>
      <c r="J1253" s="12" t="s">
        <v>80</v>
      </c>
      <c r="K1253" s="12" t="s">
        <v>81</v>
      </c>
      <c r="L1253" s="12" t="s">
        <v>82</v>
      </c>
      <c r="M1253">
        <v>12.07</v>
      </c>
      <c r="N1253" s="12" t="s">
        <v>70</v>
      </c>
      <c r="O1253" s="12" t="s">
        <v>71</v>
      </c>
      <c r="P1253" s="12" t="s">
        <v>72</v>
      </c>
      <c r="Q1253" s="13">
        <v>45202</v>
      </c>
      <c r="R1253" s="13">
        <v>45216</v>
      </c>
      <c r="S1253">
        <v>2023</v>
      </c>
      <c r="T1253" s="12" t="s">
        <v>1926</v>
      </c>
      <c r="U1253">
        <v>207</v>
      </c>
      <c r="V1253">
        <v>13.194100000000001</v>
      </c>
      <c r="W1253">
        <v>38.840000000000003</v>
      </c>
      <c r="X1253">
        <v>0</v>
      </c>
      <c r="Y1253">
        <v>0</v>
      </c>
      <c r="Z1253">
        <v>2731.18</v>
      </c>
      <c r="AA1253">
        <v>2770.02</v>
      </c>
      <c r="AB1253" s="12" t="s">
        <v>165</v>
      </c>
      <c r="AC1253">
        <v>12.8643</v>
      </c>
      <c r="AD1253">
        <v>1</v>
      </c>
      <c r="AE1253">
        <v>1</v>
      </c>
      <c r="AF1253">
        <v>68.27</v>
      </c>
      <c r="AG1253">
        <v>2662.91</v>
      </c>
      <c r="AH1253">
        <v>207</v>
      </c>
      <c r="AI1253">
        <v>206</v>
      </c>
      <c r="AJ1253">
        <v>1</v>
      </c>
      <c r="AK1253">
        <v>1</v>
      </c>
      <c r="AL1253">
        <v>1</v>
      </c>
      <c r="AM1253">
        <v>99.52</v>
      </c>
      <c r="AN1253">
        <v>13.4467</v>
      </c>
      <c r="AO1253">
        <v>13.19</v>
      </c>
      <c r="AP1253" s="13">
        <v>45217</v>
      </c>
      <c r="AQ1253">
        <v>1</v>
      </c>
      <c r="AR1253">
        <v>0</v>
      </c>
    </row>
    <row r="1254" spans="1:44" x14ac:dyDescent="0.35">
      <c r="A1254" s="12" t="s">
        <v>1934</v>
      </c>
      <c r="B1254" s="12" t="s">
        <v>465</v>
      </c>
      <c r="C1254" s="12" t="s">
        <v>466</v>
      </c>
      <c r="D1254" s="12" t="s">
        <v>78</v>
      </c>
      <c r="E1254" s="12" t="s">
        <v>142</v>
      </c>
      <c r="F1254">
        <v>3</v>
      </c>
      <c r="G1254">
        <v>11</v>
      </c>
      <c r="H1254">
        <v>0</v>
      </c>
      <c r="I1254" s="12" t="s">
        <v>341</v>
      </c>
      <c r="J1254" s="12" t="s">
        <v>342</v>
      </c>
      <c r="K1254" s="12" t="s">
        <v>117</v>
      </c>
      <c r="L1254" s="12" t="s">
        <v>82</v>
      </c>
      <c r="M1254">
        <v>18.36</v>
      </c>
      <c r="N1254" s="12" t="s">
        <v>97</v>
      </c>
      <c r="O1254" s="12" t="s">
        <v>98</v>
      </c>
      <c r="P1254" s="12" t="s">
        <v>72</v>
      </c>
      <c r="Q1254" s="13">
        <v>45202</v>
      </c>
      <c r="R1254" s="13">
        <v>45241</v>
      </c>
      <c r="S1254">
        <v>2023</v>
      </c>
      <c r="T1254" s="12" t="s">
        <v>1926</v>
      </c>
      <c r="U1254">
        <v>102</v>
      </c>
      <c r="V1254">
        <v>110.11579999999999</v>
      </c>
      <c r="W1254">
        <v>102.43</v>
      </c>
      <c r="X1254">
        <v>359.68</v>
      </c>
      <c r="Y1254">
        <v>1</v>
      </c>
      <c r="Z1254">
        <v>11231.81</v>
      </c>
      <c r="AA1254">
        <v>11693.92</v>
      </c>
      <c r="AB1254" s="12" t="s">
        <v>1935</v>
      </c>
      <c r="AC1254">
        <v>110.11579999999999</v>
      </c>
      <c r="AD1254">
        <v>1</v>
      </c>
      <c r="AE1254">
        <v>1</v>
      </c>
      <c r="AF1254">
        <v>0</v>
      </c>
      <c r="AG1254">
        <v>11231.81</v>
      </c>
      <c r="AH1254">
        <v>102</v>
      </c>
      <c r="AI1254">
        <v>100</v>
      </c>
      <c r="AJ1254">
        <v>2</v>
      </c>
      <c r="AK1254">
        <v>1</v>
      </c>
      <c r="AL1254">
        <v>1</v>
      </c>
      <c r="AM1254">
        <v>98.04</v>
      </c>
      <c r="AN1254">
        <v>116.9392</v>
      </c>
      <c r="AO1254">
        <v>220.23</v>
      </c>
      <c r="AP1254" s="13">
        <v>45245</v>
      </c>
      <c r="AQ1254">
        <v>4</v>
      </c>
      <c r="AR1254">
        <v>0</v>
      </c>
    </row>
    <row r="1255" spans="1:44" x14ac:dyDescent="0.35">
      <c r="A1255" s="12" t="s">
        <v>1936</v>
      </c>
      <c r="B1255" s="12" t="s">
        <v>465</v>
      </c>
      <c r="C1255" s="12" t="s">
        <v>466</v>
      </c>
      <c r="D1255" s="12" t="s">
        <v>78</v>
      </c>
      <c r="E1255" s="12" t="s">
        <v>142</v>
      </c>
      <c r="F1255">
        <v>3</v>
      </c>
      <c r="G1255">
        <v>11</v>
      </c>
      <c r="H1255">
        <v>0</v>
      </c>
      <c r="I1255" s="12" t="s">
        <v>195</v>
      </c>
      <c r="J1255" s="12" t="s">
        <v>196</v>
      </c>
      <c r="K1255" s="12" t="s">
        <v>117</v>
      </c>
      <c r="L1255" s="12" t="s">
        <v>134</v>
      </c>
      <c r="M1255">
        <v>4.7699999999999996</v>
      </c>
      <c r="N1255" s="12" t="s">
        <v>70</v>
      </c>
      <c r="O1255" s="12" t="s">
        <v>71</v>
      </c>
      <c r="P1255" s="12" t="s">
        <v>72</v>
      </c>
      <c r="Q1255" s="13">
        <v>45202</v>
      </c>
      <c r="R1255" s="13">
        <v>45253</v>
      </c>
      <c r="S1255">
        <v>2023</v>
      </c>
      <c r="T1255" s="12" t="s">
        <v>1926</v>
      </c>
      <c r="U1255">
        <v>275</v>
      </c>
      <c r="V1255">
        <v>110.11579999999999</v>
      </c>
      <c r="W1255">
        <v>312.45</v>
      </c>
      <c r="X1255">
        <v>0</v>
      </c>
      <c r="Y1255">
        <v>0</v>
      </c>
      <c r="Z1255">
        <v>30281.85</v>
      </c>
      <c r="AA1255">
        <v>30594.3</v>
      </c>
      <c r="AB1255" s="12" t="s">
        <v>467</v>
      </c>
      <c r="AC1255">
        <v>110.11579999999999</v>
      </c>
      <c r="AD1255">
        <v>1</v>
      </c>
      <c r="AE1255">
        <v>1</v>
      </c>
      <c r="AF1255">
        <v>0</v>
      </c>
      <c r="AG1255">
        <v>30281.85</v>
      </c>
      <c r="AH1255">
        <v>275</v>
      </c>
      <c r="AI1255">
        <v>272</v>
      </c>
      <c r="AJ1255">
        <v>3</v>
      </c>
      <c r="AK1255">
        <v>1</v>
      </c>
      <c r="AL1255">
        <v>1</v>
      </c>
      <c r="AM1255">
        <v>98.91</v>
      </c>
      <c r="AN1255">
        <v>112.479</v>
      </c>
      <c r="AO1255">
        <v>330.35</v>
      </c>
      <c r="AP1255" s="13">
        <v>45253</v>
      </c>
      <c r="AQ1255">
        <v>0</v>
      </c>
      <c r="AR1255">
        <v>1</v>
      </c>
    </row>
    <row r="1256" spans="1:44" x14ac:dyDescent="0.35">
      <c r="A1256" s="12" t="s">
        <v>1937</v>
      </c>
      <c r="B1256" s="12" t="s">
        <v>1068</v>
      </c>
      <c r="C1256" s="12" t="s">
        <v>1069</v>
      </c>
      <c r="D1256" s="12" t="s">
        <v>122</v>
      </c>
      <c r="E1256" s="12" t="s">
        <v>65</v>
      </c>
      <c r="F1256">
        <v>2</v>
      </c>
      <c r="G1256">
        <v>2</v>
      </c>
      <c r="H1256">
        <v>0</v>
      </c>
      <c r="I1256" s="12" t="s">
        <v>79</v>
      </c>
      <c r="J1256" s="12" t="s">
        <v>80</v>
      </c>
      <c r="K1256" s="12" t="s">
        <v>81</v>
      </c>
      <c r="L1256" s="12" t="s">
        <v>82</v>
      </c>
      <c r="M1256">
        <v>12.07</v>
      </c>
      <c r="N1256" s="12" t="s">
        <v>70</v>
      </c>
      <c r="O1256" s="12" t="s">
        <v>71</v>
      </c>
      <c r="P1256" s="12" t="s">
        <v>72</v>
      </c>
      <c r="Q1256" s="13">
        <v>45202</v>
      </c>
      <c r="R1256" s="13">
        <v>45234</v>
      </c>
      <c r="S1256">
        <v>2023</v>
      </c>
      <c r="T1256" s="12" t="s">
        <v>1926</v>
      </c>
      <c r="U1256">
        <v>1335</v>
      </c>
      <c r="V1256">
        <v>21.667100000000001</v>
      </c>
      <c r="W1256">
        <v>645.55999999999995</v>
      </c>
      <c r="X1256">
        <v>0</v>
      </c>
      <c r="Y1256">
        <v>0</v>
      </c>
      <c r="Z1256">
        <v>28925.58</v>
      </c>
      <c r="AA1256">
        <v>29571.14</v>
      </c>
      <c r="AB1256" s="12" t="s">
        <v>1070</v>
      </c>
      <c r="AC1256">
        <v>21.667100000000001</v>
      </c>
      <c r="AD1256">
        <v>1</v>
      </c>
      <c r="AE1256">
        <v>1</v>
      </c>
      <c r="AF1256">
        <v>0</v>
      </c>
      <c r="AG1256">
        <v>28925.58</v>
      </c>
      <c r="AH1256">
        <v>1335</v>
      </c>
      <c r="AI1256">
        <v>1324</v>
      </c>
      <c r="AJ1256">
        <v>11</v>
      </c>
      <c r="AK1256">
        <v>1</v>
      </c>
      <c r="AL1256">
        <v>1</v>
      </c>
      <c r="AM1256">
        <v>99.18</v>
      </c>
      <c r="AN1256">
        <v>22.334700000000002</v>
      </c>
      <c r="AO1256">
        <v>238.34</v>
      </c>
      <c r="AP1256" s="13">
        <v>45231</v>
      </c>
      <c r="AQ1256">
        <v>-3</v>
      </c>
      <c r="AR1256">
        <v>1</v>
      </c>
    </row>
    <row r="1257" spans="1:44" x14ac:dyDescent="0.35">
      <c r="A1257" s="12" t="s">
        <v>1938</v>
      </c>
      <c r="B1257" s="12" t="s">
        <v>442</v>
      </c>
      <c r="C1257" s="12" t="s">
        <v>443</v>
      </c>
      <c r="D1257" s="12" t="s">
        <v>130</v>
      </c>
      <c r="E1257" s="12" t="s">
        <v>65</v>
      </c>
      <c r="F1257">
        <v>3</v>
      </c>
      <c r="G1257">
        <v>4</v>
      </c>
      <c r="H1257">
        <v>0</v>
      </c>
      <c r="I1257" s="12" t="s">
        <v>251</v>
      </c>
      <c r="J1257" s="12" t="s">
        <v>252</v>
      </c>
      <c r="K1257" s="12" t="s">
        <v>133</v>
      </c>
      <c r="L1257" s="12" t="s">
        <v>69</v>
      </c>
      <c r="M1257">
        <v>34.49</v>
      </c>
      <c r="N1257" s="12" t="s">
        <v>135</v>
      </c>
      <c r="O1257" s="12" t="s">
        <v>136</v>
      </c>
      <c r="P1257" s="12" t="s">
        <v>137</v>
      </c>
      <c r="Q1257" s="13">
        <v>45202</v>
      </c>
      <c r="R1257" s="13">
        <v>45238</v>
      </c>
      <c r="S1257">
        <v>2023</v>
      </c>
      <c r="T1257" s="12" t="s">
        <v>1926</v>
      </c>
      <c r="U1257">
        <v>131</v>
      </c>
      <c r="V1257">
        <v>610.72789999999998</v>
      </c>
      <c r="W1257">
        <v>1014.48</v>
      </c>
      <c r="X1257">
        <v>0</v>
      </c>
      <c r="Y1257">
        <v>0</v>
      </c>
      <c r="Z1257">
        <v>80005.350000000006</v>
      </c>
      <c r="AA1257">
        <v>81019.83</v>
      </c>
      <c r="AB1257" s="12" t="s">
        <v>444</v>
      </c>
      <c r="AC1257">
        <v>610.72789999999998</v>
      </c>
      <c r="AD1257">
        <v>1</v>
      </c>
      <c r="AE1257">
        <v>1</v>
      </c>
      <c r="AF1257">
        <v>0</v>
      </c>
      <c r="AG1257">
        <v>80005.350000000006</v>
      </c>
      <c r="AH1257">
        <v>131</v>
      </c>
      <c r="AI1257">
        <v>129</v>
      </c>
      <c r="AJ1257">
        <v>2</v>
      </c>
      <c r="AK1257">
        <v>1</v>
      </c>
      <c r="AL1257">
        <v>1</v>
      </c>
      <c r="AM1257">
        <v>98.47</v>
      </c>
      <c r="AN1257">
        <v>628.0607</v>
      </c>
      <c r="AO1257">
        <v>1221.46</v>
      </c>
      <c r="AP1257" s="13">
        <v>45235</v>
      </c>
      <c r="AQ1257">
        <v>-3</v>
      </c>
      <c r="AR1257">
        <v>1</v>
      </c>
    </row>
    <row r="1258" spans="1:44" x14ac:dyDescent="0.35">
      <c r="A1258" s="12" t="s">
        <v>1939</v>
      </c>
      <c r="B1258" s="12" t="s">
        <v>451</v>
      </c>
      <c r="C1258" s="12" t="s">
        <v>452</v>
      </c>
      <c r="D1258" s="12" t="s">
        <v>175</v>
      </c>
      <c r="E1258" s="12" t="s">
        <v>104</v>
      </c>
      <c r="F1258">
        <v>3</v>
      </c>
      <c r="G1258">
        <v>1</v>
      </c>
      <c r="H1258">
        <v>0</v>
      </c>
      <c r="I1258" s="12" t="s">
        <v>157</v>
      </c>
      <c r="J1258" s="12" t="s">
        <v>158</v>
      </c>
      <c r="K1258" s="12" t="s">
        <v>117</v>
      </c>
      <c r="L1258" s="12" t="s">
        <v>96</v>
      </c>
      <c r="M1258">
        <v>4.72</v>
      </c>
      <c r="N1258" s="12" t="s">
        <v>145</v>
      </c>
      <c r="O1258" s="12" t="s">
        <v>146</v>
      </c>
      <c r="P1258" s="12" t="s">
        <v>109</v>
      </c>
      <c r="Q1258" s="13">
        <v>45202</v>
      </c>
      <c r="R1258" s="13">
        <v>45216</v>
      </c>
      <c r="S1258">
        <v>2023</v>
      </c>
      <c r="T1258" s="12" t="s">
        <v>1926</v>
      </c>
      <c r="U1258">
        <v>26</v>
      </c>
      <c r="V1258">
        <v>281.26740000000001</v>
      </c>
      <c r="W1258">
        <v>51.76</v>
      </c>
      <c r="X1258">
        <v>0</v>
      </c>
      <c r="Y1258">
        <v>0</v>
      </c>
      <c r="Z1258">
        <v>7312.95</v>
      </c>
      <c r="AA1258">
        <v>7364.71</v>
      </c>
      <c r="AB1258" s="12" t="s">
        <v>201</v>
      </c>
      <c r="AD1258">
        <v>0</v>
      </c>
      <c r="AE1258">
        <v>0</v>
      </c>
      <c r="AH1258">
        <v>26</v>
      </c>
      <c r="AI1258">
        <v>26</v>
      </c>
      <c r="AJ1258">
        <v>0</v>
      </c>
      <c r="AK1258">
        <v>1</v>
      </c>
      <c r="AL1258">
        <v>1</v>
      </c>
      <c r="AM1258">
        <v>100</v>
      </c>
      <c r="AN1258">
        <v>283.25819999999999</v>
      </c>
      <c r="AO1258">
        <v>0</v>
      </c>
      <c r="AP1258" s="13">
        <v>45214</v>
      </c>
      <c r="AQ1258">
        <v>-2</v>
      </c>
      <c r="AR1258">
        <v>1</v>
      </c>
    </row>
    <row r="1259" spans="1:44" x14ac:dyDescent="0.35">
      <c r="A1259" s="12" t="s">
        <v>1940</v>
      </c>
      <c r="B1259" s="12" t="s">
        <v>587</v>
      </c>
      <c r="C1259" s="12" t="s">
        <v>588</v>
      </c>
      <c r="D1259" s="12" t="s">
        <v>122</v>
      </c>
      <c r="E1259" s="12" t="s">
        <v>104</v>
      </c>
      <c r="F1259">
        <v>2</v>
      </c>
      <c r="G1259">
        <v>0</v>
      </c>
      <c r="H1259">
        <v>0</v>
      </c>
      <c r="I1259" s="12" t="s">
        <v>486</v>
      </c>
      <c r="J1259" s="12" t="s">
        <v>487</v>
      </c>
      <c r="K1259" s="12" t="s">
        <v>125</v>
      </c>
      <c r="L1259" s="12" t="s">
        <v>69</v>
      </c>
      <c r="M1259">
        <v>36.86</v>
      </c>
      <c r="N1259" s="12" t="s">
        <v>97</v>
      </c>
      <c r="O1259" s="12" t="s">
        <v>98</v>
      </c>
      <c r="P1259" s="12" t="s">
        <v>72</v>
      </c>
      <c r="Q1259" s="13">
        <v>45202</v>
      </c>
      <c r="R1259" s="13">
        <v>45224</v>
      </c>
      <c r="S1259">
        <v>2023</v>
      </c>
      <c r="T1259" s="12" t="s">
        <v>1926</v>
      </c>
      <c r="U1259">
        <v>1244</v>
      </c>
      <c r="V1259">
        <v>12.517899999999999</v>
      </c>
      <c r="W1259">
        <v>338.28</v>
      </c>
      <c r="X1259">
        <v>0</v>
      </c>
      <c r="Y1259">
        <v>0</v>
      </c>
      <c r="Z1259">
        <v>15572.27</v>
      </c>
      <c r="AA1259">
        <v>15910.55</v>
      </c>
      <c r="AB1259" s="12" t="s">
        <v>744</v>
      </c>
      <c r="AC1259">
        <v>12.517899999999999</v>
      </c>
      <c r="AD1259">
        <v>1</v>
      </c>
      <c r="AE1259">
        <v>1</v>
      </c>
      <c r="AF1259">
        <v>0</v>
      </c>
      <c r="AG1259">
        <v>15572.27</v>
      </c>
      <c r="AH1259">
        <v>1244</v>
      </c>
      <c r="AI1259">
        <v>1233</v>
      </c>
      <c r="AJ1259">
        <v>11</v>
      </c>
      <c r="AK1259">
        <v>1</v>
      </c>
      <c r="AL1259">
        <v>1</v>
      </c>
      <c r="AM1259">
        <v>99.12</v>
      </c>
      <c r="AN1259">
        <v>12.9039</v>
      </c>
      <c r="AO1259">
        <v>137.69999999999999</v>
      </c>
      <c r="AP1259" s="13">
        <v>45223</v>
      </c>
      <c r="AQ1259">
        <v>-1</v>
      </c>
      <c r="AR1259">
        <v>1</v>
      </c>
    </row>
    <row r="1260" spans="1:44" x14ac:dyDescent="0.35">
      <c r="A1260" s="12" t="s">
        <v>1941</v>
      </c>
      <c r="B1260" s="12" t="s">
        <v>792</v>
      </c>
      <c r="C1260" s="12" t="s">
        <v>793</v>
      </c>
      <c r="D1260" s="12" t="s">
        <v>103</v>
      </c>
      <c r="E1260" s="12" t="s">
        <v>65</v>
      </c>
      <c r="F1260">
        <v>2</v>
      </c>
      <c r="G1260">
        <v>3</v>
      </c>
      <c r="H1260">
        <v>0</v>
      </c>
      <c r="I1260" s="12" t="s">
        <v>115</v>
      </c>
      <c r="J1260" s="12" t="s">
        <v>116</v>
      </c>
      <c r="K1260" s="12" t="s">
        <v>117</v>
      </c>
      <c r="L1260" s="12" t="s">
        <v>82</v>
      </c>
      <c r="M1260">
        <v>17.170000000000002</v>
      </c>
      <c r="N1260" s="12" t="s">
        <v>145</v>
      </c>
      <c r="O1260" s="12" t="s">
        <v>146</v>
      </c>
      <c r="P1260" s="12" t="s">
        <v>109</v>
      </c>
      <c r="Q1260" s="13">
        <v>45202</v>
      </c>
      <c r="R1260" s="13">
        <v>45238</v>
      </c>
      <c r="S1260">
        <v>2023</v>
      </c>
      <c r="T1260" s="12" t="s">
        <v>1926</v>
      </c>
      <c r="U1260">
        <v>128</v>
      </c>
      <c r="V1260">
        <v>99.173299999999998</v>
      </c>
      <c r="W1260">
        <v>257.33</v>
      </c>
      <c r="X1260">
        <v>387.13</v>
      </c>
      <c r="Y1260">
        <v>1</v>
      </c>
      <c r="Z1260">
        <v>12694.18</v>
      </c>
      <c r="AA1260">
        <v>13338.64</v>
      </c>
      <c r="AB1260" s="12" t="s">
        <v>794</v>
      </c>
      <c r="AC1260">
        <v>99.173299999999998</v>
      </c>
      <c r="AD1260">
        <v>1</v>
      </c>
      <c r="AE1260">
        <v>1</v>
      </c>
      <c r="AF1260">
        <v>0</v>
      </c>
      <c r="AG1260">
        <v>12694.18</v>
      </c>
      <c r="AH1260">
        <v>128</v>
      </c>
      <c r="AI1260">
        <v>126</v>
      </c>
      <c r="AJ1260">
        <v>2</v>
      </c>
      <c r="AK1260">
        <v>1</v>
      </c>
      <c r="AL1260">
        <v>1</v>
      </c>
      <c r="AM1260">
        <v>98.44</v>
      </c>
      <c r="AN1260">
        <v>105.8622</v>
      </c>
      <c r="AO1260">
        <v>198.35</v>
      </c>
      <c r="AP1260" s="13">
        <v>45234</v>
      </c>
      <c r="AQ1260">
        <v>-4</v>
      </c>
      <c r="AR1260">
        <v>1</v>
      </c>
    </row>
    <row r="1261" spans="1:44" x14ac:dyDescent="0.35">
      <c r="A1261" s="12" t="s">
        <v>1942</v>
      </c>
      <c r="B1261" s="12" t="s">
        <v>163</v>
      </c>
      <c r="C1261" s="12" t="s">
        <v>164</v>
      </c>
      <c r="D1261" s="12" t="s">
        <v>64</v>
      </c>
      <c r="E1261" s="12" t="s">
        <v>104</v>
      </c>
      <c r="F1261">
        <v>2</v>
      </c>
      <c r="G1261">
        <v>0</v>
      </c>
      <c r="H1261">
        <v>0</v>
      </c>
      <c r="I1261" s="12" t="s">
        <v>79</v>
      </c>
      <c r="J1261" s="12" t="s">
        <v>80</v>
      </c>
      <c r="K1261" s="12" t="s">
        <v>81</v>
      </c>
      <c r="L1261" s="12" t="s">
        <v>82</v>
      </c>
      <c r="M1261">
        <v>12.07</v>
      </c>
      <c r="N1261" s="12" t="s">
        <v>70</v>
      </c>
      <c r="O1261" s="12" t="s">
        <v>71</v>
      </c>
      <c r="P1261" s="12" t="s">
        <v>72</v>
      </c>
      <c r="Q1261" s="13">
        <v>45203</v>
      </c>
      <c r="R1261" s="13">
        <v>45226</v>
      </c>
      <c r="S1261">
        <v>2023</v>
      </c>
      <c r="T1261" s="12" t="s">
        <v>1926</v>
      </c>
      <c r="U1261">
        <v>694</v>
      </c>
      <c r="V1261">
        <v>12.8643</v>
      </c>
      <c r="W1261">
        <v>115.28</v>
      </c>
      <c r="X1261">
        <v>0</v>
      </c>
      <c r="Y1261">
        <v>0</v>
      </c>
      <c r="Z1261">
        <v>8927.82</v>
      </c>
      <c r="AA1261">
        <v>9043.1</v>
      </c>
      <c r="AB1261" s="12" t="s">
        <v>165</v>
      </c>
      <c r="AC1261">
        <v>12.8643</v>
      </c>
      <c r="AD1261">
        <v>1</v>
      </c>
      <c r="AE1261">
        <v>1</v>
      </c>
      <c r="AF1261">
        <v>0</v>
      </c>
      <c r="AG1261">
        <v>8927.82</v>
      </c>
      <c r="AH1261">
        <v>694</v>
      </c>
      <c r="AI1261">
        <v>684</v>
      </c>
      <c r="AJ1261">
        <v>10</v>
      </c>
      <c r="AK1261">
        <v>1</v>
      </c>
      <c r="AL1261">
        <v>1</v>
      </c>
      <c r="AM1261">
        <v>98.56</v>
      </c>
      <c r="AN1261">
        <v>13.2209</v>
      </c>
      <c r="AO1261">
        <v>128.63999999999999</v>
      </c>
      <c r="AP1261" s="13">
        <v>45226</v>
      </c>
      <c r="AQ1261">
        <v>0</v>
      </c>
      <c r="AR1261">
        <v>1</v>
      </c>
    </row>
    <row r="1262" spans="1:44" x14ac:dyDescent="0.35">
      <c r="A1262" s="12" t="s">
        <v>1943</v>
      </c>
      <c r="B1262" s="12" t="s">
        <v>513</v>
      </c>
      <c r="C1262" s="12" t="s">
        <v>514</v>
      </c>
      <c r="D1262" s="12" t="s">
        <v>269</v>
      </c>
      <c r="E1262" s="12" t="s">
        <v>65</v>
      </c>
      <c r="F1262">
        <v>1</v>
      </c>
      <c r="G1262">
        <v>2</v>
      </c>
      <c r="H1262">
        <v>1</v>
      </c>
      <c r="I1262" s="12" t="s">
        <v>515</v>
      </c>
      <c r="J1262" s="12" t="s">
        <v>516</v>
      </c>
      <c r="K1262" s="12" t="s">
        <v>68</v>
      </c>
      <c r="L1262" s="12" t="s">
        <v>134</v>
      </c>
      <c r="M1262">
        <v>3.69</v>
      </c>
      <c r="N1262" s="12" t="s">
        <v>159</v>
      </c>
      <c r="O1262" s="12" t="s">
        <v>160</v>
      </c>
      <c r="P1262" s="12" t="s">
        <v>137</v>
      </c>
      <c r="Q1262" s="13">
        <v>45203</v>
      </c>
      <c r="R1262" s="13">
        <v>45229</v>
      </c>
      <c r="S1262">
        <v>2023</v>
      </c>
      <c r="T1262" s="12" t="s">
        <v>1926</v>
      </c>
      <c r="U1262">
        <v>49</v>
      </c>
      <c r="V1262">
        <v>229.3486</v>
      </c>
      <c r="W1262">
        <v>253.97</v>
      </c>
      <c r="X1262">
        <v>0</v>
      </c>
      <c r="Y1262">
        <v>0</v>
      </c>
      <c r="Z1262">
        <v>11238.08</v>
      </c>
      <c r="AA1262">
        <v>11492.05</v>
      </c>
      <c r="AB1262" s="12" t="s">
        <v>517</v>
      </c>
      <c r="AC1262">
        <v>229.3486</v>
      </c>
      <c r="AD1262">
        <v>1</v>
      </c>
      <c r="AE1262">
        <v>1</v>
      </c>
      <c r="AF1262">
        <v>0</v>
      </c>
      <c r="AG1262">
        <v>11238.08</v>
      </c>
      <c r="AH1262">
        <v>49</v>
      </c>
      <c r="AI1262">
        <v>48</v>
      </c>
      <c r="AJ1262">
        <v>1</v>
      </c>
      <c r="AK1262">
        <v>1</v>
      </c>
      <c r="AL1262">
        <v>1</v>
      </c>
      <c r="AM1262">
        <v>97.96</v>
      </c>
      <c r="AN1262">
        <v>239.4177</v>
      </c>
      <c r="AO1262">
        <v>229.35</v>
      </c>
      <c r="AP1262" s="13">
        <v>45226</v>
      </c>
      <c r="AQ1262">
        <v>-3</v>
      </c>
      <c r="AR1262">
        <v>1</v>
      </c>
    </row>
    <row r="1263" spans="1:44" x14ac:dyDescent="0.35">
      <c r="A1263" s="12" t="s">
        <v>1944</v>
      </c>
      <c r="B1263" s="12" t="s">
        <v>273</v>
      </c>
      <c r="C1263" s="12" t="s">
        <v>274</v>
      </c>
      <c r="D1263" s="12" t="s">
        <v>175</v>
      </c>
      <c r="E1263" s="12" t="s">
        <v>104</v>
      </c>
      <c r="F1263">
        <v>3</v>
      </c>
      <c r="G1263">
        <v>1</v>
      </c>
      <c r="H1263">
        <v>0</v>
      </c>
      <c r="I1263" s="12" t="s">
        <v>341</v>
      </c>
      <c r="J1263" s="12" t="s">
        <v>342</v>
      </c>
      <c r="K1263" s="12" t="s">
        <v>117</v>
      </c>
      <c r="L1263" s="12" t="s">
        <v>82</v>
      </c>
      <c r="M1263">
        <v>18.36</v>
      </c>
      <c r="N1263" s="12" t="s">
        <v>145</v>
      </c>
      <c r="O1263" s="12" t="s">
        <v>146</v>
      </c>
      <c r="P1263" s="12" t="s">
        <v>109</v>
      </c>
      <c r="Q1263" s="13">
        <v>45203</v>
      </c>
      <c r="R1263" s="13">
        <v>45232</v>
      </c>
      <c r="S1263">
        <v>2023</v>
      </c>
      <c r="T1263" s="12" t="s">
        <v>1926</v>
      </c>
      <c r="U1263">
        <v>145</v>
      </c>
      <c r="V1263">
        <v>113.5119</v>
      </c>
      <c r="W1263">
        <v>134.28</v>
      </c>
      <c r="X1263">
        <v>0</v>
      </c>
      <c r="Y1263">
        <v>0</v>
      </c>
      <c r="Z1263">
        <v>16459.23</v>
      </c>
      <c r="AA1263">
        <v>16593.509999999998</v>
      </c>
      <c r="AB1263" s="12" t="s">
        <v>798</v>
      </c>
      <c r="AC1263">
        <v>113.5119</v>
      </c>
      <c r="AD1263">
        <v>1</v>
      </c>
      <c r="AE1263">
        <v>1</v>
      </c>
      <c r="AF1263">
        <v>0</v>
      </c>
      <c r="AG1263">
        <v>16459.23</v>
      </c>
      <c r="AH1263">
        <v>145</v>
      </c>
      <c r="AI1263">
        <v>143</v>
      </c>
      <c r="AJ1263">
        <v>2</v>
      </c>
      <c r="AK1263">
        <v>1</v>
      </c>
      <c r="AL1263">
        <v>1</v>
      </c>
      <c r="AM1263">
        <v>98.62</v>
      </c>
      <c r="AN1263">
        <v>116.0385</v>
      </c>
      <c r="AO1263">
        <v>227.02</v>
      </c>
      <c r="AP1263" s="13">
        <v>45231</v>
      </c>
      <c r="AQ1263">
        <v>-1</v>
      </c>
      <c r="AR1263">
        <v>1</v>
      </c>
    </row>
    <row r="1264" spans="1:44" x14ac:dyDescent="0.35">
      <c r="A1264" s="12" t="s">
        <v>1945</v>
      </c>
      <c r="B1264" s="12" t="s">
        <v>1075</v>
      </c>
      <c r="C1264" s="12" t="s">
        <v>1076</v>
      </c>
      <c r="D1264" s="12" t="s">
        <v>103</v>
      </c>
      <c r="E1264" s="12" t="s">
        <v>65</v>
      </c>
      <c r="F1264">
        <v>2</v>
      </c>
      <c r="G1264">
        <v>4</v>
      </c>
      <c r="H1264">
        <v>0</v>
      </c>
      <c r="I1264" s="12" t="s">
        <v>183</v>
      </c>
      <c r="J1264" s="12" t="s">
        <v>184</v>
      </c>
      <c r="K1264" s="12" t="s">
        <v>133</v>
      </c>
      <c r="L1264" s="12" t="s">
        <v>82</v>
      </c>
      <c r="M1264">
        <v>8.6199999999999992</v>
      </c>
      <c r="N1264" s="12" t="s">
        <v>107</v>
      </c>
      <c r="O1264" s="12" t="s">
        <v>108</v>
      </c>
      <c r="P1264" s="12" t="s">
        <v>109</v>
      </c>
      <c r="Q1264" s="13">
        <v>45203</v>
      </c>
      <c r="R1264" s="13">
        <v>45229</v>
      </c>
      <c r="S1264">
        <v>2023</v>
      </c>
      <c r="T1264" s="12" t="s">
        <v>1926</v>
      </c>
      <c r="U1264">
        <v>51</v>
      </c>
      <c r="V1264">
        <v>68.470200000000006</v>
      </c>
      <c r="W1264">
        <v>51.01</v>
      </c>
      <c r="X1264">
        <v>0</v>
      </c>
      <c r="Y1264">
        <v>0</v>
      </c>
      <c r="Z1264">
        <v>3491.98</v>
      </c>
      <c r="AA1264">
        <v>3542.99</v>
      </c>
      <c r="AB1264" s="12" t="s">
        <v>1163</v>
      </c>
      <c r="AC1264">
        <v>68.470200000000006</v>
      </c>
      <c r="AD1264">
        <v>1</v>
      </c>
      <c r="AE1264">
        <v>1</v>
      </c>
      <c r="AF1264">
        <v>0</v>
      </c>
      <c r="AG1264">
        <v>3491.98</v>
      </c>
      <c r="AH1264">
        <v>51</v>
      </c>
      <c r="AI1264">
        <v>51</v>
      </c>
      <c r="AJ1264">
        <v>0</v>
      </c>
      <c r="AK1264">
        <v>1</v>
      </c>
      <c r="AL1264">
        <v>1</v>
      </c>
      <c r="AM1264">
        <v>100</v>
      </c>
      <c r="AN1264">
        <v>69.470399999999998</v>
      </c>
      <c r="AO1264">
        <v>0</v>
      </c>
      <c r="AP1264" s="13">
        <v>45229</v>
      </c>
      <c r="AQ1264">
        <v>0</v>
      </c>
      <c r="AR1264">
        <v>1</v>
      </c>
    </row>
    <row r="1265" spans="1:44" x14ac:dyDescent="0.35">
      <c r="A1265" s="12" t="s">
        <v>1946</v>
      </c>
      <c r="B1265" s="12" t="s">
        <v>378</v>
      </c>
      <c r="C1265" s="12" t="s">
        <v>379</v>
      </c>
      <c r="D1265" s="12" t="s">
        <v>64</v>
      </c>
      <c r="E1265" s="12" t="s">
        <v>104</v>
      </c>
      <c r="F1265">
        <v>3</v>
      </c>
      <c r="G1265">
        <v>1</v>
      </c>
      <c r="H1265">
        <v>0</v>
      </c>
      <c r="I1265" s="12" t="s">
        <v>176</v>
      </c>
      <c r="J1265" s="12" t="s">
        <v>177</v>
      </c>
      <c r="K1265" s="12" t="s">
        <v>125</v>
      </c>
      <c r="L1265" s="12" t="s">
        <v>134</v>
      </c>
      <c r="M1265">
        <v>1.75</v>
      </c>
      <c r="N1265" s="12" t="s">
        <v>97</v>
      </c>
      <c r="O1265" s="12" t="s">
        <v>98</v>
      </c>
      <c r="P1265" s="12" t="s">
        <v>72</v>
      </c>
      <c r="Q1265" s="13">
        <v>45203</v>
      </c>
      <c r="R1265" s="13">
        <v>45223</v>
      </c>
      <c r="S1265">
        <v>2023</v>
      </c>
      <c r="T1265" s="12" t="s">
        <v>1926</v>
      </c>
      <c r="U1265">
        <v>531</v>
      </c>
      <c r="V1265">
        <v>16.160900000000002</v>
      </c>
      <c r="W1265">
        <v>99.23</v>
      </c>
      <c r="X1265">
        <v>0</v>
      </c>
      <c r="Y1265">
        <v>0</v>
      </c>
      <c r="Z1265">
        <v>8581.44</v>
      </c>
      <c r="AA1265">
        <v>8680.67</v>
      </c>
      <c r="AB1265" s="12" t="s">
        <v>1539</v>
      </c>
      <c r="AC1265">
        <v>16.160900000000002</v>
      </c>
      <c r="AD1265">
        <v>1</v>
      </c>
      <c r="AE1265">
        <v>1</v>
      </c>
      <c r="AF1265">
        <v>0</v>
      </c>
      <c r="AG1265">
        <v>8581.44</v>
      </c>
      <c r="AH1265">
        <v>531</v>
      </c>
      <c r="AI1265">
        <v>525</v>
      </c>
      <c r="AJ1265">
        <v>6</v>
      </c>
      <c r="AK1265">
        <v>1</v>
      </c>
      <c r="AL1265">
        <v>1</v>
      </c>
      <c r="AM1265">
        <v>98.87</v>
      </c>
      <c r="AN1265">
        <v>16.534600000000001</v>
      </c>
      <c r="AO1265">
        <v>96.97</v>
      </c>
      <c r="AP1265" s="13">
        <v>45220</v>
      </c>
      <c r="AQ1265">
        <v>-3</v>
      </c>
      <c r="AR1265">
        <v>1</v>
      </c>
    </row>
    <row r="1266" spans="1:44" x14ac:dyDescent="0.35">
      <c r="A1266" s="12" t="s">
        <v>1947</v>
      </c>
      <c r="B1266" s="12" t="s">
        <v>773</v>
      </c>
      <c r="C1266" s="12" t="s">
        <v>774</v>
      </c>
      <c r="D1266" s="12" t="s">
        <v>64</v>
      </c>
      <c r="E1266" s="12" t="s">
        <v>142</v>
      </c>
      <c r="F1266">
        <v>1</v>
      </c>
      <c r="G1266">
        <v>7</v>
      </c>
      <c r="H1266">
        <v>1</v>
      </c>
      <c r="I1266" s="12" t="s">
        <v>251</v>
      </c>
      <c r="J1266" s="12" t="s">
        <v>252</v>
      </c>
      <c r="K1266" s="12" t="s">
        <v>133</v>
      </c>
      <c r="L1266" s="12" t="s">
        <v>69</v>
      </c>
      <c r="M1266">
        <v>34.49</v>
      </c>
      <c r="N1266" s="12" t="s">
        <v>97</v>
      </c>
      <c r="O1266" s="12" t="s">
        <v>98</v>
      </c>
      <c r="P1266" s="12" t="s">
        <v>72</v>
      </c>
      <c r="Q1266" s="13">
        <v>45203</v>
      </c>
      <c r="R1266" s="13">
        <v>45242</v>
      </c>
      <c r="S1266">
        <v>2023</v>
      </c>
      <c r="T1266" s="12" t="s">
        <v>1926</v>
      </c>
      <c r="U1266">
        <v>335</v>
      </c>
      <c r="V1266">
        <v>10.6129</v>
      </c>
      <c r="W1266">
        <v>60.96</v>
      </c>
      <c r="X1266">
        <v>110.28</v>
      </c>
      <c r="Y1266">
        <v>1</v>
      </c>
      <c r="Z1266">
        <v>3555.32</v>
      </c>
      <c r="AA1266">
        <v>3726.56</v>
      </c>
      <c r="AB1266" s="12" t="s">
        <v>775</v>
      </c>
      <c r="AC1266">
        <v>10.0604</v>
      </c>
      <c r="AD1266">
        <v>1</v>
      </c>
      <c r="AE1266">
        <v>1</v>
      </c>
      <c r="AF1266">
        <v>185.09</v>
      </c>
      <c r="AG1266">
        <v>3370.23</v>
      </c>
      <c r="AH1266">
        <v>335</v>
      </c>
      <c r="AI1266">
        <v>334</v>
      </c>
      <c r="AJ1266">
        <v>1</v>
      </c>
      <c r="AK1266">
        <v>1</v>
      </c>
      <c r="AL1266">
        <v>1</v>
      </c>
      <c r="AM1266">
        <v>99.7</v>
      </c>
      <c r="AN1266">
        <v>11.157400000000001</v>
      </c>
      <c r="AO1266">
        <v>10.61</v>
      </c>
      <c r="AP1266" s="13">
        <v>45247</v>
      </c>
      <c r="AQ1266">
        <v>5</v>
      </c>
      <c r="AR1266">
        <v>0</v>
      </c>
    </row>
    <row r="1267" spans="1:44" x14ac:dyDescent="0.35">
      <c r="A1267" s="12" t="s">
        <v>1948</v>
      </c>
      <c r="B1267" s="12" t="s">
        <v>827</v>
      </c>
      <c r="C1267" s="12" t="s">
        <v>828</v>
      </c>
      <c r="D1267" s="12" t="s">
        <v>175</v>
      </c>
      <c r="E1267" s="12" t="s">
        <v>104</v>
      </c>
      <c r="F1267">
        <v>2</v>
      </c>
      <c r="G1267">
        <v>0</v>
      </c>
      <c r="H1267">
        <v>0</v>
      </c>
      <c r="I1267" s="12" t="s">
        <v>183</v>
      </c>
      <c r="J1267" s="12" t="s">
        <v>184</v>
      </c>
      <c r="K1267" s="12" t="s">
        <v>133</v>
      </c>
      <c r="L1267" s="12" t="s">
        <v>82</v>
      </c>
      <c r="M1267">
        <v>8.6199999999999992</v>
      </c>
      <c r="N1267" s="12" t="s">
        <v>107</v>
      </c>
      <c r="O1267" s="12" t="s">
        <v>108</v>
      </c>
      <c r="P1267" s="12" t="s">
        <v>109</v>
      </c>
      <c r="Q1267" s="13">
        <v>45203</v>
      </c>
      <c r="R1267" s="13">
        <v>45229</v>
      </c>
      <c r="S1267">
        <v>2023</v>
      </c>
      <c r="T1267" s="12" t="s">
        <v>1926</v>
      </c>
      <c r="U1267">
        <v>123</v>
      </c>
      <c r="V1267">
        <v>107.794</v>
      </c>
      <c r="W1267">
        <v>113.62</v>
      </c>
      <c r="X1267">
        <v>0</v>
      </c>
      <c r="Y1267">
        <v>0</v>
      </c>
      <c r="Z1267">
        <v>13258.66</v>
      </c>
      <c r="AA1267">
        <v>13372.28</v>
      </c>
      <c r="AB1267" s="12" t="s">
        <v>829</v>
      </c>
      <c r="AC1267">
        <v>107.794</v>
      </c>
      <c r="AD1267">
        <v>1</v>
      </c>
      <c r="AE1267">
        <v>1</v>
      </c>
      <c r="AF1267">
        <v>0</v>
      </c>
      <c r="AG1267">
        <v>13258.66</v>
      </c>
      <c r="AH1267">
        <v>123</v>
      </c>
      <c r="AI1267">
        <v>122</v>
      </c>
      <c r="AJ1267">
        <v>1</v>
      </c>
      <c r="AK1267">
        <v>1</v>
      </c>
      <c r="AL1267">
        <v>1</v>
      </c>
      <c r="AM1267">
        <v>99.19</v>
      </c>
      <c r="AN1267">
        <v>109.60890000000001</v>
      </c>
      <c r="AO1267">
        <v>107.79</v>
      </c>
      <c r="AP1267" s="13">
        <v>45233</v>
      </c>
      <c r="AQ1267">
        <v>4</v>
      </c>
      <c r="AR1267">
        <v>0</v>
      </c>
    </row>
    <row r="1268" spans="1:44" x14ac:dyDescent="0.35">
      <c r="A1268" s="12" t="s">
        <v>1949</v>
      </c>
      <c r="B1268" s="12" t="s">
        <v>255</v>
      </c>
      <c r="C1268" s="12" t="s">
        <v>256</v>
      </c>
      <c r="D1268" s="12" t="s">
        <v>103</v>
      </c>
      <c r="E1268" s="12" t="s">
        <v>65</v>
      </c>
      <c r="F1268">
        <v>2</v>
      </c>
      <c r="G1268">
        <v>4</v>
      </c>
      <c r="H1268">
        <v>0</v>
      </c>
      <c r="I1268" s="12" t="s">
        <v>143</v>
      </c>
      <c r="J1268" s="12" t="s">
        <v>144</v>
      </c>
      <c r="K1268" s="12" t="s">
        <v>133</v>
      </c>
      <c r="L1268" s="12" t="s">
        <v>96</v>
      </c>
      <c r="M1268">
        <v>5.43</v>
      </c>
      <c r="N1268" s="12" t="s">
        <v>107</v>
      </c>
      <c r="O1268" s="12" t="s">
        <v>108</v>
      </c>
      <c r="P1268" s="12" t="s">
        <v>109</v>
      </c>
      <c r="Q1268" s="13">
        <v>45203</v>
      </c>
      <c r="R1268" s="13">
        <v>45230</v>
      </c>
      <c r="S1268">
        <v>2023</v>
      </c>
      <c r="T1268" s="12" t="s">
        <v>1926</v>
      </c>
      <c r="U1268">
        <v>58</v>
      </c>
      <c r="V1268">
        <v>95.085700000000003</v>
      </c>
      <c r="W1268">
        <v>54.52</v>
      </c>
      <c r="X1268">
        <v>0</v>
      </c>
      <c r="Y1268">
        <v>0</v>
      </c>
      <c r="Z1268">
        <v>5514.97</v>
      </c>
      <c r="AA1268">
        <v>5569.49</v>
      </c>
      <c r="AB1268" s="12" t="s">
        <v>366</v>
      </c>
      <c r="AC1268">
        <v>95.085700000000003</v>
      </c>
      <c r="AD1268">
        <v>1</v>
      </c>
      <c r="AE1268">
        <v>1</v>
      </c>
      <c r="AF1268">
        <v>0</v>
      </c>
      <c r="AG1268">
        <v>5514.97</v>
      </c>
      <c r="AH1268">
        <v>58</v>
      </c>
      <c r="AI1268">
        <v>57</v>
      </c>
      <c r="AJ1268">
        <v>1</v>
      </c>
      <c r="AK1268">
        <v>1</v>
      </c>
      <c r="AL1268">
        <v>1</v>
      </c>
      <c r="AM1268">
        <v>98.28</v>
      </c>
      <c r="AN1268">
        <v>97.710400000000007</v>
      </c>
      <c r="AO1268">
        <v>95.09</v>
      </c>
      <c r="AP1268" s="13">
        <v>45236</v>
      </c>
      <c r="AQ1268">
        <v>6</v>
      </c>
      <c r="AR1268">
        <v>0</v>
      </c>
    </row>
    <row r="1269" spans="1:44" x14ac:dyDescent="0.35">
      <c r="A1269" s="12" t="s">
        <v>1950</v>
      </c>
      <c r="B1269" s="12" t="s">
        <v>661</v>
      </c>
      <c r="C1269" s="12" t="s">
        <v>662</v>
      </c>
      <c r="D1269" s="12" t="s">
        <v>175</v>
      </c>
      <c r="E1269" s="12" t="s">
        <v>104</v>
      </c>
      <c r="F1269">
        <v>1</v>
      </c>
      <c r="G1269">
        <v>0</v>
      </c>
      <c r="H1269">
        <v>1</v>
      </c>
      <c r="I1269" s="12" t="s">
        <v>183</v>
      </c>
      <c r="J1269" s="12" t="s">
        <v>184</v>
      </c>
      <c r="K1269" s="12" t="s">
        <v>133</v>
      </c>
      <c r="L1269" s="12" t="s">
        <v>82</v>
      </c>
      <c r="M1269">
        <v>8.6199999999999992</v>
      </c>
      <c r="N1269" s="12" t="s">
        <v>107</v>
      </c>
      <c r="O1269" s="12" t="s">
        <v>108</v>
      </c>
      <c r="P1269" s="12" t="s">
        <v>109</v>
      </c>
      <c r="Q1269" s="13">
        <v>45203</v>
      </c>
      <c r="R1269" s="13">
        <v>45228</v>
      </c>
      <c r="S1269">
        <v>2023</v>
      </c>
      <c r="T1269" s="12" t="s">
        <v>1926</v>
      </c>
      <c r="U1269">
        <v>112</v>
      </c>
      <c r="V1269">
        <v>194.86689999999999</v>
      </c>
      <c r="W1269">
        <v>275.05</v>
      </c>
      <c r="X1269">
        <v>0</v>
      </c>
      <c r="Y1269">
        <v>0</v>
      </c>
      <c r="Z1269">
        <v>21825.09</v>
      </c>
      <c r="AA1269">
        <v>22100.14</v>
      </c>
      <c r="AB1269" s="12" t="s">
        <v>663</v>
      </c>
      <c r="AC1269">
        <v>201.68719999999999</v>
      </c>
      <c r="AD1269">
        <v>2</v>
      </c>
      <c r="AE1269">
        <v>1</v>
      </c>
      <c r="AF1269">
        <v>-763.87</v>
      </c>
      <c r="AG1269">
        <v>22588.97</v>
      </c>
      <c r="AH1269">
        <v>112</v>
      </c>
      <c r="AI1269">
        <v>111</v>
      </c>
      <c r="AJ1269">
        <v>1</v>
      </c>
      <c r="AK1269">
        <v>1</v>
      </c>
      <c r="AL1269">
        <v>1</v>
      </c>
      <c r="AM1269">
        <v>99.11</v>
      </c>
      <c r="AN1269">
        <v>199.10040000000001</v>
      </c>
      <c r="AO1269">
        <v>194.87</v>
      </c>
      <c r="AP1269" s="13">
        <v>45228</v>
      </c>
      <c r="AQ1269">
        <v>0</v>
      </c>
      <c r="AR1269">
        <v>1</v>
      </c>
    </row>
    <row r="1270" spans="1:44" x14ac:dyDescent="0.35">
      <c r="A1270" s="12" t="s">
        <v>1951</v>
      </c>
      <c r="B1270" s="12" t="s">
        <v>712</v>
      </c>
      <c r="C1270" s="12" t="s">
        <v>713</v>
      </c>
      <c r="D1270" s="12" t="s">
        <v>103</v>
      </c>
      <c r="E1270" s="12" t="s">
        <v>104</v>
      </c>
      <c r="F1270">
        <v>2</v>
      </c>
      <c r="G1270">
        <v>0</v>
      </c>
      <c r="H1270">
        <v>0</v>
      </c>
      <c r="I1270" s="12" t="s">
        <v>199</v>
      </c>
      <c r="J1270" s="12" t="s">
        <v>200</v>
      </c>
      <c r="K1270" s="12" t="s">
        <v>68</v>
      </c>
      <c r="L1270" s="12" t="s">
        <v>96</v>
      </c>
      <c r="M1270">
        <v>9.4700000000000006</v>
      </c>
      <c r="N1270" s="12" t="s">
        <v>107</v>
      </c>
      <c r="O1270" s="12" t="s">
        <v>108</v>
      </c>
      <c r="P1270" s="12" t="s">
        <v>109</v>
      </c>
      <c r="Q1270" s="13">
        <v>45203</v>
      </c>
      <c r="R1270" s="13">
        <v>45227</v>
      </c>
      <c r="S1270">
        <v>2023</v>
      </c>
      <c r="T1270" s="12" t="s">
        <v>1926</v>
      </c>
      <c r="U1270">
        <v>104</v>
      </c>
      <c r="V1270">
        <v>202.47229999999999</v>
      </c>
      <c r="W1270">
        <v>305.10000000000002</v>
      </c>
      <c r="X1270">
        <v>0</v>
      </c>
      <c r="Y1270">
        <v>0</v>
      </c>
      <c r="Z1270">
        <v>21057.119999999999</v>
      </c>
      <c r="AA1270">
        <v>21362.22</v>
      </c>
      <c r="AB1270" s="12" t="s">
        <v>714</v>
      </c>
      <c r="AC1270">
        <v>202.47229999999999</v>
      </c>
      <c r="AD1270">
        <v>1</v>
      </c>
      <c r="AE1270">
        <v>1</v>
      </c>
      <c r="AF1270">
        <v>0</v>
      </c>
      <c r="AG1270">
        <v>21057.119999999999</v>
      </c>
      <c r="AH1270">
        <v>104</v>
      </c>
      <c r="AI1270">
        <v>104</v>
      </c>
      <c r="AJ1270">
        <v>0</v>
      </c>
      <c r="AK1270">
        <v>1</v>
      </c>
      <c r="AL1270">
        <v>1</v>
      </c>
      <c r="AM1270">
        <v>100</v>
      </c>
      <c r="AN1270">
        <v>205.40600000000001</v>
      </c>
      <c r="AO1270">
        <v>0</v>
      </c>
      <c r="AP1270" s="13">
        <v>45229</v>
      </c>
      <c r="AQ1270">
        <v>2</v>
      </c>
      <c r="AR1270">
        <v>0</v>
      </c>
    </row>
    <row r="1271" spans="1:44" x14ac:dyDescent="0.35">
      <c r="A1271" s="12" t="s">
        <v>1952</v>
      </c>
      <c r="B1271" s="12" t="s">
        <v>902</v>
      </c>
      <c r="C1271" s="12" t="s">
        <v>903</v>
      </c>
      <c r="D1271" s="12" t="s">
        <v>122</v>
      </c>
      <c r="E1271" s="12" t="s">
        <v>142</v>
      </c>
      <c r="F1271">
        <v>1</v>
      </c>
      <c r="G1271">
        <v>6</v>
      </c>
      <c r="H1271">
        <v>1</v>
      </c>
      <c r="I1271" s="12" t="s">
        <v>105</v>
      </c>
      <c r="J1271" s="12" t="s">
        <v>106</v>
      </c>
      <c r="K1271" s="12" t="s">
        <v>81</v>
      </c>
      <c r="L1271" s="12" t="s">
        <v>96</v>
      </c>
      <c r="M1271">
        <v>5.01</v>
      </c>
      <c r="N1271" s="12" t="s">
        <v>70</v>
      </c>
      <c r="O1271" s="12" t="s">
        <v>71</v>
      </c>
      <c r="P1271" s="12" t="s">
        <v>72</v>
      </c>
      <c r="Q1271" s="13">
        <v>45203</v>
      </c>
      <c r="R1271" s="13">
        <v>45254</v>
      </c>
      <c r="S1271">
        <v>2023</v>
      </c>
      <c r="T1271" s="12" t="s">
        <v>1926</v>
      </c>
      <c r="U1271">
        <v>1811</v>
      </c>
      <c r="V1271">
        <v>41.861199999999997</v>
      </c>
      <c r="W1271">
        <v>1898.48</v>
      </c>
      <c r="X1271">
        <v>0</v>
      </c>
      <c r="Y1271">
        <v>0</v>
      </c>
      <c r="Z1271">
        <v>75810.63</v>
      </c>
      <c r="AA1271">
        <v>77709.11</v>
      </c>
      <c r="AB1271" s="12" t="s">
        <v>904</v>
      </c>
      <c r="AC1271">
        <v>41.861199999999997</v>
      </c>
      <c r="AD1271">
        <v>1</v>
      </c>
      <c r="AE1271">
        <v>1</v>
      </c>
      <c r="AF1271">
        <v>0</v>
      </c>
      <c r="AG1271">
        <v>75810.63</v>
      </c>
      <c r="AH1271">
        <v>1811</v>
      </c>
      <c r="AI1271">
        <v>1790</v>
      </c>
      <c r="AJ1271">
        <v>21</v>
      </c>
      <c r="AK1271">
        <v>1</v>
      </c>
      <c r="AL1271">
        <v>1</v>
      </c>
      <c r="AM1271">
        <v>98.84</v>
      </c>
      <c r="AN1271">
        <v>43.4129</v>
      </c>
      <c r="AO1271">
        <v>879.09</v>
      </c>
      <c r="AP1271" s="13">
        <v>45250</v>
      </c>
      <c r="AQ1271">
        <v>-4</v>
      </c>
      <c r="AR1271">
        <v>1</v>
      </c>
    </row>
    <row r="1272" spans="1:44" x14ac:dyDescent="0.35">
      <c r="A1272" s="12" t="s">
        <v>1953</v>
      </c>
      <c r="B1272" s="12" t="s">
        <v>902</v>
      </c>
      <c r="C1272" s="12" t="s">
        <v>903</v>
      </c>
      <c r="D1272" s="12" t="s">
        <v>122</v>
      </c>
      <c r="E1272" s="12" t="s">
        <v>142</v>
      </c>
      <c r="F1272">
        <v>1</v>
      </c>
      <c r="G1272">
        <v>6</v>
      </c>
      <c r="H1272">
        <v>1</v>
      </c>
      <c r="I1272" s="12" t="s">
        <v>105</v>
      </c>
      <c r="J1272" s="12" t="s">
        <v>106</v>
      </c>
      <c r="K1272" s="12" t="s">
        <v>81</v>
      </c>
      <c r="L1272" s="12" t="s">
        <v>96</v>
      </c>
      <c r="M1272">
        <v>5.01</v>
      </c>
      <c r="N1272" s="12" t="s">
        <v>70</v>
      </c>
      <c r="O1272" s="12" t="s">
        <v>71</v>
      </c>
      <c r="P1272" s="12" t="s">
        <v>72</v>
      </c>
      <c r="Q1272" s="13">
        <v>45203</v>
      </c>
      <c r="R1272" s="13">
        <v>45251</v>
      </c>
      <c r="S1272">
        <v>2023</v>
      </c>
      <c r="T1272" s="12" t="s">
        <v>1926</v>
      </c>
      <c r="U1272">
        <v>1549</v>
      </c>
      <c r="V1272">
        <v>41.861199999999997</v>
      </c>
      <c r="W1272">
        <v>941.86</v>
      </c>
      <c r="X1272">
        <v>0</v>
      </c>
      <c r="Y1272">
        <v>0</v>
      </c>
      <c r="Z1272">
        <v>64843</v>
      </c>
      <c r="AA1272">
        <v>65784.86</v>
      </c>
      <c r="AB1272" s="12" t="s">
        <v>904</v>
      </c>
      <c r="AC1272">
        <v>41.861199999999997</v>
      </c>
      <c r="AD1272">
        <v>1</v>
      </c>
      <c r="AE1272">
        <v>1</v>
      </c>
      <c r="AF1272">
        <v>0</v>
      </c>
      <c r="AG1272">
        <v>64843</v>
      </c>
      <c r="AH1272">
        <v>1549</v>
      </c>
      <c r="AI1272">
        <v>1540</v>
      </c>
      <c r="AJ1272">
        <v>9</v>
      </c>
      <c r="AK1272">
        <v>1</v>
      </c>
      <c r="AL1272">
        <v>1</v>
      </c>
      <c r="AM1272">
        <v>99.42</v>
      </c>
      <c r="AN1272">
        <v>42.717399999999998</v>
      </c>
      <c r="AO1272">
        <v>376.75</v>
      </c>
      <c r="AP1272" s="13">
        <v>45249</v>
      </c>
      <c r="AQ1272">
        <v>-2</v>
      </c>
      <c r="AR1272">
        <v>1</v>
      </c>
    </row>
    <row r="1273" spans="1:44" x14ac:dyDescent="0.35">
      <c r="A1273" s="12" t="s">
        <v>1954</v>
      </c>
      <c r="B1273" s="12" t="s">
        <v>327</v>
      </c>
      <c r="C1273" s="12" t="s">
        <v>328</v>
      </c>
      <c r="D1273" s="12" t="s">
        <v>130</v>
      </c>
      <c r="E1273" s="12" t="s">
        <v>104</v>
      </c>
      <c r="F1273">
        <v>2</v>
      </c>
      <c r="G1273">
        <v>0</v>
      </c>
      <c r="H1273">
        <v>0</v>
      </c>
      <c r="I1273" s="12" t="s">
        <v>94</v>
      </c>
      <c r="J1273" s="12" t="s">
        <v>95</v>
      </c>
      <c r="K1273" s="12" t="s">
        <v>81</v>
      </c>
      <c r="L1273" s="12" t="s">
        <v>96</v>
      </c>
      <c r="M1273">
        <v>4.8099999999999996</v>
      </c>
      <c r="N1273" s="12" t="s">
        <v>135</v>
      </c>
      <c r="O1273" s="12" t="s">
        <v>136</v>
      </c>
      <c r="P1273" s="12" t="s">
        <v>137</v>
      </c>
      <c r="Q1273" s="13">
        <v>45204</v>
      </c>
      <c r="R1273" s="13">
        <v>45227</v>
      </c>
      <c r="S1273">
        <v>2023</v>
      </c>
      <c r="T1273" s="12" t="s">
        <v>1926</v>
      </c>
      <c r="U1273">
        <v>101</v>
      </c>
      <c r="V1273">
        <v>762.93029999999999</v>
      </c>
      <c r="W1273">
        <v>804.87</v>
      </c>
      <c r="X1273">
        <v>0</v>
      </c>
      <c r="Y1273">
        <v>0</v>
      </c>
      <c r="Z1273">
        <v>77055.960000000006</v>
      </c>
      <c r="AA1273">
        <v>77860.83</v>
      </c>
      <c r="AB1273" s="12" t="s">
        <v>329</v>
      </c>
      <c r="AC1273">
        <v>762.93029999999999</v>
      </c>
      <c r="AD1273">
        <v>1</v>
      </c>
      <c r="AE1273">
        <v>1</v>
      </c>
      <c r="AF1273">
        <v>0</v>
      </c>
      <c r="AG1273">
        <v>77055.960000000006</v>
      </c>
      <c r="AH1273">
        <v>101</v>
      </c>
      <c r="AI1273">
        <v>100</v>
      </c>
      <c r="AJ1273">
        <v>1</v>
      </c>
      <c r="AK1273">
        <v>1</v>
      </c>
      <c r="AL1273">
        <v>1</v>
      </c>
      <c r="AM1273">
        <v>99.01</v>
      </c>
      <c r="AN1273">
        <v>778.60829999999999</v>
      </c>
      <c r="AO1273">
        <v>762.93</v>
      </c>
      <c r="AP1273" s="13">
        <v>45226</v>
      </c>
      <c r="AQ1273">
        <v>-1</v>
      </c>
      <c r="AR1273">
        <v>1</v>
      </c>
    </row>
    <row r="1274" spans="1:44" x14ac:dyDescent="0.35">
      <c r="A1274" s="12" t="s">
        <v>1955</v>
      </c>
      <c r="B1274" s="12" t="s">
        <v>613</v>
      </c>
      <c r="C1274" s="12" t="s">
        <v>614</v>
      </c>
      <c r="D1274" s="12" t="s">
        <v>130</v>
      </c>
      <c r="E1274" s="12" t="s">
        <v>104</v>
      </c>
      <c r="F1274">
        <v>3</v>
      </c>
      <c r="G1274">
        <v>1</v>
      </c>
      <c r="H1274">
        <v>0</v>
      </c>
      <c r="I1274" s="12" t="s">
        <v>66</v>
      </c>
      <c r="J1274" s="12" t="s">
        <v>67</v>
      </c>
      <c r="K1274" s="12" t="s">
        <v>68</v>
      </c>
      <c r="L1274" s="12" t="s">
        <v>69</v>
      </c>
      <c r="M1274">
        <v>17.66</v>
      </c>
      <c r="N1274" s="12" t="s">
        <v>159</v>
      </c>
      <c r="O1274" s="12" t="s">
        <v>160</v>
      </c>
      <c r="P1274" s="12" t="s">
        <v>137</v>
      </c>
      <c r="Q1274" s="13">
        <v>45204</v>
      </c>
      <c r="R1274" s="13">
        <v>45229</v>
      </c>
      <c r="S1274">
        <v>2023</v>
      </c>
      <c r="T1274" s="12" t="s">
        <v>1926</v>
      </c>
      <c r="U1274">
        <v>115</v>
      </c>
      <c r="V1274">
        <v>201.1696</v>
      </c>
      <c r="W1274">
        <v>421.74</v>
      </c>
      <c r="X1274">
        <v>0</v>
      </c>
      <c r="Y1274">
        <v>0</v>
      </c>
      <c r="Z1274">
        <v>23134.5</v>
      </c>
      <c r="AA1274">
        <v>23556.240000000002</v>
      </c>
      <c r="AB1274" s="12" t="s">
        <v>615</v>
      </c>
      <c r="AC1274">
        <v>195.35140000000001</v>
      </c>
      <c r="AD1274">
        <v>1</v>
      </c>
      <c r="AE1274">
        <v>1</v>
      </c>
      <c r="AF1274">
        <v>669.09</v>
      </c>
      <c r="AG1274">
        <v>22465.41</v>
      </c>
      <c r="AH1274">
        <v>115</v>
      </c>
      <c r="AI1274">
        <v>115</v>
      </c>
      <c r="AJ1274">
        <v>0</v>
      </c>
      <c r="AK1274">
        <v>1</v>
      </c>
      <c r="AL1274">
        <v>1</v>
      </c>
      <c r="AM1274">
        <v>100</v>
      </c>
      <c r="AN1274">
        <v>204.83690000000001</v>
      </c>
      <c r="AO1274">
        <v>0</v>
      </c>
      <c r="AP1274" s="13">
        <v>45228</v>
      </c>
      <c r="AQ1274">
        <v>-1</v>
      </c>
      <c r="AR1274">
        <v>1</v>
      </c>
    </row>
    <row r="1275" spans="1:44" x14ac:dyDescent="0.35">
      <c r="A1275" s="12" t="s">
        <v>1956</v>
      </c>
      <c r="B1275" s="12" t="s">
        <v>167</v>
      </c>
      <c r="C1275" s="12" t="s">
        <v>168</v>
      </c>
      <c r="D1275" s="12" t="s">
        <v>64</v>
      </c>
      <c r="E1275" s="12" t="s">
        <v>104</v>
      </c>
      <c r="F1275">
        <v>3</v>
      </c>
      <c r="G1275">
        <v>1</v>
      </c>
      <c r="H1275">
        <v>0</v>
      </c>
      <c r="I1275" s="12" t="s">
        <v>169</v>
      </c>
      <c r="J1275" s="12" t="s">
        <v>170</v>
      </c>
      <c r="K1275" s="12" t="s">
        <v>89</v>
      </c>
      <c r="L1275" s="12" t="s">
        <v>134</v>
      </c>
      <c r="M1275">
        <v>1.37</v>
      </c>
      <c r="N1275" s="12" t="s">
        <v>97</v>
      </c>
      <c r="O1275" s="12" t="s">
        <v>98</v>
      </c>
      <c r="P1275" s="12" t="s">
        <v>72</v>
      </c>
      <c r="Q1275" s="13">
        <v>45204</v>
      </c>
      <c r="R1275" s="13">
        <v>45231</v>
      </c>
      <c r="S1275">
        <v>2023</v>
      </c>
      <c r="T1275" s="12" t="s">
        <v>1926</v>
      </c>
      <c r="U1275">
        <v>878</v>
      </c>
      <c r="V1275">
        <v>28.7181</v>
      </c>
      <c r="W1275">
        <v>584.6</v>
      </c>
      <c r="X1275">
        <v>0</v>
      </c>
      <c r="Y1275">
        <v>0</v>
      </c>
      <c r="Z1275">
        <v>25214.49</v>
      </c>
      <c r="AA1275">
        <v>25799.09</v>
      </c>
      <c r="AB1275" s="12" t="s">
        <v>171</v>
      </c>
      <c r="AC1275">
        <v>28.7181</v>
      </c>
      <c r="AD1275">
        <v>1</v>
      </c>
      <c r="AE1275">
        <v>1</v>
      </c>
      <c r="AF1275">
        <v>0</v>
      </c>
      <c r="AG1275">
        <v>25214.49</v>
      </c>
      <c r="AH1275">
        <v>878</v>
      </c>
      <c r="AI1275">
        <v>867</v>
      </c>
      <c r="AJ1275">
        <v>11</v>
      </c>
      <c r="AK1275">
        <v>1</v>
      </c>
      <c r="AL1275">
        <v>1</v>
      </c>
      <c r="AM1275">
        <v>98.75</v>
      </c>
      <c r="AN1275">
        <v>29.756699999999999</v>
      </c>
      <c r="AO1275">
        <v>315.89999999999998</v>
      </c>
      <c r="AP1275" s="13">
        <v>45231</v>
      </c>
      <c r="AQ1275">
        <v>0</v>
      </c>
      <c r="AR1275">
        <v>1</v>
      </c>
    </row>
    <row r="1276" spans="1:44" x14ac:dyDescent="0.35">
      <c r="A1276" s="12" t="s">
        <v>1957</v>
      </c>
      <c r="B1276" s="12" t="s">
        <v>451</v>
      </c>
      <c r="C1276" s="12" t="s">
        <v>452</v>
      </c>
      <c r="D1276" s="12" t="s">
        <v>175</v>
      </c>
      <c r="E1276" s="12" t="s">
        <v>104</v>
      </c>
      <c r="F1276">
        <v>3</v>
      </c>
      <c r="G1276">
        <v>1</v>
      </c>
      <c r="H1276">
        <v>0</v>
      </c>
      <c r="I1276" s="12" t="s">
        <v>359</v>
      </c>
      <c r="J1276" s="12" t="s">
        <v>360</v>
      </c>
      <c r="K1276" s="12" t="s">
        <v>133</v>
      </c>
      <c r="L1276" s="12" t="s">
        <v>82</v>
      </c>
      <c r="M1276">
        <v>12.65</v>
      </c>
      <c r="N1276" s="12" t="s">
        <v>107</v>
      </c>
      <c r="O1276" s="12" t="s">
        <v>108</v>
      </c>
      <c r="P1276" s="12" t="s">
        <v>109</v>
      </c>
      <c r="Q1276" s="13">
        <v>45204</v>
      </c>
      <c r="R1276" s="13">
        <v>45223</v>
      </c>
      <c r="S1276">
        <v>2023</v>
      </c>
      <c r="T1276" s="12" t="s">
        <v>1926</v>
      </c>
      <c r="U1276">
        <v>66</v>
      </c>
      <c r="V1276">
        <v>254.15530000000001</v>
      </c>
      <c r="W1276">
        <v>321.14</v>
      </c>
      <c r="X1276">
        <v>0</v>
      </c>
      <c r="Y1276">
        <v>0</v>
      </c>
      <c r="Z1276">
        <v>16774.25</v>
      </c>
      <c r="AA1276">
        <v>17095.39</v>
      </c>
      <c r="AB1276" s="12" t="s">
        <v>627</v>
      </c>
      <c r="AC1276">
        <v>254.15530000000001</v>
      </c>
      <c r="AD1276">
        <v>1</v>
      </c>
      <c r="AE1276">
        <v>1</v>
      </c>
      <c r="AF1276">
        <v>0</v>
      </c>
      <c r="AG1276">
        <v>16774.25</v>
      </c>
      <c r="AH1276">
        <v>66</v>
      </c>
      <c r="AI1276">
        <v>65</v>
      </c>
      <c r="AJ1276">
        <v>1</v>
      </c>
      <c r="AK1276">
        <v>1</v>
      </c>
      <c r="AL1276">
        <v>1</v>
      </c>
      <c r="AM1276">
        <v>98.48</v>
      </c>
      <c r="AN1276">
        <v>263.00599999999997</v>
      </c>
      <c r="AO1276">
        <v>254.16</v>
      </c>
      <c r="AP1276" s="13">
        <v>45220</v>
      </c>
      <c r="AQ1276">
        <v>-3</v>
      </c>
      <c r="AR1276">
        <v>1</v>
      </c>
    </row>
    <row r="1277" spans="1:44" x14ac:dyDescent="0.35">
      <c r="A1277" s="12" t="s">
        <v>1958</v>
      </c>
      <c r="B1277" s="12" t="s">
        <v>339</v>
      </c>
      <c r="C1277" s="12" t="s">
        <v>340</v>
      </c>
      <c r="D1277" s="12" t="s">
        <v>103</v>
      </c>
      <c r="E1277" s="12" t="s">
        <v>142</v>
      </c>
      <c r="F1277">
        <v>2</v>
      </c>
      <c r="G1277">
        <v>9</v>
      </c>
      <c r="H1277">
        <v>0</v>
      </c>
      <c r="I1277" s="12" t="s">
        <v>169</v>
      </c>
      <c r="J1277" s="12" t="s">
        <v>170</v>
      </c>
      <c r="K1277" s="12" t="s">
        <v>89</v>
      </c>
      <c r="L1277" s="12" t="s">
        <v>134</v>
      </c>
      <c r="M1277">
        <v>1.37</v>
      </c>
      <c r="N1277" s="12" t="s">
        <v>107</v>
      </c>
      <c r="O1277" s="12" t="s">
        <v>108</v>
      </c>
      <c r="P1277" s="12" t="s">
        <v>109</v>
      </c>
      <c r="Q1277" s="13">
        <v>45204</v>
      </c>
      <c r="R1277" s="13">
        <v>45239</v>
      </c>
      <c r="S1277">
        <v>2023</v>
      </c>
      <c r="T1277" s="12" t="s">
        <v>1926</v>
      </c>
      <c r="U1277">
        <v>14</v>
      </c>
      <c r="V1277">
        <v>249.9879</v>
      </c>
      <c r="W1277">
        <v>46.61</v>
      </c>
      <c r="X1277">
        <v>0</v>
      </c>
      <c r="Y1277">
        <v>0</v>
      </c>
      <c r="Z1277">
        <v>3499.83</v>
      </c>
      <c r="AA1277">
        <v>3546.44</v>
      </c>
      <c r="AB1277" s="12" t="s">
        <v>345</v>
      </c>
      <c r="AC1277">
        <v>249.9879</v>
      </c>
      <c r="AD1277">
        <v>1</v>
      </c>
      <c r="AE1277">
        <v>1</v>
      </c>
      <c r="AF1277">
        <v>0</v>
      </c>
      <c r="AG1277">
        <v>3499.83</v>
      </c>
      <c r="AH1277">
        <v>14</v>
      </c>
      <c r="AI1277">
        <v>14</v>
      </c>
      <c r="AJ1277">
        <v>0</v>
      </c>
      <c r="AK1277">
        <v>1</v>
      </c>
      <c r="AL1277">
        <v>1</v>
      </c>
      <c r="AM1277">
        <v>100</v>
      </c>
      <c r="AN1277">
        <v>253.31720000000001</v>
      </c>
      <c r="AO1277">
        <v>0</v>
      </c>
      <c r="AP1277" s="13">
        <v>45237</v>
      </c>
      <c r="AQ1277">
        <v>-2</v>
      </c>
      <c r="AR1277">
        <v>1</v>
      </c>
    </row>
    <row r="1278" spans="1:44" x14ac:dyDescent="0.35">
      <c r="A1278" s="12" t="s">
        <v>1959</v>
      </c>
      <c r="B1278" s="12" t="s">
        <v>255</v>
      </c>
      <c r="C1278" s="12" t="s">
        <v>256</v>
      </c>
      <c r="D1278" s="12" t="s">
        <v>103</v>
      </c>
      <c r="E1278" s="12" t="s">
        <v>65</v>
      </c>
      <c r="F1278">
        <v>2</v>
      </c>
      <c r="G1278">
        <v>4</v>
      </c>
      <c r="H1278">
        <v>0</v>
      </c>
      <c r="I1278" s="12" t="s">
        <v>251</v>
      </c>
      <c r="J1278" s="12" t="s">
        <v>252</v>
      </c>
      <c r="K1278" s="12" t="s">
        <v>133</v>
      </c>
      <c r="L1278" s="12" t="s">
        <v>69</v>
      </c>
      <c r="M1278">
        <v>34.49</v>
      </c>
      <c r="N1278" s="12" t="s">
        <v>145</v>
      </c>
      <c r="O1278" s="12" t="s">
        <v>146</v>
      </c>
      <c r="P1278" s="12" t="s">
        <v>109</v>
      </c>
      <c r="Q1278" s="13">
        <v>45204</v>
      </c>
      <c r="R1278" s="13">
        <v>45242</v>
      </c>
      <c r="S1278">
        <v>2023</v>
      </c>
      <c r="T1278" s="12" t="s">
        <v>1926</v>
      </c>
      <c r="U1278">
        <v>144</v>
      </c>
      <c r="V1278">
        <v>95.085700000000003</v>
      </c>
      <c r="W1278">
        <v>328.2</v>
      </c>
      <c r="X1278">
        <v>0</v>
      </c>
      <c r="Y1278">
        <v>0</v>
      </c>
      <c r="Z1278">
        <v>13692.34</v>
      </c>
      <c r="AA1278">
        <v>14020.54</v>
      </c>
      <c r="AB1278" s="12" t="s">
        <v>257</v>
      </c>
      <c r="AC1278">
        <v>95.085700000000003</v>
      </c>
      <c r="AD1278">
        <v>1</v>
      </c>
      <c r="AE1278">
        <v>1</v>
      </c>
      <c r="AF1278">
        <v>0</v>
      </c>
      <c r="AG1278">
        <v>13692.34</v>
      </c>
      <c r="AH1278">
        <v>144</v>
      </c>
      <c r="AI1278">
        <v>142</v>
      </c>
      <c r="AJ1278">
        <v>2</v>
      </c>
      <c r="AK1278">
        <v>1</v>
      </c>
      <c r="AL1278">
        <v>1</v>
      </c>
      <c r="AM1278">
        <v>98.61</v>
      </c>
      <c r="AN1278">
        <v>98.736199999999997</v>
      </c>
      <c r="AO1278">
        <v>190.17</v>
      </c>
      <c r="AP1278" s="13">
        <v>45242</v>
      </c>
      <c r="AQ1278">
        <v>0</v>
      </c>
      <c r="AR1278">
        <v>1</v>
      </c>
    </row>
    <row r="1279" spans="1:44" x14ac:dyDescent="0.35">
      <c r="A1279" s="12" t="s">
        <v>1960</v>
      </c>
      <c r="B1279" s="12" t="s">
        <v>1179</v>
      </c>
      <c r="C1279" s="12" t="s">
        <v>1180</v>
      </c>
      <c r="D1279" s="12" t="s">
        <v>122</v>
      </c>
      <c r="E1279" s="12" t="s">
        <v>142</v>
      </c>
      <c r="F1279">
        <v>1</v>
      </c>
      <c r="G1279">
        <v>8</v>
      </c>
      <c r="H1279">
        <v>1</v>
      </c>
      <c r="I1279" s="12" t="s">
        <v>143</v>
      </c>
      <c r="J1279" s="12" t="s">
        <v>144</v>
      </c>
      <c r="K1279" s="12" t="s">
        <v>133</v>
      </c>
      <c r="L1279" s="12" t="s">
        <v>96</v>
      </c>
      <c r="M1279">
        <v>5.43</v>
      </c>
      <c r="N1279" s="12" t="s">
        <v>70</v>
      </c>
      <c r="O1279" s="12" t="s">
        <v>71</v>
      </c>
      <c r="P1279" s="12" t="s">
        <v>72</v>
      </c>
      <c r="Q1279" s="13">
        <v>45204</v>
      </c>
      <c r="R1279" s="13">
        <v>45245</v>
      </c>
      <c r="S1279">
        <v>2023</v>
      </c>
      <c r="T1279" s="12" t="s">
        <v>1926</v>
      </c>
      <c r="U1279">
        <v>885</v>
      </c>
      <c r="V1279">
        <v>52.674799999999998</v>
      </c>
      <c r="W1279">
        <v>938.1</v>
      </c>
      <c r="X1279">
        <v>0</v>
      </c>
      <c r="Y1279">
        <v>0</v>
      </c>
      <c r="Z1279">
        <v>46617.2</v>
      </c>
      <c r="AA1279">
        <v>47555.3</v>
      </c>
      <c r="AB1279" s="12" t="s">
        <v>1181</v>
      </c>
      <c r="AC1279">
        <v>52.674799999999998</v>
      </c>
      <c r="AD1279">
        <v>1</v>
      </c>
      <c r="AE1279">
        <v>1</v>
      </c>
      <c r="AF1279">
        <v>0</v>
      </c>
      <c r="AG1279">
        <v>46617.2</v>
      </c>
      <c r="AH1279">
        <v>885</v>
      </c>
      <c r="AI1279">
        <v>880</v>
      </c>
      <c r="AJ1279">
        <v>5</v>
      </c>
      <c r="AK1279">
        <v>1</v>
      </c>
      <c r="AL1279">
        <v>1</v>
      </c>
      <c r="AM1279">
        <v>99.44</v>
      </c>
      <c r="AN1279">
        <v>54.040100000000002</v>
      </c>
      <c r="AO1279">
        <v>263.37</v>
      </c>
      <c r="AP1279" s="13">
        <v>45243</v>
      </c>
      <c r="AQ1279">
        <v>-2</v>
      </c>
      <c r="AR1279">
        <v>1</v>
      </c>
    </row>
    <row r="1280" spans="1:44" x14ac:dyDescent="0.35">
      <c r="A1280" s="12" t="s">
        <v>1961</v>
      </c>
      <c r="B1280" s="12" t="s">
        <v>792</v>
      </c>
      <c r="C1280" s="12" t="s">
        <v>793</v>
      </c>
      <c r="D1280" s="12" t="s">
        <v>103</v>
      </c>
      <c r="E1280" s="12" t="s">
        <v>65</v>
      </c>
      <c r="F1280">
        <v>2</v>
      </c>
      <c r="G1280">
        <v>3</v>
      </c>
      <c r="H1280">
        <v>0</v>
      </c>
      <c r="I1280" s="12" t="s">
        <v>115</v>
      </c>
      <c r="J1280" s="12" t="s">
        <v>116</v>
      </c>
      <c r="K1280" s="12" t="s">
        <v>117</v>
      </c>
      <c r="L1280" s="12" t="s">
        <v>82</v>
      </c>
      <c r="M1280">
        <v>17.170000000000002</v>
      </c>
      <c r="N1280" s="12" t="s">
        <v>107</v>
      </c>
      <c r="O1280" s="12" t="s">
        <v>108</v>
      </c>
      <c r="P1280" s="12" t="s">
        <v>109</v>
      </c>
      <c r="Q1280" s="13">
        <v>45204</v>
      </c>
      <c r="R1280" s="13">
        <v>45240</v>
      </c>
      <c r="S1280">
        <v>2023</v>
      </c>
      <c r="T1280" s="12" t="s">
        <v>1926</v>
      </c>
      <c r="U1280">
        <v>127</v>
      </c>
      <c r="V1280">
        <v>105.1336</v>
      </c>
      <c r="W1280">
        <v>320.58</v>
      </c>
      <c r="X1280">
        <v>0</v>
      </c>
      <c r="Y1280">
        <v>0</v>
      </c>
      <c r="Z1280">
        <v>13351.97</v>
      </c>
      <c r="AA1280">
        <v>13672.55</v>
      </c>
      <c r="AB1280" s="12" t="s">
        <v>794</v>
      </c>
      <c r="AC1280">
        <v>99.173299999999998</v>
      </c>
      <c r="AD1280">
        <v>1</v>
      </c>
      <c r="AE1280">
        <v>1</v>
      </c>
      <c r="AF1280">
        <v>756.96</v>
      </c>
      <c r="AG1280">
        <v>12595.01</v>
      </c>
      <c r="AH1280">
        <v>127</v>
      </c>
      <c r="AI1280">
        <v>126</v>
      </c>
      <c r="AJ1280">
        <v>1</v>
      </c>
      <c r="AK1280">
        <v>1</v>
      </c>
      <c r="AL1280">
        <v>1</v>
      </c>
      <c r="AM1280">
        <v>99.21</v>
      </c>
      <c r="AN1280">
        <v>108.5123</v>
      </c>
      <c r="AO1280">
        <v>105.13</v>
      </c>
      <c r="AP1280" s="13">
        <v>45238</v>
      </c>
      <c r="AQ1280">
        <v>-2</v>
      </c>
      <c r="AR1280">
        <v>1</v>
      </c>
    </row>
    <row r="1281" spans="1:44" x14ac:dyDescent="0.35">
      <c r="A1281" s="12" t="s">
        <v>1962</v>
      </c>
      <c r="B1281" s="12" t="s">
        <v>323</v>
      </c>
      <c r="C1281" s="12" t="s">
        <v>324</v>
      </c>
      <c r="D1281" s="12" t="s">
        <v>64</v>
      </c>
      <c r="E1281" s="12" t="s">
        <v>142</v>
      </c>
      <c r="F1281">
        <v>1</v>
      </c>
      <c r="G1281">
        <v>7</v>
      </c>
      <c r="H1281">
        <v>1</v>
      </c>
      <c r="I1281" s="12" t="s">
        <v>143</v>
      </c>
      <c r="J1281" s="12" t="s">
        <v>144</v>
      </c>
      <c r="K1281" s="12" t="s">
        <v>133</v>
      </c>
      <c r="L1281" s="12" t="s">
        <v>96</v>
      </c>
      <c r="M1281">
        <v>5.43</v>
      </c>
      <c r="N1281" s="12" t="s">
        <v>97</v>
      </c>
      <c r="O1281" s="12" t="s">
        <v>98</v>
      </c>
      <c r="P1281" s="12" t="s">
        <v>72</v>
      </c>
      <c r="Q1281" s="13">
        <v>45204</v>
      </c>
      <c r="R1281" s="13">
        <v>45247</v>
      </c>
      <c r="S1281">
        <v>2023</v>
      </c>
      <c r="T1281" s="12" t="s">
        <v>1926</v>
      </c>
      <c r="U1281">
        <v>520</v>
      </c>
      <c r="V1281">
        <v>39.503399999999999</v>
      </c>
      <c r="W1281">
        <v>493.25</v>
      </c>
      <c r="X1281">
        <v>0</v>
      </c>
      <c r="Y1281">
        <v>0</v>
      </c>
      <c r="Z1281">
        <v>20541.77</v>
      </c>
      <c r="AA1281">
        <v>21035.02</v>
      </c>
      <c r="AB1281" s="12" t="s">
        <v>325</v>
      </c>
      <c r="AC1281">
        <v>39.503399999999999</v>
      </c>
      <c r="AD1281">
        <v>1</v>
      </c>
      <c r="AE1281">
        <v>1</v>
      </c>
      <c r="AF1281">
        <v>0</v>
      </c>
      <c r="AG1281">
        <v>20541.77</v>
      </c>
      <c r="AH1281">
        <v>520</v>
      </c>
      <c r="AI1281">
        <v>519</v>
      </c>
      <c r="AJ1281">
        <v>1</v>
      </c>
      <c r="AK1281">
        <v>1</v>
      </c>
      <c r="AL1281">
        <v>1</v>
      </c>
      <c r="AM1281">
        <v>99.81</v>
      </c>
      <c r="AN1281">
        <v>40.529899999999998</v>
      </c>
      <c r="AO1281">
        <v>39.5</v>
      </c>
      <c r="AP1281" s="13">
        <v>45243</v>
      </c>
      <c r="AQ1281">
        <v>-4</v>
      </c>
      <c r="AR1281">
        <v>1</v>
      </c>
    </row>
    <row r="1282" spans="1:44" x14ac:dyDescent="0.35">
      <c r="A1282" s="12" t="s">
        <v>1963</v>
      </c>
      <c r="B1282" s="12" t="s">
        <v>843</v>
      </c>
      <c r="C1282" s="12" t="s">
        <v>844</v>
      </c>
      <c r="D1282" s="12" t="s">
        <v>175</v>
      </c>
      <c r="E1282" s="12" t="s">
        <v>65</v>
      </c>
      <c r="F1282">
        <v>3</v>
      </c>
      <c r="G1282">
        <v>5</v>
      </c>
      <c r="H1282">
        <v>0</v>
      </c>
      <c r="I1282" s="12" t="s">
        <v>359</v>
      </c>
      <c r="J1282" s="12" t="s">
        <v>360</v>
      </c>
      <c r="K1282" s="12" t="s">
        <v>133</v>
      </c>
      <c r="L1282" s="12" t="s">
        <v>82</v>
      </c>
      <c r="M1282">
        <v>12.65</v>
      </c>
      <c r="N1282" s="12" t="s">
        <v>107</v>
      </c>
      <c r="O1282" s="12" t="s">
        <v>108</v>
      </c>
      <c r="P1282" s="12" t="s">
        <v>109</v>
      </c>
      <c r="Q1282" s="13">
        <v>45205</v>
      </c>
      <c r="R1282" s="13">
        <v>45233</v>
      </c>
      <c r="S1282">
        <v>2023</v>
      </c>
      <c r="T1282" s="12" t="s">
        <v>1926</v>
      </c>
      <c r="U1282">
        <v>72</v>
      </c>
      <c r="V1282">
        <v>267.03480000000002</v>
      </c>
      <c r="W1282">
        <v>384.82</v>
      </c>
      <c r="X1282">
        <v>0</v>
      </c>
      <c r="Y1282">
        <v>0</v>
      </c>
      <c r="Z1282">
        <v>19226.509999999998</v>
      </c>
      <c r="AA1282">
        <v>19611.330000000002</v>
      </c>
      <c r="AB1282" s="12" t="s">
        <v>845</v>
      </c>
      <c r="AC1282">
        <v>267.03480000000002</v>
      </c>
      <c r="AD1282">
        <v>1</v>
      </c>
      <c r="AE1282">
        <v>1</v>
      </c>
      <c r="AF1282">
        <v>0</v>
      </c>
      <c r="AG1282">
        <v>19226.509999999998</v>
      </c>
      <c r="AH1282">
        <v>72</v>
      </c>
      <c r="AI1282">
        <v>71</v>
      </c>
      <c r="AJ1282">
        <v>1</v>
      </c>
      <c r="AK1282">
        <v>1</v>
      </c>
      <c r="AL1282">
        <v>1</v>
      </c>
      <c r="AM1282">
        <v>98.61</v>
      </c>
      <c r="AN1282">
        <v>276.21589999999998</v>
      </c>
      <c r="AO1282">
        <v>267.02999999999997</v>
      </c>
      <c r="AP1282" s="13">
        <v>45233</v>
      </c>
      <c r="AQ1282">
        <v>0</v>
      </c>
      <c r="AR1282">
        <v>1</v>
      </c>
    </row>
    <row r="1283" spans="1:44" x14ac:dyDescent="0.35">
      <c r="A1283" s="12" t="s">
        <v>1964</v>
      </c>
      <c r="B1283" s="12" t="s">
        <v>112</v>
      </c>
      <c r="C1283" s="12" t="s">
        <v>113</v>
      </c>
      <c r="D1283" s="12" t="s">
        <v>114</v>
      </c>
      <c r="E1283" s="12" t="s">
        <v>104</v>
      </c>
      <c r="F1283">
        <v>3</v>
      </c>
      <c r="G1283">
        <v>1</v>
      </c>
      <c r="H1283">
        <v>0</v>
      </c>
      <c r="I1283" s="12" t="s">
        <v>227</v>
      </c>
      <c r="J1283" s="12" t="s">
        <v>228</v>
      </c>
      <c r="K1283" s="12" t="s">
        <v>89</v>
      </c>
      <c r="L1283" s="12" t="s">
        <v>96</v>
      </c>
      <c r="M1283">
        <v>9.15</v>
      </c>
      <c r="N1283" s="12" t="s">
        <v>70</v>
      </c>
      <c r="O1283" s="12" t="s">
        <v>71</v>
      </c>
      <c r="P1283" s="12" t="s">
        <v>72</v>
      </c>
      <c r="Q1283" s="13">
        <v>45205</v>
      </c>
      <c r="R1283" s="13">
        <v>45232</v>
      </c>
      <c r="S1283">
        <v>2023</v>
      </c>
      <c r="T1283" s="12" t="s">
        <v>1926</v>
      </c>
      <c r="U1283">
        <v>129</v>
      </c>
      <c r="V1283">
        <v>264.17590000000001</v>
      </c>
      <c r="W1283">
        <v>244.07</v>
      </c>
      <c r="X1283">
        <v>0</v>
      </c>
      <c r="Y1283">
        <v>0</v>
      </c>
      <c r="Z1283">
        <v>34078.69</v>
      </c>
      <c r="AA1283">
        <v>34322.76</v>
      </c>
      <c r="AB1283" s="12" t="s">
        <v>282</v>
      </c>
      <c r="AC1283">
        <v>264.17590000000001</v>
      </c>
      <c r="AD1283">
        <v>1</v>
      </c>
      <c r="AE1283">
        <v>1</v>
      </c>
      <c r="AF1283">
        <v>0</v>
      </c>
      <c r="AG1283">
        <v>34078.69</v>
      </c>
      <c r="AH1283">
        <v>129</v>
      </c>
      <c r="AI1283">
        <v>128</v>
      </c>
      <c r="AJ1283">
        <v>1</v>
      </c>
      <c r="AK1283">
        <v>1</v>
      </c>
      <c r="AL1283">
        <v>1</v>
      </c>
      <c r="AM1283">
        <v>99.22</v>
      </c>
      <c r="AN1283">
        <v>268.14659999999998</v>
      </c>
      <c r="AO1283">
        <v>264.18</v>
      </c>
      <c r="AP1283" s="13">
        <v>45231</v>
      </c>
      <c r="AQ1283">
        <v>-1</v>
      </c>
      <c r="AR1283">
        <v>1</v>
      </c>
    </row>
    <row r="1284" spans="1:44" x14ac:dyDescent="0.35">
      <c r="A1284" s="12" t="s">
        <v>1965</v>
      </c>
      <c r="B1284" s="12" t="s">
        <v>555</v>
      </c>
      <c r="C1284" s="12" t="s">
        <v>556</v>
      </c>
      <c r="D1284" s="12" t="s">
        <v>114</v>
      </c>
      <c r="E1284" s="12" t="s">
        <v>142</v>
      </c>
      <c r="F1284">
        <v>1</v>
      </c>
      <c r="G1284">
        <v>6</v>
      </c>
      <c r="H1284">
        <v>1</v>
      </c>
      <c r="I1284" s="12" t="s">
        <v>151</v>
      </c>
      <c r="J1284" s="12" t="s">
        <v>152</v>
      </c>
      <c r="K1284" s="12" t="s">
        <v>125</v>
      </c>
      <c r="L1284" s="12" t="s">
        <v>69</v>
      </c>
      <c r="M1284">
        <v>36.479999999999997</v>
      </c>
      <c r="N1284" s="12" t="s">
        <v>97</v>
      </c>
      <c r="O1284" s="12" t="s">
        <v>98</v>
      </c>
      <c r="P1284" s="12" t="s">
        <v>72</v>
      </c>
      <c r="Q1284" s="13">
        <v>45205</v>
      </c>
      <c r="R1284" s="13">
        <v>45241</v>
      </c>
      <c r="S1284">
        <v>2023</v>
      </c>
      <c r="T1284" s="12" t="s">
        <v>1926</v>
      </c>
      <c r="U1284">
        <v>23</v>
      </c>
      <c r="V1284">
        <v>290.42770000000002</v>
      </c>
      <c r="W1284">
        <v>73.239999999999995</v>
      </c>
      <c r="X1284">
        <v>0</v>
      </c>
      <c r="Y1284">
        <v>0</v>
      </c>
      <c r="Z1284">
        <v>6679.84</v>
      </c>
      <c r="AA1284">
        <v>6753.08</v>
      </c>
      <c r="AB1284" s="12" t="s">
        <v>557</v>
      </c>
      <c r="AC1284">
        <v>290.42770000000002</v>
      </c>
      <c r="AD1284">
        <v>1</v>
      </c>
      <c r="AE1284">
        <v>1</v>
      </c>
      <c r="AF1284">
        <v>0</v>
      </c>
      <c r="AG1284">
        <v>6679.84</v>
      </c>
      <c r="AH1284">
        <v>23</v>
      </c>
      <c r="AI1284">
        <v>22</v>
      </c>
      <c r="AJ1284">
        <v>1</v>
      </c>
      <c r="AK1284">
        <v>1</v>
      </c>
      <c r="AL1284">
        <v>1</v>
      </c>
      <c r="AM1284">
        <v>95.65</v>
      </c>
      <c r="AN1284">
        <v>306.9581</v>
      </c>
      <c r="AO1284">
        <v>290.43</v>
      </c>
      <c r="AP1284" s="13">
        <v>45241</v>
      </c>
      <c r="AQ1284">
        <v>0</v>
      </c>
      <c r="AR1284">
        <v>1</v>
      </c>
    </row>
    <row r="1285" spans="1:44" x14ac:dyDescent="0.35">
      <c r="A1285" s="12" t="s">
        <v>1966</v>
      </c>
      <c r="B1285" s="12" t="s">
        <v>747</v>
      </c>
      <c r="C1285" s="12" t="s">
        <v>748</v>
      </c>
      <c r="D1285" s="12" t="s">
        <v>114</v>
      </c>
      <c r="E1285" s="12" t="s">
        <v>104</v>
      </c>
      <c r="F1285">
        <v>2</v>
      </c>
      <c r="G1285">
        <v>0</v>
      </c>
      <c r="H1285">
        <v>0</v>
      </c>
      <c r="I1285" s="12" t="s">
        <v>380</v>
      </c>
      <c r="J1285" s="12" t="s">
        <v>381</v>
      </c>
      <c r="K1285" s="12" t="s">
        <v>89</v>
      </c>
      <c r="L1285" s="12" t="s">
        <v>96</v>
      </c>
      <c r="M1285">
        <v>10.210000000000001</v>
      </c>
      <c r="N1285" s="12" t="s">
        <v>97</v>
      </c>
      <c r="O1285" s="12" t="s">
        <v>98</v>
      </c>
      <c r="P1285" s="12" t="s">
        <v>72</v>
      </c>
      <c r="Q1285" s="13">
        <v>45205</v>
      </c>
      <c r="R1285" s="13">
        <v>45234</v>
      </c>
      <c r="S1285">
        <v>2023</v>
      </c>
      <c r="T1285" s="12" t="s">
        <v>1926</v>
      </c>
      <c r="U1285">
        <v>148</v>
      </c>
      <c r="V1285">
        <v>245.56890000000001</v>
      </c>
      <c r="W1285">
        <v>793.36</v>
      </c>
      <c r="X1285">
        <v>0</v>
      </c>
      <c r="Y1285">
        <v>0</v>
      </c>
      <c r="Z1285">
        <v>36344.199999999997</v>
      </c>
      <c r="AA1285">
        <v>37137.56</v>
      </c>
      <c r="AB1285" s="12" t="s">
        <v>896</v>
      </c>
      <c r="AC1285">
        <v>245.56890000000001</v>
      </c>
      <c r="AD1285">
        <v>1</v>
      </c>
      <c r="AE1285">
        <v>1</v>
      </c>
      <c r="AF1285">
        <v>0</v>
      </c>
      <c r="AG1285">
        <v>36344.199999999997</v>
      </c>
      <c r="AH1285">
        <v>148</v>
      </c>
      <c r="AI1285">
        <v>146</v>
      </c>
      <c r="AJ1285">
        <v>2</v>
      </c>
      <c r="AK1285">
        <v>1</v>
      </c>
      <c r="AL1285">
        <v>1</v>
      </c>
      <c r="AM1285">
        <v>98.65</v>
      </c>
      <c r="AN1285">
        <v>254.36680000000001</v>
      </c>
      <c r="AO1285">
        <v>491.14</v>
      </c>
      <c r="AP1285" s="13">
        <v>45232</v>
      </c>
      <c r="AQ1285">
        <v>-2</v>
      </c>
      <c r="AR1285">
        <v>1</v>
      </c>
    </row>
    <row r="1286" spans="1:44" x14ac:dyDescent="0.35">
      <c r="A1286" s="12" t="s">
        <v>1967</v>
      </c>
      <c r="B1286" s="12" t="s">
        <v>809</v>
      </c>
      <c r="C1286" s="12" t="s">
        <v>810</v>
      </c>
      <c r="D1286" s="12" t="s">
        <v>114</v>
      </c>
      <c r="E1286" s="12" t="s">
        <v>65</v>
      </c>
      <c r="F1286">
        <v>3</v>
      </c>
      <c r="G1286">
        <v>5</v>
      </c>
      <c r="H1286">
        <v>0</v>
      </c>
      <c r="I1286" s="12" t="s">
        <v>804</v>
      </c>
      <c r="J1286" s="12" t="s">
        <v>342</v>
      </c>
      <c r="K1286" s="12" t="s">
        <v>117</v>
      </c>
      <c r="L1286" s="12" t="s">
        <v>69</v>
      </c>
      <c r="M1286">
        <v>30.07</v>
      </c>
      <c r="N1286" s="12" t="s">
        <v>70</v>
      </c>
      <c r="O1286" s="12" t="s">
        <v>71</v>
      </c>
      <c r="P1286" s="12" t="s">
        <v>72</v>
      </c>
      <c r="Q1286" s="13">
        <v>45205</v>
      </c>
      <c r="R1286" s="13">
        <v>45234</v>
      </c>
      <c r="S1286">
        <v>2023</v>
      </c>
      <c r="T1286" s="12" t="s">
        <v>1926</v>
      </c>
      <c r="U1286">
        <v>77</v>
      </c>
      <c r="V1286">
        <v>323.22789999999998</v>
      </c>
      <c r="W1286">
        <v>468.94</v>
      </c>
      <c r="X1286">
        <v>0</v>
      </c>
      <c r="Y1286">
        <v>0</v>
      </c>
      <c r="Z1286">
        <v>24888.55</v>
      </c>
      <c r="AA1286">
        <v>25357.49</v>
      </c>
      <c r="AB1286" s="12" t="s">
        <v>880</v>
      </c>
      <c r="AC1286">
        <v>323.22789999999998</v>
      </c>
      <c r="AD1286">
        <v>1</v>
      </c>
      <c r="AE1286">
        <v>1</v>
      </c>
      <c r="AF1286">
        <v>0</v>
      </c>
      <c r="AG1286">
        <v>24888.55</v>
      </c>
      <c r="AH1286">
        <v>77</v>
      </c>
      <c r="AI1286">
        <v>75</v>
      </c>
      <c r="AJ1286">
        <v>2</v>
      </c>
      <c r="AK1286">
        <v>1</v>
      </c>
      <c r="AL1286">
        <v>1</v>
      </c>
      <c r="AM1286">
        <v>97.4</v>
      </c>
      <c r="AN1286">
        <v>338.09980000000002</v>
      </c>
      <c r="AO1286">
        <v>646.46</v>
      </c>
      <c r="AP1286" s="13">
        <v>45232</v>
      </c>
      <c r="AQ1286">
        <v>-2</v>
      </c>
      <c r="AR1286">
        <v>1</v>
      </c>
    </row>
    <row r="1287" spans="1:44" x14ac:dyDescent="0.35">
      <c r="A1287" s="12" t="s">
        <v>1968</v>
      </c>
      <c r="B1287" s="12" t="s">
        <v>267</v>
      </c>
      <c r="C1287" s="12" t="s">
        <v>268</v>
      </c>
      <c r="D1287" s="12" t="s">
        <v>269</v>
      </c>
      <c r="E1287" s="12" t="s">
        <v>142</v>
      </c>
      <c r="F1287">
        <v>1</v>
      </c>
      <c r="G1287">
        <v>8</v>
      </c>
      <c r="H1287">
        <v>1</v>
      </c>
      <c r="I1287" s="12" t="s">
        <v>94</v>
      </c>
      <c r="J1287" s="12" t="s">
        <v>95</v>
      </c>
      <c r="K1287" s="12" t="s">
        <v>81</v>
      </c>
      <c r="L1287" s="12" t="s">
        <v>96</v>
      </c>
      <c r="M1287">
        <v>4.8099999999999996</v>
      </c>
      <c r="N1287" s="12" t="s">
        <v>135</v>
      </c>
      <c r="O1287" s="12" t="s">
        <v>136</v>
      </c>
      <c r="P1287" s="12" t="s">
        <v>137</v>
      </c>
      <c r="Q1287" s="13">
        <v>45205</v>
      </c>
      <c r="R1287" s="13">
        <v>45247</v>
      </c>
      <c r="S1287">
        <v>2023</v>
      </c>
      <c r="T1287" s="12" t="s">
        <v>1926</v>
      </c>
      <c r="U1287">
        <v>65</v>
      </c>
      <c r="V1287">
        <v>247.31829999999999</v>
      </c>
      <c r="W1287">
        <v>332.91</v>
      </c>
      <c r="X1287">
        <v>0</v>
      </c>
      <c r="Y1287">
        <v>0</v>
      </c>
      <c r="Z1287">
        <v>16075.69</v>
      </c>
      <c r="AA1287">
        <v>16408.599999999999</v>
      </c>
      <c r="AB1287" s="12" t="s">
        <v>270</v>
      </c>
      <c r="AC1287">
        <v>247.31829999999999</v>
      </c>
      <c r="AD1287">
        <v>1</v>
      </c>
      <c r="AE1287">
        <v>1</v>
      </c>
      <c r="AF1287">
        <v>0</v>
      </c>
      <c r="AG1287">
        <v>16075.69</v>
      </c>
      <c r="AH1287">
        <v>65</v>
      </c>
      <c r="AI1287">
        <v>64</v>
      </c>
      <c r="AJ1287">
        <v>1</v>
      </c>
      <c r="AK1287">
        <v>1</v>
      </c>
      <c r="AL1287">
        <v>1</v>
      </c>
      <c r="AM1287">
        <v>98.46</v>
      </c>
      <c r="AN1287">
        <v>256.38440000000003</v>
      </c>
      <c r="AO1287">
        <v>247.32</v>
      </c>
      <c r="AP1287" s="13">
        <v>45246</v>
      </c>
      <c r="AQ1287">
        <v>-1</v>
      </c>
      <c r="AR1287">
        <v>1</v>
      </c>
    </row>
    <row r="1288" spans="1:44" x14ac:dyDescent="0.35">
      <c r="A1288" s="12" t="s">
        <v>1969</v>
      </c>
      <c r="B1288" s="12" t="s">
        <v>454</v>
      </c>
      <c r="C1288" s="12" t="s">
        <v>455</v>
      </c>
      <c r="D1288" s="12" t="s">
        <v>122</v>
      </c>
      <c r="E1288" s="12" t="s">
        <v>104</v>
      </c>
      <c r="F1288">
        <v>3</v>
      </c>
      <c r="G1288">
        <v>1</v>
      </c>
      <c r="H1288">
        <v>0</v>
      </c>
      <c r="I1288" s="12" t="s">
        <v>87</v>
      </c>
      <c r="J1288" s="12" t="s">
        <v>88</v>
      </c>
      <c r="K1288" s="12" t="s">
        <v>89</v>
      </c>
      <c r="L1288" s="12" t="s">
        <v>69</v>
      </c>
      <c r="M1288">
        <v>14.93</v>
      </c>
      <c r="N1288" s="12" t="s">
        <v>70</v>
      </c>
      <c r="O1288" s="12" t="s">
        <v>71</v>
      </c>
      <c r="P1288" s="12" t="s">
        <v>72</v>
      </c>
      <c r="Q1288" s="13">
        <v>45205</v>
      </c>
      <c r="R1288" s="13">
        <v>45225</v>
      </c>
      <c r="S1288">
        <v>2023</v>
      </c>
      <c r="T1288" s="12" t="s">
        <v>1926</v>
      </c>
      <c r="U1288">
        <v>1023</v>
      </c>
      <c r="V1288">
        <v>21.796199999999999</v>
      </c>
      <c r="W1288">
        <v>531.35</v>
      </c>
      <c r="X1288">
        <v>0</v>
      </c>
      <c r="Y1288">
        <v>0</v>
      </c>
      <c r="Z1288">
        <v>22297.51</v>
      </c>
      <c r="AA1288">
        <v>22828.86</v>
      </c>
      <c r="AB1288" s="12" t="s">
        <v>456</v>
      </c>
      <c r="AC1288">
        <v>21.796199999999999</v>
      </c>
      <c r="AD1288">
        <v>1</v>
      </c>
      <c r="AE1288">
        <v>1</v>
      </c>
      <c r="AF1288">
        <v>0</v>
      </c>
      <c r="AG1288">
        <v>22297.51</v>
      </c>
      <c r="AH1288">
        <v>1023</v>
      </c>
      <c r="AI1288">
        <v>1013</v>
      </c>
      <c r="AJ1288">
        <v>10</v>
      </c>
      <c r="AK1288">
        <v>1</v>
      </c>
      <c r="AL1288">
        <v>1</v>
      </c>
      <c r="AM1288">
        <v>99.02</v>
      </c>
      <c r="AN1288">
        <v>22.535900000000002</v>
      </c>
      <c r="AO1288">
        <v>217.96</v>
      </c>
      <c r="AP1288" s="13">
        <v>45222</v>
      </c>
      <c r="AQ1288">
        <v>-3</v>
      </c>
      <c r="AR1288">
        <v>1</v>
      </c>
    </row>
    <row r="1289" spans="1:44" x14ac:dyDescent="0.35">
      <c r="A1289" s="12" t="s">
        <v>1970</v>
      </c>
      <c r="B1289" s="12" t="s">
        <v>661</v>
      </c>
      <c r="C1289" s="12" t="s">
        <v>662</v>
      </c>
      <c r="D1289" s="12" t="s">
        <v>175</v>
      </c>
      <c r="E1289" s="12" t="s">
        <v>104</v>
      </c>
      <c r="F1289">
        <v>1</v>
      </c>
      <c r="G1289">
        <v>0</v>
      </c>
      <c r="H1289">
        <v>1</v>
      </c>
      <c r="I1289" s="12" t="s">
        <v>183</v>
      </c>
      <c r="J1289" s="12" t="s">
        <v>184</v>
      </c>
      <c r="K1289" s="12" t="s">
        <v>133</v>
      </c>
      <c r="L1289" s="12" t="s">
        <v>82</v>
      </c>
      <c r="M1289">
        <v>8.6199999999999992</v>
      </c>
      <c r="N1289" s="12" t="s">
        <v>145</v>
      </c>
      <c r="O1289" s="12" t="s">
        <v>146</v>
      </c>
      <c r="P1289" s="12" t="s">
        <v>109</v>
      </c>
      <c r="Q1289" s="13">
        <v>45205</v>
      </c>
      <c r="R1289" s="13">
        <v>45217</v>
      </c>
      <c r="S1289">
        <v>2023</v>
      </c>
      <c r="T1289" s="12" t="s">
        <v>1926</v>
      </c>
      <c r="U1289">
        <v>10</v>
      </c>
      <c r="V1289">
        <v>194.86689999999999</v>
      </c>
      <c r="W1289">
        <v>22.06</v>
      </c>
      <c r="X1289">
        <v>0</v>
      </c>
      <c r="Y1289">
        <v>0</v>
      </c>
      <c r="Z1289">
        <v>1948.67</v>
      </c>
      <c r="AA1289">
        <v>1970.73</v>
      </c>
      <c r="AB1289" s="12" t="s">
        <v>663</v>
      </c>
      <c r="AC1289">
        <v>201.68719999999999</v>
      </c>
      <c r="AD1289">
        <v>2</v>
      </c>
      <c r="AE1289">
        <v>1</v>
      </c>
      <c r="AF1289">
        <v>-68.2</v>
      </c>
      <c r="AG1289">
        <v>2016.87</v>
      </c>
      <c r="AH1289">
        <v>10</v>
      </c>
      <c r="AI1289">
        <v>10</v>
      </c>
      <c r="AJ1289">
        <v>0</v>
      </c>
      <c r="AK1289">
        <v>1</v>
      </c>
      <c r="AL1289">
        <v>1</v>
      </c>
      <c r="AM1289">
        <v>100</v>
      </c>
      <c r="AN1289">
        <v>197.0729</v>
      </c>
      <c r="AO1289">
        <v>0</v>
      </c>
      <c r="AP1289" s="13">
        <v>45225</v>
      </c>
      <c r="AQ1289">
        <v>8</v>
      </c>
      <c r="AR1289">
        <v>0</v>
      </c>
    </row>
    <row r="1290" spans="1:44" x14ac:dyDescent="0.35">
      <c r="A1290" s="12" t="s">
        <v>1971</v>
      </c>
      <c r="B1290" s="12" t="s">
        <v>855</v>
      </c>
      <c r="C1290" s="12" t="s">
        <v>856</v>
      </c>
      <c r="D1290" s="12" t="s">
        <v>269</v>
      </c>
      <c r="E1290" s="12" t="s">
        <v>65</v>
      </c>
      <c r="F1290">
        <v>3</v>
      </c>
      <c r="G1290">
        <v>5</v>
      </c>
      <c r="H1290">
        <v>0</v>
      </c>
      <c r="I1290" s="12" t="s">
        <v>94</v>
      </c>
      <c r="J1290" s="12" t="s">
        <v>95</v>
      </c>
      <c r="K1290" s="12" t="s">
        <v>81</v>
      </c>
      <c r="L1290" s="12" t="s">
        <v>96</v>
      </c>
      <c r="M1290">
        <v>4.8099999999999996</v>
      </c>
      <c r="N1290" s="12" t="s">
        <v>135</v>
      </c>
      <c r="O1290" s="12" t="s">
        <v>136</v>
      </c>
      <c r="P1290" s="12" t="s">
        <v>137</v>
      </c>
      <c r="Q1290" s="13">
        <v>45205</v>
      </c>
      <c r="R1290" s="13">
        <v>45235</v>
      </c>
      <c r="S1290">
        <v>2023</v>
      </c>
      <c r="T1290" s="12" t="s">
        <v>1926</v>
      </c>
      <c r="U1290">
        <v>82</v>
      </c>
      <c r="V1290">
        <v>493.6902</v>
      </c>
      <c r="W1290">
        <v>575.23</v>
      </c>
      <c r="X1290">
        <v>0</v>
      </c>
      <c r="Y1290">
        <v>0</v>
      </c>
      <c r="Z1290">
        <v>40482.6</v>
      </c>
      <c r="AA1290">
        <v>41057.83</v>
      </c>
      <c r="AB1290" s="12" t="s">
        <v>857</v>
      </c>
      <c r="AC1290">
        <v>493.6902</v>
      </c>
      <c r="AD1290">
        <v>1</v>
      </c>
      <c r="AE1290">
        <v>1</v>
      </c>
      <c r="AF1290">
        <v>0</v>
      </c>
      <c r="AG1290">
        <v>40482.6</v>
      </c>
      <c r="AH1290">
        <v>82</v>
      </c>
      <c r="AI1290">
        <v>81</v>
      </c>
      <c r="AJ1290">
        <v>1</v>
      </c>
      <c r="AK1290">
        <v>1</v>
      </c>
      <c r="AL1290">
        <v>1</v>
      </c>
      <c r="AM1290">
        <v>98.78</v>
      </c>
      <c r="AN1290">
        <v>506.88670000000002</v>
      </c>
      <c r="AO1290">
        <v>493.69</v>
      </c>
      <c r="AP1290" s="13">
        <v>45235</v>
      </c>
      <c r="AQ1290">
        <v>0</v>
      </c>
      <c r="AR1290">
        <v>1</v>
      </c>
    </row>
    <row r="1291" spans="1:44" x14ac:dyDescent="0.35">
      <c r="A1291" s="12" t="s">
        <v>1972</v>
      </c>
      <c r="B1291" s="12" t="s">
        <v>302</v>
      </c>
      <c r="C1291" s="12" t="s">
        <v>303</v>
      </c>
      <c r="D1291" s="12" t="s">
        <v>78</v>
      </c>
      <c r="E1291" s="12" t="s">
        <v>65</v>
      </c>
      <c r="F1291">
        <v>2</v>
      </c>
      <c r="G1291">
        <v>3</v>
      </c>
      <c r="H1291">
        <v>0</v>
      </c>
      <c r="I1291" s="12" t="s">
        <v>335</v>
      </c>
      <c r="J1291" s="12" t="s">
        <v>336</v>
      </c>
      <c r="K1291" s="12" t="s">
        <v>89</v>
      </c>
      <c r="L1291" s="12" t="s">
        <v>82</v>
      </c>
      <c r="M1291">
        <v>16</v>
      </c>
      <c r="N1291" s="12" t="s">
        <v>97</v>
      </c>
      <c r="O1291" s="12" t="s">
        <v>98</v>
      </c>
      <c r="P1291" s="12" t="s">
        <v>72</v>
      </c>
      <c r="Q1291" s="13">
        <v>45205</v>
      </c>
      <c r="R1291" s="13">
        <v>45238</v>
      </c>
      <c r="S1291">
        <v>2023</v>
      </c>
      <c r="T1291" s="12" t="s">
        <v>1926</v>
      </c>
      <c r="U1291">
        <v>224</v>
      </c>
      <c r="V1291">
        <v>144.41300000000001</v>
      </c>
      <c r="W1291">
        <v>697.19</v>
      </c>
      <c r="X1291">
        <v>0</v>
      </c>
      <c r="Y1291">
        <v>0</v>
      </c>
      <c r="Z1291">
        <v>32348.51</v>
      </c>
      <c r="AA1291">
        <v>33045.699999999997</v>
      </c>
      <c r="AB1291" s="12" t="s">
        <v>337</v>
      </c>
      <c r="AC1291">
        <v>144.41300000000001</v>
      </c>
      <c r="AD1291">
        <v>1</v>
      </c>
      <c r="AE1291">
        <v>1</v>
      </c>
      <c r="AF1291">
        <v>0</v>
      </c>
      <c r="AG1291">
        <v>32348.51</v>
      </c>
      <c r="AH1291">
        <v>224</v>
      </c>
      <c r="AI1291">
        <v>223</v>
      </c>
      <c r="AJ1291">
        <v>1</v>
      </c>
      <c r="AK1291">
        <v>1</v>
      </c>
      <c r="AL1291">
        <v>1</v>
      </c>
      <c r="AM1291">
        <v>99.55</v>
      </c>
      <c r="AN1291">
        <v>148.18700000000001</v>
      </c>
      <c r="AO1291">
        <v>144.41</v>
      </c>
      <c r="AP1291" s="13">
        <v>45236</v>
      </c>
      <c r="AQ1291">
        <v>-2</v>
      </c>
      <c r="AR1291">
        <v>1</v>
      </c>
    </row>
    <row r="1292" spans="1:44" x14ac:dyDescent="0.35">
      <c r="A1292" s="12" t="s">
        <v>1973</v>
      </c>
      <c r="B1292" s="12" t="s">
        <v>391</v>
      </c>
      <c r="C1292" s="12" t="s">
        <v>392</v>
      </c>
      <c r="D1292" s="12" t="s">
        <v>114</v>
      </c>
      <c r="E1292" s="12" t="s">
        <v>65</v>
      </c>
      <c r="F1292">
        <v>2</v>
      </c>
      <c r="G1292">
        <v>2</v>
      </c>
      <c r="H1292">
        <v>0</v>
      </c>
      <c r="I1292" s="12" t="s">
        <v>310</v>
      </c>
      <c r="J1292" s="12" t="s">
        <v>311</v>
      </c>
      <c r="K1292" s="12" t="s">
        <v>81</v>
      </c>
      <c r="L1292" s="12" t="s">
        <v>69</v>
      </c>
      <c r="M1292">
        <v>28.3</v>
      </c>
      <c r="N1292" s="12" t="s">
        <v>70</v>
      </c>
      <c r="O1292" s="12" t="s">
        <v>71</v>
      </c>
      <c r="P1292" s="12" t="s">
        <v>72</v>
      </c>
      <c r="Q1292" s="13">
        <v>45205</v>
      </c>
      <c r="R1292" s="13">
        <v>45232</v>
      </c>
      <c r="S1292">
        <v>2023</v>
      </c>
      <c r="T1292" s="12" t="s">
        <v>1926</v>
      </c>
      <c r="U1292">
        <v>62</v>
      </c>
      <c r="V1292">
        <v>223.56530000000001</v>
      </c>
      <c r="W1292">
        <v>231.34</v>
      </c>
      <c r="X1292">
        <v>0</v>
      </c>
      <c r="Y1292">
        <v>0</v>
      </c>
      <c r="Z1292">
        <v>13861.05</v>
      </c>
      <c r="AA1292">
        <v>14092.39</v>
      </c>
      <c r="AB1292" s="12" t="s">
        <v>393</v>
      </c>
      <c r="AC1292">
        <v>223.56530000000001</v>
      </c>
      <c r="AD1292">
        <v>1</v>
      </c>
      <c r="AE1292">
        <v>1</v>
      </c>
      <c r="AF1292">
        <v>0</v>
      </c>
      <c r="AG1292">
        <v>13861.05</v>
      </c>
      <c r="AH1292">
        <v>62</v>
      </c>
      <c r="AI1292">
        <v>61</v>
      </c>
      <c r="AJ1292">
        <v>1</v>
      </c>
      <c r="AK1292">
        <v>1</v>
      </c>
      <c r="AL1292">
        <v>1</v>
      </c>
      <c r="AM1292">
        <v>98.39</v>
      </c>
      <c r="AN1292">
        <v>231.02279999999999</v>
      </c>
      <c r="AO1292">
        <v>223.57</v>
      </c>
      <c r="AP1292" s="13">
        <v>45232</v>
      </c>
      <c r="AQ1292">
        <v>0</v>
      </c>
      <c r="AR1292">
        <v>1</v>
      </c>
    </row>
    <row r="1293" spans="1:44" x14ac:dyDescent="0.35">
      <c r="A1293" s="12" t="s">
        <v>1974</v>
      </c>
      <c r="B1293" s="12" t="s">
        <v>924</v>
      </c>
      <c r="C1293" s="12" t="s">
        <v>925</v>
      </c>
      <c r="D1293" s="12" t="s">
        <v>103</v>
      </c>
      <c r="E1293" s="12" t="s">
        <v>104</v>
      </c>
      <c r="F1293">
        <v>2</v>
      </c>
      <c r="G1293">
        <v>0</v>
      </c>
      <c r="H1293">
        <v>0</v>
      </c>
      <c r="I1293" s="12" t="s">
        <v>275</v>
      </c>
      <c r="J1293" s="12" t="s">
        <v>276</v>
      </c>
      <c r="K1293" s="12" t="s">
        <v>89</v>
      </c>
      <c r="L1293" s="12" t="s">
        <v>82</v>
      </c>
      <c r="M1293">
        <v>14.26</v>
      </c>
      <c r="N1293" s="12" t="s">
        <v>145</v>
      </c>
      <c r="O1293" s="12" t="s">
        <v>146</v>
      </c>
      <c r="P1293" s="12" t="s">
        <v>109</v>
      </c>
      <c r="Q1293" s="13">
        <v>45205</v>
      </c>
      <c r="R1293" s="13">
        <v>45223</v>
      </c>
      <c r="S1293">
        <v>2023</v>
      </c>
      <c r="T1293" s="12" t="s">
        <v>1926</v>
      </c>
      <c r="U1293">
        <v>59</v>
      </c>
      <c r="V1293">
        <v>161.51509999999999</v>
      </c>
      <c r="W1293">
        <v>209.84</v>
      </c>
      <c r="X1293">
        <v>306.33</v>
      </c>
      <c r="Y1293">
        <v>1</v>
      </c>
      <c r="Z1293">
        <v>9529.39</v>
      </c>
      <c r="AA1293">
        <v>10045.56</v>
      </c>
      <c r="AB1293" s="12" t="s">
        <v>1975</v>
      </c>
      <c r="AC1293">
        <v>161.51509999999999</v>
      </c>
      <c r="AD1293">
        <v>1</v>
      </c>
      <c r="AE1293">
        <v>1</v>
      </c>
      <c r="AF1293">
        <v>0</v>
      </c>
      <c r="AG1293">
        <v>9529.39</v>
      </c>
      <c r="AH1293">
        <v>59</v>
      </c>
      <c r="AI1293">
        <v>59</v>
      </c>
      <c r="AJ1293">
        <v>0</v>
      </c>
      <c r="AK1293">
        <v>1</v>
      </c>
      <c r="AL1293">
        <v>1</v>
      </c>
      <c r="AM1293">
        <v>100</v>
      </c>
      <c r="AN1293">
        <v>170.2637</v>
      </c>
      <c r="AO1293">
        <v>0</v>
      </c>
      <c r="AP1293" s="13">
        <v>45221</v>
      </c>
      <c r="AQ1293">
        <v>-2</v>
      </c>
      <c r="AR1293">
        <v>1</v>
      </c>
    </row>
    <row r="1294" spans="1:44" x14ac:dyDescent="0.35">
      <c r="A1294" s="12" t="s">
        <v>1976</v>
      </c>
      <c r="B1294" s="12" t="s">
        <v>317</v>
      </c>
      <c r="C1294" s="12" t="s">
        <v>318</v>
      </c>
      <c r="D1294" s="12" t="s">
        <v>64</v>
      </c>
      <c r="E1294" s="12" t="s">
        <v>104</v>
      </c>
      <c r="F1294">
        <v>2</v>
      </c>
      <c r="G1294">
        <v>0</v>
      </c>
      <c r="H1294">
        <v>0</v>
      </c>
      <c r="I1294" s="12" t="s">
        <v>169</v>
      </c>
      <c r="J1294" s="12" t="s">
        <v>170</v>
      </c>
      <c r="K1294" s="12" t="s">
        <v>89</v>
      </c>
      <c r="L1294" s="12" t="s">
        <v>134</v>
      </c>
      <c r="M1294">
        <v>1.37</v>
      </c>
      <c r="N1294" s="12" t="s">
        <v>70</v>
      </c>
      <c r="O1294" s="12" t="s">
        <v>71</v>
      </c>
      <c r="P1294" s="12" t="s">
        <v>72</v>
      </c>
      <c r="Q1294" s="13">
        <v>45208</v>
      </c>
      <c r="R1294" s="13">
        <v>45222</v>
      </c>
      <c r="S1294">
        <v>2023</v>
      </c>
      <c r="T1294" s="12" t="s">
        <v>1926</v>
      </c>
      <c r="U1294">
        <v>236</v>
      </c>
      <c r="V1294">
        <v>15.848100000000001</v>
      </c>
      <c r="W1294">
        <v>97.17</v>
      </c>
      <c r="X1294">
        <v>0</v>
      </c>
      <c r="Y1294">
        <v>0</v>
      </c>
      <c r="Z1294">
        <v>3740.15</v>
      </c>
      <c r="AA1294">
        <v>3837.32</v>
      </c>
      <c r="AB1294" s="12" t="s">
        <v>319</v>
      </c>
      <c r="AC1294">
        <v>15.848100000000001</v>
      </c>
      <c r="AD1294">
        <v>1</v>
      </c>
      <c r="AE1294">
        <v>1</v>
      </c>
      <c r="AF1294">
        <v>0</v>
      </c>
      <c r="AG1294">
        <v>3740.15</v>
      </c>
      <c r="AH1294">
        <v>236</v>
      </c>
      <c r="AI1294">
        <v>234</v>
      </c>
      <c r="AJ1294">
        <v>2</v>
      </c>
      <c r="AK1294">
        <v>1</v>
      </c>
      <c r="AL1294">
        <v>1</v>
      </c>
      <c r="AM1294">
        <v>99.15</v>
      </c>
      <c r="AN1294">
        <v>16.398800000000001</v>
      </c>
      <c r="AO1294">
        <v>31.7</v>
      </c>
      <c r="AP1294" s="13">
        <v>45221</v>
      </c>
      <c r="AQ1294">
        <v>-1</v>
      </c>
      <c r="AR1294">
        <v>1</v>
      </c>
    </row>
    <row r="1295" spans="1:44" x14ac:dyDescent="0.35">
      <c r="A1295" s="12" t="s">
        <v>1977</v>
      </c>
      <c r="B1295" s="12" t="s">
        <v>451</v>
      </c>
      <c r="C1295" s="12" t="s">
        <v>452</v>
      </c>
      <c r="D1295" s="12" t="s">
        <v>175</v>
      </c>
      <c r="E1295" s="12" t="s">
        <v>104</v>
      </c>
      <c r="F1295">
        <v>3</v>
      </c>
      <c r="G1295">
        <v>1</v>
      </c>
      <c r="H1295">
        <v>0</v>
      </c>
      <c r="I1295" s="12" t="s">
        <v>359</v>
      </c>
      <c r="J1295" s="12" t="s">
        <v>360</v>
      </c>
      <c r="K1295" s="12" t="s">
        <v>133</v>
      </c>
      <c r="L1295" s="12" t="s">
        <v>82</v>
      </c>
      <c r="M1295">
        <v>12.65</v>
      </c>
      <c r="N1295" s="12" t="s">
        <v>107</v>
      </c>
      <c r="O1295" s="12" t="s">
        <v>108</v>
      </c>
      <c r="P1295" s="12" t="s">
        <v>109</v>
      </c>
      <c r="Q1295" s="13">
        <v>45208</v>
      </c>
      <c r="R1295" s="13">
        <v>45228</v>
      </c>
      <c r="S1295">
        <v>2023</v>
      </c>
      <c r="T1295" s="12" t="s">
        <v>1926</v>
      </c>
      <c r="U1295">
        <v>74</v>
      </c>
      <c r="V1295">
        <v>254.15530000000001</v>
      </c>
      <c r="W1295">
        <v>443.59</v>
      </c>
      <c r="X1295">
        <v>0</v>
      </c>
      <c r="Y1295">
        <v>0</v>
      </c>
      <c r="Z1295">
        <v>18807.490000000002</v>
      </c>
      <c r="AA1295">
        <v>19251.080000000002</v>
      </c>
      <c r="AB1295" s="12" t="s">
        <v>627</v>
      </c>
      <c r="AC1295">
        <v>254.15530000000001</v>
      </c>
      <c r="AD1295">
        <v>1</v>
      </c>
      <c r="AE1295">
        <v>1</v>
      </c>
      <c r="AF1295">
        <v>0</v>
      </c>
      <c r="AG1295">
        <v>18807.490000000002</v>
      </c>
      <c r="AH1295">
        <v>74</v>
      </c>
      <c r="AI1295">
        <v>73</v>
      </c>
      <c r="AJ1295">
        <v>1</v>
      </c>
      <c r="AK1295">
        <v>1</v>
      </c>
      <c r="AL1295">
        <v>1</v>
      </c>
      <c r="AM1295">
        <v>98.65</v>
      </c>
      <c r="AN1295">
        <v>263.71350000000001</v>
      </c>
      <c r="AO1295">
        <v>254.16</v>
      </c>
      <c r="AP1295" s="13">
        <v>45225</v>
      </c>
      <c r="AQ1295">
        <v>-3</v>
      </c>
      <c r="AR1295">
        <v>1</v>
      </c>
    </row>
    <row r="1296" spans="1:44" x14ac:dyDescent="0.35">
      <c r="A1296" s="12" t="s">
        <v>1978</v>
      </c>
      <c r="B1296" s="12" t="s">
        <v>331</v>
      </c>
      <c r="C1296" s="12" t="s">
        <v>332</v>
      </c>
      <c r="D1296" s="12" t="s">
        <v>122</v>
      </c>
      <c r="E1296" s="12" t="s">
        <v>142</v>
      </c>
      <c r="F1296">
        <v>3</v>
      </c>
      <c r="G1296">
        <v>11</v>
      </c>
      <c r="H1296">
        <v>0</v>
      </c>
      <c r="I1296" s="12" t="s">
        <v>66</v>
      </c>
      <c r="J1296" s="12" t="s">
        <v>67</v>
      </c>
      <c r="K1296" s="12" t="s">
        <v>68</v>
      </c>
      <c r="L1296" s="12" t="s">
        <v>69</v>
      </c>
      <c r="M1296">
        <v>17.66</v>
      </c>
      <c r="N1296" s="12" t="s">
        <v>97</v>
      </c>
      <c r="O1296" s="12" t="s">
        <v>98</v>
      </c>
      <c r="P1296" s="12" t="s">
        <v>72</v>
      </c>
      <c r="Q1296" s="13">
        <v>45208</v>
      </c>
      <c r="R1296" s="13">
        <v>45250</v>
      </c>
      <c r="S1296">
        <v>2023</v>
      </c>
      <c r="T1296" s="12" t="s">
        <v>1926</v>
      </c>
      <c r="U1296">
        <v>925</v>
      </c>
      <c r="V1296">
        <v>25.919499999999999</v>
      </c>
      <c r="W1296">
        <v>266.3</v>
      </c>
      <c r="X1296">
        <v>0</v>
      </c>
      <c r="Y1296">
        <v>0</v>
      </c>
      <c r="Z1296">
        <v>23975.54</v>
      </c>
      <c r="AA1296">
        <v>24241.84</v>
      </c>
      <c r="AB1296" s="12" t="s">
        <v>201</v>
      </c>
      <c r="AD1296">
        <v>0</v>
      </c>
      <c r="AE1296">
        <v>0</v>
      </c>
      <c r="AH1296">
        <v>925</v>
      </c>
      <c r="AI1296">
        <v>917</v>
      </c>
      <c r="AJ1296">
        <v>8</v>
      </c>
      <c r="AK1296">
        <v>1</v>
      </c>
      <c r="AL1296">
        <v>1</v>
      </c>
      <c r="AM1296">
        <v>99.14</v>
      </c>
      <c r="AN1296">
        <v>26.436</v>
      </c>
      <c r="AO1296">
        <v>207.36</v>
      </c>
      <c r="AP1296" s="13">
        <v>45250</v>
      </c>
      <c r="AQ1296">
        <v>0</v>
      </c>
      <c r="AR1296">
        <v>1</v>
      </c>
    </row>
    <row r="1297" spans="1:44" x14ac:dyDescent="0.35">
      <c r="A1297" s="12" t="s">
        <v>1979</v>
      </c>
      <c r="B1297" s="12" t="s">
        <v>823</v>
      </c>
      <c r="C1297" s="12" t="s">
        <v>824</v>
      </c>
      <c r="D1297" s="12" t="s">
        <v>114</v>
      </c>
      <c r="E1297" s="12" t="s">
        <v>142</v>
      </c>
      <c r="F1297">
        <v>1</v>
      </c>
      <c r="G1297">
        <v>8</v>
      </c>
      <c r="H1297">
        <v>1</v>
      </c>
      <c r="I1297" s="12" t="s">
        <v>515</v>
      </c>
      <c r="J1297" s="12" t="s">
        <v>516</v>
      </c>
      <c r="K1297" s="12" t="s">
        <v>68</v>
      </c>
      <c r="L1297" s="12" t="s">
        <v>134</v>
      </c>
      <c r="M1297">
        <v>3.69</v>
      </c>
      <c r="N1297" s="12" t="s">
        <v>97</v>
      </c>
      <c r="O1297" s="12" t="s">
        <v>98</v>
      </c>
      <c r="P1297" s="12" t="s">
        <v>72</v>
      </c>
      <c r="Q1297" s="13">
        <v>45208</v>
      </c>
      <c r="R1297" s="13">
        <v>45248</v>
      </c>
      <c r="S1297">
        <v>2023</v>
      </c>
      <c r="T1297" s="12" t="s">
        <v>1926</v>
      </c>
      <c r="U1297">
        <v>50</v>
      </c>
      <c r="V1297">
        <v>361.73399999999998</v>
      </c>
      <c r="W1297">
        <v>284.07</v>
      </c>
      <c r="X1297">
        <v>0</v>
      </c>
      <c r="Y1297">
        <v>0</v>
      </c>
      <c r="Z1297">
        <v>18086.7</v>
      </c>
      <c r="AA1297">
        <v>18370.77</v>
      </c>
      <c r="AB1297" s="12" t="s">
        <v>825</v>
      </c>
      <c r="AC1297">
        <v>361.73399999999998</v>
      </c>
      <c r="AD1297">
        <v>1</v>
      </c>
      <c r="AE1297">
        <v>1</v>
      </c>
      <c r="AF1297">
        <v>0</v>
      </c>
      <c r="AG1297">
        <v>18086.7</v>
      </c>
      <c r="AH1297">
        <v>50</v>
      </c>
      <c r="AI1297">
        <v>49</v>
      </c>
      <c r="AJ1297">
        <v>1</v>
      </c>
      <c r="AK1297">
        <v>1</v>
      </c>
      <c r="AL1297">
        <v>1</v>
      </c>
      <c r="AM1297">
        <v>98</v>
      </c>
      <c r="AN1297">
        <v>374.91370000000001</v>
      </c>
      <c r="AO1297">
        <v>361.73</v>
      </c>
      <c r="AP1297" s="13">
        <v>45245</v>
      </c>
      <c r="AQ1297">
        <v>-3</v>
      </c>
      <c r="AR1297">
        <v>1</v>
      </c>
    </row>
    <row r="1298" spans="1:44" x14ac:dyDescent="0.35">
      <c r="A1298" s="12" t="s">
        <v>1980</v>
      </c>
      <c r="B1298" s="12" t="s">
        <v>207</v>
      </c>
      <c r="C1298" s="12" t="s">
        <v>208</v>
      </c>
      <c r="D1298" s="12" t="s">
        <v>78</v>
      </c>
      <c r="E1298" s="12" t="s">
        <v>65</v>
      </c>
      <c r="F1298">
        <v>2</v>
      </c>
      <c r="G1298">
        <v>3</v>
      </c>
      <c r="H1298">
        <v>0</v>
      </c>
      <c r="I1298" s="12" t="s">
        <v>209</v>
      </c>
      <c r="J1298" s="12" t="s">
        <v>210</v>
      </c>
      <c r="K1298" s="12" t="s">
        <v>133</v>
      </c>
      <c r="L1298" s="12" t="s">
        <v>96</v>
      </c>
      <c r="M1298">
        <v>7.82</v>
      </c>
      <c r="N1298" s="12" t="s">
        <v>97</v>
      </c>
      <c r="O1298" s="12" t="s">
        <v>98</v>
      </c>
      <c r="P1298" s="12" t="s">
        <v>72</v>
      </c>
      <c r="Q1298" s="13">
        <v>45208</v>
      </c>
      <c r="R1298" s="13">
        <v>45241</v>
      </c>
      <c r="S1298">
        <v>2023</v>
      </c>
      <c r="T1298" s="12" t="s">
        <v>1926</v>
      </c>
      <c r="U1298">
        <v>226</v>
      </c>
      <c r="V1298">
        <v>152.13079999999999</v>
      </c>
      <c r="W1298">
        <v>500.85</v>
      </c>
      <c r="X1298">
        <v>0</v>
      </c>
      <c r="Y1298">
        <v>0</v>
      </c>
      <c r="Z1298">
        <v>34381.56</v>
      </c>
      <c r="AA1298">
        <v>34882.410000000003</v>
      </c>
      <c r="AB1298" s="12" t="s">
        <v>211</v>
      </c>
      <c r="AC1298">
        <v>152.13079999999999</v>
      </c>
      <c r="AD1298">
        <v>1</v>
      </c>
      <c r="AE1298">
        <v>1</v>
      </c>
      <c r="AF1298">
        <v>0</v>
      </c>
      <c r="AG1298">
        <v>34381.56</v>
      </c>
      <c r="AH1298">
        <v>226</v>
      </c>
      <c r="AI1298">
        <v>225</v>
      </c>
      <c r="AJ1298">
        <v>1</v>
      </c>
      <c r="AK1298">
        <v>1</v>
      </c>
      <c r="AL1298">
        <v>1</v>
      </c>
      <c r="AM1298">
        <v>99.56</v>
      </c>
      <c r="AN1298">
        <v>155.03290000000001</v>
      </c>
      <c r="AO1298">
        <v>152.13</v>
      </c>
      <c r="AP1298" s="13">
        <v>45240</v>
      </c>
      <c r="AQ1298">
        <v>-1</v>
      </c>
      <c r="AR1298">
        <v>1</v>
      </c>
    </row>
    <row r="1299" spans="1:44" x14ac:dyDescent="0.35">
      <c r="A1299" s="12" t="s">
        <v>1981</v>
      </c>
      <c r="B1299" s="12" t="s">
        <v>1166</v>
      </c>
      <c r="C1299" s="12" t="s">
        <v>1167</v>
      </c>
      <c r="D1299" s="12" t="s">
        <v>175</v>
      </c>
      <c r="E1299" s="12" t="s">
        <v>65</v>
      </c>
      <c r="F1299">
        <v>3</v>
      </c>
      <c r="G1299">
        <v>5</v>
      </c>
      <c r="H1299">
        <v>0</v>
      </c>
      <c r="I1299" s="12" t="s">
        <v>143</v>
      </c>
      <c r="J1299" s="12" t="s">
        <v>144</v>
      </c>
      <c r="K1299" s="12" t="s">
        <v>133</v>
      </c>
      <c r="L1299" s="12" t="s">
        <v>96</v>
      </c>
      <c r="M1299">
        <v>5.43</v>
      </c>
      <c r="N1299" s="12" t="s">
        <v>145</v>
      </c>
      <c r="O1299" s="12" t="s">
        <v>146</v>
      </c>
      <c r="P1299" s="12" t="s">
        <v>109</v>
      </c>
      <c r="Q1299" s="13">
        <v>45208</v>
      </c>
      <c r="R1299" s="13">
        <v>45235</v>
      </c>
      <c r="S1299">
        <v>2023</v>
      </c>
      <c r="T1299" s="12" t="s">
        <v>1926</v>
      </c>
      <c r="U1299">
        <v>58</v>
      </c>
      <c r="V1299">
        <v>248.16210000000001</v>
      </c>
      <c r="W1299">
        <v>143.54</v>
      </c>
      <c r="X1299">
        <v>0</v>
      </c>
      <c r="Y1299">
        <v>0</v>
      </c>
      <c r="Z1299">
        <v>14393.4</v>
      </c>
      <c r="AA1299">
        <v>14536.94</v>
      </c>
      <c r="AB1299" s="12" t="s">
        <v>1168</v>
      </c>
      <c r="AC1299">
        <v>248.16210000000001</v>
      </c>
      <c r="AD1299">
        <v>1</v>
      </c>
      <c r="AE1299">
        <v>1</v>
      </c>
      <c r="AF1299">
        <v>0</v>
      </c>
      <c r="AG1299">
        <v>14393.4</v>
      </c>
      <c r="AH1299">
        <v>58</v>
      </c>
      <c r="AI1299">
        <v>57</v>
      </c>
      <c r="AJ1299">
        <v>1</v>
      </c>
      <c r="AK1299">
        <v>1</v>
      </c>
      <c r="AL1299">
        <v>1</v>
      </c>
      <c r="AM1299">
        <v>98.28</v>
      </c>
      <c r="AN1299">
        <v>255.0341</v>
      </c>
      <c r="AO1299">
        <v>248.16</v>
      </c>
      <c r="AP1299" s="13">
        <v>45242</v>
      </c>
      <c r="AQ1299">
        <v>7</v>
      </c>
      <c r="AR1299">
        <v>0</v>
      </c>
    </row>
    <row r="1300" spans="1:44" x14ac:dyDescent="0.35">
      <c r="A1300" s="12" t="s">
        <v>1982</v>
      </c>
      <c r="B1300" s="12" t="s">
        <v>712</v>
      </c>
      <c r="C1300" s="12" t="s">
        <v>713</v>
      </c>
      <c r="D1300" s="12" t="s">
        <v>103</v>
      </c>
      <c r="E1300" s="12" t="s">
        <v>104</v>
      </c>
      <c r="F1300">
        <v>2</v>
      </c>
      <c r="G1300">
        <v>0</v>
      </c>
      <c r="H1300">
        <v>0</v>
      </c>
      <c r="I1300" s="12" t="s">
        <v>199</v>
      </c>
      <c r="J1300" s="12" t="s">
        <v>200</v>
      </c>
      <c r="K1300" s="12" t="s">
        <v>68</v>
      </c>
      <c r="L1300" s="12" t="s">
        <v>96</v>
      </c>
      <c r="M1300">
        <v>9.4700000000000006</v>
      </c>
      <c r="N1300" s="12" t="s">
        <v>107</v>
      </c>
      <c r="O1300" s="12" t="s">
        <v>108</v>
      </c>
      <c r="P1300" s="12" t="s">
        <v>109</v>
      </c>
      <c r="Q1300" s="13">
        <v>45208</v>
      </c>
      <c r="R1300" s="13">
        <v>45234</v>
      </c>
      <c r="S1300">
        <v>2023</v>
      </c>
      <c r="T1300" s="12" t="s">
        <v>1926</v>
      </c>
      <c r="U1300">
        <v>120</v>
      </c>
      <c r="V1300">
        <v>210.93170000000001</v>
      </c>
      <c r="W1300">
        <v>189.79</v>
      </c>
      <c r="X1300">
        <v>0</v>
      </c>
      <c r="Y1300">
        <v>0</v>
      </c>
      <c r="Z1300">
        <v>25311.8</v>
      </c>
      <c r="AA1300">
        <v>25501.59</v>
      </c>
      <c r="AB1300" s="12" t="s">
        <v>714</v>
      </c>
      <c r="AC1300">
        <v>202.47229999999999</v>
      </c>
      <c r="AD1300">
        <v>1</v>
      </c>
      <c r="AE1300">
        <v>1</v>
      </c>
      <c r="AF1300">
        <v>1015.13</v>
      </c>
      <c r="AG1300">
        <v>24296.68</v>
      </c>
      <c r="AH1300">
        <v>120</v>
      </c>
      <c r="AI1300">
        <v>118</v>
      </c>
      <c r="AJ1300">
        <v>2</v>
      </c>
      <c r="AK1300">
        <v>1</v>
      </c>
      <c r="AL1300">
        <v>1</v>
      </c>
      <c r="AM1300">
        <v>98.33</v>
      </c>
      <c r="AN1300">
        <v>216.11519999999999</v>
      </c>
      <c r="AO1300">
        <v>421.86</v>
      </c>
      <c r="AP1300" s="13">
        <v>45234</v>
      </c>
      <c r="AQ1300">
        <v>0</v>
      </c>
      <c r="AR1300">
        <v>1</v>
      </c>
    </row>
    <row r="1301" spans="1:44" x14ac:dyDescent="0.35">
      <c r="A1301" s="12" t="s">
        <v>1983</v>
      </c>
      <c r="B1301" s="12" t="s">
        <v>163</v>
      </c>
      <c r="C1301" s="12" t="s">
        <v>164</v>
      </c>
      <c r="D1301" s="12" t="s">
        <v>64</v>
      </c>
      <c r="E1301" s="12" t="s">
        <v>104</v>
      </c>
      <c r="F1301">
        <v>2</v>
      </c>
      <c r="G1301">
        <v>0</v>
      </c>
      <c r="H1301">
        <v>0</v>
      </c>
      <c r="I1301" s="12" t="s">
        <v>79</v>
      </c>
      <c r="J1301" s="12" t="s">
        <v>80</v>
      </c>
      <c r="K1301" s="12" t="s">
        <v>81</v>
      </c>
      <c r="L1301" s="12" t="s">
        <v>82</v>
      </c>
      <c r="M1301">
        <v>12.07</v>
      </c>
      <c r="N1301" s="12" t="s">
        <v>70</v>
      </c>
      <c r="O1301" s="12" t="s">
        <v>71</v>
      </c>
      <c r="P1301" s="12" t="s">
        <v>72</v>
      </c>
      <c r="Q1301" s="13">
        <v>45209</v>
      </c>
      <c r="R1301" s="13">
        <v>45235</v>
      </c>
      <c r="S1301">
        <v>2023</v>
      </c>
      <c r="T1301" s="12" t="s">
        <v>1926</v>
      </c>
      <c r="U1301">
        <v>824</v>
      </c>
      <c r="V1301">
        <v>12.8643</v>
      </c>
      <c r="W1301">
        <v>65.319999999999993</v>
      </c>
      <c r="X1301">
        <v>0</v>
      </c>
      <c r="Y1301">
        <v>0</v>
      </c>
      <c r="Z1301">
        <v>10600.18</v>
      </c>
      <c r="AA1301">
        <v>10665.5</v>
      </c>
      <c r="AB1301" s="12" t="s">
        <v>165</v>
      </c>
      <c r="AC1301">
        <v>12.8643</v>
      </c>
      <c r="AD1301">
        <v>1</v>
      </c>
      <c r="AE1301">
        <v>1</v>
      </c>
      <c r="AF1301">
        <v>0</v>
      </c>
      <c r="AG1301">
        <v>10600.18</v>
      </c>
      <c r="AH1301">
        <v>824</v>
      </c>
      <c r="AI1301">
        <v>820</v>
      </c>
      <c r="AJ1301">
        <v>4</v>
      </c>
      <c r="AK1301">
        <v>1</v>
      </c>
      <c r="AL1301">
        <v>1</v>
      </c>
      <c r="AM1301">
        <v>99.51</v>
      </c>
      <c r="AN1301">
        <v>13.0067</v>
      </c>
      <c r="AO1301">
        <v>51.46</v>
      </c>
      <c r="AP1301" s="13">
        <v>45236</v>
      </c>
      <c r="AQ1301">
        <v>1</v>
      </c>
      <c r="AR1301">
        <v>0</v>
      </c>
    </row>
    <row r="1302" spans="1:44" x14ac:dyDescent="0.35">
      <c r="A1302" s="12" t="s">
        <v>1984</v>
      </c>
      <c r="B1302" s="12" t="s">
        <v>1034</v>
      </c>
      <c r="C1302" s="12" t="s">
        <v>1035</v>
      </c>
      <c r="D1302" s="12" t="s">
        <v>64</v>
      </c>
      <c r="E1302" s="12" t="s">
        <v>104</v>
      </c>
      <c r="F1302">
        <v>2</v>
      </c>
      <c r="G1302">
        <v>0</v>
      </c>
      <c r="H1302">
        <v>0</v>
      </c>
      <c r="I1302" s="12" t="s">
        <v>157</v>
      </c>
      <c r="J1302" s="12" t="s">
        <v>158</v>
      </c>
      <c r="K1302" s="12" t="s">
        <v>117</v>
      </c>
      <c r="L1302" s="12" t="s">
        <v>96</v>
      </c>
      <c r="M1302">
        <v>4.72</v>
      </c>
      <c r="N1302" s="12" t="s">
        <v>70</v>
      </c>
      <c r="O1302" s="12" t="s">
        <v>71</v>
      </c>
      <c r="P1302" s="12" t="s">
        <v>72</v>
      </c>
      <c r="Q1302" s="13">
        <v>45209</v>
      </c>
      <c r="R1302" s="13">
        <v>45238</v>
      </c>
      <c r="S1302">
        <v>2023</v>
      </c>
      <c r="T1302" s="12" t="s">
        <v>1926</v>
      </c>
      <c r="U1302">
        <v>995</v>
      </c>
      <c r="V1302">
        <v>9.4100999999999999</v>
      </c>
      <c r="W1302">
        <v>150.83000000000001</v>
      </c>
      <c r="X1302">
        <v>0</v>
      </c>
      <c r="Y1302">
        <v>0</v>
      </c>
      <c r="Z1302">
        <v>9363.0499999999993</v>
      </c>
      <c r="AA1302">
        <v>9513.8799999999992</v>
      </c>
      <c r="AB1302" s="12" t="s">
        <v>1036</v>
      </c>
      <c r="AC1302">
        <v>9.9979999999999993</v>
      </c>
      <c r="AD1302">
        <v>1</v>
      </c>
      <c r="AE1302">
        <v>1</v>
      </c>
      <c r="AF1302">
        <v>-584.96</v>
      </c>
      <c r="AG1302">
        <v>9948.01</v>
      </c>
      <c r="AH1302">
        <v>995</v>
      </c>
      <c r="AI1302">
        <v>987</v>
      </c>
      <c r="AJ1302">
        <v>8</v>
      </c>
      <c r="AK1302">
        <v>1</v>
      </c>
      <c r="AL1302">
        <v>1</v>
      </c>
      <c r="AM1302">
        <v>99.2</v>
      </c>
      <c r="AN1302">
        <v>9.6392000000000007</v>
      </c>
      <c r="AO1302">
        <v>75.28</v>
      </c>
      <c r="AP1302" s="13">
        <v>45235</v>
      </c>
      <c r="AQ1302">
        <v>-3</v>
      </c>
      <c r="AR1302">
        <v>1</v>
      </c>
    </row>
    <row r="1303" spans="1:44" x14ac:dyDescent="0.35">
      <c r="A1303" s="12" t="s">
        <v>1985</v>
      </c>
      <c r="B1303" s="12" t="s">
        <v>503</v>
      </c>
      <c r="C1303" s="12" t="s">
        <v>504</v>
      </c>
      <c r="D1303" s="12" t="s">
        <v>103</v>
      </c>
      <c r="E1303" s="12" t="s">
        <v>104</v>
      </c>
      <c r="F1303">
        <v>3</v>
      </c>
      <c r="G1303">
        <v>1</v>
      </c>
      <c r="H1303">
        <v>0</v>
      </c>
      <c r="I1303" s="12" t="s">
        <v>209</v>
      </c>
      <c r="J1303" s="12" t="s">
        <v>210</v>
      </c>
      <c r="K1303" s="12" t="s">
        <v>133</v>
      </c>
      <c r="L1303" s="12" t="s">
        <v>96</v>
      </c>
      <c r="M1303">
        <v>7.82</v>
      </c>
      <c r="N1303" s="12" t="s">
        <v>145</v>
      </c>
      <c r="O1303" s="12" t="s">
        <v>146</v>
      </c>
      <c r="P1303" s="12" t="s">
        <v>109</v>
      </c>
      <c r="Q1303" s="13">
        <v>45209</v>
      </c>
      <c r="R1303" s="13">
        <v>45228</v>
      </c>
      <c r="S1303">
        <v>2023</v>
      </c>
      <c r="T1303" s="12" t="s">
        <v>1926</v>
      </c>
      <c r="U1303">
        <v>69</v>
      </c>
      <c r="V1303">
        <v>158.00909999999999</v>
      </c>
      <c r="W1303">
        <v>274.64999999999998</v>
      </c>
      <c r="X1303">
        <v>0</v>
      </c>
      <c r="Y1303">
        <v>0</v>
      </c>
      <c r="Z1303">
        <v>10902.63</v>
      </c>
      <c r="AA1303">
        <v>11177.28</v>
      </c>
      <c r="AB1303" s="12" t="s">
        <v>505</v>
      </c>
      <c r="AC1303">
        <v>158.00909999999999</v>
      </c>
      <c r="AD1303">
        <v>1</v>
      </c>
      <c r="AE1303">
        <v>1</v>
      </c>
      <c r="AF1303">
        <v>0</v>
      </c>
      <c r="AG1303">
        <v>10902.63</v>
      </c>
      <c r="AH1303">
        <v>69</v>
      </c>
      <c r="AI1303">
        <v>68</v>
      </c>
      <c r="AJ1303">
        <v>1</v>
      </c>
      <c r="AK1303">
        <v>1</v>
      </c>
      <c r="AL1303">
        <v>1</v>
      </c>
      <c r="AM1303">
        <v>98.55</v>
      </c>
      <c r="AN1303">
        <v>164.3717</v>
      </c>
      <c r="AO1303">
        <v>158.01</v>
      </c>
      <c r="AP1303" s="13">
        <v>45236</v>
      </c>
      <c r="AQ1303">
        <v>8</v>
      </c>
      <c r="AR1303">
        <v>0</v>
      </c>
    </row>
    <row r="1304" spans="1:44" x14ac:dyDescent="0.35">
      <c r="A1304" s="12" t="s">
        <v>1986</v>
      </c>
      <c r="B1304" s="12" t="s">
        <v>646</v>
      </c>
      <c r="C1304" s="12" t="s">
        <v>647</v>
      </c>
      <c r="D1304" s="12" t="s">
        <v>175</v>
      </c>
      <c r="E1304" s="12" t="s">
        <v>104</v>
      </c>
      <c r="F1304">
        <v>3</v>
      </c>
      <c r="G1304">
        <v>1</v>
      </c>
      <c r="H1304">
        <v>0</v>
      </c>
      <c r="I1304" s="12" t="s">
        <v>227</v>
      </c>
      <c r="J1304" s="12" t="s">
        <v>228</v>
      </c>
      <c r="K1304" s="12" t="s">
        <v>89</v>
      </c>
      <c r="L1304" s="12" t="s">
        <v>96</v>
      </c>
      <c r="M1304">
        <v>9.15</v>
      </c>
      <c r="N1304" s="12" t="s">
        <v>107</v>
      </c>
      <c r="O1304" s="12" t="s">
        <v>108</v>
      </c>
      <c r="P1304" s="12" t="s">
        <v>109</v>
      </c>
      <c r="Q1304" s="13">
        <v>45209</v>
      </c>
      <c r="R1304" s="13">
        <v>45223</v>
      </c>
      <c r="S1304">
        <v>2023</v>
      </c>
      <c r="T1304" s="12" t="s">
        <v>1926</v>
      </c>
      <c r="U1304">
        <v>29</v>
      </c>
      <c r="V1304">
        <v>216.21350000000001</v>
      </c>
      <c r="W1304">
        <v>48.97</v>
      </c>
      <c r="X1304">
        <v>0</v>
      </c>
      <c r="Y1304">
        <v>0</v>
      </c>
      <c r="Z1304">
        <v>6270.19</v>
      </c>
      <c r="AA1304">
        <v>6319.16</v>
      </c>
      <c r="AB1304" s="12" t="s">
        <v>781</v>
      </c>
      <c r="AC1304">
        <v>216.21350000000001</v>
      </c>
      <c r="AD1304">
        <v>1</v>
      </c>
      <c r="AE1304">
        <v>1</v>
      </c>
      <c r="AF1304">
        <v>0</v>
      </c>
      <c r="AG1304">
        <v>6270.19</v>
      </c>
      <c r="AH1304">
        <v>29</v>
      </c>
      <c r="AI1304">
        <v>29</v>
      </c>
      <c r="AJ1304">
        <v>0</v>
      </c>
      <c r="AK1304">
        <v>1</v>
      </c>
      <c r="AL1304">
        <v>1</v>
      </c>
      <c r="AM1304">
        <v>100</v>
      </c>
      <c r="AN1304">
        <v>217.90209999999999</v>
      </c>
      <c r="AO1304">
        <v>0</v>
      </c>
      <c r="AP1304" s="13">
        <v>45223</v>
      </c>
      <c r="AQ1304">
        <v>0</v>
      </c>
      <c r="AR1304">
        <v>1</v>
      </c>
    </row>
    <row r="1305" spans="1:44" x14ac:dyDescent="0.35">
      <c r="A1305" s="12" t="s">
        <v>1987</v>
      </c>
      <c r="B1305" s="12" t="s">
        <v>755</v>
      </c>
      <c r="C1305" s="12" t="s">
        <v>756</v>
      </c>
      <c r="D1305" s="12" t="s">
        <v>78</v>
      </c>
      <c r="E1305" s="12" t="s">
        <v>65</v>
      </c>
      <c r="F1305">
        <v>2</v>
      </c>
      <c r="G1305">
        <v>2</v>
      </c>
      <c r="H1305">
        <v>0</v>
      </c>
      <c r="I1305" s="12" t="s">
        <v>359</v>
      </c>
      <c r="J1305" s="12" t="s">
        <v>360</v>
      </c>
      <c r="K1305" s="12" t="s">
        <v>133</v>
      </c>
      <c r="L1305" s="12" t="s">
        <v>82</v>
      </c>
      <c r="M1305">
        <v>12.65</v>
      </c>
      <c r="N1305" s="12" t="s">
        <v>70</v>
      </c>
      <c r="O1305" s="12" t="s">
        <v>71</v>
      </c>
      <c r="P1305" s="12" t="s">
        <v>72</v>
      </c>
      <c r="Q1305" s="13">
        <v>45209</v>
      </c>
      <c r="R1305" s="13">
        <v>45243</v>
      </c>
      <c r="S1305">
        <v>2023</v>
      </c>
      <c r="T1305" s="12" t="s">
        <v>1926</v>
      </c>
      <c r="U1305">
        <v>233</v>
      </c>
      <c r="V1305">
        <v>46.7898</v>
      </c>
      <c r="W1305">
        <v>261.02999999999997</v>
      </c>
      <c r="X1305">
        <v>0</v>
      </c>
      <c r="Y1305">
        <v>0</v>
      </c>
      <c r="Z1305">
        <v>10902.02</v>
      </c>
      <c r="AA1305">
        <v>11163.05</v>
      </c>
      <c r="AB1305" s="12" t="s">
        <v>759</v>
      </c>
      <c r="AC1305">
        <v>45.472499999999997</v>
      </c>
      <c r="AD1305">
        <v>1</v>
      </c>
      <c r="AE1305">
        <v>1</v>
      </c>
      <c r="AF1305">
        <v>306.93</v>
      </c>
      <c r="AG1305">
        <v>10595.09</v>
      </c>
      <c r="AH1305">
        <v>233</v>
      </c>
      <c r="AI1305">
        <v>230</v>
      </c>
      <c r="AJ1305">
        <v>3</v>
      </c>
      <c r="AK1305">
        <v>1</v>
      </c>
      <c r="AL1305">
        <v>1</v>
      </c>
      <c r="AM1305">
        <v>98.71</v>
      </c>
      <c r="AN1305">
        <v>48.534999999999997</v>
      </c>
      <c r="AO1305">
        <v>140.37</v>
      </c>
      <c r="AP1305" s="13">
        <v>45240</v>
      </c>
      <c r="AQ1305">
        <v>-3</v>
      </c>
      <c r="AR1305">
        <v>1</v>
      </c>
    </row>
    <row r="1306" spans="1:44" x14ac:dyDescent="0.35">
      <c r="A1306" s="12" t="s">
        <v>1988</v>
      </c>
      <c r="B1306" s="12" t="s">
        <v>978</v>
      </c>
      <c r="C1306" s="12" t="s">
        <v>979</v>
      </c>
      <c r="D1306" s="12" t="s">
        <v>122</v>
      </c>
      <c r="E1306" s="12" t="s">
        <v>65</v>
      </c>
      <c r="F1306">
        <v>1</v>
      </c>
      <c r="G1306">
        <v>2</v>
      </c>
      <c r="H1306">
        <v>1</v>
      </c>
      <c r="I1306" s="12" t="s">
        <v>310</v>
      </c>
      <c r="J1306" s="12" t="s">
        <v>311</v>
      </c>
      <c r="K1306" s="12" t="s">
        <v>81</v>
      </c>
      <c r="L1306" s="12" t="s">
        <v>69</v>
      </c>
      <c r="M1306">
        <v>28.3</v>
      </c>
      <c r="N1306" s="12" t="s">
        <v>70</v>
      </c>
      <c r="O1306" s="12" t="s">
        <v>71</v>
      </c>
      <c r="P1306" s="12" t="s">
        <v>72</v>
      </c>
      <c r="Q1306" s="13">
        <v>45209</v>
      </c>
      <c r="R1306" s="13">
        <v>45245</v>
      </c>
      <c r="S1306">
        <v>2023</v>
      </c>
      <c r="T1306" s="12" t="s">
        <v>1926</v>
      </c>
      <c r="U1306">
        <v>1795</v>
      </c>
      <c r="V1306">
        <v>43.709699999999998</v>
      </c>
      <c r="W1306">
        <v>538.28</v>
      </c>
      <c r="X1306">
        <v>0</v>
      </c>
      <c r="Y1306">
        <v>0</v>
      </c>
      <c r="Z1306">
        <v>78458.91</v>
      </c>
      <c r="AA1306">
        <v>78997.19</v>
      </c>
      <c r="AB1306" s="12" t="s">
        <v>980</v>
      </c>
      <c r="AC1306">
        <v>43.709699999999998</v>
      </c>
      <c r="AD1306">
        <v>1</v>
      </c>
      <c r="AE1306">
        <v>1</v>
      </c>
      <c r="AF1306">
        <v>0</v>
      </c>
      <c r="AG1306">
        <v>78458.91</v>
      </c>
      <c r="AH1306">
        <v>1795</v>
      </c>
      <c r="AI1306">
        <v>1791</v>
      </c>
      <c r="AJ1306">
        <v>4</v>
      </c>
      <c r="AK1306">
        <v>1</v>
      </c>
      <c r="AL1306">
        <v>1</v>
      </c>
      <c r="AM1306">
        <v>99.78</v>
      </c>
      <c r="AN1306">
        <v>44.107900000000001</v>
      </c>
      <c r="AO1306">
        <v>174.84</v>
      </c>
      <c r="AP1306" s="13">
        <v>45244</v>
      </c>
      <c r="AQ1306">
        <v>-1</v>
      </c>
      <c r="AR1306">
        <v>1</v>
      </c>
    </row>
    <row r="1307" spans="1:44" x14ac:dyDescent="0.35">
      <c r="A1307" s="12" t="s">
        <v>1989</v>
      </c>
      <c r="B1307" s="12" t="s">
        <v>454</v>
      </c>
      <c r="C1307" s="12" t="s">
        <v>455</v>
      </c>
      <c r="D1307" s="12" t="s">
        <v>122</v>
      </c>
      <c r="E1307" s="12" t="s">
        <v>104</v>
      </c>
      <c r="F1307">
        <v>3</v>
      </c>
      <c r="G1307">
        <v>1</v>
      </c>
      <c r="H1307">
        <v>0</v>
      </c>
      <c r="I1307" s="12" t="s">
        <v>87</v>
      </c>
      <c r="J1307" s="12" t="s">
        <v>88</v>
      </c>
      <c r="K1307" s="12" t="s">
        <v>89</v>
      </c>
      <c r="L1307" s="12" t="s">
        <v>69</v>
      </c>
      <c r="M1307">
        <v>14.93</v>
      </c>
      <c r="N1307" s="12" t="s">
        <v>97</v>
      </c>
      <c r="O1307" s="12" t="s">
        <v>98</v>
      </c>
      <c r="P1307" s="12" t="s">
        <v>72</v>
      </c>
      <c r="Q1307" s="13">
        <v>45209</v>
      </c>
      <c r="R1307" s="13">
        <v>45223</v>
      </c>
      <c r="S1307">
        <v>2023</v>
      </c>
      <c r="T1307" s="12" t="s">
        <v>1926</v>
      </c>
      <c r="U1307">
        <v>432</v>
      </c>
      <c r="V1307">
        <v>21.796199999999999</v>
      </c>
      <c r="W1307">
        <v>100.36</v>
      </c>
      <c r="X1307">
        <v>0</v>
      </c>
      <c r="Y1307">
        <v>0</v>
      </c>
      <c r="Z1307">
        <v>9415.9599999999991</v>
      </c>
      <c r="AA1307">
        <v>9516.32</v>
      </c>
      <c r="AB1307" s="12" t="s">
        <v>456</v>
      </c>
      <c r="AC1307">
        <v>21.796199999999999</v>
      </c>
      <c r="AD1307">
        <v>1</v>
      </c>
      <c r="AE1307">
        <v>1</v>
      </c>
      <c r="AF1307">
        <v>0</v>
      </c>
      <c r="AG1307">
        <v>9415.9599999999991</v>
      </c>
      <c r="AH1307">
        <v>432</v>
      </c>
      <c r="AI1307">
        <v>431</v>
      </c>
      <c r="AJ1307">
        <v>1</v>
      </c>
      <c r="AK1307">
        <v>1</v>
      </c>
      <c r="AL1307">
        <v>1</v>
      </c>
      <c r="AM1307">
        <v>99.77</v>
      </c>
      <c r="AN1307">
        <v>22.079599999999999</v>
      </c>
      <c r="AO1307">
        <v>21.8</v>
      </c>
      <c r="AP1307" s="13">
        <v>45223</v>
      </c>
      <c r="AQ1307">
        <v>0</v>
      </c>
      <c r="AR1307">
        <v>1</v>
      </c>
    </row>
    <row r="1308" spans="1:44" x14ac:dyDescent="0.35">
      <c r="A1308" s="12" t="s">
        <v>1990</v>
      </c>
      <c r="B1308" s="12" t="s">
        <v>193</v>
      </c>
      <c r="C1308" s="12" t="s">
        <v>194</v>
      </c>
      <c r="D1308" s="12" t="s">
        <v>114</v>
      </c>
      <c r="E1308" s="12" t="s">
        <v>65</v>
      </c>
      <c r="F1308">
        <v>3</v>
      </c>
      <c r="G1308">
        <v>4</v>
      </c>
      <c r="H1308">
        <v>0</v>
      </c>
      <c r="I1308" s="12" t="s">
        <v>195</v>
      </c>
      <c r="J1308" s="12" t="s">
        <v>196</v>
      </c>
      <c r="K1308" s="12" t="s">
        <v>117</v>
      </c>
      <c r="L1308" s="12" t="s">
        <v>134</v>
      </c>
      <c r="M1308">
        <v>4.7699999999999996</v>
      </c>
      <c r="N1308" s="12" t="s">
        <v>70</v>
      </c>
      <c r="O1308" s="12" t="s">
        <v>71</v>
      </c>
      <c r="P1308" s="12" t="s">
        <v>72</v>
      </c>
      <c r="Q1308" s="13">
        <v>45209</v>
      </c>
      <c r="R1308" s="13">
        <v>45241</v>
      </c>
      <c r="S1308">
        <v>2023</v>
      </c>
      <c r="T1308" s="12" t="s">
        <v>1926</v>
      </c>
      <c r="U1308">
        <v>102</v>
      </c>
      <c r="V1308">
        <v>107.28270000000001</v>
      </c>
      <c r="W1308">
        <v>264.14999999999998</v>
      </c>
      <c r="X1308">
        <v>0</v>
      </c>
      <c r="Y1308">
        <v>0</v>
      </c>
      <c r="Z1308">
        <v>10942.84</v>
      </c>
      <c r="AA1308">
        <v>11206.99</v>
      </c>
      <c r="AB1308" s="12" t="s">
        <v>197</v>
      </c>
      <c r="AC1308">
        <v>107.28270000000001</v>
      </c>
      <c r="AD1308">
        <v>1</v>
      </c>
      <c r="AE1308">
        <v>1</v>
      </c>
      <c r="AF1308">
        <v>0</v>
      </c>
      <c r="AG1308">
        <v>10942.84</v>
      </c>
      <c r="AH1308">
        <v>102</v>
      </c>
      <c r="AI1308">
        <v>100</v>
      </c>
      <c r="AJ1308">
        <v>2</v>
      </c>
      <c r="AK1308">
        <v>1</v>
      </c>
      <c r="AL1308">
        <v>1</v>
      </c>
      <c r="AM1308">
        <v>98.04</v>
      </c>
      <c r="AN1308">
        <v>112.0699</v>
      </c>
      <c r="AO1308">
        <v>214.57</v>
      </c>
      <c r="AP1308" s="13">
        <v>45244</v>
      </c>
      <c r="AQ1308">
        <v>3</v>
      </c>
      <c r="AR1308">
        <v>0</v>
      </c>
    </row>
    <row r="1309" spans="1:44" x14ac:dyDescent="0.35">
      <c r="A1309" s="12" t="s">
        <v>1991</v>
      </c>
      <c r="B1309" s="12" t="s">
        <v>1134</v>
      </c>
      <c r="C1309" s="12" t="s">
        <v>1135</v>
      </c>
      <c r="D1309" s="12" t="s">
        <v>269</v>
      </c>
      <c r="E1309" s="12" t="s">
        <v>104</v>
      </c>
      <c r="F1309">
        <v>2</v>
      </c>
      <c r="G1309">
        <v>0</v>
      </c>
      <c r="H1309">
        <v>0</v>
      </c>
      <c r="I1309" s="12" t="s">
        <v>335</v>
      </c>
      <c r="J1309" s="12" t="s">
        <v>336</v>
      </c>
      <c r="K1309" s="12" t="s">
        <v>89</v>
      </c>
      <c r="L1309" s="12" t="s">
        <v>82</v>
      </c>
      <c r="M1309">
        <v>16</v>
      </c>
      <c r="N1309" s="12" t="s">
        <v>159</v>
      </c>
      <c r="O1309" s="12" t="s">
        <v>160</v>
      </c>
      <c r="P1309" s="12" t="s">
        <v>137</v>
      </c>
      <c r="Q1309" s="13">
        <v>45209</v>
      </c>
      <c r="R1309" s="13">
        <v>45226</v>
      </c>
      <c r="S1309">
        <v>2023</v>
      </c>
      <c r="T1309" s="12" t="s">
        <v>1926</v>
      </c>
      <c r="U1309">
        <v>51</v>
      </c>
      <c r="V1309">
        <v>107.5608</v>
      </c>
      <c r="W1309">
        <v>91.89</v>
      </c>
      <c r="X1309">
        <v>0</v>
      </c>
      <c r="Y1309">
        <v>0</v>
      </c>
      <c r="Z1309">
        <v>5485.6</v>
      </c>
      <c r="AA1309">
        <v>5577.49</v>
      </c>
      <c r="AB1309" s="12" t="s">
        <v>1992</v>
      </c>
      <c r="AC1309">
        <v>107.5608</v>
      </c>
      <c r="AD1309">
        <v>1</v>
      </c>
      <c r="AE1309">
        <v>1</v>
      </c>
      <c r="AF1309">
        <v>0</v>
      </c>
      <c r="AG1309">
        <v>5485.6</v>
      </c>
      <c r="AH1309">
        <v>51</v>
      </c>
      <c r="AI1309">
        <v>51</v>
      </c>
      <c r="AJ1309">
        <v>0</v>
      </c>
      <c r="AK1309">
        <v>1</v>
      </c>
      <c r="AL1309">
        <v>1</v>
      </c>
      <c r="AM1309">
        <v>100</v>
      </c>
      <c r="AN1309">
        <v>109.3626</v>
      </c>
      <c r="AO1309">
        <v>0</v>
      </c>
      <c r="AP1309" s="13">
        <v>45225</v>
      </c>
      <c r="AQ1309">
        <v>-1</v>
      </c>
      <c r="AR1309">
        <v>1</v>
      </c>
    </row>
    <row r="1310" spans="1:44" x14ac:dyDescent="0.35">
      <c r="A1310" s="12" t="s">
        <v>1993</v>
      </c>
      <c r="B1310" s="12" t="s">
        <v>428</v>
      </c>
      <c r="C1310" s="12" t="s">
        <v>429</v>
      </c>
      <c r="D1310" s="12" t="s">
        <v>64</v>
      </c>
      <c r="E1310" s="12" t="s">
        <v>65</v>
      </c>
      <c r="F1310">
        <v>3</v>
      </c>
      <c r="G1310">
        <v>4</v>
      </c>
      <c r="H1310">
        <v>0</v>
      </c>
      <c r="I1310" s="12" t="s">
        <v>380</v>
      </c>
      <c r="J1310" s="12" t="s">
        <v>381</v>
      </c>
      <c r="K1310" s="12" t="s">
        <v>89</v>
      </c>
      <c r="L1310" s="12" t="s">
        <v>96</v>
      </c>
      <c r="M1310">
        <v>10.210000000000001</v>
      </c>
      <c r="N1310" s="12" t="s">
        <v>97</v>
      </c>
      <c r="O1310" s="12" t="s">
        <v>98</v>
      </c>
      <c r="P1310" s="12" t="s">
        <v>72</v>
      </c>
      <c r="Q1310" s="13">
        <v>45209</v>
      </c>
      <c r="R1310" s="13">
        <v>45239</v>
      </c>
      <c r="S1310">
        <v>2023</v>
      </c>
      <c r="T1310" s="12" t="s">
        <v>1926</v>
      </c>
      <c r="U1310">
        <v>567</v>
      </c>
      <c r="V1310">
        <v>15.0402</v>
      </c>
      <c r="W1310">
        <v>74.180000000000007</v>
      </c>
      <c r="X1310">
        <v>0</v>
      </c>
      <c r="Y1310">
        <v>0</v>
      </c>
      <c r="Z1310">
        <v>8527.7900000000009</v>
      </c>
      <c r="AA1310">
        <v>8601.9699999999993</v>
      </c>
      <c r="AB1310" s="12" t="s">
        <v>430</v>
      </c>
      <c r="AC1310">
        <v>15.0402</v>
      </c>
      <c r="AD1310">
        <v>1</v>
      </c>
      <c r="AE1310">
        <v>1</v>
      </c>
      <c r="AF1310">
        <v>0</v>
      </c>
      <c r="AG1310">
        <v>8527.7900000000009</v>
      </c>
      <c r="AH1310">
        <v>567</v>
      </c>
      <c r="AI1310">
        <v>558</v>
      </c>
      <c r="AJ1310">
        <v>9</v>
      </c>
      <c r="AK1310">
        <v>1</v>
      </c>
      <c r="AL1310">
        <v>1</v>
      </c>
      <c r="AM1310">
        <v>98.41</v>
      </c>
      <c r="AN1310">
        <v>15.415699999999999</v>
      </c>
      <c r="AO1310">
        <v>135.36000000000001</v>
      </c>
      <c r="AP1310" s="13">
        <v>45237</v>
      </c>
      <c r="AQ1310">
        <v>-2</v>
      </c>
      <c r="AR1310">
        <v>1</v>
      </c>
    </row>
    <row r="1311" spans="1:44" x14ac:dyDescent="0.35">
      <c r="A1311" s="12" t="s">
        <v>1994</v>
      </c>
      <c r="B1311" s="12" t="s">
        <v>433</v>
      </c>
      <c r="C1311" s="12" t="s">
        <v>434</v>
      </c>
      <c r="D1311" s="12" t="s">
        <v>78</v>
      </c>
      <c r="E1311" s="12" t="s">
        <v>65</v>
      </c>
      <c r="F1311">
        <v>2</v>
      </c>
      <c r="G1311">
        <v>4</v>
      </c>
      <c r="H1311">
        <v>0</v>
      </c>
      <c r="I1311" s="12" t="s">
        <v>243</v>
      </c>
      <c r="J1311" s="12" t="s">
        <v>244</v>
      </c>
      <c r="K1311" s="12" t="s">
        <v>81</v>
      </c>
      <c r="L1311" s="12" t="s">
        <v>82</v>
      </c>
      <c r="M1311">
        <v>9.2200000000000006</v>
      </c>
      <c r="N1311" s="12" t="s">
        <v>97</v>
      </c>
      <c r="O1311" s="12" t="s">
        <v>98</v>
      </c>
      <c r="P1311" s="12" t="s">
        <v>72</v>
      </c>
      <c r="Q1311" s="13">
        <v>45209</v>
      </c>
      <c r="R1311" s="13">
        <v>45235</v>
      </c>
      <c r="S1311">
        <v>2023</v>
      </c>
      <c r="T1311" s="12" t="s">
        <v>1926</v>
      </c>
      <c r="U1311">
        <v>114</v>
      </c>
      <c r="V1311">
        <v>76.331100000000006</v>
      </c>
      <c r="W1311">
        <v>180.74</v>
      </c>
      <c r="X1311">
        <v>0</v>
      </c>
      <c r="Y1311">
        <v>0</v>
      </c>
      <c r="Z1311">
        <v>8701.75</v>
      </c>
      <c r="AA1311">
        <v>8882.49</v>
      </c>
      <c r="AB1311" s="12" t="s">
        <v>435</v>
      </c>
      <c r="AC1311">
        <v>76.331100000000006</v>
      </c>
      <c r="AD1311">
        <v>1</v>
      </c>
      <c r="AE1311">
        <v>1</v>
      </c>
      <c r="AF1311">
        <v>0</v>
      </c>
      <c r="AG1311">
        <v>8701.75</v>
      </c>
      <c r="AH1311">
        <v>114</v>
      </c>
      <c r="AI1311">
        <v>113</v>
      </c>
      <c r="AJ1311">
        <v>1</v>
      </c>
      <c r="AK1311">
        <v>1</v>
      </c>
      <c r="AL1311">
        <v>1</v>
      </c>
      <c r="AM1311">
        <v>99.12</v>
      </c>
      <c r="AN1311">
        <v>78.606099999999998</v>
      </c>
      <c r="AO1311">
        <v>76.33</v>
      </c>
      <c r="AP1311" s="13">
        <v>45233</v>
      </c>
      <c r="AQ1311">
        <v>-2</v>
      </c>
      <c r="AR1311">
        <v>1</v>
      </c>
    </row>
    <row r="1312" spans="1:44" x14ac:dyDescent="0.35">
      <c r="A1312" s="12" t="s">
        <v>1995</v>
      </c>
      <c r="B1312" s="12" t="s">
        <v>646</v>
      </c>
      <c r="C1312" s="12" t="s">
        <v>647</v>
      </c>
      <c r="D1312" s="12" t="s">
        <v>175</v>
      </c>
      <c r="E1312" s="12" t="s">
        <v>104</v>
      </c>
      <c r="F1312">
        <v>3</v>
      </c>
      <c r="G1312">
        <v>1</v>
      </c>
      <c r="H1312">
        <v>0</v>
      </c>
      <c r="I1312" s="12" t="s">
        <v>227</v>
      </c>
      <c r="J1312" s="12" t="s">
        <v>228</v>
      </c>
      <c r="K1312" s="12" t="s">
        <v>89</v>
      </c>
      <c r="L1312" s="12" t="s">
        <v>96</v>
      </c>
      <c r="M1312">
        <v>9.15</v>
      </c>
      <c r="N1312" s="12" t="s">
        <v>145</v>
      </c>
      <c r="O1312" s="12" t="s">
        <v>146</v>
      </c>
      <c r="P1312" s="12" t="s">
        <v>109</v>
      </c>
      <c r="Q1312" s="13">
        <v>45210</v>
      </c>
      <c r="R1312" s="13">
        <v>45237</v>
      </c>
      <c r="S1312">
        <v>2023</v>
      </c>
      <c r="T1312" s="12" t="s">
        <v>1926</v>
      </c>
      <c r="U1312">
        <v>130</v>
      </c>
      <c r="V1312">
        <v>216.21350000000001</v>
      </c>
      <c r="W1312">
        <v>376.47</v>
      </c>
      <c r="X1312">
        <v>0</v>
      </c>
      <c r="Y1312">
        <v>0</v>
      </c>
      <c r="Z1312">
        <v>28107.759999999998</v>
      </c>
      <c r="AA1312">
        <v>28484.23</v>
      </c>
      <c r="AB1312" s="12" t="s">
        <v>781</v>
      </c>
      <c r="AC1312">
        <v>216.21350000000001</v>
      </c>
      <c r="AD1312">
        <v>1</v>
      </c>
      <c r="AE1312">
        <v>1</v>
      </c>
      <c r="AF1312">
        <v>0</v>
      </c>
      <c r="AG1312">
        <v>28107.759999999998</v>
      </c>
      <c r="AH1312">
        <v>130</v>
      </c>
      <c r="AI1312">
        <v>129</v>
      </c>
      <c r="AJ1312">
        <v>1</v>
      </c>
      <c r="AK1312">
        <v>1</v>
      </c>
      <c r="AL1312">
        <v>1</v>
      </c>
      <c r="AM1312">
        <v>99.23</v>
      </c>
      <c r="AN1312">
        <v>220.80789999999999</v>
      </c>
      <c r="AO1312">
        <v>216.21</v>
      </c>
      <c r="AP1312" s="13">
        <v>45244</v>
      </c>
      <c r="AQ1312">
        <v>7</v>
      </c>
      <c r="AR1312">
        <v>0</v>
      </c>
    </row>
    <row r="1313" spans="1:44" x14ac:dyDescent="0.35">
      <c r="A1313" s="12" t="s">
        <v>1996</v>
      </c>
      <c r="B1313" s="12" t="s">
        <v>284</v>
      </c>
      <c r="C1313" s="12" t="s">
        <v>285</v>
      </c>
      <c r="D1313" s="12" t="s">
        <v>269</v>
      </c>
      <c r="E1313" s="12" t="s">
        <v>104</v>
      </c>
      <c r="F1313">
        <v>3</v>
      </c>
      <c r="G1313">
        <v>1</v>
      </c>
      <c r="H1313">
        <v>0</v>
      </c>
      <c r="I1313" s="12" t="s">
        <v>199</v>
      </c>
      <c r="J1313" s="12" t="s">
        <v>200</v>
      </c>
      <c r="K1313" s="12" t="s">
        <v>68</v>
      </c>
      <c r="L1313" s="12" t="s">
        <v>96</v>
      </c>
      <c r="M1313">
        <v>9.4700000000000006</v>
      </c>
      <c r="N1313" s="12" t="s">
        <v>159</v>
      </c>
      <c r="O1313" s="12" t="s">
        <v>160</v>
      </c>
      <c r="P1313" s="12" t="s">
        <v>137</v>
      </c>
      <c r="Q1313" s="13">
        <v>45210</v>
      </c>
      <c r="R1313" s="13">
        <v>45231</v>
      </c>
      <c r="S1313">
        <v>2023</v>
      </c>
      <c r="T1313" s="12" t="s">
        <v>1926</v>
      </c>
      <c r="U1313">
        <v>84</v>
      </c>
      <c r="V1313">
        <v>397.87</v>
      </c>
      <c r="W1313">
        <v>777.64</v>
      </c>
      <c r="X1313">
        <v>0</v>
      </c>
      <c r="Y1313">
        <v>0</v>
      </c>
      <c r="Z1313">
        <v>33421.08</v>
      </c>
      <c r="AA1313">
        <v>34198.720000000001</v>
      </c>
      <c r="AB1313" s="12" t="s">
        <v>286</v>
      </c>
      <c r="AC1313">
        <v>397.87</v>
      </c>
      <c r="AD1313">
        <v>1</v>
      </c>
      <c r="AE1313">
        <v>1</v>
      </c>
      <c r="AF1313">
        <v>0</v>
      </c>
      <c r="AG1313">
        <v>33421.08</v>
      </c>
      <c r="AH1313">
        <v>84</v>
      </c>
      <c r="AI1313">
        <v>83</v>
      </c>
      <c r="AJ1313">
        <v>1</v>
      </c>
      <c r="AK1313">
        <v>1</v>
      </c>
      <c r="AL1313">
        <v>1</v>
      </c>
      <c r="AM1313">
        <v>98.81</v>
      </c>
      <c r="AN1313">
        <v>412.03280000000001</v>
      </c>
      <c r="AO1313">
        <v>397.87</v>
      </c>
      <c r="AP1313" s="13">
        <v>45231</v>
      </c>
      <c r="AQ1313">
        <v>0</v>
      </c>
      <c r="AR1313">
        <v>1</v>
      </c>
    </row>
    <row r="1314" spans="1:44" x14ac:dyDescent="0.35">
      <c r="A1314" s="12" t="s">
        <v>1997</v>
      </c>
      <c r="B1314" s="12" t="s">
        <v>694</v>
      </c>
      <c r="C1314" s="12" t="s">
        <v>695</v>
      </c>
      <c r="D1314" s="12" t="s">
        <v>103</v>
      </c>
      <c r="E1314" s="12" t="s">
        <v>65</v>
      </c>
      <c r="F1314">
        <v>2</v>
      </c>
      <c r="G1314">
        <v>3</v>
      </c>
      <c r="H1314">
        <v>0</v>
      </c>
      <c r="I1314" s="12" t="s">
        <v>263</v>
      </c>
      <c r="J1314" s="12" t="s">
        <v>264</v>
      </c>
      <c r="K1314" s="12" t="s">
        <v>125</v>
      </c>
      <c r="L1314" s="12" t="s">
        <v>82</v>
      </c>
      <c r="M1314">
        <v>10.210000000000001</v>
      </c>
      <c r="N1314" s="12" t="s">
        <v>107</v>
      </c>
      <c r="O1314" s="12" t="s">
        <v>108</v>
      </c>
      <c r="P1314" s="12" t="s">
        <v>109</v>
      </c>
      <c r="Q1314" s="13">
        <v>45210</v>
      </c>
      <c r="R1314" s="13">
        <v>45238</v>
      </c>
      <c r="S1314">
        <v>2023</v>
      </c>
      <c r="T1314" s="12" t="s">
        <v>1926</v>
      </c>
      <c r="U1314">
        <v>69</v>
      </c>
      <c r="V1314">
        <v>215.60980000000001</v>
      </c>
      <c r="W1314">
        <v>276.33999999999997</v>
      </c>
      <c r="X1314">
        <v>0</v>
      </c>
      <c r="Y1314">
        <v>0</v>
      </c>
      <c r="Z1314">
        <v>14877.08</v>
      </c>
      <c r="AA1314">
        <v>15153.42</v>
      </c>
      <c r="AB1314" s="12" t="s">
        <v>696</v>
      </c>
      <c r="AC1314">
        <v>215.60980000000001</v>
      </c>
      <c r="AD1314">
        <v>1</v>
      </c>
      <c r="AE1314">
        <v>1</v>
      </c>
      <c r="AF1314">
        <v>0</v>
      </c>
      <c r="AG1314">
        <v>14877.08</v>
      </c>
      <c r="AH1314">
        <v>69</v>
      </c>
      <c r="AI1314">
        <v>68</v>
      </c>
      <c r="AJ1314">
        <v>1</v>
      </c>
      <c r="AK1314">
        <v>1</v>
      </c>
      <c r="AL1314">
        <v>1</v>
      </c>
      <c r="AM1314">
        <v>98.55</v>
      </c>
      <c r="AN1314">
        <v>222.84440000000001</v>
      </c>
      <c r="AO1314">
        <v>215.61</v>
      </c>
      <c r="AP1314" s="13">
        <v>45242</v>
      </c>
      <c r="AQ1314">
        <v>4</v>
      </c>
      <c r="AR1314">
        <v>0</v>
      </c>
    </row>
    <row r="1315" spans="1:44" x14ac:dyDescent="0.35">
      <c r="A1315" s="12" t="s">
        <v>1998</v>
      </c>
      <c r="B1315" s="12" t="s">
        <v>1666</v>
      </c>
      <c r="C1315" s="12" t="s">
        <v>1667</v>
      </c>
      <c r="D1315" s="12" t="s">
        <v>78</v>
      </c>
      <c r="E1315" s="12" t="s">
        <v>65</v>
      </c>
      <c r="F1315">
        <v>2</v>
      </c>
      <c r="G1315">
        <v>3</v>
      </c>
      <c r="H1315">
        <v>0</v>
      </c>
      <c r="I1315" s="12" t="s">
        <v>310</v>
      </c>
      <c r="J1315" s="12" t="s">
        <v>311</v>
      </c>
      <c r="K1315" s="12" t="s">
        <v>81</v>
      </c>
      <c r="L1315" s="12" t="s">
        <v>69</v>
      </c>
      <c r="M1315">
        <v>28.3</v>
      </c>
      <c r="N1315" s="12" t="s">
        <v>97</v>
      </c>
      <c r="O1315" s="12" t="s">
        <v>98</v>
      </c>
      <c r="P1315" s="12" t="s">
        <v>72</v>
      </c>
      <c r="Q1315" s="13">
        <v>45210</v>
      </c>
      <c r="R1315" s="13">
        <v>45243</v>
      </c>
      <c r="S1315">
        <v>2023</v>
      </c>
      <c r="T1315" s="12" t="s">
        <v>1926</v>
      </c>
      <c r="U1315">
        <v>221</v>
      </c>
      <c r="V1315">
        <v>75.122299999999996</v>
      </c>
      <c r="W1315">
        <v>194.12</v>
      </c>
      <c r="X1315">
        <v>0</v>
      </c>
      <c r="Y1315">
        <v>0</v>
      </c>
      <c r="Z1315">
        <v>16602.03</v>
      </c>
      <c r="AA1315">
        <v>16796.150000000001</v>
      </c>
      <c r="AB1315" s="12" t="s">
        <v>1668</v>
      </c>
      <c r="AC1315">
        <v>75.122299999999996</v>
      </c>
      <c r="AD1315">
        <v>1</v>
      </c>
      <c r="AE1315">
        <v>1</v>
      </c>
      <c r="AF1315">
        <v>0</v>
      </c>
      <c r="AG1315">
        <v>16602.03</v>
      </c>
      <c r="AH1315">
        <v>221</v>
      </c>
      <c r="AI1315">
        <v>216</v>
      </c>
      <c r="AJ1315">
        <v>5</v>
      </c>
      <c r="AK1315">
        <v>1</v>
      </c>
      <c r="AL1315">
        <v>1</v>
      </c>
      <c r="AM1315">
        <v>97.74</v>
      </c>
      <c r="AN1315">
        <v>77.759900000000002</v>
      </c>
      <c r="AO1315">
        <v>375.61</v>
      </c>
      <c r="AP1315" s="13">
        <v>45243</v>
      </c>
      <c r="AQ1315">
        <v>0</v>
      </c>
      <c r="AR1315">
        <v>1</v>
      </c>
    </row>
    <row r="1316" spans="1:44" x14ac:dyDescent="0.35">
      <c r="A1316" s="12" t="s">
        <v>1999</v>
      </c>
      <c r="B1316" s="12" t="s">
        <v>302</v>
      </c>
      <c r="C1316" s="12" t="s">
        <v>303</v>
      </c>
      <c r="D1316" s="12" t="s">
        <v>78</v>
      </c>
      <c r="E1316" s="12" t="s">
        <v>65</v>
      </c>
      <c r="F1316">
        <v>2</v>
      </c>
      <c r="G1316">
        <v>3</v>
      </c>
      <c r="H1316">
        <v>0</v>
      </c>
      <c r="I1316" s="12" t="s">
        <v>335</v>
      </c>
      <c r="J1316" s="12" t="s">
        <v>336</v>
      </c>
      <c r="K1316" s="12" t="s">
        <v>89</v>
      </c>
      <c r="L1316" s="12" t="s">
        <v>82</v>
      </c>
      <c r="M1316">
        <v>16</v>
      </c>
      <c r="N1316" s="12" t="s">
        <v>70</v>
      </c>
      <c r="O1316" s="12" t="s">
        <v>71</v>
      </c>
      <c r="P1316" s="12" t="s">
        <v>72</v>
      </c>
      <c r="Q1316" s="13">
        <v>45210</v>
      </c>
      <c r="R1316" s="13">
        <v>45232</v>
      </c>
      <c r="S1316">
        <v>2023</v>
      </c>
      <c r="T1316" s="12" t="s">
        <v>1926</v>
      </c>
      <c r="U1316">
        <v>55</v>
      </c>
      <c r="V1316">
        <v>144.41300000000001</v>
      </c>
      <c r="W1316">
        <v>93.04</v>
      </c>
      <c r="X1316">
        <v>0</v>
      </c>
      <c r="Y1316">
        <v>0</v>
      </c>
      <c r="Z1316">
        <v>7942.72</v>
      </c>
      <c r="AA1316">
        <v>8035.76</v>
      </c>
      <c r="AB1316" s="12" t="s">
        <v>337</v>
      </c>
      <c r="AC1316">
        <v>144.41300000000001</v>
      </c>
      <c r="AD1316">
        <v>1</v>
      </c>
      <c r="AE1316">
        <v>1</v>
      </c>
      <c r="AF1316">
        <v>0</v>
      </c>
      <c r="AG1316">
        <v>7942.72</v>
      </c>
      <c r="AH1316">
        <v>55</v>
      </c>
      <c r="AI1316">
        <v>54</v>
      </c>
      <c r="AJ1316">
        <v>1</v>
      </c>
      <c r="AK1316">
        <v>1</v>
      </c>
      <c r="AL1316">
        <v>1</v>
      </c>
      <c r="AM1316">
        <v>98.18</v>
      </c>
      <c r="AN1316">
        <v>148.81030000000001</v>
      </c>
      <c r="AO1316">
        <v>144.41</v>
      </c>
      <c r="AP1316" s="13">
        <v>45238</v>
      </c>
      <c r="AQ1316">
        <v>6</v>
      </c>
      <c r="AR1316">
        <v>0</v>
      </c>
    </row>
    <row r="1317" spans="1:44" x14ac:dyDescent="0.35">
      <c r="A1317" s="12" t="s">
        <v>2000</v>
      </c>
      <c r="B1317" s="12" t="s">
        <v>1166</v>
      </c>
      <c r="C1317" s="12" t="s">
        <v>1167</v>
      </c>
      <c r="D1317" s="12" t="s">
        <v>175</v>
      </c>
      <c r="E1317" s="12" t="s">
        <v>65</v>
      </c>
      <c r="F1317">
        <v>3</v>
      </c>
      <c r="G1317">
        <v>5</v>
      </c>
      <c r="H1317">
        <v>0</v>
      </c>
      <c r="I1317" s="12" t="s">
        <v>143</v>
      </c>
      <c r="J1317" s="12" t="s">
        <v>144</v>
      </c>
      <c r="K1317" s="12" t="s">
        <v>133</v>
      </c>
      <c r="L1317" s="12" t="s">
        <v>96</v>
      </c>
      <c r="M1317">
        <v>5.43</v>
      </c>
      <c r="N1317" s="12" t="s">
        <v>107</v>
      </c>
      <c r="O1317" s="12" t="s">
        <v>108</v>
      </c>
      <c r="P1317" s="12" t="s">
        <v>109</v>
      </c>
      <c r="Q1317" s="13">
        <v>45210</v>
      </c>
      <c r="R1317" s="13">
        <v>45233</v>
      </c>
      <c r="S1317">
        <v>2023</v>
      </c>
      <c r="T1317" s="12" t="s">
        <v>1926</v>
      </c>
      <c r="U1317">
        <v>33</v>
      </c>
      <c r="V1317">
        <v>248.16210000000001</v>
      </c>
      <c r="W1317">
        <v>206.11</v>
      </c>
      <c r="X1317">
        <v>0</v>
      </c>
      <c r="Y1317">
        <v>0</v>
      </c>
      <c r="Z1317">
        <v>8189.35</v>
      </c>
      <c r="AA1317">
        <v>8395.4599999999991</v>
      </c>
      <c r="AB1317" s="12" t="s">
        <v>1168</v>
      </c>
      <c r="AC1317">
        <v>248.16210000000001</v>
      </c>
      <c r="AD1317">
        <v>1</v>
      </c>
      <c r="AE1317">
        <v>1</v>
      </c>
      <c r="AF1317">
        <v>0</v>
      </c>
      <c r="AG1317">
        <v>8189.35</v>
      </c>
      <c r="AH1317">
        <v>33</v>
      </c>
      <c r="AI1317">
        <v>33</v>
      </c>
      <c r="AJ1317">
        <v>0</v>
      </c>
      <c r="AK1317">
        <v>1</v>
      </c>
      <c r="AL1317">
        <v>1</v>
      </c>
      <c r="AM1317">
        <v>100</v>
      </c>
      <c r="AN1317">
        <v>254.40790000000001</v>
      </c>
      <c r="AO1317">
        <v>0</v>
      </c>
      <c r="AP1317" s="13">
        <v>45233</v>
      </c>
      <c r="AQ1317">
        <v>0</v>
      </c>
      <c r="AR1317">
        <v>1</v>
      </c>
    </row>
    <row r="1318" spans="1:44" x14ac:dyDescent="0.35">
      <c r="A1318" s="12" t="s">
        <v>2001</v>
      </c>
      <c r="B1318" s="12" t="s">
        <v>740</v>
      </c>
      <c r="C1318" s="12" t="s">
        <v>741</v>
      </c>
      <c r="D1318" s="12" t="s">
        <v>64</v>
      </c>
      <c r="E1318" s="12" t="s">
        <v>104</v>
      </c>
      <c r="F1318">
        <v>2</v>
      </c>
      <c r="G1318">
        <v>0</v>
      </c>
      <c r="H1318">
        <v>0</v>
      </c>
      <c r="I1318" s="12" t="s">
        <v>183</v>
      </c>
      <c r="J1318" s="12" t="s">
        <v>184</v>
      </c>
      <c r="K1318" s="12" t="s">
        <v>133</v>
      </c>
      <c r="L1318" s="12" t="s">
        <v>82</v>
      </c>
      <c r="M1318">
        <v>8.6199999999999992</v>
      </c>
      <c r="N1318" s="12" t="s">
        <v>70</v>
      </c>
      <c r="O1318" s="12" t="s">
        <v>71</v>
      </c>
      <c r="P1318" s="12" t="s">
        <v>72</v>
      </c>
      <c r="Q1318" s="13">
        <v>45210</v>
      </c>
      <c r="R1318" s="13">
        <v>45227</v>
      </c>
      <c r="S1318">
        <v>2023</v>
      </c>
      <c r="T1318" s="12" t="s">
        <v>1926</v>
      </c>
      <c r="U1318">
        <v>368</v>
      </c>
      <c r="V1318">
        <v>41.2042</v>
      </c>
      <c r="W1318">
        <v>383.56</v>
      </c>
      <c r="X1318">
        <v>0</v>
      </c>
      <c r="Y1318">
        <v>0</v>
      </c>
      <c r="Z1318">
        <v>15163.15</v>
      </c>
      <c r="AA1318">
        <v>15546.71</v>
      </c>
      <c r="AB1318" s="12" t="s">
        <v>742</v>
      </c>
      <c r="AC1318">
        <v>41.2042</v>
      </c>
      <c r="AD1318">
        <v>1</v>
      </c>
      <c r="AE1318">
        <v>1</v>
      </c>
      <c r="AF1318">
        <v>0</v>
      </c>
      <c r="AG1318">
        <v>15163.15</v>
      </c>
      <c r="AH1318">
        <v>368</v>
      </c>
      <c r="AI1318">
        <v>367</v>
      </c>
      <c r="AJ1318">
        <v>1</v>
      </c>
      <c r="AK1318">
        <v>1</v>
      </c>
      <c r="AL1318">
        <v>1</v>
      </c>
      <c r="AM1318">
        <v>99.73</v>
      </c>
      <c r="AN1318">
        <v>42.361600000000003</v>
      </c>
      <c r="AO1318">
        <v>41.2</v>
      </c>
      <c r="AP1318" s="13">
        <v>45226</v>
      </c>
      <c r="AQ1318">
        <v>-1</v>
      </c>
      <c r="AR1318">
        <v>1</v>
      </c>
    </row>
    <row r="1319" spans="1:44" x14ac:dyDescent="0.35">
      <c r="A1319" s="12" t="s">
        <v>2002</v>
      </c>
      <c r="B1319" s="12" t="s">
        <v>221</v>
      </c>
      <c r="C1319" s="12" t="s">
        <v>222</v>
      </c>
      <c r="D1319" s="12" t="s">
        <v>114</v>
      </c>
      <c r="E1319" s="12" t="s">
        <v>142</v>
      </c>
      <c r="F1319">
        <v>3</v>
      </c>
      <c r="G1319">
        <v>11</v>
      </c>
      <c r="H1319">
        <v>0</v>
      </c>
      <c r="I1319" s="12" t="s">
        <v>105</v>
      </c>
      <c r="J1319" s="12" t="s">
        <v>106</v>
      </c>
      <c r="K1319" s="12" t="s">
        <v>81</v>
      </c>
      <c r="L1319" s="12" t="s">
        <v>96</v>
      </c>
      <c r="M1319">
        <v>5.01</v>
      </c>
      <c r="N1319" s="12" t="s">
        <v>97</v>
      </c>
      <c r="O1319" s="12" t="s">
        <v>98</v>
      </c>
      <c r="P1319" s="12" t="s">
        <v>72</v>
      </c>
      <c r="Q1319" s="13">
        <v>45210</v>
      </c>
      <c r="R1319" s="13">
        <v>45250</v>
      </c>
      <c r="S1319">
        <v>2023</v>
      </c>
      <c r="T1319" s="12" t="s">
        <v>1926</v>
      </c>
      <c r="U1319">
        <v>49</v>
      </c>
      <c r="V1319">
        <v>239.12739999999999</v>
      </c>
      <c r="W1319">
        <v>81.03</v>
      </c>
      <c r="X1319">
        <v>0</v>
      </c>
      <c r="Y1319">
        <v>0</v>
      </c>
      <c r="Z1319">
        <v>11717.24</v>
      </c>
      <c r="AA1319">
        <v>11798.27</v>
      </c>
      <c r="AB1319" s="12" t="s">
        <v>1239</v>
      </c>
      <c r="AC1319">
        <v>239.12739999999999</v>
      </c>
      <c r="AD1319">
        <v>1</v>
      </c>
      <c r="AE1319">
        <v>1</v>
      </c>
      <c r="AF1319">
        <v>0</v>
      </c>
      <c r="AG1319">
        <v>11717.24</v>
      </c>
      <c r="AH1319">
        <v>49</v>
      </c>
      <c r="AI1319">
        <v>48</v>
      </c>
      <c r="AJ1319">
        <v>1</v>
      </c>
      <c r="AK1319">
        <v>1</v>
      </c>
      <c r="AL1319">
        <v>1</v>
      </c>
      <c r="AM1319">
        <v>97.96</v>
      </c>
      <c r="AN1319">
        <v>245.79730000000001</v>
      </c>
      <c r="AO1319">
        <v>239.13</v>
      </c>
      <c r="AP1319" s="13">
        <v>45247</v>
      </c>
      <c r="AQ1319">
        <v>-3</v>
      </c>
      <c r="AR1319">
        <v>1</v>
      </c>
    </row>
    <row r="1320" spans="1:44" x14ac:dyDescent="0.35">
      <c r="A1320" s="12" t="s">
        <v>2003</v>
      </c>
      <c r="B1320" s="12" t="s">
        <v>509</v>
      </c>
      <c r="C1320" s="12" t="s">
        <v>510</v>
      </c>
      <c r="D1320" s="12" t="s">
        <v>78</v>
      </c>
      <c r="E1320" s="12" t="s">
        <v>142</v>
      </c>
      <c r="F1320">
        <v>3</v>
      </c>
      <c r="G1320">
        <v>11</v>
      </c>
      <c r="H1320">
        <v>0</v>
      </c>
      <c r="I1320" s="12" t="s">
        <v>176</v>
      </c>
      <c r="J1320" s="12" t="s">
        <v>177</v>
      </c>
      <c r="K1320" s="12" t="s">
        <v>125</v>
      </c>
      <c r="L1320" s="12" t="s">
        <v>134</v>
      </c>
      <c r="M1320">
        <v>1.75</v>
      </c>
      <c r="N1320" s="12" t="s">
        <v>70</v>
      </c>
      <c r="O1320" s="12" t="s">
        <v>71</v>
      </c>
      <c r="P1320" s="12" t="s">
        <v>72</v>
      </c>
      <c r="Q1320" s="13">
        <v>45210</v>
      </c>
      <c r="R1320" s="13">
        <v>45254</v>
      </c>
      <c r="S1320">
        <v>2023</v>
      </c>
      <c r="T1320" s="12" t="s">
        <v>1926</v>
      </c>
      <c r="U1320">
        <v>181</v>
      </c>
      <c r="V1320">
        <v>144.51259999999999</v>
      </c>
      <c r="W1320">
        <v>355.82</v>
      </c>
      <c r="X1320">
        <v>0</v>
      </c>
      <c r="Y1320">
        <v>0</v>
      </c>
      <c r="Z1320">
        <v>26156.78</v>
      </c>
      <c r="AA1320">
        <v>26512.6</v>
      </c>
      <c r="AB1320" s="12" t="s">
        <v>511</v>
      </c>
      <c r="AC1320">
        <v>144.51259999999999</v>
      </c>
      <c r="AD1320">
        <v>1</v>
      </c>
      <c r="AE1320">
        <v>1</v>
      </c>
      <c r="AF1320">
        <v>0</v>
      </c>
      <c r="AG1320">
        <v>26156.78</v>
      </c>
      <c r="AH1320">
        <v>181</v>
      </c>
      <c r="AI1320">
        <v>177</v>
      </c>
      <c r="AJ1320">
        <v>4</v>
      </c>
      <c r="AK1320">
        <v>1</v>
      </c>
      <c r="AL1320">
        <v>1</v>
      </c>
      <c r="AM1320">
        <v>97.79</v>
      </c>
      <c r="AN1320">
        <v>149.78870000000001</v>
      </c>
      <c r="AO1320">
        <v>578.04999999999995</v>
      </c>
      <c r="AP1320" s="13">
        <v>45251</v>
      </c>
      <c r="AQ1320">
        <v>-3</v>
      </c>
      <c r="AR1320">
        <v>1</v>
      </c>
    </row>
    <row r="1321" spans="1:44" x14ac:dyDescent="0.35">
      <c r="A1321" s="12" t="s">
        <v>2004</v>
      </c>
      <c r="B1321" s="12" t="s">
        <v>404</v>
      </c>
      <c r="C1321" s="12" t="s">
        <v>405</v>
      </c>
      <c r="D1321" s="12" t="s">
        <v>269</v>
      </c>
      <c r="E1321" s="12" t="s">
        <v>65</v>
      </c>
      <c r="F1321">
        <v>3</v>
      </c>
      <c r="G1321">
        <v>5</v>
      </c>
      <c r="H1321">
        <v>0</v>
      </c>
      <c r="I1321" s="12" t="s">
        <v>79</v>
      </c>
      <c r="J1321" s="12" t="s">
        <v>80</v>
      </c>
      <c r="K1321" s="12" t="s">
        <v>81</v>
      </c>
      <c r="L1321" s="12" t="s">
        <v>82</v>
      </c>
      <c r="M1321">
        <v>12.07</v>
      </c>
      <c r="N1321" s="12" t="s">
        <v>135</v>
      </c>
      <c r="O1321" s="12" t="s">
        <v>136</v>
      </c>
      <c r="P1321" s="12" t="s">
        <v>137</v>
      </c>
      <c r="Q1321" s="13">
        <v>45211</v>
      </c>
      <c r="R1321" s="13">
        <v>45240</v>
      </c>
      <c r="S1321">
        <v>2023</v>
      </c>
      <c r="T1321" s="12" t="s">
        <v>1926</v>
      </c>
      <c r="U1321">
        <v>78</v>
      </c>
      <c r="V1321">
        <v>430.41070000000002</v>
      </c>
      <c r="W1321">
        <v>466.66</v>
      </c>
      <c r="X1321">
        <v>0</v>
      </c>
      <c r="Y1321">
        <v>0</v>
      </c>
      <c r="Z1321">
        <v>33572.03</v>
      </c>
      <c r="AA1321">
        <v>34038.69</v>
      </c>
      <c r="AB1321" s="12" t="s">
        <v>406</v>
      </c>
      <c r="AC1321">
        <v>430.41070000000002</v>
      </c>
      <c r="AD1321">
        <v>1</v>
      </c>
      <c r="AE1321">
        <v>1</v>
      </c>
      <c r="AF1321">
        <v>0</v>
      </c>
      <c r="AG1321">
        <v>33572.03</v>
      </c>
      <c r="AH1321">
        <v>78</v>
      </c>
      <c r="AI1321">
        <v>77</v>
      </c>
      <c r="AJ1321">
        <v>1</v>
      </c>
      <c r="AK1321">
        <v>1</v>
      </c>
      <c r="AL1321">
        <v>1</v>
      </c>
      <c r="AM1321">
        <v>98.72</v>
      </c>
      <c r="AN1321">
        <v>442.06099999999998</v>
      </c>
      <c r="AO1321">
        <v>430.41</v>
      </c>
      <c r="AP1321" s="13">
        <v>45244</v>
      </c>
      <c r="AQ1321">
        <v>4</v>
      </c>
      <c r="AR1321">
        <v>0</v>
      </c>
    </row>
    <row r="1322" spans="1:44" x14ac:dyDescent="0.35">
      <c r="A1322" s="12" t="s">
        <v>2005</v>
      </c>
      <c r="B1322" s="12" t="s">
        <v>565</v>
      </c>
      <c r="C1322" s="12" t="s">
        <v>566</v>
      </c>
      <c r="D1322" s="12" t="s">
        <v>122</v>
      </c>
      <c r="E1322" s="12" t="s">
        <v>104</v>
      </c>
      <c r="F1322">
        <v>3</v>
      </c>
      <c r="G1322">
        <v>1</v>
      </c>
      <c r="H1322">
        <v>0</v>
      </c>
      <c r="I1322" s="12" t="s">
        <v>87</v>
      </c>
      <c r="J1322" s="12" t="s">
        <v>88</v>
      </c>
      <c r="K1322" s="12" t="s">
        <v>89</v>
      </c>
      <c r="L1322" s="12" t="s">
        <v>69</v>
      </c>
      <c r="M1322">
        <v>14.93</v>
      </c>
      <c r="N1322" s="12" t="s">
        <v>70</v>
      </c>
      <c r="O1322" s="12" t="s">
        <v>71</v>
      </c>
      <c r="P1322" s="12" t="s">
        <v>72</v>
      </c>
      <c r="Q1322" s="13">
        <v>45211</v>
      </c>
      <c r="R1322" s="13">
        <v>45236</v>
      </c>
      <c r="S1322">
        <v>2023</v>
      </c>
      <c r="T1322" s="12" t="s">
        <v>1926</v>
      </c>
      <c r="U1322">
        <v>1593</v>
      </c>
      <c r="V1322">
        <v>36.2883</v>
      </c>
      <c r="W1322">
        <v>844.67</v>
      </c>
      <c r="X1322">
        <v>0</v>
      </c>
      <c r="Y1322">
        <v>0</v>
      </c>
      <c r="Z1322">
        <v>57807.26</v>
      </c>
      <c r="AA1322">
        <v>58651.93</v>
      </c>
      <c r="AB1322" s="12" t="s">
        <v>567</v>
      </c>
      <c r="AC1322">
        <v>36.2883</v>
      </c>
      <c r="AD1322">
        <v>1</v>
      </c>
      <c r="AE1322">
        <v>1</v>
      </c>
      <c r="AF1322">
        <v>0</v>
      </c>
      <c r="AG1322">
        <v>57807.26</v>
      </c>
      <c r="AH1322">
        <v>1593</v>
      </c>
      <c r="AI1322">
        <v>1580</v>
      </c>
      <c r="AJ1322">
        <v>13</v>
      </c>
      <c r="AK1322">
        <v>1</v>
      </c>
      <c r="AL1322">
        <v>1</v>
      </c>
      <c r="AM1322">
        <v>99.18</v>
      </c>
      <c r="AN1322">
        <v>37.121499999999997</v>
      </c>
      <c r="AO1322">
        <v>471.75</v>
      </c>
      <c r="AP1322" s="13">
        <v>45236</v>
      </c>
      <c r="AQ1322">
        <v>0</v>
      </c>
      <c r="AR1322">
        <v>1</v>
      </c>
    </row>
    <row r="1323" spans="1:44" x14ac:dyDescent="0.35">
      <c r="A1323" s="12" t="s">
        <v>2006</v>
      </c>
      <c r="B1323" s="12" t="s">
        <v>630</v>
      </c>
      <c r="C1323" s="12" t="s">
        <v>631</v>
      </c>
      <c r="D1323" s="12" t="s">
        <v>130</v>
      </c>
      <c r="E1323" s="12" t="s">
        <v>65</v>
      </c>
      <c r="F1323">
        <v>1</v>
      </c>
      <c r="G1323">
        <v>2</v>
      </c>
      <c r="H1323">
        <v>1</v>
      </c>
      <c r="I1323" s="12" t="s">
        <v>335</v>
      </c>
      <c r="J1323" s="12" t="s">
        <v>336</v>
      </c>
      <c r="K1323" s="12" t="s">
        <v>89</v>
      </c>
      <c r="L1323" s="12" t="s">
        <v>82</v>
      </c>
      <c r="M1323">
        <v>16</v>
      </c>
      <c r="N1323" s="12" t="s">
        <v>159</v>
      </c>
      <c r="O1323" s="12" t="s">
        <v>160</v>
      </c>
      <c r="P1323" s="12" t="s">
        <v>137</v>
      </c>
      <c r="Q1323" s="13">
        <v>45211</v>
      </c>
      <c r="R1323" s="13">
        <v>45247</v>
      </c>
      <c r="S1323">
        <v>2023</v>
      </c>
      <c r="T1323" s="12" t="s">
        <v>1926</v>
      </c>
      <c r="U1323">
        <v>128</v>
      </c>
      <c r="V1323">
        <v>448.44209999999998</v>
      </c>
      <c r="W1323">
        <v>781.39</v>
      </c>
      <c r="X1323">
        <v>0</v>
      </c>
      <c r="Y1323">
        <v>0</v>
      </c>
      <c r="Z1323">
        <v>57400.59</v>
      </c>
      <c r="AA1323">
        <v>58181.98</v>
      </c>
      <c r="AB1323" s="12" t="s">
        <v>632</v>
      </c>
      <c r="AC1323">
        <v>448.44209999999998</v>
      </c>
      <c r="AD1323">
        <v>1</v>
      </c>
      <c r="AE1323">
        <v>1</v>
      </c>
      <c r="AF1323">
        <v>0</v>
      </c>
      <c r="AG1323">
        <v>57400.59</v>
      </c>
      <c r="AH1323">
        <v>128</v>
      </c>
      <c r="AI1323">
        <v>127</v>
      </c>
      <c r="AJ1323">
        <v>1</v>
      </c>
      <c r="AK1323">
        <v>1</v>
      </c>
      <c r="AL1323">
        <v>1</v>
      </c>
      <c r="AM1323">
        <v>99.22</v>
      </c>
      <c r="AN1323">
        <v>458.12580000000003</v>
      </c>
      <c r="AO1323">
        <v>448.44</v>
      </c>
      <c r="AP1323" s="13">
        <v>45256</v>
      </c>
      <c r="AQ1323">
        <v>9</v>
      </c>
      <c r="AR1323">
        <v>0</v>
      </c>
    </row>
    <row r="1324" spans="1:44" x14ac:dyDescent="0.35">
      <c r="A1324" s="12" t="s">
        <v>2007</v>
      </c>
      <c r="B1324" s="12" t="s">
        <v>112</v>
      </c>
      <c r="C1324" s="12" t="s">
        <v>113</v>
      </c>
      <c r="D1324" s="12" t="s">
        <v>114</v>
      </c>
      <c r="E1324" s="12" t="s">
        <v>104</v>
      </c>
      <c r="F1324">
        <v>3</v>
      </c>
      <c r="G1324">
        <v>1</v>
      </c>
      <c r="H1324">
        <v>0</v>
      </c>
      <c r="I1324" s="12" t="s">
        <v>115</v>
      </c>
      <c r="J1324" s="12" t="s">
        <v>116</v>
      </c>
      <c r="K1324" s="12" t="s">
        <v>117</v>
      </c>
      <c r="L1324" s="12" t="s">
        <v>82</v>
      </c>
      <c r="M1324">
        <v>17.170000000000002</v>
      </c>
      <c r="N1324" s="12" t="s">
        <v>97</v>
      </c>
      <c r="O1324" s="12" t="s">
        <v>98</v>
      </c>
      <c r="P1324" s="12" t="s">
        <v>72</v>
      </c>
      <c r="Q1324" s="13">
        <v>45211</v>
      </c>
      <c r="R1324" s="13">
        <v>45229</v>
      </c>
      <c r="S1324">
        <v>2023</v>
      </c>
      <c r="T1324" s="12" t="s">
        <v>1926</v>
      </c>
      <c r="U1324">
        <v>59</v>
      </c>
      <c r="V1324">
        <v>249.048</v>
      </c>
      <c r="W1324">
        <v>274.85000000000002</v>
      </c>
      <c r="X1324">
        <v>0</v>
      </c>
      <c r="Y1324">
        <v>0</v>
      </c>
      <c r="Z1324">
        <v>14693.83</v>
      </c>
      <c r="AA1324">
        <v>14968.68</v>
      </c>
      <c r="AB1324" s="12" t="s">
        <v>118</v>
      </c>
      <c r="AC1324">
        <v>264.17590000000001</v>
      </c>
      <c r="AD1324">
        <v>1</v>
      </c>
      <c r="AE1324">
        <v>1</v>
      </c>
      <c r="AF1324">
        <v>-892.55</v>
      </c>
      <c r="AG1324">
        <v>15586.38</v>
      </c>
      <c r="AH1324">
        <v>59</v>
      </c>
      <c r="AI1324">
        <v>58</v>
      </c>
      <c r="AJ1324">
        <v>1</v>
      </c>
      <c r="AK1324">
        <v>1</v>
      </c>
      <c r="AL1324">
        <v>1</v>
      </c>
      <c r="AM1324">
        <v>98.31</v>
      </c>
      <c r="AN1324">
        <v>258.08069999999998</v>
      </c>
      <c r="AO1324">
        <v>249.05</v>
      </c>
      <c r="AP1324" s="13">
        <v>45227</v>
      </c>
      <c r="AQ1324">
        <v>-2</v>
      </c>
      <c r="AR1324">
        <v>1</v>
      </c>
    </row>
    <row r="1325" spans="1:44" x14ac:dyDescent="0.35">
      <c r="A1325" s="12" t="s">
        <v>2008</v>
      </c>
      <c r="B1325" s="12" t="s">
        <v>503</v>
      </c>
      <c r="C1325" s="12" t="s">
        <v>504</v>
      </c>
      <c r="D1325" s="12" t="s">
        <v>103</v>
      </c>
      <c r="E1325" s="12" t="s">
        <v>104</v>
      </c>
      <c r="F1325">
        <v>3</v>
      </c>
      <c r="G1325">
        <v>1</v>
      </c>
      <c r="H1325">
        <v>0</v>
      </c>
      <c r="I1325" s="12" t="s">
        <v>251</v>
      </c>
      <c r="J1325" s="12" t="s">
        <v>252</v>
      </c>
      <c r="K1325" s="12" t="s">
        <v>133</v>
      </c>
      <c r="L1325" s="12" t="s">
        <v>69</v>
      </c>
      <c r="M1325">
        <v>34.49</v>
      </c>
      <c r="N1325" s="12" t="s">
        <v>145</v>
      </c>
      <c r="O1325" s="12" t="s">
        <v>146</v>
      </c>
      <c r="P1325" s="12" t="s">
        <v>109</v>
      </c>
      <c r="Q1325" s="13">
        <v>45211</v>
      </c>
      <c r="R1325" s="13">
        <v>45227</v>
      </c>
      <c r="S1325">
        <v>2023</v>
      </c>
      <c r="T1325" s="12" t="s">
        <v>1926</v>
      </c>
      <c r="U1325">
        <v>45</v>
      </c>
      <c r="V1325">
        <v>161.39789999999999</v>
      </c>
      <c r="W1325">
        <v>85.36</v>
      </c>
      <c r="X1325">
        <v>0</v>
      </c>
      <c r="Y1325">
        <v>0</v>
      </c>
      <c r="Z1325">
        <v>7262.91</v>
      </c>
      <c r="AA1325">
        <v>7348.27</v>
      </c>
      <c r="AB1325" s="12" t="s">
        <v>1358</v>
      </c>
      <c r="AC1325">
        <v>158.00909999999999</v>
      </c>
      <c r="AD1325">
        <v>1</v>
      </c>
      <c r="AE1325">
        <v>1</v>
      </c>
      <c r="AF1325">
        <v>152.5</v>
      </c>
      <c r="AG1325">
        <v>7110.41</v>
      </c>
      <c r="AH1325">
        <v>45</v>
      </c>
      <c r="AI1325">
        <v>44</v>
      </c>
      <c r="AJ1325">
        <v>1</v>
      </c>
      <c r="AK1325">
        <v>1</v>
      </c>
      <c r="AL1325">
        <v>1</v>
      </c>
      <c r="AM1325">
        <v>97.78</v>
      </c>
      <c r="AN1325">
        <v>167.006</v>
      </c>
      <c r="AO1325">
        <v>161.4</v>
      </c>
      <c r="AP1325" s="13">
        <v>45227</v>
      </c>
      <c r="AQ1325">
        <v>0</v>
      </c>
      <c r="AR1325">
        <v>1</v>
      </c>
    </row>
    <row r="1326" spans="1:44" x14ac:dyDescent="0.35">
      <c r="A1326" s="12" t="s">
        <v>2009</v>
      </c>
      <c r="B1326" s="12" t="s">
        <v>273</v>
      </c>
      <c r="C1326" s="12" t="s">
        <v>274</v>
      </c>
      <c r="D1326" s="12" t="s">
        <v>175</v>
      </c>
      <c r="E1326" s="12" t="s">
        <v>104</v>
      </c>
      <c r="F1326">
        <v>3</v>
      </c>
      <c r="G1326">
        <v>1</v>
      </c>
      <c r="H1326">
        <v>0</v>
      </c>
      <c r="I1326" s="12" t="s">
        <v>275</v>
      </c>
      <c r="J1326" s="12" t="s">
        <v>276</v>
      </c>
      <c r="K1326" s="12" t="s">
        <v>89</v>
      </c>
      <c r="L1326" s="12" t="s">
        <v>82</v>
      </c>
      <c r="M1326">
        <v>14.26</v>
      </c>
      <c r="N1326" s="12" t="s">
        <v>145</v>
      </c>
      <c r="O1326" s="12" t="s">
        <v>146</v>
      </c>
      <c r="P1326" s="12" t="s">
        <v>109</v>
      </c>
      <c r="Q1326" s="13">
        <v>45211</v>
      </c>
      <c r="R1326" s="13">
        <v>45239</v>
      </c>
      <c r="S1326">
        <v>2023</v>
      </c>
      <c r="T1326" s="12" t="s">
        <v>1926</v>
      </c>
      <c r="U1326">
        <v>141</v>
      </c>
      <c r="V1326">
        <v>113.5119</v>
      </c>
      <c r="W1326">
        <v>405.33</v>
      </c>
      <c r="X1326">
        <v>0</v>
      </c>
      <c r="Y1326">
        <v>0</v>
      </c>
      <c r="Z1326">
        <v>16005.18</v>
      </c>
      <c r="AA1326">
        <v>16410.509999999998</v>
      </c>
      <c r="AB1326" s="12" t="s">
        <v>277</v>
      </c>
      <c r="AC1326">
        <v>117.48480000000001</v>
      </c>
      <c r="AD1326">
        <v>2</v>
      </c>
      <c r="AE1326">
        <v>1</v>
      </c>
      <c r="AF1326">
        <v>-560.17999999999995</v>
      </c>
      <c r="AG1326">
        <v>16565.36</v>
      </c>
      <c r="AH1326">
        <v>141</v>
      </c>
      <c r="AI1326">
        <v>140</v>
      </c>
      <c r="AJ1326">
        <v>1</v>
      </c>
      <c r="AK1326">
        <v>1</v>
      </c>
      <c r="AL1326">
        <v>1</v>
      </c>
      <c r="AM1326">
        <v>99.29</v>
      </c>
      <c r="AN1326">
        <v>117.2179</v>
      </c>
      <c r="AO1326">
        <v>113.51</v>
      </c>
      <c r="AP1326" s="13">
        <v>45237</v>
      </c>
      <c r="AQ1326">
        <v>-2</v>
      </c>
      <c r="AR1326">
        <v>1</v>
      </c>
    </row>
    <row r="1327" spans="1:44" x14ac:dyDescent="0.35">
      <c r="A1327" s="12" t="s">
        <v>2010</v>
      </c>
      <c r="B1327" s="12" t="s">
        <v>477</v>
      </c>
      <c r="C1327" s="12" t="s">
        <v>478</v>
      </c>
      <c r="D1327" s="12" t="s">
        <v>130</v>
      </c>
      <c r="E1327" s="12" t="s">
        <v>104</v>
      </c>
      <c r="F1327">
        <v>3</v>
      </c>
      <c r="G1327">
        <v>1</v>
      </c>
      <c r="H1327">
        <v>0</v>
      </c>
      <c r="I1327" s="12" t="s">
        <v>380</v>
      </c>
      <c r="J1327" s="12" t="s">
        <v>381</v>
      </c>
      <c r="K1327" s="12" t="s">
        <v>89</v>
      </c>
      <c r="L1327" s="12" t="s">
        <v>96</v>
      </c>
      <c r="M1327">
        <v>10.210000000000001</v>
      </c>
      <c r="N1327" s="12" t="s">
        <v>159</v>
      </c>
      <c r="O1327" s="12" t="s">
        <v>160</v>
      </c>
      <c r="P1327" s="12" t="s">
        <v>137</v>
      </c>
      <c r="Q1327" s="13">
        <v>45211</v>
      </c>
      <c r="R1327" s="13">
        <v>45226</v>
      </c>
      <c r="S1327">
        <v>2023</v>
      </c>
      <c r="T1327" s="12" t="s">
        <v>1926</v>
      </c>
      <c r="U1327">
        <v>38</v>
      </c>
      <c r="V1327">
        <v>778.59670000000006</v>
      </c>
      <c r="W1327">
        <v>564.48</v>
      </c>
      <c r="X1327">
        <v>0</v>
      </c>
      <c r="Y1327">
        <v>0</v>
      </c>
      <c r="Z1327">
        <v>29586.67</v>
      </c>
      <c r="AA1327">
        <v>30151.15</v>
      </c>
      <c r="AB1327" s="12" t="s">
        <v>1094</v>
      </c>
      <c r="AC1327">
        <v>778.59670000000006</v>
      </c>
      <c r="AD1327">
        <v>1</v>
      </c>
      <c r="AE1327">
        <v>1</v>
      </c>
      <c r="AF1327">
        <v>0</v>
      </c>
      <c r="AG1327">
        <v>29586.67</v>
      </c>
      <c r="AH1327">
        <v>38</v>
      </c>
      <c r="AI1327">
        <v>38</v>
      </c>
      <c r="AJ1327">
        <v>0</v>
      </c>
      <c r="AK1327">
        <v>1</v>
      </c>
      <c r="AL1327">
        <v>1</v>
      </c>
      <c r="AM1327">
        <v>100</v>
      </c>
      <c r="AN1327">
        <v>793.45140000000004</v>
      </c>
      <c r="AO1327">
        <v>0</v>
      </c>
      <c r="AP1327" s="13">
        <v>45223</v>
      </c>
      <c r="AQ1327">
        <v>-3</v>
      </c>
      <c r="AR1327">
        <v>1</v>
      </c>
    </row>
    <row r="1328" spans="1:44" x14ac:dyDescent="0.35">
      <c r="A1328" s="12" t="s">
        <v>2011</v>
      </c>
      <c r="B1328" s="12" t="s">
        <v>823</v>
      </c>
      <c r="C1328" s="12" t="s">
        <v>824</v>
      </c>
      <c r="D1328" s="12" t="s">
        <v>114</v>
      </c>
      <c r="E1328" s="12" t="s">
        <v>142</v>
      </c>
      <c r="F1328">
        <v>1</v>
      </c>
      <c r="G1328">
        <v>8</v>
      </c>
      <c r="H1328">
        <v>1</v>
      </c>
      <c r="I1328" s="12" t="s">
        <v>515</v>
      </c>
      <c r="J1328" s="12" t="s">
        <v>516</v>
      </c>
      <c r="K1328" s="12" t="s">
        <v>68</v>
      </c>
      <c r="L1328" s="12" t="s">
        <v>134</v>
      </c>
      <c r="M1328">
        <v>3.69</v>
      </c>
      <c r="N1328" s="12" t="s">
        <v>97</v>
      </c>
      <c r="O1328" s="12" t="s">
        <v>98</v>
      </c>
      <c r="P1328" s="12" t="s">
        <v>72</v>
      </c>
      <c r="Q1328" s="13">
        <v>45211</v>
      </c>
      <c r="R1328" s="13">
        <v>45256</v>
      </c>
      <c r="S1328">
        <v>2023</v>
      </c>
      <c r="T1328" s="12" t="s">
        <v>1926</v>
      </c>
      <c r="U1328">
        <v>87</v>
      </c>
      <c r="V1328">
        <v>361.73399999999998</v>
      </c>
      <c r="W1328">
        <v>292.93</v>
      </c>
      <c r="X1328">
        <v>0</v>
      </c>
      <c r="Y1328">
        <v>0</v>
      </c>
      <c r="Z1328">
        <v>31470.86</v>
      </c>
      <c r="AA1328">
        <v>31763.79</v>
      </c>
      <c r="AB1328" s="12" t="s">
        <v>825</v>
      </c>
      <c r="AC1328">
        <v>361.73399999999998</v>
      </c>
      <c r="AD1328">
        <v>1</v>
      </c>
      <c r="AE1328">
        <v>1</v>
      </c>
      <c r="AF1328">
        <v>0</v>
      </c>
      <c r="AG1328">
        <v>31470.86</v>
      </c>
      <c r="AH1328">
        <v>87</v>
      </c>
      <c r="AI1328">
        <v>86</v>
      </c>
      <c r="AJ1328">
        <v>1</v>
      </c>
      <c r="AK1328">
        <v>1</v>
      </c>
      <c r="AL1328">
        <v>1</v>
      </c>
      <c r="AM1328">
        <v>98.85</v>
      </c>
      <c r="AN1328">
        <v>369.34640000000002</v>
      </c>
      <c r="AO1328">
        <v>361.73</v>
      </c>
      <c r="AP1328" s="13">
        <v>45254</v>
      </c>
      <c r="AQ1328">
        <v>-2</v>
      </c>
      <c r="AR1328">
        <v>1</v>
      </c>
    </row>
    <row r="1329" spans="1:44" x14ac:dyDescent="0.35">
      <c r="A1329" s="12" t="s">
        <v>2012</v>
      </c>
      <c r="B1329" s="12" t="s">
        <v>1013</v>
      </c>
      <c r="C1329" s="12" t="s">
        <v>1014</v>
      </c>
      <c r="D1329" s="12" t="s">
        <v>78</v>
      </c>
      <c r="E1329" s="12" t="s">
        <v>65</v>
      </c>
      <c r="F1329">
        <v>2</v>
      </c>
      <c r="G1329">
        <v>3</v>
      </c>
      <c r="H1329">
        <v>0</v>
      </c>
      <c r="I1329" s="12" t="s">
        <v>123</v>
      </c>
      <c r="J1329" s="12" t="s">
        <v>124</v>
      </c>
      <c r="K1329" s="12" t="s">
        <v>125</v>
      </c>
      <c r="L1329" s="12" t="s">
        <v>82</v>
      </c>
      <c r="M1329">
        <v>6.75</v>
      </c>
      <c r="N1329" s="12" t="s">
        <v>97</v>
      </c>
      <c r="O1329" s="12" t="s">
        <v>98</v>
      </c>
      <c r="P1329" s="12" t="s">
        <v>72</v>
      </c>
      <c r="Q1329" s="13">
        <v>45211</v>
      </c>
      <c r="R1329" s="13">
        <v>45244</v>
      </c>
      <c r="S1329">
        <v>2023</v>
      </c>
      <c r="T1329" s="12" t="s">
        <v>1926</v>
      </c>
      <c r="U1329">
        <v>227</v>
      </c>
      <c r="V1329">
        <v>125.2653</v>
      </c>
      <c r="W1329">
        <v>684.52</v>
      </c>
      <c r="X1329">
        <v>0</v>
      </c>
      <c r="Y1329">
        <v>0</v>
      </c>
      <c r="Z1329">
        <v>28435.22</v>
      </c>
      <c r="AA1329">
        <v>29119.74</v>
      </c>
      <c r="AB1329" s="12" t="s">
        <v>1015</v>
      </c>
      <c r="AC1329">
        <v>125.2653</v>
      </c>
      <c r="AD1329">
        <v>1</v>
      </c>
      <c r="AE1329">
        <v>1</v>
      </c>
      <c r="AF1329">
        <v>0</v>
      </c>
      <c r="AG1329">
        <v>28435.22</v>
      </c>
      <c r="AH1329">
        <v>227</v>
      </c>
      <c r="AI1329">
        <v>225</v>
      </c>
      <c r="AJ1329">
        <v>2</v>
      </c>
      <c r="AK1329">
        <v>1</v>
      </c>
      <c r="AL1329">
        <v>1</v>
      </c>
      <c r="AM1329">
        <v>99.12</v>
      </c>
      <c r="AN1329">
        <v>129.4211</v>
      </c>
      <c r="AO1329">
        <v>250.53</v>
      </c>
      <c r="AP1329" s="13">
        <v>45244</v>
      </c>
      <c r="AQ1329">
        <v>0</v>
      </c>
      <c r="AR1329">
        <v>1</v>
      </c>
    </row>
    <row r="1330" spans="1:44" x14ac:dyDescent="0.35">
      <c r="A1330" s="12" t="s">
        <v>2013</v>
      </c>
      <c r="B1330" s="12" t="s">
        <v>293</v>
      </c>
      <c r="C1330" s="12" t="s">
        <v>294</v>
      </c>
      <c r="D1330" s="12" t="s">
        <v>114</v>
      </c>
      <c r="E1330" s="12" t="s">
        <v>142</v>
      </c>
      <c r="F1330">
        <v>1</v>
      </c>
      <c r="G1330">
        <v>6</v>
      </c>
      <c r="H1330">
        <v>1</v>
      </c>
      <c r="I1330" s="12" t="s">
        <v>195</v>
      </c>
      <c r="J1330" s="12" t="s">
        <v>196</v>
      </c>
      <c r="K1330" s="12" t="s">
        <v>117</v>
      </c>
      <c r="L1330" s="12" t="s">
        <v>134</v>
      </c>
      <c r="M1330">
        <v>4.7699999999999996</v>
      </c>
      <c r="N1330" s="12" t="s">
        <v>97</v>
      </c>
      <c r="O1330" s="12" t="s">
        <v>98</v>
      </c>
      <c r="P1330" s="12" t="s">
        <v>72</v>
      </c>
      <c r="Q1330" s="13">
        <v>45211</v>
      </c>
      <c r="R1330" s="13">
        <v>45252</v>
      </c>
      <c r="S1330">
        <v>2023</v>
      </c>
      <c r="T1330" s="12" t="s">
        <v>1926</v>
      </c>
      <c r="U1330">
        <v>62</v>
      </c>
      <c r="V1330">
        <v>206.0489</v>
      </c>
      <c r="W1330">
        <v>116.82</v>
      </c>
      <c r="X1330">
        <v>0</v>
      </c>
      <c r="Y1330">
        <v>0</v>
      </c>
      <c r="Z1330">
        <v>12775.03</v>
      </c>
      <c r="AA1330">
        <v>12891.85</v>
      </c>
      <c r="AB1330" s="12" t="s">
        <v>295</v>
      </c>
      <c r="AC1330">
        <v>206.0489</v>
      </c>
      <c r="AD1330">
        <v>1</v>
      </c>
      <c r="AE1330">
        <v>1</v>
      </c>
      <c r="AF1330">
        <v>0</v>
      </c>
      <c r="AG1330">
        <v>12775.03</v>
      </c>
      <c r="AH1330">
        <v>62</v>
      </c>
      <c r="AI1330">
        <v>61</v>
      </c>
      <c r="AJ1330">
        <v>1</v>
      </c>
      <c r="AK1330">
        <v>1</v>
      </c>
      <c r="AL1330">
        <v>1</v>
      </c>
      <c r="AM1330">
        <v>98.39</v>
      </c>
      <c r="AN1330">
        <v>211.34180000000001</v>
      </c>
      <c r="AO1330">
        <v>206.05</v>
      </c>
      <c r="AP1330" s="13">
        <v>45249</v>
      </c>
      <c r="AQ1330">
        <v>-3</v>
      </c>
      <c r="AR1330">
        <v>1</v>
      </c>
    </row>
    <row r="1331" spans="1:44" x14ac:dyDescent="0.35">
      <c r="A1331" s="12" t="s">
        <v>2014</v>
      </c>
      <c r="B1331" s="12" t="s">
        <v>404</v>
      </c>
      <c r="C1331" s="12" t="s">
        <v>405</v>
      </c>
      <c r="D1331" s="12" t="s">
        <v>269</v>
      </c>
      <c r="E1331" s="12" t="s">
        <v>65</v>
      </c>
      <c r="F1331">
        <v>3</v>
      </c>
      <c r="G1331">
        <v>5</v>
      </c>
      <c r="H1331">
        <v>0</v>
      </c>
      <c r="I1331" s="12" t="s">
        <v>209</v>
      </c>
      <c r="J1331" s="12" t="s">
        <v>210</v>
      </c>
      <c r="K1331" s="12" t="s">
        <v>133</v>
      </c>
      <c r="L1331" s="12" t="s">
        <v>96</v>
      </c>
      <c r="M1331">
        <v>7.82</v>
      </c>
      <c r="N1331" s="12" t="s">
        <v>159</v>
      </c>
      <c r="O1331" s="12" t="s">
        <v>160</v>
      </c>
      <c r="P1331" s="12" t="s">
        <v>137</v>
      </c>
      <c r="Q1331" s="13">
        <v>45212</v>
      </c>
      <c r="R1331" s="13">
        <v>45248</v>
      </c>
      <c r="S1331">
        <v>2023</v>
      </c>
      <c r="T1331" s="12" t="s">
        <v>1926</v>
      </c>
      <c r="U1331">
        <v>132</v>
      </c>
      <c r="V1331">
        <v>445.31619999999998</v>
      </c>
      <c r="W1331">
        <v>585.4</v>
      </c>
      <c r="X1331">
        <v>0</v>
      </c>
      <c r="Y1331">
        <v>0</v>
      </c>
      <c r="Z1331">
        <v>58781.74</v>
      </c>
      <c r="AA1331">
        <v>59367.14</v>
      </c>
      <c r="AB1331" s="12" t="s">
        <v>2015</v>
      </c>
      <c r="AC1331">
        <v>430.41070000000002</v>
      </c>
      <c r="AD1331">
        <v>1</v>
      </c>
      <c r="AE1331">
        <v>1</v>
      </c>
      <c r="AF1331">
        <v>1967.53</v>
      </c>
      <c r="AG1331">
        <v>56814.21</v>
      </c>
      <c r="AH1331">
        <v>132</v>
      </c>
      <c r="AI1331">
        <v>131</v>
      </c>
      <c r="AJ1331">
        <v>1</v>
      </c>
      <c r="AK1331">
        <v>1</v>
      </c>
      <c r="AL1331">
        <v>1</v>
      </c>
      <c r="AM1331">
        <v>99.24</v>
      </c>
      <c r="AN1331">
        <v>453.18430000000001</v>
      </c>
      <c r="AO1331">
        <v>445.32</v>
      </c>
      <c r="AP1331" s="13">
        <v>45248</v>
      </c>
      <c r="AQ1331">
        <v>0</v>
      </c>
      <c r="AR1331">
        <v>1</v>
      </c>
    </row>
    <row r="1332" spans="1:44" x14ac:dyDescent="0.35">
      <c r="A1332" s="12" t="s">
        <v>2016</v>
      </c>
      <c r="B1332" s="12" t="s">
        <v>437</v>
      </c>
      <c r="C1332" s="12" t="s">
        <v>438</v>
      </c>
      <c r="D1332" s="12" t="s">
        <v>269</v>
      </c>
      <c r="E1332" s="12" t="s">
        <v>65</v>
      </c>
      <c r="F1332">
        <v>2</v>
      </c>
      <c r="G1332">
        <v>4</v>
      </c>
      <c r="H1332">
        <v>0</v>
      </c>
      <c r="I1332" s="12" t="s">
        <v>115</v>
      </c>
      <c r="J1332" s="12" t="s">
        <v>116</v>
      </c>
      <c r="K1332" s="12" t="s">
        <v>117</v>
      </c>
      <c r="L1332" s="12" t="s">
        <v>82</v>
      </c>
      <c r="M1332">
        <v>17.170000000000002</v>
      </c>
      <c r="N1332" s="12" t="s">
        <v>135</v>
      </c>
      <c r="O1332" s="12" t="s">
        <v>136</v>
      </c>
      <c r="P1332" s="12" t="s">
        <v>137</v>
      </c>
      <c r="Q1332" s="13">
        <v>45212</v>
      </c>
      <c r="R1332" s="13">
        <v>45236</v>
      </c>
      <c r="S1332">
        <v>2023</v>
      </c>
      <c r="T1332" s="12" t="s">
        <v>1926</v>
      </c>
      <c r="U1332">
        <v>33</v>
      </c>
      <c r="V1332">
        <v>473.21539999999999</v>
      </c>
      <c r="W1332">
        <v>324.55</v>
      </c>
      <c r="X1332">
        <v>0</v>
      </c>
      <c r="Y1332">
        <v>0</v>
      </c>
      <c r="Z1332">
        <v>15616.11</v>
      </c>
      <c r="AA1332">
        <v>15940.66</v>
      </c>
      <c r="AB1332" s="12" t="s">
        <v>439</v>
      </c>
      <c r="AC1332">
        <v>473.21539999999999</v>
      </c>
      <c r="AD1332">
        <v>1</v>
      </c>
      <c r="AE1332">
        <v>1</v>
      </c>
      <c r="AF1332">
        <v>0</v>
      </c>
      <c r="AG1332">
        <v>15616.11</v>
      </c>
      <c r="AH1332">
        <v>33</v>
      </c>
      <c r="AI1332">
        <v>33</v>
      </c>
      <c r="AJ1332">
        <v>0</v>
      </c>
      <c r="AK1332">
        <v>1</v>
      </c>
      <c r="AL1332">
        <v>1</v>
      </c>
      <c r="AM1332">
        <v>100</v>
      </c>
      <c r="AN1332">
        <v>483.05020000000002</v>
      </c>
      <c r="AO1332">
        <v>0</v>
      </c>
      <c r="AP1332" s="13">
        <v>45238</v>
      </c>
      <c r="AQ1332">
        <v>2</v>
      </c>
      <c r="AR1332">
        <v>0</v>
      </c>
    </row>
    <row r="1333" spans="1:44" x14ac:dyDescent="0.35">
      <c r="A1333" s="12" t="s">
        <v>2017</v>
      </c>
      <c r="B1333" s="12" t="s">
        <v>249</v>
      </c>
      <c r="C1333" s="12" t="s">
        <v>250</v>
      </c>
      <c r="D1333" s="12" t="s">
        <v>64</v>
      </c>
      <c r="E1333" s="12" t="s">
        <v>65</v>
      </c>
      <c r="F1333">
        <v>2</v>
      </c>
      <c r="G1333">
        <v>3</v>
      </c>
      <c r="H1333">
        <v>0</v>
      </c>
      <c r="I1333" s="12" t="s">
        <v>251</v>
      </c>
      <c r="J1333" s="12" t="s">
        <v>252</v>
      </c>
      <c r="K1333" s="12" t="s">
        <v>133</v>
      </c>
      <c r="L1333" s="12" t="s">
        <v>69</v>
      </c>
      <c r="M1333">
        <v>34.49</v>
      </c>
      <c r="N1333" s="12" t="s">
        <v>70</v>
      </c>
      <c r="O1333" s="12" t="s">
        <v>71</v>
      </c>
      <c r="P1333" s="12" t="s">
        <v>72</v>
      </c>
      <c r="Q1333" s="13">
        <v>45212</v>
      </c>
      <c r="R1333" s="13">
        <v>45237</v>
      </c>
      <c r="S1333">
        <v>2023</v>
      </c>
      <c r="T1333" s="12" t="s">
        <v>1926</v>
      </c>
      <c r="U1333">
        <v>302</v>
      </c>
      <c r="V1333">
        <v>10.6486</v>
      </c>
      <c r="W1333">
        <v>27.45</v>
      </c>
      <c r="X1333">
        <v>0</v>
      </c>
      <c r="Y1333">
        <v>0</v>
      </c>
      <c r="Z1333">
        <v>3215.88</v>
      </c>
      <c r="AA1333">
        <v>3243.33</v>
      </c>
      <c r="AB1333" s="12" t="s">
        <v>253</v>
      </c>
      <c r="AC1333">
        <v>10.6486</v>
      </c>
      <c r="AD1333">
        <v>1</v>
      </c>
      <c r="AE1333">
        <v>1</v>
      </c>
      <c r="AF1333">
        <v>0</v>
      </c>
      <c r="AG1333">
        <v>3215.88</v>
      </c>
      <c r="AH1333">
        <v>302</v>
      </c>
      <c r="AI1333">
        <v>300</v>
      </c>
      <c r="AJ1333">
        <v>2</v>
      </c>
      <c r="AK1333">
        <v>1</v>
      </c>
      <c r="AL1333">
        <v>1</v>
      </c>
      <c r="AM1333">
        <v>99.34</v>
      </c>
      <c r="AN1333">
        <v>10.8111</v>
      </c>
      <c r="AO1333">
        <v>21.3</v>
      </c>
      <c r="AP1333" s="13">
        <v>45236</v>
      </c>
      <c r="AQ1333">
        <v>-1</v>
      </c>
      <c r="AR1333">
        <v>1</v>
      </c>
    </row>
    <row r="1334" spans="1:44" x14ac:dyDescent="0.35">
      <c r="A1334" s="12" t="s">
        <v>2018</v>
      </c>
      <c r="B1334" s="12" t="s">
        <v>755</v>
      </c>
      <c r="C1334" s="12" t="s">
        <v>756</v>
      </c>
      <c r="D1334" s="12" t="s">
        <v>78</v>
      </c>
      <c r="E1334" s="12" t="s">
        <v>65</v>
      </c>
      <c r="F1334">
        <v>2</v>
      </c>
      <c r="G1334">
        <v>2</v>
      </c>
      <c r="H1334">
        <v>0</v>
      </c>
      <c r="I1334" s="12" t="s">
        <v>359</v>
      </c>
      <c r="J1334" s="12" t="s">
        <v>360</v>
      </c>
      <c r="K1334" s="12" t="s">
        <v>133</v>
      </c>
      <c r="L1334" s="12" t="s">
        <v>82</v>
      </c>
      <c r="M1334">
        <v>12.65</v>
      </c>
      <c r="N1334" s="12" t="s">
        <v>70</v>
      </c>
      <c r="O1334" s="12" t="s">
        <v>71</v>
      </c>
      <c r="P1334" s="12" t="s">
        <v>72</v>
      </c>
      <c r="Q1334" s="13">
        <v>45212</v>
      </c>
      <c r="R1334" s="13">
        <v>45242</v>
      </c>
      <c r="S1334">
        <v>2023</v>
      </c>
      <c r="T1334" s="12" t="s">
        <v>1926</v>
      </c>
      <c r="U1334">
        <v>174</v>
      </c>
      <c r="V1334">
        <v>46.799900000000001</v>
      </c>
      <c r="W1334">
        <v>65.28</v>
      </c>
      <c r="X1334">
        <v>0</v>
      </c>
      <c r="Y1334">
        <v>0</v>
      </c>
      <c r="Z1334">
        <v>8143.18</v>
      </c>
      <c r="AA1334">
        <v>8208.4599999999991</v>
      </c>
      <c r="AB1334" s="12" t="s">
        <v>759</v>
      </c>
      <c r="AC1334">
        <v>45.472499999999997</v>
      </c>
      <c r="AD1334">
        <v>1</v>
      </c>
      <c r="AE1334">
        <v>1</v>
      </c>
      <c r="AF1334">
        <v>230.97</v>
      </c>
      <c r="AG1334">
        <v>7912.22</v>
      </c>
      <c r="AH1334">
        <v>174</v>
      </c>
      <c r="AI1334">
        <v>172</v>
      </c>
      <c r="AJ1334">
        <v>2</v>
      </c>
      <c r="AK1334">
        <v>1</v>
      </c>
      <c r="AL1334">
        <v>1</v>
      </c>
      <c r="AM1334">
        <v>98.85</v>
      </c>
      <c r="AN1334">
        <v>47.723599999999998</v>
      </c>
      <c r="AO1334">
        <v>93.6</v>
      </c>
      <c r="AP1334" s="13">
        <v>45240</v>
      </c>
      <c r="AQ1334">
        <v>-2</v>
      </c>
      <c r="AR1334">
        <v>1</v>
      </c>
    </row>
    <row r="1335" spans="1:44" x14ac:dyDescent="0.35">
      <c r="A1335" s="12" t="s">
        <v>2019</v>
      </c>
      <c r="B1335" s="12" t="s">
        <v>173</v>
      </c>
      <c r="C1335" s="12" t="s">
        <v>174</v>
      </c>
      <c r="D1335" s="12" t="s">
        <v>175</v>
      </c>
      <c r="E1335" s="12" t="s">
        <v>104</v>
      </c>
      <c r="F1335">
        <v>3</v>
      </c>
      <c r="G1335">
        <v>1</v>
      </c>
      <c r="H1335">
        <v>0</v>
      </c>
      <c r="I1335" s="12" t="s">
        <v>176</v>
      </c>
      <c r="J1335" s="12" t="s">
        <v>177</v>
      </c>
      <c r="K1335" s="12" t="s">
        <v>125</v>
      </c>
      <c r="L1335" s="12" t="s">
        <v>134</v>
      </c>
      <c r="M1335">
        <v>1.75</v>
      </c>
      <c r="N1335" s="12" t="s">
        <v>145</v>
      </c>
      <c r="O1335" s="12" t="s">
        <v>146</v>
      </c>
      <c r="P1335" s="12" t="s">
        <v>109</v>
      </c>
      <c r="Q1335" s="13">
        <v>45212</v>
      </c>
      <c r="R1335" s="13">
        <v>45228</v>
      </c>
      <c r="S1335">
        <v>2023</v>
      </c>
      <c r="T1335" s="12" t="s">
        <v>1926</v>
      </c>
      <c r="U1335">
        <v>44</v>
      </c>
      <c r="V1335">
        <v>79.9559</v>
      </c>
      <c r="W1335">
        <v>85.74</v>
      </c>
      <c r="X1335">
        <v>0</v>
      </c>
      <c r="Y1335">
        <v>0</v>
      </c>
      <c r="Z1335">
        <v>3518.06</v>
      </c>
      <c r="AA1335">
        <v>3603.8</v>
      </c>
      <c r="AB1335" s="12" t="s">
        <v>178</v>
      </c>
      <c r="AC1335">
        <v>79.9559</v>
      </c>
      <c r="AD1335">
        <v>1</v>
      </c>
      <c r="AE1335">
        <v>1</v>
      </c>
      <c r="AF1335">
        <v>0</v>
      </c>
      <c r="AG1335">
        <v>3518.06</v>
      </c>
      <c r="AH1335">
        <v>44</v>
      </c>
      <c r="AI1335">
        <v>44</v>
      </c>
      <c r="AJ1335">
        <v>0</v>
      </c>
      <c r="AK1335">
        <v>1</v>
      </c>
      <c r="AL1335">
        <v>1</v>
      </c>
      <c r="AM1335">
        <v>100</v>
      </c>
      <c r="AN1335">
        <v>81.904499999999999</v>
      </c>
      <c r="AO1335">
        <v>0</v>
      </c>
      <c r="AP1335" s="13">
        <v>45231</v>
      </c>
      <c r="AQ1335">
        <v>3</v>
      </c>
      <c r="AR1335">
        <v>0</v>
      </c>
    </row>
    <row r="1336" spans="1:44" x14ac:dyDescent="0.35">
      <c r="A1336" s="12" t="s">
        <v>2020</v>
      </c>
      <c r="B1336" s="12" t="s">
        <v>490</v>
      </c>
      <c r="C1336" s="12" t="s">
        <v>491</v>
      </c>
      <c r="D1336" s="12" t="s">
        <v>130</v>
      </c>
      <c r="E1336" s="12" t="s">
        <v>104</v>
      </c>
      <c r="F1336">
        <v>3</v>
      </c>
      <c r="G1336">
        <v>1</v>
      </c>
      <c r="H1336">
        <v>0</v>
      </c>
      <c r="I1336" s="12" t="s">
        <v>176</v>
      </c>
      <c r="J1336" s="12" t="s">
        <v>177</v>
      </c>
      <c r="K1336" s="12" t="s">
        <v>125</v>
      </c>
      <c r="L1336" s="12" t="s">
        <v>134</v>
      </c>
      <c r="M1336">
        <v>1.75</v>
      </c>
      <c r="N1336" s="12" t="s">
        <v>135</v>
      </c>
      <c r="O1336" s="12" t="s">
        <v>136</v>
      </c>
      <c r="P1336" s="12" t="s">
        <v>137</v>
      </c>
      <c r="Q1336" s="13">
        <v>45212</v>
      </c>
      <c r="R1336" s="13">
        <v>45225</v>
      </c>
      <c r="S1336">
        <v>2023</v>
      </c>
      <c r="T1336" s="12" t="s">
        <v>1926</v>
      </c>
      <c r="U1336">
        <v>20</v>
      </c>
      <c r="V1336">
        <v>297.19900000000001</v>
      </c>
      <c r="W1336">
        <v>52.33</v>
      </c>
      <c r="X1336">
        <v>0</v>
      </c>
      <c r="Y1336">
        <v>0</v>
      </c>
      <c r="Z1336">
        <v>5943.98</v>
      </c>
      <c r="AA1336">
        <v>5996.31</v>
      </c>
      <c r="AB1336" s="12" t="s">
        <v>492</v>
      </c>
      <c r="AC1336">
        <v>297.19900000000001</v>
      </c>
      <c r="AD1336">
        <v>1</v>
      </c>
      <c r="AE1336">
        <v>1</v>
      </c>
      <c r="AF1336">
        <v>0</v>
      </c>
      <c r="AG1336">
        <v>5943.98</v>
      </c>
      <c r="AH1336">
        <v>20</v>
      </c>
      <c r="AI1336">
        <v>20</v>
      </c>
      <c r="AJ1336">
        <v>0</v>
      </c>
      <c r="AK1336">
        <v>1</v>
      </c>
      <c r="AL1336">
        <v>1</v>
      </c>
      <c r="AM1336">
        <v>100</v>
      </c>
      <c r="AN1336">
        <v>299.81549999999999</v>
      </c>
      <c r="AO1336">
        <v>0</v>
      </c>
      <c r="AP1336" s="13">
        <v>45224</v>
      </c>
      <c r="AQ1336">
        <v>-1</v>
      </c>
      <c r="AR1336">
        <v>1</v>
      </c>
    </row>
    <row r="1337" spans="1:44" x14ac:dyDescent="0.35">
      <c r="A1337" s="12" t="s">
        <v>2021</v>
      </c>
      <c r="B1337" s="12" t="s">
        <v>1179</v>
      </c>
      <c r="C1337" s="12" t="s">
        <v>1180</v>
      </c>
      <c r="D1337" s="12" t="s">
        <v>122</v>
      </c>
      <c r="E1337" s="12" t="s">
        <v>142</v>
      </c>
      <c r="F1337">
        <v>1</v>
      </c>
      <c r="G1337">
        <v>8</v>
      </c>
      <c r="H1337">
        <v>1</v>
      </c>
      <c r="I1337" s="12" t="s">
        <v>143</v>
      </c>
      <c r="J1337" s="12" t="s">
        <v>144</v>
      </c>
      <c r="K1337" s="12" t="s">
        <v>133</v>
      </c>
      <c r="L1337" s="12" t="s">
        <v>96</v>
      </c>
      <c r="M1337">
        <v>5.43</v>
      </c>
      <c r="N1337" s="12" t="s">
        <v>97</v>
      </c>
      <c r="O1337" s="12" t="s">
        <v>98</v>
      </c>
      <c r="P1337" s="12" t="s">
        <v>72</v>
      </c>
      <c r="Q1337" s="13">
        <v>45212</v>
      </c>
      <c r="R1337" s="13">
        <v>45254</v>
      </c>
      <c r="S1337">
        <v>2023</v>
      </c>
      <c r="T1337" s="12" t="s">
        <v>1926</v>
      </c>
      <c r="U1337">
        <v>972</v>
      </c>
      <c r="V1337">
        <v>49.572099999999999</v>
      </c>
      <c r="W1337">
        <v>859.96</v>
      </c>
      <c r="X1337">
        <v>0</v>
      </c>
      <c r="Y1337">
        <v>0</v>
      </c>
      <c r="Z1337">
        <v>48184.08</v>
      </c>
      <c r="AA1337">
        <v>49044.04</v>
      </c>
      <c r="AB1337" s="12" t="s">
        <v>1181</v>
      </c>
      <c r="AC1337">
        <v>52.674799999999998</v>
      </c>
      <c r="AD1337">
        <v>1</v>
      </c>
      <c r="AE1337">
        <v>1</v>
      </c>
      <c r="AF1337">
        <v>-3015.82</v>
      </c>
      <c r="AG1337">
        <v>51199.91</v>
      </c>
      <c r="AH1337">
        <v>972</v>
      </c>
      <c r="AI1337">
        <v>962</v>
      </c>
      <c r="AJ1337">
        <v>10</v>
      </c>
      <c r="AK1337">
        <v>1</v>
      </c>
      <c r="AL1337">
        <v>1</v>
      </c>
      <c r="AM1337">
        <v>98.97</v>
      </c>
      <c r="AN1337">
        <v>50.981299999999997</v>
      </c>
      <c r="AO1337">
        <v>495.72</v>
      </c>
      <c r="AP1337" s="13">
        <v>45263</v>
      </c>
      <c r="AQ1337">
        <v>9</v>
      </c>
      <c r="AR1337">
        <v>0</v>
      </c>
    </row>
    <row r="1338" spans="1:44" x14ac:dyDescent="0.35">
      <c r="A1338" s="12" t="s">
        <v>2022</v>
      </c>
      <c r="B1338" s="12" t="s">
        <v>1166</v>
      </c>
      <c r="C1338" s="12" t="s">
        <v>1167</v>
      </c>
      <c r="D1338" s="12" t="s">
        <v>175</v>
      </c>
      <c r="E1338" s="12" t="s">
        <v>65</v>
      </c>
      <c r="F1338">
        <v>3</v>
      </c>
      <c r="G1338">
        <v>5</v>
      </c>
      <c r="H1338">
        <v>0</v>
      </c>
      <c r="I1338" s="12" t="s">
        <v>143</v>
      </c>
      <c r="J1338" s="12" t="s">
        <v>144</v>
      </c>
      <c r="K1338" s="12" t="s">
        <v>133</v>
      </c>
      <c r="L1338" s="12" t="s">
        <v>96</v>
      </c>
      <c r="M1338">
        <v>5.43</v>
      </c>
      <c r="N1338" s="12" t="s">
        <v>107</v>
      </c>
      <c r="O1338" s="12" t="s">
        <v>108</v>
      </c>
      <c r="P1338" s="12" t="s">
        <v>109</v>
      </c>
      <c r="Q1338" s="13">
        <v>45212</v>
      </c>
      <c r="R1338" s="13">
        <v>45242</v>
      </c>
      <c r="S1338">
        <v>2023</v>
      </c>
      <c r="T1338" s="12" t="s">
        <v>1926</v>
      </c>
      <c r="U1338">
        <v>82</v>
      </c>
      <c r="V1338">
        <v>248.16210000000001</v>
      </c>
      <c r="W1338">
        <v>405.34</v>
      </c>
      <c r="X1338">
        <v>0</v>
      </c>
      <c r="Y1338">
        <v>0</v>
      </c>
      <c r="Z1338">
        <v>20349.29</v>
      </c>
      <c r="AA1338">
        <v>20754.63</v>
      </c>
      <c r="AB1338" s="12" t="s">
        <v>1168</v>
      </c>
      <c r="AC1338">
        <v>248.16210000000001</v>
      </c>
      <c r="AD1338">
        <v>1</v>
      </c>
      <c r="AE1338">
        <v>1</v>
      </c>
      <c r="AF1338">
        <v>0</v>
      </c>
      <c r="AG1338">
        <v>20349.29</v>
      </c>
      <c r="AH1338">
        <v>82</v>
      </c>
      <c r="AI1338">
        <v>81</v>
      </c>
      <c r="AJ1338">
        <v>1</v>
      </c>
      <c r="AK1338">
        <v>1</v>
      </c>
      <c r="AL1338">
        <v>1</v>
      </c>
      <c r="AM1338">
        <v>98.78</v>
      </c>
      <c r="AN1338">
        <v>256.23</v>
      </c>
      <c r="AO1338">
        <v>248.16</v>
      </c>
      <c r="AP1338" s="13">
        <v>45242</v>
      </c>
      <c r="AQ1338">
        <v>0</v>
      </c>
      <c r="AR1338">
        <v>1</v>
      </c>
    </row>
    <row r="1339" spans="1:44" x14ac:dyDescent="0.35">
      <c r="A1339" s="12" t="s">
        <v>2023</v>
      </c>
      <c r="B1339" s="12" t="s">
        <v>215</v>
      </c>
      <c r="C1339" s="12" t="s">
        <v>216</v>
      </c>
      <c r="D1339" s="12" t="s">
        <v>122</v>
      </c>
      <c r="E1339" s="12" t="s">
        <v>142</v>
      </c>
      <c r="F1339">
        <v>3</v>
      </c>
      <c r="G1339">
        <v>11</v>
      </c>
      <c r="H1339">
        <v>0</v>
      </c>
      <c r="I1339" s="12" t="s">
        <v>176</v>
      </c>
      <c r="J1339" s="12" t="s">
        <v>177</v>
      </c>
      <c r="K1339" s="12" t="s">
        <v>125</v>
      </c>
      <c r="L1339" s="12" t="s">
        <v>134</v>
      </c>
      <c r="M1339">
        <v>1.75</v>
      </c>
      <c r="N1339" s="12" t="s">
        <v>97</v>
      </c>
      <c r="O1339" s="12" t="s">
        <v>98</v>
      </c>
      <c r="P1339" s="12" t="s">
        <v>72</v>
      </c>
      <c r="Q1339" s="13">
        <v>45212</v>
      </c>
      <c r="R1339" s="13">
        <v>45262</v>
      </c>
      <c r="S1339">
        <v>2023</v>
      </c>
      <c r="T1339" s="12" t="s">
        <v>1926</v>
      </c>
      <c r="U1339">
        <v>1711</v>
      </c>
      <c r="V1339">
        <v>15.462199999999999</v>
      </c>
      <c r="W1339">
        <v>309.12</v>
      </c>
      <c r="X1339">
        <v>0</v>
      </c>
      <c r="Y1339">
        <v>0</v>
      </c>
      <c r="Z1339">
        <v>26455.82</v>
      </c>
      <c r="AA1339">
        <v>26764.94</v>
      </c>
      <c r="AB1339" s="12" t="s">
        <v>2024</v>
      </c>
      <c r="AC1339">
        <v>15.462199999999999</v>
      </c>
      <c r="AD1339">
        <v>1</v>
      </c>
      <c r="AE1339">
        <v>1</v>
      </c>
      <c r="AF1339">
        <v>0</v>
      </c>
      <c r="AG1339">
        <v>26455.82</v>
      </c>
      <c r="AH1339">
        <v>1711</v>
      </c>
      <c r="AI1339">
        <v>1706</v>
      </c>
      <c r="AJ1339">
        <v>5</v>
      </c>
      <c r="AK1339">
        <v>1</v>
      </c>
      <c r="AL1339">
        <v>1</v>
      </c>
      <c r="AM1339">
        <v>99.71</v>
      </c>
      <c r="AN1339">
        <v>15.688700000000001</v>
      </c>
      <c r="AO1339">
        <v>77.31</v>
      </c>
      <c r="AP1339" s="13">
        <v>45268</v>
      </c>
      <c r="AQ1339">
        <v>6</v>
      </c>
      <c r="AR1339">
        <v>0</v>
      </c>
    </row>
    <row r="1340" spans="1:44" x14ac:dyDescent="0.35">
      <c r="A1340" s="12" t="s">
        <v>2025</v>
      </c>
      <c r="B1340" s="12" t="s">
        <v>640</v>
      </c>
      <c r="C1340" s="12" t="s">
        <v>641</v>
      </c>
      <c r="D1340" s="12" t="s">
        <v>130</v>
      </c>
      <c r="E1340" s="12" t="s">
        <v>104</v>
      </c>
      <c r="F1340">
        <v>3</v>
      </c>
      <c r="G1340">
        <v>0</v>
      </c>
      <c r="H1340">
        <v>0</v>
      </c>
      <c r="I1340" s="12" t="s">
        <v>811</v>
      </c>
      <c r="J1340" s="12" t="s">
        <v>812</v>
      </c>
      <c r="K1340" s="12" t="s">
        <v>117</v>
      </c>
      <c r="L1340" s="12" t="s">
        <v>69</v>
      </c>
      <c r="M1340">
        <v>26.4</v>
      </c>
      <c r="N1340" s="12" t="s">
        <v>159</v>
      </c>
      <c r="O1340" s="12" t="s">
        <v>160</v>
      </c>
      <c r="P1340" s="12" t="s">
        <v>137</v>
      </c>
      <c r="Q1340" s="13">
        <v>45212</v>
      </c>
      <c r="R1340" s="13">
        <v>45241</v>
      </c>
      <c r="S1340">
        <v>2023</v>
      </c>
      <c r="T1340" s="12" t="s">
        <v>1926</v>
      </c>
      <c r="U1340">
        <v>149</v>
      </c>
      <c r="V1340">
        <v>1025.3638000000001</v>
      </c>
      <c r="W1340">
        <v>1972.23</v>
      </c>
      <c r="X1340">
        <v>0</v>
      </c>
      <c r="Y1340">
        <v>0</v>
      </c>
      <c r="Z1340">
        <v>152779.21</v>
      </c>
      <c r="AA1340">
        <v>154751.44</v>
      </c>
      <c r="AB1340" s="12" t="s">
        <v>201</v>
      </c>
      <c r="AD1340">
        <v>0</v>
      </c>
      <c r="AE1340">
        <v>0</v>
      </c>
      <c r="AH1340">
        <v>149</v>
      </c>
      <c r="AI1340">
        <v>148</v>
      </c>
      <c r="AJ1340">
        <v>1</v>
      </c>
      <c r="AK1340">
        <v>1</v>
      </c>
      <c r="AL1340">
        <v>1</v>
      </c>
      <c r="AM1340">
        <v>99.33</v>
      </c>
      <c r="AN1340">
        <v>1045.6178</v>
      </c>
      <c r="AO1340">
        <v>1025.3599999999999</v>
      </c>
      <c r="AP1340" s="13">
        <v>45240</v>
      </c>
      <c r="AQ1340">
        <v>-1</v>
      </c>
      <c r="AR1340">
        <v>1</v>
      </c>
    </row>
    <row r="1341" spans="1:44" x14ac:dyDescent="0.35">
      <c r="A1341" s="12" t="s">
        <v>2026</v>
      </c>
      <c r="B1341" s="12" t="s">
        <v>712</v>
      </c>
      <c r="C1341" s="12" t="s">
        <v>713</v>
      </c>
      <c r="D1341" s="12" t="s">
        <v>103</v>
      </c>
      <c r="E1341" s="12" t="s">
        <v>104</v>
      </c>
      <c r="F1341">
        <v>2</v>
      </c>
      <c r="G1341">
        <v>0</v>
      </c>
      <c r="H1341">
        <v>0</v>
      </c>
      <c r="I1341" s="12" t="s">
        <v>199</v>
      </c>
      <c r="J1341" s="12" t="s">
        <v>200</v>
      </c>
      <c r="K1341" s="12" t="s">
        <v>68</v>
      </c>
      <c r="L1341" s="12" t="s">
        <v>96</v>
      </c>
      <c r="M1341">
        <v>9.4700000000000006</v>
      </c>
      <c r="N1341" s="12" t="s">
        <v>107</v>
      </c>
      <c r="O1341" s="12" t="s">
        <v>108</v>
      </c>
      <c r="P1341" s="12" t="s">
        <v>109</v>
      </c>
      <c r="Q1341" s="13">
        <v>45212</v>
      </c>
      <c r="R1341" s="13">
        <v>45229</v>
      </c>
      <c r="S1341">
        <v>2023</v>
      </c>
      <c r="T1341" s="12" t="s">
        <v>1926</v>
      </c>
      <c r="U1341">
        <v>49</v>
      </c>
      <c r="V1341">
        <v>202.47229999999999</v>
      </c>
      <c r="W1341">
        <v>209.82</v>
      </c>
      <c r="X1341">
        <v>0</v>
      </c>
      <c r="Y1341">
        <v>0</v>
      </c>
      <c r="Z1341">
        <v>9921.14</v>
      </c>
      <c r="AA1341">
        <v>10130.959999999999</v>
      </c>
      <c r="AB1341" s="12" t="s">
        <v>714</v>
      </c>
      <c r="AC1341">
        <v>202.47229999999999</v>
      </c>
      <c r="AD1341">
        <v>1</v>
      </c>
      <c r="AE1341">
        <v>1</v>
      </c>
      <c r="AF1341">
        <v>0</v>
      </c>
      <c r="AG1341">
        <v>9921.14</v>
      </c>
      <c r="AH1341">
        <v>49</v>
      </c>
      <c r="AI1341">
        <v>48</v>
      </c>
      <c r="AJ1341">
        <v>1</v>
      </c>
      <c r="AK1341">
        <v>1</v>
      </c>
      <c r="AL1341">
        <v>1</v>
      </c>
      <c r="AM1341">
        <v>97.96</v>
      </c>
      <c r="AN1341">
        <v>211.0617</v>
      </c>
      <c r="AO1341">
        <v>202.47</v>
      </c>
      <c r="AP1341" s="13">
        <v>45235</v>
      </c>
      <c r="AQ1341">
        <v>6</v>
      </c>
      <c r="AR1341">
        <v>0</v>
      </c>
    </row>
    <row r="1342" spans="1:44" x14ac:dyDescent="0.35">
      <c r="A1342" s="12" t="s">
        <v>2027</v>
      </c>
      <c r="B1342" s="12" t="s">
        <v>238</v>
      </c>
      <c r="C1342" s="12" t="s">
        <v>239</v>
      </c>
      <c r="D1342" s="12" t="s">
        <v>122</v>
      </c>
      <c r="E1342" s="12" t="s">
        <v>65</v>
      </c>
      <c r="F1342">
        <v>3</v>
      </c>
      <c r="G1342">
        <v>4</v>
      </c>
      <c r="H1342">
        <v>0</v>
      </c>
      <c r="I1342" s="12" t="s">
        <v>79</v>
      </c>
      <c r="J1342" s="12" t="s">
        <v>80</v>
      </c>
      <c r="K1342" s="12" t="s">
        <v>81</v>
      </c>
      <c r="L1342" s="12" t="s">
        <v>82</v>
      </c>
      <c r="M1342">
        <v>12.07</v>
      </c>
      <c r="N1342" s="12" t="s">
        <v>70</v>
      </c>
      <c r="O1342" s="12" t="s">
        <v>71</v>
      </c>
      <c r="P1342" s="12" t="s">
        <v>72</v>
      </c>
      <c r="Q1342" s="13">
        <v>45212</v>
      </c>
      <c r="R1342" s="13">
        <v>45240</v>
      </c>
      <c r="S1342">
        <v>2023</v>
      </c>
      <c r="T1342" s="12" t="s">
        <v>1926</v>
      </c>
      <c r="U1342">
        <v>961</v>
      </c>
      <c r="V1342">
        <v>37.143599999999999</v>
      </c>
      <c r="W1342">
        <v>587.32000000000005</v>
      </c>
      <c r="X1342">
        <v>0</v>
      </c>
      <c r="Y1342">
        <v>0</v>
      </c>
      <c r="Z1342">
        <v>35695</v>
      </c>
      <c r="AA1342">
        <v>36282.32</v>
      </c>
      <c r="AB1342" s="12" t="s">
        <v>297</v>
      </c>
      <c r="AC1342">
        <v>37.143599999999999</v>
      </c>
      <c r="AD1342">
        <v>1</v>
      </c>
      <c r="AE1342">
        <v>1</v>
      </c>
      <c r="AF1342">
        <v>0</v>
      </c>
      <c r="AG1342">
        <v>35695</v>
      </c>
      <c r="AH1342">
        <v>961</v>
      </c>
      <c r="AI1342">
        <v>956</v>
      </c>
      <c r="AJ1342">
        <v>5</v>
      </c>
      <c r="AK1342">
        <v>1</v>
      </c>
      <c r="AL1342">
        <v>1</v>
      </c>
      <c r="AM1342">
        <v>99.48</v>
      </c>
      <c r="AN1342">
        <v>37.952199999999998</v>
      </c>
      <c r="AO1342">
        <v>185.72</v>
      </c>
      <c r="AP1342" s="13">
        <v>45239</v>
      </c>
      <c r="AQ1342">
        <v>-1</v>
      </c>
      <c r="AR1342">
        <v>1</v>
      </c>
    </row>
    <row r="1343" spans="1:44" x14ac:dyDescent="0.35">
      <c r="A1343" s="12" t="s">
        <v>2028</v>
      </c>
      <c r="B1343" s="12" t="s">
        <v>706</v>
      </c>
      <c r="C1343" s="12" t="s">
        <v>707</v>
      </c>
      <c r="D1343" s="12" t="s">
        <v>130</v>
      </c>
      <c r="E1343" s="12" t="s">
        <v>142</v>
      </c>
      <c r="F1343">
        <v>1</v>
      </c>
      <c r="G1343">
        <v>8</v>
      </c>
      <c r="H1343">
        <v>1</v>
      </c>
      <c r="I1343" s="12" t="s">
        <v>263</v>
      </c>
      <c r="J1343" s="12" t="s">
        <v>264</v>
      </c>
      <c r="K1343" s="12" t="s">
        <v>125</v>
      </c>
      <c r="L1343" s="12" t="s">
        <v>82</v>
      </c>
      <c r="M1343">
        <v>10.210000000000001</v>
      </c>
      <c r="N1343" s="12" t="s">
        <v>135</v>
      </c>
      <c r="O1343" s="12" t="s">
        <v>136</v>
      </c>
      <c r="P1343" s="12" t="s">
        <v>137</v>
      </c>
      <c r="Q1343" s="13">
        <v>45215</v>
      </c>
      <c r="R1343" s="13">
        <v>45255</v>
      </c>
      <c r="S1343">
        <v>2023</v>
      </c>
      <c r="T1343" s="12" t="s">
        <v>1926</v>
      </c>
      <c r="U1343">
        <v>50</v>
      </c>
      <c r="V1343">
        <v>277.71210000000002</v>
      </c>
      <c r="W1343">
        <v>358.99</v>
      </c>
      <c r="X1343">
        <v>0</v>
      </c>
      <c r="Y1343">
        <v>0</v>
      </c>
      <c r="Z1343">
        <v>13885.61</v>
      </c>
      <c r="AA1343">
        <v>14244.6</v>
      </c>
      <c r="AB1343" s="12" t="s">
        <v>708</v>
      </c>
      <c r="AC1343">
        <v>277.71210000000002</v>
      </c>
      <c r="AD1343">
        <v>1</v>
      </c>
      <c r="AE1343">
        <v>1</v>
      </c>
      <c r="AF1343">
        <v>0</v>
      </c>
      <c r="AG1343">
        <v>13885.61</v>
      </c>
      <c r="AH1343">
        <v>50</v>
      </c>
      <c r="AI1343">
        <v>50</v>
      </c>
      <c r="AJ1343">
        <v>0</v>
      </c>
      <c r="AK1343">
        <v>1</v>
      </c>
      <c r="AL1343">
        <v>1</v>
      </c>
      <c r="AM1343">
        <v>100</v>
      </c>
      <c r="AN1343">
        <v>284.89190000000002</v>
      </c>
      <c r="AO1343">
        <v>0</v>
      </c>
      <c r="AP1343" s="13">
        <v>45252</v>
      </c>
      <c r="AQ1343">
        <v>-3</v>
      </c>
      <c r="AR1343">
        <v>1</v>
      </c>
    </row>
    <row r="1344" spans="1:44" x14ac:dyDescent="0.35">
      <c r="A1344" s="12" t="s">
        <v>2029</v>
      </c>
      <c r="B1344" s="12" t="s">
        <v>472</v>
      </c>
      <c r="C1344" s="12" t="s">
        <v>473</v>
      </c>
      <c r="D1344" s="12" t="s">
        <v>122</v>
      </c>
      <c r="E1344" s="12" t="s">
        <v>142</v>
      </c>
      <c r="F1344">
        <v>2</v>
      </c>
      <c r="G1344">
        <v>9</v>
      </c>
      <c r="H1344">
        <v>0</v>
      </c>
      <c r="I1344" s="12" t="s">
        <v>209</v>
      </c>
      <c r="J1344" s="12" t="s">
        <v>210</v>
      </c>
      <c r="K1344" s="12" t="s">
        <v>133</v>
      </c>
      <c r="L1344" s="12" t="s">
        <v>96</v>
      </c>
      <c r="M1344">
        <v>7.82</v>
      </c>
      <c r="N1344" s="12" t="s">
        <v>70</v>
      </c>
      <c r="O1344" s="12" t="s">
        <v>71</v>
      </c>
      <c r="P1344" s="12" t="s">
        <v>72</v>
      </c>
      <c r="Q1344" s="13">
        <v>45215</v>
      </c>
      <c r="R1344" s="13">
        <v>45255</v>
      </c>
      <c r="S1344">
        <v>2023</v>
      </c>
      <c r="T1344" s="12" t="s">
        <v>1926</v>
      </c>
      <c r="U1344">
        <v>766</v>
      </c>
      <c r="V1344">
        <v>48.7896</v>
      </c>
      <c r="W1344">
        <v>786.95</v>
      </c>
      <c r="X1344">
        <v>0</v>
      </c>
      <c r="Y1344">
        <v>0</v>
      </c>
      <c r="Z1344">
        <v>37372.83</v>
      </c>
      <c r="AA1344">
        <v>38159.78</v>
      </c>
      <c r="AB1344" s="12" t="s">
        <v>474</v>
      </c>
      <c r="AC1344">
        <v>48.7896</v>
      </c>
      <c r="AD1344">
        <v>1</v>
      </c>
      <c r="AE1344">
        <v>1</v>
      </c>
      <c r="AF1344">
        <v>0</v>
      </c>
      <c r="AG1344">
        <v>37372.83</v>
      </c>
      <c r="AH1344">
        <v>766</v>
      </c>
      <c r="AI1344">
        <v>763</v>
      </c>
      <c r="AJ1344">
        <v>3</v>
      </c>
      <c r="AK1344">
        <v>1</v>
      </c>
      <c r="AL1344">
        <v>1</v>
      </c>
      <c r="AM1344">
        <v>99.61</v>
      </c>
      <c r="AN1344">
        <v>50.012799999999999</v>
      </c>
      <c r="AO1344">
        <v>146.37</v>
      </c>
      <c r="AP1344" s="13">
        <v>45254</v>
      </c>
      <c r="AQ1344">
        <v>-1</v>
      </c>
      <c r="AR1344">
        <v>1</v>
      </c>
    </row>
    <row r="1345" spans="1:44" x14ac:dyDescent="0.35">
      <c r="A1345" s="12" t="s">
        <v>2030</v>
      </c>
      <c r="B1345" s="12" t="s">
        <v>646</v>
      </c>
      <c r="C1345" s="12" t="s">
        <v>647</v>
      </c>
      <c r="D1345" s="12" t="s">
        <v>175</v>
      </c>
      <c r="E1345" s="12" t="s">
        <v>104</v>
      </c>
      <c r="F1345">
        <v>3</v>
      </c>
      <c r="G1345">
        <v>1</v>
      </c>
      <c r="H1345">
        <v>0</v>
      </c>
      <c r="I1345" s="12" t="s">
        <v>227</v>
      </c>
      <c r="J1345" s="12" t="s">
        <v>228</v>
      </c>
      <c r="K1345" s="12" t="s">
        <v>89</v>
      </c>
      <c r="L1345" s="12" t="s">
        <v>96</v>
      </c>
      <c r="M1345">
        <v>9.15</v>
      </c>
      <c r="N1345" s="12" t="s">
        <v>107</v>
      </c>
      <c r="O1345" s="12" t="s">
        <v>108</v>
      </c>
      <c r="P1345" s="12" t="s">
        <v>109</v>
      </c>
      <c r="Q1345" s="13">
        <v>45215</v>
      </c>
      <c r="R1345" s="13">
        <v>45230</v>
      </c>
      <c r="S1345">
        <v>2023</v>
      </c>
      <c r="T1345" s="12" t="s">
        <v>1926</v>
      </c>
      <c r="U1345">
        <v>37</v>
      </c>
      <c r="V1345">
        <v>216.21350000000001</v>
      </c>
      <c r="W1345">
        <v>134.25</v>
      </c>
      <c r="X1345">
        <v>0</v>
      </c>
      <c r="Y1345">
        <v>0</v>
      </c>
      <c r="Z1345">
        <v>7999.9</v>
      </c>
      <c r="AA1345">
        <v>8134.15</v>
      </c>
      <c r="AB1345" s="12" t="s">
        <v>781</v>
      </c>
      <c r="AC1345">
        <v>216.21350000000001</v>
      </c>
      <c r="AD1345">
        <v>1</v>
      </c>
      <c r="AE1345">
        <v>1</v>
      </c>
      <c r="AF1345">
        <v>0</v>
      </c>
      <c r="AG1345">
        <v>7999.9</v>
      </c>
      <c r="AH1345">
        <v>37</v>
      </c>
      <c r="AI1345">
        <v>36</v>
      </c>
      <c r="AJ1345">
        <v>1</v>
      </c>
      <c r="AK1345">
        <v>1</v>
      </c>
      <c r="AL1345">
        <v>1</v>
      </c>
      <c r="AM1345">
        <v>97.3</v>
      </c>
      <c r="AN1345">
        <v>225.9486</v>
      </c>
      <c r="AO1345">
        <v>216.21</v>
      </c>
      <c r="AP1345" s="13">
        <v>45227</v>
      </c>
      <c r="AQ1345">
        <v>-3</v>
      </c>
      <c r="AR1345">
        <v>1</v>
      </c>
    </row>
    <row r="1346" spans="1:44" x14ac:dyDescent="0.35">
      <c r="A1346" s="12" t="s">
        <v>2031</v>
      </c>
      <c r="B1346" s="12" t="s">
        <v>617</v>
      </c>
      <c r="C1346" s="12" t="s">
        <v>618</v>
      </c>
      <c r="D1346" s="12" t="s">
        <v>78</v>
      </c>
      <c r="E1346" s="12" t="s">
        <v>65</v>
      </c>
      <c r="F1346">
        <v>2</v>
      </c>
      <c r="G1346">
        <v>4</v>
      </c>
      <c r="H1346">
        <v>0</v>
      </c>
      <c r="I1346" s="12" t="s">
        <v>341</v>
      </c>
      <c r="J1346" s="12" t="s">
        <v>342</v>
      </c>
      <c r="K1346" s="12" t="s">
        <v>117</v>
      </c>
      <c r="L1346" s="12" t="s">
        <v>82</v>
      </c>
      <c r="M1346">
        <v>18.36</v>
      </c>
      <c r="N1346" s="12" t="s">
        <v>97</v>
      </c>
      <c r="O1346" s="12" t="s">
        <v>98</v>
      </c>
      <c r="P1346" s="12" t="s">
        <v>72</v>
      </c>
      <c r="Q1346" s="13">
        <v>45215</v>
      </c>
      <c r="R1346" s="13">
        <v>45240</v>
      </c>
      <c r="S1346">
        <v>2023</v>
      </c>
      <c r="T1346" s="12" t="s">
        <v>1926</v>
      </c>
      <c r="U1346">
        <v>107</v>
      </c>
      <c r="V1346">
        <v>108.2711</v>
      </c>
      <c r="W1346">
        <v>157.78</v>
      </c>
      <c r="X1346">
        <v>0</v>
      </c>
      <c r="Y1346">
        <v>0</v>
      </c>
      <c r="Z1346">
        <v>11585.01</v>
      </c>
      <c r="AA1346">
        <v>11742.79</v>
      </c>
      <c r="AB1346" s="12" t="s">
        <v>619</v>
      </c>
      <c r="AC1346">
        <v>108.2711</v>
      </c>
      <c r="AD1346">
        <v>1</v>
      </c>
      <c r="AE1346">
        <v>1</v>
      </c>
      <c r="AF1346">
        <v>0</v>
      </c>
      <c r="AG1346">
        <v>11585.01</v>
      </c>
      <c r="AH1346">
        <v>107</v>
      </c>
      <c r="AI1346">
        <v>106</v>
      </c>
      <c r="AJ1346">
        <v>1</v>
      </c>
      <c r="AK1346">
        <v>1</v>
      </c>
      <c r="AL1346">
        <v>1</v>
      </c>
      <c r="AM1346">
        <v>99.07</v>
      </c>
      <c r="AN1346">
        <v>110.78100000000001</v>
      </c>
      <c r="AO1346">
        <v>108.27</v>
      </c>
      <c r="AP1346" s="13">
        <v>45238</v>
      </c>
      <c r="AQ1346">
        <v>-2</v>
      </c>
      <c r="AR1346">
        <v>1</v>
      </c>
    </row>
    <row r="1347" spans="1:44" x14ac:dyDescent="0.35">
      <c r="A1347" s="12" t="s">
        <v>2032</v>
      </c>
      <c r="B1347" s="12" t="s">
        <v>378</v>
      </c>
      <c r="C1347" s="12" t="s">
        <v>379</v>
      </c>
      <c r="D1347" s="12" t="s">
        <v>64</v>
      </c>
      <c r="E1347" s="12" t="s">
        <v>104</v>
      </c>
      <c r="F1347">
        <v>3</v>
      </c>
      <c r="G1347">
        <v>1</v>
      </c>
      <c r="H1347">
        <v>0</v>
      </c>
      <c r="I1347" s="12" t="s">
        <v>380</v>
      </c>
      <c r="J1347" s="12" t="s">
        <v>381</v>
      </c>
      <c r="K1347" s="12" t="s">
        <v>89</v>
      </c>
      <c r="L1347" s="12" t="s">
        <v>96</v>
      </c>
      <c r="M1347">
        <v>10.210000000000001</v>
      </c>
      <c r="N1347" s="12" t="s">
        <v>97</v>
      </c>
      <c r="O1347" s="12" t="s">
        <v>98</v>
      </c>
      <c r="P1347" s="12" t="s">
        <v>72</v>
      </c>
      <c r="Q1347" s="13">
        <v>45215</v>
      </c>
      <c r="R1347" s="13">
        <v>45244</v>
      </c>
      <c r="S1347">
        <v>2023</v>
      </c>
      <c r="T1347" s="12" t="s">
        <v>1926</v>
      </c>
      <c r="U1347">
        <v>990</v>
      </c>
      <c r="V1347">
        <v>15.2066</v>
      </c>
      <c r="W1347">
        <v>165.7</v>
      </c>
      <c r="X1347">
        <v>0</v>
      </c>
      <c r="Y1347">
        <v>0</v>
      </c>
      <c r="Z1347">
        <v>15054.53</v>
      </c>
      <c r="AA1347">
        <v>15220.23</v>
      </c>
      <c r="AB1347" s="12" t="s">
        <v>382</v>
      </c>
      <c r="AC1347">
        <v>16.160900000000002</v>
      </c>
      <c r="AD1347">
        <v>1</v>
      </c>
      <c r="AE1347">
        <v>1</v>
      </c>
      <c r="AF1347">
        <v>-944.76</v>
      </c>
      <c r="AG1347">
        <v>15999.29</v>
      </c>
      <c r="AH1347">
        <v>990</v>
      </c>
      <c r="AI1347">
        <v>986</v>
      </c>
      <c r="AJ1347">
        <v>4</v>
      </c>
      <c r="AK1347">
        <v>1</v>
      </c>
      <c r="AL1347">
        <v>1</v>
      </c>
      <c r="AM1347">
        <v>99.6</v>
      </c>
      <c r="AN1347">
        <v>15.436299999999999</v>
      </c>
      <c r="AO1347">
        <v>60.83</v>
      </c>
      <c r="AP1347" s="13">
        <v>45243</v>
      </c>
      <c r="AQ1347">
        <v>-1</v>
      </c>
      <c r="AR1347">
        <v>1</v>
      </c>
    </row>
    <row r="1348" spans="1:44" x14ac:dyDescent="0.35">
      <c r="A1348" s="12" t="s">
        <v>2033</v>
      </c>
      <c r="B1348" s="12" t="s">
        <v>255</v>
      </c>
      <c r="C1348" s="12" t="s">
        <v>256</v>
      </c>
      <c r="D1348" s="12" t="s">
        <v>103</v>
      </c>
      <c r="E1348" s="12" t="s">
        <v>65</v>
      </c>
      <c r="F1348">
        <v>2</v>
      </c>
      <c r="G1348">
        <v>4</v>
      </c>
      <c r="H1348">
        <v>0</v>
      </c>
      <c r="I1348" s="12" t="s">
        <v>143</v>
      </c>
      <c r="J1348" s="12" t="s">
        <v>144</v>
      </c>
      <c r="K1348" s="12" t="s">
        <v>133</v>
      </c>
      <c r="L1348" s="12" t="s">
        <v>96</v>
      </c>
      <c r="M1348">
        <v>5.43</v>
      </c>
      <c r="N1348" s="12" t="s">
        <v>145</v>
      </c>
      <c r="O1348" s="12" t="s">
        <v>146</v>
      </c>
      <c r="P1348" s="12" t="s">
        <v>109</v>
      </c>
      <c r="Q1348" s="13">
        <v>45215</v>
      </c>
      <c r="R1348" s="13">
        <v>45245</v>
      </c>
      <c r="S1348">
        <v>2023</v>
      </c>
      <c r="T1348" s="12" t="s">
        <v>1926</v>
      </c>
      <c r="U1348">
        <v>80</v>
      </c>
      <c r="V1348">
        <v>95.085700000000003</v>
      </c>
      <c r="W1348">
        <v>100.81</v>
      </c>
      <c r="X1348">
        <v>0</v>
      </c>
      <c r="Y1348">
        <v>0</v>
      </c>
      <c r="Z1348">
        <v>7606.86</v>
      </c>
      <c r="AA1348">
        <v>7707.67</v>
      </c>
      <c r="AB1348" s="12" t="s">
        <v>366</v>
      </c>
      <c r="AC1348">
        <v>95.085700000000003</v>
      </c>
      <c r="AD1348">
        <v>1</v>
      </c>
      <c r="AE1348">
        <v>1</v>
      </c>
      <c r="AF1348">
        <v>0</v>
      </c>
      <c r="AG1348">
        <v>7606.86</v>
      </c>
      <c r="AH1348">
        <v>80</v>
      </c>
      <c r="AI1348">
        <v>79</v>
      </c>
      <c r="AJ1348">
        <v>1</v>
      </c>
      <c r="AK1348">
        <v>1</v>
      </c>
      <c r="AL1348">
        <v>1</v>
      </c>
      <c r="AM1348">
        <v>98.75</v>
      </c>
      <c r="AN1348">
        <v>97.565399999999997</v>
      </c>
      <c r="AO1348">
        <v>95.09</v>
      </c>
      <c r="AP1348" s="13">
        <v>45246</v>
      </c>
      <c r="AQ1348">
        <v>1</v>
      </c>
      <c r="AR1348">
        <v>0</v>
      </c>
    </row>
    <row r="1349" spans="1:44" x14ac:dyDescent="0.35">
      <c r="A1349" s="12" t="s">
        <v>2034</v>
      </c>
      <c r="B1349" s="12" t="s">
        <v>924</v>
      </c>
      <c r="C1349" s="12" t="s">
        <v>925</v>
      </c>
      <c r="D1349" s="12" t="s">
        <v>103</v>
      </c>
      <c r="E1349" s="12" t="s">
        <v>104</v>
      </c>
      <c r="F1349">
        <v>2</v>
      </c>
      <c r="G1349">
        <v>0</v>
      </c>
      <c r="H1349">
        <v>0</v>
      </c>
      <c r="I1349" s="12" t="s">
        <v>275</v>
      </c>
      <c r="J1349" s="12" t="s">
        <v>276</v>
      </c>
      <c r="K1349" s="12" t="s">
        <v>89</v>
      </c>
      <c r="L1349" s="12" t="s">
        <v>82</v>
      </c>
      <c r="M1349">
        <v>14.26</v>
      </c>
      <c r="N1349" s="12" t="s">
        <v>145</v>
      </c>
      <c r="O1349" s="12" t="s">
        <v>146</v>
      </c>
      <c r="P1349" s="12" t="s">
        <v>109</v>
      </c>
      <c r="Q1349" s="13">
        <v>45215</v>
      </c>
      <c r="R1349" s="13">
        <v>45240</v>
      </c>
      <c r="S1349">
        <v>2023</v>
      </c>
      <c r="T1349" s="12" t="s">
        <v>1926</v>
      </c>
      <c r="U1349">
        <v>118</v>
      </c>
      <c r="V1349">
        <v>161.51509999999999</v>
      </c>
      <c r="W1349">
        <v>159.25</v>
      </c>
      <c r="X1349">
        <v>0</v>
      </c>
      <c r="Y1349">
        <v>0</v>
      </c>
      <c r="Z1349">
        <v>19058.78</v>
      </c>
      <c r="AA1349">
        <v>19218.03</v>
      </c>
      <c r="AB1349" s="12" t="s">
        <v>1975</v>
      </c>
      <c r="AC1349">
        <v>161.51509999999999</v>
      </c>
      <c r="AD1349">
        <v>1</v>
      </c>
      <c r="AE1349">
        <v>1</v>
      </c>
      <c r="AF1349">
        <v>0</v>
      </c>
      <c r="AG1349">
        <v>19058.78</v>
      </c>
      <c r="AH1349">
        <v>118</v>
      </c>
      <c r="AI1349">
        <v>118</v>
      </c>
      <c r="AJ1349">
        <v>0</v>
      </c>
      <c r="AK1349">
        <v>1</v>
      </c>
      <c r="AL1349">
        <v>1</v>
      </c>
      <c r="AM1349">
        <v>100</v>
      </c>
      <c r="AN1349">
        <v>162.8647</v>
      </c>
      <c r="AO1349">
        <v>0</v>
      </c>
      <c r="AP1349" s="13">
        <v>45240</v>
      </c>
      <c r="AQ1349">
        <v>0</v>
      </c>
      <c r="AR1349">
        <v>1</v>
      </c>
    </row>
    <row r="1350" spans="1:44" x14ac:dyDescent="0.35">
      <c r="A1350" s="12" t="s">
        <v>2035</v>
      </c>
      <c r="B1350" s="12" t="s">
        <v>428</v>
      </c>
      <c r="C1350" s="12" t="s">
        <v>429</v>
      </c>
      <c r="D1350" s="12" t="s">
        <v>64</v>
      </c>
      <c r="E1350" s="12" t="s">
        <v>65</v>
      </c>
      <c r="F1350">
        <v>3</v>
      </c>
      <c r="G1350">
        <v>4</v>
      </c>
      <c r="H1350">
        <v>0</v>
      </c>
      <c r="I1350" s="12" t="s">
        <v>380</v>
      </c>
      <c r="J1350" s="12" t="s">
        <v>381</v>
      </c>
      <c r="K1350" s="12" t="s">
        <v>89</v>
      </c>
      <c r="L1350" s="12" t="s">
        <v>96</v>
      </c>
      <c r="M1350">
        <v>10.210000000000001</v>
      </c>
      <c r="N1350" s="12" t="s">
        <v>70</v>
      </c>
      <c r="O1350" s="12" t="s">
        <v>71</v>
      </c>
      <c r="P1350" s="12" t="s">
        <v>72</v>
      </c>
      <c r="Q1350" s="13">
        <v>45215</v>
      </c>
      <c r="R1350" s="13">
        <v>45249</v>
      </c>
      <c r="S1350">
        <v>2023</v>
      </c>
      <c r="T1350" s="12" t="s">
        <v>1926</v>
      </c>
      <c r="U1350">
        <v>780</v>
      </c>
      <c r="V1350">
        <v>15.0402</v>
      </c>
      <c r="W1350">
        <v>288.88</v>
      </c>
      <c r="X1350">
        <v>0</v>
      </c>
      <c r="Y1350">
        <v>0</v>
      </c>
      <c r="Z1350">
        <v>11731.36</v>
      </c>
      <c r="AA1350">
        <v>12020.24</v>
      </c>
      <c r="AB1350" s="12" t="s">
        <v>430</v>
      </c>
      <c r="AC1350">
        <v>15.0402</v>
      </c>
      <c r="AD1350">
        <v>1</v>
      </c>
      <c r="AE1350">
        <v>1</v>
      </c>
      <c r="AF1350">
        <v>0</v>
      </c>
      <c r="AG1350">
        <v>11731.36</v>
      </c>
      <c r="AH1350">
        <v>780</v>
      </c>
      <c r="AI1350">
        <v>768</v>
      </c>
      <c r="AJ1350">
        <v>12</v>
      </c>
      <c r="AK1350">
        <v>1</v>
      </c>
      <c r="AL1350">
        <v>1</v>
      </c>
      <c r="AM1350">
        <v>98.46</v>
      </c>
      <c r="AN1350">
        <v>15.651300000000001</v>
      </c>
      <c r="AO1350">
        <v>180.48</v>
      </c>
      <c r="AP1350" s="13">
        <v>45253</v>
      </c>
      <c r="AQ1350">
        <v>4</v>
      </c>
      <c r="AR1350">
        <v>0</v>
      </c>
    </row>
    <row r="1351" spans="1:44" x14ac:dyDescent="0.35">
      <c r="A1351" s="12" t="s">
        <v>2036</v>
      </c>
      <c r="B1351" s="12" t="s">
        <v>609</v>
      </c>
      <c r="C1351" s="12" t="s">
        <v>610</v>
      </c>
      <c r="D1351" s="12" t="s">
        <v>64</v>
      </c>
      <c r="E1351" s="12" t="s">
        <v>104</v>
      </c>
      <c r="F1351">
        <v>1</v>
      </c>
      <c r="G1351">
        <v>0</v>
      </c>
      <c r="H1351">
        <v>1</v>
      </c>
      <c r="I1351" s="12" t="s">
        <v>227</v>
      </c>
      <c r="J1351" s="12" t="s">
        <v>228</v>
      </c>
      <c r="K1351" s="12" t="s">
        <v>89</v>
      </c>
      <c r="L1351" s="12" t="s">
        <v>96</v>
      </c>
      <c r="M1351">
        <v>9.15</v>
      </c>
      <c r="N1351" s="12" t="s">
        <v>97</v>
      </c>
      <c r="O1351" s="12" t="s">
        <v>98</v>
      </c>
      <c r="P1351" s="12" t="s">
        <v>72</v>
      </c>
      <c r="Q1351" s="13">
        <v>45216</v>
      </c>
      <c r="R1351" s="13">
        <v>45237</v>
      </c>
      <c r="S1351">
        <v>2023</v>
      </c>
      <c r="T1351" s="12" t="s">
        <v>1926</v>
      </c>
      <c r="U1351">
        <v>568</v>
      </c>
      <c r="V1351">
        <v>20.713699999999999</v>
      </c>
      <c r="W1351">
        <v>264.17</v>
      </c>
      <c r="X1351">
        <v>0</v>
      </c>
      <c r="Y1351">
        <v>0</v>
      </c>
      <c r="Z1351">
        <v>11765.38</v>
      </c>
      <c r="AA1351">
        <v>12029.55</v>
      </c>
      <c r="AB1351" s="12" t="s">
        <v>611</v>
      </c>
      <c r="AC1351">
        <v>20.713699999999999</v>
      </c>
      <c r="AD1351">
        <v>1</v>
      </c>
      <c r="AE1351">
        <v>1</v>
      </c>
      <c r="AF1351">
        <v>0</v>
      </c>
      <c r="AG1351">
        <v>11765.38</v>
      </c>
      <c r="AH1351">
        <v>568</v>
      </c>
      <c r="AI1351">
        <v>562</v>
      </c>
      <c r="AJ1351">
        <v>6</v>
      </c>
      <c r="AK1351">
        <v>1</v>
      </c>
      <c r="AL1351">
        <v>1</v>
      </c>
      <c r="AM1351">
        <v>98.94</v>
      </c>
      <c r="AN1351">
        <v>21.404900000000001</v>
      </c>
      <c r="AO1351">
        <v>124.28</v>
      </c>
      <c r="AP1351" s="13">
        <v>45234</v>
      </c>
      <c r="AQ1351">
        <v>-3</v>
      </c>
      <c r="AR1351">
        <v>1</v>
      </c>
    </row>
    <row r="1352" spans="1:44" x14ac:dyDescent="0.35">
      <c r="A1352" s="12" t="s">
        <v>2037</v>
      </c>
      <c r="B1352" s="12" t="s">
        <v>513</v>
      </c>
      <c r="C1352" s="12" t="s">
        <v>514</v>
      </c>
      <c r="D1352" s="12" t="s">
        <v>269</v>
      </c>
      <c r="E1352" s="12" t="s">
        <v>65</v>
      </c>
      <c r="F1352">
        <v>1</v>
      </c>
      <c r="G1352">
        <v>2</v>
      </c>
      <c r="H1352">
        <v>1</v>
      </c>
      <c r="I1352" s="12" t="s">
        <v>515</v>
      </c>
      <c r="J1352" s="12" t="s">
        <v>516</v>
      </c>
      <c r="K1352" s="12" t="s">
        <v>68</v>
      </c>
      <c r="L1352" s="12" t="s">
        <v>134</v>
      </c>
      <c r="M1352">
        <v>3.69</v>
      </c>
      <c r="N1352" s="12" t="s">
        <v>159</v>
      </c>
      <c r="O1352" s="12" t="s">
        <v>160</v>
      </c>
      <c r="P1352" s="12" t="s">
        <v>137</v>
      </c>
      <c r="Q1352" s="13">
        <v>45216</v>
      </c>
      <c r="R1352" s="13">
        <v>45243</v>
      </c>
      <c r="S1352">
        <v>2023</v>
      </c>
      <c r="T1352" s="12" t="s">
        <v>1926</v>
      </c>
      <c r="U1352">
        <v>57</v>
      </c>
      <c r="V1352">
        <v>229.3486</v>
      </c>
      <c r="W1352">
        <v>272.83</v>
      </c>
      <c r="X1352">
        <v>0</v>
      </c>
      <c r="Y1352">
        <v>0</v>
      </c>
      <c r="Z1352">
        <v>13072.87</v>
      </c>
      <c r="AA1352">
        <v>13345.7</v>
      </c>
      <c r="AB1352" s="12" t="s">
        <v>517</v>
      </c>
      <c r="AC1352">
        <v>229.3486</v>
      </c>
      <c r="AD1352">
        <v>1</v>
      </c>
      <c r="AE1352">
        <v>1</v>
      </c>
      <c r="AF1352">
        <v>0</v>
      </c>
      <c r="AG1352">
        <v>13072.87</v>
      </c>
      <c r="AH1352">
        <v>57</v>
      </c>
      <c r="AI1352">
        <v>56</v>
      </c>
      <c r="AJ1352">
        <v>1</v>
      </c>
      <c r="AK1352">
        <v>1</v>
      </c>
      <c r="AL1352">
        <v>1</v>
      </c>
      <c r="AM1352">
        <v>98.25</v>
      </c>
      <c r="AN1352">
        <v>238.31610000000001</v>
      </c>
      <c r="AO1352">
        <v>229.35</v>
      </c>
      <c r="AP1352" s="13">
        <v>45243</v>
      </c>
      <c r="AQ1352">
        <v>0</v>
      </c>
      <c r="AR1352">
        <v>1</v>
      </c>
    </row>
    <row r="1353" spans="1:44" x14ac:dyDescent="0.35">
      <c r="A1353" s="12" t="s">
        <v>2038</v>
      </c>
      <c r="B1353" s="12" t="s">
        <v>350</v>
      </c>
      <c r="C1353" s="12" t="s">
        <v>351</v>
      </c>
      <c r="D1353" s="12" t="s">
        <v>64</v>
      </c>
      <c r="E1353" s="12" t="s">
        <v>104</v>
      </c>
      <c r="F1353">
        <v>3</v>
      </c>
      <c r="G1353">
        <v>1</v>
      </c>
      <c r="H1353">
        <v>0</v>
      </c>
      <c r="I1353" s="12" t="s">
        <v>223</v>
      </c>
      <c r="J1353" s="12" t="s">
        <v>224</v>
      </c>
      <c r="K1353" s="12" t="s">
        <v>81</v>
      </c>
      <c r="L1353" s="12" t="s">
        <v>134</v>
      </c>
      <c r="M1353">
        <v>2.4900000000000002</v>
      </c>
      <c r="N1353" s="12" t="s">
        <v>97</v>
      </c>
      <c r="O1353" s="12" t="s">
        <v>98</v>
      </c>
      <c r="P1353" s="12" t="s">
        <v>72</v>
      </c>
      <c r="Q1353" s="13">
        <v>45216</v>
      </c>
      <c r="R1353" s="13">
        <v>45237</v>
      </c>
      <c r="S1353">
        <v>2023</v>
      </c>
      <c r="T1353" s="12" t="s">
        <v>1926</v>
      </c>
      <c r="U1353">
        <v>580</v>
      </c>
      <c r="V1353">
        <v>10.214</v>
      </c>
      <c r="W1353">
        <v>153.63</v>
      </c>
      <c r="X1353">
        <v>0</v>
      </c>
      <c r="Y1353">
        <v>0</v>
      </c>
      <c r="Z1353">
        <v>5924.12</v>
      </c>
      <c r="AA1353">
        <v>6077.75</v>
      </c>
      <c r="AB1353" s="12" t="s">
        <v>201</v>
      </c>
      <c r="AD1353">
        <v>0</v>
      </c>
      <c r="AE1353">
        <v>0</v>
      </c>
      <c r="AH1353">
        <v>580</v>
      </c>
      <c r="AI1353">
        <v>576</v>
      </c>
      <c r="AJ1353">
        <v>4</v>
      </c>
      <c r="AK1353">
        <v>1</v>
      </c>
      <c r="AL1353">
        <v>1</v>
      </c>
      <c r="AM1353">
        <v>99.31</v>
      </c>
      <c r="AN1353">
        <v>10.551600000000001</v>
      </c>
      <c r="AO1353">
        <v>40.86</v>
      </c>
      <c r="AP1353" s="13">
        <v>45236</v>
      </c>
      <c r="AQ1353">
        <v>-1</v>
      </c>
      <c r="AR1353">
        <v>1</v>
      </c>
    </row>
    <row r="1354" spans="1:44" x14ac:dyDescent="0.35">
      <c r="A1354" s="12" t="s">
        <v>2039</v>
      </c>
      <c r="B1354" s="12" t="s">
        <v>1179</v>
      </c>
      <c r="C1354" s="12" t="s">
        <v>1180</v>
      </c>
      <c r="D1354" s="12" t="s">
        <v>122</v>
      </c>
      <c r="E1354" s="12" t="s">
        <v>142</v>
      </c>
      <c r="F1354">
        <v>1</v>
      </c>
      <c r="G1354">
        <v>8</v>
      </c>
      <c r="H1354">
        <v>1</v>
      </c>
      <c r="I1354" s="12" t="s">
        <v>143</v>
      </c>
      <c r="J1354" s="12" t="s">
        <v>144</v>
      </c>
      <c r="K1354" s="12" t="s">
        <v>133</v>
      </c>
      <c r="L1354" s="12" t="s">
        <v>96</v>
      </c>
      <c r="M1354">
        <v>5.43</v>
      </c>
      <c r="N1354" s="12" t="s">
        <v>97</v>
      </c>
      <c r="O1354" s="12" t="s">
        <v>98</v>
      </c>
      <c r="P1354" s="12" t="s">
        <v>72</v>
      </c>
      <c r="Q1354" s="13">
        <v>45216</v>
      </c>
      <c r="R1354" s="13">
        <v>45251</v>
      </c>
      <c r="S1354">
        <v>2023</v>
      </c>
      <c r="T1354" s="12" t="s">
        <v>1926</v>
      </c>
      <c r="U1354">
        <v>252</v>
      </c>
      <c r="V1354">
        <v>52.674799999999998</v>
      </c>
      <c r="W1354">
        <v>188.78</v>
      </c>
      <c r="X1354">
        <v>0</v>
      </c>
      <c r="Y1354">
        <v>0</v>
      </c>
      <c r="Z1354">
        <v>13274.05</v>
      </c>
      <c r="AA1354">
        <v>13462.83</v>
      </c>
      <c r="AB1354" s="12" t="s">
        <v>1181</v>
      </c>
      <c r="AC1354">
        <v>52.674799999999998</v>
      </c>
      <c r="AD1354">
        <v>1</v>
      </c>
      <c r="AE1354">
        <v>1</v>
      </c>
      <c r="AF1354">
        <v>0</v>
      </c>
      <c r="AG1354">
        <v>13274.05</v>
      </c>
      <c r="AH1354">
        <v>252</v>
      </c>
      <c r="AI1354">
        <v>251</v>
      </c>
      <c r="AJ1354">
        <v>1</v>
      </c>
      <c r="AK1354">
        <v>1</v>
      </c>
      <c r="AL1354">
        <v>1</v>
      </c>
      <c r="AM1354">
        <v>99.6</v>
      </c>
      <c r="AN1354">
        <v>53.636800000000001</v>
      </c>
      <c r="AO1354">
        <v>52.67</v>
      </c>
      <c r="AP1354" s="13">
        <v>45261</v>
      </c>
      <c r="AQ1354">
        <v>10</v>
      </c>
      <c r="AR1354">
        <v>0</v>
      </c>
    </row>
    <row r="1355" spans="1:44" x14ac:dyDescent="0.35">
      <c r="A1355" s="12" t="s">
        <v>2040</v>
      </c>
      <c r="B1355" s="12" t="s">
        <v>140</v>
      </c>
      <c r="C1355" s="12" t="s">
        <v>141</v>
      </c>
      <c r="D1355" s="12" t="s">
        <v>103</v>
      </c>
      <c r="E1355" s="12" t="s">
        <v>142</v>
      </c>
      <c r="F1355">
        <v>1</v>
      </c>
      <c r="G1355">
        <v>7</v>
      </c>
      <c r="H1355">
        <v>1</v>
      </c>
      <c r="I1355" s="12" t="s">
        <v>143</v>
      </c>
      <c r="J1355" s="12" t="s">
        <v>144</v>
      </c>
      <c r="K1355" s="12" t="s">
        <v>133</v>
      </c>
      <c r="L1355" s="12" t="s">
        <v>96</v>
      </c>
      <c r="M1355">
        <v>5.43</v>
      </c>
      <c r="N1355" s="12" t="s">
        <v>145</v>
      </c>
      <c r="O1355" s="12" t="s">
        <v>146</v>
      </c>
      <c r="P1355" s="12" t="s">
        <v>109</v>
      </c>
      <c r="Q1355" s="13">
        <v>45216</v>
      </c>
      <c r="R1355" s="13">
        <v>45268</v>
      </c>
      <c r="S1355">
        <v>2023</v>
      </c>
      <c r="T1355" s="12" t="s">
        <v>1926</v>
      </c>
      <c r="U1355">
        <v>143</v>
      </c>
      <c r="V1355">
        <v>211.78559999999999</v>
      </c>
      <c r="W1355">
        <v>184.45</v>
      </c>
      <c r="X1355">
        <v>0</v>
      </c>
      <c r="Y1355">
        <v>0</v>
      </c>
      <c r="Z1355">
        <v>30285.34</v>
      </c>
      <c r="AA1355">
        <v>30469.79</v>
      </c>
      <c r="AB1355" s="12" t="s">
        <v>147</v>
      </c>
      <c r="AC1355">
        <v>211.78559999999999</v>
      </c>
      <c r="AD1355">
        <v>1</v>
      </c>
      <c r="AE1355">
        <v>1</v>
      </c>
      <c r="AF1355">
        <v>0</v>
      </c>
      <c r="AG1355">
        <v>30285.34</v>
      </c>
      <c r="AH1355">
        <v>143</v>
      </c>
      <c r="AI1355">
        <v>142</v>
      </c>
      <c r="AJ1355">
        <v>1</v>
      </c>
      <c r="AK1355">
        <v>1</v>
      </c>
      <c r="AL1355">
        <v>1</v>
      </c>
      <c r="AM1355">
        <v>99.3</v>
      </c>
      <c r="AN1355">
        <v>214.57599999999999</v>
      </c>
      <c r="AO1355">
        <v>211.79</v>
      </c>
      <c r="AP1355" s="13">
        <v>45265</v>
      </c>
      <c r="AQ1355">
        <v>-3</v>
      </c>
      <c r="AR1355">
        <v>1</v>
      </c>
    </row>
    <row r="1356" spans="1:44" x14ac:dyDescent="0.35">
      <c r="A1356" s="12" t="s">
        <v>2041</v>
      </c>
      <c r="B1356" s="12" t="s">
        <v>902</v>
      </c>
      <c r="C1356" s="12" t="s">
        <v>903</v>
      </c>
      <c r="D1356" s="12" t="s">
        <v>122</v>
      </c>
      <c r="E1356" s="12" t="s">
        <v>142</v>
      </c>
      <c r="F1356">
        <v>1</v>
      </c>
      <c r="G1356">
        <v>6</v>
      </c>
      <c r="H1356">
        <v>1</v>
      </c>
      <c r="I1356" s="12" t="s">
        <v>105</v>
      </c>
      <c r="J1356" s="12" t="s">
        <v>106</v>
      </c>
      <c r="K1356" s="12" t="s">
        <v>81</v>
      </c>
      <c r="L1356" s="12" t="s">
        <v>96</v>
      </c>
      <c r="M1356">
        <v>5.01</v>
      </c>
      <c r="N1356" s="12" t="s">
        <v>97</v>
      </c>
      <c r="O1356" s="12" t="s">
        <v>98</v>
      </c>
      <c r="P1356" s="12" t="s">
        <v>72</v>
      </c>
      <c r="Q1356" s="13">
        <v>45216</v>
      </c>
      <c r="R1356" s="13">
        <v>45268</v>
      </c>
      <c r="S1356">
        <v>2023</v>
      </c>
      <c r="T1356" s="12" t="s">
        <v>1926</v>
      </c>
      <c r="U1356">
        <v>1966</v>
      </c>
      <c r="V1356">
        <v>41.861199999999997</v>
      </c>
      <c r="W1356">
        <v>1778.37</v>
      </c>
      <c r="X1356">
        <v>0</v>
      </c>
      <c r="Y1356">
        <v>0</v>
      </c>
      <c r="Z1356">
        <v>82299.12</v>
      </c>
      <c r="AA1356">
        <v>84077.49</v>
      </c>
      <c r="AB1356" s="12" t="s">
        <v>904</v>
      </c>
      <c r="AC1356">
        <v>41.861199999999997</v>
      </c>
      <c r="AD1356">
        <v>1</v>
      </c>
      <c r="AE1356">
        <v>1</v>
      </c>
      <c r="AF1356">
        <v>0</v>
      </c>
      <c r="AG1356">
        <v>82299.12</v>
      </c>
      <c r="AH1356">
        <v>1966</v>
      </c>
      <c r="AI1356">
        <v>1946</v>
      </c>
      <c r="AJ1356">
        <v>20</v>
      </c>
      <c r="AK1356">
        <v>1</v>
      </c>
      <c r="AL1356">
        <v>1</v>
      </c>
      <c r="AM1356">
        <v>98.98</v>
      </c>
      <c r="AN1356">
        <v>43.205300000000001</v>
      </c>
      <c r="AO1356">
        <v>837.22</v>
      </c>
      <c r="AP1356" s="13">
        <v>45266</v>
      </c>
      <c r="AQ1356">
        <v>-2</v>
      </c>
      <c r="AR1356">
        <v>1</v>
      </c>
    </row>
    <row r="1357" spans="1:44" x14ac:dyDescent="0.35">
      <c r="A1357" s="12" t="s">
        <v>2042</v>
      </c>
      <c r="B1357" s="12" t="s">
        <v>544</v>
      </c>
      <c r="C1357" s="12" t="s">
        <v>545</v>
      </c>
      <c r="D1357" s="12" t="s">
        <v>175</v>
      </c>
      <c r="E1357" s="12" t="s">
        <v>65</v>
      </c>
      <c r="F1357">
        <v>3</v>
      </c>
      <c r="G1357">
        <v>5</v>
      </c>
      <c r="H1357">
        <v>0</v>
      </c>
      <c r="I1357" s="12" t="s">
        <v>359</v>
      </c>
      <c r="J1357" s="12" t="s">
        <v>360</v>
      </c>
      <c r="K1357" s="12" t="s">
        <v>133</v>
      </c>
      <c r="L1357" s="12" t="s">
        <v>82</v>
      </c>
      <c r="M1357">
        <v>12.65</v>
      </c>
      <c r="N1357" s="12" t="s">
        <v>145</v>
      </c>
      <c r="O1357" s="12" t="s">
        <v>146</v>
      </c>
      <c r="P1357" s="12" t="s">
        <v>109</v>
      </c>
      <c r="Q1357" s="13">
        <v>45217</v>
      </c>
      <c r="R1357" s="13">
        <v>45238</v>
      </c>
      <c r="S1357">
        <v>2023</v>
      </c>
      <c r="T1357" s="12" t="s">
        <v>1926</v>
      </c>
      <c r="U1357">
        <v>13</v>
      </c>
      <c r="V1357">
        <v>155.36940000000001</v>
      </c>
      <c r="W1357">
        <v>15.39</v>
      </c>
      <c r="X1357">
        <v>0</v>
      </c>
      <c r="Y1357">
        <v>0</v>
      </c>
      <c r="Z1357">
        <v>2019.8</v>
      </c>
      <c r="AA1357">
        <v>2035.19</v>
      </c>
      <c r="AB1357" s="12" t="s">
        <v>985</v>
      </c>
      <c r="AC1357">
        <v>155.36940000000001</v>
      </c>
      <c r="AD1357">
        <v>1</v>
      </c>
      <c r="AE1357">
        <v>1</v>
      </c>
      <c r="AF1357">
        <v>0</v>
      </c>
      <c r="AG1357">
        <v>2019.8</v>
      </c>
      <c r="AH1357">
        <v>13</v>
      </c>
      <c r="AI1357">
        <v>13</v>
      </c>
      <c r="AJ1357">
        <v>0</v>
      </c>
      <c r="AK1357">
        <v>1</v>
      </c>
      <c r="AL1357">
        <v>1</v>
      </c>
      <c r="AM1357">
        <v>100</v>
      </c>
      <c r="AN1357">
        <v>156.5532</v>
      </c>
      <c r="AO1357">
        <v>0</v>
      </c>
      <c r="AP1357" s="13">
        <v>45247</v>
      </c>
      <c r="AQ1357">
        <v>9</v>
      </c>
      <c r="AR1357">
        <v>0</v>
      </c>
    </row>
    <row r="1358" spans="1:44" x14ac:dyDescent="0.35">
      <c r="A1358" s="12" t="s">
        <v>2043</v>
      </c>
      <c r="B1358" s="12" t="s">
        <v>848</v>
      </c>
      <c r="C1358" s="12" t="s">
        <v>849</v>
      </c>
      <c r="D1358" s="12" t="s">
        <v>103</v>
      </c>
      <c r="E1358" s="12" t="s">
        <v>65</v>
      </c>
      <c r="F1358">
        <v>2</v>
      </c>
      <c r="G1358">
        <v>4</v>
      </c>
      <c r="H1358">
        <v>0</v>
      </c>
      <c r="I1358" s="12" t="s">
        <v>87</v>
      </c>
      <c r="J1358" s="12" t="s">
        <v>88</v>
      </c>
      <c r="K1358" s="12" t="s">
        <v>89</v>
      </c>
      <c r="L1358" s="12" t="s">
        <v>69</v>
      </c>
      <c r="M1358">
        <v>14.93</v>
      </c>
      <c r="N1358" s="12" t="s">
        <v>107</v>
      </c>
      <c r="O1358" s="12" t="s">
        <v>108</v>
      </c>
      <c r="P1358" s="12" t="s">
        <v>109</v>
      </c>
      <c r="Q1358" s="13">
        <v>45217</v>
      </c>
      <c r="R1358" s="13">
        <v>45248</v>
      </c>
      <c r="S1358">
        <v>2023</v>
      </c>
      <c r="T1358" s="12" t="s">
        <v>1926</v>
      </c>
      <c r="U1358">
        <v>94</v>
      </c>
      <c r="V1358">
        <v>123.8275</v>
      </c>
      <c r="W1358">
        <v>77.73</v>
      </c>
      <c r="X1358">
        <v>0</v>
      </c>
      <c r="Y1358">
        <v>0</v>
      </c>
      <c r="Z1358">
        <v>11639.79</v>
      </c>
      <c r="AA1358">
        <v>11717.52</v>
      </c>
      <c r="AB1358" s="12" t="s">
        <v>850</v>
      </c>
      <c r="AC1358">
        <v>123.8275</v>
      </c>
      <c r="AD1358">
        <v>1</v>
      </c>
      <c r="AE1358">
        <v>1</v>
      </c>
      <c r="AF1358">
        <v>0</v>
      </c>
      <c r="AG1358">
        <v>11639.79</v>
      </c>
      <c r="AH1358">
        <v>94</v>
      </c>
      <c r="AI1358">
        <v>93</v>
      </c>
      <c r="AJ1358">
        <v>1</v>
      </c>
      <c r="AK1358">
        <v>1</v>
      </c>
      <c r="AL1358">
        <v>1</v>
      </c>
      <c r="AM1358">
        <v>98.94</v>
      </c>
      <c r="AN1358">
        <v>125.9948</v>
      </c>
      <c r="AO1358">
        <v>123.83</v>
      </c>
      <c r="AP1358" s="13">
        <v>45248</v>
      </c>
      <c r="AQ1358">
        <v>0</v>
      </c>
      <c r="AR1358">
        <v>1</v>
      </c>
    </row>
    <row r="1359" spans="1:44" x14ac:dyDescent="0.35">
      <c r="A1359" s="12" t="s">
        <v>2044</v>
      </c>
      <c r="B1359" s="12" t="s">
        <v>62</v>
      </c>
      <c r="C1359" s="12" t="s">
        <v>63</v>
      </c>
      <c r="D1359" s="12" t="s">
        <v>64</v>
      </c>
      <c r="E1359" s="12" t="s">
        <v>65</v>
      </c>
      <c r="F1359">
        <v>1</v>
      </c>
      <c r="G1359">
        <v>2</v>
      </c>
      <c r="H1359">
        <v>1</v>
      </c>
      <c r="I1359" s="12" t="s">
        <v>66</v>
      </c>
      <c r="J1359" s="12" t="s">
        <v>67</v>
      </c>
      <c r="K1359" s="12" t="s">
        <v>68</v>
      </c>
      <c r="L1359" s="12" t="s">
        <v>69</v>
      </c>
      <c r="M1359">
        <v>17.66</v>
      </c>
      <c r="N1359" s="12" t="s">
        <v>70</v>
      </c>
      <c r="O1359" s="12" t="s">
        <v>71</v>
      </c>
      <c r="P1359" s="12" t="s">
        <v>72</v>
      </c>
      <c r="Q1359" s="13">
        <v>45217</v>
      </c>
      <c r="R1359" s="13">
        <v>45240</v>
      </c>
      <c r="S1359">
        <v>2023</v>
      </c>
      <c r="T1359" s="12" t="s">
        <v>1926</v>
      </c>
      <c r="U1359">
        <v>249</v>
      </c>
      <c r="V1359">
        <v>24.687000000000001</v>
      </c>
      <c r="W1359">
        <v>137.09</v>
      </c>
      <c r="X1359">
        <v>0</v>
      </c>
      <c r="Y1359">
        <v>0</v>
      </c>
      <c r="Z1359">
        <v>6147.06</v>
      </c>
      <c r="AA1359">
        <v>6284.15</v>
      </c>
      <c r="AB1359" s="12" t="s">
        <v>74</v>
      </c>
      <c r="AC1359">
        <v>24.687000000000001</v>
      </c>
      <c r="AD1359">
        <v>1</v>
      </c>
      <c r="AE1359">
        <v>1</v>
      </c>
      <c r="AF1359">
        <v>0</v>
      </c>
      <c r="AG1359">
        <v>6147.06</v>
      </c>
      <c r="AH1359">
        <v>249</v>
      </c>
      <c r="AI1359">
        <v>248</v>
      </c>
      <c r="AJ1359">
        <v>1</v>
      </c>
      <c r="AK1359">
        <v>1</v>
      </c>
      <c r="AL1359">
        <v>1</v>
      </c>
      <c r="AM1359">
        <v>99.6</v>
      </c>
      <c r="AN1359">
        <v>25.339300000000001</v>
      </c>
      <c r="AO1359">
        <v>24.69</v>
      </c>
      <c r="AP1359" s="13">
        <v>45240</v>
      </c>
      <c r="AQ1359">
        <v>0</v>
      </c>
      <c r="AR1359">
        <v>1</v>
      </c>
    </row>
    <row r="1360" spans="1:44" x14ac:dyDescent="0.35">
      <c r="A1360" s="12" t="s">
        <v>2045</v>
      </c>
      <c r="B1360" s="12" t="s">
        <v>442</v>
      </c>
      <c r="C1360" s="12" t="s">
        <v>443</v>
      </c>
      <c r="D1360" s="12" t="s">
        <v>130</v>
      </c>
      <c r="E1360" s="12" t="s">
        <v>65</v>
      </c>
      <c r="F1360">
        <v>3</v>
      </c>
      <c r="G1360">
        <v>4</v>
      </c>
      <c r="H1360">
        <v>0</v>
      </c>
      <c r="I1360" s="12" t="s">
        <v>251</v>
      </c>
      <c r="J1360" s="12" t="s">
        <v>252</v>
      </c>
      <c r="K1360" s="12" t="s">
        <v>133</v>
      </c>
      <c r="L1360" s="12" t="s">
        <v>69</v>
      </c>
      <c r="M1360">
        <v>34.49</v>
      </c>
      <c r="N1360" s="12" t="s">
        <v>135</v>
      </c>
      <c r="O1360" s="12" t="s">
        <v>136</v>
      </c>
      <c r="P1360" s="12" t="s">
        <v>137</v>
      </c>
      <c r="Q1360" s="13">
        <v>45217</v>
      </c>
      <c r="R1360" s="13">
        <v>45245</v>
      </c>
      <c r="S1360">
        <v>2023</v>
      </c>
      <c r="T1360" s="12" t="s">
        <v>1926</v>
      </c>
      <c r="U1360">
        <v>65</v>
      </c>
      <c r="V1360">
        <v>610.72789999999998</v>
      </c>
      <c r="W1360">
        <v>381.78</v>
      </c>
      <c r="X1360">
        <v>0</v>
      </c>
      <c r="Y1360">
        <v>0</v>
      </c>
      <c r="Z1360">
        <v>39697.31</v>
      </c>
      <c r="AA1360">
        <v>40079.089999999997</v>
      </c>
      <c r="AB1360" s="12" t="s">
        <v>444</v>
      </c>
      <c r="AC1360">
        <v>610.72789999999998</v>
      </c>
      <c r="AD1360">
        <v>1</v>
      </c>
      <c r="AE1360">
        <v>1</v>
      </c>
      <c r="AF1360">
        <v>0</v>
      </c>
      <c r="AG1360">
        <v>39697.31</v>
      </c>
      <c r="AH1360">
        <v>65</v>
      </c>
      <c r="AI1360">
        <v>65</v>
      </c>
      <c r="AJ1360">
        <v>0</v>
      </c>
      <c r="AK1360">
        <v>1</v>
      </c>
      <c r="AL1360">
        <v>1</v>
      </c>
      <c r="AM1360">
        <v>100</v>
      </c>
      <c r="AN1360">
        <v>616.60140000000001</v>
      </c>
      <c r="AO1360">
        <v>0</v>
      </c>
      <c r="AP1360" s="13">
        <v>45242</v>
      </c>
      <c r="AQ1360">
        <v>-3</v>
      </c>
      <c r="AR1360">
        <v>1</v>
      </c>
    </row>
    <row r="1361" spans="1:44" x14ac:dyDescent="0.35">
      <c r="A1361" s="12" t="s">
        <v>2046</v>
      </c>
      <c r="B1361" s="12" t="s">
        <v>451</v>
      </c>
      <c r="C1361" s="12" t="s">
        <v>452</v>
      </c>
      <c r="D1361" s="12" t="s">
        <v>175</v>
      </c>
      <c r="E1361" s="12" t="s">
        <v>104</v>
      </c>
      <c r="F1361">
        <v>3</v>
      </c>
      <c r="G1361">
        <v>1</v>
      </c>
      <c r="H1361">
        <v>0</v>
      </c>
      <c r="I1361" s="12" t="s">
        <v>359</v>
      </c>
      <c r="J1361" s="12" t="s">
        <v>360</v>
      </c>
      <c r="K1361" s="12" t="s">
        <v>133</v>
      </c>
      <c r="L1361" s="12" t="s">
        <v>82</v>
      </c>
      <c r="M1361">
        <v>12.65</v>
      </c>
      <c r="N1361" s="12" t="s">
        <v>107</v>
      </c>
      <c r="O1361" s="12" t="s">
        <v>108</v>
      </c>
      <c r="P1361" s="12" t="s">
        <v>109</v>
      </c>
      <c r="Q1361" s="13">
        <v>45217</v>
      </c>
      <c r="R1361" s="13">
        <v>45237</v>
      </c>
      <c r="S1361">
        <v>2023</v>
      </c>
      <c r="T1361" s="12" t="s">
        <v>1926</v>
      </c>
      <c r="U1361">
        <v>73</v>
      </c>
      <c r="V1361">
        <v>254.15530000000001</v>
      </c>
      <c r="W1361">
        <v>462.7</v>
      </c>
      <c r="X1361">
        <v>0</v>
      </c>
      <c r="Y1361">
        <v>0</v>
      </c>
      <c r="Z1361">
        <v>18553.34</v>
      </c>
      <c r="AA1361">
        <v>19016.04</v>
      </c>
      <c r="AB1361" s="12" t="s">
        <v>627</v>
      </c>
      <c r="AC1361">
        <v>254.15530000000001</v>
      </c>
      <c r="AD1361">
        <v>1</v>
      </c>
      <c r="AE1361">
        <v>1</v>
      </c>
      <c r="AF1361">
        <v>0</v>
      </c>
      <c r="AG1361">
        <v>18553.34</v>
      </c>
      <c r="AH1361">
        <v>73</v>
      </c>
      <c r="AI1361">
        <v>72</v>
      </c>
      <c r="AJ1361">
        <v>1</v>
      </c>
      <c r="AK1361">
        <v>1</v>
      </c>
      <c r="AL1361">
        <v>1</v>
      </c>
      <c r="AM1361">
        <v>98.63</v>
      </c>
      <c r="AN1361">
        <v>264.11160000000001</v>
      </c>
      <c r="AO1361">
        <v>254.16</v>
      </c>
      <c r="AP1361" s="13">
        <v>45235</v>
      </c>
      <c r="AQ1361">
        <v>-2</v>
      </c>
      <c r="AR1361">
        <v>1</v>
      </c>
    </row>
    <row r="1362" spans="1:44" x14ac:dyDescent="0.35">
      <c r="A1362" s="12" t="s">
        <v>2047</v>
      </c>
      <c r="B1362" s="12" t="s">
        <v>255</v>
      </c>
      <c r="C1362" s="12" t="s">
        <v>256</v>
      </c>
      <c r="D1362" s="12" t="s">
        <v>103</v>
      </c>
      <c r="E1362" s="12" t="s">
        <v>65</v>
      </c>
      <c r="F1362">
        <v>2</v>
      </c>
      <c r="G1362">
        <v>4</v>
      </c>
      <c r="H1362">
        <v>0</v>
      </c>
      <c r="I1362" s="12" t="s">
        <v>143</v>
      </c>
      <c r="J1362" s="12" t="s">
        <v>144</v>
      </c>
      <c r="K1362" s="12" t="s">
        <v>133</v>
      </c>
      <c r="L1362" s="12" t="s">
        <v>96</v>
      </c>
      <c r="M1362">
        <v>5.43</v>
      </c>
      <c r="N1362" s="12" t="s">
        <v>107</v>
      </c>
      <c r="O1362" s="12" t="s">
        <v>108</v>
      </c>
      <c r="P1362" s="12" t="s">
        <v>109</v>
      </c>
      <c r="Q1362" s="13">
        <v>45217</v>
      </c>
      <c r="R1362" s="13">
        <v>45243</v>
      </c>
      <c r="S1362">
        <v>2023</v>
      </c>
      <c r="T1362" s="12" t="s">
        <v>1926</v>
      </c>
      <c r="U1362">
        <v>49</v>
      </c>
      <c r="V1362">
        <v>95.085700000000003</v>
      </c>
      <c r="W1362">
        <v>116.81</v>
      </c>
      <c r="X1362">
        <v>0</v>
      </c>
      <c r="Y1362">
        <v>0</v>
      </c>
      <c r="Z1362">
        <v>4659.2</v>
      </c>
      <c r="AA1362">
        <v>4776.01</v>
      </c>
      <c r="AB1362" s="12" t="s">
        <v>366</v>
      </c>
      <c r="AC1362">
        <v>95.085700000000003</v>
      </c>
      <c r="AD1362">
        <v>1</v>
      </c>
      <c r="AE1362">
        <v>1</v>
      </c>
      <c r="AF1362">
        <v>0</v>
      </c>
      <c r="AG1362">
        <v>4659.2</v>
      </c>
      <c r="AH1362">
        <v>49</v>
      </c>
      <c r="AI1362">
        <v>48</v>
      </c>
      <c r="AJ1362">
        <v>1</v>
      </c>
      <c r="AK1362">
        <v>1</v>
      </c>
      <c r="AL1362">
        <v>1</v>
      </c>
      <c r="AM1362">
        <v>97.96</v>
      </c>
      <c r="AN1362">
        <v>99.500200000000007</v>
      </c>
      <c r="AO1362">
        <v>95.09</v>
      </c>
      <c r="AP1362" s="13">
        <v>45243</v>
      </c>
      <c r="AQ1362">
        <v>0</v>
      </c>
      <c r="AR1362">
        <v>1</v>
      </c>
    </row>
    <row r="1363" spans="1:44" x14ac:dyDescent="0.35">
      <c r="A1363" s="12" t="s">
        <v>2048</v>
      </c>
      <c r="B1363" s="12" t="s">
        <v>941</v>
      </c>
      <c r="C1363" s="12" t="s">
        <v>942</v>
      </c>
      <c r="D1363" s="12" t="s">
        <v>130</v>
      </c>
      <c r="E1363" s="12" t="s">
        <v>104</v>
      </c>
      <c r="F1363">
        <v>2</v>
      </c>
      <c r="G1363">
        <v>0</v>
      </c>
      <c r="H1363">
        <v>0</v>
      </c>
      <c r="I1363" s="12" t="s">
        <v>131</v>
      </c>
      <c r="J1363" s="12" t="s">
        <v>132</v>
      </c>
      <c r="K1363" s="12" t="s">
        <v>133</v>
      </c>
      <c r="L1363" s="12" t="s">
        <v>134</v>
      </c>
      <c r="M1363">
        <v>1.51</v>
      </c>
      <c r="N1363" s="12" t="s">
        <v>135</v>
      </c>
      <c r="O1363" s="12" t="s">
        <v>136</v>
      </c>
      <c r="P1363" s="12" t="s">
        <v>137</v>
      </c>
      <c r="Q1363" s="13">
        <v>45217</v>
      </c>
      <c r="R1363" s="13">
        <v>45242</v>
      </c>
      <c r="S1363">
        <v>2023</v>
      </c>
      <c r="T1363" s="12" t="s">
        <v>1926</v>
      </c>
      <c r="U1363">
        <v>112</v>
      </c>
      <c r="V1363">
        <v>990.29020000000003</v>
      </c>
      <c r="W1363">
        <v>1818.27</v>
      </c>
      <c r="X1363">
        <v>0</v>
      </c>
      <c r="Y1363">
        <v>0</v>
      </c>
      <c r="Z1363">
        <v>110912.5</v>
      </c>
      <c r="AA1363">
        <v>112730.77</v>
      </c>
      <c r="AB1363" s="12" t="s">
        <v>943</v>
      </c>
      <c r="AC1363">
        <v>990.29020000000003</v>
      </c>
      <c r="AD1363">
        <v>1</v>
      </c>
      <c r="AE1363">
        <v>1</v>
      </c>
      <c r="AF1363">
        <v>0</v>
      </c>
      <c r="AG1363">
        <v>110912.5</v>
      </c>
      <c r="AH1363">
        <v>112</v>
      </c>
      <c r="AI1363">
        <v>100</v>
      </c>
      <c r="AJ1363">
        <v>12</v>
      </c>
      <c r="AK1363">
        <v>1</v>
      </c>
      <c r="AL1363">
        <v>1</v>
      </c>
      <c r="AM1363">
        <v>89.29</v>
      </c>
      <c r="AN1363">
        <v>1127.3077000000001</v>
      </c>
      <c r="AO1363">
        <v>11883.48</v>
      </c>
      <c r="AP1363" s="13">
        <v>45244</v>
      </c>
      <c r="AQ1363">
        <v>2</v>
      </c>
      <c r="AR1363">
        <v>0</v>
      </c>
    </row>
    <row r="1364" spans="1:44" x14ac:dyDescent="0.35">
      <c r="A1364" s="12" t="s">
        <v>2049</v>
      </c>
      <c r="B1364" s="12" t="s">
        <v>293</v>
      </c>
      <c r="C1364" s="12" t="s">
        <v>294</v>
      </c>
      <c r="D1364" s="12" t="s">
        <v>114</v>
      </c>
      <c r="E1364" s="12" t="s">
        <v>142</v>
      </c>
      <c r="F1364">
        <v>1</v>
      </c>
      <c r="G1364">
        <v>6</v>
      </c>
      <c r="H1364">
        <v>1</v>
      </c>
      <c r="I1364" s="12" t="s">
        <v>195</v>
      </c>
      <c r="J1364" s="12" t="s">
        <v>196</v>
      </c>
      <c r="K1364" s="12" t="s">
        <v>117</v>
      </c>
      <c r="L1364" s="12" t="s">
        <v>134</v>
      </c>
      <c r="M1364">
        <v>4.7699999999999996</v>
      </c>
      <c r="N1364" s="12" t="s">
        <v>97</v>
      </c>
      <c r="O1364" s="12" t="s">
        <v>98</v>
      </c>
      <c r="P1364" s="12" t="s">
        <v>72</v>
      </c>
      <c r="Q1364" s="13">
        <v>45217</v>
      </c>
      <c r="R1364" s="13">
        <v>45262</v>
      </c>
      <c r="S1364">
        <v>2023</v>
      </c>
      <c r="T1364" s="12" t="s">
        <v>1926</v>
      </c>
      <c r="U1364">
        <v>89</v>
      </c>
      <c r="V1364">
        <v>206.0489</v>
      </c>
      <c r="W1364">
        <v>257.39</v>
      </c>
      <c r="X1364">
        <v>598.13</v>
      </c>
      <c r="Y1364">
        <v>1</v>
      </c>
      <c r="Z1364">
        <v>18338.349999999999</v>
      </c>
      <c r="AA1364">
        <v>19193.87</v>
      </c>
      <c r="AB1364" s="12" t="s">
        <v>295</v>
      </c>
      <c r="AC1364">
        <v>206.0489</v>
      </c>
      <c r="AD1364">
        <v>1</v>
      </c>
      <c r="AE1364">
        <v>1</v>
      </c>
      <c r="AF1364">
        <v>0</v>
      </c>
      <c r="AG1364">
        <v>18338.349999999999</v>
      </c>
      <c r="AH1364">
        <v>89</v>
      </c>
      <c r="AI1364">
        <v>87</v>
      </c>
      <c r="AJ1364">
        <v>2</v>
      </c>
      <c r="AK1364">
        <v>1</v>
      </c>
      <c r="AL1364">
        <v>1</v>
      </c>
      <c r="AM1364">
        <v>97.75</v>
      </c>
      <c r="AN1364">
        <v>220.61920000000001</v>
      </c>
      <c r="AO1364">
        <v>412.1</v>
      </c>
      <c r="AP1364" s="13">
        <v>45262</v>
      </c>
      <c r="AQ1364">
        <v>0</v>
      </c>
      <c r="AR1364">
        <v>1</v>
      </c>
    </row>
    <row r="1365" spans="1:44" x14ac:dyDescent="0.35">
      <c r="A1365" s="12" t="s">
        <v>2050</v>
      </c>
      <c r="B1365" s="12" t="s">
        <v>1433</v>
      </c>
      <c r="C1365" s="12" t="s">
        <v>1434</v>
      </c>
      <c r="D1365" s="12" t="s">
        <v>269</v>
      </c>
      <c r="E1365" s="12" t="s">
        <v>65</v>
      </c>
      <c r="F1365">
        <v>3</v>
      </c>
      <c r="G1365">
        <v>5</v>
      </c>
      <c r="H1365">
        <v>0</v>
      </c>
      <c r="I1365" s="12" t="s">
        <v>223</v>
      </c>
      <c r="J1365" s="12" t="s">
        <v>224</v>
      </c>
      <c r="K1365" s="12" t="s">
        <v>81</v>
      </c>
      <c r="L1365" s="12" t="s">
        <v>134</v>
      </c>
      <c r="M1365">
        <v>2.4900000000000002</v>
      </c>
      <c r="N1365" s="12" t="s">
        <v>135</v>
      </c>
      <c r="O1365" s="12" t="s">
        <v>136</v>
      </c>
      <c r="P1365" s="12" t="s">
        <v>137</v>
      </c>
      <c r="Q1365" s="13">
        <v>45217</v>
      </c>
      <c r="R1365" s="13">
        <v>45246</v>
      </c>
      <c r="S1365">
        <v>2023</v>
      </c>
      <c r="T1365" s="12" t="s">
        <v>1926</v>
      </c>
      <c r="U1365">
        <v>72</v>
      </c>
      <c r="V1365">
        <v>457.42090000000002</v>
      </c>
      <c r="W1365">
        <v>567.41999999999996</v>
      </c>
      <c r="X1365">
        <v>0</v>
      </c>
      <c r="Y1365">
        <v>0</v>
      </c>
      <c r="Z1365">
        <v>32934.300000000003</v>
      </c>
      <c r="AA1365">
        <v>33501.72</v>
      </c>
      <c r="AB1365" s="12" t="s">
        <v>1435</v>
      </c>
      <c r="AC1365">
        <v>457.42090000000002</v>
      </c>
      <c r="AD1365">
        <v>1</v>
      </c>
      <c r="AE1365">
        <v>1</v>
      </c>
      <c r="AF1365">
        <v>0</v>
      </c>
      <c r="AG1365">
        <v>32934.300000000003</v>
      </c>
      <c r="AH1365">
        <v>72</v>
      </c>
      <c r="AI1365">
        <v>71</v>
      </c>
      <c r="AJ1365">
        <v>1</v>
      </c>
      <c r="AK1365">
        <v>1</v>
      </c>
      <c r="AL1365">
        <v>1</v>
      </c>
      <c r="AM1365">
        <v>98.61</v>
      </c>
      <c r="AN1365">
        <v>471.8553</v>
      </c>
      <c r="AO1365">
        <v>457.42</v>
      </c>
      <c r="AP1365" s="13">
        <v>45245</v>
      </c>
      <c r="AQ1365">
        <v>-1</v>
      </c>
      <c r="AR1365">
        <v>1</v>
      </c>
    </row>
    <row r="1366" spans="1:44" x14ac:dyDescent="0.35">
      <c r="A1366" s="12" t="s">
        <v>2051</v>
      </c>
      <c r="B1366" s="12" t="s">
        <v>674</v>
      </c>
      <c r="C1366" s="12" t="s">
        <v>675</v>
      </c>
      <c r="D1366" s="12" t="s">
        <v>269</v>
      </c>
      <c r="E1366" s="12" t="s">
        <v>142</v>
      </c>
      <c r="F1366">
        <v>1</v>
      </c>
      <c r="G1366">
        <v>7</v>
      </c>
      <c r="H1366">
        <v>1</v>
      </c>
      <c r="I1366" s="12" t="s">
        <v>676</v>
      </c>
      <c r="J1366" s="12" t="s">
        <v>677</v>
      </c>
      <c r="K1366" s="12" t="s">
        <v>68</v>
      </c>
      <c r="L1366" s="12" t="s">
        <v>96</v>
      </c>
      <c r="M1366">
        <v>3.57</v>
      </c>
      <c r="N1366" s="12" t="s">
        <v>159</v>
      </c>
      <c r="O1366" s="12" t="s">
        <v>160</v>
      </c>
      <c r="P1366" s="12" t="s">
        <v>137</v>
      </c>
      <c r="Q1366" s="13">
        <v>45218</v>
      </c>
      <c r="R1366" s="13">
        <v>45263</v>
      </c>
      <c r="S1366">
        <v>2023</v>
      </c>
      <c r="T1366" s="12" t="s">
        <v>1926</v>
      </c>
      <c r="U1366">
        <v>95</v>
      </c>
      <c r="V1366">
        <v>355.32960000000003</v>
      </c>
      <c r="W1366">
        <v>422.17</v>
      </c>
      <c r="X1366">
        <v>0</v>
      </c>
      <c r="Y1366">
        <v>0</v>
      </c>
      <c r="Z1366">
        <v>33756.31</v>
      </c>
      <c r="AA1366">
        <v>34178.480000000003</v>
      </c>
      <c r="AB1366" s="12" t="s">
        <v>678</v>
      </c>
      <c r="AC1366">
        <v>355.32960000000003</v>
      </c>
      <c r="AD1366">
        <v>1</v>
      </c>
      <c r="AE1366">
        <v>1</v>
      </c>
      <c r="AF1366">
        <v>0</v>
      </c>
      <c r="AG1366">
        <v>33756.31</v>
      </c>
      <c r="AH1366">
        <v>95</v>
      </c>
      <c r="AI1366">
        <v>94</v>
      </c>
      <c r="AJ1366">
        <v>1</v>
      </c>
      <c r="AK1366">
        <v>1</v>
      </c>
      <c r="AL1366">
        <v>1</v>
      </c>
      <c r="AM1366">
        <v>98.95</v>
      </c>
      <c r="AN1366">
        <v>363.60090000000002</v>
      </c>
      <c r="AO1366">
        <v>355.33</v>
      </c>
      <c r="AP1366" s="13">
        <v>45263</v>
      </c>
      <c r="AQ1366">
        <v>0</v>
      </c>
      <c r="AR1366">
        <v>1</v>
      </c>
    </row>
    <row r="1367" spans="1:44" x14ac:dyDescent="0.35">
      <c r="A1367" s="12" t="s">
        <v>2052</v>
      </c>
      <c r="B1367" s="12" t="s">
        <v>404</v>
      </c>
      <c r="C1367" s="12" t="s">
        <v>405</v>
      </c>
      <c r="D1367" s="12" t="s">
        <v>269</v>
      </c>
      <c r="E1367" s="12" t="s">
        <v>65</v>
      </c>
      <c r="F1367">
        <v>3</v>
      </c>
      <c r="G1367">
        <v>5</v>
      </c>
      <c r="H1367">
        <v>0</v>
      </c>
      <c r="I1367" s="12" t="s">
        <v>79</v>
      </c>
      <c r="J1367" s="12" t="s">
        <v>80</v>
      </c>
      <c r="K1367" s="12" t="s">
        <v>81</v>
      </c>
      <c r="L1367" s="12" t="s">
        <v>82</v>
      </c>
      <c r="M1367">
        <v>12.07</v>
      </c>
      <c r="N1367" s="12" t="s">
        <v>135</v>
      </c>
      <c r="O1367" s="12" t="s">
        <v>136</v>
      </c>
      <c r="P1367" s="12" t="s">
        <v>137</v>
      </c>
      <c r="Q1367" s="13">
        <v>45218</v>
      </c>
      <c r="R1367" s="13">
        <v>45245</v>
      </c>
      <c r="S1367">
        <v>2023</v>
      </c>
      <c r="T1367" s="12" t="s">
        <v>1926</v>
      </c>
      <c r="U1367">
        <v>62</v>
      </c>
      <c r="V1367">
        <v>430.41070000000002</v>
      </c>
      <c r="W1367">
        <v>619.38</v>
      </c>
      <c r="X1367">
        <v>0</v>
      </c>
      <c r="Y1367">
        <v>0</v>
      </c>
      <c r="Z1367">
        <v>26685.46</v>
      </c>
      <c r="AA1367">
        <v>27304.84</v>
      </c>
      <c r="AB1367" s="12" t="s">
        <v>406</v>
      </c>
      <c r="AC1367">
        <v>430.41070000000002</v>
      </c>
      <c r="AD1367">
        <v>1</v>
      </c>
      <c r="AE1367">
        <v>1</v>
      </c>
      <c r="AF1367">
        <v>0</v>
      </c>
      <c r="AG1367">
        <v>26685.46</v>
      </c>
      <c r="AH1367">
        <v>62</v>
      </c>
      <c r="AI1367">
        <v>62</v>
      </c>
      <c r="AJ1367">
        <v>0</v>
      </c>
      <c r="AK1367">
        <v>1</v>
      </c>
      <c r="AL1367">
        <v>1</v>
      </c>
      <c r="AM1367">
        <v>100</v>
      </c>
      <c r="AN1367">
        <v>440.40069999999997</v>
      </c>
      <c r="AO1367">
        <v>0</v>
      </c>
      <c r="AP1367" s="13">
        <v>45245</v>
      </c>
      <c r="AQ1367">
        <v>0</v>
      </c>
      <c r="AR1367">
        <v>1</v>
      </c>
    </row>
    <row r="1368" spans="1:44" x14ac:dyDescent="0.35">
      <c r="A1368" s="12" t="s">
        <v>2053</v>
      </c>
      <c r="B1368" s="12" t="s">
        <v>395</v>
      </c>
      <c r="C1368" s="12" t="s">
        <v>396</v>
      </c>
      <c r="D1368" s="12" t="s">
        <v>130</v>
      </c>
      <c r="E1368" s="12" t="s">
        <v>104</v>
      </c>
      <c r="F1368">
        <v>3</v>
      </c>
      <c r="G1368">
        <v>1</v>
      </c>
      <c r="H1368">
        <v>0</v>
      </c>
      <c r="I1368" s="12" t="s">
        <v>804</v>
      </c>
      <c r="J1368" s="12" t="s">
        <v>342</v>
      </c>
      <c r="K1368" s="12" t="s">
        <v>117</v>
      </c>
      <c r="L1368" s="12" t="s">
        <v>69</v>
      </c>
      <c r="M1368">
        <v>30.07</v>
      </c>
      <c r="N1368" s="12" t="s">
        <v>159</v>
      </c>
      <c r="O1368" s="12" t="s">
        <v>160</v>
      </c>
      <c r="P1368" s="12" t="s">
        <v>137</v>
      </c>
      <c r="Q1368" s="13">
        <v>45218</v>
      </c>
      <c r="R1368" s="13">
        <v>45237</v>
      </c>
      <c r="S1368">
        <v>2023</v>
      </c>
      <c r="T1368" s="12" t="s">
        <v>1926</v>
      </c>
      <c r="U1368">
        <v>71</v>
      </c>
      <c r="V1368">
        <v>201.666</v>
      </c>
      <c r="W1368">
        <v>289.66000000000003</v>
      </c>
      <c r="X1368">
        <v>0</v>
      </c>
      <c r="Y1368">
        <v>0</v>
      </c>
      <c r="Z1368">
        <v>14318.29</v>
      </c>
      <c r="AA1368">
        <v>14607.95</v>
      </c>
      <c r="AB1368" s="12" t="s">
        <v>907</v>
      </c>
      <c r="AC1368">
        <v>190.43799999999999</v>
      </c>
      <c r="AD1368">
        <v>1</v>
      </c>
      <c r="AE1368">
        <v>1</v>
      </c>
      <c r="AF1368">
        <v>797.19</v>
      </c>
      <c r="AG1368">
        <v>13521.1</v>
      </c>
      <c r="AH1368">
        <v>71</v>
      </c>
      <c r="AI1368">
        <v>70</v>
      </c>
      <c r="AJ1368">
        <v>1</v>
      </c>
      <c r="AK1368">
        <v>1</v>
      </c>
      <c r="AL1368">
        <v>1</v>
      </c>
      <c r="AM1368">
        <v>98.59</v>
      </c>
      <c r="AN1368">
        <v>208.6849</v>
      </c>
      <c r="AO1368">
        <v>201.67</v>
      </c>
      <c r="AP1368" s="13">
        <v>45234</v>
      </c>
      <c r="AQ1368">
        <v>-3</v>
      </c>
      <c r="AR1368">
        <v>1</v>
      </c>
    </row>
    <row r="1369" spans="1:44" x14ac:dyDescent="0.35">
      <c r="A1369" s="12" t="s">
        <v>2054</v>
      </c>
      <c r="B1369" s="12" t="s">
        <v>1068</v>
      </c>
      <c r="C1369" s="12" t="s">
        <v>1069</v>
      </c>
      <c r="D1369" s="12" t="s">
        <v>122</v>
      </c>
      <c r="E1369" s="12" t="s">
        <v>65</v>
      </c>
      <c r="F1369">
        <v>2</v>
      </c>
      <c r="G1369">
        <v>2</v>
      </c>
      <c r="H1369">
        <v>0</v>
      </c>
      <c r="I1369" s="12" t="s">
        <v>79</v>
      </c>
      <c r="J1369" s="12" t="s">
        <v>80</v>
      </c>
      <c r="K1369" s="12" t="s">
        <v>81</v>
      </c>
      <c r="L1369" s="12" t="s">
        <v>82</v>
      </c>
      <c r="M1369">
        <v>12.07</v>
      </c>
      <c r="N1369" s="12" t="s">
        <v>70</v>
      </c>
      <c r="O1369" s="12" t="s">
        <v>71</v>
      </c>
      <c r="P1369" s="12" t="s">
        <v>72</v>
      </c>
      <c r="Q1369" s="13">
        <v>45218</v>
      </c>
      <c r="R1369" s="13">
        <v>45245</v>
      </c>
      <c r="S1369">
        <v>2023</v>
      </c>
      <c r="T1369" s="12" t="s">
        <v>1926</v>
      </c>
      <c r="U1369">
        <v>893</v>
      </c>
      <c r="V1369">
        <v>21.667100000000001</v>
      </c>
      <c r="W1369">
        <v>409.84</v>
      </c>
      <c r="X1369">
        <v>0</v>
      </c>
      <c r="Y1369">
        <v>0</v>
      </c>
      <c r="Z1369">
        <v>19348.72</v>
      </c>
      <c r="AA1369">
        <v>19758.560000000001</v>
      </c>
      <c r="AB1369" s="12" t="s">
        <v>1070</v>
      </c>
      <c r="AC1369">
        <v>21.667100000000001</v>
      </c>
      <c r="AD1369">
        <v>1</v>
      </c>
      <c r="AE1369">
        <v>1</v>
      </c>
      <c r="AF1369">
        <v>0</v>
      </c>
      <c r="AG1369">
        <v>19348.72</v>
      </c>
      <c r="AH1369">
        <v>893</v>
      </c>
      <c r="AI1369">
        <v>887</v>
      </c>
      <c r="AJ1369">
        <v>6</v>
      </c>
      <c r="AK1369">
        <v>1</v>
      </c>
      <c r="AL1369">
        <v>1</v>
      </c>
      <c r="AM1369">
        <v>99.33</v>
      </c>
      <c r="AN1369">
        <v>22.275700000000001</v>
      </c>
      <c r="AO1369">
        <v>130</v>
      </c>
      <c r="AP1369" s="13">
        <v>45244</v>
      </c>
      <c r="AQ1369">
        <v>-1</v>
      </c>
      <c r="AR1369">
        <v>1</v>
      </c>
    </row>
    <row r="1370" spans="1:44" x14ac:dyDescent="0.35">
      <c r="A1370" s="12" t="s">
        <v>2055</v>
      </c>
      <c r="B1370" s="12" t="s">
        <v>155</v>
      </c>
      <c r="C1370" s="12" t="s">
        <v>156</v>
      </c>
      <c r="D1370" s="12" t="s">
        <v>130</v>
      </c>
      <c r="E1370" s="12" t="s">
        <v>104</v>
      </c>
      <c r="F1370">
        <v>3</v>
      </c>
      <c r="G1370">
        <v>1</v>
      </c>
      <c r="H1370">
        <v>0</v>
      </c>
      <c r="I1370" s="12" t="s">
        <v>157</v>
      </c>
      <c r="J1370" s="12" t="s">
        <v>158</v>
      </c>
      <c r="K1370" s="12" t="s">
        <v>117</v>
      </c>
      <c r="L1370" s="12" t="s">
        <v>96</v>
      </c>
      <c r="M1370">
        <v>4.72</v>
      </c>
      <c r="N1370" s="12" t="s">
        <v>135</v>
      </c>
      <c r="O1370" s="12" t="s">
        <v>136</v>
      </c>
      <c r="P1370" s="12" t="s">
        <v>137</v>
      </c>
      <c r="Q1370" s="13">
        <v>45218</v>
      </c>
      <c r="R1370" s="13">
        <v>45233</v>
      </c>
      <c r="S1370">
        <v>2023</v>
      </c>
      <c r="T1370" s="12" t="s">
        <v>1926</v>
      </c>
      <c r="U1370">
        <v>38</v>
      </c>
      <c r="V1370">
        <v>206.28880000000001</v>
      </c>
      <c r="W1370">
        <v>167.66</v>
      </c>
      <c r="X1370">
        <v>0</v>
      </c>
      <c r="Y1370">
        <v>0</v>
      </c>
      <c r="Z1370">
        <v>7838.97</v>
      </c>
      <c r="AA1370">
        <v>8006.63</v>
      </c>
      <c r="AB1370" s="12" t="s">
        <v>161</v>
      </c>
      <c r="AC1370">
        <v>206.28880000000001</v>
      </c>
      <c r="AD1370">
        <v>1</v>
      </c>
      <c r="AE1370">
        <v>1</v>
      </c>
      <c r="AF1370">
        <v>0</v>
      </c>
      <c r="AG1370">
        <v>7838.97</v>
      </c>
      <c r="AH1370">
        <v>38</v>
      </c>
      <c r="AI1370">
        <v>38</v>
      </c>
      <c r="AJ1370">
        <v>0</v>
      </c>
      <c r="AK1370">
        <v>1</v>
      </c>
      <c r="AL1370">
        <v>1</v>
      </c>
      <c r="AM1370">
        <v>100</v>
      </c>
      <c r="AN1370">
        <v>210.70089999999999</v>
      </c>
      <c r="AO1370">
        <v>0</v>
      </c>
      <c r="AP1370" s="13">
        <v>45233</v>
      </c>
      <c r="AQ1370">
        <v>0</v>
      </c>
      <c r="AR1370">
        <v>1</v>
      </c>
    </row>
    <row r="1371" spans="1:44" x14ac:dyDescent="0.35">
      <c r="A1371" s="12" t="s">
        <v>2056</v>
      </c>
      <c r="B1371" s="12" t="s">
        <v>809</v>
      </c>
      <c r="C1371" s="12" t="s">
        <v>810</v>
      </c>
      <c r="D1371" s="12" t="s">
        <v>114</v>
      </c>
      <c r="E1371" s="12" t="s">
        <v>65</v>
      </c>
      <c r="F1371">
        <v>3</v>
      </c>
      <c r="G1371">
        <v>5</v>
      </c>
      <c r="H1371">
        <v>0</v>
      </c>
      <c r="I1371" s="12" t="s">
        <v>811</v>
      </c>
      <c r="J1371" s="12" t="s">
        <v>812</v>
      </c>
      <c r="K1371" s="12" t="s">
        <v>117</v>
      </c>
      <c r="L1371" s="12" t="s">
        <v>69</v>
      </c>
      <c r="M1371">
        <v>26.4</v>
      </c>
      <c r="N1371" s="12" t="s">
        <v>97</v>
      </c>
      <c r="O1371" s="12" t="s">
        <v>98</v>
      </c>
      <c r="P1371" s="12" t="s">
        <v>72</v>
      </c>
      <c r="Q1371" s="13">
        <v>45218</v>
      </c>
      <c r="R1371" s="13">
        <v>45240</v>
      </c>
      <c r="S1371">
        <v>2023</v>
      </c>
      <c r="T1371" s="12" t="s">
        <v>1926</v>
      </c>
      <c r="U1371">
        <v>22</v>
      </c>
      <c r="V1371">
        <v>323.22789999999998</v>
      </c>
      <c r="W1371">
        <v>178.83</v>
      </c>
      <c r="X1371">
        <v>0</v>
      </c>
      <c r="Y1371">
        <v>0</v>
      </c>
      <c r="Z1371">
        <v>7111.01</v>
      </c>
      <c r="AA1371">
        <v>7289.84</v>
      </c>
      <c r="AB1371" s="12" t="s">
        <v>813</v>
      </c>
      <c r="AC1371">
        <v>323.22789999999998</v>
      </c>
      <c r="AD1371">
        <v>1</v>
      </c>
      <c r="AE1371">
        <v>1</v>
      </c>
      <c r="AF1371">
        <v>0</v>
      </c>
      <c r="AG1371">
        <v>7111.01</v>
      </c>
      <c r="AH1371">
        <v>22</v>
      </c>
      <c r="AI1371">
        <v>22</v>
      </c>
      <c r="AJ1371">
        <v>0</v>
      </c>
      <c r="AK1371">
        <v>1</v>
      </c>
      <c r="AL1371">
        <v>1</v>
      </c>
      <c r="AM1371">
        <v>100</v>
      </c>
      <c r="AN1371">
        <v>331.35649999999998</v>
      </c>
      <c r="AO1371">
        <v>0</v>
      </c>
      <c r="AP1371" s="13">
        <v>45238</v>
      </c>
      <c r="AQ1371">
        <v>-2</v>
      </c>
      <c r="AR1371">
        <v>1</v>
      </c>
    </row>
    <row r="1372" spans="1:44" x14ac:dyDescent="0.35">
      <c r="A1372" s="12" t="s">
        <v>2057</v>
      </c>
      <c r="B1372" s="12" t="s">
        <v>458</v>
      </c>
      <c r="C1372" s="12" t="s">
        <v>459</v>
      </c>
      <c r="D1372" s="12" t="s">
        <v>64</v>
      </c>
      <c r="E1372" s="12" t="s">
        <v>104</v>
      </c>
      <c r="F1372">
        <v>2</v>
      </c>
      <c r="G1372">
        <v>0</v>
      </c>
      <c r="H1372">
        <v>0</v>
      </c>
      <c r="I1372" s="12" t="s">
        <v>199</v>
      </c>
      <c r="J1372" s="12" t="s">
        <v>200</v>
      </c>
      <c r="K1372" s="12" t="s">
        <v>68</v>
      </c>
      <c r="L1372" s="12" t="s">
        <v>96</v>
      </c>
      <c r="M1372">
        <v>9.4700000000000006</v>
      </c>
      <c r="N1372" s="12" t="s">
        <v>97</v>
      </c>
      <c r="O1372" s="12" t="s">
        <v>98</v>
      </c>
      <c r="P1372" s="12" t="s">
        <v>72</v>
      </c>
      <c r="Q1372" s="13">
        <v>45218</v>
      </c>
      <c r="R1372" s="13">
        <v>45236</v>
      </c>
      <c r="S1372">
        <v>2023</v>
      </c>
      <c r="T1372" s="12" t="s">
        <v>1926</v>
      </c>
      <c r="U1372">
        <v>442</v>
      </c>
      <c r="V1372">
        <v>24.782299999999999</v>
      </c>
      <c r="W1372">
        <v>209.56</v>
      </c>
      <c r="X1372">
        <v>0</v>
      </c>
      <c r="Y1372">
        <v>0</v>
      </c>
      <c r="Z1372">
        <v>10953.78</v>
      </c>
      <c r="AA1372">
        <v>11163.34</v>
      </c>
      <c r="AB1372" s="12" t="s">
        <v>460</v>
      </c>
      <c r="AC1372">
        <v>24.782299999999999</v>
      </c>
      <c r="AD1372">
        <v>1</v>
      </c>
      <c r="AE1372">
        <v>1</v>
      </c>
      <c r="AF1372">
        <v>0</v>
      </c>
      <c r="AG1372">
        <v>10953.78</v>
      </c>
      <c r="AH1372">
        <v>442</v>
      </c>
      <c r="AI1372">
        <v>439</v>
      </c>
      <c r="AJ1372">
        <v>3</v>
      </c>
      <c r="AK1372">
        <v>1</v>
      </c>
      <c r="AL1372">
        <v>1</v>
      </c>
      <c r="AM1372">
        <v>99.32</v>
      </c>
      <c r="AN1372">
        <v>25.428999999999998</v>
      </c>
      <c r="AO1372">
        <v>74.349999999999994</v>
      </c>
      <c r="AP1372" s="13">
        <v>45233</v>
      </c>
      <c r="AQ1372">
        <v>-3</v>
      </c>
      <c r="AR1372">
        <v>1</v>
      </c>
    </row>
    <row r="1373" spans="1:44" x14ac:dyDescent="0.35">
      <c r="A1373" s="12" t="s">
        <v>2058</v>
      </c>
      <c r="B1373" s="12" t="s">
        <v>670</v>
      </c>
      <c r="C1373" s="12" t="s">
        <v>671</v>
      </c>
      <c r="D1373" s="12" t="s">
        <v>175</v>
      </c>
      <c r="E1373" s="12" t="s">
        <v>142</v>
      </c>
      <c r="F1373">
        <v>2</v>
      </c>
      <c r="G1373">
        <v>9</v>
      </c>
      <c r="H1373">
        <v>0</v>
      </c>
      <c r="I1373" s="12" t="s">
        <v>233</v>
      </c>
      <c r="J1373" s="12" t="s">
        <v>234</v>
      </c>
      <c r="K1373" s="12" t="s">
        <v>125</v>
      </c>
      <c r="L1373" s="12" t="s">
        <v>96</v>
      </c>
      <c r="M1373">
        <v>3.73</v>
      </c>
      <c r="N1373" s="12" t="s">
        <v>145</v>
      </c>
      <c r="O1373" s="12" t="s">
        <v>146</v>
      </c>
      <c r="P1373" s="12" t="s">
        <v>109</v>
      </c>
      <c r="Q1373" s="13">
        <v>45218</v>
      </c>
      <c r="R1373" s="13">
        <v>45260</v>
      </c>
      <c r="S1373">
        <v>2023</v>
      </c>
      <c r="T1373" s="12" t="s">
        <v>1926</v>
      </c>
      <c r="U1373">
        <v>70</v>
      </c>
      <c r="V1373">
        <v>151.31620000000001</v>
      </c>
      <c r="W1373">
        <v>244.9</v>
      </c>
      <c r="X1373">
        <v>0</v>
      </c>
      <c r="Y1373">
        <v>0</v>
      </c>
      <c r="Z1373">
        <v>10592.13</v>
      </c>
      <c r="AA1373">
        <v>10837.03</v>
      </c>
      <c r="AB1373" s="12" t="s">
        <v>672</v>
      </c>
      <c r="AC1373">
        <v>151.31620000000001</v>
      </c>
      <c r="AD1373">
        <v>1</v>
      </c>
      <c r="AE1373">
        <v>1</v>
      </c>
      <c r="AF1373">
        <v>0</v>
      </c>
      <c r="AG1373">
        <v>10592.13</v>
      </c>
      <c r="AH1373">
        <v>70</v>
      </c>
      <c r="AI1373">
        <v>70</v>
      </c>
      <c r="AJ1373">
        <v>0</v>
      </c>
      <c r="AK1373">
        <v>1</v>
      </c>
      <c r="AL1373">
        <v>1</v>
      </c>
      <c r="AM1373">
        <v>100</v>
      </c>
      <c r="AN1373">
        <v>154.81479999999999</v>
      </c>
      <c r="AO1373">
        <v>0</v>
      </c>
      <c r="AP1373" s="13">
        <v>45258</v>
      </c>
      <c r="AQ1373">
        <v>-2</v>
      </c>
      <c r="AR1373">
        <v>1</v>
      </c>
    </row>
    <row r="1374" spans="1:44" x14ac:dyDescent="0.35">
      <c r="A1374" s="12" t="s">
        <v>2059</v>
      </c>
      <c r="B1374" s="12" t="s">
        <v>293</v>
      </c>
      <c r="C1374" s="12" t="s">
        <v>294</v>
      </c>
      <c r="D1374" s="12" t="s">
        <v>114</v>
      </c>
      <c r="E1374" s="12" t="s">
        <v>142</v>
      </c>
      <c r="F1374">
        <v>1</v>
      </c>
      <c r="G1374">
        <v>6</v>
      </c>
      <c r="H1374">
        <v>1</v>
      </c>
      <c r="I1374" s="12" t="s">
        <v>195</v>
      </c>
      <c r="J1374" s="12" t="s">
        <v>196</v>
      </c>
      <c r="K1374" s="12" t="s">
        <v>117</v>
      </c>
      <c r="L1374" s="12" t="s">
        <v>134</v>
      </c>
      <c r="M1374">
        <v>4.7699999999999996</v>
      </c>
      <c r="N1374" s="12" t="s">
        <v>70</v>
      </c>
      <c r="O1374" s="12" t="s">
        <v>71</v>
      </c>
      <c r="P1374" s="12" t="s">
        <v>72</v>
      </c>
      <c r="Q1374" s="13">
        <v>45218</v>
      </c>
      <c r="R1374" s="13">
        <v>45264</v>
      </c>
      <c r="S1374">
        <v>2023</v>
      </c>
      <c r="T1374" s="12" t="s">
        <v>1926</v>
      </c>
      <c r="U1374">
        <v>103</v>
      </c>
      <c r="V1374">
        <v>206.0489</v>
      </c>
      <c r="W1374">
        <v>262.93</v>
      </c>
      <c r="X1374">
        <v>0</v>
      </c>
      <c r="Y1374">
        <v>0</v>
      </c>
      <c r="Z1374">
        <v>21223.040000000001</v>
      </c>
      <c r="AA1374">
        <v>21485.97</v>
      </c>
      <c r="AB1374" s="12" t="s">
        <v>295</v>
      </c>
      <c r="AC1374">
        <v>206.0489</v>
      </c>
      <c r="AD1374">
        <v>1</v>
      </c>
      <c r="AE1374">
        <v>1</v>
      </c>
      <c r="AF1374">
        <v>0</v>
      </c>
      <c r="AG1374">
        <v>21223.040000000001</v>
      </c>
      <c r="AH1374">
        <v>103</v>
      </c>
      <c r="AI1374">
        <v>101</v>
      </c>
      <c r="AJ1374">
        <v>2</v>
      </c>
      <c r="AK1374">
        <v>1</v>
      </c>
      <c r="AL1374">
        <v>1</v>
      </c>
      <c r="AM1374">
        <v>98.06</v>
      </c>
      <c r="AN1374">
        <v>212.73230000000001</v>
      </c>
      <c r="AO1374">
        <v>412.1</v>
      </c>
      <c r="AP1374" s="13">
        <v>45264</v>
      </c>
      <c r="AQ1374">
        <v>0</v>
      </c>
      <c r="AR1374">
        <v>1</v>
      </c>
    </row>
    <row r="1375" spans="1:44" x14ac:dyDescent="0.35">
      <c r="A1375" s="12" t="s">
        <v>2060</v>
      </c>
      <c r="B1375" s="12" t="s">
        <v>792</v>
      </c>
      <c r="C1375" s="12" t="s">
        <v>793</v>
      </c>
      <c r="D1375" s="12" t="s">
        <v>103</v>
      </c>
      <c r="E1375" s="12" t="s">
        <v>65</v>
      </c>
      <c r="F1375">
        <v>2</v>
      </c>
      <c r="G1375">
        <v>3</v>
      </c>
      <c r="H1375">
        <v>0</v>
      </c>
      <c r="I1375" s="12" t="s">
        <v>115</v>
      </c>
      <c r="J1375" s="12" t="s">
        <v>116</v>
      </c>
      <c r="K1375" s="12" t="s">
        <v>117</v>
      </c>
      <c r="L1375" s="12" t="s">
        <v>82</v>
      </c>
      <c r="M1375">
        <v>17.170000000000002</v>
      </c>
      <c r="N1375" s="12" t="s">
        <v>107</v>
      </c>
      <c r="O1375" s="12" t="s">
        <v>108</v>
      </c>
      <c r="P1375" s="12" t="s">
        <v>109</v>
      </c>
      <c r="Q1375" s="13">
        <v>45218</v>
      </c>
      <c r="R1375" s="13">
        <v>45247</v>
      </c>
      <c r="S1375">
        <v>2023</v>
      </c>
      <c r="T1375" s="12" t="s">
        <v>1926</v>
      </c>
      <c r="U1375">
        <v>77</v>
      </c>
      <c r="V1375">
        <v>99.173299999999998</v>
      </c>
      <c r="W1375">
        <v>126.8</v>
      </c>
      <c r="X1375">
        <v>0</v>
      </c>
      <c r="Y1375">
        <v>0</v>
      </c>
      <c r="Z1375">
        <v>7636.34</v>
      </c>
      <c r="AA1375">
        <v>7763.14</v>
      </c>
      <c r="AB1375" s="12" t="s">
        <v>794</v>
      </c>
      <c r="AC1375">
        <v>99.173299999999998</v>
      </c>
      <c r="AD1375">
        <v>1</v>
      </c>
      <c r="AE1375">
        <v>1</v>
      </c>
      <c r="AF1375">
        <v>0</v>
      </c>
      <c r="AG1375">
        <v>7636.34</v>
      </c>
      <c r="AH1375">
        <v>77</v>
      </c>
      <c r="AI1375">
        <v>76</v>
      </c>
      <c r="AJ1375">
        <v>1</v>
      </c>
      <c r="AK1375">
        <v>1</v>
      </c>
      <c r="AL1375">
        <v>1</v>
      </c>
      <c r="AM1375">
        <v>98.7</v>
      </c>
      <c r="AN1375">
        <v>102.14660000000001</v>
      </c>
      <c r="AO1375">
        <v>99.17</v>
      </c>
      <c r="AP1375" s="13">
        <v>45249</v>
      </c>
      <c r="AQ1375">
        <v>2</v>
      </c>
      <c r="AR1375">
        <v>0</v>
      </c>
    </row>
    <row r="1376" spans="1:44" x14ac:dyDescent="0.35">
      <c r="A1376" s="12" t="s">
        <v>2061</v>
      </c>
      <c r="B1376" s="12" t="s">
        <v>1054</v>
      </c>
      <c r="C1376" s="12" t="s">
        <v>1055</v>
      </c>
      <c r="D1376" s="12" t="s">
        <v>122</v>
      </c>
      <c r="E1376" s="12" t="s">
        <v>65</v>
      </c>
      <c r="F1376">
        <v>1</v>
      </c>
      <c r="G1376">
        <v>2</v>
      </c>
      <c r="H1376">
        <v>1</v>
      </c>
      <c r="I1376" s="12" t="s">
        <v>176</v>
      </c>
      <c r="J1376" s="12" t="s">
        <v>177</v>
      </c>
      <c r="K1376" s="12" t="s">
        <v>125</v>
      </c>
      <c r="L1376" s="12" t="s">
        <v>134</v>
      </c>
      <c r="M1376">
        <v>1.75</v>
      </c>
      <c r="N1376" s="12" t="s">
        <v>70</v>
      </c>
      <c r="O1376" s="12" t="s">
        <v>71</v>
      </c>
      <c r="P1376" s="12" t="s">
        <v>72</v>
      </c>
      <c r="Q1376" s="13">
        <v>45219</v>
      </c>
      <c r="R1376" s="13">
        <v>45250</v>
      </c>
      <c r="S1376">
        <v>2023</v>
      </c>
      <c r="T1376" s="12" t="s">
        <v>1926</v>
      </c>
      <c r="U1376">
        <v>1275</v>
      </c>
      <c r="V1376">
        <v>44.1526</v>
      </c>
      <c r="W1376">
        <v>658.73</v>
      </c>
      <c r="X1376">
        <v>0</v>
      </c>
      <c r="Y1376">
        <v>0</v>
      </c>
      <c r="Z1376">
        <v>56294.57</v>
      </c>
      <c r="AA1376">
        <v>56953.3</v>
      </c>
      <c r="AB1376" s="12" t="s">
        <v>1056</v>
      </c>
      <c r="AC1376">
        <v>46.916699999999999</v>
      </c>
      <c r="AD1376">
        <v>1</v>
      </c>
      <c r="AE1376">
        <v>1</v>
      </c>
      <c r="AF1376">
        <v>-3524.23</v>
      </c>
      <c r="AG1376">
        <v>59818.79</v>
      </c>
      <c r="AH1376">
        <v>1275</v>
      </c>
      <c r="AI1376">
        <v>1267</v>
      </c>
      <c r="AJ1376">
        <v>8</v>
      </c>
      <c r="AK1376">
        <v>1</v>
      </c>
      <c r="AL1376">
        <v>1</v>
      </c>
      <c r="AM1376">
        <v>99.37</v>
      </c>
      <c r="AN1376">
        <v>44.951300000000003</v>
      </c>
      <c r="AO1376">
        <v>353.22</v>
      </c>
      <c r="AP1376" s="13">
        <v>45247</v>
      </c>
      <c r="AQ1376">
        <v>-3</v>
      </c>
      <c r="AR1376">
        <v>1</v>
      </c>
    </row>
    <row r="1377" spans="1:44" x14ac:dyDescent="0.35">
      <c r="A1377" s="12" t="s">
        <v>2062</v>
      </c>
      <c r="B1377" s="12" t="s">
        <v>694</v>
      </c>
      <c r="C1377" s="12" t="s">
        <v>695</v>
      </c>
      <c r="D1377" s="12" t="s">
        <v>103</v>
      </c>
      <c r="E1377" s="12" t="s">
        <v>65</v>
      </c>
      <c r="F1377">
        <v>2</v>
      </c>
      <c r="G1377">
        <v>3</v>
      </c>
      <c r="H1377">
        <v>0</v>
      </c>
      <c r="I1377" s="12" t="s">
        <v>94</v>
      </c>
      <c r="J1377" s="12" t="s">
        <v>95</v>
      </c>
      <c r="K1377" s="12" t="s">
        <v>81</v>
      </c>
      <c r="L1377" s="12" t="s">
        <v>96</v>
      </c>
      <c r="M1377">
        <v>4.8099999999999996</v>
      </c>
      <c r="N1377" s="12" t="s">
        <v>145</v>
      </c>
      <c r="O1377" s="12" t="s">
        <v>146</v>
      </c>
      <c r="P1377" s="12" t="s">
        <v>109</v>
      </c>
      <c r="Q1377" s="13">
        <v>45219</v>
      </c>
      <c r="R1377" s="13">
        <v>45251</v>
      </c>
      <c r="S1377">
        <v>2023</v>
      </c>
      <c r="T1377" s="12" t="s">
        <v>1926</v>
      </c>
      <c r="U1377">
        <v>102</v>
      </c>
      <c r="V1377">
        <v>215.60980000000001</v>
      </c>
      <c r="W1377">
        <v>431.85</v>
      </c>
      <c r="X1377">
        <v>0</v>
      </c>
      <c r="Y1377">
        <v>0</v>
      </c>
      <c r="Z1377">
        <v>21992.2</v>
      </c>
      <c r="AA1377">
        <v>22424.05</v>
      </c>
      <c r="AB1377" s="12" t="s">
        <v>1507</v>
      </c>
      <c r="AC1377">
        <v>215.60980000000001</v>
      </c>
      <c r="AD1377">
        <v>1</v>
      </c>
      <c r="AE1377">
        <v>1</v>
      </c>
      <c r="AF1377">
        <v>0</v>
      </c>
      <c r="AG1377">
        <v>21992.2</v>
      </c>
      <c r="AH1377">
        <v>102</v>
      </c>
      <c r="AI1377">
        <v>100</v>
      </c>
      <c r="AJ1377">
        <v>2</v>
      </c>
      <c r="AK1377">
        <v>1</v>
      </c>
      <c r="AL1377">
        <v>1</v>
      </c>
      <c r="AM1377">
        <v>98.04</v>
      </c>
      <c r="AN1377">
        <v>224.2405</v>
      </c>
      <c r="AO1377">
        <v>431.22</v>
      </c>
      <c r="AP1377" s="13">
        <v>45249</v>
      </c>
      <c r="AQ1377">
        <v>-2</v>
      </c>
      <c r="AR1377">
        <v>1</v>
      </c>
    </row>
    <row r="1378" spans="1:44" x14ac:dyDescent="0.35">
      <c r="A1378" s="12" t="s">
        <v>2063</v>
      </c>
      <c r="B1378" s="12" t="s">
        <v>442</v>
      </c>
      <c r="C1378" s="12" t="s">
        <v>443</v>
      </c>
      <c r="D1378" s="12" t="s">
        <v>130</v>
      </c>
      <c r="E1378" s="12" t="s">
        <v>65</v>
      </c>
      <c r="F1378">
        <v>3</v>
      </c>
      <c r="G1378">
        <v>4</v>
      </c>
      <c r="H1378">
        <v>0</v>
      </c>
      <c r="I1378" s="12" t="s">
        <v>251</v>
      </c>
      <c r="J1378" s="12" t="s">
        <v>252</v>
      </c>
      <c r="K1378" s="12" t="s">
        <v>133</v>
      </c>
      <c r="L1378" s="12" t="s">
        <v>69</v>
      </c>
      <c r="M1378">
        <v>34.49</v>
      </c>
      <c r="N1378" s="12" t="s">
        <v>159</v>
      </c>
      <c r="O1378" s="12" t="s">
        <v>160</v>
      </c>
      <c r="P1378" s="12" t="s">
        <v>137</v>
      </c>
      <c r="Q1378" s="13">
        <v>45219</v>
      </c>
      <c r="R1378" s="13">
        <v>45254</v>
      </c>
      <c r="S1378">
        <v>2023</v>
      </c>
      <c r="T1378" s="12" t="s">
        <v>1926</v>
      </c>
      <c r="U1378">
        <v>125</v>
      </c>
      <c r="V1378">
        <v>610.72789999999998</v>
      </c>
      <c r="W1378">
        <v>1059.1500000000001</v>
      </c>
      <c r="X1378">
        <v>0</v>
      </c>
      <c r="Y1378">
        <v>0</v>
      </c>
      <c r="Z1378">
        <v>76340.990000000005</v>
      </c>
      <c r="AA1378">
        <v>77400.14</v>
      </c>
      <c r="AB1378" s="12" t="s">
        <v>444</v>
      </c>
      <c r="AC1378">
        <v>610.72789999999998</v>
      </c>
      <c r="AD1378">
        <v>1</v>
      </c>
      <c r="AE1378">
        <v>1</v>
      </c>
      <c r="AF1378">
        <v>0</v>
      </c>
      <c r="AG1378">
        <v>76340.990000000005</v>
      </c>
      <c r="AH1378">
        <v>125</v>
      </c>
      <c r="AI1378">
        <v>124</v>
      </c>
      <c r="AJ1378">
        <v>1</v>
      </c>
      <c r="AK1378">
        <v>1</v>
      </c>
      <c r="AL1378">
        <v>1</v>
      </c>
      <c r="AM1378">
        <v>99.2</v>
      </c>
      <c r="AN1378">
        <v>624.19470000000001</v>
      </c>
      <c r="AO1378">
        <v>610.73</v>
      </c>
      <c r="AP1378" s="13">
        <v>45252</v>
      </c>
      <c r="AQ1378">
        <v>-2</v>
      </c>
      <c r="AR1378">
        <v>1</v>
      </c>
    </row>
    <row r="1379" spans="1:44" x14ac:dyDescent="0.35">
      <c r="A1379" s="12" t="s">
        <v>2064</v>
      </c>
      <c r="B1379" s="12" t="s">
        <v>451</v>
      </c>
      <c r="C1379" s="12" t="s">
        <v>452</v>
      </c>
      <c r="D1379" s="12" t="s">
        <v>175</v>
      </c>
      <c r="E1379" s="12" t="s">
        <v>104</v>
      </c>
      <c r="F1379">
        <v>3</v>
      </c>
      <c r="G1379">
        <v>1</v>
      </c>
      <c r="H1379">
        <v>0</v>
      </c>
      <c r="I1379" s="12" t="s">
        <v>359</v>
      </c>
      <c r="J1379" s="12" t="s">
        <v>360</v>
      </c>
      <c r="K1379" s="12" t="s">
        <v>133</v>
      </c>
      <c r="L1379" s="12" t="s">
        <v>82</v>
      </c>
      <c r="M1379">
        <v>12.65</v>
      </c>
      <c r="N1379" s="12" t="s">
        <v>107</v>
      </c>
      <c r="O1379" s="12" t="s">
        <v>108</v>
      </c>
      <c r="P1379" s="12" t="s">
        <v>109</v>
      </c>
      <c r="Q1379" s="13">
        <v>45219</v>
      </c>
      <c r="R1379" s="13">
        <v>45248</v>
      </c>
      <c r="S1379">
        <v>2023</v>
      </c>
      <c r="T1379" s="12" t="s">
        <v>1926</v>
      </c>
      <c r="U1379">
        <v>147</v>
      </c>
      <c r="V1379">
        <v>265.18729999999999</v>
      </c>
      <c r="W1379">
        <v>994.44</v>
      </c>
      <c r="X1379">
        <v>0</v>
      </c>
      <c r="Y1379">
        <v>0</v>
      </c>
      <c r="Z1379">
        <v>38982.53</v>
      </c>
      <c r="AA1379">
        <v>39976.97</v>
      </c>
      <c r="AB1379" s="12" t="s">
        <v>627</v>
      </c>
      <c r="AC1379">
        <v>254.15530000000001</v>
      </c>
      <c r="AD1379">
        <v>1</v>
      </c>
      <c r="AE1379">
        <v>1</v>
      </c>
      <c r="AF1379">
        <v>1621.7</v>
      </c>
      <c r="AG1379">
        <v>37360.83</v>
      </c>
      <c r="AH1379">
        <v>147</v>
      </c>
      <c r="AI1379">
        <v>145</v>
      </c>
      <c r="AJ1379">
        <v>2</v>
      </c>
      <c r="AK1379">
        <v>1</v>
      </c>
      <c r="AL1379">
        <v>1</v>
      </c>
      <c r="AM1379">
        <v>98.64</v>
      </c>
      <c r="AN1379">
        <v>275.70330000000001</v>
      </c>
      <c r="AO1379">
        <v>530.37</v>
      </c>
      <c r="AP1379" s="13">
        <v>45248</v>
      </c>
      <c r="AQ1379">
        <v>0</v>
      </c>
      <c r="AR1379">
        <v>1</v>
      </c>
    </row>
    <row r="1380" spans="1:44" x14ac:dyDescent="0.35">
      <c r="A1380" s="12" t="s">
        <v>2065</v>
      </c>
      <c r="B1380" s="12" t="s">
        <v>173</v>
      </c>
      <c r="C1380" s="12" t="s">
        <v>174</v>
      </c>
      <c r="D1380" s="12" t="s">
        <v>175</v>
      </c>
      <c r="E1380" s="12" t="s">
        <v>104</v>
      </c>
      <c r="F1380">
        <v>3</v>
      </c>
      <c r="G1380">
        <v>1</v>
      </c>
      <c r="H1380">
        <v>0</v>
      </c>
      <c r="I1380" s="12" t="s">
        <v>176</v>
      </c>
      <c r="J1380" s="12" t="s">
        <v>177</v>
      </c>
      <c r="K1380" s="12" t="s">
        <v>125</v>
      </c>
      <c r="L1380" s="12" t="s">
        <v>134</v>
      </c>
      <c r="M1380">
        <v>1.75</v>
      </c>
      <c r="N1380" s="12" t="s">
        <v>145</v>
      </c>
      <c r="O1380" s="12" t="s">
        <v>146</v>
      </c>
      <c r="P1380" s="12" t="s">
        <v>109</v>
      </c>
      <c r="Q1380" s="13">
        <v>45219</v>
      </c>
      <c r="R1380" s="13">
        <v>45239</v>
      </c>
      <c r="S1380">
        <v>2023</v>
      </c>
      <c r="T1380" s="12" t="s">
        <v>1926</v>
      </c>
      <c r="U1380">
        <v>74</v>
      </c>
      <c r="V1380">
        <v>79.9559</v>
      </c>
      <c r="W1380">
        <v>144.54</v>
      </c>
      <c r="X1380">
        <v>0</v>
      </c>
      <c r="Y1380">
        <v>0</v>
      </c>
      <c r="Z1380">
        <v>5916.74</v>
      </c>
      <c r="AA1380">
        <v>6061.28</v>
      </c>
      <c r="AB1380" s="12" t="s">
        <v>178</v>
      </c>
      <c r="AC1380">
        <v>79.9559</v>
      </c>
      <c r="AD1380">
        <v>1</v>
      </c>
      <c r="AE1380">
        <v>1</v>
      </c>
      <c r="AF1380">
        <v>0</v>
      </c>
      <c r="AG1380">
        <v>5916.74</v>
      </c>
      <c r="AH1380">
        <v>74</v>
      </c>
      <c r="AI1380">
        <v>74</v>
      </c>
      <c r="AJ1380">
        <v>0</v>
      </c>
      <c r="AK1380">
        <v>1</v>
      </c>
      <c r="AL1380">
        <v>1</v>
      </c>
      <c r="AM1380">
        <v>100</v>
      </c>
      <c r="AN1380">
        <v>81.909099999999995</v>
      </c>
      <c r="AO1380">
        <v>0</v>
      </c>
      <c r="AP1380" s="13">
        <v>45248</v>
      </c>
      <c r="AQ1380">
        <v>9</v>
      </c>
      <c r="AR1380">
        <v>0</v>
      </c>
    </row>
    <row r="1381" spans="1:44" x14ac:dyDescent="0.35">
      <c r="A1381" s="12" t="s">
        <v>2066</v>
      </c>
      <c r="B1381" s="12" t="s">
        <v>990</v>
      </c>
      <c r="C1381" s="12" t="s">
        <v>991</v>
      </c>
      <c r="D1381" s="12" t="s">
        <v>122</v>
      </c>
      <c r="E1381" s="12" t="s">
        <v>142</v>
      </c>
      <c r="F1381">
        <v>1</v>
      </c>
      <c r="G1381">
        <v>6</v>
      </c>
      <c r="H1381">
        <v>1</v>
      </c>
      <c r="I1381" s="12" t="s">
        <v>217</v>
      </c>
      <c r="J1381" s="12" t="s">
        <v>218</v>
      </c>
      <c r="K1381" s="12" t="s">
        <v>68</v>
      </c>
      <c r="L1381" s="12" t="s">
        <v>82</v>
      </c>
      <c r="M1381">
        <v>14.24</v>
      </c>
      <c r="N1381" s="12" t="s">
        <v>70</v>
      </c>
      <c r="O1381" s="12" t="s">
        <v>71</v>
      </c>
      <c r="P1381" s="12" t="s">
        <v>72</v>
      </c>
      <c r="Q1381" s="13">
        <v>45219</v>
      </c>
      <c r="R1381" s="13">
        <v>45254</v>
      </c>
      <c r="S1381">
        <v>2023</v>
      </c>
      <c r="T1381" s="12" t="s">
        <v>1926</v>
      </c>
      <c r="U1381">
        <v>205</v>
      </c>
      <c r="V1381">
        <v>33.697499999999998</v>
      </c>
      <c r="W1381">
        <v>156.33000000000001</v>
      </c>
      <c r="X1381">
        <v>0</v>
      </c>
      <c r="Y1381">
        <v>0</v>
      </c>
      <c r="Z1381">
        <v>6907.99</v>
      </c>
      <c r="AA1381">
        <v>7064.32</v>
      </c>
      <c r="AB1381" s="12" t="s">
        <v>992</v>
      </c>
      <c r="AC1381">
        <v>33.697499999999998</v>
      </c>
      <c r="AD1381">
        <v>1</v>
      </c>
      <c r="AE1381">
        <v>1</v>
      </c>
      <c r="AF1381">
        <v>0</v>
      </c>
      <c r="AG1381">
        <v>6907.99</v>
      </c>
      <c r="AH1381">
        <v>205</v>
      </c>
      <c r="AI1381">
        <v>203</v>
      </c>
      <c r="AJ1381">
        <v>2</v>
      </c>
      <c r="AK1381">
        <v>1</v>
      </c>
      <c r="AL1381">
        <v>1</v>
      </c>
      <c r="AM1381">
        <v>99.02</v>
      </c>
      <c r="AN1381">
        <v>34.799599999999998</v>
      </c>
      <c r="AO1381">
        <v>67.400000000000006</v>
      </c>
      <c r="AP1381" s="13">
        <v>45251</v>
      </c>
      <c r="AQ1381">
        <v>-3</v>
      </c>
      <c r="AR1381">
        <v>1</v>
      </c>
    </row>
    <row r="1382" spans="1:44" x14ac:dyDescent="0.35">
      <c r="A1382" s="12" t="s">
        <v>2067</v>
      </c>
      <c r="B1382" s="12" t="s">
        <v>680</v>
      </c>
      <c r="C1382" s="12" t="s">
        <v>681</v>
      </c>
      <c r="D1382" s="12" t="s">
        <v>122</v>
      </c>
      <c r="E1382" s="12" t="s">
        <v>104</v>
      </c>
      <c r="F1382">
        <v>3</v>
      </c>
      <c r="G1382">
        <v>1</v>
      </c>
      <c r="H1382">
        <v>0</v>
      </c>
      <c r="I1382" s="12" t="s">
        <v>227</v>
      </c>
      <c r="J1382" s="12" t="s">
        <v>228</v>
      </c>
      <c r="K1382" s="12" t="s">
        <v>89</v>
      </c>
      <c r="L1382" s="12" t="s">
        <v>96</v>
      </c>
      <c r="M1382">
        <v>9.15</v>
      </c>
      <c r="N1382" s="12" t="s">
        <v>70</v>
      </c>
      <c r="O1382" s="12" t="s">
        <v>71</v>
      </c>
      <c r="P1382" s="12" t="s">
        <v>72</v>
      </c>
      <c r="Q1382" s="13">
        <v>45222</v>
      </c>
      <c r="R1382" s="13">
        <v>45244</v>
      </c>
      <c r="S1382">
        <v>2023</v>
      </c>
      <c r="T1382" s="12" t="s">
        <v>1926</v>
      </c>
      <c r="U1382">
        <v>1260</v>
      </c>
      <c r="V1382">
        <v>23.246099999999998</v>
      </c>
      <c r="W1382">
        <v>189.81</v>
      </c>
      <c r="X1382">
        <v>884.48</v>
      </c>
      <c r="Y1382">
        <v>1</v>
      </c>
      <c r="Z1382">
        <v>29290.09</v>
      </c>
      <c r="AA1382">
        <v>30364.38</v>
      </c>
      <c r="AB1382" s="12" t="s">
        <v>861</v>
      </c>
      <c r="AC1382">
        <v>23.246099999999998</v>
      </c>
      <c r="AD1382">
        <v>1</v>
      </c>
      <c r="AE1382">
        <v>1</v>
      </c>
      <c r="AF1382">
        <v>0</v>
      </c>
      <c r="AG1382">
        <v>29290.09</v>
      </c>
      <c r="AH1382">
        <v>1260</v>
      </c>
      <c r="AI1382">
        <v>1248</v>
      </c>
      <c r="AJ1382">
        <v>12</v>
      </c>
      <c r="AK1382">
        <v>1</v>
      </c>
      <c r="AL1382">
        <v>1</v>
      </c>
      <c r="AM1382">
        <v>99.05</v>
      </c>
      <c r="AN1382">
        <v>24.330400000000001</v>
      </c>
      <c r="AO1382">
        <v>278.95</v>
      </c>
      <c r="AP1382" s="13">
        <v>45244</v>
      </c>
      <c r="AQ1382">
        <v>0</v>
      </c>
      <c r="AR1382">
        <v>1</v>
      </c>
    </row>
    <row r="1383" spans="1:44" x14ac:dyDescent="0.35">
      <c r="A1383" s="12" t="s">
        <v>2068</v>
      </c>
      <c r="B1383" s="12" t="s">
        <v>101</v>
      </c>
      <c r="C1383" s="12" t="s">
        <v>102</v>
      </c>
      <c r="D1383" s="12" t="s">
        <v>103</v>
      </c>
      <c r="E1383" s="12" t="s">
        <v>104</v>
      </c>
      <c r="F1383">
        <v>1</v>
      </c>
      <c r="G1383">
        <v>0</v>
      </c>
      <c r="H1383">
        <v>1</v>
      </c>
      <c r="I1383" s="12" t="s">
        <v>105</v>
      </c>
      <c r="J1383" s="12" t="s">
        <v>106</v>
      </c>
      <c r="K1383" s="12" t="s">
        <v>81</v>
      </c>
      <c r="L1383" s="12" t="s">
        <v>96</v>
      </c>
      <c r="M1383">
        <v>5.01</v>
      </c>
      <c r="N1383" s="12" t="s">
        <v>145</v>
      </c>
      <c r="O1383" s="12" t="s">
        <v>146</v>
      </c>
      <c r="P1383" s="12" t="s">
        <v>109</v>
      </c>
      <c r="Q1383" s="13">
        <v>45222</v>
      </c>
      <c r="R1383" s="13">
        <v>45246</v>
      </c>
      <c r="S1383">
        <v>2023</v>
      </c>
      <c r="T1383" s="12" t="s">
        <v>1926</v>
      </c>
      <c r="U1383">
        <v>108</v>
      </c>
      <c r="V1383">
        <v>220.15969999999999</v>
      </c>
      <c r="W1383">
        <v>419.13</v>
      </c>
      <c r="X1383">
        <v>0</v>
      </c>
      <c r="Y1383">
        <v>0</v>
      </c>
      <c r="Z1383">
        <v>23777.25</v>
      </c>
      <c r="AA1383">
        <v>24196.38</v>
      </c>
      <c r="AB1383" s="12" t="s">
        <v>110</v>
      </c>
      <c r="AC1383">
        <v>207.4813</v>
      </c>
      <c r="AD1383">
        <v>1</v>
      </c>
      <c r="AE1383">
        <v>1</v>
      </c>
      <c r="AF1383">
        <v>1369.27</v>
      </c>
      <c r="AG1383">
        <v>22407.98</v>
      </c>
      <c r="AH1383">
        <v>108</v>
      </c>
      <c r="AI1383">
        <v>106</v>
      </c>
      <c r="AJ1383">
        <v>2</v>
      </c>
      <c r="AK1383">
        <v>1</v>
      </c>
      <c r="AL1383">
        <v>1</v>
      </c>
      <c r="AM1383">
        <v>98.15</v>
      </c>
      <c r="AN1383">
        <v>228.26769999999999</v>
      </c>
      <c r="AO1383">
        <v>440.32</v>
      </c>
      <c r="AP1383" s="13">
        <v>45246</v>
      </c>
      <c r="AQ1383">
        <v>0</v>
      </c>
      <c r="AR1383">
        <v>1</v>
      </c>
    </row>
    <row r="1384" spans="1:44" x14ac:dyDescent="0.35">
      <c r="A1384" s="12" t="s">
        <v>2069</v>
      </c>
      <c r="B1384" s="12" t="s">
        <v>1054</v>
      </c>
      <c r="C1384" s="12" t="s">
        <v>1055</v>
      </c>
      <c r="D1384" s="12" t="s">
        <v>122</v>
      </c>
      <c r="E1384" s="12" t="s">
        <v>65</v>
      </c>
      <c r="F1384">
        <v>1</v>
      </c>
      <c r="G1384">
        <v>2</v>
      </c>
      <c r="H1384">
        <v>1</v>
      </c>
      <c r="I1384" s="12" t="s">
        <v>176</v>
      </c>
      <c r="J1384" s="12" t="s">
        <v>177</v>
      </c>
      <c r="K1384" s="12" t="s">
        <v>125</v>
      </c>
      <c r="L1384" s="12" t="s">
        <v>134</v>
      </c>
      <c r="M1384">
        <v>1.75</v>
      </c>
      <c r="N1384" s="12" t="s">
        <v>70</v>
      </c>
      <c r="O1384" s="12" t="s">
        <v>71</v>
      </c>
      <c r="P1384" s="12" t="s">
        <v>72</v>
      </c>
      <c r="Q1384" s="13">
        <v>45222</v>
      </c>
      <c r="R1384" s="13">
        <v>45255</v>
      </c>
      <c r="S1384">
        <v>2023</v>
      </c>
      <c r="T1384" s="12" t="s">
        <v>1926</v>
      </c>
      <c r="U1384">
        <v>1414</v>
      </c>
      <c r="V1384">
        <v>46.916699999999999</v>
      </c>
      <c r="W1384">
        <v>1666.85</v>
      </c>
      <c r="X1384">
        <v>0</v>
      </c>
      <c r="Y1384">
        <v>0</v>
      </c>
      <c r="Z1384">
        <v>66340.210000000006</v>
      </c>
      <c r="AA1384">
        <v>68007.06</v>
      </c>
      <c r="AB1384" s="12" t="s">
        <v>1056</v>
      </c>
      <c r="AC1384">
        <v>46.916699999999999</v>
      </c>
      <c r="AD1384">
        <v>1</v>
      </c>
      <c r="AE1384">
        <v>1</v>
      </c>
      <c r="AF1384">
        <v>0</v>
      </c>
      <c r="AG1384">
        <v>66340.210000000006</v>
      </c>
      <c r="AH1384">
        <v>1414</v>
      </c>
      <c r="AI1384">
        <v>1405</v>
      </c>
      <c r="AJ1384">
        <v>9</v>
      </c>
      <c r="AK1384">
        <v>1</v>
      </c>
      <c r="AL1384">
        <v>1</v>
      </c>
      <c r="AM1384">
        <v>99.36</v>
      </c>
      <c r="AN1384">
        <v>48.403599999999997</v>
      </c>
      <c r="AO1384">
        <v>422.25</v>
      </c>
      <c r="AP1384" s="13">
        <v>45254</v>
      </c>
      <c r="AQ1384">
        <v>-1</v>
      </c>
      <c r="AR1384">
        <v>1</v>
      </c>
    </row>
    <row r="1385" spans="1:44" x14ac:dyDescent="0.35">
      <c r="A1385" s="12" t="s">
        <v>2070</v>
      </c>
      <c r="B1385" s="12" t="s">
        <v>76</v>
      </c>
      <c r="C1385" s="12" t="s">
        <v>77</v>
      </c>
      <c r="D1385" s="12" t="s">
        <v>78</v>
      </c>
      <c r="E1385" s="12" t="s">
        <v>65</v>
      </c>
      <c r="F1385">
        <v>2</v>
      </c>
      <c r="G1385">
        <v>4</v>
      </c>
      <c r="H1385">
        <v>0</v>
      </c>
      <c r="I1385" s="12" t="s">
        <v>79</v>
      </c>
      <c r="J1385" s="12" t="s">
        <v>80</v>
      </c>
      <c r="K1385" s="12" t="s">
        <v>81</v>
      </c>
      <c r="L1385" s="12" t="s">
        <v>82</v>
      </c>
      <c r="M1385">
        <v>12.07</v>
      </c>
      <c r="N1385" s="12" t="s">
        <v>70</v>
      </c>
      <c r="O1385" s="12" t="s">
        <v>71</v>
      </c>
      <c r="P1385" s="12" t="s">
        <v>72</v>
      </c>
      <c r="Q1385" s="13">
        <v>45222</v>
      </c>
      <c r="R1385" s="13">
        <v>45256</v>
      </c>
      <c r="S1385">
        <v>2023</v>
      </c>
      <c r="T1385" s="12" t="s">
        <v>1926</v>
      </c>
      <c r="U1385">
        <v>229</v>
      </c>
      <c r="V1385">
        <v>45.991</v>
      </c>
      <c r="W1385">
        <v>209.42</v>
      </c>
      <c r="X1385">
        <v>0</v>
      </c>
      <c r="Y1385">
        <v>0</v>
      </c>
      <c r="Z1385">
        <v>10531.94</v>
      </c>
      <c r="AA1385">
        <v>10741.36</v>
      </c>
      <c r="AB1385" s="12" t="s">
        <v>83</v>
      </c>
      <c r="AC1385">
        <v>45.991</v>
      </c>
      <c r="AD1385">
        <v>1</v>
      </c>
      <c r="AE1385">
        <v>1</v>
      </c>
      <c r="AF1385">
        <v>0</v>
      </c>
      <c r="AG1385">
        <v>10531.94</v>
      </c>
      <c r="AH1385">
        <v>229</v>
      </c>
      <c r="AI1385">
        <v>226</v>
      </c>
      <c r="AJ1385">
        <v>3</v>
      </c>
      <c r="AK1385">
        <v>1</v>
      </c>
      <c r="AL1385">
        <v>1</v>
      </c>
      <c r="AM1385">
        <v>98.69</v>
      </c>
      <c r="AN1385">
        <v>47.528100000000002</v>
      </c>
      <c r="AO1385">
        <v>137.97</v>
      </c>
      <c r="AP1385" s="13">
        <v>45255</v>
      </c>
      <c r="AQ1385">
        <v>-1</v>
      </c>
      <c r="AR1385">
        <v>1</v>
      </c>
    </row>
    <row r="1386" spans="1:44" x14ac:dyDescent="0.35">
      <c r="A1386" s="12" t="s">
        <v>2071</v>
      </c>
      <c r="B1386" s="12" t="s">
        <v>617</v>
      </c>
      <c r="C1386" s="12" t="s">
        <v>618</v>
      </c>
      <c r="D1386" s="12" t="s">
        <v>78</v>
      </c>
      <c r="E1386" s="12" t="s">
        <v>65</v>
      </c>
      <c r="F1386">
        <v>2</v>
      </c>
      <c r="G1386">
        <v>4</v>
      </c>
      <c r="H1386">
        <v>0</v>
      </c>
      <c r="I1386" s="12" t="s">
        <v>341</v>
      </c>
      <c r="J1386" s="12" t="s">
        <v>342</v>
      </c>
      <c r="K1386" s="12" t="s">
        <v>117</v>
      </c>
      <c r="L1386" s="12" t="s">
        <v>82</v>
      </c>
      <c r="M1386">
        <v>18.36</v>
      </c>
      <c r="N1386" s="12" t="s">
        <v>70</v>
      </c>
      <c r="O1386" s="12" t="s">
        <v>71</v>
      </c>
      <c r="P1386" s="12" t="s">
        <v>72</v>
      </c>
      <c r="Q1386" s="13">
        <v>45222</v>
      </c>
      <c r="R1386" s="13">
        <v>45257</v>
      </c>
      <c r="S1386">
        <v>2023</v>
      </c>
      <c r="T1386" s="12" t="s">
        <v>1926</v>
      </c>
      <c r="U1386">
        <v>245</v>
      </c>
      <c r="V1386">
        <v>108.2711</v>
      </c>
      <c r="W1386">
        <v>542.19000000000005</v>
      </c>
      <c r="X1386">
        <v>0</v>
      </c>
      <c r="Y1386">
        <v>0</v>
      </c>
      <c r="Z1386">
        <v>26526.42</v>
      </c>
      <c r="AA1386">
        <v>27068.61</v>
      </c>
      <c r="AB1386" s="12" t="s">
        <v>619</v>
      </c>
      <c r="AC1386">
        <v>108.2711</v>
      </c>
      <c r="AD1386">
        <v>1</v>
      </c>
      <c r="AE1386">
        <v>1</v>
      </c>
      <c r="AF1386">
        <v>0</v>
      </c>
      <c r="AG1386">
        <v>26526.42</v>
      </c>
      <c r="AH1386">
        <v>245</v>
      </c>
      <c r="AI1386">
        <v>244</v>
      </c>
      <c r="AJ1386">
        <v>1</v>
      </c>
      <c r="AK1386">
        <v>1</v>
      </c>
      <c r="AL1386">
        <v>1</v>
      </c>
      <c r="AM1386">
        <v>99.59</v>
      </c>
      <c r="AN1386">
        <v>110.93689999999999</v>
      </c>
      <c r="AO1386">
        <v>108.27</v>
      </c>
      <c r="AP1386" s="13">
        <v>45257</v>
      </c>
      <c r="AQ1386">
        <v>0</v>
      </c>
      <c r="AR1386">
        <v>1</v>
      </c>
    </row>
    <row r="1387" spans="1:44" x14ac:dyDescent="0.35">
      <c r="A1387" s="12" t="s">
        <v>2072</v>
      </c>
      <c r="B1387" s="12" t="s">
        <v>823</v>
      </c>
      <c r="C1387" s="12" t="s">
        <v>824</v>
      </c>
      <c r="D1387" s="12" t="s">
        <v>114</v>
      </c>
      <c r="E1387" s="12" t="s">
        <v>142</v>
      </c>
      <c r="F1387">
        <v>1</v>
      </c>
      <c r="G1387">
        <v>8</v>
      </c>
      <c r="H1387">
        <v>1</v>
      </c>
      <c r="I1387" s="12" t="s">
        <v>515</v>
      </c>
      <c r="J1387" s="12" t="s">
        <v>516</v>
      </c>
      <c r="K1387" s="12" t="s">
        <v>68</v>
      </c>
      <c r="L1387" s="12" t="s">
        <v>134</v>
      </c>
      <c r="M1387">
        <v>3.69</v>
      </c>
      <c r="N1387" s="12" t="s">
        <v>70</v>
      </c>
      <c r="O1387" s="12" t="s">
        <v>71</v>
      </c>
      <c r="P1387" s="12" t="s">
        <v>72</v>
      </c>
      <c r="Q1387" s="13">
        <v>45222</v>
      </c>
      <c r="R1387" s="13">
        <v>45259</v>
      </c>
      <c r="S1387">
        <v>2023</v>
      </c>
      <c r="T1387" s="12" t="s">
        <v>1926</v>
      </c>
      <c r="U1387">
        <v>32</v>
      </c>
      <c r="V1387">
        <v>361.73399999999998</v>
      </c>
      <c r="W1387">
        <v>150.53</v>
      </c>
      <c r="X1387">
        <v>0</v>
      </c>
      <c r="Y1387">
        <v>0</v>
      </c>
      <c r="Z1387">
        <v>11575.49</v>
      </c>
      <c r="AA1387">
        <v>11726.02</v>
      </c>
      <c r="AB1387" s="12" t="s">
        <v>825</v>
      </c>
      <c r="AC1387">
        <v>361.73399999999998</v>
      </c>
      <c r="AD1387">
        <v>1</v>
      </c>
      <c r="AE1387">
        <v>1</v>
      </c>
      <c r="AF1387">
        <v>0</v>
      </c>
      <c r="AG1387">
        <v>11575.49</v>
      </c>
      <c r="AH1387">
        <v>32</v>
      </c>
      <c r="AI1387">
        <v>32</v>
      </c>
      <c r="AJ1387">
        <v>0</v>
      </c>
      <c r="AK1387">
        <v>1</v>
      </c>
      <c r="AL1387">
        <v>1</v>
      </c>
      <c r="AM1387">
        <v>100</v>
      </c>
      <c r="AN1387">
        <v>366.43810000000002</v>
      </c>
      <c r="AO1387">
        <v>0</v>
      </c>
      <c r="AP1387" s="13">
        <v>45266</v>
      </c>
      <c r="AQ1387">
        <v>7</v>
      </c>
      <c r="AR1387">
        <v>0</v>
      </c>
    </row>
    <row r="1388" spans="1:44" x14ac:dyDescent="0.35">
      <c r="A1388" s="12" t="s">
        <v>2073</v>
      </c>
      <c r="B1388" s="12" t="s">
        <v>231</v>
      </c>
      <c r="C1388" s="12" t="s">
        <v>232</v>
      </c>
      <c r="D1388" s="12" t="s">
        <v>130</v>
      </c>
      <c r="E1388" s="12" t="s">
        <v>65</v>
      </c>
      <c r="F1388">
        <v>1</v>
      </c>
      <c r="G1388">
        <v>2</v>
      </c>
      <c r="H1388">
        <v>1</v>
      </c>
      <c r="I1388" s="12" t="s">
        <v>233</v>
      </c>
      <c r="J1388" s="12" t="s">
        <v>234</v>
      </c>
      <c r="K1388" s="12" t="s">
        <v>125</v>
      </c>
      <c r="L1388" s="12" t="s">
        <v>96</v>
      </c>
      <c r="M1388">
        <v>3.73</v>
      </c>
      <c r="N1388" s="12" t="s">
        <v>135</v>
      </c>
      <c r="O1388" s="12" t="s">
        <v>136</v>
      </c>
      <c r="P1388" s="12" t="s">
        <v>137</v>
      </c>
      <c r="Q1388" s="13">
        <v>45222</v>
      </c>
      <c r="R1388" s="13">
        <v>45256</v>
      </c>
      <c r="S1388">
        <v>2023</v>
      </c>
      <c r="T1388" s="12" t="s">
        <v>1926</v>
      </c>
      <c r="U1388">
        <v>115</v>
      </c>
      <c r="V1388">
        <v>416.40039999999999</v>
      </c>
      <c r="W1388">
        <v>489.19</v>
      </c>
      <c r="X1388">
        <v>0</v>
      </c>
      <c r="Y1388">
        <v>0</v>
      </c>
      <c r="Z1388">
        <v>47886.05</v>
      </c>
      <c r="AA1388">
        <v>48375.24</v>
      </c>
      <c r="AB1388" s="12" t="s">
        <v>235</v>
      </c>
      <c r="AC1388">
        <v>416.40039999999999</v>
      </c>
      <c r="AD1388">
        <v>1</v>
      </c>
      <c r="AE1388">
        <v>1</v>
      </c>
      <c r="AF1388">
        <v>0</v>
      </c>
      <c r="AG1388">
        <v>47886.05</v>
      </c>
      <c r="AH1388">
        <v>115</v>
      </c>
      <c r="AI1388">
        <v>114</v>
      </c>
      <c r="AJ1388">
        <v>1</v>
      </c>
      <c r="AK1388">
        <v>1</v>
      </c>
      <c r="AL1388">
        <v>1</v>
      </c>
      <c r="AM1388">
        <v>99.13</v>
      </c>
      <c r="AN1388">
        <v>424.3442</v>
      </c>
      <c r="AO1388">
        <v>416.4</v>
      </c>
      <c r="AP1388" s="13">
        <v>45254</v>
      </c>
      <c r="AQ1388">
        <v>-2</v>
      </c>
      <c r="AR1388">
        <v>1</v>
      </c>
    </row>
    <row r="1389" spans="1:44" x14ac:dyDescent="0.35">
      <c r="A1389" s="12" t="s">
        <v>2074</v>
      </c>
      <c r="B1389" s="12" t="s">
        <v>327</v>
      </c>
      <c r="C1389" s="12" t="s">
        <v>328</v>
      </c>
      <c r="D1389" s="12" t="s">
        <v>130</v>
      </c>
      <c r="E1389" s="12" t="s">
        <v>104</v>
      </c>
      <c r="F1389">
        <v>2</v>
      </c>
      <c r="G1389">
        <v>0</v>
      </c>
      <c r="H1389">
        <v>0</v>
      </c>
      <c r="I1389" s="12" t="s">
        <v>94</v>
      </c>
      <c r="J1389" s="12" t="s">
        <v>95</v>
      </c>
      <c r="K1389" s="12" t="s">
        <v>81</v>
      </c>
      <c r="L1389" s="12" t="s">
        <v>96</v>
      </c>
      <c r="M1389">
        <v>4.8099999999999996</v>
      </c>
      <c r="N1389" s="12" t="s">
        <v>159</v>
      </c>
      <c r="O1389" s="12" t="s">
        <v>160</v>
      </c>
      <c r="P1389" s="12" t="s">
        <v>137</v>
      </c>
      <c r="Q1389" s="13">
        <v>45223</v>
      </c>
      <c r="R1389" s="13">
        <v>45245</v>
      </c>
      <c r="S1389">
        <v>2023</v>
      </c>
      <c r="T1389" s="12" t="s">
        <v>1926</v>
      </c>
      <c r="U1389">
        <v>92</v>
      </c>
      <c r="V1389">
        <v>762.93029999999999</v>
      </c>
      <c r="W1389">
        <v>1463.72</v>
      </c>
      <c r="X1389">
        <v>0</v>
      </c>
      <c r="Y1389">
        <v>0</v>
      </c>
      <c r="Z1389">
        <v>70189.59</v>
      </c>
      <c r="AA1389">
        <v>71653.31</v>
      </c>
      <c r="AB1389" s="12" t="s">
        <v>329</v>
      </c>
      <c r="AC1389">
        <v>762.93029999999999</v>
      </c>
      <c r="AD1389">
        <v>1</v>
      </c>
      <c r="AE1389">
        <v>1</v>
      </c>
      <c r="AF1389">
        <v>0</v>
      </c>
      <c r="AG1389">
        <v>70189.59</v>
      </c>
      <c r="AH1389">
        <v>92</v>
      </c>
      <c r="AI1389">
        <v>92</v>
      </c>
      <c r="AJ1389">
        <v>0</v>
      </c>
      <c r="AK1389">
        <v>1</v>
      </c>
      <c r="AL1389">
        <v>1</v>
      </c>
      <c r="AM1389">
        <v>100</v>
      </c>
      <c r="AN1389">
        <v>778.84029999999996</v>
      </c>
      <c r="AO1389">
        <v>0</v>
      </c>
      <c r="AP1389" s="13">
        <v>45254</v>
      </c>
      <c r="AQ1389">
        <v>9</v>
      </c>
      <c r="AR1389">
        <v>0</v>
      </c>
    </row>
    <row r="1390" spans="1:44" x14ac:dyDescent="0.35">
      <c r="A1390" s="12" t="s">
        <v>2075</v>
      </c>
      <c r="B1390" s="12" t="s">
        <v>437</v>
      </c>
      <c r="C1390" s="12" t="s">
        <v>438</v>
      </c>
      <c r="D1390" s="12" t="s">
        <v>269</v>
      </c>
      <c r="E1390" s="12" t="s">
        <v>65</v>
      </c>
      <c r="F1390">
        <v>2</v>
      </c>
      <c r="G1390">
        <v>4</v>
      </c>
      <c r="H1390">
        <v>0</v>
      </c>
      <c r="I1390" s="12" t="s">
        <v>115</v>
      </c>
      <c r="J1390" s="12" t="s">
        <v>116</v>
      </c>
      <c r="K1390" s="12" t="s">
        <v>117</v>
      </c>
      <c r="L1390" s="12" t="s">
        <v>82</v>
      </c>
      <c r="M1390">
        <v>17.170000000000002</v>
      </c>
      <c r="N1390" s="12" t="s">
        <v>135</v>
      </c>
      <c r="O1390" s="12" t="s">
        <v>136</v>
      </c>
      <c r="P1390" s="12" t="s">
        <v>137</v>
      </c>
      <c r="Q1390" s="13">
        <v>45223</v>
      </c>
      <c r="R1390" s="13">
        <v>45258</v>
      </c>
      <c r="S1390">
        <v>2023</v>
      </c>
      <c r="T1390" s="12" t="s">
        <v>1926</v>
      </c>
      <c r="U1390">
        <v>125</v>
      </c>
      <c r="V1390">
        <v>473.21539999999999</v>
      </c>
      <c r="W1390">
        <v>984.17</v>
      </c>
      <c r="X1390">
        <v>0</v>
      </c>
      <c r="Y1390">
        <v>0</v>
      </c>
      <c r="Z1390">
        <v>59151.93</v>
      </c>
      <c r="AA1390">
        <v>60136.1</v>
      </c>
      <c r="AB1390" s="12" t="s">
        <v>439</v>
      </c>
      <c r="AC1390">
        <v>473.21539999999999</v>
      </c>
      <c r="AD1390">
        <v>1</v>
      </c>
      <c r="AE1390">
        <v>1</v>
      </c>
      <c r="AF1390">
        <v>0</v>
      </c>
      <c r="AG1390">
        <v>59151.93</v>
      </c>
      <c r="AH1390">
        <v>125</v>
      </c>
      <c r="AI1390">
        <v>124</v>
      </c>
      <c r="AJ1390">
        <v>1</v>
      </c>
      <c r="AK1390">
        <v>1</v>
      </c>
      <c r="AL1390">
        <v>1</v>
      </c>
      <c r="AM1390">
        <v>99.2</v>
      </c>
      <c r="AN1390">
        <v>484.96850000000001</v>
      </c>
      <c r="AO1390">
        <v>473.22</v>
      </c>
      <c r="AP1390" s="13">
        <v>45261</v>
      </c>
      <c r="AQ1390">
        <v>3</v>
      </c>
      <c r="AR1390">
        <v>0</v>
      </c>
    </row>
    <row r="1391" spans="1:44" x14ac:dyDescent="0.35">
      <c r="A1391" s="12" t="s">
        <v>2076</v>
      </c>
      <c r="B1391" s="12" t="s">
        <v>630</v>
      </c>
      <c r="C1391" s="12" t="s">
        <v>631</v>
      </c>
      <c r="D1391" s="12" t="s">
        <v>130</v>
      </c>
      <c r="E1391" s="12" t="s">
        <v>65</v>
      </c>
      <c r="F1391">
        <v>1</v>
      </c>
      <c r="G1391">
        <v>2</v>
      </c>
      <c r="H1391">
        <v>1</v>
      </c>
      <c r="I1391" s="12" t="s">
        <v>335</v>
      </c>
      <c r="J1391" s="12" t="s">
        <v>336</v>
      </c>
      <c r="K1391" s="12" t="s">
        <v>89</v>
      </c>
      <c r="L1391" s="12" t="s">
        <v>82</v>
      </c>
      <c r="M1391">
        <v>16</v>
      </c>
      <c r="N1391" s="12" t="s">
        <v>135</v>
      </c>
      <c r="O1391" s="12" t="s">
        <v>136</v>
      </c>
      <c r="P1391" s="12" t="s">
        <v>137</v>
      </c>
      <c r="Q1391" s="13">
        <v>45223</v>
      </c>
      <c r="R1391" s="13">
        <v>45254</v>
      </c>
      <c r="S1391">
        <v>2023</v>
      </c>
      <c r="T1391" s="12" t="s">
        <v>1926</v>
      </c>
      <c r="U1391">
        <v>91</v>
      </c>
      <c r="V1391">
        <v>466.2724</v>
      </c>
      <c r="W1391">
        <v>993.83</v>
      </c>
      <c r="X1391">
        <v>0</v>
      </c>
      <c r="Y1391">
        <v>0</v>
      </c>
      <c r="Z1391">
        <v>42430.79</v>
      </c>
      <c r="AA1391">
        <v>43424.62</v>
      </c>
      <c r="AB1391" s="12" t="s">
        <v>632</v>
      </c>
      <c r="AC1391">
        <v>448.44209999999998</v>
      </c>
      <c r="AD1391">
        <v>1</v>
      </c>
      <c r="AE1391">
        <v>1</v>
      </c>
      <c r="AF1391">
        <v>1622.56</v>
      </c>
      <c r="AG1391">
        <v>40808.230000000003</v>
      </c>
      <c r="AH1391">
        <v>91</v>
      </c>
      <c r="AI1391">
        <v>90</v>
      </c>
      <c r="AJ1391">
        <v>1</v>
      </c>
      <c r="AK1391">
        <v>1</v>
      </c>
      <c r="AL1391">
        <v>1</v>
      </c>
      <c r="AM1391">
        <v>98.9</v>
      </c>
      <c r="AN1391">
        <v>482.49579999999997</v>
      </c>
      <c r="AO1391">
        <v>466.27</v>
      </c>
      <c r="AP1391" s="13">
        <v>45254</v>
      </c>
      <c r="AQ1391">
        <v>0</v>
      </c>
      <c r="AR1391">
        <v>1</v>
      </c>
    </row>
    <row r="1392" spans="1:44" x14ac:dyDescent="0.35">
      <c r="A1392" s="12" t="s">
        <v>2077</v>
      </c>
      <c r="B1392" s="12" t="s">
        <v>112</v>
      </c>
      <c r="C1392" s="12" t="s">
        <v>113</v>
      </c>
      <c r="D1392" s="12" t="s">
        <v>114</v>
      </c>
      <c r="E1392" s="12" t="s">
        <v>104</v>
      </c>
      <c r="F1392">
        <v>3</v>
      </c>
      <c r="G1392">
        <v>1</v>
      </c>
      <c r="H1392">
        <v>0</v>
      </c>
      <c r="I1392" s="12" t="s">
        <v>227</v>
      </c>
      <c r="J1392" s="12" t="s">
        <v>228</v>
      </c>
      <c r="K1392" s="12" t="s">
        <v>89</v>
      </c>
      <c r="L1392" s="12" t="s">
        <v>96</v>
      </c>
      <c r="M1392">
        <v>9.15</v>
      </c>
      <c r="N1392" s="12" t="s">
        <v>97</v>
      </c>
      <c r="O1392" s="12" t="s">
        <v>98</v>
      </c>
      <c r="P1392" s="12" t="s">
        <v>72</v>
      </c>
      <c r="Q1392" s="13">
        <v>45223</v>
      </c>
      <c r="R1392" s="13">
        <v>45237</v>
      </c>
      <c r="S1392">
        <v>2023</v>
      </c>
      <c r="T1392" s="12" t="s">
        <v>1926</v>
      </c>
      <c r="U1392">
        <v>26</v>
      </c>
      <c r="V1392">
        <v>264.17590000000001</v>
      </c>
      <c r="W1392">
        <v>74.11</v>
      </c>
      <c r="X1392">
        <v>0</v>
      </c>
      <c r="Y1392">
        <v>0</v>
      </c>
      <c r="Z1392">
        <v>6868.57</v>
      </c>
      <c r="AA1392">
        <v>6942.68</v>
      </c>
      <c r="AB1392" s="12" t="s">
        <v>282</v>
      </c>
      <c r="AC1392">
        <v>264.17590000000001</v>
      </c>
      <c r="AD1392">
        <v>1</v>
      </c>
      <c r="AE1392">
        <v>1</v>
      </c>
      <c r="AF1392">
        <v>0</v>
      </c>
      <c r="AG1392">
        <v>6868.57</v>
      </c>
      <c r="AH1392">
        <v>26</v>
      </c>
      <c r="AI1392">
        <v>26</v>
      </c>
      <c r="AJ1392">
        <v>0</v>
      </c>
      <c r="AK1392">
        <v>1</v>
      </c>
      <c r="AL1392">
        <v>1</v>
      </c>
      <c r="AM1392">
        <v>100</v>
      </c>
      <c r="AN1392">
        <v>267.02629999999999</v>
      </c>
      <c r="AO1392">
        <v>0</v>
      </c>
      <c r="AP1392" s="13">
        <v>45234</v>
      </c>
      <c r="AQ1392">
        <v>-3</v>
      </c>
      <c r="AR1392">
        <v>1</v>
      </c>
    </row>
    <row r="1393" spans="1:44" x14ac:dyDescent="0.35">
      <c r="A1393" s="12" t="s">
        <v>2078</v>
      </c>
      <c r="B1393" s="12" t="s">
        <v>747</v>
      </c>
      <c r="C1393" s="12" t="s">
        <v>748</v>
      </c>
      <c r="D1393" s="12" t="s">
        <v>114</v>
      </c>
      <c r="E1393" s="12" t="s">
        <v>104</v>
      </c>
      <c r="F1393">
        <v>2</v>
      </c>
      <c r="G1393">
        <v>0</v>
      </c>
      <c r="H1393">
        <v>0</v>
      </c>
      <c r="I1393" s="12" t="s">
        <v>380</v>
      </c>
      <c r="J1393" s="12" t="s">
        <v>381</v>
      </c>
      <c r="K1393" s="12" t="s">
        <v>89</v>
      </c>
      <c r="L1393" s="12" t="s">
        <v>96</v>
      </c>
      <c r="M1393">
        <v>10.210000000000001</v>
      </c>
      <c r="N1393" s="12" t="s">
        <v>70</v>
      </c>
      <c r="O1393" s="12" t="s">
        <v>71</v>
      </c>
      <c r="P1393" s="12" t="s">
        <v>72</v>
      </c>
      <c r="Q1393" s="13">
        <v>45223</v>
      </c>
      <c r="R1393" s="13">
        <v>45245</v>
      </c>
      <c r="S1393">
        <v>2023</v>
      </c>
      <c r="T1393" s="12" t="s">
        <v>1926</v>
      </c>
      <c r="U1393">
        <v>93</v>
      </c>
      <c r="V1393">
        <v>245.56890000000001</v>
      </c>
      <c r="W1393">
        <v>339.96</v>
      </c>
      <c r="X1393">
        <v>0</v>
      </c>
      <c r="Y1393">
        <v>0</v>
      </c>
      <c r="Z1393">
        <v>22837.91</v>
      </c>
      <c r="AA1393">
        <v>23177.87</v>
      </c>
      <c r="AB1393" s="12" t="s">
        <v>896</v>
      </c>
      <c r="AC1393">
        <v>245.56890000000001</v>
      </c>
      <c r="AD1393">
        <v>1</v>
      </c>
      <c r="AE1393">
        <v>1</v>
      </c>
      <c r="AF1393">
        <v>0</v>
      </c>
      <c r="AG1393">
        <v>22837.91</v>
      </c>
      <c r="AH1393">
        <v>93</v>
      </c>
      <c r="AI1393">
        <v>92</v>
      </c>
      <c r="AJ1393">
        <v>1</v>
      </c>
      <c r="AK1393">
        <v>1</v>
      </c>
      <c r="AL1393">
        <v>1</v>
      </c>
      <c r="AM1393">
        <v>98.92</v>
      </c>
      <c r="AN1393">
        <v>251.9333</v>
      </c>
      <c r="AO1393">
        <v>245.57</v>
      </c>
      <c r="AP1393" s="13">
        <v>45245</v>
      </c>
      <c r="AQ1393">
        <v>0</v>
      </c>
      <c r="AR1393">
        <v>1</v>
      </c>
    </row>
    <row r="1394" spans="1:44" x14ac:dyDescent="0.35">
      <c r="A1394" s="12" t="s">
        <v>2079</v>
      </c>
      <c r="B1394" s="12" t="s">
        <v>249</v>
      </c>
      <c r="C1394" s="12" t="s">
        <v>250</v>
      </c>
      <c r="D1394" s="12" t="s">
        <v>64</v>
      </c>
      <c r="E1394" s="12" t="s">
        <v>65</v>
      </c>
      <c r="F1394">
        <v>2</v>
      </c>
      <c r="G1394">
        <v>3</v>
      </c>
      <c r="H1394">
        <v>0</v>
      </c>
      <c r="I1394" s="12" t="s">
        <v>251</v>
      </c>
      <c r="J1394" s="12" t="s">
        <v>252</v>
      </c>
      <c r="K1394" s="12" t="s">
        <v>133</v>
      </c>
      <c r="L1394" s="12" t="s">
        <v>69</v>
      </c>
      <c r="M1394">
        <v>34.49</v>
      </c>
      <c r="N1394" s="12" t="s">
        <v>70</v>
      </c>
      <c r="O1394" s="12" t="s">
        <v>71</v>
      </c>
      <c r="P1394" s="12" t="s">
        <v>72</v>
      </c>
      <c r="Q1394" s="13">
        <v>45223</v>
      </c>
      <c r="R1394" s="13">
        <v>45261</v>
      </c>
      <c r="S1394">
        <v>2023</v>
      </c>
      <c r="T1394" s="12" t="s">
        <v>1926</v>
      </c>
      <c r="U1394">
        <v>964</v>
      </c>
      <c r="V1394">
        <v>10.0298</v>
      </c>
      <c r="W1394">
        <v>210.85</v>
      </c>
      <c r="X1394">
        <v>0</v>
      </c>
      <c r="Y1394">
        <v>0</v>
      </c>
      <c r="Z1394">
        <v>9668.73</v>
      </c>
      <c r="AA1394">
        <v>9879.58</v>
      </c>
      <c r="AB1394" s="12" t="s">
        <v>253</v>
      </c>
      <c r="AC1394">
        <v>10.6486</v>
      </c>
      <c r="AD1394">
        <v>1</v>
      </c>
      <c r="AE1394">
        <v>1</v>
      </c>
      <c r="AF1394">
        <v>-596.52</v>
      </c>
      <c r="AG1394">
        <v>10265.25</v>
      </c>
      <c r="AH1394">
        <v>964</v>
      </c>
      <c r="AI1394">
        <v>952</v>
      </c>
      <c r="AJ1394">
        <v>12</v>
      </c>
      <c r="AK1394">
        <v>1</v>
      </c>
      <c r="AL1394">
        <v>1</v>
      </c>
      <c r="AM1394">
        <v>98.76</v>
      </c>
      <c r="AN1394">
        <v>10.377700000000001</v>
      </c>
      <c r="AO1394">
        <v>120.36</v>
      </c>
      <c r="AP1394" s="13">
        <v>45259</v>
      </c>
      <c r="AQ1394">
        <v>-2</v>
      </c>
      <c r="AR1394">
        <v>1</v>
      </c>
    </row>
    <row r="1395" spans="1:44" x14ac:dyDescent="0.35">
      <c r="A1395" s="12" t="s">
        <v>2080</v>
      </c>
      <c r="B1395" s="12" t="s">
        <v>1666</v>
      </c>
      <c r="C1395" s="12" t="s">
        <v>1667</v>
      </c>
      <c r="D1395" s="12" t="s">
        <v>78</v>
      </c>
      <c r="E1395" s="12" t="s">
        <v>65</v>
      </c>
      <c r="F1395">
        <v>2</v>
      </c>
      <c r="G1395">
        <v>3</v>
      </c>
      <c r="H1395">
        <v>0</v>
      </c>
      <c r="I1395" s="12" t="s">
        <v>310</v>
      </c>
      <c r="J1395" s="12" t="s">
        <v>311</v>
      </c>
      <c r="K1395" s="12" t="s">
        <v>81</v>
      </c>
      <c r="L1395" s="12" t="s">
        <v>69</v>
      </c>
      <c r="M1395">
        <v>28.3</v>
      </c>
      <c r="N1395" s="12" t="s">
        <v>70</v>
      </c>
      <c r="O1395" s="12" t="s">
        <v>71</v>
      </c>
      <c r="P1395" s="12" t="s">
        <v>72</v>
      </c>
      <c r="Q1395" s="13">
        <v>45223</v>
      </c>
      <c r="R1395" s="13">
        <v>45250</v>
      </c>
      <c r="S1395">
        <v>2023</v>
      </c>
      <c r="T1395" s="12" t="s">
        <v>1926</v>
      </c>
      <c r="U1395">
        <v>134</v>
      </c>
      <c r="V1395">
        <v>79.4572</v>
      </c>
      <c r="W1395">
        <v>129.19</v>
      </c>
      <c r="X1395">
        <v>0</v>
      </c>
      <c r="Y1395">
        <v>0</v>
      </c>
      <c r="Z1395">
        <v>10647.26</v>
      </c>
      <c r="AA1395">
        <v>10776.45</v>
      </c>
      <c r="AB1395" s="12" t="s">
        <v>1668</v>
      </c>
      <c r="AC1395">
        <v>75.122299999999996</v>
      </c>
      <c r="AD1395">
        <v>1</v>
      </c>
      <c r="AE1395">
        <v>1</v>
      </c>
      <c r="AF1395">
        <v>580.88</v>
      </c>
      <c r="AG1395">
        <v>10066.39</v>
      </c>
      <c r="AH1395">
        <v>134</v>
      </c>
      <c r="AI1395">
        <v>132</v>
      </c>
      <c r="AJ1395">
        <v>2</v>
      </c>
      <c r="AK1395">
        <v>1</v>
      </c>
      <c r="AL1395">
        <v>1</v>
      </c>
      <c r="AM1395">
        <v>98.51</v>
      </c>
      <c r="AN1395">
        <v>81.639799999999994</v>
      </c>
      <c r="AO1395">
        <v>158.91</v>
      </c>
      <c r="AP1395" s="13">
        <v>45250</v>
      </c>
      <c r="AQ1395">
        <v>0</v>
      </c>
      <c r="AR1395">
        <v>1</v>
      </c>
    </row>
    <row r="1396" spans="1:44" x14ac:dyDescent="0.35">
      <c r="A1396" s="12" t="s">
        <v>2081</v>
      </c>
      <c r="B1396" s="12" t="s">
        <v>978</v>
      </c>
      <c r="C1396" s="12" t="s">
        <v>979</v>
      </c>
      <c r="D1396" s="12" t="s">
        <v>122</v>
      </c>
      <c r="E1396" s="12" t="s">
        <v>65</v>
      </c>
      <c r="F1396">
        <v>1</v>
      </c>
      <c r="G1396">
        <v>2</v>
      </c>
      <c r="H1396">
        <v>1</v>
      </c>
      <c r="I1396" s="12" t="s">
        <v>310</v>
      </c>
      <c r="J1396" s="12" t="s">
        <v>311</v>
      </c>
      <c r="K1396" s="12" t="s">
        <v>81</v>
      </c>
      <c r="L1396" s="12" t="s">
        <v>69</v>
      </c>
      <c r="M1396">
        <v>28.3</v>
      </c>
      <c r="N1396" s="12" t="s">
        <v>70</v>
      </c>
      <c r="O1396" s="12" t="s">
        <v>71</v>
      </c>
      <c r="P1396" s="12" t="s">
        <v>72</v>
      </c>
      <c r="Q1396" s="13">
        <v>45223</v>
      </c>
      <c r="R1396" s="13">
        <v>45261</v>
      </c>
      <c r="S1396">
        <v>2023</v>
      </c>
      <c r="T1396" s="12" t="s">
        <v>1926</v>
      </c>
      <c r="U1396">
        <v>1946</v>
      </c>
      <c r="V1396">
        <v>41.1586</v>
      </c>
      <c r="W1396">
        <v>1461.71</v>
      </c>
      <c r="X1396">
        <v>0</v>
      </c>
      <c r="Y1396">
        <v>0</v>
      </c>
      <c r="Z1396">
        <v>80094.64</v>
      </c>
      <c r="AA1396">
        <v>81556.350000000006</v>
      </c>
      <c r="AB1396" s="12" t="s">
        <v>980</v>
      </c>
      <c r="AC1396">
        <v>43.709699999999998</v>
      </c>
      <c r="AD1396">
        <v>1</v>
      </c>
      <c r="AE1396">
        <v>1</v>
      </c>
      <c r="AF1396">
        <v>-4964.4399999999996</v>
      </c>
      <c r="AG1396">
        <v>85059.08</v>
      </c>
      <c r="AH1396">
        <v>1946</v>
      </c>
      <c r="AI1396">
        <v>1928</v>
      </c>
      <c r="AJ1396">
        <v>18</v>
      </c>
      <c r="AK1396">
        <v>1</v>
      </c>
      <c r="AL1396">
        <v>1</v>
      </c>
      <c r="AM1396">
        <v>99.08</v>
      </c>
      <c r="AN1396">
        <v>42.301000000000002</v>
      </c>
      <c r="AO1396">
        <v>740.85</v>
      </c>
      <c r="AP1396" s="13">
        <v>45257</v>
      </c>
      <c r="AQ1396">
        <v>-4</v>
      </c>
      <c r="AR1396">
        <v>1</v>
      </c>
    </row>
    <row r="1397" spans="1:44" x14ac:dyDescent="0.35">
      <c r="A1397" s="12" t="s">
        <v>2082</v>
      </c>
      <c r="B1397" s="12" t="s">
        <v>1042</v>
      </c>
      <c r="C1397" s="12" t="s">
        <v>1043</v>
      </c>
      <c r="D1397" s="12" t="s">
        <v>269</v>
      </c>
      <c r="E1397" s="12" t="s">
        <v>104</v>
      </c>
      <c r="F1397">
        <v>2</v>
      </c>
      <c r="G1397">
        <v>0</v>
      </c>
      <c r="H1397">
        <v>0</v>
      </c>
      <c r="I1397" s="12" t="s">
        <v>199</v>
      </c>
      <c r="J1397" s="12" t="s">
        <v>200</v>
      </c>
      <c r="K1397" s="12" t="s">
        <v>68</v>
      </c>
      <c r="L1397" s="12" t="s">
        <v>96</v>
      </c>
      <c r="M1397">
        <v>9.4700000000000006</v>
      </c>
      <c r="N1397" s="12" t="s">
        <v>159</v>
      </c>
      <c r="O1397" s="12" t="s">
        <v>160</v>
      </c>
      <c r="P1397" s="12" t="s">
        <v>137</v>
      </c>
      <c r="Q1397" s="13">
        <v>45223</v>
      </c>
      <c r="R1397" s="13">
        <v>45250</v>
      </c>
      <c r="S1397">
        <v>2023</v>
      </c>
      <c r="T1397" s="12" t="s">
        <v>1926</v>
      </c>
      <c r="U1397">
        <v>127</v>
      </c>
      <c r="V1397">
        <v>290.76319999999998</v>
      </c>
      <c r="W1397">
        <v>484.98</v>
      </c>
      <c r="X1397">
        <v>0</v>
      </c>
      <c r="Y1397">
        <v>0</v>
      </c>
      <c r="Z1397">
        <v>36926.93</v>
      </c>
      <c r="AA1397">
        <v>37411.910000000003</v>
      </c>
      <c r="AB1397" s="12" t="s">
        <v>1414</v>
      </c>
      <c r="AC1397">
        <v>290.76319999999998</v>
      </c>
      <c r="AD1397">
        <v>1</v>
      </c>
      <c r="AE1397">
        <v>1</v>
      </c>
      <c r="AF1397">
        <v>0</v>
      </c>
      <c r="AG1397">
        <v>36926.93</v>
      </c>
      <c r="AH1397">
        <v>127</v>
      </c>
      <c r="AI1397">
        <v>125</v>
      </c>
      <c r="AJ1397">
        <v>2</v>
      </c>
      <c r="AK1397">
        <v>1</v>
      </c>
      <c r="AL1397">
        <v>1</v>
      </c>
      <c r="AM1397">
        <v>98.43</v>
      </c>
      <c r="AN1397">
        <v>299.2953</v>
      </c>
      <c r="AO1397">
        <v>581.53</v>
      </c>
      <c r="AP1397" s="13">
        <v>45248</v>
      </c>
      <c r="AQ1397">
        <v>-2</v>
      </c>
      <c r="AR1397">
        <v>1</v>
      </c>
    </row>
    <row r="1398" spans="1:44" x14ac:dyDescent="0.35">
      <c r="A1398" s="12" t="s">
        <v>2083</v>
      </c>
      <c r="B1398" s="12" t="s">
        <v>85</v>
      </c>
      <c r="C1398" s="12" t="s">
        <v>86</v>
      </c>
      <c r="D1398" s="12" t="s">
        <v>78</v>
      </c>
      <c r="E1398" s="12" t="s">
        <v>65</v>
      </c>
      <c r="F1398">
        <v>3</v>
      </c>
      <c r="G1398">
        <v>5</v>
      </c>
      <c r="H1398">
        <v>0</v>
      </c>
      <c r="I1398" s="12" t="s">
        <v>87</v>
      </c>
      <c r="J1398" s="12" t="s">
        <v>88</v>
      </c>
      <c r="K1398" s="12" t="s">
        <v>89</v>
      </c>
      <c r="L1398" s="12" t="s">
        <v>69</v>
      </c>
      <c r="M1398">
        <v>14.93</v>
      </c>
      <c r="N1398" s="12" t="s">
        <v>70</v>
      </c>
      <c r="O1398" s="12" t="s">
        <v>71</v>
      </c>
      <c r="P1398" s="12" t="s">
        <v>72</v>
      </c>
      <c r="Q1398" s="13">
        <v>45223</v>
      </c>
      <c r="R1398" s="13">
        <v>45249</v>
      </c>
      <c r="S1398">
        <v>2023</v>
      </c>
      <c r="T1398" s="12" t="s">
        <v>1926</v>
      </c>
      <c r="U1398">
        <v>114</v>
      </c>
      <c r="V1398">
        <v>147.55000000000001</v>
      </c>
      <c r="W1398">
        <v>319.01</v>
      </c>
      <c r="X1398">
        <v>0</v>
      </c>
      <c r="Y1398">
        <v>0</v>
      </c>
      <c r="Z1398">
        <v>16820.7</v>
      </c>
      <c r="AA1398">
        <v>17139.71</v>
      </c>
      <c r="AB1398" s="12" t="s">
        <v>90</v>
      </c>
      <c r="AC1398">
        <v>147.55000000000001</v>
      </c>
      <c r="AD1398">
        <v>1</v>
      </c>
      <c r="AE1398">
        <v>1</v>
      </c>
      <c r="AF1398">
        <v>0</v>
      </c>
      <c r="AG1398">
        <v>16820.7</v>
      </c>
      <c r="AH1398">
        <v>114</v>
      </c>
      <c r="AI1398">
        <v>111</v>
      </c>
      <c r="AJ1398">
        <v>3</v>
      </c>
      <c r="AK1398">
        <v>1</v>
      </c>
      <c r="AL1398">
        <v>1</v>
      </c>
      <c r="AM1398">
        <v>97.37</v>
      </c>
      <c r="AN1398">
        <v>154.4118</v>
      </c>
      <c r="AO1398">
        <v>442.65</v>
      </c>
      <c r="AP1398" s="13">
        <v>45246</v>
      </c>
      <c r="AQ1398">
        <v>-3</v>
      </c>
      <c r="AR1398">
        <v>1</v>
      </c>
    </row>
    <row r="1399" spans="1:44" x14ac:dyDescent="0.35">
      <c r="A1399" s="12" t="s">
        <v>2084</v>
      </c>
      <c r="B1399" s="12" t="s">
        <v>602</v>
      </c>
      <c r="C1399" s="12" t="s">
        <v>603</v>
      </c>
      <c r="D1399" s="12" t="s">
        <v>114</v>
      </c>
      <c r="E1399" s="12" t="s">
        <v>142</v>
      </c>
      <c r="F1399">
        <v>2</v>
      </c>
      <c r="G1399">
        <v>10</v>
      </c>
      <c r="H1399">
        <v>0</v>
      </c>
      <c r="I1399" s="12" t="s">
        <v>263</v>
      </c>
      <c r="J1399" s="12" t="s">
        <v>264</v>
      </c>
      <c r="K1399" s="12" t="s">
        <v>125</v>
      </c>
      <c r="L1399" s="12" t="s">
        <v>82</v>
      </c>
      <c r="M1399">
        <v>10.210000000000001</v>
      </c>
      <c r="N1399" s="12" t="s">
        <v>70</v>
      </c>
      <c r="O1399" s="12" t="s">
        <v>71</v>
      </c>
      <c r="P1399" s="12" t="s">
        <v>72</v>
      </c>
      <c r="Q1399" s="13">
        <v>45223</v>
      </c>
      <c r="R1399" s="13">
        <v>45262</v>
      </c>
      <c r="S1399">
        <v>2023</v>
      </c>
      <c r="T1399" s="12" t="s">
        <v>1926</v>
      </c>
      <c r="U1399">
        <v>44</v>
      </c>
      <c r="V1399">
        <v>213.4624</v>
      </c>
      <c r="W1399">
        <v>81.31</v>
      </c>
      <c r="X1399">
        <v>0</v>
      </c>
      <c r="Y1399">
        <v>0</v>
      </c>
      <c r="Z1399">
        <v>9392.35</v>
      </c>
      <c r="AA1399">
        <v>9473.66</v>
      </c>
      <c r="AB1399" s="12" t="s">
        <v>691</v>
      </c>
      <c r="AC1399">
        <v>213.4624</v>
      </c>
      <c r="AD1399">
        <v>1</v>
      </c>
      <c r="AE1399">
        <v>1</v>
      </c>
      <c r="AF1399">
        <v>0</v>
      </c>
      <c r="AG1399">
        <v>9392.35</v>
      </c>
      <c r="AH1399">
        <v>44</v>
      </c>
      <c r="AI1399">
        <v>43</v>
      </c>
      <c r="AJ1399">
        <v>1</v>
      </c>
      <c r="AK1399">
        <v>1</v>
      </c>
      <c r="AL1399">
        <v>1</v>
      </c>
      <c r="AM1399">
        <v>97.73</v>
      </c>
      <c r="AN1399">
        <v>220.3176</v>
      </c>
      <c r="AO1399">
        <v>213.46</v>
      </c>
      <c r="AP1399" s="13">
        <v>45261</v>
      </c>
      <c r="AQ1399">
        <v>-1</v>
      </c>
      <c r="AR1399">
        <v>1</v>
      </c>
    </row>
    <row r="1400" spans="1:44" x14ac:dyDescent="0.35">
      <c r="A1400" s="12" t="s">
        <v>2085</v>
      </c>
      <c r="B1400" s="12" t="s">
        <v>537</v>
      </c>
      <c r="C1400" s="12" t="s">
        <v>538</v>
      </c>
      <c r="D1400" s="12" t="s">
        <v>103</v>
      </c>
      <c r="E1400" s="12" t="s">
        <v>104</v>
      </c>
      <c r="F1400">
        <v>3</v>
      </c>
      <c r="G1400">
        <v>0</v>
      </c>
      <c r="H1400">
        <v>0</v>
      </c>
      <c r="I1400" s="12" t="s">
        <v>380</v>
      </c>
      <c r="J1400" s="12" t="s">
        <v>381</v>
      </c>
      <c r="K1400" s="12" t="s">
        <v>89</v>
      </c>
      <c r="L1400" s="12" t="s">
        <v>96</v>
      </c>
      <c r="M1400">
        <v>10.210000000000001</v>
      </c>
      <c r="N1400" s="12" t="s">
        <v>107</v>
      </c>
      <c r="O1400" s="12" t="s">
        <v>108</v>
      </c>
      <c r="P1400" s="12" t="s">
        <v>109</v>
      </c>
      <c r="Q1400" s="13">
        <v>45224</v>
      </c>
      <c r="R1400" s="13">
        <v>45252</v>
      </c>
      <c r="S1400">
        <v>2023</v>
      </c>
      <c r="T1400" s="12" t="s">
        <v>1926</v>
      </c>
      <c r="U1400">
        <v>137</v>
      </c>
      <c r="V1400">
        <v>242.5684</v>
      </c>
      <c r="W1400">
        <v>673.85</v>
      </c>
      <c r="X1400">
        <v>0</v>
      </c>
      <c r="Y1400">
        <v>0</v>
      </c>
      <c r="Z1400">
        <v>33231.870000000003</v>
      </c>
      <c r="AA1400">
        <v>33905.72</v>
      </c>
      <c r="AB1400" s="12" t="s">
        <v>539</v>
      </c>
      <c r="AC1400">
        <v>242.5684</v>
      </c>
      <c r="AD1400">
        <v>1</v>
      </c>
      <c r="AE1400">
        <v>1</v>
      </c>
      <c r="AF1400">
        <v>0</v>
      </c>
      <c r="AG1400">
        <v>33231.870000000003</v>
      </c>
      <c r="AH1400">
        <v>137</v>
      </c>
      <c r="AI1400">
        <v>136</v>
      </c>
      <c r="AJ1400">
        <v>1</v>
      </c>
      <c r="AK1400">
        <v>1</v>
      </c>
      <c r="AL1400">
        <v>1</v>
      </c>
      <c r="AM1400">
        <v>99.27</v>
      </c>
      <c r="AN1400">
        <v>249.30680000000001</v>
      </c>
      <c r="AO1400">
        <v>242.57</v>
      </c>
      <c r="AP1400" s="13">
        <v>45251</v>
      </c>
      <c r="AQ1400">
        <v>-1</v>
      </c>
      <c r="AR1400">
        <v>1</v>
      </c>
    </row>
    <row r="1401" spans="1:44" x14ac:dyDescent="0.35">
      <c r="A1401" s="12" t="s">
        <v>2086</v>
      </c>
      <c r="B1401" s="12" t="s">
        <v>876</v>
      </c>
      <c r="C1401" s="12" t="s">
        <v>877</v>
      </c>
      <c r="D1401" s="12" t="s">
        <v>269</v>
      </c>
      <c r="E1401" s="12" t="s">
        <v>142</v>
      </c>
      <c r="F1401">
        <v>3</v>
      </c>
      <c r="G1401">
        <v>11</v>
      </c>
      <c r="H1401">
        <v>0</v>
      </c>
      <c r="I1401" s="12" t="s">
        <v>515</v>
      </c>
      <c r="J1401" s="12" t="s">
        <v>516</v>
      </c>
      <c r="K1401" s="12" t="s">
        <v>68</v>
      </c>
      <c r="L1401" s="12" t="s">
        <v>134</v>
      </c>
      <c r="M1401">
        <v>3.69</v>
      </c>
      <c r="N1401" s="12" t="s">
        <v>135</v>
      </c>
      <c r="O1401" s="12" t="s">
        <v>136</v>
      </c>
      <c r="P1401" s="12" t="s">
        <v>137</v>
      </c>
      <c r="Q1401" s="13">
        <v>45224</v>
      </c>
      <c r="R1401" s="13">
        <v>45265</v>
      </c>
      <c r="S1401">
        <v>2023</v>
      </c>
      <c r="T1401" s="12" t="s">
        <v>1926</v>
      </c>
      <c r="U1401">
        <v>58</v>
      </c>
      <c r="V1401">
        <v>205.07480000000001</v>
      </c>
      <c r="W1401">
        <v>117.78</v>
      </c>
      <c r="X1401">
        <v>0</v>
      </c>
      <c r="Y1401">
        <v>0</v>
      </c>
      <c r="Z1401">
        <v>11894.34</v>
      </c>
      <c r="AA1401">
        <v>12012.12</v>
      </c>
      <c r="AB1401" s="12" t="s">
        <v>1175</v>
      </c>
      <c r="AC1401">
        <v>205.07480000000001</v>
      </c>
      <c r="AD1401">
        <v>1</v>
      </c>
      <c r="AE1401">
        <v>1</v>
      </c>
      <c r="AF1401">
        <v>0</v>
      </c>
      <c r="AG1401">
        <v>11894.34</v>
      </c>
      <c r="AH1401">
        <v>58</v>
      </c>
      <c r="AI1401">
        <v>58</v>
      </c>
      <c r="AJ1401">
        <v>0</v>
      </c>
      <c r="AK1401">
        <v>1</v>
      </c>
      <c r="AL1401">
        <v>1</v>
      </c>
      <c r="AM1401">
        <v>100</v>
      </c>
      <c r="AN1401">
        <v>207.10550000000001</v>
      </c>
      <c r="AO1401">
        <v>0</v>
      </c>
      <c r="AP1401" s="13">
        <v>45264</v>
      </c>
      <c r="AQ1401">
        <v>-1</v>
      </c>
      <c r="AR1401">
        <v>1</v>
      </c>
    </row>
    <row r="1402" spans="1:44" x14ac:dyDescent="0.35">
      <c r="A1402" s="12" t="s">
        <v>2087</v>
      </c>
      <c r="B1402" s="12" t="s">
        <v>755</v>
      </c>
      <c r="C1402" s="12" t="s">
        <v>756</v>
      </c>
      <c r="D1402" s="12" t="s">
        <v>78</v>
      </c>
      <c r="E1402" s="12" t="s">
        <v>65</v>
      </c>
      <c r="F1402">
        <v>2</v>
      </c>
      <c r="G1402">
        <v>2</v>
      </c>
      <c r="H1402">
        <v>0</v>
      </c>
      <c r="I1402" s="12" t="s">
        <v>359</v>
      </c>
      <c r="J1402" s="12" t="s">
        <v>360</v>
      </c>
      <c r="K1402" s="12" t="s">
        <v>133</v>
      </c>
      <c r="L1402" s="12" t="s">
        <v>82</v>
      </c>
      <c r="M1402">
        <v>12.65</v>
      </c>
      <c r="N1402" s="12" t="s">
        <v>97</v>
      </c>
      <c r="O1402" s="12" t="s">
        <v>98</v>
      </c>
      <c r="P1402" s="12" t="s">
        <v>72</v>
      </c>
      <c r="Q1402" s="13">
        <v>45224</v>
      </c>
      <c r="R1402" s="13">
        <v>45262</v>
      </c>
      <c r="S1402">
        <v>2023</v>
      </c>
      <c r="T1402" s="12" t="s">
        <v>1926</v>
      </c>
      <c r="U1402">
        <v>286</v>
      </c>
      <c r="V1402">
        <v>45.472499999999997</v>
      </c>
      <c r="W1402">
        <v>320.10000000000002</v>
      </c>
      <c r="X1402">
        <v>398.86</v>
      </c>
      <c r="Y1402">
        <v>1</v>
      </c>
      <c r="Z1402">
        <v>13005.14</v>
      </c>
      <c r="AA1402">
        <v>13724.1</v>
      </c>
      <c r="AB1402" s="12" t="s">
        <v>759</v>
      </c>
      <c r="AC1402">
        <v>45.472499999999997</v>
      </c>
      <c r="AD1402">
        <v>1</v>
      </c>
      <c r="AE1402">
        <v>1</v>
      </c>
      <c r="AF1402">
        <v>0</v>
      </c>
      <c r="AG1402">
        <v>13005.14</v>
      </c>
      <c r="AH1402">
        <v>286</v>
      </c>
      <c r="AI1402">
        <v>280</v>
      </c>
      <c r="AJ1402">
        <v>6</v>
      </c>
      <c r="AK1402">
        <v>1</v>
      </c>
      <c r="AL1402">
        <v>1</v>
      </c>
      <c r="AM1402">
        <v>97.9</v>
      </c>
      <c r="AN1402">
        <v>49.014600000000002</v>
      </c>
      <c r="AO1402">
        <v>272.83999999999997</v>
      </c>
      <c r="AP1402" s="13">
        <v>45262</v>
      </c>
      <c r="AQ1402">
        <v>0</v>
      </c>
      <c r="AR1402">
        <v>1</v>
      </c>
    </row>
    <row r="1403" spans="1:44" x14ac:dyDescent="0.35">
      <c r="A1403" s="12" t="s">
        <v>2088</v>
      </c>
      <c r="B1403" s="12" t="s">
        <v>1179</v>
      </c>
      <c r="C1403" s="12" t="s">
        <v>1180</v>
      </c>
      <c r="D1403" s="12" t="s">
        <v>122</v>
      </c>
      <c r="E1403" s="12" t="s">
        <v>142</v>
      </c>
      <c r="F1403">
        <v>1</v>
      </c>
      <c r="G1403">
        <v>8</v>
      </c>
      <c r="H1403">
        <v>1</v>
      </c>
      <c r="I1403" s="12" t="s">
        <v>143</v>
      </c>
      <c r="J1403" s="12" t="s">
        <v>144</v>
      </c>
      <c r="K1403" s="12" t="s">
        <v>133</v>
      </c>
      <c r="L1403" s="12" t="s">
        <v>96</v>
      </c>
      <c r="M1403">
        <v>5.43</v>
      </c>
      <c r="N1403" s="12" t="s">
        <v>70</v>
      </c>
      <c r="O1403" s="12" t="s">
        <v>71</v>
      </c>
      <c r="P1403" s="12" t="s">
        <v>72</v>
      </c>
      <c r="Q1403" s="13">
        <v>45224</v>
      </c>
      <c r="R1403" s="13">
        <v>45267</v>
      </c>
      <c r="S1403">
        <v>2023</v>
      </c>
      <c r="T1403" s="12" t="s">
        <v>1926</v>
      </c>
      <c r="U1403">
        <v>1008</v>
      </c>
      <c r="V1403">
        <v>52.674799999999998</v>
      </c>
      <c r="W1403">
        <v>906.4</v>
      </c>
      <c r="X1403">
        <v>0</v>
      </c>
      <c r="Y1403">
        <v>0</v>
      </c>
      <c r="Z1403">
        <v>53096.2</v>
      </c>
      <c r="AA1403">
        <v>54002.6</v>
      </c>
      <c r="AB1403" s="12" t="s">
        <v>1181</v>
      </c>
      <c r="AC1403">
        <v>52.674799999999998</v>
      </c>
      <c r="AD1403">
        <v>1</v>
      </c>
      <c r="AE1403">
        <v>1</v>
      </c>
      <c r="AF1403">
        <v>0</v>
      </c>
      <c r="AG1403">
        <v>53096.2</v>
      </c>
      <c r="AH1403">
        <v>1008</v>
      </c>
      <c r="AI1403">
        <v>997</v>
      </c>
      <c r="AJ1403">
        <v>11</v>
      </c>
      <c r="AK1403">
        <v>1</v>
      </c>
      <c r="AL1403">
        <v>1</v>
      </c>
      <c r="AM1403">
        <v>98.91</v>
      </c>
      <c r="AN1403">
        <v>54.165100000000002</v>
      </c>
      <c r="AO1403">
        <v>579.41999999999996</v>
      </c>
      <c r="AP1403" s="13">
        <v>45272</v>
      </c>
      <c r="AQ1403">
        <v>5</v>
      </c>
      <c r="AR1403">
        <v>0</v>
      </c>
    </row>
    <row r="1404" spans="1:44" x14ac:dyDescent="0.35">
      <c r="A1404" s="12" t="s">
        <v>2089</v>
      </c>
      <c r="B1404" s="12" t="s">
        <v>587</v>
      </c>
      <c r="C1404" s="12" t="s">
        <v>588</v>
      </c>
      <c r="D1404" s="12" t="s">
        <v>122</v>
      </c>
      <c r="E1404" s="12" t="s">
        <v>104</v>
      </c>
      <c r="F1404">
        <v>2</v>
      </c>
      <c r="G1404">
        <v>0</v>
      </c>
      <c r="H1404">
        <v>0</v>
      </c>
      <c r="I1404" s="12" t="s">
        <v>94</v>
      </c>
      <c r="J1404" s="12" t="s">
        <v>95</v>
      </c>
      <c r="K1404" s="12" t="s">
        <v>81</v>
      </c>
      <c r="L1404" s="12" t="s">
        <v>96</v>
      </c>
      <c r="M1404">
        <v>4.8099999999999996</v>
      </c>
      <c r="N1404" s="12" t="s">
        <v>97</v>
      </c>
      <c r="O1404" s="12" t="s">
        <v>98</v>
      </c>
      <c r="P1404" s="12" t="s">
        <v>72</v>
      </c>
      <c r="Q1404" s="13">
        <v>45224</v>
      </c>
      <c r="R1404" s="13">
        <v>45237</v>
      </c>
      <c r="S1404">
        <v>2023</v>
      </c>
      <c r="T1404" s="12" t="s">
        <v>1926</v>
      </c>
      <c r="U1404">
        <v>330</v>
      </c>
      <c r="V1404">
        <v>12.517899999999999</v>
      </c>
      <c r="W1404">
        <v>62.09</v>
      </c>
      <c r="X1404">
        <v>0</v>
      </c>
      <c r="Y1404">
        <v>0</v>
      </c>
      <c r="Z1404">
        <v>4130.91</v>
      </c>
      <c r="AA1404">
        <v>4193</v>
      </c>
      <c r="AB1404" s="12" t="s">
        <v>589</v>
      </c>
      <c r="AC1404">
        <v>12.517899999999999</v>
      </c>
      <c r="AD1404">
        <v>1</v>
      </c>
      <c r="AE1404">
        <v>1</v>
      </c>
      <c r="AF1404">
        <v>0</v>
      </c>
      <c r="AG1404">
        <v>4130.91</v>
      </c>
      <c r="AH1404">
        <v>330</v>
      </c>
      <c r="AI1404">
        <v>329</v>
      </c>
      <c r="AJ1404">
        <v>1</v>
      </c>
      <c r="AK1404">
        <v>1</v>
      </c>
      <c r="AL1404">
        <v>1</v>
      </c>
      <c r="AM1404">
        <v>99.7</v>
      </c>
      <c r="AN1404">
        <v>12.7447</v>
      </c>
      <c r="AO1404">
        <v>12.52</v>
      </c>
      <c r="AP1404" s="13">
        <v>45234</v>
      </c>
      <c r="AQ1404">
        <v>-3</v>
      </c>
      <c r="AR1404">
        <v>1</v>
      </c>
    </row>
    <row r="1405" spans="1:44" x14ac:dyDescent="0.35">
      <c r="A1405" s="12" t="s">
        <v>2090</v>
      </c>
      <c r="B1405" s="12" t="s">
        <v>293</v>
      </c>
      <c r="C1405" s="12" t="s">
        <v>294</v>
      </c>
      <c r="D1405" s="12" t="s">
        <v>114</v>
      </c>
      <c r="E1405" s="12" t="s">
        <v>142</v>
      </c>
      <c r="F1405">
        <v>1</v>
      </c>
      <c r="G1405">
        <v>6</v>
      </c>
      <c r="H1405">
        <v>1</v>
      </c>
      <c r="I1405" s="12" t="s">
        <v>195</v>
      </c>
      <c r="J1405" s="12" t="s">
        <v>196</v>
      </c>
      <c r="K1405" s="12" t="s">
        <v>117</v>
      </c>
      <c r="L1405" s="12" t="s">
        <v>134</v>
      </c>
      <c r="M1405">
        <v>4.7699999999999996</v>
      </c>
      <c r="N1405" s="12" t="s">
        <v>70</v>
      </c>
      <c r="O1405" s="12" t="s">
        <v>71</v>
      </c>
      <c r="P1405" s="12" t="s">
        <v>72</v>
      </c>
      <c r="Q1405" s="13">
        <v>45224</v>
      </c>
      <c r="R1405" s="13">
        <v>45259</v>
      </c>
      <c r="S1405">
        <v>2023</v>
      </c>
      <c r="T1405" s="12" t="s">
        <v>1926</v>
      </c>
      <c r="U1405">
        <v>13</v>
      </c>
      <c r="V1405">
        <v>206.0489</v>
      </c>
      <c r="W1405">
        <v>20.36</v>
      </c>
      <c r="X1405">
        <v>0</v>
      </c>
      <c r="Y1405">
        <v>0</v>
      </c>
      <c r="Z1405">
        <v>2678.64</v>
      </c>
      <c r="AA1405">
        <v>2699</v>
      </c>
      <c r="AB1405" s="12" t="s">
        <v>295</v>
      </c>
      <c r="AC1405">
        <v>206.0489</v>
      </c>
      <c r="AD1405">
        <v>1</v>
      </c>
      <c r="AE1405">
        <v>1</v>
      </c>
      <c r="AF1405">
        <v>0</v>
      </c>
      <c r="AG1405">
        <v>2678.64</v>
      </c>
      <c r="AH1405">
        <v>13</v>
      </c>
      <c r="AI1405">
        <v>13</v>
      </c>
      <c r="AJ1405">
        <v>0</v>
      </c>
      <c r="AK1405">
        <v>1</v>
      </c>
      <c r="AL1405">
        <v>1</v>
      </c>
      <c r="AM1405">
        <v>100</v>
      </c>
      <c r="AN1405">
        <v>207.61510000000001</v>
      </c>
      <c r="AO1405">
        <v>0</v>
      </c>
      <c r="AP1405" s="13">
        <v>45268</v>
      </c>
      <c r="AQ1405">
        <v>9</v>
      </c>
      <c r="AR1405">
        <v>0</v>
      </c>
    </row>
    <row r="1406" spans="1:44" x14ac:dyDescent="0.35">
      <c r="A1406" s="12" t="s">
        <v>2091</v>
      </c>
      <c r="B1406" s="12" t="s">
        <v>238</v>
      </c>
      <c r="C1406" s="12" t="s">
        <v>239</v>
      </c>
      <c r="D1406" s="12" t="s">
        <v>122</v>
      </c>
      <c r="E1406" s="12" t="s">
        <v>65</v>
      </c>
      <c r="F1406">
        <v>3</v>
      </c>
      <c r="G1406">
        <v>4</v>
      </c>
      <c r="H1406">
        <v>0</v>
      </c>
      <c r="I1406" s="12" t="s">
        <v>79</v>
      </c>
      <c r="J1406" s="12" t="s">
        <v>80</v>
      </c>
      <c r="K1406" s="12" t="s">
        <v>81</v>
      </c>
      <c r="L1406" s="12" t="s">
        <v>82</v>
      </c>
      <c r="M1406">
        <v>12.07</v>
      </c>
      <c r="N1406" s="12" t="s">
        <v>70</v>
      </c>
      <c r="O1406" s="12" t="s">
        <v>71</v>
      </c>
      <c r="P1406" s="12" t="s">
        <v>72</v>
      </c>
      <c r="Q1406" s="13">
        <v>45224</v>
      </c>
      <c r="R1406" s="13">
        <v>45245</v>
      </c>
      <c r="S1406">
        <v>2023</v>
      </c>
      <c r="T1406" s="12" t="s">
        <v>1926</v>
      </c>
      <c r="U1406">
        <v>216</v>
      </c>
      <c r="V1406">
        <v>34.940100000000001</v>
      </c>
      <c r="W1406">
        <v>135.66</v>
      </c>
      <c r="X1406">
        <v>0</v>
      </c>
      <c r="Y1406">
        <v>0</v>
      </c>
      <c r="Z1406">
        <v>7547.06</v>
      </c>
      <c r="AA1406">
        <v>7682.72</v>
      </c>
      <c r="AB1406" s="12" t="s">
        <v>297</v>
      </c>
      <c r="AC1406">
        <v>37.143599999999999</v>
      </c>
      <c r="AD1406">
        <v>1</v>
      </c>
      <c r="AE1406">
        <v>1</v>
      </c>
      <c r="AF1406">
        <v>-475.96</v>
      </c>
      <c r="AG1406">
        <v>8023.02</v>
      </c>
      <c r="AH1406">
        <v>216</v>
      </c>
      <c r="AI1406">
        <v>214</v>
      </c>
      <c r="AJ1406">
        <v>2</v>
      </c>
      <c r="AK1406">
        <v>1</v>
      </c>
      <c r="AL1406">
        <v>1</v>
      </c>
      <c r="AM1406">
        <v>99.07</v>
      </c>
      <c r="AN1406">
        <v>35.900599999999997</v>
      </c>
      <c r="AO1406">
        <v>69.88</v>
      </c>
      <c r="AP1406" s="13">
        <v>45248</v>
      </c>
      <c r="AQ1406">
        <v>3</v>
      </c>
      <c r="AR1406">
        <v>0</v>
      </c>
    </row>
    <row r="1407" spans="1:44" x14ac:dyDescent="0.35">
      <c r="A1407" s="12" t="s">
        <v>2092</v>
      </c>
      <c r="B1407" s="12" t="s">
        <v>544</v>
      </c>
      <c r="C1407" s="12" t="s">
        <v>545</v>
      </c>
      <c r="D1407" s="12" t="s">
        <v>175</v>
      </c>
      <c r="E1407" s="12" t="s">
        <v>65</v>
      </c>
      <c r="F1407">
        <v>3</v>
      </c>
      <c r="G1407">
        <v>5</v>
      </c>
      <c r="H1407">
        <v>0</v>
      </c>
      <c r="I1407" s="12" t="s">
        <v>66</v>
      </c>
      <c r="J1407" s="12" t="s">
        <v>67</v>
      </c>
      <c r="K1407" s="12" t="s">
        <v>68</v>
      </c>
      <c r="L1407" s="12" t="s">
        <v>69</v>
      </c>
      <c r="M1407">
        <v>17.66</v>
      </c>
      <c r="N1407" s="12" t="s">
        <v>107</v>
      </c>
      <c r="O1407" s="12" t="s">
        <v>108</v>
      </c>
      <c r="P1407" s="12" t="s">
        <v>109</v>
      </c>
      <c r="Q1407" s="13">
        <v>45225</v>
      </c>
      <c r="R1407" s="13">
        <v>45249</v>
      </c>
      <c r="S1407">
        <v>2023</v>
      </c>
      <c r="T1407" s="12" t="s">
        <v>1926</v>
      </c>
      <c r="U1407">
        <v>35</v>
      </c>
      <c r="V1407">
        <v>161.15620000000001</v>
      </c>
      <c r="W1407">
        <v>63.69</v>
      </c>
      <c r="X1407">
        <v>0</v>
      </c>
      <c r="Y1407">
        <v>0</v>
      </c>
      <c r="Z1407">
        <v>5640.47</v>
      </c>
      <c r="AA1407">
        <v>5704.16</v>
      </c>
      <c r="AB1407" s="12" t="s">
        <v>546</v>
      </c>
      <c r="AC1407">
        <v>155.36940000000001</v>
      </c>
      <c r="AD1407">
        <v>1</v>
      </c>
      <c r="AE1407">
        <v>1</v>
      </c>
      <c r="AF1407">
        <v>202.54</v>
      </c>
      <c r="AG1407">
        <v>5437.93</v>
      </c>
      <c r="AH1407">
        <v>35</v>
      </c>
      <c r="AI1407">
        <v>35</v>
      </c>
      <c r="AJ1407">
        <v>0</v>
      </c>
      <c r="AK1407">
        <v>1</v>
      </c>
      <c r="AL1407">
        <v>1</v>
      </c>
      <c r="AM1407">
        <v>100</v>
      </c>
      <c r="AN1407">
        <v>162.9759</v>
      </c>
      <c r="AO1407">
        <v>0</v>
      </c>
      <c r="AP1407" s="13">
        <v>45246</v>
      </c>
      <c r="AQ1407">
        <v>-3</v>
      </c>
      <c r="AR1407">
        <v>1</v>
      </c>
    </row>
    <row r="1408" spans="1:44" x14ac:dyDescent="0.35">
      <c r="A1408" s="12" t="s">
        <v>2093</v>
      </c>
      <c r="B1408" s="12" t="s">
        <v>1034</v>
      </c>
      <c r="C1408" s="12" t="s">
        <v>1035</v>
      </c>
      <c r="D1408" s="12" t="s">
        <v>64</v>
      </c>
      <c r="E1408" s="12" t="s">
        <v>104</v>
      </c>
      <c r="F1408">
        <v>2</v>
      </c>
      <c r="G1408">
        <v>0</v>
      </c>
      <c r="H1408">
        <v>0</v>
      </c>
      <c r="I1408" s="12" t="s">
        <v>676</v>
      </c>
      <c r="J1408" s="12" t="s">
        <v>677</v>
      </c>
      <c r="K1408" s="12" t="s">
        <v>68</v>
      </c>
      <c r="L1408" s="12" t="s">
        <v>96</v>
      </c>
      <c r="M1408">
        <v>3.57</v>
      </c>
      <c r="N1408" s="12" t="s">
        <v>97</v>
      </c>
      <c r="O1408" s="12" t="s">
        <v>98</v>
      </c>
      <c r="P1408" s="12" t="s">
        <v>72</v>
      </c>
      <c r="Q1408" s="13">
        <v>45225</v>
      </c>
      <c r="R1408" s="13">
        <v>45249</v>
      </c>
      <c r="S1408">
        <v>2023</v>
      </c>
      <c r="T1408" s="12" t="s">
        <v>1926</v>
      </c>
      <c r="U1408">
        <v>727</v>
      </c>
      <c r="V1408">
        <v>9.9979999999999993</v>
      </c>
      <c r="W1408">
        <v>49.28</v>
      </c>
      <c r="X1408">
        <v>0</v>
      </c>
      <c r="Y1408">
        <v>0</v>
      </c>
      <c r="Z1408">
        <v>7268.55</v>
      </c>
      <c r="AA1408">
        <v>7317.83</v>
      </c>
      <c r="AB1408" s="12" t="s">
        <v>1626</v>
      </c>
      <c r="AC1408">
        <v>9.9979999999999993</v>
      </c>
      <c r="AD1408">
        <v>1</v>
      </c>
      <c r="AE1408">
        <v>1</v>
      </c>
      <c r="AF1408">
        <v>0</v>
      </c>
      <c r="AG1408">
        <v>7268.55</v>
      </c>
      <c r="AH1408">
        <v>727</v>
      </c>
      <c r="AI1408">
        <v>724</v>
      </c>
      <c r="AJ1408">
        <v>3</v>
      </c>
      <c r="AK1408">
        <v>1</v>
      </c>
      <c r="AL1408">
        <v>1</v>
      </c>
      <c r="AM1408">
        <v>99.59</v>
      </c>
      <c r="AN1408">
        <v>10.1075</v>
      </c>
      <c r="AO1408">
        <v>29.99</v>
      </c>
      <c r="AP1408" s="13">
        <v>45246</v>
      </c>
      <c r="AQ1408">
        <v>-3</v>
      </c>
      <c r="AR1408">
        <v>1</v>
      </c>
    </row>
    <row r="1409" spans="1:44" x14ac:dyDescent="0.35">
      <c r="A1409" s="12" t="s">
        <v>2094</v>
      </c>
      <c r="B1409" s="12" t="s">
        <v>395</v>
      </c>
      <c r="C1409" s="12" t="s">
        <v>396</v>
      </c>
      <c r="D1409" s="12" t="s">
        <v>130</v>
      </c>
      <c r="E1409" s="12" t="s">
        <v>104</v>
      </c>
      <c r="F1409">
        <v>3</v>
      </c>
      <c r="G1409">
        <v>1</v>
      </c>
      <c r="H1409">
        <v>0</v>
      </c>
      <c r="I1409" s="12" t="s">
        <v>341</v>
      </c>
      <c r="J1409" s="12" t="s">
        <v>342</v>
      </c>
      <c r="K1409" s="12" t="s">
        <v>117</v>
      </c>
      <c r="L1409" s="12" t="s">
        <v>82</v>
      </c>
      <c r="M1409">
        <v>18.36</v>
      </c>
      <c r="N1409" s="12" t="s">
        <v>159</v>
      </c>
      <c r="O1409" s="12" t="s">
        <v>160</v>
      </c>
      <c r="P1409" s="12" t="s">
        <v>137</v>
      </c>
      <c r="Q1409" s="13">
        <v>45225</v>
      </c>
      <c r="R1409" s="13">
        <v>45247</v>
      </c>
      <c r="S1409">
        <v>2023</v>
      </c>
      <c r="T1409" s="12" t="s">
        <v>1926</v>
      </c>
      <c r="U1409">
        <v>88</v>
      </c>
      <c r="V1409">
        <v>190.43799999999999</v>
      </c>
      <c r="W1409">
        <v>176.64</v>
      </c>
      <c r="X1409">
        <v>0</v>
      </c>
      <c r="Y1409">
        <v>0</v>
      </c>
      <c r="Z1409">
        <v>16758.54</v>
      </c>
      <c r="AA1409">
        <v>16935.18</v>
      </c>
      <c r="AB1409" s="12" t="s">
        <v>397</v>
      </c>
      <c r="AC1409">
        <v>190.43799999999999</v>
      </c>
      <c r="AD1409">
        <v>1</v>
      </c>
      <c r="AE1409">
        <v>1</v>
      </c>
      <c r="AF1409">
        <v>0</v>
      </c>
      <c r="AG1409">
        <v>16758.54</v>
      </c>
      <c r="AH1409">
        <v>88</v>
      </c>
      <c r="AI1409">
        <v>87</v>
      </c>
      <c r="AJ1409">
        <v>1</v>
      </c>
      <c r="AK1409">
        <v>1</v>
      </c>
      <c r="AL1409">
        <v>1</v>
      </c>
      <c r="AM1409">
        <v>98.86</v>
      </c>
      <c r="AN1409">
        <v>194.65729999999999</v>
      </c>
      <c r="AO1409">
        <v>190.44</v>
      </c>
      <c r="AP1409" s="13">
        <v>45245</v>
      </c>
      <c r="AQ1409">
        <v>-2</v>
      </c>
      <c r="AR1409">
        <v>1</v>
      </c>
    </row>
    <row r="1410" spans="1:44" x14ac:dyDescent="0.35">
      <c r="A1410" s="12" t="s">
        <v>2095</v>
      </c>
      <c r="B1410" s="12" t="s">
        <v>442</v>
      </c>
      <c r="C1410" s="12" t="s">
        <v>443</v>
      </c>
      <c r="D1410" s="12" t="s">
        <v>130</v>
      </c>
      <c r="E1410" s="12" t="s">
        <v>65</v>
      </c>
      <c r="F1410">
        <v>3</v>
      </c>
      <c r="G1410">
        <v>4</v>
      </c>
      <c r="H1410">
        <v>0</v>
      </c>
      <c r="I1410" s="12" t="s">
        <v>251</v>
      </c>
      <c r="J1410" s="12" t="s">
        <v>252</v>
      </c>
      <c r="K1410" s="12" t="s">
        <v>133</v>
      </c>
      <c r="L1410" s="12" t="s">
        <v>69</v>
      </c>
      <c r="M1410">
        <v>34.49</v>
      </c>
      <c r="N1410" s="12" t="s">
        <v>135</v>
      </c>
      <c r="O1410" s="12" t="s">
        <v>136</v>
      </c>
      <c r="P1410" s="12" t="s">
        <v>137</v>
      </c>
      <c r="Q1410" s="13">
        <v>45225</v>
      </c>
      <c r="R1410" s="13">
        <v>45254</v>
      </c>
      <c r="S1410">
        <v>2023</v>
      </c>
      <c r="T1410" s="12" t="s">
        <v>1926</v>
      </c>
      <c r="U1410">
        <v>79</v>
      </c>
      <c r="V1410">
        <v>610.72789999999998</v>
      </c>
      <c r="W1410">
        <v>1119.8499999999999</v>
      </c>
      <c r="X1410">
        <v>0</v>
      </c>
      <c r="Y1410">
        <v>0</v>
      </c>
      <c r="Z1410">
        <v>48247.5</v>
      </c>
      <c r="AA1410">
        <v>49367.35</v>
      </c>
      <c r="AB1410" s="12" t="s">
        <v>444</v>
      </c>
      <c r="AC1410">
        <v>610.72789999999998</v>
      </c>
      <c r="AD1410">
        <v>1</v>
      </c>
      <c r="AE1410">
        <v>1</v>
      </c>
      <c r="AF1410">
        <v>0</v>
      </c>
      <c r="AG1410">
        <v>48247.5</v>
      </c>
      <c r="AH1410">
        <v>79</v>
      </c>
      <c r="AI1410">
        <v>78</v>
      </c>
      <c r="AJ1410">
        <v>1</v>
      </c>
      <c r="AK1410">
        <v>1</v>
      </c>
      <c r="AL1410">
        <v>1</v>
      </c>
      <c r="AM1410">
        <v>98.73</v>
      </c>
      <c r="AN1410">
        <v>632.91480000000001</v>
      </c>
      <c r="AO1410">
        <v>610.73</v>
      </c>
      <c r="AP1410" s="13">
        <v>45251</v>
      </c>
      <c r="AQ1410">
        <v>-3</v>
      </c>
      <c r="AR1410">
        <v>1</v>
      </c>
    </row>
    <row r="1411" spans="1:44" x14ac:dyDescent="0.35">
      <c r="A1411" s="12" t="s">
        <v>2096</v>
      </c>
      <c r="B1411" s="12" t="s">
        <v>451</v>
      </c>
      <c r="C1411" s="12" t="s">
        <v>452</v>
      </c>
      <c r="D1411" s="12" t="s">
        <v>175</v>
      </c>
      <c r="E1411" s="12" t="s">
        <v>104</v>
      </c>
      <c r="F1411">
        <v>3</v>
      </c>
      <c r="G1411">
        <v>1</v>
      </c>
      <c r="H1411">
        <v>0</v>
      </c>
      <c r="I1411" s="12" t="s">
        <v>359</v>
      </c>
      <c r="J1411" s="12" t="s">
        <v>360</v>
      </c>
      <c r="K1411" s="12" t="s">
        <v>133</v>
      </c>
      <c r="L1411" s="12" t="s">
        <v>82</v>
      </c>
      <c r="M1411">
        <v>12.65</v>
      </c>
      <c r="N1411" s="12" t="s">
        <v>107</v>
      </c>
      <c r="O1411" s="12" t="s">
        <v>108</v>
      </c>
      <c r="P1411" s="12" t="s">
        <v>109</v>
      </c>
      <c r="Q1411" s="13">
        <v>45225</v>
      </c>
      <c r="R1411" s="13">
        <v>45246</v>
      </c>
      <c r="S1411">
        <v>2023</v>
      </c>
      <c r="T1411" s="12" t="s">
        <v>1926</v>
      </c>
      <c r="U1411">
        <v>82</v>
      </c>
      <c r="V1411">
        <v>264.17970000000003</v>
      </c>
      <c r="W1411">
        <v>140.41</v>
      </c>
      <c r="X1411">
        <v>0</v>
      </c>
      <c r="Y1411">
        <v>0</v>
      </c>
      <c r="Z1411">
        <v>21662.74</v>
      </c>
      <c r="AA1411">
        <v>21803.15</v>
      </c>
      <c r="AB1411" s="12" t="s">
        <v>627</v>
      </c>
      <c r="AC1411">
        <v>254.15530000000001</v>
      </c>
      <c r="AD1411">
        <v>1</v>
      </c>
      <c r="AE1411">
        <v>1</v>
      </c>
      <c r="AF1411">
        <v>822</v>
      </c>
      <c r="AG1411">
        <v>20840.73</v>
      </c>
      <c r="AH1411">
        <v>82</v>
      </c>
      <c r="AI1411">
        <v>81</v>
      </c>
      <c r="AJ1411">
        <v>1</v>
      </c>
      <c r="AK1411">
        <v>1</v>
      </c>
      <c r="AL1411">
        <v>1</v>
      </c>
      <c r="AM1411">
        <v>98.78</v>
      </c>
      <c r="AN1411">
        <v>269.1746</v>
      </c>
      <c r="AO1411">
        <v>264.18</v>
      </c>
      <c r="AP1411" s="13">
        <v>45243</v>
      </c>
      <c r="AQ1411">
        <v>-3</v>
      </c>
      <c r="AR1411">
        <v>1</v>
      </c>
    </row>
    <row r="1412" spans="1:44" x14ac:dyDescent="0.35">
      <c r="A1412" s="12" t="s">
        <v>2097</v>
      </c>
      <c r="B1412" s="12" t="s">
        <v>657</v>
      </c>
      <c r="C1412" s="12" t="s">
        <v>658</v>
      </c>
      <c r="D1412" s="12" t="s">
        <v>175</v>
      </c>
      <c r="E1412" s="12" t="s">
        <v>65</v>
      </c>
      <c r="F1412">
        <v>1</v>
      </c>
      <c r="G1412">
        <v>2</v>
      </c>
      <c r="H1412">
        <v>1</v>
      </c>
      <c r="I1412" s="12" t="s">
        <v>183</v>
      </c>
      <c r="J1412" s="12" t="s">
        <v>184</v>
      </c>
      <c r="K1412" s="12" t="s">
        <v>133</v>
      </c>
      <c r="L1412" s="12" t="s">
        <v>82</v>
      </c>
      <c r="M1412">
        <v>8.6199999999999992</v>
      </c>
      <c r="N1412" s="12" t="s">
        <v>145</v>
      </c>
      <c r="O1412" s="12" t="s">
        <v>146</v>
      </c>
      <c r="P1412" s="12" t="s">
        <v>109</v>
      </c>
      <c r="Q1412" s="13">
        <v>45225</v>
      </c>
      <c r="R1412" s="13">
        <v>45248</v>
      </c>
      <c r="S1412">
        <v>2023</v>
      </c>
      <c r="T1412" s="12" t="s">
        <v>1926</v>
      </c>
      <c r="U1412">
        <v>29</v>
      </c>
      <c r="V1412">
        <v>153.8561</v>
      </c>
      <c r="W1412">
        <v>100.93</v>
      </c>
      <c r="X1412">
        <v>0</v>
      </c>
      <c r="Y1412">
        <v>0</v>
      </c>
      <c r="Z1412">
        <v>4461.83</v>
      </c>
      <c r="AA1412">
        <v>4562.76</v>
      </c>
      <c r="AB1412" s="12" t="s">
        <v>659</v>
      </c>
      <c r="AC1412">
        <v>153.8561</v>
      </c>
      <c r="AD1412">
        <v>1</v>
      </c>
      <c r="AE1412">
        <v>1</v>
      </c>
      <c r="AF1412">
        <v>0</v>
      </c>
      <c r="AG1412">
        <v>4461.83</v>
      </c>
      <c r="AH1412">
        <v>29</v>
      </c>
      <c r="AI1412">
        <v>29</v>
      </c>
      <c r="AJ1412">
        <v>0</v>
      </c>
      <c r="AK1412">
        <v>1</v>
      </c>
      <c r="AL1412">
        <v>1</v>
      </c>
      <c r="AM1412">
        <v>100</v>
      </c>
      <c r="AN1412">
        <v>157.3364</v>
      </c>
      <c r="AO1412">
        <v>0</v>
      </c>
      <c r="AP1412" s="13">
        <v>45245</v>
      </c>
      <c r="AQ1412">
        <v>-3</v>
      </c>
      <c r="AR1412">
        <v>1</v>
      </c>
    </row>
    <row r="1413" spans="1:44" x14ac:dyDescent="0.35">
      <c r="A1413" s="12" t="s">
        <v>2098</v>
      </c>
      <c r="B1413" s="12" t="s">
        <v>732</v>
      </c>
      <c r="C1413" s="12" t="s">
        <v>733</v>
      </c>
      <c r="D1413" s="12" t="s">
        <v>114</v>
      </c>
      <c r="E1413" s="12" t="s">
        <v>104</v>
      </c>
      <c r="F1413">
        <v>3</v>
      </c>
      <c r="G1413">
        <v>1</v>
      </c>
      <c r="H1413">
        <v>0</v>
      </c>
      <c r="I1413" s="12" t="s">
        <v>199</v>
      </c>
      <c r="J1413" s="12" t="s">
        <v>200</v>
      </c>
      <c r="K1413" s="12" t="s">
        <v>68</v>
      </c>
      <c r="L1413" s="12" t="s">
        <v>96</v>
      </c>
      <c r="M1413">
        <v>9.4700000000000006</v>
      </c>
      <c r="N1413" s="12" t="s">
        <v>97</v>
      </c>
      <c r="O1413" s="12" t="s">
        <v>98</v>
      </c>
      <c r="P1413" s="12" t="s">
        <v>72</v>
      </c>
      <c r="Q1413" s="13">
        <v>45225</v>
      </c>
      <c r="R1413" s="13">
        <v>45244</v>
      </c>
      <c r="S1413">
        <v>2023</v>
      </c>
      <c r="T1413" s="12" t="s">
        <v>1926</v>
      </c>
      <c r="U1413">
        <v>71</v>
      </c>
      <c r="V1413">
        <v>314.15269999999998</v>
      </c>
      <c r="W1413">
        <v>332.95</v>
      </c>
      <c r="X1413">
        <v>0</v>
      </c>
      <c r="Y1413">
        <v>0</v>
      </c>
      <c r="Z1413">
        <v>22304.84</v>
      </c>
      <c r="AA1413">
        <v>22637.79</v>
      </c>
      <c r="AB1413" s="12" t="s">
        <v>734</v>
      </c>
      <c r="AC1413">
        <v>314.15269999999998</v>
      </c>
      <c r="AD1413">
        <v>1</v>
      </c>
      <c r="AE1413">
        <v>1</v>
      </c>
      <c r="AF1413">
        <v>0</v>
      </c>
      <c r="AG1413">
        <v>22304.84</v>
      </c>
      <c r="AH1413">
        <v>71</v>
      </c>
      <c r="AI1413">
        <v>69</v>
      </c>
      <c r="AJ1413">
        <v>2</v>
      </c>
      <c r="AK1413">
        <v>1</v>
      </c>
      <c r="AL1413">
        <v>1</v>
      </c>
      <c r="AM1413">
        <v>97.18</v>
      </c>
      <c r="AN1413">
        <v>328.08390000000003</v>
      </c>
      <c r="AO1413">
        <v>628.30999999999995</v>
      </c>
      <c r="AP1413" s="13">
        <v>45243</v>
      </c>
      <c r="AQ1413">
        <v>-1</v>
      </c>
      <c r="AR1413">
        <v>1</v>
      </c>
    </row>
    <row r="1414" spans="1:44" x14ac:dyDescent="0.35">
      <c r="A1414" s="12" t="s">
        <v>2099</v>
      </c>
      <c r="B1414" s="12" t="s">
        <v>1013</v>
      </c>
      <c r="C1414" s="12" t="s">
        <v>1014</v>
      </c>
      <c r="D1414" s="12" t="s">
        <v>78</v>
      </c>
      <c r="E1414" s="12" t="s">
        <v>65</v>
      </c>
      <c r="F1414">
        <v>2</v>
      </c>
      <c r="G1414">
        <v>3</v>
      </c>
      <c r="H1414">
        <v>0</v>
      </c>
      <c r="I1414" s="12" t="s">
        <v>123</v>
      </c>
      <c r="J1414" s="12" t="s">
        <v>124</v>
      </c>
      <c r="K1414" s="12" t="s">
        <v>125</v>
      </c>
      <c r="L1414" s="12" t="s">
        <v>82</v>
      </c>
      <c r="M1414">
        <v>6.75</v>
      </c>
      <c r="N1414" s="12" t="s">
        <v>97</v>
      </c>
      <c r="O1414" s="12" t="s">
        <v>98</v>
      </c>
      <c r="P1414" s="12" t="s">
        <v>72</v>
      </c>
      <c r="Q1414" s="13">
        <v>45225</v>
      </c>
      <c r="R1414" s="13">
        <v>45259</v>
      </c>
      <c r="S1414">
        <v>2023</v>
      </c>
      <c r="T1414" s="12" t="s">
        <v>1926</v>
      </c>
      <c r="U1414">
        <v>239</v>
      </c>
      <c r="V1414">
        <v>125.2653</v>
      </c>
      <c r="W1414">
        <v>664.32</v>
      </c>
      <c r="X1414">
        <v>0</v>
      </c>
      <c r="Y1414">
        <v>0</v>
      </c>
      <c r="Z1414">
        <v>29938.41</v>
      </c>
      <c r="AA1414">
        <v>30602.73</v>
      </c>
      <c r="AB1414" s="12" t="s">
        <v>1015</v>
      </c>
      <c r="AC1414">
        <v>125.2653</v>
      </c>
      <c r="AD1414">
        <v>1</v>
      </c>
      <c r="AE1414">
        <v>1</v>
      </c>
      <c r="AF1414">
        <v>0</v>
      </c>
      <c r="AG1414">
        <v>29938.41</v>
      </c>
      <c r="AH1414">
        <v>239</v>
      </c>
      <c r="AI1414">
        <v>234</v>
      </c>
      <c r="AJ1414">
        <v>5</v>
      </c>
      <c r="AK1414">
        <v>1</v>
      </c>
      <c r="AL1414">
        <v>1</v>
      </c>
      <c r="AM1414">
        <v>97.91</v>
      </c>
      <c r="AN1414">
        <v>130.7809</v>
      </c>
      <c r="AO1414">
        <v>626.33000000000004</v>
      </c>
      <c r="AP1414" s="13">
        <v>45268</v>
      </c>
      <c r="AQ1414">
        <v>9</v>
      </c>
      <c r="AR1414">
        <v>0</v>
      </c>
    </row>
    <row r="1415" spans="1:44" x14ac:dyDescent="0.35">
      <c r="A1415" s="12" t="s">
        <v>2100</v>
      </c>
      <c r="B1415" s="12" t="s">
        <v>787</v>
      </c>
      <c r="C1415" s="12" t="s">
        <v>788</v>
      </c>
      <c r="D1415" s="12" t="s">
        <v>269</v>
      </c>
      <c r="E1415" s="12" t="s">
        <v>65</v>
      </c>
      <c r="F1415">
        <v>2</v>
      </c>
      <c r="G1415">
        <v>3</v>
      </c>
      <c r="H1415">
        <v>0</v>
      </c>
      <c r="I1415" s="12" t="s">
        <v>143</v>
      </c>
      <c r="J1415" s="12" t="s">
        <v>144</v>
      </c>
      <c r="K1415" s="12" t="s">
        <v>133</v>
      </c>
      <c r="L1415" s="12" t="s">
        <v>96</v>
      </c>
      <c r="M1415">
        <v>5.43</v>
      </c>
      <c r="N1415" s="12" t="s">
        <v>135</v>
      </c>
      <c r="O1415" s="12" t="s">
        <v>136</v>
      </c>
      <c r="P1415" s="12" t="s">
        <v>137</v>
      </c>
      <c r="Q1415" s="13">
        <v>45225</v>
      </c>
      <c r="R1415" s="13">
        <v>45262</v>
      </c>
      <c r="S1415">
        <v>2023</v>
      </c>
      <c r="T1415" s="12" t="s">
        <v>1926</v>
      </c>
      <c r="U1415">
        <v>140</v>
      </c>
      <c r="V1415">
        <v>354.36430000000001</v>
      </c>
      <c r="W1415">
        <v>638.77</v>
      </c>
      <c r="X1415">
        <v>1535.3</v>
      </c>
      <c r="Y1415">
        <v>1</v>
      </c>
      <c r="Z1415">
        <v>49611</v>
      </c>
      <c r="AA1415">
        <v>51785.07</v>
      </c>
      <c r="AB1415" s="12" t="s">
        <v>789</v>
      </c>
      <c r="AC1415">
        <v>354.36430000000001</v>
      </c>
      <c r="AD1415">
        <v>1</v>
      </c>
      <c r="AE1415">
        <v>1</v>
      </c>
      <c r="AF1415">
        <v>0</v>
      </c>
      <c r="AG1415">
        <v>49611</v>
      </c>
      <c r="AH1415">
        <v>140</v>
      </c>
      <c r="AI1415">
        <v>138</v>
      </c>
      <c r="AJ1415">
        <v>2</v>
      </c>
      <c r="AK1415">
        <v>1</v>
      </c>
      <c r="AL1415">
        <v>1</v>
      </c>
      <c r="AM1415">
        <v>98.57</v>
      </c>
      <c r="AN1415">
        <v>375.25409999999999</v>
      </c>
      <c r="AO1415">
        <v>708.73</v>
      </c>
      <c r="AP1415" s="13">
        <v>45262</v>
      </c>
      <c r="AQ1415">
        <v>0</v>
      </c>
      <c r="AR1415">
        <v>1</v>
      </c>
    </row>
    <row r="1416" spans="1:44" x14ac:dyDescent="0.35">
      <c r="A1416" s="12" t="s">
        <v>2101</v>
      </c>
      <c r="B1416" s="12" t="s">
        <v>670</v>
      </c>
      <c r="C1416" s="12" t="s">
        <v>671</v>
      </c>
      <c r="D1416" s="12" t="s">
        <v>175</v>
      </c>
      <c r="E1416" s="12" t="s">
        <v>142</v>
      </c>
      <c r="F1416">
        <v>2</v>
      </c>
      <c r="G1416">
        <v>9</v>
      </c>
      <c r="H1416">
        <v>0</v>
      </c>
      <c r="I1416" s="12" t="s">
        <v>105</v>
      </c>
      <c r="J1416" s="12" t="s">
        <v>106</v>
      </c>
      <c r="K1416" s="12" t="s">
        <v>81</v>
      </c>
      <c r="L1416" s="12" t="s">
        <v>96</v>
      </c>
      <c r="M1416">
        <v>5.01</v>
      </c>
      <c r="N1416" s="12" t="s">
        <v>107</v>
      </c>
      <c r="O1416" s="12" t="s">
        <v>108</v>
      </c>
      <c r="P1416" s="12" t="s">
        <v>109</v>
      </c>
      <c r="Q1416" s="13">
        <v>45225</v>
      </c>
      <c r="R1416" s="13">
        <v>45262</v>
      </c>
      <c r="S1416">
        <v>2023</v>
      </c>
      <c r="T1416" s="12" t="s">
        <v>1926</v>
      </c>
      <c r="U1416">
        <v>30</v>
      </c>
      <c r="V1416">
        <v>151.31620000000001</v>
      </c>
      <c r="W1416">
        <v>110.22</v>
      </c>
      <c r="X1416">
        <v>0</v>
      </c>
      <c r="Y1416">
        <v>0</v>
      </c>
      <c r="Z1416">
        <v>4539.49</v>
      </c>
      <c r="AA1416">
        <v>4649.71</v>
      </c>
      <c r="AB1416" s="12" t="s">
        <v>1203</v>
      </c>
      <c r="AC1416">
        <v>151.31620000000001</v>
      </c>
      <c r="AD1416">
        <v>1</v>
      </c>
      <c r="AE1416">
        <v>1</v>
      </c>
      <c r="AF1416">
        <v>0</v>
      </c>
      <c r="AG1416">
        <v>4539.49</v>
      </c>
      <c r="AH1416">
        <v>30</v>
      </c>
      <c r="AI1416">
        <v>30</v>
      </c>
      <c r="AJ1416">
        <v>0</v>
      </c>
      <c r="AK1416">
        <v>1</v>
      </c>
      <c r="AL1416">
        <v>1</v>
      </c>
      <c r="AM1416">
        <v>100</v>
      </c>
      <c r="AN1416">
        <v>154.99019999999999</v>
      </c>
      <c r="AO1416">
        <v>0</v>
      </c>
      <c r="AP1416" s="13">
        <v>45268</v>
      </c>
      <c r="AQ1416">
        <v>6</v>
      </c>
      <c r="AR1416">
        <v>0</v>
      </c>
    </row>
    <row r="1417" spans="1:44" x14ac:dyDescent="0.35">
      <c r="A1417" s="12" t="s">
        <v>2102</v>
      </c>
      <c r="B1417" s="12" t="s">
        <v>565</v>
      </c>
      <c r="C1417" s="12" t="s">
        <v>566</v>
      </c>
      <c r="D1417" s="12" t="s">
        <v>122</v>
      </c>
      <c r="E1417" s="12" t="s">
        <v>104</v>
      </c>
      <c r="F1417">
        <v>3</v>
      </c>
      <c r="G1417">
        <v>1</v>
      </c>
      <c r="H1417">
        <v>0</v>
      </c>
      <c r="I1417" s="12" t="s">
        <v>131</v>
      </c>
      <c r="J1417" s="12" t="s">
        <v>132</v>
      </c>
      <c r="K1417" s="12" t="s">
        <v>133</v>
      </c>
      <c r="L1417" s="12" t="s">
        <v>134</v>
      </c>
      <c r="M1417">
        <v>1.51</v>
      </c>
      <c r="N1417" s="12" t="s">
        <v>97</v>
      </c>
      <c r="O1417" s="12" t="s">
        <v>98</v>
      </c>
      <c r="P1417" s="12" t="s">
        <v>72</v>
      </c>
      <c r="Q1417" s="13">
        <v>45226</v>
      </c>
      <c r="R1417" s="13">
        <v>45244</v>
      </c>
      <c r="S1417">
        <v>2023</v>
      </c>
      <c r="T1417" s="12" t="s">
        <v>1926</v>
      </c>
      <c r="U1417">
        <v>814</v>
      </c>
      <c r="V1417">
        <v>36.2883</v>
      </c>
      <c r="W1417">
        <v>608.11</v>
      </c>
      <c r="X1417">
        <v>0</v>
      </c>
      <c r="Y1417">
        <v>0</v>
      </c>
      <c r="Z1417">
        <v>29538.68</v>
      </c>
      <c r="AA1417">
        <v>30146.79</v>
      </c>
      <c r="AB1417" s="12" t="s">
        <v>2103</v>
      </c>
      <c r="AC1417">
        <v>36.2883</v>
      </c>
      <c r="AD1417">
        <v>1</v>
      </c>
      <c r="AE1417">
        <v>1</v>
      </c>
      <c r="AF1417">
        <v>0</v>
      </c>
      <c r="AG1417">
        <v>29538.68</v>
      </c>
      <c r="AH1417">
        <v>814</v>
      </c>
      <c r="AI1417">
        <v>811</v>
      </c>
      <c r="AJ1417">
        <v>3</v>
      </c>
      <c r="AK1417">
        <v>1</v>
      </c>
      <c r="AL1417">
        <v>1</v>
      </c>
      <c r="AM1417">
        <v>99.63</v>
      </c>
      <c r="AN1417">
        <v>37.172400000000003</v>
      </c>
      <c r="AO1417">
        <v>108.86</v>
      </c>
      <c r="AP1417" s="13">
        <v>45244</v>
      </c>
      <c r="AQ1417">
        <v>0</v>
      </c>
      <c r="AR1417">
        <v>1</v>
      </c>
    </row>
    <row r="1418" spans="1:44" x14ac:dyDescent="0.35">
      <c r="A1418" s="12" t="s">
        <v>2104</v>
      </c>
      <c r="B1418" s="12" t="s">
        <v>963</v>
      </c>
      <c r="C1418" s="12" t="s">
        <v>964</v>
      </c>
      <c r="D1418" s="12" t="s">
        <v>114</v>
      </c>
      <c r="E1418" s="12" t="s">
        <v>142</v>
      </c>
      <c r="F1418">
        <v>1</v>
      </c>
      <c r="G1418">
        <v>6</v>
      </c>
      <c r="H1418">
        <v>1</v>
      </c>
      <c r="I1418" s="12" t="s">
        <v>176</v>
      </c>
      <c r="J1418" s="12" t="s">
        <v>177</v>
      </c>
      <c r="K1418" s="12" t="s">
        <v>125</v>
      </c>
      <c r="L1418" s="12" t="s">
        <v>134</v>
      </c>
      <c r="M1418">
        <v>1.75</v>
      </c>
      <c r="N1418" s="12" t="s">
        <v>70</v>
      </c>
      <c r="O1418" s="12" t="s">
        <v>71</v>
      </c>
      <c r="P1418" s="12" t="s">
        <v>72</v>
      </c>
      <c r="Q1418" s="13">
        <v>45226</v>
      </c>
      <c r="R1418" s="13">
        <v>45277</v>
      </c>
      <c r="S1418">
        <v>2023</v>
      </c>
      <c r="T1418" s="12" t="s">
        <v>1926</v>
      </c>
      <c r="U1418">
        <v>136</v>
      </c>
      <c r="V1418">
        <v>194.73220000000001</v>
      </c>
      <c r="W1418">
        <v>353.57</v>
      </c>
      <c r="X1418">
        <v>0</v>
      </c>
      <c r="Y1418">
        <v>0</v>
      </c>
      <c r="Z1418">
        <v>26483.58</v>
      </c>
      <c r="AA1418">
        <v>26837.15</v>
      </c>
      <c r="AB1418" s="12" t="s">
        <v>965</v>
      </c>
      <c r="AC1418">
        <v>194.73220000000001</v>
      </c>
      <c r="AD1418">
        <v>1</v>
      </c>
      <c r="AE1418">
        <v>1</v>
      </c>
      <c r="AF1418">
        <v>0</v>
      </c>
      <c r="AG1418">
        <v>26483.58</v>
      </c>
      <c r="AH1418">
        <v>136</v>
      </c>
      <c r="AI1418">
        <v>134</v>
      </c>
      <c r="AJ1418">
        <v>2</v>
      </c>
      <c r="AK1418">
        <v>1</v>
      </c>
      <c r="AL1418">
        <v>1</v>
      </c>
      <c r="AM1418">
        <v>98.53</v>
      </c>
      <c r="AN1418">
        <v>200.27719999999999</v>
      </c>
      <c r="AO1418">
        <v>389.46</v>
      </c>
      <c r="AP1418" s="13">
        <v>45274</v>
      </c>
      <c r="AQ1418">
        <v>-3</v>
      </c>
      <c r="AR1418">
        <v>1</v>
      </c>
    </row>
    <row r="1419" spans="1:44" x14ac:dyDescent="0.35">
      <c r="A1419" s="12" t="s">
        <v>2105</v>
      </c>
      <c r="B1419" s="12" t="s">
        <v>1068</v>
      </c>
      <c r="C1419" s="12" t="s">
        <v>1069</v>
      </c>
      <c r="D1419" s="12" t="s">
        <v>122</v>
      </c>
      <c r="E1419" s="12" t="s">
        <v>65</v>
      </c>
      <c r="F1419">
        <v>2</v>
      </c>
      <c r="G1419">
        <v>2</v>
      </c>
      <c r="H1419">
        <v>0</v>
      </c>
      <c r="I1419" s="12" t="s">
        <v>79</v>
      </c>
      <c r="J1419" s="12" t="s">
        <v>80</v>
      </c>
      <c r="K1419" s="12" t="s">
        <v>81</v>
      </c>
      <c r="L1419" s="12" t="s">
        <v>82</v>
      </c>
      <c r="M1419">
        <v>12.07</v>
      </c>
      <c r="N1419" s="12" t="s">
        <v>97</v>
      </c>
      <c r="O1419" s="12" t="s">
        <v>98</v>
      </c>
      <c r="P1419" s="12" t="s">
        <v>72</v>
      </c>
      <c r="Q1419" s="13">
        <v>45226</v>
      </c>
      <c r="R1419" s="13">
        <v>45253</v>
      </c>
      <c r="S1419">
        <v>2023</v>
      </c>
      <c r="T1419" s="12" t="s">
        <v>1926</v>
      </c>
      <c r="U1419">
        <v>886</v>
      </c>
      <c r="V1419">
        <v>21.667100000000001</v>
      </c>
      <c r="W1419">
        <v>364.23</v>
      </c>
      <c r="X1419">
        <v>0</v>
      </c>
      <c r="Y1419">
        <v>0</v>
      </c>
      <c r="Z1419">
        <v>19197.05</v>
      </c>
      <c r="AA1419">
        <v>19561.28</v>
      </c>
      <c r="AB1419" s="12" t="s">
        <v>1070</v>
      </c>
      <c r="AC1419">
        <v>21.667100000000001</v>
      </c>
      <c r="AD1419">
        <v>1</v>
      </c>
      <c r="AE1419">
        <v>1</v>
      </c>
      <c r="AF1419">
        <v>0</v>
      </c>
      <c r="AG1419">
        <v>19197.05</v>
      </c>
      <c r="AH1419">
        <v>886</v>
      </c>
      <c r="AI1419">
        <v>878</v>
      </c>
      <c r="AJ1419">
        <v>8</v>
      </c>
      <c r="AK1419">
        <v>1</v>
      </c>
      <c r="AL1419">
        <v>1</v>
      </c>
      <c r="AM1419">
        <v>99.1</v>
      </c>
      <c r="AN1419">
        <v>22.279399999999999</v>
      </c>
      <c r="AO1419">
        <v>173.34</v>
      </c>
      <c r="AP1419" s="13">
        <v>45250</v>
      </c>
      <c r="AQ1419">
        <v>-3</v>
      </c>
      <c r="AR1419">
        <v>1</v>
      </c>
    </row>
    <row r="1420" spans="1:44" x14ac:dyDescent="0.35">
      <c r="A1420" s="12" t="s">
        <v>2106</v>
      </c>
      <c r="B1420" s="12" t="s">
        <v>747</v>
      </c>
      <c r="C1420" s="12" t="s">
        <v>748</v>
      </c>
      <c r="D1420" s="12" t="s">
        <v>114</v>
      </c>
      <c r="E1420" s="12" t="s">
        <v>104</v>
      </c>
      <c r="F1420">
        <v>2</v>
      </c>
      <c r="G1420">
        <v>0</v>
      </c>
      <c r="H1420">
        <v>0</v>
      </c>
      <c r="I1420" s="12" t="s">
        <v>380</v>
      </c>
      <c r="J1420" s="12" t="s">
        <v>381</v>
      </c>
      <c r="K1420" s="12" t="s">
        <v>89</v>
      </c>
      <c r="L1420" s="12" t="s">
        <v>96</v>
      </c>
      <c r="M1420">
        <v>10.210000000000001</v>
      </c>
      <c r="N1420" s="12" t="s">
        <v>70</v>
      </c>
      <c r="O1420" s="12" t="s">
        <v>71</v>
      </c>
      <c r="P1420" s="12" t="s">
        <v>72</v>
      </c>
      <c r="Q1420" s="13">
        <v>45226</v>
      </c>
      <c r="R1420" s="13">
        <v>45246</v>
      </c>
      <c r="S1420">
        <v>2023</v>
      </c>
      <c r="T1420" s="12" t="s">
        <v>1926</v>
      </c>
      <c r="U1420">
        <v>74</v>
      </c>
      <c r="V1420">
        <v>245.56890000000001</v>
      </c>
      <c r="W1420">
        <v>183.56</v>
      </c>
      <c r="X1420">
        <v>0</v>
      </c>
      <c r="Y1420">
        <v>0</v>
      </c>
      <c r="Z1420">
        <v>18172.099999999999</v>
      </c>
      <c r="AA1420">
        <v>18355.66</v>
      </c>
      <c r="AB1420" s="12" t="s">
        <v>896</v>
      </c>
      <c r="AC1420">
        <v>245.56890000000001</v>
      </c>
      <c r="AD1420">
        <v>1</v>
      </c>
      <c r="AE1420">
        <v>1</v>
      </c>
      <c r="AF1420">
        <v>0</v>
      </c>
      <c r="AG1420">
        <v>18172.099999999999</v>
      </c>
      <c r="AH1420">
        <v>74</v>
      </c>
      <c r="AI1420">
        <v>74</v>
      </c>
      <c r="AJ1420">
        <v>0</v>
      </c>
      <c r="AK1420">
        <v>1</v>
      </c>
      <c r="AL1420">
        <v>1</v>
      </c>
      <c r="AM1420">
        <v>100</v>
      </c>
      <c r="AN1420">
        <v>248.04939999999999</v>
      </c>
      <c r="AO1420">
        <v>0</v>
      </c>
      <c r="AP1420" s="13">
        <v>45255</v>
      </c>
      <c r="AQ1420">
        <v>9</v>
      </c>
      <c r="AR1420">
        <v>0</v>
      </c>
    </row>
    <row r="1421" spans="1:44" x14ac:dyDescent="0.35">
      <c r="A1421" s="12" t="s">
        <v>2107</v>
      </c>
      <c r="B1421" s="12" t="s">
        <v>477</v>
      </c>
      <c r="C1421" s="12" t="s">
        <v>478</v>
      </c>
      <c r="D1421" s="12" t="s">
        <v>130</v>
      </c>
      <c r="E1421" s="12" t="s">
        <v>104</v>
      </c>
      <c r="F1421">
        <v>3</v>
      </c>
      <c r="G1421">
        <v>1</v>
      </c>
      <c r="H1421">
        <v>0</v>
      </c>
      <c r="I1421" s="12" t="s">
        <v>380</v>
      </c>
      <c r="J1421" s="12" t="s">
        <v>381</v>
      </c>
      <c r="K1421" s="12" t="s">
        <v>89</v>
      </c>
      <c r="L1421" s="12" t="s">
        <v>96</v>
      </c>
      <c r="M1421">
        <v>10.210000000000001</v>
      </c>
      <c r="N1421" s="12" t="s">
        <v>135</v>
      </c>
      <c r="O1421" s="12" t="s">
        <v>136</v>
      </c>
      <c r="P1421" s="12" t="s">
        <v>137</v>
      </c>
      <c r="Q1421" s="13">
        <v>45226</v>
      </c>
      <c r="R1421" s="13">
        <v>45250</v>
      </c>
      <c r="S1421">
        <v>2023</v>
      </c>
      <c r="T1421" s="12" t="s">
        <v>1926</v>
      </c>
      <c r="U1421">
        <v>105</v>
      </c>
      <c r="V1421">
        <v>778.59670000000006</v>
      </c>
      <c r="W1421">
        <v>1222.92</v>
      </c>
      <c r="X1421">
        <v>0</v>
      </c>
      <c r="Y1421">
        <v>0</v>
      </c>
      <c r="Z1421">
        <v>81752.649999999994</v>
      </c>
      <c r="AA1421">
        <v>82975.570000000007</v>
      </c>
      <c r="AB1421" s="12" t="s">
        <v>1094</v>
      </c>
      <c r="AC1421">
        <v>778.59670000000006</v>
      </c>
      <c r="AD1421">
        <v>1</v>
      </c>
      <c r="AE1421">
        <v>1</v>
      </c>
      <c r="AF1421">
        <v>0</v>
      </c>
      <c r="AG1421">
        <v>81752.649999999994</v>
      </c>
      <c r="AH1421">
        <v>105</v>
      </c>
      <c r="AI1421">
        <v>104</v>
      </c>
      <c r="AJ1421">
        <v>1</v>
      </c>
      <c r="AK1421">
        <v>1</v>
      </c>
      <c r="AL1421">
        <v>1</v>
      </c>
      <c r="AM1421">
        <v>99.05</v>
      </c>
      <c r="AN1421">
        <v>797.84209999999996</v>
      </c>
      <c r="AO1421">
        <v>778.6</v>
      </c>
      <c r="AP1421" s="13">
        <v>45250</v>
      </c>
      <c r="AQ1421">
        <v>0</v>
      </c>
      <c r="AR1421">
        <v>1</v>
      </c>
    </row>
    <row r="1422" spans="1:44" x14ac:dyDescent="0.35">
      <c r="A1422" s="12" t="s">
        <v>2108</v>
      </c>
      <c r="B1422" s="12" t="s">
        <v>823</v>
      </c>
      <c r="C1422" s="12" t="s">
        <v>824</v>
      </c>
      <c r="D1422" s="12" t="s">
        <v>114</v>
      </c>
      <c r="E1422" s="12" t="s">
        <v>142</v>
      </c>
      <c r="F1422">
        <v>1</v>
      </c>
      <c r="G1422">
        <v>8</v>
      </c>
      <c r="H1422">
        <v>1</v>
      </c>
      <c r="I1422" s="12" t="s">
        <v>515</v>
      </c>
      <c r="J1422" s="12" t="s">
        <v>516</v>
      </c>
      <c r="K1422" s="12" t="s">
        <v>68</v>
      </c>
      <c r="L1422" s="12" t="s">
        <v>134</v>
      </c>
      <c r="M1422">
        <v>3.69</v>
      </c>
      <c r="N1422" s="12" t="s">
        <v>97</v>
      </c>
      <c r="O1422" s="12" t="s">
        <v>98</v>
      </c>
      <c r="P1422" s="12" t="s">
        <v>72</v>
      </c>
      <c r="Q1422" s="13">
        <v>45226</v>
      </c>
      <c r="R1422" s="13">
        <v>45262</v>
      </c>
      <c r="S1422">
        <v>2023</v>
      </c>
      <c r="T1422" s="12" t="s">
        <v>1926</v>
      </c>
      <c r="U1422">
        <v>23</v>
      </c>
      <c r="V1422">
        <v>361.73399999999998</v>
      </c>
      <c r="W1422">
        <v>86.05</v>
      </c>
      <c r="X1422">
        <v>0</v>
      </c>
      <c r="Y1422">
        <v>0</v>
      </c>
      <c r="Z1422">
        <v>8319.8799999999992</v>
      </c>
      <c r="AA1422">
        <v>8405.93</v>
      </c>
      <c r="AB1422" s="12" t="s">
        <v>825</v>
      </c>
      <c r="AC1422">
        <v>361.73399999999998</v>
      </c>
      <c r="AD1422">
        <v>1</v>
      </c>
      <c r="AE1422">
        <v>1</v>
      </c>
      <c r="AF1422">
        <v>0</v>
      </c>
      <c r="AG1422">
        <v>8319.8799999999992</v>
      </c>
      <c r="AH1422">
        <v>23</v>
      </c>
      <c r="AI1422">
        <v>23</v>
      </c>
      <c r="AJ1422">
        <v>0</v>
      </c>
      <c r="AK1422">
        <v>1</v>
      </c>
      <c r="AL1422">
        <v>1</v>
      </c>
      <c r="AM1422">
        <v>100</v>
      </c>
      <c r="AN1422">
        <v>365.4753</v>
      </c>
      <c r="AO1422">
        <v>0</v>
      </c>
      <c r="AP1422" s="13">
        <v>45261</v>
      </c>
      <c r="AQ1422">
        <v>-1</v>
      </c>
      <c r="AR1422">
        <v>1</v>
      </c>
    </row>
    <row r="1423" spans="1:44" x14ac:dyDescent="0.35">
      <c r="A1423" s="12" t="s">
        <v>2109</v>
      </c>
      <c r="B1423" s="12" t="s">
        <v>952</v>
      </c>
      <c r="C1423" s="12" t="s">
        <v>953</v>
      </c>
      <c r="D1423" s="12" t="s">
        <v>64</v>
      </c>
      <c r="E1423" s="12" t="s">
        <v>142</v>
      </c>
      <c r="F1423">
        <v>1</v>
      </c>
      <c r="G1423">
        <v>8</v>
      </c>
      <c r="H1423">
        <v>1</v>
      </c>
      <c r="I1423" s="12" t="s">
        <v>131</v>
      </c>
      <c r="J1423" s="12" t="s">
        <v>132</v>
      </c>
      <c r="K1423" s="12" t="s">
        <v>133</v>
      </c>
      <c r="L1423" s="12" t="s">
        <v>134</v>
      </c>
      <c r="M1423">
        <v>1.51</v>
      </c>
      <c r="N1423" s="12" t="s">
        <v>97</v>
      </c>
      <c r="O1423" s="12" t="s">
        <v>98</v>
      </c>
      <c r="P1423" s="12" t="s">
        <v>72</v>
      </c>
      <c r="Q1423" s="13">
        <v>45226</v>
      </c>
      <c r="R1423" s="13">
        <v>45265</v>
      </c>
      <c r="S1423">
        <v>2023</v>
      </c>
      <c r="T1423" s="12" t="s">
        <v>1926</v>
      </c>
      <c r="U1423">
        <v>329</v>
      </c>
      <c r="V1423">
        <v>31.146599999999999</v>
      </c>
      <c r="W1423">
        <v>62.77</v>
      </c>
      <c r="X1423">
        <v>0</v>
      </c>
      <c r="Y1423">
        <v>0</v>
      </c>
      <c r="Z1423">
        <v>10247.23</v>
      </c>
      <c r="AA1423">
        <v>10310</v>
      </c>
      <c r="AB1423" s="12" t="s">
        <v>954</v>
      </c>
      <c r="AC1423">
        <v>31.146599999999999</v>
      </c>
      <c r="AD1423">
        <v>1</v>
      </c>
      <c r="AE1423">
        <v>1</v>
      </c>
      <c r="AF1423">
        <v>0</v>
      </c>
      <c r="AG1423">
        <v>10247.23</v>
      </c>
      <c r="AH1423">
        <v>329</v>
      </c>
      <c r="AI1423">
        <v>325</v>
      </c>
      <c r="AJ1423">
        <v>4</v>
      </c>
      <c r="AK1423">
        <v>1</v>
      </c>
      <c r="AL1423">
        <v>1</v>
      </c>
      <c r="AM1423">
        <v>98.78</v>
      </c>
      <c r="AN1423">
        <v>31.723099999999999</v>
      </c>
      <c r="AO1423">
        <v>124.59</v>
      </c>
      <c r="AP1423" s="13">
        <v>45264</v>
      </c>
      <c r="AQ1423">
        <v>-1</v>
      </c>
      <c r="AR1423">
        <v>1</v>
      </c>
    </row>
    <row r="1424" spans="1:44" x14ac:dyDescent="0.35">
      <c r="A1424" s="12" t="s">
        <v>2110</v>
      </c>
      <c r="B1424" s="12" t="s">
        <v>362</v>
      </c>
      <c r="C1424" s="12" t="s">
        <v>363</v>
      </c>
      <c r="D1424" s="12" t="s">
        <v>78</v>
      </c>
      <c r="E1424" s="12" t="s">
        <v>104</v>
      </c>
      <c r="F1424">
        <v>3</v>
      </c>
      <c r="G1424">
        <v>0</v>
      </c>
      <c r="H1424">
        <v>0</v>
      </c>
      <c r="I1424" s="12" t="s">
        <v>157</v>
      </c>
      <c r="J1424" s="12" t="s">
        <v>158</v>
      </c>
      <c r="K1424" s="12" t="s">
        <v>117</v>
      </c>
      <c r="L1424" s="12" t="s">
        <v>96</v>
      </c>
      <c r="M1424">
        <v>4.72</v>
      </c>
      <c r="N1424" s="12" t="s">
        <v>70</v>
      </c>
      <c r="O1424" s="12" t="s">
        <v>71</v>
      </c>
      <c r="P1424" s="12" t="s">
        <v>72</v>
      </c>
      <c r="Q1424" s="13">
        <v>45226</v>
      </c>
      <c r="R1424" s="13">
        <v>45252</v>
      </c>
      <c r="S1424">
        <v>2023</v>
      </c>
      <c r="T1424" s="12" t="s">
        <v>1926</v>
      </c>
      <c r="U1424">
        <v>244</v>
      </c>
      <c r="V1424">
        <v>63.140599999999999</v>
      </c>
      <c r="W1424">
        <v>209.56</v>
      </c>
      <c r="X1424">
        <v>0</v>
      </c>
      <c r="Y1424">
        <v>0</v>
      </c>
      <c r="Z1424">
        <v>15406.31</v>
      </c>
      <c r="AA1424">
        <v>15615.87</v>
      </c>
      <c r="AB1424" s="12" t="s">
        <v>364</v>
      </c>
      <c r="AC1424">
        <v>63.140599999999999</v>
      </c>
      <c r="AD1424">
        <v>1</v>
      </c>
      <c r="AE1424">
        <v>1</v>
      </c>
      <c r="AF1424">
        <v>0</v>
      </c>
      <c r="AG1424">
        <v>15406.31</v>
      </c>
      <c r="AH1424">
        <v>244</v>
      </c>
      <c r="AI1424">
        <v>243</v>
      </c>
      <c r="AJ1424">
        <v>1</v>
      </c>
      <c r="AK1424">
        <v>1</v>
      </c>
      <c r="AL1424">
        <v>1</v>
      </c>
      <c r="AM1424">
        <v>99.59</v>
      </c>
      <c r="AN1424">
        <v>64.262799999999999</v>
      </c>
      <c r="AO1424">
        <v>63.14</v>
      </c>
      <c r="AP1424" s="13">
        <v>45260</v>
      </c>
      <c r="AQ1424">
        <v>8</v>
      </c>
      <c r="AR1424">
        <v>0</v>
      </c>
    </row>
    <row r="1425" spans="1:44" x14ac:dyDescent="0.35">
      <c r="A1425" s="12" t="s">
        <v>2111</v>
      </c>
      <c r="B1425" s="12" t="s">
        <v>661</v>
      </c>
      <c r="C1425" s="12" t="s">
        <v>662</v>
      </c>
      <c r="D1425" s="12" t="s">
        <v>175</v>
      </c>
      <c r="E1425" s="12" t="s">
        <v>104</v>
      </c>
      <c r="F1425">
        <v>1</v>
      </c>
      <c r="G1425">
        <v>0</v>
      </c>
      <c r="H1425">
        <v>1</v>
      </c>
      <c r="I1425" s="12" t="s">
        <v>183</v>
      </c>
      <c r="J1425" s="12" t="s">
        <v>184</v>
      </c>
      <c r="K1425" s="12" t="s">
        <v>133</v>
      </c>
      <c r="L1425" s="12" t="s">
        <v>82</v>
      </c>
      <c r="M1425">
        <v>8.6199999999999992</v>
      </c>
      <c r="N1425" s="12" t="s">
        <v>145</v>
      </c>
      <c r="O1425" s="12" t="s">
        <v>146</v>
      </c>
      <c r="P1425" s="12" t="s">
        <v>109</v>
      </c>
      <c r="Q1425" s="13">
        <v>45226</v>
      </c>
      <c r="R1425" s="13">
        <v>45245</v>
      </c>
      <c r="S1425">
        <v>2023</v>
      </c>
      <c r="T1425" s="12" t="s">
        <v>1926</v>
      </c>
      <c r="U1425">
        <v>66</v>
      </c>
      <c r="V1425">
        <v>194.86689999999999</v>
      </c>
      <c r="W1425">
        <v>80.569999999999993</v>
      </c>
      <c r="X1425">
        <v>0</v>
      </c>
      <c r="Y1425">
        <v>0</v>
      </c>
      <c r="Z1425">
        <v>12861.22</v>
      </c>
      <c r="AA1425">
        <v>12941.79</v>
      </c>
      <c r="AB1425" s="12" t="s">
        <v>663</v>
      </c>
      <c r="AC1425">
        <v>201.68719999999999</v>
      </c>
      <c r="AD1425">
        <v>2</v>
      </c>
      <c r="AE1425">
        <v>1</v>
      </c>
      <c r="AF1425">
        <v>-450.14</v>
      </c>
      <c r="AG1425">
        <v>13311.36</v>
      </c>
      <c r="AH1425">
        <v>66</v>
      </c>
      <c r="AI1425">
        <v>65</v>
      </c>
      <c r="AJ1425">
        <v>1</v>
      </c>
      <c r="AK1425">
        <v>1</v>
      </c>
      <c r="AL1425">
        <v>1</v>
      </c>
      <c r="AM1425">
        <v>98.48</v>
      </c>
      <c r="AN1425">
        <v>199.1044</v>
      </c>
      <c r="AO1425">
        <v>194.87</v>
      </c>
      <c r="AP1425" s="13">
        <v>45244</v>
      </c>
      <c r="AQ1425">
        <v>-1</v>
      </c>
      <c r="AR1425">
        <v>1</v>
      </c>
    </row>
    <row r="1426" spans="1:44" x14ac:dyDescent="0.35">
      <c r="A1426" s="12" t="s">
        <v>2112</v>
      </c>
      <c r="B1426" s="12" t="s">
        <v>1013</v>
      </c>
      <c r="C1426" s="12" t="s">
        <v>1014</v>
      </c>
      <c r="D1426" s="12" t="s">
        <v>78</v>
      </c>
      <c r="E1426" s="12" t="s">
        <v>65</v>
      </c>
      <c r="F1426">
        <v>2</v>
      </c>
      <c r="G1426">
        <v>3</v>
      </c>
      <c r="H1426">
        <v>0</v>
      </c>
      <c r="I1426" s="12" t="s">
        <v>359</v>
      </c>
      <c r="J1426" s="12" t="s">
        <v>360</v>
      </c>
      <c r="K1426" s="12" t="s">
        <v>133</v>
      </c>
      <c r="L1426" s="12" t="s">
        <v>82</v>
      </c>
      <c r="M1426">
        <v>12.65</v>
      </c>
      <c r="N1426" s="12" t="s">
        <v>97</v>
      </c>
      <c r="O1426" s="12" t="s">
        <v>98</v>
      </c>
      <c r="P1426" s="12" t="s">
        <v>72</v>
      </c>
      <c r="Q1426" s="13">
        <v>45226</v>
      </c>
      <c r="R1426" s="13">
        <v>45251</v>
      </c>
      <c r="S1426">
        <v>2023</v>
      </c>
      <c r="T1426" s="12" t="s">
        <v>1926</v>
      </c>
      <c r="U1426">
        <v>98</v>
      </c>
      <c r="V1426">
        <v>125.2653</v>
      </c>
      <c r="W1426">
        <v>119.35</v>
      </c>
      <c r="X1426">
        <v>0</v>
      </c>
      <c r="Y1426">
        <v>0</v>
      </c>
      <c r="Z1426">
        <v>12276</v>
      </c>
      <c r="AA1426">
        <v>12395.35</v>
      </c>
      <c r="AB1426" s="12" t="s">
        <v>2113</v>
      </c>
      <c r="AC1426">
        <v>125.2653</v>
      </c>
      <c r="AD1426">
        <v>1</v>
      </c>
      <c r="AE1426">
        <v>1</v>
      </c>
      <c r="AF1426">
        <v>0</v>
      </c>
      <c r="AG1426">
        <v>12276</v>
      </c>
      <c r="AH1426">
        <v>98</v>
      </c>
      <c r="AI1426">
        <v>97</v>
      </c>
      <c r="AJ1426">
        <v>1</v>
      </c>
      <c r="AK1426">
        <v>1</v>
      </c>
      <c r="AL1426">
        <v>1</v>
      </c>
      <c r="AM1426">
        <v>98.98</v>
      </c>
      <c r="AN1426">
        <v>127.7871</v>
      </c>
      <c r="AO1426">
        <v>125.27</v>
      </c>
      <c r="AP1426" s="13">
        <v>45251</v>
      </c>
      <c r="AQ1426">
        <v>0</v>
      </c>
      <c r="AR1426">
        <v>1</v>
      </c>
    </row>
    <row r="1427" spans="1:44" x14ac:dyDescent="0.35">
      <c r="A1427" s="12" t="s">
        <v>2114</v>
      </c>
      <c r="B1427" s="12" t="s">
        <v>509</v>
      </c>
      <c r="C1427" s="12" t="s">
        <v>510</v>
      </c>
      <c r="D1427" s="12" t="s">
        <v>78</v>
      </c>
      <c r="E1427" s="12" t="s">
        <v>142</v>
      </c>
      <c r="F1427">
        <v>3</v>
      </c>
      <c r="G1427">
        <v>11</v>
      </c>
      <c r="H1427">
        <v>0</v>
      </c>
      <c r="I1427" s="12" t="s">
        <v>176</v>
      </c>
      <c r="J1427" s="12" t="s">
        <v>177</v>
      </c>
      <c r="K1427" s="12" t="s">
        <v>125</v>
      </c>
      <c r="L1427" s="12" t="s">
        <v>134</v>
      </c>
      <c r="M1427">
        <v>1.75</v>
      </c>
      <c r="N1427" s="12" t="s">
        <v>70</v>
      </c>
      <c r="O1427" s="12" t="s">
        <v>71</v>
      </c>
      <c r="P1427" s="12" t="s">
        <v>72</v>
      </c>
      <c r="Q1427" s="13">
        <v>45226</v>
      </c>
      <c r="R1427" s="13">
        <v>45264</v>
      </c>
      <c r="S1427">
        <v>2023</v>
      </c>
      <c r="T1427" s="12" t="s">
        <v>1926</v>
      </c>
      <c r="U1427">
        <v>91</v>
      </c>
      <c r="V1427">
        <v>144.51259999999999</v>
      </c>
      <c r="W1427">
        <v>229.19</v>
      </c>
      <c r="X1427">
        <v>0</v>
      </c>
      <c r="Y1427">
        <v>0</v>
      </c>
      <c r="Z1427">
        <v>13150.65</v>
      </c>
      <c r="AA1427">
        <v>13379.84</v>
      </c>
      <c r="AB1427" s="12" t="s">
        <v>511</v>
      </c>
      <c r="AC1427">
        <v>144.51259999999999</v>
      </c>
      <c r="AD1427">
        <v>1</v>
      </c>
      <c r="AE1427">
        <v>1</v>
      </c>
      <c r="AF1427">
        <v>0</v>
      </c>
      <c r="AG1427">
        <v>13150.65</v>
      </c>
      <c r="AH1427">
        <v>91</v>
      </c>
      <c r="AI1427">
        <v>90</v>
      </c>
      <c r="AJ1427">
        <v>1</v>
      </c>
      <c r="AK1427">
        <v>1</v>
      </c>
      <c r="AL1427">
        <v>1</v>
      </c>
      <c r="AM1427">
        <v>98.9</v>
      </c>
      <c r="AN1427">
        <v>148.66489999999999</v>
      </c>
      <c r="AO1427">
        <v>144.51</v>
      </c>
      <c r="AP1427" s="13">
        <v>45261</v>
      </c>
      <c r="AQ1427">
        <v>-3</v>
      </c>
      <c r="AR1427">
        <v>1</v>
      </c>
    </row>
    <row r="1428" spans="1:44" x14ac:dyDescent="0.35">
      <c r="A1428" s="12" t="s">
        <v>2115</v>
      </c>
      <c r="B1428" s="12" t="s">
        <v>792</v>
      </c>
      <c r="C1428" s="12" t="s">
        <v>793</v>
      </c>
      <c r="D1428" s="12" t="s">
        <v>103</v>
      </c>
      <c r="E1428" s="12" t="s">
        <v>65</v>
      </c>
      <c r="F1428">
        <v>2</v>
      </c>
      <c r="G1428">
        <v>3</v>
      </c>
      <c r="H1428">
        <v>0</v>
      </c>
      <c r="I1428" s="12" t="s">
        <v>115</v>
      </c>
      <c r="J1428" s="12" t="s">
        <v>116</v>
      </c>
      <c r="K1428" s="12" t="s">
        <v>117</v>
      </c>
      <c r="L1428" s="12" t="s">
        <v>82</v>
      </c>
      <c r="M1428">
        <v>17.170000000000002</v>
      </c>
      <c r="N1428" s="12" t="s">
        <v>145</v>
      </c>
      <c r="O1428" s="12" t="s">
        <v>146</v>
      </c>
      <c r="P1428" s="12" t="s">
        <v>109</v>
      </c>
      <c r="Q1428" s="13">
        <v>45226</v>
      </c>
      <c r="R1428" s="13">
        <v>45257</v>
      </c>
      <c r="S1428">
        <v>2023</v>
      </c>
      <c r="T1428" s="12" t="s">
        <v>1926</v>
      </c>
      <c r="U1428">
        <v>93</v>
      </c>
      <c r="V1428">
        <v>99.173299999999998</v>
      </c>
      <c r="W1428">
        <v>189.15</v>
      </c>
      <c r="X1428">
        <v>0</v>
      </c>
      <c r="Y1428">
        <v>0</v>
      </c>
      <c r="Z1428">
        <v>9223.1200000000008</v>
      </c>
      <c r="AA1428">
        <v>9412.27</v>
      </c>
      <c r="AB1428" s="12" t="s">
        <v>794</v>
      </c>
      <c r="AC1428">
        <v>99.173299999999998</v>
      </c>
      <c r="AD1428">
        <v>1</v>
      </c>
      <c r="AE1428">
        <v>1</v>
      </c>
      <c r="AF1428">
        <v>0</v>
      </c>
      <c r="AG1428">
        <v>9223.1200000000008</v>
      </c>
      <c r="AH1428">
        <v>93</v>
      </c>
      <c r="AI1428">
        <v>92</v>
      </c>
      <c r="AJ1428">
        <v>1</v>
      </c>
      <c r="AK1428">
        <v>1</v>
      </c>
      <c r="AL1428">
        <v>1</v>
      </c>
      <c r="AM1428">
        <v>98.92</v>
      </c>
      <c r="AN1428">
        <v>102.30719999999999</v>
      </c>
      <c r="AO1428">
        <v>99.17</v>
      </c>
      <c r="AP1428" s="13">
        <v>45255</v>
      </c>
      <c r="AQ1428">
        <v>-2</v>
      </c>
      <c r="AR1428">
        <v>1</v>
      </c>
    </row>
    <row r="1429" spans="1:44" x14ac:dyDescent="0.35">
      <c r="A1429" s="12" t="s">
        <v>2116</v>
      </c>
      <c r="B1429" s="12" t="s">
        <v>1433</v>
      </c>
      <c r="C1429" s="12" t="s">
        <v>1434</v>
      </c>
      <c r="D1429" s="12" t="s">
        <v>269</v>
      </c>
      <c r="E1429" s="12" t="s">
        <v>65</v>
      </c>
      <c r="F1429">
        <v>3</v>
      </c>
      <c r="G1429">
        <v>5</v>
      </c>
      <c r="H1429">
        <v>0</v>
      </c>
      <c r="I1429" s="12" t="s">
        <v>223</v>
      </c>
      <c r="J1429" s="12" t="s">
        <v>224</v>
      </c>
      <c r="K1429" s="12" t="s">
        <v>81</v>
      </c>
      <c r="L1429" s="12" t="s">
        <v>134</v>
      </c>
      <c r="M1429">
        <v>2.4900000000000002</v>
      </c>
      <c r="N1429" s="12" t="s">
        <v>159</v>
      </c>
      <c r="O1429" s="12" t="s">
        <v>160</v>
      </c>
      <c r="P1429" s="12" t="s">
        <v>137</v>
      </c>
      <c r="Q1429" s="13">
        <v>45226</v>
      </c>
      <c r="R1429" s="13">
        <v>45250</v>
      </c>
      <c r="S1429">
        <v>2023</v>
      </c>
      <c r="T1429" s="12" t="s">
        <v>1926</v>
      </c>
      <c r="U1429">
        <v>38</v>
      </c>
      <c r="V1429">
        <v>457.42090000000002</v>
      </c>
      <c r="W1429">
        <v>110.02</v>
      </c>
      <c r="X1429">
        <v>0</v>
      </c>
      <c r="Y1429">
        <v>0</v>
      </c>
      <c r="Z1429">
        <v>17381.990000000002</v>
      </c>
      <c r="AA1429">
        <v>17492.009999999998</v>
      </c>
      <c r="AB1429" s="12" t="s">
        <v>1435</v>
      </c>
      <c r="AC1429">
        <v>457.42090000000002</v>
      </c>
      <c r="AD1429">
        <v>1</v>
      </c>
      <c r="AE1429">
        <v>1</v>
      </c>
      <c r="AF1429">
        <v>0</v>
      </c>
      <c r="AG1429">
        <v>17381.990000000002</v>
      </c>
      <c r="AH1429">
        <v>38</v>
      </c>
      <c r="AI1429">
        <v>37</v>
      </c>
      <c r="AJ1429">
        <v>1</v>
      </c>
      <c r="AK1429">
        <v>1</v>
      </c>
      <c r="AL1429">
        <v>1</v>
      </c>
      <c r="AM1429">
        <v>97.37</v>
      </c>
      <c r="AN1429">
        <v>472.75709999999998</v>
      </c>
      <c r="AO1429">
        <v>457.42</v>
      </c>
      <c r="AP1429" s="13">
        <v>45250</v>
      </c>
      <c r="AQ1429">
        <v>0</v>
      </c>
      <c r="AR1429">
        <v>1</v>
      </c>
    </row>
    <row r="1430" spans="1:44" x14ac:dyDescent="0.35">
      <c r="A1430" s="12" t="s">
        <v>2117</v>
      </c>
      <c r="B1430" s="12" t="s">
        <v>465</v>
      </c>
      <c r="C1430" s="12" t="s">
        <v>466</v>
      </c>
      <c r="D1430" s="12" t="s">
        <v>78</v>
      </c>
      <c r="E1430" s="12" t="s">
        <v>142</v>
      </c>
      <c r="F1430">
        <v>3</v>
      </c>
      <c r="G1430">
        <v>11</v>
      </c>
      <c r="H1430">
        <v>0</v>
      </c>
      <c r="I1430" s="12" t="s">
        <v>195</v>
      </c>
      <c r="J1430" s="12" t="s">
        <v>196</v>
      </c>
      <c r="K1430" s="12" t="s">
        <v>117</v>
      </c>
      <c r="L1430" s="12" t="s">
        <v>134</v>
      </c>
      <c r="M1430">
        <v>4.7699999999999996</v>
      </c>
      <c r="N1430" s="12" t="s">
        <v>70</v>
      </c>
      <c r="O1430" s="12" t="s">
        <v>71</v>
      </c>
      <c r="P1430" s="12" t="s">
        <v>72</v>
      </c>
      <c r="Q1430" s="13">
        <v>45229</v>
      </c>
      <c r="R1430" s="13">
        <v>45264</v>
      </c>
      <c r="S1430">
        <v>2023</v>
      </c>
      <c r="T1430" s="12" t="s">
        <v>1926</v>
      </c>
      <c r="U1430">
        <v>40</v>
      </c>
      <c r="V1430">
        <v>110.11579999999999</v>
      </c>
      <c r="W1430">
        <v>104.25</v>
      </c>
      <c r="X1430">
        <v>0</v>
      </c>
      <c r="Y1430">
        <v>0</v>
      </c>
      <c r="Z1430">
        <v>4404.63</v>
      </c>
      <c r="AA1430">
        <v>4508.88</v>
      </c>
      <c r="AB1430" s="12" t="s">
        <v>467</v>
      </c>
      <c r="AC1430">
        <v>110.11579999999999</v>
      </c>
      <c r="AD1430">
        <v>1</v>
      </c>
      <c r="AE1430">
        <v>1</v>
      </c>
      <c r="AF1430">
        <v>0</v>
      </c>
      <c r="AG1430">
        <v>4404.63</v>
      </c>
      <c r="AH1430">
        <v>40</v>
      </c>
      <c r="AI1430">
        <v>39</v>
      </c>
      <c r="AJ1430">
        <v>1</v>
      </c>
      <c r="AK1430">
        <v>1</v>
      </c>
      <c r="AL1430">
        <v>1</v>
      </c>
      <c r="AM1430">
        <v>97.5</v>
      </c>
      <c r="AN1430">
        <v>115.61239999999999</v>
      </c>
      <c r="AO1430">
        <v>110.12</v>
      </c>
      <c r="AP1430" s="13">
        <v>45261</v>
      </c>
      <c r="AQ1430">
        <v>-3</v>
      </c>
      <c r="AR1430">
        <v>1</v>
      </c>
    </row>
    <row r="1431" spans="1:44" x14ac:dyDescent="0.35">
      <c r="A1431" s="12" t="s">
        <v>2118</v>
      </c>
      <c r="B1431" s="12" t="s">
        <v>155</v>
      </c>
      <c r="C1431" s="12" t="s">
        <v>156</v>
      </c>
      <c r="D1431" s="12" t="s">
        <v>130</v>
      </c>
      <c r="E1431" s="12" t="s">
        <v>104</v>
      </c>
      <c r="F1431">
        <v>3</v>
      </c>
      <c r="G1431">
        <v>1</v>
      </c>
      <c r="H1431">
        <v>0</v>
      </c>
      <c r="I1431" s="12" t="s">
        <v>131</v>
      </c>
      <c r="J1431" s="12" t="s">
        <v>132</v>
      </c>
      <c r="K1431" s="12" t="s">
        <v>133</v>
      </c>
      <c r="L1431" s="12" t="s">
        <v>134</v>
      </c>
      <c r="M1431">
        <v>1.51</v>
      </c>
      <c r="N1431" s="12" t="s">
        <v>159</v>
      </c>
      <c r="O1431" s="12" t="s">
        <v>160</v>
      </c>
      <c r="P1431" s="12" t="s">
        <v>137</v>
      </c>
      <c r="Q1431" s="13">
        <v>45229</v>
      </c>
      <c r="R1431" s="13">
        <v>45250</v>
      </c>
      <c r="S1431">
        <v>2023</v>
      </c>
      <c r="T1431" s="12" t="s">
        <v>1926</v>
      </c>
      <c r="U1431">
        <v>87</v>
      </c>
      <c r="V1431">
        <v>206.28880000000001</v>
      </c>
      <c r="W1431">
        <v>369.83</v>
      </c>
      <c r="X1431">
        <v>0</v>
      </c>
      <c r="Y1431">
        <v>0</v>
      </c>
      <c r="Z1431">
        <v>17947.13</v>
      </c>
      <c r="AA1431">
        <v>18316.96</v>
      </c>
      <c r="AB1431" s="12" t="s">
        <v>205</v>
      </c>
      <c r="AC1431">
        <v>206.28880000000001</v>
      </c>
      <c r="AD1431">
        <v>1</v>
      </c>
      <c r="AE1431">
        <v>1</v>
      </c>
      <c r="AF1431">
        <v>0</v>
      </c>
      <c r="AG1431">
        <v>17947.13</v>
      </c>
      <c r="AH1431">
        <v>87</v>
      </c>
      <c r="AI1431">
        <v>79</v>
      </c>
      <c r="AJ1431">
        <v>8</v>
      </c>
      <c r="AK1431">
        <v>1</v>
      </c>
      <c r="AL1431">
        <v>1</v>
      </c>
      <c r="AM1431">
        <v>90.8</v>
      </c>
      <c r="AN1431">
        <v>231.86019999999999</v>
      </c>
      <c r="AO1431">
        <v>1650.31</v>
      </c>
      <c r="AP1431" s="13">
        <v>45249</v>
      </c>
      <c r="AQ1431">
        <v>-1</v>
      </c>
      <c r="AR1431">
        <v>1</v>
      </c>
    </row>
    <row r="1432" spans="1:44" x14ac:dyDescent="0.35">
      <c r="A1432" s="12" t="s">
        <v>2119</v>
      </c>
      <c r="B1432" s="12" t="s">
        <v>92</v>
      </c>
      <c r="C1432" s="12" t="s">
        <v>93</v>
      </c>
      <c r="D1432" s="12" t="s">
        <v>64</v>
      </c>
      <c r="E1432" s="12" t="s">
        <v>65</v>
      </c>
      <c r="F1432">
        <v>3</v>
      </c>
      <c r="G1432">
        <v>5</v>
      </c>
      <c r="H1432">
        <v>0</v>
      </c>
      <c r="I1432" s="12" t="s">
        <v>94</v>
      </c>
      <c r="J1432" s="12" t="s">
        <v>95</v>
      </c>
      <c r="K1432" s="12" t="s">
        <v>81</v>
      </c>
      <c r="L1432" s="12" t="s">
        <v>96</v>
      </c>
      <c r="M1432">
        <v>4.8099999999999996</v>
      </c>
      <c r="N1432" s="12" t="s">
        <v>70</v>
      </c>
      <c r="O1432" s="12" t="s">
        <v>71</v>
      </c>
      <c r="P1432" s="12" t="s">
        <v>72</v>
      </c>
      <c r="Q1432" s="13">
        <v>45229</v>
      </c>
      <c r="R1432" s="13">
        <v>45265</v>
      </c>
      <c r="S1432">
        <v>2023</v>
      </c>
      <c r="T1432" s="12" t="s">
        <v>1926</v>
      </c>
      <c r="U1432">
        <v>873</v>
      </c>
      <c r="V1432">
        <v>24.617899999999999</v>
      </c>
      <c r="W1432">
        <v>525.46</v>
      </c>
      <c r="X1432">
        <v>0</v>
      </c>
      <c r="Y1432">
        <v>0</v>
      </c>
      <c r="Z1432">
        <v>21491.43</v>
      </c>
      <c r="AA1432">
        <v>22016.89</v>
      </c>
      <c r="AB1432" s="12" t="s">
        <v>99</v>
      </c>
      <c r="AC1432">
        <v>24.617899999999999</v>
      </c>
      <c r="AD1432">
        <v>1</v>
      </c>
      <c r="AE1432">
        <v>1</v>
      </c>
      <c r="AF1432">
        <v>0</v>
      </c>
      <c r="AG1432">
        <v>21491.43</v>
      </c>
      <c r="AH1432">
        <v>873</v>
      </c>
      <c r="AI1432">
        <v>864</v>
      </c>
      <c r="AJ1432">
        <v>9</v>
      </c>
      <c r="AK1432">
        <v>1</v>
      </c>
      <c r="AL1432">
        <v>1</v>
      </c>
      <c r="AM1432">
        <v>98.97</v>
      </c>
      <c r="AN1432">
        <v>25.482500000000002</v>
      </c>
      <c r="AO1432">
        <v>221.56</v>
      </c>
      <c r="AP1432" s="13">
        <v>45264</v>
      </c>
      <c r="AQ1432">
        <v>-1</v>
      </c>
      <c r="AR1432">
        <v>1</v>
      </c>
    </row>
    <row r="1433" spans="1:44" x14ac:dyDescent="0.35">
      <c r="A1433" s="12" t="s">
        <v>2120</v>
      </c>
      <c r="B1433" s="12" t="s">
        <v>289</v>
      </c>
      <c r="C1433" s="12" t="s">
        <v>290</v>
      </c>
      <c r="D1433" s="12" t="s">
        <v>175</v>
      </c>
      <c r="E1433" s="12" t="s">
        <v>104</v>
      </c>
      <c r="F1433">
        <v>3</v>
      </c>
      <c r="G1433">
        <v>1</v>
      </c>
      <c r="H1433">
        <v>0</v>
      </c>
      <c r="I1433" s="12" t="s">
        <v>359</v>
      </c>
      <c r="J1433" s="12" t="s">
        <v>360</v>
      </c>
      <c r="K1433" s="12" t="s">
        <v>133</v>
      </c>
      <c r="L1433" s="12" t="s">
        <v>82</v>
      </c>
      <c r="M1433">
        <v>12.65</v>
      </c>
      <c r="N1433" s="12" t="s">
        <v>145</v>
      </c>
      <c r="O1433" s="12" t="s">
        <v>146</v>
      </c>
      <c r="P1433" s="12" t="s">
        <v>109</v>
      </c>
      <c r="Q1433" s="13">
        <v>45229</v>
      </c>
      <c r="R1433" s="13">
        <v>45250</v>
      </c>
      <c r="S1433">
        <v>2023</v>
      </c>
      <c r="T1433" s="12" t="s">
        <v>1926</v>
      </c>
      <c r="U1433">
        <v>86</v>
      </c>
      <c r="V1433">
        <v>194.9136</v>
      </c>
      <c r="W1433">
        <v>231.81</v>
      </c>
      <c r="X1433">
        <v>0</v>
      </c>
      <c r="Y1433">
        <v>0</v>
      </c>
      <c r="Z1433">
        <v>16762.57</v>
      </c>
      <c r="AA1433">
        <v>16994.38</v>
      </c>
      <c r="AB1433" s="12" t="s">
        <v>369</v>
      </c>
      <c r="AC1433">
        <v>194.9136</v>
      </c>
      <c r="AD1433">
        <v>1</v>
      </c>
      <c r="AE1433">
        <v>1</v>
      </c>
      <c r="AF1433">
        <v>0</v>
      </c>
      <c r="AG1433">
        <v>16762.57</v>
      </c>
      <c r="AH1433">
        <v>86</v>
      </c>
      <c r="AI1433">
        <v>85</v>
      </c>
      <c r="AJ1433">
        <v>1</v>
      </c>
      <c r="AK1433">
        <v>1</v>
      </c>
      <c r="AL1433">
        <v>1</v>
      </c>
      <c r="AM1433">
        <v>98.84</v>
      </c>
      <c r="AN1433">
        <v>199.93389999999999</v>
      </c>
      <c r="AO1433">
        <v>194.91</v>
      </c>
      <c r="AP1433" s="13">
        <v>45250</v>
      </c>
      <c r="AQ1433">
        <v>0</v>
      </c>
      <c r="AR1433">
        <v>1</v>
      </c>
    </row>
    <row r="1434" spans="1:44" x14ac:dyDescent="0.35">
      <c r="A1434" s="12" t="s">
        <v>2121</v>
      </c>
      <c r="B1434" s="12" t="s">
        <v>1042</v>
      </c>
      <c r="C1434" s="12" t="s">
        <v>1043</v>
      </c>
      <c r="D1434" s="12" t="s">
        <v>269</v>
      </c>
      <c r="E1434" s="12" t="s">
        <v>104</v>
      </c>
      <c r="F1434">
        <v>2</v>
      </c>
      <c r="G1434">
        <v>0</v>
      </c>
      <c r="H1434">
        <v>0</v>
      </c>
      <c r="I1434" s="12" t="s">
        <v>143</v>
      </c>
      <c r="J1434" s="12" t="s">
        <v>144</v>
      </c>
      <c r="K1434" s="12" t="s">
        <v>133</v>
      </c>
      <c r="L1434" s="12" t="s">
        <v>96</v>
      </c>
      <c r="M1434">
        <v>5.43</v>
      </c>
      <c r="N1434" s="12" t="s">
        <v>135</v>
      </c>
      <c r="O1434" s="12" t="s">
        <v>136</v>
      </c>
      <c r="P1434" s="12" t="s">
        <v>137</v>
      </c>
      <c r="Q1434" s="13">
        <v>45229</v>
      </c>
      <c r="R1434" s="13">
        <v>45246</v>
      </c>
      <c r="S1434">
        <v>2023</v>
      </c>
      <c r="T1434" s="12" t="s">
        <v>1926</v>
      </c>
      <c r="U1434">
        <v>54</v>
      </c>
      <c r="V1434">
        <v>290.76319999999998</v>
      </c>
      <c r="W1434">
        <v>180.4</v>
      </c>
      <c r="X1434">
        <v>0</v>
      </c>
      <c r="Y1434">
        <v>0</v>
      </c>
      <c r="Z1434">
        <v>15701.21</v>
      </c>
      <c r="AA1434">
        <v>15881.61</v>
      </c>
      <c r="AB1434" s="12" t="s">
        <v>1044</v>
      </c>
      <c r="AC1434">
        <v>290.76319999999998</v>
      </c>
      <c r="AD1434">
        <v>1</v>
      </c>
      <c r="AE1434">
        <v>1</v>
      </c>
      <c r="AF1434">
        <v>0</v>
      </c>
      <c r="AG1434">
        <v>15701.21</v>
      </c>
      <c r="AH1434">
        <v>54</v>
      </c>
      <c r="AI1434">
        <v>53</v>
      </c>
      <c r="AJ1434">
        <v>1</v>
      </c>
      <c r="AK1434">
        <v>1</v>
      </c>
      <c r="AL1434">
        <v>1</v>
      </c>
      <c r="AM1434">
        <v>98.15</v>
      </c>
      <c r="AN1434">
        <v>299.65309999999999</v>
      </c>
      <c r="AO1434">
        <v>290.76</v>
      </c>
      <c r="AP1434" s="13">
        <v>45244</v>
      </c>
      <c r="AQ1434">
        <v>-2</v>
      </c>
      <c r="AR1434">
        <v>1</v>
      </c>
    </row>
    <row r="1435" spans="1:44" x14ac:dyDescent="0.35">
      <c r="A1435" s="12" t="s">
        <v>2122</v>
      </c>
      <c r="B1435" s="12" t="s">
        <v>766</v>
      </c>
      <c r="C1435" s="12" t="s">
        <v>767</v>
      </c>
      <c r="D1435" s="12" t="s">
        <v>175</v>
      </c>
      <c r="E1435" s="12" t="s">
        <v>65</v>
      </c>
      <c r="F1435">
        <v>3</v>
      </c>
      <c r="G1435">
        <v>5</v>
      </c>
      <c r="H1435">
        <v>0</v>
      </c>
      <c r="I1435" s="12" t="s">
        <v>87</v>
      </c>
      <c r="J1435" s="12" t="s">
        <v>88</v>
      </c>
      <c r="K1435" s="12" t="s">
        <v>89</v>
      </c>
      <c r="L1435" s="12" t="s">
        <v>69</v>
      </c>
      <c r="M1435">
        <v>14.93</v>
      </c>
      <c r="N1435" s="12" t="s">
        <v>107</v>
      </c>
      <c r="O1435" s="12" t="s">
        <v>108</v>
      </c>
      <c r="P1435" s="12" t="s">
        <v>109</v>
      </c>
      <c r="Q1435" s="13">
        <v>45230</v>
      </c>
      <c r="R1435" s="13">
        <v>45263</v>
      </c>
      <c r="S1435">
        <v>2023</v>
      </c>
      <c r="T1435" s="12" t="s">
        <v>1926</v>
      </c>
      <c r="U1435">
        <v>104</v>
      </c>
      <c r="V1435">
        <v>86.977900000000005</v>
      </c>
      <c r="W1435">
        <v>111.46</v>
      </c>
      <c r="X1435">
        <v>0</v>
      </c>
      <c r="Y1435">
        <v>0</v>
      </c>
      <c r="Z1435">
        <v>9045.7000000000007</v>
      </c>
      <c r="AA1435">
        <v>9157.16</v>
      </c>
      <c r="AB1435" s="12" t="s">
        <v>768</v>
      </c>
      <c r="AC1435">
        <v>86.977900000000005</v>
      </c>
      <c r="AD1435">
        <v>1</v>
      </c>
      <c r="AE1435">
        <v>1</v>
      </c>
      <c r="AF1435">
        <v>0</v>
      </c>
      <c r="AG1435">
        <v>9045.7000000000007</v>
      </c>
      <c r="AH1435">
        <v>104</v>
      </c>
      <c r="AI1435">
        <v>103</v>
      </c>
      <c r="AJ1435">
        <v>1</v>
      </c>
      <c r="AK1435">
        <v>1</v>
      </c>
      <c r="AL1435">
        <v>1</v>
      </c>
      <c r="AM1435">
        <v>99.04</v>
      </c>
      <c r="AN1435">
        <v>88.904499999999999</v>
      </c>
      <c r="AO1435">
        <v>86.98</v>
      </c>
      <c r="AP1435" s="13">
        <v>45261</v>
      </c>
      <c r="AQ1435">
        <v>-2</v>
      </c>
      <c r="AR1435">
        <v>1</v>
      </c>
    </row>
    <row r="1436" spans="1:44" x14ac:dyDescent="0.35">
      <c r="A1436" s="12" t="s">
        <v>2123</v>
      </c>
      <c r="B1436" s="12" t="s">
        <v>395</v>
      </c>
      <c r="C1436" s="12" t="s">
        <v>396</v>
      </c>
      <c r="D1436" s="12" t="s">
        <v>130</v>
      </c>
      <c r="E1436" s="12" t="s">
        <v>104</v>
      </c>
      <c r="F1436">
        <v>3</v>
      </c>
      <c r="G1436">
        <v>1</v>
      </c>
      <c r="H1436">
        <v>0</v>
      </c>
      <c r="I1436" s="12" t="s">
        <v>123</v>
      </c>
      <c r="J1436" s="12" t="s">
        <v>124</v>
      </c>
      <c r="K1436" s="12" t="s">
        <v>125</v>
      </c>
      <c r="L1436" s="12" t="s">
        <v>82</v>
      </c>
      <c r="M1436">
        <v>6.75</v>
      </c>
      <c r="N1436" s="12" t="s">
        <v>159</v>
      </c>
      <c r="O1436" s="12" t="s">
        <v>160</v>
      </c>
      <c r="P1436" s="12" t="s">
        <v>137</v>
      </c>
      <c r="Q1436" s="13">
        <v>45230</v>
      </c>
      <c r="R1436" s="13">
        <v>45248</v>
      </c>
      <c r="S1436">
        <v>2023</v>
      </c>
      <c r="T1436" s="12" t="s">
        <v>1926</v>
      </c>
      <c r="U1436">
        <v>62</v>
      </c>
      <c r="V1436">
        <v>191.16720000000001</v>
      </c>
      <c r="W1436">
        <v>198.17</v>
      </c>
      <c r="X1436">
        <v>0</v>
      </c>
      <c r="Y1436">
        <v>0</v>
      </c>
      <c r="Z1436">
        <v>11852.37</v>
      </c>
      <c r="AA1436">
        <v>12050.54</v>
      </c>
      <c r="AB1436" s="12" t="s">
        <v>201</v>
      </c>
      <c r="AD1436">
        <v>0</v>
      </c>
      <c r="AE1436">
        <v>0</v>
      </c>
      <c r="AH1436">
        <v>62</v>
      </c>
      <c r="AI1436">
        <v>61</v>
      </c>
      <c r="AJ1436">
        <v>1</v>
      </c>
      <c r="AK1436">
        <v>1</v>
      </c>
      <c r="AL1436">
        <v>1</v>
      </c>
      <c r="AM1436">
        <v>98.39</v>
      </c>
      <c r="AN1436">
        <v>197.5498</v>
      </c>
      <c r="AO1436">
        <v>191.17</v>
      </c>
      <c r="AP1436" s="13">
        <v>45248</v>
      </c>
      <c r="AQ1436">
        <v>0</v>
      </c>
      <c r="AR1436">
        <v>1</v>
      </c>
    </row>
    <row r="1437" spans="1:44" x14ac:dyDescent="0.35">
      <c r="A1437" s="12" t="s">
        <v>2124</v>
      </c>
      <c r="B1437" s="12" t="s">
        <v>685</v>
      </c>
      <c r="C1437" s="12" t="s">
        <v>686</v>
      </c>
      <c r="D1437" s="12" t="s">
        <v>175</v>
      </c>
      <c r="E1437" s="12" t="s">
        <v>104</v>
      </c>
      <c r="F1437">
        <v>2</v>
      </c>
      <c r="G1437">
        <v>0</v>
      </c>
      <c r="H1437">
        <v>0</v>
      </c>
      <c r="I1437" s="12" t="s">
        <v>243</v>
      </c>
      <c r="J1437" s="12" t="s">
        <v>244</v>
      </c>
      <c r="K1437" s="12" t="s">
        <v>81</v>
      </c>
      <c r="L1437" s="12" t="s">
        <v>82</v>
      </c>
      <c r="M1437">
        <v>9.2200000000000006</v>
      </c>
      <c r="N1437" s="12" t="s">
        <v>145</v>
      </c>
      <c r="O1437" s="12" t="s">
        <v>146</v>
      </c>
      <c r="P1437" s="12" t="s">
        <v>109</v>
      </c>
      <c r="Q1437" s="13">
        <v>45230</v>
      </c>
      <c r="R1437" s="13">
        <v>45242</v>
      </c>
      <c r="S1437">
        <v>2023</v>
      </c>
      <c r="T1437" s="12" t="s">
        <v>1926</v>
      </c>
      <c r="U1437">
        <v>14</v>
      </c>
      <c r="V1437">
        <v>221.7389</v>
      </c>
      <c r="W1437">
        <v>67.05</v>
      </c>
      <c r="X1437">
        <v>0</v>
      </c>
      <c r="Y1437">
        <v>0</v>
      </c>
      <c r="Z1437">
        <v>3104.34</v>
      </c>
      <c r="AA1437">
        <v>3171.39</v>
      </c>
      <c r="AB1437" s="12" t="s">
        <v>687</v>
      </c>
      <c r="AC1437">
        <v>221.7389</v>
      </c>
      <c r="AD1437">
        <v>1</v>
      </c>
      <c r="AE1437">
        <v>1</v>
      </c>
      <c r="AF1437">
        <v>0</v>
      </c>
      <c r="AG1437">
        <v>3104.34</v>
      </c>
      <c r="AH1437">
        <v>14</v>
      </c>
      <c r="AI1437">
        <v>14</v>
      </c>
      <c r="AJ1437">
        <v>0</v>
      </c>
      <c r="AK1437">
        <v>1</v>
      </c>
      <c r="AL1437">
        <v>1</v>
      </c>
      <c r="AM1437">
        <v>100</v>
      </c>
      <c r="AN1437">
        <v>226.5282</v>
      </c>
      <c r="AO1437">
        <v>0</v>
      </c>
      <c r="AP1437" s="13">
        <v>45242</v>
      </c>
      <c r="AQ1437">
        <v>0</v>
      </c>
      <c r="AR1437">
        <v>1</v>
      </c>
    </row>
    <row r="1438" spans="1:44" x14ac:dyDescent="0.35">
      <c r="A1438" s="12" t="s">
        <v>2125</v>
      </c>
      <c r="B1438" s="12" t="s">
        <v>555</v>
      </c>
      <c r="C1438" s="12" t="s">
        <v>556</v>
      </c>
      <c r="D1438" s="12" t="s">
        <v>114</v>
      </c>
      <c r="E1438" s="12" t="s">
        <v>142</v>
      </c>
      <c r="F1438">
        <v>1</v>
      </c>
      <c r="G1438">
        <v>6</v>
      </c>
      <c r="H1438">
        <v>1</v>
      </c>
      <c r="I1438" s="12" t="s">
        <v>151</v>
      </c>
      <c r="J1438" s="12" t="s">
        <v>152</v>
      </c>
      <c r="K1438" s="12" t="s">
        <v>125</v>
      </c>
      <c r="L1438" s="12" t="s">
        <v>69</v>
      </c>
      <c r="M1438">
        <v>36.479999999999997</v>
      </c>
      <c r="N1438" s="12" t="s">
        <v>97</v>
      </c>
      <c r="O1438" s="12" t="s">
        <v>98</v>
      </c>
      <c r="P1438" s="12" t="s">
        <v>72</v>
      </c>
      <c r="Q1438" s="13">
        <v>45230</v>
      </c>
      <c r="R1438" s="13">
        <v>45279</v>
      </c>
      <c r="S1438">
        <v>2023</v>
      </c>
      <c r="T1438" s="12" t="s">
        <v>1926</v>
      </c>
      <c r="U1438">
        <v>120</v>
      </c>
      <c r="V1438">
        <v>290.42770000000002</v>
      </c>
      <c r="W1438">
        <v>712.14</v>
      </c>
      <c r="X1438">
        <v>0</v>
      </c>
      <c r="Y1438">
        <v>0</v>
      </c>
      <c r="Z1438">
        <v>34851.32</v>
      </c>
      <c r="AA1438">
        <v>35563.46</v>
      </c>
      <c r="AB1438" s="12" t="s">
        <v>557</v>
      </c>
      <c r="AC1438">
        <v>290.42770000000002</v>
      </c>
      <c r="AD1438">
        <v>1</v>
      </c>
      <c r="AE1438">
        <v>1</v>
      </c>
      <c r="AF1438">
        <v>0</v>
      </c>
      <c r="AG1438">
        <v>34851.32</v>
      </c>
      <c r="AH1438">
        <v>120</v>
      </c>
      <c r="AI1438">
        <v>118</v>
      </c>
      <c r="AJ1438">
        <v>2</v>
      </c>
      <c r="AK1438">
        <v>1</v>
      </c>
      <c r="AL1438">
        <v>1</v>
      </c>
      <c r="AM1438">
        <v>98.33</v>
      </c>
      <c r="AN1438">
        <v>301.38529999999997</v>
      </c>
      <c r="AO1438">
        <v>580.86</v>
      </c>
      <c r="AP1438" s="13">
        <v>45281</v>
      </c>
      <c r="AQ1438">
        <v>2</v>
      </c>
      <c r="AR1438">
        <v>0</v>
      </c>
    </row>
    <row r="1439" spans="1:44" x14ac:dyDescent="0.35">
      <c r="A1439" s="12" t="s">
        <v>2126</v>
      </c>
      <c r="B1439" s="12" t="s">
        <v>249</v>
      </c>
      <c r="C1439" s="12" t="s">
        <v>250</v>
      </c>
      <c r="D1439" s="12" t="s">
        <v>64</v>
      </c>
      <c r="E1439" s="12" t="s">
        <v>65</v>
      </c>
      <c r="F1439">
        <v>2</v>
      </c>
      <c r="G1439">
        <v>3</v>
      </c>
      <c r="H1439">
        <v>0</v>
      </c>
      <c r="I1439" s="12" t="s">
        <v>183</v>
      </c>
      <c r="J1439" s="12" t="s">
        <v>184</v>
      </c>
      <c r="K1439" s="12" t="s">
        <v>133</v>
      </c>
      <c r="L1439" s="12" t="s">
        <v>82</v>
      </c>
      <c r="M1439">
        <v>8.6199999999999992</v>
      </c>
      <c r="N1439" s="12" t="s">
        <v>97</v>
      </c>
      <c r="O1439" s="12" t="s">
        <v>98</v>
      </c>
      <c r="P1439" s="12" t="s">
        <v>72</v>
      </c>
      <c r="Q1439" s="13">
        <v>45230</v>
      </c>
      <c r="R1439" s="13">
        <v>45253</v>
      </c>
      <c r="S1439">
        <v>2023</v>
      </c>
      <c r="T1439" s="12" t="s">
        <v>1926</v>
      </c>
      <c r="U1439">
        <v>224</v>
      </c>
      <c r="V1439">
        <v>10.6486</v>
      </c>
      <c r="W1439">
        <v>32.76</v>
      </c>
      <c r="X1439">
        <v>0</v>
      </c>
      <c r="Y1439">
        <v>0</v>
      </c>
      <c r="Z1439">
        <v>2385.29</v>
      </c>
      <c r="AA1439">
        <v>2418.0500000000002</v>
      </c>
      <c r="AB1439" s="12" t="s">
        <v>2127</v>
      </c>
      <c r="AC1439">
        <v>10.6486</v>
      </c>
      <c r="AD1439">
        <v>1</v>
      </c>
      <c r="AE1439">
        <v>1</v>
      </c>
      <c r="AF1439">
        <v>0</v>
      </c>
      <c r="AG1439">
        <v>2385.29</v>
      </c>
      <c r="AH1439">
        <v>224</v>
      </c>
      <c r="AI1439">
        <v>221</v>
      </c>
      <c r="AJ1439">
        <v>3</v>
      </c>
      <c r="AK1439">
        <v>1</v>
      </c>
      <c r="AL1439">
        <v>1</v>
      </c>
      <c r="AM1439">
        <v>98.66</v>
      </c>
      <c r="AN1439">
        <v>10.9414</v>
      </c>
      <c r="AO1439">
        <v>31.95</v>
      </c>
      <c r="AP1439" s="13">
        <v>45250</v>
      </c>
      <c r="AQ1439">
        <v>-3</v>
      </c>
      <c r="AR1439">
        <v>1</v>
      </c>
    </row>
    <row r="1440" spans="1:44" x14ac:dyDescent="0.35">
      <c r="A1440" s="12" t="s">
        <v>2128</v>
      </c>
      <c r="B1440" s="12" t="s">
        <v>207</v>
      </c>
      <c r="C1440" s="12" t="s">
        <v>208</v>
      </c>
      <c r="D1440" s="12" t="s">
        <v>78</v>
      </c>
      <c r="E1440" s="12" t="s">
        <v>65</v>
      </c>
      <c r="F1440">
        <v>2</v>
      </c>
      <c r="G1440">
        <v>3</v>
      </c>
      <c r="H1440">
        <v>0</v>
      </c>
      <c r="I1440" s="12" t="s">
        <v>209</v>
      </c>
      <c r="J1440" s="12" t="s">
        <v>210</v>
      </c>
      <c r="K1440" s="12" t="s">
        <v>133</v>
      </c>
      <c r="L1440" s="12" t="s">
        <v>96</v>
      </c>
      <c r="M1440">
        <v>7.82</v>
      </c>
      <c r="N1440" s="12" t="s">
        <v>70</v>
      </c>
      <c r="O1440" s="12" t="s">
        <v>71</v>
      </c>
      <c r="P1440" s="12" t="s">
        <v>72</v>
      </c>
      <c r="Q1440" s="13">
        <v>45230</v>
      </c>
      <c r="R1440" s="13">
        <v>45264</v>
      </c>
      <c r="S1440">
        <v>2023</v>
      </c>
      <c r="T1440" s="12" t="s">
        <v>1926</v>
      </c>
      <c r="U1440">
        <v>235</v>
      </c>
      <c r="V1440">
        <v>152.13079999999999</v>
      </c>
      <c r="W1440">
        <v>399.01</v>
      </c>
      <c r="X1440">
        <v>1135.99</v>
      </c>
      <c r="Y1440">
        <v>1</v>
      </c>
      <c r="Z1440">
        <v>35750.74</v>
      </c>
      <c r="AA1440">
        <v>37285.74</v>
      </c>
      <c r="AB1440" s="12" t="s">
        <v>211</v>
      </c>
      <c r="AC1440">
        <v>152.13079999999999</v>
      </c>
      <c r="AD1440">
        <v>1</v>
      </c>
      <c r="AE1440">
        <v>1</v>
      </c>
      <c r="AF1440">
        <v>0</v>
      </c>
      <c r="AG1440">
        <v>35750.74</v>
      </c>
      <c r="AH1440">
        <v>235</v>
      </c>
      <c r="AI1440">
        <v>229</v>
      </c>
      <c r="AJ1440">
        <v>6</v>
      </c>
      <c r="AK1440">
        <v>1</v>
      </c>
      <c r="AL1440">
        <v>1</v>
      </c>
      <c r="AM1440">
        <v>97.45</v>
      </c>
      <c r="AN1440">
        <v>162.81979999999999</v>
      </c>
      <c r="AO1440">
        <v>912.78</v>
      </c>
      <c r="AP1440" s="13">
        <v>45272</v>
      </c>
      <c r="AQ1440">
        <v>8</v>
      </c>
      <c r="AR1440">
        <v>0</v>
      </c>
    </row>
    <row r="1441" spans="1:44" x14ac:dyDescent="0.35">
      <c r="A1441" s="12" t="s">
        <v>2129</v>
      </c>
      <c r="B1441" s="12" t="s">
        <v>482</v>
      </c>
      <c r="C1441" s="12" t="s">
        <v>483</v>
      </c>
      <c r="D1441" s="12" t="s">
        <v>78</v>
      </c>
      <c r="E1441" s="12" t="s">
        <v>142</v>
      </c>
      <c r="F1441">
        <v>2</v>
      </c>
      <c r="G1441">
        <v>9</v>
      </c>
      <c r="H1441">
        <v>0</v>
      </c>
      <c r="I1441" s="12" t="s">
        <v>87</v>
      </c>
      <c r="J1441" s="12" t="s">
        <v>88</v>
      </c>
      <c r="K1441" s="12" t="s">
        <v>89</v>
      </c>
      <c r="L1441" s="12" t="s">
        <v>69</v>
      </c>
      <c r="M1441">
        <v>14.93</v>
      </c>
      <c r="N1441" s="12" t="s">
        <v>70</v>
      </c>
      <c r="O1441" s="12" t="s">
        <v>71</v>
      </c>
      <c r="P1441" s="12" t="s">
        <v>72</v>
      </c>
      <c r="Q1441" s="13">
        <v>45230</v>
      </c>
      <c r="R1441" s="13">
        <v>45265</v>
      </c>
      <c r="S1441">
        <v>2023</v>
      </c>
      <c r="T1441" s="12" t="s">
        <v>1926</v>
      </c>
      <c r="U1441">
        <v>42</v>
      </c>
      <c r="V1441">
        <v>49.685899999999997</v>
      </c>
      <c r="W1441">
        <v>45.68</v>
      </c>
      <c r="X1441">
        <v>0</v>
      </c>
      <c r="Y1441">
        <v>0</v>
      </c>
      <c r="Z1441">
        <v>2086.81</v>
      </c>
      <c r="AA1441">
        <v>2132.4899999999998</v>
      </c>
      <c r="AB1441" s="12" t="s">
        <v>484</v>
      </c>
      <c r="AC1441">
        <v>49.685899999999997</v>
      </c>
      <c r="AD1441">
        <v>1</v>
      </c>
      <c r="AE1441">
        <v>1</v>
      </c>
      <c r="AF1441">
        <v>0</v>
      </c>
      <c r="AG1441">
        <v>2086.81</v>
      </c>
      <c r="AH1441">
        <v>42</v>
      </c>
      <c r="AI1441">
        <v>42</v>
      </c>
      <c r="AJ1441">
        <v>0</v>
      </c>
      <c r="AK1441">
        <v>1</v>
      </c>
      <c r="AL1441">
        <v>1</v>
      </c>
      <c r="AM1441">
        <v>100</v>
      </c>
      <c r="AN1441">
        <v>50.773499999999999</v>
      </c>
      <c r="AO1441">
        <v>0</v>
      </c>
      <c r="AP1441" s="13">
        <v>45264</v>
      </c>
      <c r="AQ1441">
        <v>-1</v>
      </c>
      <c r="AR1441">
        <v>1</v>
      </c>
    </row>
    <row r="1442" spans="1:44" x14ac:dyDescent="0.35">
      <c r="A1442" s="12" t="s">
        <v>2130</v>
      </c>
      <c r="B1442" s="12" t="s">
        <v>561</v>
      </c>
      <c r="C1442" s="12" t="s">
        <v>562</v>
      </c>
      <c r="D1442" s="12" t="s">
        <v>130</v>
      </c>
      <c r="E1442" s="12" t="s">
        <v>142</v>
      </c>
      <c r="F1442">
        <v>1</v>
      </c>
      <c r="G1442">
        <v>9</v>
      </c>
      <c r="H1442">
        <v>1</v>
      </c>
      <c r="I1442" s="12" t="s">
        <v>223</v>
      </c>
      <c r="J1442" s="12" t="s">
        <v>224</v>
      </c>
      <c r="K1442" s="12" t="s">
        <v>81</v>
      </c>
      <c r="L1442" s="12" t="s">
        <v>134</v>
      </c>
      <c r="M1442">
        <v>2.4900000000000002</v>
      </c>
      <c r="N1442" s="12" t="s">
        <v>135</v>
      </c>
      <c r="O1442" s="12" t="s">
        <v>136</v>
      </c>
      <c r="P1442" s="12" t="s">
        <v>137</v>
      </c>
      <c r="Q1442" s="13">
        <v>45230</v>
      </c>
      <c r="R1442" s="13">
        <v>45276</v>
      </c>
      <c r="S1442">
        <v>2023</v>
      </c>
      <c r="T1442" s="12" t="s">
        <v>1926</v>
      </c>
      <c r="U1442">
        <v>103</v>
      </c>
      <c r="V1442">
        <v>603.56020000000001</v>
      </c>
      <c r="W1442">
        <v>1327.5</v>
      </c>
      <c r="X1442">
        <v>0</v>
      </c>
      <c r="Y1442">
        <v>0</v>
      </c>
      <c r="Z1442">
        <v>62166.7</v>
      </c>
      <c r="AA1442">
        <v>63494.2</v>
      </c>
      <c r="AB1442" s="12" t="s">
        <v>563</v>
      </c>
      <c r="AC1442">
        <v>603.56020000000001</v>
      </c>
      <c r="AD1442">
        <v>1</v>
      </c>
      <c r="AE1442">
        <v>1</v>
      </c>
      <c r="AF1442">
        <v>0</v>
      </c>
      <c r="AG1442">
        <v>62166.7</v>
      </c>
      <c r="AH1442">
        <v>103</v>
      </c>
      <c r="AI1442">
        <v>102</v>
      </c>
      <c r="AJ1442">
        <v>1</v>
      </c>
      <c r="AK1442">
        <v>1</v>
      </c>
      <c r="AL1442">
        <v>1</v>
      </c>
      <c r="AM1442">
        <v>99.03</v>
      </c>
      <c r="AN1442">
        <v>622.49220000000003</v>
      </c>
      <c r="AO1442">
        <v>603.55999999999995</v>
      </c>
      <c r="AP1442" s="13">
        <v>45276</v>
      </c>
      <c r="AQ1442">
        <v>0</v>
      </c>
      <c r="AR1442">
        <v>1</v>
      </c>
    </row>
    <row r="1443" spans="1:44" x14ac:dyDescent="0.35">
      <c r="A1443" s="12" t="s">
        <v>2131</v>
      </c>
      <c r="B1443" s="12" t="s">
        <v>694</v>
      </c>
      <c r="C1443" s="12" t="s">
        <v>695</v>
      </c>
      <c r="D1443" s="12" t="s">
        <v>103</v>
      </c>
      <c r="E1443" s="12" t="s">
        <v>65</v>
      </c>
      <c r="F1443">
        <v>2</v>
      </c>
      <c r="G1443">
        <v>3</v>
      </c>
      <c r="H1443">
        <v>0</v>
      </c>
      <c r="I1443" s="12" t="s">
        <v>263</v>
      </c>
      <c r="J1443" s="12" t="s">
        <v>264</v>
      </c>
      <c r="K1443" s="12" t="s">
        <v>125</v>
      </c>
      <c r="L1443" s="12" t="s">
        <v>82</v>
      </c>
      <c r="M1443">
        <v>10.210000000000001</v>
      </c>
      <c r="N1443" s="12" t="s">
        <v>107</v>
      </c>
      <c r="O1443" s="12" t="s">
        <v>108</v>
      </c>
      <c r="P1443" s="12" t="s">
        <v>109</v>
      </c>
      <c r="Q1443" s="13">
        <v>45231</v>
      </c>
      <c r="R1443" s="13">
        <v>45257</v>
      </c>
      <c r="S1443">
        <v>2023</v>
      </c>
      <c r="T1443" s="12" t="s">
        <v>2132</v>
      </c>
      <c r="U1443">
        <v>52</v>
      </c>
      <c r="V1443">
        <v>215.60980000000001</v>
      </c>
      <c r="W1443">
        <v>160.6</v>
      </c>
      <c r="X1443">
        <v>0</v>
      </c>
      <c r="Y1443">
        <v>0</v>
      </c>
      <c r="Z1443">
        <v>11211.71</v>
      </c>
      <c r="AA1443">
        <v>11372.31</v>
      </c>
      <c r="AB1443" s="12" t="s">
        <v>696</v>
      </c>
      <c r="AC1443">
        <v>215.60980000000001</v>
      </c>
      <c r="AD1443">
        <v>1</v>
      </c>
      <c r="AE1443">
        <v>1</v>
      </c>
      <c r="AF1443">
        <v>0</v>
      </c>
      <c r="AG1443">
        <v>11211.71</v>
      </c>
      <c r="AH1443">
        <v>52</v>
      </c>
      <c r="AI1443">
        <v>52</v>
      </c>
      <c r="AJ1443">
        <v>0</v>
      </c>
      <c r="AK1443">
        <v>1</v>
      </c>
      <c r="AL1443">
        <v>1</v>
      </c>
      <c r="AM1443">
        <v>100</v>
      </c>
      <c r="AN1443">
        <v>218.69829999999999</v>
      </c>
      <c r="AO1443">
        <v>0</v>
      </c>
      <c r="AP1443" s="13">
        <v>45254</v>
      </c>
      <c r="AQ1443">
        <v>-3</v>
      </c>
      <c r="AR1443">
        <v>1</v>
      </c>
    </row>
    <row r="1444" spans="1:44" x14ac:dyDescent="0.35">
      <c r="A1444" s="12" t="s">
        <v>2133</v>
      </c>
      <c r="B1444" s="12" t="s">
        <v>442</v>
      </c>
      <c r="C1444" s="12" t="s">
        <v>443</v>
      </c>
      <c r="D1444" s="12" t="s">
        <v>130</v>
      </c>
      <c r="E1444" s="12" t="s">
        <v>65</v>
      </c>
      <c r="F1444">
        <v>3</v>
      </c>
      <c r="G1444">
        <v>4</v>
      </c>
      <c r="H1444">
        <v>0</v>
      </c>
      <c r="I1444" s="12" t="s">
        <v>115</v>
      </c>
      <c r="J1444" s="12" t="s">
        <v>116</v>
      </c>
      <c r="K1444" s="12" t="s">
        <v>117</v>
      </c>
      <c r="L1444" s="12" t="s">
        <v>82</v>
      </c>
      <c r="M1444">
        <v>17.170000000000002</v>
      </c>
      <c r="N1444" s="12" t="s">
        <v>159</v>
      </c>
      <c r="O1444" s="12" t="s">
        <v>160</v>
      </c>
      <c r="P1444" s="12" t="s">
        <v>137</v>
      </c>
      <c r="Q1444" s="13">
        <v>45231</v>
      </c>
      <c r="R1444" s="13">
        <v>45262</v>
      </c>
      <c r="S1444">
        <v>2023</v>
      </c>
      <c r="T1444" s="12" t="s">
        <v>2132</v>
      </c>
      <c r="U1444">
        <v>93</v>
      </c>
      <c r="V1444">
        <v>610.72789999999998</v>
      </c>
      <c r="W1444">
        <v>1018.9</v>
      </c>
      <c r="X1444">
        <v>0</v>
      </c>
      <c r="Y1444">
        <v>0</v>
      </c>
      <c r="Z1444">
        <v>56797.69</v>
      </c>
      <c r="AA1444">
        <v>57816.59</v>
      </c>
      <c r="AB1444" s="12" t="s">
        <v>581</v>
      </c>
      <c r="AC1444">
        <v>610.72789999999998</v>
      </c>
      <c r="AD1444">
        <v>1</v>
      </c>
      <c r="AE1444">
        <v>1</v>
      </c>
      <c r="AF1444">
        <v>0</v>
      </c>
      <c r="AG1444">
        <v>56797.69</v>
      </c>
      <c r="AH1444">
        <v>93</v>
      </c>
      <c r="AI1444">
        <v>92</v>
      </c>
      <c r="AJ1444">
        <v>1</v>
      </c>
      <c r="AK1444">
        <v>1</v>
      </c>
      <c r="AL1444">
        <v>1</v>
      </c>
      <c r="AM1444">
        <v>98.92</v>
      </c>
      <c r="AN1444">
        <v>628.44119999999998</v>
      </c>
      <c r="AO1444">
        <v>610.73</v>
      </c>
      <c r="AP1444" s="13">
        <v>45260</v>
      </c>
      <c r="AQ1444">
        <v>-2</v>
      </c>
      <c r="AR1444">
        <v>1</v>
      </c>
    </row>
    <row r="1445" spans="1:44" x14ac:dyDescent="0.35">
      <c r="A1445" s="12" t="s">
        <v>2134</v>
      </c>
      <c r="B1445" s="12" t="s">
        <v>155</v>
      </c>
      <c r="C1445" s="12" t="s">
        <v>156</v>
      </c>
      <c r="D1445" s="12" t="s">
        <v>130</v>
      </c>
      <c r="E1445" s="12" t="s">
        <v>104</v>
      </c>
      <c r="F1445">
        <v>3</v>
      </c>
      <c r="G1445">
        <v>1</v>
      </c>
      <c r="H1445">
        <v>0</v>
      </c>
      <c r="I1445" s="12" t="s">
        <v>157</v>
      </c>
      <c r="J1445" s="12" t="s">
        <v>158</v>
      </c>
      <c r="K1445" s="12" t="s">
        <v>117</v>
      </c>
      <c r="L1445" s="12" t="s">
        <v>96</v>
      </c>
      <c r="M1445">
        <v>4.72</v>
      </c>
      <c r="N1445" s="12" t="s">
        <v>159</v>
      </c>
      <c r="O1445" s="12" t="s">
        <v>160</v>
      </c>
      <c r="P1445" s="12" t="s">
        <v>137</v>
      </c>
      <c r="Q1445" s="13">
        <v>45231</v>
      </c>
      <c r="R1445" s="13">
        <v>45255</v>
      </c>
      <c r="S1445">
        <v>2023</v>
      </c>
      <c r="T1445" s="12" t="s">
        <v>2132</v>
      </c>
      <c r="U1445">
        <v>110</v>
      </c>
      <c r="V1445">
        <v>206.28880000000001</v>
      </c>
      <c r="W1445">
        <v>506.86</v>
      </c>
      <c r="X1445">
        <v>0</v>
      </c>
      <c r="Y1445">
        <v>0</v>
      </c>
      <c r="Z1445">
        <v>22691.77</v>
      </c>
      <c r="AA1445">
        <v>23198.63</v>
      </c>
      <c r="AB1445" s="12" t="s">
        <v>161</v>
      </c>
      <c r="AC1445">
        <v>206.28880000000001</v>
      </c>
      <c r="AD1445">
        <v>1</v>
      </c>
      <c r="AE1445">
        <v>1</v>
      </c>
      <c r="AF1445">
        <v>0</v>
      </c>
      <c r="AG1445">
        <v>22691.77</v>
      </c>
      <c r="AH1445">
        <v>110</v>
      </c>
      <c r="AI1445">
        <v>110</v>
      </c>
      <c r="AJ1445">
        <v>0</v>
      </c>
      <c r="AK1445">
        <v>1</v>
      </c>
      <c r="AL1445">
        <v>1</v>
      </c>
      <c r="AM1445">
        <v>100</v>
      </c>
      <c r="AN1445">
        <v>210.89660000000001</v>
      </c>
      <c r="AO1445">
        <v>0</v>
      </c>
      <c r="AP1445" s="13">
        <v>45261</v>
      </c>
      <c r="AQ1445">
        <v>6</v>
      </c>
      <c r="AR1445">
        <v>0</v>
      </c>
    </row>
    <row r="1446" spans="1:44" x14ac:dyDescent="0.35">
      <c r="A1446" s="12" t="s">
        <v>2135</v>
      </c>
      <c r="B1446" s="12" t="s">
        <v>532</v>
      </c>
      <c r="C1446" s="12" t="s">
        <v>533</v>
      </c>
      <c r="D1446" s="12" t="s">
        <v>114</v>
      </c>
      <c r="E1446" s="12" t="s">
        <v>65</v>
      </c>
      <c r="F1446">
        <v>2</v>
      </c>
      <c r="G1446">
        <v>3</v>
      </c>
      <c r="H1446">
        <v>0</v>
      </c>
      <c r="I1446" s="12" t="s">
        <v>105</v>
      </c>
      <c r="J1446" s="12" t="s">
        <v>106</v>
      </c>
      <c r="K1446" s="12" t="s">
        <v>81</v>
      </c>
      <c r="L1446" s="12" t="s">
        <v>96</v>
      </c>
      <c r="M1446">
        <v>5.01</v>
      </c>
      <c r="N1446" s="12" t="s">
        <v>97</v>
      </c>
      <c r="O1446" s="12" t="s">
        <v>98</v>
      </c>
      <c r="P1446" s="12" t="s">
        <v>72</v>
      </c>
      <c r="Q1446" s="13">
        <v>45231</v>
      </c>
      <c r="R1446" s="13">
        <v>45254</v>
      </c>
      <c r="S1446">
        <v>2023</v>
      </c>
      <c r="T1446" s="12" t="s">
        <v>2132</v>
      </c>
      <c r="U1446">
        <v>28</v>
      </c>
      <c r="V1446">
        <v>250.00970000000001</v>
      </c>
      <c r="W1446">
        <v>102.62</v>
      </c>
      <c r="X1446">
        <v>0</v>
      </c>
      <c r="Y1446">
        <v>0</v>
      </c>
      <c r="Z1446">
        <v>7000.27</v>
      </c>
      <c r="AA1446">
        <v>7102.89</v>
      </c>
      <c r="AB1446" s="12" t="s">
        <v>534</v>
      </c>
      <c r="AC1446">
        <v>250.00970000000001</v>
      </c>
      <c r="AD1446">
        <v>1</v>
      </c>
      <c r="AE1446">
        <v>1</v>
      </c>
      <c r="AF1446">
        <v>0</v>
      </c>
      <c r="AG1446">
        <v>7000.27</v>
      </c>
      <c r="AH1446">
        <v>28</v>
      </c>
      <c r="AI1446">
        <v>27</v>
      </c>
      <c r="AJ1446">
        <v>1</v>
      </c>
      <c r="AK1446">
        <v>1</v>
      </c>
      <c r="AL1446">
        <v>1</v>
      </c>
      <c r="AM1446">
        <v>96.43</v>
      </c>
      <c r="AN1446">
        <v>263.07010000000002</v>
      </c>
      <c r="AO1446">
        <v>250.01</v>
      </c>
      <c r="AP1446" s="13">
        <v>45253</v>
      </c>
      <c r="AQ1446">
        <v>-1</v>
      </c>
      <c r="AR1446">
        <v>1</v>
      </c>
    </row>
    <row r="1447" spans="1:44" x14ac:dyDescent="0.35">
      <c r="A1447" s="12" t="s">
        <v>2136</v>
      </c>
      <c r="B1447" s="12" t="s">
        <v>140</v>
      </c>
      <c r="C1447" s="12" t="s">
        <v>141</v>
      </c>
      <c r="D1447" s="12" t="s">
        <v>103</v>
      </c>
      <c r="E1447" s="12" t="s">
        <v>142</v>
      </c>
      <c r="F1447">
        <v>1</v>
      </c>
      <c r="G1447">
        <v>7</v>
      </c>
      <c r="H1447">
        <v>1</v>
      </c>
      <c r="I1447" s="12" t="s">
        <v>143</v>
      </c>
      <c r="J1447" s="12" t="s">
        <v>144</v>
      </c>
      <c r="K1447" s="12" t="s">
        <v>133</v>
      </c>
      <c r="L1447" s="12" t="s">
        <v>96</v>
      </c>
      <c r="M1447">
        <v>5.43</v>
      </c>
      <c r="N1447" s="12" t="s">
        <v>145</v>
      </c>
      <c r="O1447" s="12" t="s">
        <v>146</v>
      </c>
      <c r="P1447" s="12" t="s">
        <v>109</v>
      </c>
      <c r="Q1447" s="13">
        <v>45231</v>
      </c>
      <c r="R1447" s="13">
        <v>45282</v>
      </c>
      <c r="S1447">
        <v>2023</v>
      </c>
      <c r="T1447" s="12" t="s">
        <v>2132</v>
      </c>
      <c r="U1447">
        <v>138</v>
      </c>
      <c r="V1447">
        <v>211.78559999999999</v>
      </c>
      <c r="W1447">
        <v>629.66999999999996</v>
      </c>
      <c r="X1447">
        <v>0</v>
      </c>
      <c r="Y1447">
        <v>0</v>
      </c>
      <c r="Z1447">
        <v>29226.41</v>
      </c>
      <c r="AA1447">
        <v>29856.080000000002</v>
      </c>
      <c r="AB1447" s="12" t="s">
        <v>147</v>
      </c>
      <c r="AC1447">
        <v>211.78559999999999</v>
      </c>
      <c r="AD1447">
        <v>1</v>
      </c>
      <c r="AE1447">
        <v>1</v>
      </c>
      <c r="AF1447">
        <v>0</v>
      </c>
      <c r="AG1447">
        <v>29226.41</v>
      </c>
      <c r="AH1447">
        <v>138</v>
      </c>
      <c r="AI1447">
        <v>137</v>
      </c>
      <c r="AJ1447">
        <v>1</v>
      </c>
      <c r="AK1447">
        <v>1</v>
      </c>
      <c r="AL1447">
        <v>1</v>
      </c>
      <c r="AM1447">
        <v>99.28</v>
      </c>
      <c r="AN1447">
        <v>217.92760000000001</v>
      </c>
      <c r="AO1447">
        <v>211.79</v>
      </c>
      <c r="AP1447" s="13">
        <v>45283</v>
      </c>
      <c r="AQ1447">
        <v>1</v>
      </c>
      <c r="AR1447">
        <v>0</v>
      </c>
    </row>
    <row r="1448" spans="1:44" x14ac:dyDescent="0.35">
      <c r="A1448" s="12" t="s">
        <v>2137</v>
      </c>
      <c r="B1448" s="12" t="s">
        <v>787</v>
      </c>
      <c r="C1448" s="12" t="s">
        <v>788</v>
      </c>
      <c r="D1448" s="12" t="s">
        <v>269</v>
      </c>
      <c r="E1448" s="12" t="s">
        <v>65</v>
      </c>
      <c r="F1448">
        <v>2</v>
      </c>
      <c r="G1448">
        <v>3</v>
      </c>
      <c r="H1448">
        <v>0</v>
      </c>
      <c r="I1448" s="12" t="s">
        <v>143</v>
      </c>
      <c r="J1448" s="12" t="s">
        <v>144</v>
      </c>
      <c r="K1448" s="12" t="s">
        <v>133</v>
      </c>
      <c r="L1448" s="12" t="s">
        <v>96</v>
      </c>
      <c r="M1448">
        <v>5.43</v>
      </c>
      <c r="N1448" s="12" t="s">
        <v>135</v>
      </c>
      <c r="O1448" s="12" t="s">
        <v>136</v>
      </c>
      <c r="P1448" s="12" t="s">
        <v>137</v>
      </c>
      <c r="Q1448" s="13">
        <v>45231</v>
      </c>
      <c r="R1448" s="13">
        <v>45254</v>
      </c>
      <c r="S1448">
        <v>2023</v>
      </c>
      <c r="T1448" s="12" t="s">
        <v>2132</v>
      </c>
      <c r="U1448">
        <v>28</v>
      </c>
      <c r="V1448">
        <v>333.13569999999999</v>
      </c>
      <c r="W1448">
        <v>178.37</v>
      </c>
      <c r="X1448">
        <v>0</v>
      </c>
      <c r="Y1448">
        <v>0</v>
      </c>
      <c r="Z1448">
        <v>9327.7999999999993</v>
      </c>
      <c r="AA1448">
        <v>9506.17</v>
      </c>
      <c r="AB1448" s="12" t="s">
        <v>789</v>
      </c>
      <c r="AC1448">
        <v>354.36430000000001</v>
      </c>
      <c r="AD1448">
        <v>1</v>
      </c>
      <c r="AE1448">
        <v>1</v>
      </c>
      <c r="AF1448">
        <v>-594.4</v>
      </c>
      <c r="AG1448">
        <v>9922.2000000000007</v>
      </c>
      <c r="AH1448">
        <v>28</v>
      </c>
      <c r="AI1448">
        <v>28</v>
      </c>
      <c r="AJ1448">
        <v>0</v>
      </c>
      <c r="AK1448">
        <v>1</v>
      </c>
      <c r="AL1448">
        <v>1</v>
      </c>
      <c r="AM1448">
        <v>100</v>
      </c>
      <c r="AN1448">
        <v>339.5061</v>
      </c>
      <c r="AO1448">
        <v>0</v>
      </c>
      <c r="AP1448" s="13">
        <v>45254</v>
      </c>
      <c r="AQ1448">
        <v>0</v>
      </c>
      <c r="AR1448">
        <v>1</v>
      </c>
    </row>
    <row r="1449" spans="1:44" x14ac:dyDescent="0.35">
      <c r="A1449" s="12" t="s">
        <v>2138</v>
      </c>
      <c r="B1449" s="12" t="s">
        <v>221</v>
      </c>
      <c r="C1449" s="12" t="s">
        <v>222</v>
      </c>
      <c r="D1449" s="12" t="s">
        <v>114</v>
      </c>
      <c r="E1449" s="12" t="s">
        <v>142</v>
      </c>
      <c r="F1449">
        <v>3</v>
      </c>
      <c r="G1449">
        <v>11</v>
      </c>
      <c r="H1449">
        <v>0</v>
      </c>
      <c r="I1449" s="12" t="s">
        <v>105</v>
      </c>
      <c r="J1449" s="12" t="s">
        <v>106</v>
      </c>
      <c r="K1449" s="12" t="s">
        <v>81</v>
      </c>
      <c r="L1449" s="12" t="s">
        <v>96</v>
      </c>
      <c r="M1449">
        <v>5.01</v>
      </c>
      <c r="N1449" s="12" t="s">
        <v>70</v>
      </c>
      <c r="O1449" s="12" t="s">
        <v>71</v>
      </c>
      <c r="P1449" s="12" t="s">
        <v>72</v>
      </c>
      <c r="Q1449" s="13">
        <v>45231</v>
      </c>
      <c r="R1449" s="13">
        <v>45268</v>
      </c>
      <c r="S1449">
        <v>2023</v>
      </c>
      <c r="T1449" s="12" t="s">
        <v>2132</v>
      </c>
      <c r="U1449">
        <v>29</v>
      </c>
      <c r="V1449">
        <v>239.12739999999999</v>
      </c>
      <c r="W1449">
        <v>118.28</v>
      </c>
      <c r="X1449">
        <v>0</v>
      </c>
      <c r="Y1449">
        <v>0</v>
      </c>
      <c r="Z1449">
        <v>6934.69</v>
      </c>
      <c r="AA1449">
        <v>7052.97</v>
      </c>
      <c r="AB1449" s="12" t="s">
        <v>1239</v>
      </c>
      <c r="AC1449">
        <v>239.12739999999999</v>
      </c>
      <c r="AD1449">
        <v>1</v>
      </c>
      <c r="AE1449">
        <v>1</v>
      </c>
      <c r="AF1449">
        <v>0</v>
      </c>
      <c r="AG1449">
        <v>6934.69</v>
      </c>
      <c r="AH1449">
        <v>29</v>
      </c>
      <c r="AI1449">
        <v>29</v>
      </c>
      <c r="AJ1449">
        <v>0</v>
      </c>
      <c r="AK1449">
        <v>1</v>
      </c>
      <c r="AL1449">
        <v>1</v>
      </c>
      <c r="AM1449">
        <v>100</v>
      </c>
      <c r="AN1449">
        <v>243.20599999999999</v>
      </c>
      <c r="AO1449">
        <v>0</v>
      </c>
      <c r="AP1449" s="13">
        <v>45267</v>
      </c>
      <c r="AQ1449">
        <v>-1</v>
      </c>
      <c r="AR1449">
        <v>1</v>
      </c>
    </row>
    <row r="1450" spans="1:44" x14ac:dyDescent="0.35">
      <c r="A1450" s="12" t="s">
        <v>2139</v>
      </c>
      <c r="B1450" s="12" t="s">
        <v>680</v>
      </c>
      <c r="C1450" s="12" t="s">
        <v>681</v>
      </c>
      <c r="D1450" s="12" t="s">
        <v>122</v>
      </c>
      <c r="E1450" s="12" t="s">
        <v>104</v>
      </c>
      <c r="F1450">
        <v>3</v>
      </c>
      <c r="G1450">
        <v>1</v>
      </c>
      <c r="H1450">
        <v>0</v>
      </c>
      <c r="I1450" s="12" t="s">
        <v>243</v>
      </c>
      <c r="J1450" s="12" t="s">
        <v>244</v>
      </c>
      <c r="K1450" s="12" t="s">
        <v>81</v>
      </c>
      <c r="L1450" s="12" t="s">
        <v>82</v>
      </c>
      <c r="M1450">
        <v>9.2200000000000006</v>
      </c>
      <c r="N1450" s="12" t="s">
        <v>97</v>
      </c>
      <c r="O1450" s="12" t="s">
        <v>98</v>
      </c>
      <c r="P1450" s="12" t="s">
        <v>72</v>
      </c>
      <c r="Q1450" s="13">
        <v>45232</v>
      </c>
      <c r="R1450" s="13">
        <v>45245</v>
      </c>
      <c r="S1450">
        <v>2023</v>
      </c>
      <c r="T1450" s="12" t="s">
        <v>2132</v>
      </c>
      <c r="U1450">
        <v>397</v>
      </c>
      <c r="V1450">
        <v>23.246099999999998</v>
      </c>
      <c r="W1450">
        <v>144.21</v>
      </c>
      <c r="X1450">
        <v>0</v>
      </c>
      <c r="Y1450">
        <v>0</v>
      </c>
      <c r="Z1450">
        <v>9228.7000000000007</v>
      </c>
      <c r="AA1450">
        <v>9372.91</v>
      </c>
      <c r="AB1450" s="12" t="s">
        <v>682</v>
      </c>
      <c r="AC1450">
        <v>23.246099999999998</v>
      </c>
      <c r="AD1450">
        <v>1</v>
      </c>
      <c r="AE1450">
        <v>1</v>
      </c>
      <c r="AF1450">
        <v>0</v>
      </c>
      <c r="AG1450">
        <v>9228.7000000000007</v>
      </c>
      <c r="AH1450">
        <v>397</v>
      </c>
      <c r="AI1450">
        <v>394</v>
      </c>
      <c r="AJ1450">
        <v>3</v>
      </c>
      <c r="AK1450">
        <v>1</v>
      </c>
      <c r="AL1450">
        <v>1</v>
      </c>
      <c r="AM1450">
        <v>99.24</v>
      </c>
      <c r="AN1450">
        <v>23.789100000000001</v>
      </c>
      <c r="AO1450">
        <v>69.739999999999995</v>
      </c>
      <c r="AP1450" s="13">
        <v>45242</v>
      </c>
      <c r="AQ1450">
        <v>-3</v>
      </c>
      <c r="AR1450">
        <v>1</v>
      </c>
    </row>
    <row r="1451" spans="1:44" x14ac:dyDescent="0.35">
      <c r="A1451" s="12" t="s">
        <v>2140</v>
      </c>
      <c r="B1451" s="12" t="s">
        <v>347</v>
      </c>
      <c r="C1451" s="12" t="s">
        <v>348</v>
      </c>
      <c r="D1451" s="12" t="s">
        <v>78</v>
      </c>
      <c r="E1451" s="12" t="s">
        <v>104</v>
      </c>
      <c r="F1451">
        <v>3</v>
      </c>
      <c r="G1451">
        <v>1</v>
      </c>
      <c r="H1451">
        <v>0</v>
      </c>
      <c r="I1451" s="12" t="s">
        <v>209</v>
      </c>
      <c r="J1451" s="12" t="s">
        <v>210</v>
      </c>
      <c r="K1451" s="12" t="s">
        <v>133</v>
      </c>
      <c r="L1451" s="12" t="s">
        <v>96</v>
      </c>
      <c r="M1451">
        <v>7.82</v>
      </c>
      <c r="N1451" s="12" t="s">
        <v>97</v>
      </c>
      <c r="O1451" s="12" t="s">
        <v>98</v>
      </c>
      <c r="P1451" s="12" t="s">
        <v>72</v>
      </c>
      <c r="Q1451" s="13">
        <v>45232</v>
      </c>
      <c r="R1451" s="13">
        <v>45252</v>
      </c>
      <c r="S1451">
        <v>2023</v>
      </c>
      <c r="T1451" s="12" t="s">
        <v>2132</v>
      </c>
      <c r="U1451">
        <v>168</v>
      </c>
      <c r="V1451">
        <v>100.34050000000001</v>
      </c>
      <c r="W1451">
        <v>170.69</v>
      </c>
      <c r="X1451">
        <v>0</v>
      </c>
      <c r="Y1451">
        <v>0</v>
      </c>
      <c r="Z1451">
        <v>16857.2</v>
      </c>
      <c r="AA1451">
        <v>17027.89</v>
      </c>
      <c r="AB1451" s="12" t="s">
        <v>593</v>
      </c>
      <c r="AC1451">
        <v>100.34050000000001</v>
      </c>
      <c r="AD1451">
        <v>1</v>
      </c>
      <c r="AE1451">
        <v>1</v>
      </c>
      <c r="AF1451">
        <v>0</v>
      </c>
      <c r="AG1451">
        <v>16857.2</v>
      </c>
      <c r="AH1451">
        <v>168</v>
      </c>
      <c r="AI1451">
        <v>165</v>
      </c>
      <c r="AJ1451">
        <v>3</v>
      </c>
      <c r="AK1451">
        <v>1</v>
      </c>
      <c r="AL1451">
        <v>1</v>
      </c>
      <c r="AM1451">
        <v>98.21</v>
      </c>
      <c r="AN1451">
        <v>103.1994</v>
      </c>
      <c r="AO1451">
        <v>301.02</v>
      </c>
      <c r="AP1451" s="13">
        <v>45252</v>
      </c>
      <c r="AQ1451">
        <v>0</v>
      </c>
      <c r="AR1451">
        <v>1</v>
      </c>
    </row>
    <row r="1452" spans="1:44" x14ac:dyDescent="0.35">
      <c r="A1452" s="12" t="s">
        <v>2141</v>
      </c>
      <c r="B1452" s="12" t="s">
        <v>766</v>
      </c>
      <c r="C1452" s="12" t="s">
        <v>767</v>
      </c>
      <c r="D1452" s="12" t="s">
        <v>175</v>
      </c>
      <c r="E1452" s="12" t="s">
        <v>65</v>
      </c>
      <c r="F1452">
        <v>3</v>
      </c>
      <c r="G1452">
        <v>5</v>
      </c>
      <c r="H1452">
        <v>0</v>
      </c>
      <c r="I1452" s="12" t="s">
        <v>87</v>
      </c>
      <c r="J1452" s="12" t="s">
        <v>88</v>
      </c>
      <c r="K1452" s="12" t="s">
        <v>89</v>
      </c>
      <c r="L1452" s="12" t="s">
        <v>69</v>
      </c>
      <c r="M1452">
        <v>14.93</v>
      </c>
      <c r="N1452" s="12" t="s">
        <v>107</v>
      </c>
      <c r="O1452" s="12" t="s">
        <v>108</v>
      </c>
      <c r="P1452" s="12" t="s">
        <v>109</v>
      </c>
      <c r="Q1452" s="13">
        <v>45232</v>
      </c>
      <c r="R1452" s="13">
        <v>45267</v>
      </c>
      <c r="S1452">
        <v>2023</v>
      </c>
      <c r="T1452" s="12" t="s">
        <v>2132</v>
      </c>
      <c r="U1452">
        <v>123</v>
      </c>
      <c r="V1452">
        <v>81.903800000000004</v>
      </c>
      <c r="W1452">
        <v>200.79</v>
      </c>
      <c r="X1452">
        <v>0</v>
      </c>
      <c r="Y1452">
        <v>0</v>
      </c>
      <c r="Z1452">
        <v>10074.17</v>
      </c>
      <c r="AA1452">
        <v>10274.959999999999</v>
      </c>
      <c r="AB1452" s="12" t="s">
        <v>768</v>
      </c>
      <c r="AC1452">
        <v>86.977900000000005</v>
      </c>
      <c r="AD1452">
        <v>1</v>
      </c>
      <c r="AE1452">
        <v>1</v>
      </c>
      <c r="AF1452">
        <v>-624.11</v>
      </c>
      <c r="AG1452">
        <v>10698.28</v>
      </c>
      <c r="AH1452">
        <v>123</v>
      </c>
      <c r="AI1452">
        <v>121</v>
      </c>
      <c r="AJ1452">
        <v>2</v>
      </c>
      <c r="AK1452">
        <v>1</v>
      </c>
      <c r="AL1452">
        <v>1</v>
      </c>
      <c r="AM1452">
        <v>98.37</v>
      </c>
      <c r="AN1452">
        <v>84.917000000000002</v>
      </c>
      <c r="AO1452">
        <v>163.81</v>
      </c>
      <c r="AP1452" s="13">
        <v>45265</v>
      </c>
      <c r="AQ1452">
        <v>-2</v>
      </c>
      <c r="AR1452">
        <v>1</v>
      </c>
    </row>
    <row r="1453" spans="1:44" x14ac:dyDescent="0.35">
      <c r="A1453" s="12" t="s">
        <v>2142</v>
      </c>
      <c r="B1453" s="12" t="s">
        <v>565</v>
      </c>
      <c r="C1453" s="12" t="s">
        <v>566</v>
      </c>
      <c r="D1453" s="12" t="s">
        <v>122</v>
      </c>
      <c r="E1453" s="12" t="s">
        <v>104</v>
      </c>
      <c r="F1453">
        <v>3</v>
      </c>
      <c r="G1453">
        <v>1</v>
      </c>
      <c r="H1453">
        <v>0</v>
      </c>
      <c r="I1453" s="12" t="s">
        <v>87</v>
      </c>
      <c r="J1453" s="12" t="s">
        <v>88</v>
      </c>
      <c r="K1453" s="12" t="s">
        <v>89</v>
      </c>
      <c r="L1453" s="12" t="s">
        <v>69</v>
      </c>
      <c r="M1453">
        <v>14.93</v>
      </c>
      <c r="N1453" s="12" t="s">
        <v>97</v>
      </c>
      <c r="O1453" s="12" t="s">
        <v>98</v>
      </c>
      <c r="P1453" s="12" t="s">
        <v>72</v>
      </c>
      <c r="Q1453" s="13">
        <v>45232</v>
      </c>
      <c r="R1453" s="13">
        <v>45252</v>
      </c>
      <c r="S1453">
        <v>2023</v>
      </c>
      <c r="T1453" s="12" t="s">
        <v>2132</v>
      </c>
      <c r="U1453">
        <v>1068</v>
      </c>
      <c r="V1453">
        <v>36.2883</v>
      </c>
      <c r="W1453">
        <v>263.97000000000003</v>
      </c>
      <c r="X1453">
        <v>0</v>
      </c>
      <c r="Y1453">
        <v>0</v>
      </c>
      <c r="Z1453">
        <v>38755.9</v>
      </c>
      <c r="AA1453">
        <v>39019.870000000003</v>
      </c>
      <c r="AB1453" s="12" t="s">
        <v>567</v>
      </c>
      <c r="AC1453">
        <v>36.2883</v>
      </c>
      <c r="AD1453">
        <v>1</v>
      </c>
      <c r="AE1453">
        <v>1</v>
      </c>
      <c r="AF1453">
        <v>0</v>
      </c>
      <c r="AG1453">
        <v>38755.9</v>
      </c>
      <c r="AH1453">
        <v>1068</v>
      </c>
      <c r="AI1453">
        <v>1063</v>
      </c>
      <c r="AJ1453">
        <v>5</v>
      </c>
      <c r="AK1453">
        <v>1</v>
      </c>
      <c r="AL1453">
        <v>1</v>
      </c>
      <c r="AM1453">
        <v>99.53</v>
      </c>
      <c r="AN1453">
        <v>36.707299999999996</v>
      </c>
      <c r="AO1453">
        <v>181.44</v>
      </c>
      <c r="AP1453" s="13">
        <v>45249</v>
      </c>
      <c r="AQ1453">
        <v>-3</v>
      </c>
      <c r="AR1453">
        <v>1</v>
      </c>
    </row>
    <row r="1454" spans="1:44" x14ac:dyDescent="0.35">
      <c r="A1454" s="12" t="s">
        <v>2143</v>
      </c>
      <c r="B1454" s="12" t="s">
        <v>630</v>
      </c>
      <c r="C1454" s="12" t="s">
        <v>631</v>
      </c>
      <c r="D1454" s="12" t="s">
        <v>130</v>
      </c>
      <c r="E1454" s="12" t="s">
        <v>65</v>
      </c>
      <c r="F1454">
        <v>1</v>
      </c>
      <c r="G1454">
        <v>2</v>
      </c>
      <c r="H1454">
        <v>1</v>
      </c>
      <c r="I1454" s="12" t="s">
        <v>335</v>
      </c>
      <c r="J1454" s="12" t="s">
        <v>336</v>
      </c>
      <c r="K1454" s="12" t="s">
        <v>89</v>
      </c>
      <c r="L1454" s="12" t="s">
        <v>82</v>
      </c>
      <c r="M1454">
        <v>16</v>
      </c>
      <c r="N1454" s="12" t="s">
        <v>135</v>
      </c>
      <c r="O1454" s="12" t="s">
        <v>136</v>
      </c>
      <c r="P1454" s="12" t="s">
        <v>137</v>
      </c>
      <c r="Q1454" s="13">
        <v>45232</v>
      </c>
      <c r="R1454" s="13">
        <v>45256</v>
      </c>
      <c r="S1454">
        <v>2023</v>
      </c>
      <c r="T1454" s="12" t="s">
        <v>2132</v>
      </c>
      <c r="U1454">
        <v>39</v>
      </c>
      <c r="V1454">
        <v>448.44209999999998</v>
      </c>
      <c r="W1454">
        <v>303.62</v>
      </c>
      <c r="X1454">
        <v>0</v>
      </c>
      <c r="Y1454">
        <v>0</v>
      </c>
      <c r="Z1454">
        <v>17489.240000000002</v>
      </c>
      <c r="AA1454">
        <v>17792.86</v>
      </c>
      <c r="AB1454" s="12" t="s">
        <v>632</v>
      </c>
      <c r="AC1454">
        <v>448.44209999999998</v>
      </c>
      <c r="AD1454">
        <v>1</v>
      </c>
      <c r="AE1454">
        <v>1</v>
      </c>
      <c r="AF1454">
        <v>0</v>
      </c>
      <c r="AG1454">
        <v>17489.240000000002</v>
      </c>
      <c r="AH1454">
        <v>39</v>
      </c>
      <c r="AI1454">
        <v>39</v>
      </c>
      <c r="AJ1454">
        <v>0</v>
      </c>
      <c r="AK1454">
        <v>1</v>
      </c>
      <c r="AL1454">
        <v>1</v>
      </c>
      <c r="AM1454">
        <v>100</v>
      </c>
      <c r="AN1454">
        <v>456.22719999999998</v>
      </c>
      <c r="AO1454">
        <v>0</v>
      </c>
      <c r="AP1454" s="13">
        <v>45253</v>
      </c>
      <c r="AQ1454">
        <v>-3</v>
      </c>
      <c r="AR1454">
        <v>1</v>
      </c>
    </row>
    <row r="1455" spans="1:44" x14ac:dyDescent="0.35">
      <c r="A1455" s="12" t="s">
        <v>2144</v>
      </c>
      <c r="B1455" s="12" t="s">
        <v>412</v>
      </c>
      <c r="C1455" s="12" t="s">
        <v>413</v>
      </c>
      <c r="D1455" s="12" t="s">
        <v>269</v>
      </c>
      <c r="E1455" s="12" t="s">
        <v>65</v>
      </c>
      <c r="F1455">
        <v>1</v>
      </c>
      <c r="G1455">
        <v>2</v>
      </c>
      <c r="H1455">
        <v>1</v>
      </c>
      <c r="I1455" s="12" t="s">
        <v>233</v>
      </c>
      <c r="J1455" s="12" t="s">
        <v>234</v>
      </c>
      <c r="K1455" s="12" t="s">
        <v>125</v>
      </c>
      <c r="L1455" s="12" t="s">
        <v>96</v>
      </c>
      <c r="M1455">
        <v>3.73</v>
      </c>
      <c r="N1455" s="12" t="s">
        <v>159</v>
      </c>
      <c r="O1455" s="12" t="s">
        <v>160</v>
      </c>
      <c r="P1455" s="12" t="s">
        <v>137</v>
      </c>
      <c r="Q1455" s="13">
        <v>45232</v>
      </c>
      <c r="R1455" s="13">
        <v>45265</v>
      </c>
      <c r="S1455">
        <v>2023</v>
      </c>
      <c r="T1455" s="12" t="s">
        <v>2132</v>
      </c>
      <c r="U1455">
        <v>104</v>
      </c>
      <c r="V1455">
        <v>104.4832</v>
      </c>
      <c r="W1455">
        <v>72.39</v>
      </c>
      <c r="X1455">
        <v>0</v>
      </c>
      <c r="Y1455">
        <v>0</v>
      </c>
      <c r="Z1455">
        <v>10866.25</v>
      </c>
      <c r="AA1455">
        <v>10938.64</v>
      </c>
      <c r="AB1455" s="12" t="s">
        <v>414</v>
      </c>
      <c r="AC1455">
        <v>104.4832</v>
      </c>
      <c r="AD1455">
        <v>1</v>
      </c>
      <c r="AE1455">
        <v>1</v>
      </c>
      <c r="AF1455">
        <v>0</v>
      </c>
      <c r="AG1455">
        <v>10866.25</v>
      </c>
      <c r="AH1455">
        <v>104</v>
      </c>
      <c r="AI1455">
        <v>103</v>
      </c>
      <c r="AJ1455">
        <v>1</v>
      </c>
      <c r="AK1455">
        <v>1</v>
      </c>
      <c r="AL1455">
        <v>1</v>
      </c>
      <c r="AM1455">
        <v>99.04</v>
      </c>
      <c r="AN1455">
        <v>106.2004</v>
      </c>
      <c r="AO1455">
        <v>104.48</v>
      </c>
      <c r="AP1455" s="13">
        <v>45268</v>
      </c>
      <c r="AQ1455">
        <v>3</v>
      </c>
      <c r="AR1455">
        <v>0</v>
      </c>
    </row>
    <row r="1456" spans="1:44" x14ac:dyDescent="0.35">
      <c r="A1456" s="12" t="s">
        <v>2145</v>
      </c>
      <c r="B1456" s="12" t="s">
        <v>472</v>
      </c>
      <c r="C1456" s="12" t="s">
        <v>473</v>
      </c>
      <c r="D1456" s="12" t="s">
        <v>122</v>
      </c>
      <c r="E1456" s="12" t="s">
        <v>142</v>
      </c>
      <c r="F1456">
        <v>2</v>
      </c>
      <c r="G1456">
        <v>9</v>
      </c>
      <c r="H1456">
        <v>0</v>
      </c>
      <c r="I1456" s="12" t="s">
        <v>209</v>
      </c>
      <c r="J1456" s="12" t="s">
        <v>210</v>
      </c>
      <c r="K1456" s="12" t="s">
        <v>133</v>
      </c>
      <c r="L1456" s="12" t="s">
        <v>96</v>
      </c>
      <c r="M1456">
        <v>7.82</v>
      </c>
      <c r="N1456" s="12" t="s">
        <v>70</v>
      </c>
      <c r="O1456" s="12" t="s">
        <v>71</v>
      </c>
      <c r="P1456" s="12" t="s">
        <v>72</v>
      </c>
      <c r="Q1456" s="13">
        <v>45232</v>
      </c>
      <c r="R1456" s="13">
        <v>45269</v>
      </c>
      <c r="S1456">
        <v>2023</v>
      </c>
      <c r="T1456" s="12" t="s">
        <v>2132</v>
      </c>
      <c r="U1456">
        <v>411</v>
      </c>
      <c r="V1456">
        <v>48.7896</v>
      </c>
      <c r="W1456">
        <v>300.75</v>
      </c>
      <c r="X1456">
        <v>0</v>
      </c>
      <c r="Y1456">
        <v>0</v>
      </c>
      <c r="Z1456">
        <v>20052.53</v>
      </c>
      <c r="AA1456">
        <v>20353.28</v>
      </c>
      <c r="AB1456" s="12" t="s">
        <v>474</v>
      </c>
      <c r="AC1456">
        <v>48.7896</v>
      </c>
      <c r="AD1456">
        <v>1</v>
      </c>
      <c r="AE1456">
        <v>1</v>
      </c>
      <c r="AF1456">
        <v>0</v>
      </c>
      <c r="AG1456">
        <v>20052.53</v>
      </c>
      <c r="AH1456">
        <v>411</v>
      </c>
      <c r="AI1456">
        <v>409</v>
      </c>
      <c r="AJ1456">
        <v>2</v>
      </c>
      <c r="AK1456">
        <v>1</v>
      </c>
      <c r="AL1456">
        <v>1</v>
      </c>
      <c r="AM1456">
        <v>99.51</v>
      </c>
      <c r="AN1456">
        <v>49.763500000000001</v>
      </c>
      <c r="AO1456">
        <v>97.58</v>
      </c>
      <c r="AP1456" s="13">
        <v>45268</v>
      </c>
      <c r="AQ1456">
        <v>-1</v>
      </c>
      <c r="AR1456">
        <v>1</v>
      </c>
    </row>
    <row r="1457" spans="1:44" x14ac:dyDescent="0.35">
      <c r="A1457" s="12" t="s">
        <v>2146</v>
      </c>
      <c r="B1457" s="12" t="s">
        <v>747</v>
      </c>
      <c r="C1457" s="12" t="s">
        <v>748</v>
      </c>
      <c r="D1457" s="12" t="s">
        <v>114</v>
      </c>
      <c r="E1457" s="12" t="s">
        <v>104</v>
      </c>
      <c r="F1457">
        <v>2</v>
      </c>
      <c r="G1457">
        <v>0</v>
      </c>
      <c r="H1457">
        <v>0</v>
      </c>
      <c r="I1457" s="12" t="s">
        <v>380</v>
      </c>
      <c r="J1457" s="12" t="s">
        <v>381</v>
      </c>
      <c r="K1457" s="12" t="s">
        <v>89</v>
      </c>
      <c r="L1457" s="12" t="s">
        <v>96</v>
      </c>
      <c r="M1457">
        <v>10.210000000000001</v>
      </c>
      <c r="N1457" s="12" t="s">
        <v>70</v>
      </c>
      <c r="O1457" s="12" t="s">
        <v>71</v>
      </c>
      <c r="P1457" s="12" t="s">
        <v>72</v>
      </c>
      <c r="Q1457" s="13">
        <v>45232</v>
      </c>
      <c r="R1457" s="13">
        <v>45258</v>
      </c>
      <c r="S1457">
        <v>2023</v>
      </c>
      <c r="T1457" s="12" t="s">
        <v>2132</v>
      </c>
      <c r="U1457">
        <v>123</v>
      </c>
      <c r="V1457">
        <v>245.56890000000001</v>
      </c>
      <c r="W1457">
        <v>574.16</v>
      </c>
      <c r="X1457">
        <v>0</v>
      </c>
      <c r="Y1457">
        <v>0</v>
      </c>
      <c r="Z1457">
        <v>30204.97</v>
      </c>
      <c r="AA1457">
        <v>30779.13</v>
      </c>
      <c r="AB1457" s="12" t="s">
        <v>896</v>
      </c>
      <c r="AC1457">
        <v>245.56890000000001</v>
      </c>
      <c r="AD1457">
        <v>1</v>
      </c>
      <c r="AE1457">
        <v>1</v>
      </c>
      <c r="AF1457">
        <v>0</v>
      </c>
      <c r="AG1457">
        <v>30204.97</v>
      </c>
      <c r="AH1457">
        <v>123</v>
      </c>
      <c r="AI1457">
        <v>122</v>
      </c>
      <c r="AJ1457">
        <v>1</v>
      </c>
      <c r="AK1457">
        <v>1</v>
      </c>
      <c r="AL1457">
        <v>1</v>
      </c>
      <c r="AM1457">
        <v>99.19</v>
      </c>
      <c r="AN1457">
        <v>252.28800000000001</v>
      </c>
      <c r="AO1457">
        <v>245.57</v>
      </c>
      <c r="AP1457" s="13">
        <v>45257</v>
      </c>
      <c r="AQ1457">
        <v>-1</v>
      </c>
      <c r="AR1457">
        <v>1</v>
      </c>
    </row>
    <row r="1458" spans="1:44" x14ac:dyDescent="0.35">
      <c r="A1458" s="12" t="s">
        <v>2147</v>
      </c>
      <c r="B1458" s="12" t="s">
        <v>569</v>
      </c>
      <c r="C1458" s="12" t="s">
        <v>570</v>
      </c>
      <c r="D1458" s="12" t="s">
        <v>114</v>
      </c>
      <c r="E1458" s="12" t="s">
        <v>142</v>
      </c>
      <c r="F1458">
        <v>1</v>
      </c>
      <c r="G1458">
        <v>6</v>
      </c>
      <c r="H1458">
        <v>1</v>
      </c>
      <c r="I1458" s="12" t="s">
        <v>123</v>
      </c>
      <c r="J1458" s="12" t="s">
        <v>124</v>
      </c>
      <c r="K1458" s="12" t="s">
        <v>125</v>
      </c>
      <c r="L1458" s="12" t="s">
        <v>82</v>
      </c>
      <c r="M1458">
        <v>6.75</v>
      </c>
      <c r="N1458" s="12" t="s">
        <v>70</v>
      </c>
      <c r="O1458" s="12" t="s">
        <v>71</v>
      </c>
      <c r="P1458" s="12" t="s">
        <v>72</v>
      </c>
      <c r="Q1458" s="13">
        <v>45232</v>
      </c>
      <c r="R1458" s="13">
        <v>45272</v>
      </c>
      <c r="S1458">
        <v>2023</v>
      </c>
      <c r="T1458" s="12" t="s">
        <v>2132</v>
      </c>
      <c r="U1458">
        <v>56</v>
      </c>
      <c r="V1458">
        <v>349.9393</v>
      </c>
      <c r="W1458">
        <v>283.14</v>
      </c>
      <c r="X1458">
        <v>0</v>
      </c>
      <c r="Y1458">
        <v>0</v>
      </c>
      <c r="Z1458">
        <v>19596.599999999999</v>
      </c>
      <c r="AA1458">
        <v>19879.740000000002</v>
      </c>
      <c r="AB1458" s="12" t="s">
        <v>571</v>
      </c>
      <c r="AC1458">
        <v>349.9393</v>
      </c>
      <c r="AD1458">
        <v>1</v>
      </c>
      <c r="AE1458">
        <v>1</v>
      </c>
      <c r="AF1458">
        <v>0</v>
      </c>
      <c r="AG1458">
        <v>19596.599999999999</v>
      </c>
      <c r="AH1458">
        <v>56</v>
      </c>
      <c r="AI1458">
        <v>55</v>
      </c>
      <c r="AJ1458">
        <v>1</v>
      </c>
      <c r="AK1458">
        <v>1</v>
      </c>
      <c r="AL1458">
        <v>1</v>
      </c>
      <c r="AM1458">
        <v>98.21</v>
      </c>
      <c r="AN1458">
        <v>361.44979999999998</v>
      </c>
      <c r="AO1458">
        <v>349.94</v>
      </c>
      <c r="AP1458" s="13">
        <v>45271</v>
      </c>
      <c r="AQ1458">
        <v>-1</v>
      </c>
      <c r="AR1458">
        <v>1</v>
      </c>
    </row>
    <row r="1459" spans="1:44" x14ac:dyDescent="0.35">
      <c r="A1459" s="12" t="s">
        <v>2148</v>
      </c>
      <c r="B1459" s="12" t="s">
        <v>92</v>
      </c>
      <c r="C1459" s="12" t="s">
        <v>93</v>
      </c>
      <c r="D1459" s="12" t="s">
        <v>64</v>
      </c>
      <c r="E1459" s="12" t="s">
        <v>65</v>
      </c>
      <c r="F1459">
        <v>3</v>
      </c>
      <c r="G1459">
        <v>5</v>
      </c>
      <c r="H1459">
        <v>0</v>
      </c>
      <c r="I1459" s="12" t="s">
        <v>94</v>
      </c>
      <c r="J1459" s="12" t="s">
        <v>95</v>
      </c>
      <c r="K1459" s="12" t="s">
        <v>81</v>
      </c>
      <c r="L1459" s="12" t="s">
        <v>96</v>
      </c>
      <c r="M1459">
        <v>4.8099999999999996</v>
      </c>
      <c r="N1459" s="12" t="s">
        <v>70</v>
      </c>
      <c r="O1459" s="12" t="s">
        <v>71</v>
      </c>
      <c r="P1459" s="12" t="s">
        <v>72</v>
      </c>
      <c r="Q1459" s="13">
        <v>45232</v>
      </c>
      <c r="R1459" s="13">
        <v>45253</v>
      </c>
      <c r="S1459">
        <v>2023</v>
      </c>
      <c r="T1459" s="12" t="s">
        <v>2132</v>
      </c>
      <c r="U1459">
        <v>107</v>
      </c>
      <c r="V1459">
        <v>24.617899999999999</v>
      </c>
      <c r="W1459">
        <v>59.57</v>
      </c>
      <c r="X1459">
        <v>0</v>
      </c>
      <c r="Y1459">
        <v>0</v>
      </c>
      <c r="Z1459">
        <v>2634.12</v>
      </c>
      <c r="AA1459">
        <v>2693.69</v>
      </c>
      <c r="AB1459" s="12" t="s">
        <v>99</v>
      </c>
      <c r="AC1459">
        <v>24.617899999999999</v>
      </c>
      <c r="AD1459">
        <v>1</v>
      </c>
      <c r="AE1459">
        <v>1</v>
      </c>
      <c r="AF1459">
        <v>0</v>
      </c>
      <c r="AG1459">
        <v>2634.12</v>
      </c>
      <c r="AH1459">
        <v>107</v>
      </c>
      <c r="AI1459">
        <v>106</v>
      </c>
      <c r="AJ1459">
        <v>1</v>
      </c>
      <c r="AK1459">
        <v>1</v>
      </c>
      <c r="AL1459">
        <v>1</v>
      </c>
      <c r="AM1459">
        <v>99.07</v>
      </c>
      <c r="AN1459">
        <v>25.412099999999999</v>
      </c>
      <c r="AO1459">
        <v>24.62</v>
      </c>
      <c r="AP1459" s="13">
        <v>45253</v>
      </c>
      <c r="AQ1459">
        <v>0</v>
      </c>
      <c r="AR1459">
        <v>1</v>
      </c>
    </row>
    <row r="1460" spans="1:44" x14ac:dyDescent="0.35">
      <c r="A1460" s="12" t="s">
        <v>2149</v>
      </c>
      <c r="B1460" s="12" t="s">
        <v>231</v>
      </c>
      <c r="C1460" s="12" t="s">
        <v>232</v>
      </c>
      <c r="D1460" s="12" t="s">
        <v>130</v>
      </c>
      <c r="E1460" s="12" t="s">
        <v>65</v>
      </c>
      <c r="F1460">
        <v>1</v>
      </c>
      <c r="G1460">
        <v>2</v>
      </c>
      <c r="H1460">
        <v>1</v>
      </c>
      <c r="I1460" s="12" t="s">
        <v>233</v>
      </c>
      <c r="J1460" s="12" t="s">
        <v>234</v>
      </c>
      <c r="K1460" s="12" t="s">
        <v>125</v>
      </c>
      <c r="L1460" s="12" t="s">
        <v>96</v>
      </c>
      <c r="M1460">
        <v>3.73</v>
      </c>
      <c r="N1460" s="12" t="s">
        <v>135</v>
      </c>
      <c r="O1460" s="12" t="s">
        <v>136</v>
      </c>
      <c r="P1460" s="12" t="s">
        <v>137</v>
      </c>
      <c r="Q1460" s="13">
        <v>45232</v>
      </c>
      <c r="R1460" s="13">
        <v>45263</v>
      </c>
      <c r="S1460">
        <v>2023</v>
      </c>
      <c r="T1460" s="12" t="s">
        <v>2132</v>
      </c>
      <c r="U1460">
        <v>89</v>
      </c>
      <c r="V1460">
        <v>416.40039999999999</v>
      </c>
      <c r="W1460">
        <v>374.9</v>
      </c>
      <c r="X1460">
        <v>0</v>
      </c>
      <c r="Y1460">
        <v>0</v>
      </c>
      <c r="Z1460">
        <v>37059.64</v>
      </c>
      <c r="AA1460">
        <v>37434.54</v>
      </c>
      <c r="AB1460" s="12" t="s">
        <v>235</v>
      </c>
      <c r="AC1460">
        <v>416.40039999999999</v>
      </c>
      <c r="AD1460">
        <v>1</v>
      </c>
      <c r="AE1460">
        <v>1</v>
      </c>
      <c r="AF1460">
        <v>0</v>
      </c>
      <c r="AG1460">
        <v>37059.64</v>
      </c>
      <c r="AH1460">
        <v>89</v>
      </c>
      <c r="AI1460">
        <v>88</v>
      </c>
      <c r="AJ1460">
        <v>1</v>
      </c>
      <c r="AK1460">
        <v>1</v>
      </c>
      <c r="AL1460">
        <v>1</v>
      </c>
      <c r="AM1460">
        <v>98.88</v>
      </c>
      <c r="AN1460">
        <v>425.39249999999998</v>
      </c>
      <c r="AO1460">
        <v>416.4</v>
      </c>
      <c r="AP1460" s="13">
        <v>45261</v>
      </c>
      <c r="AQ1460">
        <v>-2</v>
      </c>
      <c r="AR1460">
        <v>1</v>
      </c>
    </row>
    <row r="1461" spans="1:44" x14ac:dyDescent="0.35">
      <c r="A1461" s="12" t="s">
        <v>2150</v>
      </c>
      <c r="B1461" s="12" t="s">
        <v>447</v>
      </c>
      <c r="C1461" s="12" t="s">
        <v>448</v>
      </c>
      <c r="D1461" s="12" t="s">
        <v>269</v>
      </c>
      <c r="E1461" s="12" t="s">
        <v>65</v>
      </c>
      <c r="F1461">
        <v>2</v>
      </c>
      <c r="G1461">
        <v>2</v>
      </c>
      <c r="H1461">
        <v>0</v>
      </c>
      <c r="I1461" s="12" t="s">
        <v>94</v>
      </c>
      <c r="J1461" s="12" t="s">
        <v>95</v>
      </c>
      <c r="K1461" s="12" t="s">
        <v>81</v>
      </c>
      <c r="L1461" s="12" t="s">
        <v>96</v>
      </c>
      <c r="M1461">
        <v>4.8099999999999996</v>
      </c>
      <c r="N1461" s="12" t="s">
        <v>159</v>
      </c>
      <c r="O1461" s="12" t="s">
        <v>160</v>
      </c>
      <c r="P1461" s="12" t="s">
        <v>137</v>
      </c>
      <c r="Q1461" s="13">
        <v>45232</v>
      </c>
      <c r="R1461" s="13">
        <v>45260</v>
      </c>
      <c r="S1461">
        <v>2023</v>
      </c>
      <c r="T1461" s="12" t="s">
        <v>2132</v>
      </c>
      <c r="U1461">
        <v>71</v>
      </c>
      <c r="V1461">
        <v>388.54930000000002</v>
      </c>
      <c r="W1461">
        <v>469.19</v>
      </c>
      <c r="X1461">
        <v>0</v>
      </c>
      <c r="Y1461">
        <v>0</v>
      </c>
      <c r="Z1461">
        <v>27587</v>
      </c>
      <c r="AA1461">
        <v>28056.19</v>
      </c>
      <c r="AB1461" s="12" t="s">
        <v>449</v>
      </c>
      <c r="AC1461">
        <v>388.54930000000002</v>
      </c>
      <c r="AD1461">
        <v>1</v>
      </c>
      <c r="AE1461">
        <v>1</v>
      </c>
      <c r="AF1461">
        <v>0</v>
      </c>
      <c r="AG1461">
        <v>27587</v>
      </c>
      <c r="AH1461">
        <v>71</v>
      </c>
      <c r="AI1461">
        <v>70</v>
      </c>
      <c r="AJ1461">
        <v>1</v>
      </c>
      <c r="AK1461">
        <v>1</v>
      </c>
      <c r="AL1461">
        <v>1</v>
      </c>
      <c r="AM1461">
        <v>98.59</v>
      </c>
      <c r="AN1461">
        <v>400.80270000000002</v>
      </c>
      <c r="AO1461">
        <v>388.55</v>
      </c>
      <c r="AP1461" s="13">
        <v>45258</v>
      </c>
      <c r="AQ1461">
        <v>-2</v>
      </c>
      <c r="AR1461">
        <v>1</v>
      </c>
    </row>
    <row r="1462" spans="1:44" x14ac:dyDescent="0.35">
      <c r="A1462" s="12" t="s">
        <v>2151</v>
      </c>
      <c r="B1462" s="12" t="s">
        <v>238</v>
      </c>
      <c r="C1462" s="12" t="s">
        <v>239</v>
      </c>
      <c r="D1462" s="12" t="s">
        <v>122</v>
      </c>
      <c r="E1462" s="12" t="s">
        <v>65</v>
      </c>
      <c r="F1462">
        <v>3</v>
      </c>
      <c r="G1462">
        <v>4</v>
      </c>
      <c r="H1462">
        <v>0</v>
      </c>
      <c r="I1462" s="12" t="s">
        <v>79</v>
      </c>
      <c r="J1462" s="12" t="s">
        <v>80</v>
      </c>
      <c r="K1462" s="12" t="s">
        <v>81</v>
      </c>
      <c r="L1462" s="12" t="s">
        <v>82</v>
      </c>
      <c r="M1462">
        <v>12.07</v>
      </c>
      <c r="N1462" s="12" t="s">
        <v>70</v>
      </c>
      <c r="O1462" s="12" t="s">
        <v>71</v>
      </c>
      <c r="P1462" s="12" t="s">
        <v>72</v>
      </c>
      <c r="Q1462" s="13">
        <v>45232</v>
      </c>
      <c r="R1462" s="13">
        <v>45263</v>
      </c>
      <c r="S1462">
        <v>2023</v>
      </c>
      <c r="T1462" s="12" t="s">
        <v>2132</v>
      </c>
      <c r="U1462">
        <v>1279</v>
      </c>
      <c r="V1462">
        <v>37.143599999999999</v>
      </c>
      <c r="W1462">
        <v>851.83</v>
      </c>
      <c r="X1462">
        <v>0</v>
      </c>
      <c r="Y1462">
        <v>0</v>
      </c>
      <c r="Z1462">
        <v>47506.66</v>
      </c>
      <c r="AA1462">
        <v>48358.49</v>
      </c>
      <c r="AB1462" s="12" t="s">
        <v>297</v>
      </c>
      <c r="AC1462">
        <v>37.143599999999999</v>
      </c>
      <c r="AD1462">
        <v>1</v>
      </c>
      <c r="AE1462">
        <v>1</v>
      </c>
      <c r="AF1462">
        <v>0</v>
      </c>
      <c r="AG1462">
        <v>47506.66</v>
      </c>
      <c r="AH1462">
        <v>1279</v>
      </c>
      <c r="AI1462">
        <v>1274</v>
      </c>
      <c r="AJ1462">
        <v>5</v>
      </c>
      <c r="AK1462">
        <v>1</v>
      </c>
      <c r="AL1462">
        <v>1</v>
      </c>
      <c r="AM1462">
        <v>99.61</v>
      </c>
      <c r="AN1462">
        <v>37.957999999999998</v>
      </c>
      <c r="AO1462">
        <v>185.72</v>
      </c>
      <c r="AP1462" s="13">
        <v>45262</v>
      </c>
      <c r="AQ1462">
        <v>-1</v>
      </c>
      <c r="AR1462">
        <v>1</v>
      </c>
    </row>
    <row r="1463" spans="1:44" x14ac:dyDescent="0.35">
      <c r="A1463" s="12" t="s">
        <v>2152</v>
      </c>
      <c r="B1463" s="12" t="s">
        <v>963</v>
      </c>
      <c r="C1463" s="12" t="s">
        <v>964</v>
      </c>
      <c r="D1463" s="12" t="s">
        <v>114</v>
      </c>
      <c r="E1463" s="12" t="s">
        <v>142</v>
      </c>
      <c r="F1463">
        <v>1</v>
      </c>
      <c r="G1463">
        <v>6</v>
      </c>
      <c r="H1463">
        <v>1</v>
      </c>
      <c r="I1463" s="12" t="s">
        <v>176</v>
      </c>
      <c r="J1463" s="12" t="s">
        <v>177</v>
      </c>
      <c r="K1463" s="12" t="s">
        <v>125</v>
      </c>
      <c r="L1463" s="12" t="s">
        <v>134</v>
      </c>
      <c r="M1463">
        <v>1.75</v>
      </c>
      <c r="N1463" s="12" t="s">
        <v>70</v>
      </c>
      <c r="O1463" s="12" t="s">
        <v>71</v>
      </c>
      <c r="P1463" s="12" t="s">
        <v>72</v>
      </c>
      <c r="Q1463" s="13">
        <v>45233</v>
      </c>
      <c r="R1463" s="13">
        <v>45285</v>
      </c>
      <c r="S1463">
        <v>2023</v>
      </c>
      <c r="T1463" s="12" t="s">
        <v>2132</v>
      </c>
      <c r="U1463">
        <v>147</v>
      </c>
      <c r="V1463">
        <v>194.73220000000001</v>
      </c>
      <c r="W1463">
        <v>703.1</v>
      </c>
      <c r="X1463">
        <v>0</v>
      </c>
      <c r="Y1463">
        <v>0</v>
      </c>
      <c r="Z1463">
        <v>28625.63</v>
      </c>
      <c r="AA1463">
        <v>29328.73</v>
      </c>
      <c r="AB1463" s="12" t="s">
        <v>965</v>
      </c>
      <c r="AC1463">
        <v>194.73220000000001</v>
      </c>
      <c r="AD1463">
        <v>1</v>
      </c>
      <c r="AE1463">
        <v>1</v>
      </c>
      <c r="AF1463">
        <v>0</v>
      </c>
      <c r="AG1463">
        <v>28625.63</v>
      </c>
      <c r="AH1463">
        <v>147</v>
      </c>
      <c r="AI1463">
        <v>145</v>
      </c>
      <c r="AJ1463">
        <v>2</v>
      </c>
      <c r="AK1463">
        <v>1</v>
      </c>
      <c r="AL1463">
        <v>1</v>
      </c>
      <c r="AM1463">
        <v>98.64</v>
      </c>
      <c r="AN1463">
        <v>202.2671</v>
      </c>
      <c r="AO1463">
        <v>389.46</v>
      </c>
      <c r="AP1463" s="13">
        <v>45285</v>
      </c>
      <c r="AQ1463">
        <v>0</v>
      </c>
      <c r="AR1463">
        <v>1</v>
      </c>
    </row>
    <row r="1464" spans="1:44" x14ac:dyDescent="0.35">
      <c r="A1464" s="12" t="s">
        <v>2153</v>
      </c>
      <c r="B1464" s="12" t="s">
        <v>1054</v>
      </c>
      <c r="C1464" s="12" t="s">
        <v>1055</v>
      </c>
      <c r="D1464" s="12" t="s">
        <v>122</v>
      </c>
      <c r="E1464" s="12" t="s">
        <v>65</v>
      </c>
      <c r="F1464">
        <v>1</v>
      </c>
      <c r="G1464">
        <v>2</v>
      </c>
      <c r="H1464">
        <v>1</v>
      </c>
      <c r="I1464" s="12" t="s">
        <v>176</v>
      </c>
      <c r="J1464" s="12" t="s">
        <v>177</v>
      </c>
      <c r="K1464" s="12" t="s">
        <v>125</v>
      </c>
      <c r="L1464" s="12" t="s">
        <v>134</v>
      </c>
      <c r="M1464">
        <v>1.75</v>
      </c>
      <c r="N1464" s="12" t="s">
        <v>70</v>
      </c>
      <c r="O1464" s="12" t="s">
        <v>71</v>
      </c>
      <c r="P1464" s="12" t="s">
        <v>72</v>
      </c>
      <c r="Q1464" s="13">
        <v>45233</v>
      </c>
      <c r="R1464" s="13">
        <v>45267</v>
      </c>
      <c r="S1464">
        <v>2023</v>
      </c>
      <c r="T1464" s="12" t="s">
        <v>2132</v>
      </c>
      <c r="U1464">
        <v>1568</v>
      </c>
      <c r="V1464">
        <v>46.916699999999999</v>
      </c>
      <c r="W1464">
        <v>554.91999999999996</v>
      </c>
      <c r="X1464">
        <v>0</v>
      </c>
      <c r="Y1464">
        <v>0</v>
      </c>
      <c r="Z1464">
        <v>73565.39</v>
      </c>
      <c r="AA1464">
        <v>74120.31</v>
      </c>
      <c r="AB1464" s="12" t="s">
        <v>1056</v>
      </c>
      <c r="AC1464">
        <v>46.916699999999999</v>
      </c>
      <c r="AD1464">
        <v>1</v>
      </c>
      <c r="AE1464">
        <v>1</v>
      </c>
      <c r="AF1464">
        <v>0</v>
      </c>
      <c r="AG1464">
        <v>73565.39</v>
      </c>
      <c r="AH1464">
        <v>1568</v>
      </c>
      <c r="AI1464">
        <v>1552</v>
      </c>
      <c r="AJ1464">
        <v>16</v>
      </c>
      <c r="AK1464">
        <v>1</v>
      </c>
      <c r="AL1464">
        <v>1</v>
      </c>
      <c r="AM1464">
        <v>98.98</v>
      </c>
      <c r="AN1464">
        <v>47.757899999999999</v>
      </c>
      <c r="AO1464">
        <v>750.67</v>
      </c>
      <c r="AP1464" s="13">
        <v>45267</v>
      </c>
      <c r="AQ1464">
        <v>0</v>
      </c>
      <c r="AR1464">
        <v>1</v>
      </c>
    </row>
    <row r="1465" spans="1:44" x14ac:dyDescent="0.35">
      <c r="A1465" s="12" t="s">
        <v>2154</v>
      </c>
      <c r="B1465" s="12" t="s">
        <v>284</v>
      </c>
      <c r="C1465" s="12" t="s">
        <v>285</v>
      </c>
      <c r="D1465" s="12" t="s">
        <v>269</v>
      </c>
      <c r="E1465" s="12" t="s">
        <v>104</v>
      </c>
      <c r="F1465">
        <v>3</v>
      </c>
      <c r="G1465">
        <v>1</v>
      </c>
      <c r="H1465">
        <v>0</v>
      </c>
      <c r="I1465" s="12" t="s">
        <v>199</v>
      </c>
      <c r="J1465" s="12" t="s">
        <v>200</v>
      </c>
      <c r="K1465" s="12" t="s">
        <v>68</v>
      </c>
      <c r="L1465" s="12" t="s">
        <v>96</v>
      </c>
      <c r="M1465">
        <v>9.4700000000000006</v>
      </c>
      <c r="N1465" s="12" t="s">
        <v>159</v>
      </c>
      <c r="O1465" s="12" t="s">
        <v>160</v>
      </c>
      <c r="P1465" s="12" t="s">
        <v>137</v>
      </c>
      <c r="Q1465" s="13">
        <v>45233</v>
      </c>
      <c r="R1465" s="13">
        <v>45257</v>
      </c>
      <c r="S1465">
        <v>2023</v>
      </c>
      <c r="T1465" s="12" t="s">
        <v>2132</v>
      </c>
      <c r="U1465">
        <v>109</v>
      </c>
      <c r="V1465">
        <v>397.87</v>
      </c>
      <c r="W1465">
        <v>809.84</v>
      </c>
      <c r="X1465">
        <v>0</v>
      </c>
      <c r="Y1465">
        <v>0</v>
      </c>
      <c r="Z1465">
        <v>43367.83</v>
      </c>
      <c r="AA1465">
        <v>44177.67</v>
      </c>
      <c r="AB1465" s="12" t="s">
        <v>286</v>
      </c>
      <c r="AC1465">
        <v>397.87</v>
      </c>
      <c r="AD1465">
        <v>1</v>
      </c>
      <c r="AE1465">
        <v>1</v>
      </c>
      <c r="AF1465">
        <v>0</v>
      </c>
      <c r="AG1465">
        <v>43367.83</v>
      </c>
      <c r="AH1465">
        <v>109</v>
      </c>
      <c r="AI1465">
        <v>107</v>
      </c>
      <c r="AJ1465">
        <v>2</v>
      </c>
      <c r="AK1465">
        <v>1</v>
      </c>
      <c r="AL1465">
        <v>1</v>
      </c>
      <c r="AM1465">
        <v>98.17</v>
      </c>
      <c r="AN1465">
        <v>412.87540000000001</v>
      </c>
      <c r="AO1465">
        <v>795.74</v>
      </c>
      <c r="AP1465" s="13">
        <v>45253</v>
      </c>
      <c r="AQ1465">
        <v>-4</v>
      </c>
      <c r="AR1465">
        <v>1</v>
      </c>
    </row>
    <row r="1466" spans="1:44" x14ac:dyDescent="0.35">
      <c r="A1466" s="12" t="s">
        <v>2155</v>
      </c>
      <c r="B1466" s="12" t="s">
        <v>909</v>
      </c>
      <c r="C1466" s="12" t="s">
        <v>910</v>
      </c>
      <c r="D1466" s="12" t="s">
        <v>269</v>
      </c>
      <c r="E1466" s="12" t="s">
        <v>65</v>
      </c>
      <c r="F1466">
        <v>3</v>
      </c>
      <c r="G1466">
        <v>4</v>
      </c>
      <c r="H1466">
        <v>0</v>
      </c>
      <c r="I1466" s="12" t="s">
        <v>199</v>
      </c>
      <c r="J1466" s="12" t="s">
        <v>200</v>
      </c>
      <c r="K1466" s="12" t="s">
        <v>68</v>
      </c>
      <c r="L1466" s="12" t="s">
        <v>96</v>
      </c>
      <c r="M1466">
        <v>9.4700000000000006</v>
      </c>
      <c r="N1466" s="12" t="s">
        <v>159</v>
      </c>
      <c r="O1466" s="12" t="s">
        <v>160</v>
      </c>
      <c r="P1466" s="12" t="s">
        <v>137</v>
      </c>
      <c r="Q1466" s="13">
        <v>45233</v>
      </c>
      <c r="R1466" s="13">
        <v>45264</v>
      </c>
      <c r="S1466">
        <v>2023</v>
      </c>
      <c r="T1466" s="12" t="s">
        <v>2132</v>
      </c>
      <c r="U1466">
        <v>89</v>
      </c>
      <c r="V1466">
        <v>114.6845</v>
      </c>
      <c r="W1466">
        <v>248.64</v>
      </c>
      <c r="X1466">
        <v>0</v>
      </c>
      <c r="Y1466">
        <v>0</v>
      </c>
      <c r="Z1466">
        <v>10206.92</v>
      </c>
      <c r="AA1466">
        <v>10455.56</v>
      </c>
      <c r="AB1466" s="12" t="s">
        <v>911</v>
      </c>
      <c r="AC1466">
        <v>108.32040000000001</v>
      </c>
      <c r="AD1466">
        <v>1</v>
      </c>
      <c r="AE1466">
        <v>1</v>
      </c>
      <c r="AF1466">
        <v>566.4</v>
      </c>
      <c r="AG1466">
        <v>9640.52</v>
      </c>
      <c r="AH1466">
        <v>89</v>
      </c>
      <c r="AI1466">
        <v>88</v>
      </c>
      <c r="AJ1466">
        <v>1</v>
      </c>
      <c r="AK1466">
        <v>1</v>
      </c>
      <c r="AL1466">
        <v>1</v>
      </c>
      <c r="AM1466">
        <v>98.88</v>
      </c>
      <c r="AN1466">
        <v>118.81319999999999</v>
      </c>
      <c r="AO1466">
        <v>114.68</v>
      </c>
      <c r="AP1466" s="13">
        <v>45272</v>
      </c>
      <c r="AQ1466">
        <v>8</v>
      </c>
      <c r="AR1466">
        <v>0</v>
      </c>
    </row>
    <row r="1467" spans="1:44" x14ac:dyDescent="0.35">
      <c r="A1467" s="12" t="s">
        <v>2156</v>
      </c>
      <c r="B1467" s="12" t="s">
        <v>173</v>
      </c>
      <c r="C1467" s="12" t="s">
        <v>174</v>
      </c>
      <c r="D1467" s="12" t="s">
        <v>175</v>
      </c>
      <c r="E1467" s="12" t="s">
        <v>104</v>
      </c>
      <c r="F1467">
        <v>3</v>
      </c>
      <c r="G1467">
        <v>1</v>
      </c>
      <c r="H1467">
        <v>0</v>
      </c>
      <c r="I1467" s="12" t="s">
        <v>176</v>
      </c>
      <c r="J1467" s="12" t="s">
        <v>177</v>
      </c>
      <c r="K1467" s="12" t="s">
        <v>125</v>
      </c>
      <c r="L1467" s="12" t="s">
        <v>134</v>
      </c>
      <c r="M1467">
        <v>1.75</v>
      </c>
      <c r="N1467" s="12" t="s">
        <v>107</v>
      </c>
      <c r="O1467" s="12" t="s">
        <v>108</v>
      </c>
      <c r="P1467" s="12" t="s">
        <v>109</v>
      </c>
      <c r="Q1467" s="13">
        <v>45233</v>
      </c>
      <c r="R1467" s="13">
        <v>45258</v>
      </c>
      <c r="S1467">
        <v>2023</v>
      </c>
      <c r="T1467" s="12" t="s">
        <v>2132</v>
      </c>
      <c r="U1467">
        <v>117</v>
      </c>
      <c r="V1467">
        <v>79.9559</v>
      </c>
      <c r="W1467">
        <v>107.38</v>
      </c>
      <c r="X1467">
        <v>0</v>
      </c>
      <c r="Y1467">
        <v>0</v>
      </c>
      <c r="Z1467">
        <v>9354.84</v>
      </c>
      <c r="AA1467">
        <v>9462.2199999999993</v>
      </c>
      <c r="AB1467" s="12" t="s">
        <v>178</v>
      </c>
      <c r="AC1467">
        <v>79.9559</v>
      </c>
      <c r="AD1467">
        <v>1</v>
      </c>
      <c r="AE1467">
        <v>1</v>
      </c>
      <c r="AF1467">
        <v>0</v>
      </c>
      <c r="AG1467">
        <v>9354.84</v>
      </c>
      <c r="AH1467">
        <v>117</v>
      </c>
      <c r="AI1467">
        <v>116</v>
      </c>
      <c r="AJ1467">
        <v>1</v>
      </c>
      <c r="AK1467">
        <v>1</v>
      </c>
      <c r="AL1467">
        <v>1</v>
      </c>
      <c r="AM1467">
        <v>99.15</v>
      </c>
      <c r="AN1467">
        <v>81.570899999999995</v>
      </c>
      <c r="AO1467">
        <v>79.959999999999994</v>
      </c>
      <c r="AP1467" s="13">
        <v>45255</v>
      </c>
      <c r="AQ1467">
        <v>-3</v>
      </c>
      <c r="AR1467">
        <v>1</v>
      </c>
    </row>
    <row r="1468" spans="1:44" x14ac:dyDescent="0.35">
      <c r="A1468" s="12" t="s">
        <v>2157</v>
      </c>
      <c r="B1468" s="12" t="s">
        <v>289</v>
      </c>
      <c r="C1468" s="12" t="s">
        <v>290</v>
      </c>
      <c r="D1468" s="12" t="s">
        <v>175</v>
      </c>
      <c r="E1468" s="12" t="s">
        <v>104</v>
      </c>
      <c r="F1468">
        <v>3</v>
      </c>
      <c r="G1468">
        <v>1</v>
      </c>
      <c r="H1468">
        <v>0</v>
      </c>
      <c r="I1468" s="12" t="s">
        <v>157</v>
      </c>
      <c r="J1468" s="12" t="s">
        <v>158</v>
      </c>
      <c r="K1468" s="12" t="s">
        <v>117</v>
      </c>
      <c r="L1468" s="12" t="s">
        <v>96</v>
      </c>
      <c r="M1468">
        <v>4.72</v>
      </c>
      <c r="N1468" s="12" t="s">
        <v>107</v>
      </c>
      <c r="O1468" s="12" t="s">
        <v>108</v>
      </c>
      <c r="P1468" s="12" t="s">
        <v>109</v>
      </c>
      <c r="Q1468" s="13">
        <v>45233</v>
      </c>
      <c r="R1468" s="13">
        <v>45252</v>
      </c>
      <c r="S1468">
        <v>2023</v>
      </c>
      <c r="T1468" s="12" t="s">
        <v>2132</v>
      </c>
      <c r="U1468">
        <v>67</v>
      </c>
      <c r="V1468">
        <v>194.9136</v>
      </c>
      <c r="W1468">
        <v>326.13</v>
      </c>
      <c r="X1468">
        <v>0</v>
      </c>
      <c r="Y1468">
        <v>0</v>
      </c>
      <c r="Z1468">
        <v>13059.21</v>
      </c>
      <c r="AA1468">
        <v>13385.34</v>
      </c>
      <c r="AB1468" s="12" t="s">
        <v>291</v>
      </c>
      <c r="AC1468">
        <v>194.9136</v>
      </c>
      <c r="AD1468">
        <v>1</v>
      </c>
      <c r="AE1468">
        <v>1</v>
      </c>
      <c r="AF1468">
        <v>0</v>
      </c>
      <c r="AG1468">
        <v>13059.21</v>
      </c>
      <c r="AH1468">
        <v>67</v>
      </c>
      <c r="AI1468">
        <v>66</v>
      </c>
      <c r="AJ1468">
        <v>1</v>
      </c>
      <c r="AK1468">
        <v>1</v>
      </c>
      <c r="AL1468">
        <v>1</v>
      </c>
      <c r="AM1468">
        <v>98.51</v>
      </c>
      <c r="AN1468">
        <v>202.8082</v>
      </c>
      <c r="AO1468">
        <v>194.91</v>
      </c>
      <c r="AP1468" s="13">
        <v>45249</v>
      </c>
      <c r="AQ1468">
        <v>-3</v>
      </c>
      <c r="AR1468">
        <v>1</v>
      </c>
    </row>
    <row r="1469" spans="1:44" x14ac:dyDescent="0.35">
      <c r="A1469" s="12" t="s">
        <v>2158</v>
      </c>
      <c r="B1469" s="12" t="s">
        <v>941</v>
      </c>
      <c r="C1469" s="12" t="s">
        <v>942</v>
      </c>
      <c r="D1469" s="12" t="s">
        <v>130</v>
      </c>
      <c r="E1469" s="12" t="s">
        <v>104</v>
      </c>
      <c r="F1469">
        <v>2</v>
      </c>
      <c r="G1469">
        <v>0</v>
      </c>
      <c r="H1469">
        <v>0</v>
      </c>
      <c r="I1469" s="12" t="s">
        <v>131</v>
      </c>
      <c r="J1469" s="12" t="s">
        <v>132</v>
      </c>
      <c r="K1469" s="12" t="s">
        <v>133</v>
      </c>
      <c r="L1469" s="12" t="s">
        <v>134</v>
      </c>
      <c r="M1469">
        <v>1.51</v>
      </c>
      <c r="N1469" s="12" t="s">
        <v>135</v>
      </c>
      <c r="O1469" s="12" t="s">
        <v>136</v>
      </c>
      <c r="P1469" s="12" t="s">
        <v>137</v>
      </c>
      <c r="Q1469" s="13">
        <v>45233</v>
      </c>
      <c r="R1469" s="13">
        <v>45248</v>
      </c>
      <c r="S1469">
        <v>2023</v>
      </c>
      <c r="T1469" s="12" t="s">
        <v>2132</v>
      </c>
      <c r="U1469">
        <v>33</v>
      </c>
      <c r="V1469">
        <v>990.29020000000003</v>
      </c>
      <c r="W1469">
        <v>784.97</v>
      </c>
      <c r="X1469">
        <v>0</v>
      </c>
      <c r="Y1469">
        <v>0</v>
      </c>
      <c r="Z1469">
        <v>32679.58</v>
      </c>
      <c r="AA1469">
        <v>33464.550000000003</v>
      </c>
      <c r="AB1469" s="12" t="s">
        <v>943</v>
      </c>
      <c r="AC1469">
        <v>990.29020000000003</v>
      </c>
      <c r="AD1469">
        <v>1</v>
      </c>
      <c r="AE1469">
        <v>1</v>
      </c>
      <c r="AF1469">
        <v>0</v>
      </c>
      <c r="AG1469">
        <v>32679.58</v>
      </c>
      <c r="AH1469">
        <v>33</v>
      </c>
      <c r="AI1469">
        <v>31</v>
      </c>
      <c r="AJ1469">
        <v>2</v>
      </c>
      <c r="AK1469">
        <v>1</v>
      </c>
      <c r="AL1469">
        <v>1</v>
      </c>
      <c r="AM1469">
        <v>93.94</v>
      </c>
      <c r="AN1469">
        <v>1079.5015000000001</v>
      </c>
      <c r="AO1469">
        <v>1980.58</v>
      </c>
      <c r="AP1469" s="13">
        <v>45249</v>
      </c>
      <c r="AQ1469">
        <v>1</v>
      </c>
      <c r="AR1469">
        <v>0</v>
      </c>
    </row>
    <row r="1470" spans="1:44" x14ac:dyDescent="0.35">
      <c r="A1470" s="12" t="s">
        <v>2159</v>
      </c>
      <c r="B1470" s="12" t="s">
        <v>391</v>
      </c>
      <c r="C1470" s="12" t="s">
        <v>392</v>
      </c>
      <c r="D1470" s="12" t="s">
        <v>114</v>
      </c>
      <c r="E1470" s="12" t="s">
        <v>65</v>
      </c>
      <c r="F1470">
        <v>2</v>
      </c>
      <c r="G1470">
        <v>2</v>
      </c>
      <c r="H1470">
        <v>0</v>
      </c>
      <c r="I1470" s="12" t="s">
        <v>310</v>
      </c>
      <c r="J1470" s="12" t="s">
        <v>311</v>
      </c>
      <c r="K1470" s="12" t="s">
        <v>81</v>
      </c>
      <c r="L1470" s="12" t="s">
        <v>69</v>
      </c>
      <c r="M1470">
        <v>28.3</v>
      </c>
      <c r="N1470" s="12" t="s">
        <v>97</v>
      </c>
      <c r="O1470" s="12" t="s">
        <v>98</v>
      </c>
      <c r="P1470" s="12" t="s">
        <v>72</v>
      </c>
      <c r="Q1470" s="13">
        <v>45233</v>
      </c>
      <c r="R1470" s="13">
        <v>45261</v>
      </c>
      <c r="S1470">
        <v>2023</v>
      </c>
      <c r="T1470" s="12" t="s">
        <v>2132</v>
      </c>
      <c r="U1470">
        <v>66</v>
      </c>
      <c r="V1470">
        <v>223.56530000000001</v>
      </c>
      <c r="W1470">
        <v>294.35000000000002</v>
      </c>
      <c r="X1470">
        <v>0</v>
      </c>
      <c r="Y1470">
        <v>0</v>
      </c>
      <c r="Z1470">
        <v>14755.31</v>
      </c>
      <c r="AA1470">
        <v>15049.66</v>
      </c>
      <c r="AB1470" s="12" t="s">
        <v>393</v>
      </c>
      <c r="AC1470">
        <v>223.56530000000001</v>
      </c>
      <c r="AD1470">
        <v>1</v>
      </c>
      <c r="AE1470">
        <v>1</v>
      </c>
      <c r="AF1470">
        <v>0</v>
      </c>
      <c r="AG1470">
        <v>14755.31</v>
      </c>
      <c r="AH1470">
        <v>66</v>
      </c>
      <c r="AI1470">
        <v>65</v>
      </c>
      <c r="AJ1470">
        <v>1</v>
      </c>
      <c r="AK1470">
        <v>1</v>
      </c>
      <c r="AL1470">
        <v>1</v>
      </c>
      <c r="AM1470">
        <v>98.48</v>
      </c>
      <c r="AN1470">
        <v>231.53319999999999</v>
      </c>
      <c r="AO1470">
        <v>223.57</v>
      </c>
      <c r="AP1470" s="13">
        <v>45261</v>
      </c>
      <c r="AQ1470">
        <v>0</v>
      </c>
      <c r="AR1470">
        <v>1</v>
      </c>
    </row>
    <row r="1471" spans="1:44" x14ac:dyDescent="0.35">
      <c r="A1471" s="12" t="s">
        <v>2160</v>
      </c>
      <c r="B1471" s="12" t="s">
        <v>640</v>
      </c>
      <c r="C1471" s="12" t="s">
        <v>641</v>
      </c>
      <c r="D1471" s="12" t="s">
        <v>130</v>
      </c>
      <c r="E1471" s="12" t="s">
        <v>104</v>
      </c>
      <c r="F1471">
        <v>3</v>
      </c>
      <c r="G1471">
        <v>0</v>
      </c>
      <c r="H1471">
        <v>0</v>
      </c>
      <c r="I1471" s="12" t="s">
        <v>209</v>
      </c>
      <c r="J1471" s="12" t="s">
        <v>210</v>
      </c>
      <c r="K1471" s="12" t="s">
        <v>133</v>
      </c>
      <c r="L1471" s="12" t="s">
        <v>96</v>
      </c>
      <c r="M1471">
        <v>7.82</v>
      </c>
      <c r="N1471" s="12" t="s">
        <v>135</v>
      </c>
      <c r="O1471" s="12" t="s">
        <v>136</v>
      </c>
      <c r="P1471" s="12" t="s">
        <v>137</v>
      </c>
      <c r="Q1471" s="13">
        <v>45233</v>
      </c>
      <c r="R1471" s="13">
        <v>45257</v>
      </c>
      <c r="S1471">
        <v>2023</v>
      </c>
      <c r="T1471" s="12" t="s">
        <v>2132</v>
      </c>
      <c r="U1471">
        <v>106</v>
      </c>
      <c r="V1471">
        <v>1008.4116</v>
      </c>
      <c r="W1471">
        <v>2004.9</v>
      </c>
      <c r="X1471">
        <v>0</v>
      </c>
      <c r="Y1471">
        <v>0</v>
      </c>
      <c r="Z1471">
        <v>106891.63</v>
      </c>
      <c r="AA1471">
        <v>108896.53</v>
      </c>
      <c r="AB1471" s="12" t="s">
        <v>642</v>
      </c>
      <c r="AC1471">
        <v>1008.4116</v>
      </c>
      <c r="AD1471">
        <v>1</v>
      </c>
      <c r="AE1471">
        <v>1</v>
      </c>
      <c r="AF1471">
        <v>0</v>
      </c>
      <c r="AG1471">
        <v>106891.63</v>
      </c>
      <c r="AH1471">
        <v>106</v>
      </c>
      <c r="AI1471">
        <v>105</v>
      </c>
      <c r="AJ1471">
        <v>1</v>
      </c>
      <c r="AK1471">
        <v>1</v>
      </c>
      <c r="AL1471">
        <v>1</v>
      </c>
      <c r="AM1471">
        <v>99.06</v>
      </c>
      <c r="AN1471">
        <v>1037.1098</v>
      </c>
      <c r="AO1471">
        <v>1008.41</v>
      </c>
      <c r="AP1471" s="13">
        <v>45255</v>
      </c>
      <c r="AQ1471">
        <v>-2</v>
      </c>
      <c r="AR1471">
        <v>1</v>
      </c>
    </row>
    <row r="1472" spans="1:44" x14ac:dyDescent="0.35">
      <c r="A1472" s="12" t="s">
        <v>2161</v>
      </c>
      <c r="B1472" s="12" t="s">
        <v>238</v>
      </c>
      <c r="C1472" s="12" t="s">
        <v>239</v>
      </c>
      <c r="D1472" s="12" t="s">
        <v>122</v>
      </c>
      <c r="E1472" s="12" t="s">
        <v>65</v>
      </c>
      <c r="F1472">
        <v>3</v>
      </c>
      <c r="G1472">
        <v>4</v>
      </c>
      <c r="H1472">
        <v>0</v>
      </c>
      <c r="I1472" s="12" t="s">
        <v>243</v>
      </c>
      <c r="J1472" s="12" t="s">
        <v>244</v>
      </c>
      <c r="K1472" s="12" t="s">
        <v>81</v>
      </c>
      <c r="L1472" s="12" t="s">
        <v>82</v>
      </c>
      <c r="M1472">
        <v>9.2200000000000006</v>
      </c>
      <c r="N1472" s="12" t="s">
        <v>97</v>
      </c>
      <c r="O1472" s="12" t="s">
        <v>98</v>
      </c>
      <c r="P1472" s="12" t="s">
        <v>72</v>
      </c>
      <c r="Q1472" s="13">
        <v>45233</v>
      </c>
      <c r="R1472" s="13">
        <v>45254</v>
      </c>
      <c r="S1472">
        <v>2023</v>
      </c>
      <c r="T1472" s="12" t="s">
        <v>2132</v>
      </c>
      <c r="U1472">
        <v>268</v>
      </c>
      <c r="V1472">
        <v>37.143599999999999</v>
      </c>
      <c r="W1472">
        <v>199.03</v>
      </c>
      <c r="X1472">
        <v>0</v>
      </c>
      <c r="Y1472">
        <v>0</v>
      </c>
      <c r="Z1472">
        <v>9954.48</v>
      </c>
      <c r="AA1472">
        <v>10153.51</v>
      </c>
      <c r="AB1472" s="12" t="s">
        <v>717</v>
      </c>
      <c r="AC1472">
        <v>37.143599999999999</v>
      </c>
      <c r="AD1472">
        <v>1</v>
      </c>
      <c r="AE1472">
        <v>1</v>
      </c>
      <c r="AF1472">
        <v>0</v>
      </c>
      <c r="AG1472">
        <v>9954.48</v>
      </c>
      <c r="AH1472">
        <v>268</v>
      </c>
      <c r="AI1472">
        <v>265</v>
      </c>
      <c r="AJ1472">
        <v>3</v>
      </c>
      <c r="AK1472">
        <v>1</v>
      </c>
      <c r="AL1472">
        <v>1</v>
      </c>
      <c r="AM1472">
        <v>98.88</v>
      </c>
      <c r="AN1472">
        <v>38.315199999999997</v>
      </c>
      <c r="AO1472">
        <v>111.43</v>
      </c>
      <c r="AP1472" s="13">
        <v>45254</v>
      </c>
      <c r="AQ1472">
        <v>0</v>
      </c>
      <c r="AR1472">
        <v>1</v>
      </c>
    </row>
    <row r="1473" spans="1:44" x14ac:dyDescent="0.35">
      <c r="A1473" s="12" t="s">
        <v>2162</v>
      </c>
      <c r="B1473" s="12" t="s">
        <v>284</v>
      </c>
      <c r="C1473" s="12" t="s">
        <v>285</v>
      </c>
      <c r="D1473" s="12" t="s">
        <v>269</v>
      </c>
      <c r="E1473" s="12" t="s">
        <v>104</v>
      </c>
      <c r="F1473">
        <v>3</v>
      </c>
      <c r="G1473">
        <v>1</v>
      </c>
      <c r="H1473">
        <v>0</v>
      </c>
      <c r="I1473" s="12" t="s">
        <v>199</v>
      </c>
      <c r="J1473" s="12" t="s">
        <v>200</v>
      </c>
      <c r="K1473" s="12" t="s">
        <v>68</v>
      </c>
      <c r="L1473" s="12" t="s">
        <v>96</v>
      </c>
      <c r="M1473">
        <v>9.4700000000000006</v>
      </c>
      <c r="N1473" s="12" t="s">
        <v>159</v>
      </c>
      <c r="O1473" s="12" t="s">
        <v>160</v>
      </c>
      <c r="P1473" s="12" t="s">
        <v>137</v>
      </c>
      <c r="Q1473" s="13">
        <v>45233</v>
      </c>
      <c r="R1473" s="13">
        <v>45257</v>
      </c>
      <c r="S1473">
        <v>2023</v>
      </c>
      <c r="T1473" s="12" t="s">
        <v>2132</v>
      </c>
      <c r="U1473">
        <v>109</v>
      </c>
      <c r="V1473">
        <v>397.87</v>
      </c>
      <c r="W1473">
        <v>809.84</v>
      </c>
      <c r="X1473">
        <v>0</v>
      </c>
      <c r="Y1473">
        <v>0</v>
      </c>
      <c r="Z1473">
        <v>43367.83</v>
      </c>
      <c r="AA1473">
        <v>44177.67</v>
      </c>
      <c r="AB1473" s="12" t="s">
        <v>286</v>
      </c>
      <c r="AC1473">
        <v>397.87</v>
      </c>
      <c r="AD1473">
        <v>1</v>
      </c>
      <c r="AE1473">
        <v>1</v>
      </c>
      <c r="AF1473">
        <v>0</v>
      </c>
      <c r="AG1473">
        <v>43367.83</v>
      </c>
      <c r="AK1473">
        <v>0</v>
      </c>
      <c r="AL1473">
        <v>0</v>
      </c>
      <c r="AO1473">
        <v>0</v>
      </c>
      <c r="AP1473" s="13"/>
    </row>
    <row r="1474" spans="1:44" x14ac:dyDescent="0.35">
      <c r="A1474" s="12" t="s">
        <v>2163</v>
      </c>
      <c r="B1474" s="12" t="s">
        <v>565</v>
      </c>
      <c r="C1474" s="12" t="s">
        <v>566</v>
      </c>
      <c r="D1474" s="12" t="s">
        <v>122</v>
      </c>
      <c r="E1474" s="12" t="s">
        <v>104</v>
      </c>
      <c r="F1474">
        <v>3</v>
      </c>
      <c r="G1474">
        <v>1</v>
      </c>
      <c r="H1474">
        <v>0</v>
      </c>
      <c r="I1474" s="12" t="s">
        <v>209</v>
      </c>
      <c r="J1474" s="12" t="s">
        <v>210</v>
      </c>
      <c r="K1474" s="12" t="s">
        <v>133</v>
      </c>
      <c r="L1474" s="12" t="s">
        <v>96</v>
      </c>
      <c r="M1474">
        <v>7.82</v>
      </c>
      <c r="N1474" s="12" t="s">
        <v>97</v>
      </c>
      <c r="O1474" s="12" t="s">
        <v>98</v>
      </c>
      <c r="P1474" s="12" t="s">
        <v>72</v>
      </c>
      <c r="Q1474" s="13">
        <v>45236</v>
      </c>
      <c r="R1474" s="13">
        <v>45261</v>
      </c>
      <c r="S1474">
        <v>2023</v>
      </c>
      <c r="T1474" s="12" t="s">
        <v>2132</v>
      </c>
      <c r="U1474">
        <v>1512</v>
      </c>
      <c r="V1474">
        <v>37.399900000000002</v>
      </c>
      <c r="W1474">
        <v>949.95</v>
      </c>
      <c r="X1474">
        <v>0</v>
      </c>
      <c r="Y1474">
        <v>0</v>
      </c>
      <c r="Z1474">
        <v>56548.65</v>
      </c>
      <c r="AA1474">
        <v>57498.6</v>
      </c>
      <c r="AB1474" s="12" t="s">
        <v>201</v>
      </c>
      <c r="AD1474">
        <v>0</v>
      </c>
      <c r="AE1474">
        <v>0</v>
      </c>
      <c r="AH1474">
        <v>1512</v>
      </c>
      <c r="AI1474">
        <v>1503</v>
      </c>
      <c r="AJ1474">
        <v>9</v>
      </c>
      <c r="AK1474">
        <v>1</v>
      </c>
      <c r="AL1474">
        <v>1</v>
      </c>
      <c r="AM1474">
        <v>99.4</v>
      </c>
      <c r="AN1474">
        <v>38.255899999999997</v>
      </c>
      <c r="AO1474">
        <v>336.6</v>
      </c>
      <c r="AP1474" s="13">
        <v>45263</v>
      </c>
      <c r="AQ1474">
        <v>2</v>
      </c>
      <c r="AR1474">
        <v>0</v>
      </c>
    </row>
    <row r="1475" spans="1:44" x14ac:dyDescent="0.35">
      <c r="A1475" s="12" t="s">
        <v>2164</v>
      </c>
      <c r="B1475" s="12" t="s">
        <v>694</v>
      </c>
      <c r="C1475" s="12" t="s">
        <v>695</v>
      </c>
      <c r="D1475" s="12" t="s">
        <v>103</v>
      </c>
      <c r="E1475" s="12" t="s">
        <v>65</v>
      </c>
      <c r="F1475">
        <v>2</v>
      </c>
      <c r="G1475">
        <v>3</v>
      </c>
      <c r="H1475">
        <v>0</v>
      </c>
      <c r="I1475" s="12" t="s">
        <v>263</v>
      </c>
      <c r="J1475" s="12" t="s">
        <v>264</v>
      </c>
      <c r="K1475" s="12" t="s">
        <v>125</v>
      </c>
      <c r="L1475" s="12" t="s">
        <v>82</v>
      </c>
      <c r="M1475">
        <v>10.210000000000001</v>
      </c>
      <c r="N1475" s="12" t="s">
        <v>107</v>
      </c>
      <c r="O1475" s="12" t="s">
        <v>108</v>
      </c>
      <c r="P1475" s="12" t="s">
        <v>109</v>
      </c>
      <c r="Q1475" s="13">
        <v>45236</v>
      </c>
      <c r="R1475" s="13">
        <v>45262</v>
      </c>
      <c r="S1475">
        <v>2023</v>
      </c>
      <c r="T1475" s="12" t="s">
        <v>2132</v>
      </c>
      <c r="U1475">
        <v>50</v>
      </c>
      <c r="V1475">
        <v>215.60980000000001</v>
      </c>
      <c r="W1475">
        <v>262.17</v>
      </c>
      <c r="X1475">
        <v>0</v>
      </c>
      <c r="Y1475">
        <v>0</v>
      </c>
      <c r="Z1475">
        <v>10780.49</v>
      </c>
      <c r="AA1475">
        <v>11042.66</v>
      </c>
      <c r="AB1475" s="12" t="s">
        <v>696</v>
      </c>
      <c r="AC1475">
        <v>215.60980000000001</v>
      </c>
      <c r="AD1475">
        <v>1</v>
      </c>
      <c r="AE1475">
        <v>1</v>
      </c>
      <c r="AF1475">
        <v>0</v>
      </c>
      <c r="AG1475">
        <v>10780.49</v>
      </c>
      <c r="AH1475">
        <v>50</v>
      </c>
      <c r="AI1475">
        <v>49</v>
      </c>
      <c r="AJ1475">
        <v>1</v>
      </c>
      <c r="AK1475">
        <v>1</v>
      </c>
      <c r="AL1475">
        <v>1</v>
      </c>
      <c r="AM1475">
        <v>98</v>
      </c>
      <c r="AN1475">
        <v>225.3604</v>
      </c>
      <c r="AO1475">
        <v>215.61</v>
      </c>
      <c r="AP1475" s="13">
        <v>45259</v>
      </c>
      <c r="AQ1475">
        <v>-3</v>
      </c>
      <c r="AR1475">
        <v>1</v>
      </c>
    </row>
    <row r="1476" spans="1:44" x14ac:dyDescent="0.35">
      <c r="A1476" s="12" t="s">
        <v>2165</v>
      </c>
      <c r="B1476" s="12" t="s">
        <v>876</v>
      </c>
      <c r="C1476" s="12" t="s">
        <v>877</v>
      </c>
      <c r="D1476" s="12" t="s">
        <v>269</v>
      </c>
      <c r="E1476" s="12" t="s">
        <v>142</v>
      </c>
      <c r="F1476">
        <v>3</v>
      </c>
      <c r="G1476">
        <v>11</v>
      </c>
      <c r="H1476">
        <v>0</v>
      </c>
      <c r="I1476" s="12" t="s">
        <v>310</v>
      </c>
      <c r="J1476" s="12" t="s">
        <v>311</v>
      </c>
      <c r="K1476" s="12" t="s">
        <v>81</v>
      </c>
      <c r="L1476" s="12" t="s">
        <v>69</v>
      </c>
      <c r="M1476">
        <v>28.3</v>
      </c>
      <c r="N1476" s="12" t="s">
        <v>159</v>
      </c>
      <c r="O1476" s="12" t="s">
        <v>160</v>
      </c>
      <c r="P1476" s="12" t="s">
        <v>137</v>
      </c>
      <c r="Q1476" s="13">
        <v>45236</v>
      </c>
      <c r="R1476" s="13">
        <v>45285</v>
      </c>
      <c r="S1476">
        <v>2023</v>
      </c>
      <c r="T1476" s="12" t="s">
        <v>2132</v>
      </c>
      <c r="U1476">
        <v>124</v>
      </c>
      <c r="V1476">
        <v>205.07480000000001</v>
      </c>
      <c r="W1476">
        <v>592.75</v>
      </c>
      <c r="X1476">
        <v>0</v>
      </c>
      <c r="Y1476">
        <v>0</v>
      </c>
      <c r="Z1476">
        <v>25429.279999999999</v>
      </c>
      <c r="AA1476">
        <v>26022.03</v>
      </c>
      <c r="AB1476" s="12" t="s">
        <v>878</v>
      </c>
      <c r="AC1476">
        <v>205.07480000000001</v>
      </c>
      <c r="AD1476">
        <v>1</v>
      </c>
      <c r="AE1476">
        <v>1</v>
      </c>
      <c r="AF1476">
        <v>0</v>
      </c>
      <c r="AG1476">
        <v>25429.279999999999</v>
      </c>
      <c r="AH1476">
        <v>124</v>
      </c>
      <c r="AI1476">
        <v>124</v>
      </c>
      <c r="AJ1476">
        <v>0</v>
      </c>
      <c r="AK1476">
        <v>1</v>
      </c>
      <c r="AL1476">
        <v>1</v>
      </c>
      <c r="AM1476">
        <v>100</v>
      </c>
      <c r="AN1476">
        <v>209.85499999999999</v>
      </c>
      <c r="AO1476">
        <v>0</v>
      </c>
      <c r="AP1476" s="13">
        <v>45282</v>
      </c>
      <c r="AQ1476">
        <v>-3</v>
      </c>
      <c r="AR1476">
        <v>1</v>
      </c>
    </row>
    <row r="1477" spans="1:44" x14ac:dyDescent="0.35">
      <c r="A1477" s="12" t="s">
        <v>2166</v>
      </c>
      <c r="B1477" s="12" t="s">
        <v>990</v>
      </c>
      <c r="C1477" s="12" t="s">
        <v>991</v>
      </c>
      <c r="D1477" s="12" t="s">
        <v>122</v>
      </c>
      <c r="E1477" s="12" t="s">
        <v>142</v>
      </c>
      <c r="F1477">
        <v>1</v>
      </c>
      <c r="G1477">
        <v>6</v>
      </c>
      <c r="H1477">
        <v>1</v>
      </c>
      <c r="I1477" s="12" t="s">
        <v>217</v>
      </c>
      <c r="J1477" s="12" t="s">
        <v>218</v>
      </c>
      <c r="K1477" s="12" t="s">
        <v>68</v>
      </c>
      <c r="L1477" s="12" t="s">
        <v>82</v>
      </c>
      <c r="M1477">
        <v>14.24</v>
      </c>
      <c r="N1477" s="12" t="s">
        <v>70</v>
      </c>
      <c r="O1477" s="12" t="s">
        <v>71</v>
      </c>
      <c r="P1477" s="12" t="s">
        <v>72</v>
      </c>
      <c r="Q1477" s="13">
        <v>45236</v>
      </c>
      <c r="R1477" s="13">
        <v>45282</v>
      </c>
      <c r="S1477">
        <v>2023</v>
      </c>
      <c r="T1477" s="12" t="s">
        <v>2132</v>
      </c>
      <c r="U1477">
        <v>1350</v>
      </c>
      <c r="V1477">
        <v>33.697499999999998</v>
      </c>
      <c r="W1477">
        <v>940.32</v>
      </c>
      <c r="X1477">
        <v>0</v>
      </c>
      <c r="Y1477">
        <v>0</v>
      </c>
      <c r="Z1477">
        <v>45491.63</v>
      </c>
      <c r="AA1477">
        <v>46431.95</v>
      </c>
      <c r="AB1477" s="12" t="s">
        <v>992</v>
      </c>
      <c r="AC1477">
        <v>33.697499999999998</v>
      </c>
      <c r="AD1477">
        <v>1</v>
      </c>
      <c r="AE1477">
        <v>1</v>
      </c>
      <c r="AF1477">
        <v>0</v>
      </c>
      <c r="AG1477">
        <v>45491.63</v>
      </c>
      <c r="AH1477">
        <v>1350</v>
      </c>
      <c r="AI1477">
        <v>1347</v>
      </c>
      <c r="AJ1477">
        <v>3</v>
      </c>
      <c r="AK1477">
        <v>1</v>
      </c>
      <c r="AL1477">
        <v>1</v>
      </c>
      <c r="AM1477">
        <v>99.78</v>
      </c>
      <c r="AN1477">
        <v>34.470599999999997</v>
      </c>
      <c r="AO1477">
        <v>101.09</v>
      </c>
      <c r="AP1477" s="13">
        <v>45281</v>
      </c>
      <c r="AQ1477">
        <v>-1</v>
      </c>
      <c r="AR1477">
        <v>1</v>
      </c>
    </row>
    <row r="1478" spans="1:44" x14ac:dyDescent="0.35">
      <c r="A1478" s="12" t="s">
        <v>2167</v>
      </c>
      <c r="B1478" s="12" t="s">
        <v>128</v>
      </c>
      <c r="C1478" s="12" t="s">
        <v>129</v>
      </c>
      <c r="D1478" s="12" t="s">
        <v>130</v>
      </c>
      <c r="E1478" s="12" t="s">
        <v>65</v>
      </c>
      <c r="F1478">
        <v>3</v>
      </c>
      <c r="G1478">
        <v>5</v>
      </c>
      <c r="H1478">
        <v>0</v>
      </c>
      <c r="I1478" s="12" t="s">
        <v>380</v>
      </c>
      <c r="J1478" s="12" t="s">
        <v>381</v>
      </c>
      <c r="K1478" s="12" t="s">
        <v>89</v>
      </c>
      <c r="L1478" s="12" t="s">
        <v>96</v>
      </c>
      <c r="M1478">
        <v>10.210000000000001</v>
      </c>
      <c r="N1478" s="12" t="s">
        <v>159</v>
      </c>
      <c r="O1478" s="12" t="s">
        <v>160</v>
      </c>
      <c r="P1478" s="12" t="s">
        <v>137</v>
      </c>
      <c r="Q1478" s="13">
        <v>45236</v>
      </c>
      <c r="R1478" s="13">
        <v>45268</v>
      </c>
      <c r="S1478">
        <v>2023</v>
      </c>
      <c r="T1478" s="12" t="s">
        <v>2132</v>
      </c>
      <c r="U1478">
        <v>99</v>
      </c>
      <c r="V1478">
        <v>501.92320000000001</v>
      </c>
      <c r="W1478">
        <v>432.8</v>
      </c>
      <c r="X1478">
        <v>0</v>
      </c>
      <c r="Y1478">
        <v>0</v>
      </c>
      <c r="Z1478">
        <v>49690.400000000001</v>
      </c>
      <c r="AA1478">
        <v>50123.199999999997</v>
      </c>
      <c r="AB1478" s="12" t="s">
        <v>1499</v>
      </c>
      <c r="AC1478">
        <v>501.92320000000001</v>
      </c>
      <c r="AD1478">
        <v>1</v>
      </c>
      <c r="AE1478">
        <v>1</v>
      </c>
      <c r="AF1478">
        <v>0</v>
      </c>
      <c r="AG1478">
        <v>49690.400000000001</v>
      </c>
      <c r="AH1478">
        <v>99</v>
      </c>
      <c r="AI1478">
        <v>98</v>
      </c>
      <c r="AJ1478">
        <v>1</v>
      </c>
      <c r="AK1478">
        <v>1</v>
      </c>
      <c r="AL1478">
        <v>1</v>
      </c>
      <c r="AM1478">
        <v>98.99</v>
      </c>
      <c r="AN1478">
        <v>511.46120000000002</v>
      </c>
      <c r="AO1478">
        <v>501.92</v>
      </c>
      <c r="AP1478" s="13">
        <v>45267</v>
      </c>
      <c r="AQ1478">
        <v>-1</v>
      </c>
      <c r="AR1478">
        <v>1</v>
      </c>
    </row>
    <row r="1479" spans="1:44" x14ac:dyDescent="0.35">
      <c r="A1479" s="12" t="s">
        <v>2168</v>
      </c>
      <c r="B1479" s="12" t="s">
        <v>978</v>
      </c>
      <c r="C1479" s="12" t="s">
        <v>979</v>
      </c>
      <c r="D1479" s="12" t="s">
        <v>122</v>
      </c>
      <c r="E1479" s="12" t="s">
        <v>65</v>
      </c>
      <c r="F1479">
        <v>1</v>
      </c>
      <c r="G1479">
        <v>2</v>
      </c>
      <c r="H1479">
        <v>1</v>
      </c>
      <c r="I1479" s="12" t="s">
        <v>310</v>
      </c>
      <c r="J1479" s="12" t="s">
        <v>311</v>
      </c>
      <c r="K1479" s="12" t="s">
        <v>81</v>
      </c>
      <c r="L1479" s="12" t="s">
        <v>69</v>
      </c>
      <c r="M1479">
        <v>28.3</v>
      </c>
      <c r="N1479" s="12" t="s">
        <v>97</v>
      </c>
      <c r="O1479" s="12" t="s">
        <v>98</v>
      </c>
      <c r="P1479" s="12" t="s">
        <v>72</v>
      </c>
      <c r="Q1479" s="13">
        <v>45236</v>
      </c>
      <c r="R1479" s="13">
        <v>45272</v>
      </c>
      <c r="S1479">
        <v>2023</v>
      </c>
      <c r="T1479" s="12" t="s">
        <v>2132</v>
      </c>
      <c r="U1479">
        <v>1774</v>
      </c>
      <c r="V1479">
        <v>43.709699999999998</v>
      </c>
      <c r="W1479">
        <v>1680.88</v>
      </c>
      <c r="X1479">
        <v>0</v>
      </c>
      <c r="Y1479">
        <v>0</v>
      </c>
      <c r="Z1479">
        <v>77541.009999999995</v>
      </c>
      <c r="AA1479">
        <v>79221.89</v>
      </c>
      <c r="AB1479" s="12" t="s">
        <v>980</v>
      </c>
      <c r="AC1479">
        <v>43.709699999999998</v>
      </c>
      <c r="AD1479">
        <v>1</v>
      </c>
      <c r="AE1479">
        <v>1</v>
      </c>
      <c r="AF1479">
        <v>0</v>
      </c>
      <c r="AG1479">
        <v>77541.009999999995</v>
      </c>
      <c r="AH1479">
        <v>1774</v>
      </c>
      <c r="AI1479">
        <v>1764</v>
      </c>
      <c r="AJ1479">
        <v>10</v>
      </c>
      <c r="AK1479">
        <v>1</v>
      </c>
      <c r="AL1479">
        <v>1</v>
      </c>
      <c r="AM1479">
        <v>99.44</v>
      </c>
      <c r="AN1479">
        <v>44.910400000000003</v>
      </c>
      <c r="AO1479">
        <v>437.1</v>
      </c>
      <c r="AP1479" s="13">
        <v>45269</v>
      </c>
      <c r="AQ1479">
        <v>-3</v>
      </c>
      <c r="AR1479">
        <v>1</v>
      </c>
    </row>
    <row r="1480" spans="1:44" x14ac:dyDescent="0.35">
      <c r="A1480" s="12" t="s">
        <v>2169</v>
      </c>
      <c r="B1480" s="12" t="s">
        <v>941</v>
      </c>
      <c r="C1480" s="12" t="s">
        <v>942</v>
      </c>
      <c r="D1480" s="12" t="s">
        <v>130</v>
      </c>
      <c r="E1480" s="12" t="s">
        <v>104</v>
      </c>
      <c r="F1480">
        <v>2</v>
      </c>
      <c r="G1480">
        <v>0</v>
      </c>
      <c r="H1480">
        <v>0</v>
      </c>
      <c r="I1480" s="12" t="s">
        <v>131</v>
      </c>
      <c r="J1480" s="12" t="s">
        <v>132</v>
      </c>
      <c r="K1480" s="12" t="s">
        <v>133</v>
      </c>
      <c r="L1480" s="12" t="s">
        <v>134</v>
      </c>
      <c r="M1480">
        <v>1.51</v>
      </c>
      <c r="N1480" s="12" t="s">
        <v>135</v>
      </c>
      <c r="O1480" s="12" t="s">
        <v>136</v>
      </c>
      <c r="P1480" s="12" t="s">
        <v>137</v>
      </c>
      <c r="Q1480" s="13">
        <v>45236</v>
      </c>
      <c r="R1480" s="13">
        <v>45254</v>
      </c>
      <c r="S1480">
        <v>2023</v>
      </c>
      <c r="T1480" s="12" t="s">
        <v>2132</v>
      </c>
      <c r="U1480">
        <v>61</v>
      </c>
      <c r="V1480">
        <v>990.29020000000003</v>
      </c>
      <c r="W1480">
        <v>867.3</v>
      </c>
      <c r="X1480">
        <v>0</v>
      </c>
      <c r="Y1480">
        <v>0</v>
      </c>
      <c r="Z1480">
        <v>60407.7</v>
      </c>
      <c r="AA1480">
        <v>61275</v>
      </c>
      <c r="AB1480" s="12" t="s">
        <v>943</v>
      </c>
      <c r="AC1480">
        <v>990.29020000000003</v>
      </c>
      <c r="AD1480">
        <v>1</v>
      </c>
      <c r="AE1480">
        <v>1</v>
      </c>
      <c r="AF1480">
        <v>0</v>
      </c>
      <c r="AG1480">
        <v>60407.7</v>
      </c>
      <c r="AH1480">
        <v>61</v>
      </c>
      <c r="AI1480">
        <v>56</v>
      </c>
      <c r="AJ1480">
        <v>5</v>
      </c>
      <c r="AK1480">
        <v>1</v>
      </c>
      <c r="AL1480">
        <v>1</v>
      </c>
      <c r="AM1480">
        <v>91.8</v>
      </c>
      <c r="AN1480">
        <v>1094.1965</v>
      </c>
      <c r="AO1480">
        <v>4951.45</v>
      </c>
      <c r="AP1480" s="13">
        <v>45262</v>
      </c>
      <c r="AQ1480">
        <v>8</v>
      </c>
      <c r="AR1480">
        <v>0</v>
      </c>
    </row>
    <row r="1481" spans="1:44" x14ac:dyDescent="0.35">
      <c r="A1481" s="12" t="s">
        <v>2170</v>
      </c>
      <c r="B1481" s="12" t="s">
        <v>740</v>
      </c>
      <c r="C1481" s="12" t="s">
        <v>741</v>
      </c>
      <c r="D1481" s="12" t="s">
        <v>64</v>
      </c>
      <c r="E1481" s="12" t="s">
        <v>104</v>
      </c>
      <c r="F1481">
        <v>2</v>
      </c>
      <c r="G1481">
        <v>0</v>
      </c>
      <c r="H1481">
        <v>0</v>
      </c>
      <c r="I1481" s="12" t="s">
        <v>183</v>
      </c>
      <c r="J1481" s="12" t="s">
        <v>184</v>
      </c>
      <c r="K1481" s="12" t="s">
        <v>133</v>
      </c>
      <c r="L1481" s="12" t="s">
        <v>82</v>
      </c>
      <c r="M1481">
        <v>8.6199999999999992</v>
      </c>
      <c r="N1481" s="12" t="s">
        <v>97</v>
      </c>
      <c r="O1481" s="12" t="s">
        <v>98</v>
      </c>
      <c r="P1481" s="12" t="s">
        <v>72</v>
      </c>
      <c r="Q1481" s="13">
        <v>45236</v>
      </c>
      <c r="R1481" s="13">
        <v>45262</v>
      </c>
      <c r="S1481">
        <v>2023</v>
      </c>
      <c r="T1481" s="12" t="s">
        <v>2132</v>
      </c>
      <c r="U1481">
        <v>806</v>
      </c>
      <c r="V1481">
        <v>41.2042</v>
      </c>
      <c r="W1481">
        <v>644.52</v>
      </c>
      <c r="X1481">
        <v>0</v>
      </c>
      <c r="Y1481">
        <v>0</v>
      </c>
      <c r="Z1481">
        <v>33210.589999999997</v>
      </c>
      <c r="AA1481">
        <v>33855.11</v>
      </c>
      <c r="AB1481" s="12" t="s">
        <v>742</v>
      </c>
      <c r="AC1481">
        <v>41.2042</v>
      </c>
      <c r="AD1481">
        <v>1</v>
      </c>
      <c r="AE1481">
        <v>1</v>
      </c>
      <c r="AF1481">
        <v>0</v>
      </c>
      <c r="AG1481">
        <v>33210.589999999997</v>
      </c>
      <c r="AH1481">
        <v>806</v>
      </c>
      <c r="AI1481">
        <v>803</v>
      </c>
      <c r="AJ1481">
        <v>3</v>
      </c>
      <c r="AK1481">
        <v>1</v>
      </c>
      <c r="AL1481">
        <v>1</v>
      </c>
      <c r="AM1481">
        <v>99.63</v>
      </c>
      <c r="AN1481">
        <v>42.160800000000002</v>
      </c>
      <c r="AO1481">
        <v>123.61</v>
      </c>
      <c r="AP1481" s="13">
        <v>45263</v>
      </c>
      <c r="AQ1481">
        <v>1</v>
      </c>
      <c r="AR1481">
        <v>0</v>
      </c>
    </row>
    <row r="1482" spans="1:44" x14ac:dyDescent="0.35">
      <c r="A1482" s="12" t="s">
        <v>2171</v>
      </c>
      <c r="B1482" s="12" t="s">
        <v>494</v>
      </c>
      <c r="C1482" s="12" t="s">
        <v>495</v>
      </c>
      <c r="D1482" s="12" t="s">
        <v>175</v>
      </c>
      <c r="E1482" s="12" t="s">
        <v>65</v>
      </c>
      <c r="F1482">
        <v>2</v>
      </c>
      <c r="G1482">
        <v>3</v>
      </c>
      <c r="H1482">
        <v>0</v>
      </c>
      <c r="I1482" s="12" t="s">
        <v>515</v>
      </c>
      <c r="J1482" s="12" t="s">
        <v>516</v>
      </c>
      <c r="K1482" s="12" t="s">
        <v>68</v>
      </c>
      <c r="L1482" s="12" t="s">
        <v>134</v>
      </c>
      <c r="M1482">
        <v>3.69</v>
      </c>
      <c r="N1482" s="12" t="s">
        <v>107</v>
      </c>
      <c r="O1482" s="12" t="s">
        <v>108</v>
      </c>
      <c r="P1482" s="12" t="s">
        <v>109</v>
      </c>
      <c r="Q1482" s="13">
        <v>45236</v>
      </c>
      <c r="R1482" s="13">
        <v>45261</v>
      </c>
      <c r="S1482">
        <v>2023</v>
      </c>
      <c r="T1482" s="12" t="s">
        <v>2132</v>
      </c>
      <c r="U1482">
        <v>47</v>
      </c>
      <c r="V1482">
        <v>161.94200000000001</v>
      </c>
      <c r="W1482">
        <v>83.29</v>
      </c>
      <c r="X1482">
        <v>0</v>
      </c>
      <c r="Y1482">
        <v>0</v>
      </c>
      <c r="Z1482">
        <v>7611.27</v>
      </c>
      <c r="AA1482">
        <v>7694.56</v>
      </c>
      <c r="AB1482" s="12" t="s">
        <v>982</v>
      </c>
      <c r="AC1482">
        <v>161.94200000000001</v>
      </c>
      <c r="AD1482">
        <v>1</v>
      </c>
      <c r="AE1482">
        <v>1</v>
      </c>
      <c r="AF1482">
        <v>0</v>
      </c>
      <c r="AG1482">
        <v>7611.27</v>
      </c>
      <c r="AH1482">
        <v>47</v>
      </c>
      <c r="AI1482">
        <v>46</v>
      </c>
      <c r="AJ1482">
        <v>1</v>
      </c>
      <c r="AK1482">
        <v>1</v>
      </c>
      <c r="AL1482">
        <v>1</v>
      </c>
      <c r="AM1482">
        <v>97.87</v>
      </c>
      <c r="AN1482">
        <v>167.2731</v>
      </c>
      <c r="AO1482">
        <v>161.94</v>
      </c>
      <c r="AP1482" s="13">
        <v>45261</v>
      </c>
      <c r="AQ1482">
        <v>0</v>
      </c>
      <c r="AR1482">
        <v>1</v>
      </c>
    </row>
    <row r="1483" spans="1:44" x14ac:dyDescent="0.35">
      <c r="A1483" s="12" t="s">
        <v>2172</v>
      </c>
      <c r="B1483" s="12" t="s">
        <v>327</v>
      </c>
      <c r="C1483" s="12" t="s">
        <v>328</v>
      </c>
      <c r="D1483" s="12" t="s">
        <v>130</v>
      </c>
      <c r="E1483" s="12" t="s">
        <v>104</v>
      </c>
      <c r="F1483">
        <v>2</v>
      </c>
      <c r="G1483">
        <v>0</v>
      </c>
      <c r="H1483">
        <v>0</v>
      </c>
      <c r="I1483" s="12" t="s">
        <v>123</v>
      </c>
      <c r="J1483" s="12" t="s">
        <v>124</v>
      </c>
      <c r="K1483" s="12" t="s">
        <v>125</v>
      </c>
      <c r="L1483" s="12" t="s">
        <v>82</v>
      </c>
      <c r="M1483">
        <v>6.75</v>
      </c>
      <c r="N1483" s="12" t="s">
        <v>159</v>
      </c>
      <c r="O1483" s="12" t="s">
        <v>160</v>
      </c>
      <c r="P1483" s="12" t="s">
        <v>137</v>
      </c>
      <c r="Q1483" s="13">
        <v>45237</v>
      </c>
      <c r="R1483" s="13">
        <v>45258</v>
      </c>
      <c r="S1483">
        <v>2023</v>
      </c>
      <c r="T1483" s="12" t="s">
        <v>2132</v>
      </c>
      <c r="U1483">
        <v>83</v>
      </c>
      <c r="V1483">
        <v>762.93029999999999</v>
      </c>
      <c r="W1483">
        <v>502.15</v>
      </c>
      <c r="X1483">
        <v>0</v>
      </c>
      <c r="Y1483">
        <v>0</v>
      </c>
      <c r="Z1483">
        <v>63323.21</v>
      </c>
      <c r="AA1483">
        <v>63825.36</v>
      </c>
      <c r="AB1483" s="12" t="s">
        <v>388</v>
      </c>
      <c r="AC1483">
        <v>762.93029999999999</v>
      </c>
      <c r="AD1483">
        <v>1</v>
      </c>
      <c r="AE1483">
        <v>1</v>
      </c>
      <c r="AF1483">
        <v>0</v>
      </c>
      <c r="AG1483">
        <v>63323.21</v>
      </c>
      <c r="AH1483">
        <v>83</v>
      </c>
      <c r="AI1483">
        <v>82</v>
      </c>
      <c r="AJ1483">
        <v>1</v>
      </c>
      <c r="AK1483">
        <v>1</v>
      </c>
      <c r="AL1483">
        <v>1</v>
      </c>
      <c r="AM1483">
        <v>98.8</v>
      </c>
      <c r="AN1483">
        <v>778.35810000000004</v>
      </c>
      <c r="AO1483">
        <v>762.93</v>
      </c>
      <c r="AP1483" s="13">
        <v>45260</v>
      </c>
      <c r="AQ1483">
        <v>2</v>
      </c>
      <c r="AR1483">
        <v>0</v>
      </c>
    </row>
    <row r="1484" spans="1:44" x14ac:dyDescent="0.35">
      <c r="A1484" s="12" t="s">
        <v>2173</v>
      </c>
      <c r="B1484" s="12" t="s">
        <v>513</v>
      </c>
      <c r="C1484" s="12" t="s">
        <v>514</v>
      </c>
      <c r="D1484" s="12" t="s">
        <v>269</v>
      </c>
      <c r="E1484" s="12" t="s">
        <v>65</v>
      </c>
      <c r="F1484">
        <v>1</v>
      </c>
      <c r="G1484">
        <v>2</v>
      </c>
      <c r="H1484">
        <v>1</v>
      </c>
      <c r="I1484" s="12" t="s">
        <v>515</v>
      </c>
      <c r="J1484" s="12" t="s">
        <v>516</v>
      </c>
      <c r="K1484" s="12" t="s">
        <v>68</v>
      </c>
      <c r="L1484" s="12" t="s">
        <v>134</v>
      </c>
      <c r="M1484">
        <v>3.69</v>
      </c>
      <c r="N1484" s="12" t="s">
        <v>159</v>
      </c>
      <c r="O1484" s="12" t="s">
        <v>160</v>
      </c>
      <c r="P1484" s="12" t="s">
        <v>137</v>
      </c>
      <c r="Q1484" s="13">
        <v>45237</v>
      </c>
      <c r="R1484" s="13">
        <v>45269</v>
      </c>
      <c r="S1484">
        <v>2023</v>
      </c>
      <c r="T1484" s="12" t="s">
        <v>2132</v>
      </c>
      <c r="U1484">
        <v>97</v>
      </c>
      <c r="V1484">
        <v>229.3486</v>
      </c>
      <c r="W1484">
        <v>381.89</v>
      </c>
      <c r="X1484">
        <v>0</v>
      </c>
      <c r="Y1484">
        <v>0</v>
      </c>
      <c r="Z1484">
        <v>22246.81</v>
      </c>
      <c r="AA1484">
        <v>22628.7</v>
      </c>
      <c r="AB1484" s="12" t="s">
        <v>517</v>
      </c>
      <c r="AC1484">
        <v>229.3486</v>
      </c>
      <c r="AD1484">
        <v>1</v>
      </c>
      <c r="AE1484">
        <v>1</v>
      </c>
      <c r="AF1484">
        <v>0</v>
      </c>
      <c r="AG1484">
        <v>22246.81</v>
      </c>
      <c r="AH1484">
        <v>97</v>
      </c>
      <c r="AI1484">
        <v>96</v>
      </c>
      <c r="AJ1484">
        <v>1</v>
      </c>
      <c r="AK1484">
        <v>1</v>
      </c>
      <c r="AL1484">
        <v>1</v>
      </c>
      <c r="AM1484">
        <v>98.97</v>
      </c>
      <c r="AN1484">
        <v>235.7157</v>
      </c>
      <c r="AO1484">
        <v>229.35</v>
      </c>
      <c r="AP1484" s="13">
        <v>45266</v>
      </c>
      <c r="AQ1484">
        <v>-3</v>
      </c>
      <c r="AR1484">
        <v>1</v>
      </c>
    </row>
    <row r="1485" spans="1:44" x14ac:dyDescent="0.35">
      <c r="A1485" s="12" t="s">
        <v>2174</v>
      </c>
      <c r="B1485" s="12" t="s">
        <v>408</v>
      </c>
      <c r="C1485" s="12" t="s">
        <v>409</v>
      </c>
      <c r="D1485" s="12" t="s">
        <v>130</v>
      </c>
      <c r="E1485" s="12" t="s">
        <v>65</v>
      </c>
      <c r="F1485">
        <v>3</v>
      </c>
      <c r="G1485">
        <v>5</v>
      </c>
      <c r="H1485">
        <v>0</v>
      </c>
      <c r="I1485" s="12" t="s">
        <v>105</v>
      </c>
      <c r="J1485" s="12" t="s">
        <v>106</v>
      </c>
      <c r="K1485" s="12" t="s">
        <v>81</v>
      </c>
      <c r="L1485" s="12" t="s">
        <v>96</v>
      </c>
      <c r="M1485">
        <v>5.01</v>
      </c>
      <c r="N1485" s="12" t="s">
        <v>135</v>
      </c>
      <c r="O1485" s="12" t="s">
        <v>136</v>
      </c>
      <c r="P1485" s="12" t="s">
        <v>137</v>
      </c>
      <c r="Q1485" s="13">
        <v>45237</v>
      </c>
      <c r="R1485" s="13">
        <v>45270</v>
      </c>
      <c r="S1485">
        <v>2023</v>
      </c>
      <c r="T1485" s="12" t="s">
        <v>2132</v>
      </c>
      <c r="U1485">
        <v>109</v>
      </c>
      <c r="V1485">
        <v>770.47230000000002</v>
      </c>
      <c r="W1485">
        <v>868.57</v>
      </c>
      <c r="X1485">
        <v>0</v>
      </c>
      <c r="Y1485">
        <v>0</v>
      </c>
      <c r="Z1485">
        <v>83981.48</v>
      </c>
      <c r="AA1485">
        <v>84850.05</v>
      </c>
      <c r="AB1485" s="12" t="s">
        <v>410</v>
      </c>
      <c r="AC1485">
        <v>770.47230000000002</v>
      </c>
      <c r="AD1485">
        <v>1</v>
      </c>
      <c r="AE1485">
        <v>1</v>
      </c>
      <c r="AF1485">
        <v>0</v>
      </c>
      <c r="AG1485">
        <v>83981.48</v>
      </c>
      <c r="AH1485">
        <v>109</v>
      </c>
      <c r="AI1485">
        <v>108</v>
      </c>
      <c r="AJ1485">
        <v>1</v>
      </c>
      <c r="AK1485">
        <v>1</v>
      </c>
      <c r="AL1485">
        <v>1</v>
      </c>
      <c r="AM1485">
        <v>99.08</v>
      </c>
      <c r="AN1485">
        <v>785.64859999999999</v>
      </c>
      <c r="AO1485">
        <v>770.47</v>
      </c>
      <c r="AP1485" s="13">
        <v>45267</v>
      </c>
      <c r="AQ1485">
        <v>-3</v>
      </c>
      <c r="AR1485">
        <v>1</v>
      </c>
    </row>
    <row r="1486" spans="1:44" x14ac:dyDescent="0.35">
      <c r="A1486" s="12" t="s">
        <v>2175</v>
      </c>
      <c r="B1486" s="12" t="s">
        <v>909</v>
      </c>
      <c r="C1486" s="12" t="s">
        <v>910</v>
      </c>
      <c r="D1486" s="12" t="s">
        <v>269</v>
      </c>
      <c r="E1486" s="12" t="s">
        <v>65</v>
      </c>
      <c r="F1486">
        <v>3</v>
      </c>
      <c r="G1486">
        <v>4</v>
      </c>
      <c r="H1486">
        <v>0</v>
      </c>
      <c r="I1486" s="12" t="s">
        <v>811</v>
      </c>
      <c r="J1486" s="12" t="s">
        <v>812</v>
      </c>
      <c r="K1486" s="12" t="s">
        <v>117</v>
      </c>
      <c r="L1486" s="12" t="s">
        <v>69</v>
      </c>
      <c r="M1486">
        <v>26.4</v>
      </c>
      <c r="N1486" s="12" t="s">
        <v>159</v>
      </c>
      <c r="O1486" s="12" t="s">
        <v>160</v>
      </c>
      <c r="P1486" s="12" t="s">
        <v>137</v>
      </c>
      <c r="Q1486" s="13">
        <v>45237</v>
      </c>
      <c r="R1486" s="13">
        <v>45261</v>
      </c>
      <c r="S1486">
        <v>2023</v>
      </c>
      <c r="T1486" s="12" t="s">
        <v>2132</v>
      </c>
      <c r="U1486">
        <v>40</v>
      </c>
      <c r="V1486">
        <v>108.32040000000001</v>
      </c>
      <c r="W1486">
        <v>30.36</v>
      </c>
      <c r="X1486">
        <v>0</v>
      </c>
      <c r="Y1486">
        <v>0</v>
      </c>
      <c r="Z1486">
        <v>4332.82</v>
      </c>
      <c r="AA1486">
        <v>4363.18</v>
      </c>
      <c r="AB1486" s="12" t="s">
        <v>921</v>
      </c>
      <c r="AC1486">
        <v>108.32040000000001</v>
      </c>
      <c r="AD1486">
        <v>1</v>
      </c>
      <c r="AE1486">
        <v>1</v>
      </c>
      <c r="AF1486">
        <v>0</v>
      </c>
      <c r="AG1486">
        <v>4332.82</v>
      </c>
      <c r="AH1486">
        <v>40</v>
      </c>
      <c r="AI1486">
        <v>40</v>
      </c>
      <c r="AJ1486">
        <v>0</v>
      </c>
      <c r="AK1486">
        <v>1</v>
      </c>
      <c r="AL1486">
        <v>1</v>
      </c>
      <c r="AM1486">
        <v>100</v>
      </c>
      <c r="AN1486">
        <v>109.07940000000001</v>
      </c>
      <c r="AO1486">
        <v>0</v>
      </c>
      <c r="AP1486" s="13">
        <v>45259</v>
      </c>
      <c r="AQ1486">
        <v>-2</v>
      </c>
      <c r="AR1486">
        <v>1</v>
      </c>
    </row>
    <row r="1487" spans="1:44" x14ac:dyDescent="0.35">
      <c r="A1487" s="12" t="s">
        <v>2176</v>
      </c>
      <c r="B1487" s="12" t="s">
        <v>1075</v>
      </c>
      <c r="C1487" s="12" t="s">
        <v>1076</v>
      </c>
      <c r="D1487" s="12" t="s">
        <v>103</v>
      </c>
      <c r="E1487" s="12" t="s">
        <v>65</v>
      </c>
      <c r="F1487">
        <v>2</v>
      </c>
      <c r="G1487">
        <v>4</v>
      </c>
      <c r="H1487">
        <v>0</v>
      </c>
      <c r="I1487" s="12" t="s">
        <v>183</v>
      </c>
      <c r="J1487" s="12" t="s">
        <v>184</v>
      </c>
      <c r="K1487" s="12" t="s">
        <v>133</v>
      </c>
      <c r="L1487" s="12" t="s">
        <v>82</v>
      </c>
      <c r="M1487">
        <v>8.6199999999999992</v>
      </c>
      <c r="N1487" s="12" t="s">
        <v>107</v>
      </c>
      <c r="O1487" s="12" t="s">
        <v>108</v>
      </c>
      <c r="P1487" s="12" t="s">
        <v>109</v>
      </c>
      <c r="Q1487" s="13">
        <v>45237</v>
      </c>
      <c r="R1487" s="13">
        <v>45272</v>
      </c>
      <c r="S1487">
        <v>2023</v>
      </c>
      <c r="T1487" s="12" t="s">
        <v>2132</v>
      </c>
      <c r="U1487">
        <v>124</v>
      </c>
      <c r="V1487">
        <v>68.470200000000006</v>
      </c>
      <c r="W1487">
        <v>139.38999999999999</v>
      </c>
      <c r="X1487">
        <v>0</v>
      </c>
      <c r="Y1487">
        <v>0</v>
      </c>
      <c r="Z1487">
        <v>8490.2999999999993</v>
      </c>
      <c r="AA1487">
        <v>8629.69</v>
      </c>
      <c r="AB1487" s="12" t="s">
        <v>1163</v>
      </c>
      <c r="AC1487">
        <v>68.470200000000006</v>
      </c>
      <c r="AD1487">
        <v>1</v>
      </c>
      <c r="AE1487">
        <v>1</v>
      </c>
      <c r="AF1487">
        <v>0</v>
      </c>
      <c r="AG1487">
        <v>8490.2999999999993</v>
      </c>
      <c r="AH1487">
        <v>124</v>
      </c>
      <c r="AI1487">
        <v>123</v>
      </c>
      <c r="AJ1487">
        <v>1</v>
      </c>
      <c r="AK1487">
        <v>1</v>
      </c>
      <c r="AL1487">
        <v>1</v>
      </c>
      <c r="AM1487">
        <v>99.19</v>
      </c>
      <c r="AN1487">
        <v>70.1601</v>
      </c>
      <c r="AO1487">
        <v>68.47</v>
      </c>
      <c r="AP1487" s="13">
        <v>45269</v>
      </c>
      <c r="AQ1487">
        <v>-3</v>
      </c>
      <c r="AR1487">
        <v>1</v>
      </c>
    </row>
    <row r="1488" spans="1:44" x14ac:dyDescent="0.35">
      <c r="A1488" s="12" t="s">
        <v>2177</v>
      </c>
      <c r="B1488" s="12" t="s">
        <v>952</v>
      </c>
      <c r="C1488" s="12" t="s">
        <v>953</v>
      </c>
      <c r="D1488" s="12" t="s">
        <v>64</v>
      </c>
      <c r="E1488" s="12" t="s">
        <v>142</v>
      </c>
      <c r="F1488">
        <v>1</v>
      </c>
      <c r="G1488">
        <v>8</v>
      </c>
      <c r="H1488">
        <v>1</v>
      </c>
      <c r="I1488" s="12" t="s">
        <v>131</v>
      </c>
      <c r="J1488" s="12" t="s">
        <v>132</v>
      </c>
      <c r="K1488" s="12" t="s">
        <v>133</v>
      </c>
      <c r="L1488" s="12" t="s">
        <v>134</v>
      </c>
      <c r="M1488">
        <v>1.51</v>
      </c>
      <c r="N1488" s="12" t="s">
        <v>97</v>
      </c>
      <c r="O1488" s="12" t="s">
        <v>98</v>
      </c>
      <c r="P1488" s="12" t="s">
        <v>72</v>
      </c>
      <c r="Q1488" s="13">
        <v>45237</v>
      </c>
      <c r="R1488" s="13">
        <v>45272</v>
      </c>
      <c r="S1488">
        <v>2023</v>
      </c>
      <c r="T1488" s="12" t="s">
        <v>2132</v>
      </c>
      <c r="U1488">
        <v>138</v>
      </c>
      <c r="V1488">
        <v>29.326599999999999</v>
      </c>
      <c r="W1488">
        <v>28.3</v>
      </c>
      <c r="X1488">
        <v>0</v>
      </c>
      <c r="Y1488">
        <v>0</v>
      </c>
      <c r="Z1488">
        <v>4047.07</v>
      </c>
      <c r="AA1488">
        <v>4075.37</v>
      </c>
      <c r="AB1488" s="12" t="s">
        <v>954</v>
      </c>
      <c r="AC1488">
        <v>31.146599999999999</v>
      </c>
      <c r="AD1488">
        <v>1</v>
      </c>
      <c r="AE1488">
        <v>1</v>
      </c>
      <c r="AF1488">
        <v>-251.16</v>
      </c>
      <c r="AG1488">
        <v>4298.2299999999996</v>
      </c>
      <c r="AH1488">
        <v>138</v>
      </c>
      <c r="AI1488">
        <v>136</v>
      </c>
      <c r="AJ1488">
        <v>2</v>
      </c>
      <c r="AK1488">
        <v>1</v>
      </c>
      <c r="AL1488">
        <v>1</v>
      </c>
      <c r="AM1488">
        <v>98.55</v>
      </c>
      <c r="AN1488">
        <v>29.966000000000001</v>
      </c>
      <c r="AO1488">
        <v>58.65</v>
      </c>
      <c r="AP1488" s="13">
        <v>45271</v>
      </c>
      <c r="AQ1488">
        <v>-1</v>
      </c>
      <c r="AR1488">
        <v>1</v>
      </c>
    </row>
    <row r="1489" spans="1:44" x14ac:dyDescent="0.35">
      <c r="A1489" s="12" t="s">
        <v>2178</v>
      </c>
      <c r="B1489" s="12" t="s">
        <v>509</v>
      </c>
      <c r="C1489" s="12" t="s">
        <v>510</v>
      </c>
      <c r="D1489" s="12" t="s">
        <v>78</v>
      </c>
      <c r="E1489" s="12" t="s">
        <v>142</v>
      </c>
      <c r="F1489">
        <v>3</v>
      </c>
      <c r="G1489">
        <v>11</v>
      </c>
      <c r="H1489">
        <v>0</v>
      </c>
      <c r="I1489" s="12" t="s">
        <v>251</v>
      </c>
      <c r="J1489" s="12" t="s">
        <v>252</v>
      </c>
      <c r="K1489" s="12" t="s">
        <v>133</v>
      </c>
      <c r="L1489" s="12" t="s">
        <v>69</v>
      </c>
      <c r="M1489">
        <v>34.49</v>
      </c>
      <c r="N1489" s="12" t="s">
        <v>97</v>
      </c>
      <c r="O1489" s="12" t="s">
        <v>98</v>
      </c>
      <c r="P1489" s="12" t="s">
        <v>72</v>
      </c>
      <c r="Q1489" s="13">
        <v>45237</v>
      </c>
      <c r="R1489" s="13">
        <v>45284</v>
      </c>
      <c r="S1489">
        <v>2023</v>
      </c>
      <c r="T1489" s="12" t="s">
        <v>2132</v>
      </c>
      <c r="U1489">
        <v>217</v>
      </c>
      <c r="V1489">
        <v>161.76650000000001</v>
      </c>
      <c r="W1489">
        <v>277.85000000000002</v>
      </c>
      <c r="X1489">
        <v>0</v>
      </c>
      <c r="Y1489">
        <v>0</v>
      </c>
      <c r="Z1489">
        <v>35103.33</v>
      </c>
      <c r="AA1489">
        <v>35381.18</v>
      </c>
      <c r="AB1489" s="12" t="s">
        <v>201</v>
      </c>
      <c r="AD1489">
        <v>0</v>
      </c>
      <c r="AE1489">
        <v>0</v>
      </c>
      <c r="AH1489">
        <v>217</v>
      </c>
      <c r="AI1489">
        <v>214</v>
      </c>
      <c r="AJ1489">
        <v>3</v>
      </c>
      <c r="AK1489">
        <v>1</v>
      </c>
      <c r="AL1489">
        <v>1</v>
      </c>
      <c r="AM1489">
        <v>98.62</v>
      </c>
      <c r="AN1489">
        <v>165.33260000000001</v>
      </c>
      <c r="AO1489">
        <v>485.3</v>
      </c>
      <c r="AP1489" s="13">
        <v>45281</v>
      </c>
      <c r="AQ1489">
        <v>-3</v>
      </c>
      <c r="AR1489">
        <v>1</v>
      </c>
    </row>
    <row r="1490" spans="1:44" x14ac:dyDescent="0.35">
      <c r="A1490" s="12" t="s">
        <v>2179</v>
      </c>
      <c r="B1490" s="12" t="s">
        <v>433</v>
      </c>
      <c r="C1490" s="12" t="s">
        <v>434</v>
      </c>
      <c r="D1490" s="12" t="s">
        <v>78</v>
      </c>
      <c r="E1490" s="12" t="s">
        <v>65</v>
      </c>
      <c r="F1490">
        <v>2</v>
      </c>
      <c r="G1490">
        <v>4</v>
      </c>
      <c r="H1490">
        <v>0</v>
      </c>
      <c r="I1490" s="12" t="s">
        <v>105</v>
      </c>
      <c r="J1490" s="12" t="s">
        <v>106</v>
      </c>
      <c r="K1490" s="12" t="s">
        <v>81</v>
      </c>
      <c r="L1490" s="12" t="s">
        <v>96</v>
      </c>
      <c r="M1490">
        <v>5.01</v>
      </c>
      <c r="N1490" s="12" t="s">
        <v>97</v>
      </c>
      <c r="O1490" s="12" t="s">
        <v>98</v>
      </c>
      <c r="P1490" s="12" t="s">
        <v>72</v>
      </c>
      <c r="Q1490" s="13">
        <v>45237</v>
      </c>
      <c r="R1490" s="13">
        <v>45270</v>
      </c>
      <c r="S1490">
        <v>2023</v>
      </c>
      <c r="T1490" s="12" t="s">
        <v>2132</v>
      </c>
      <c r="U1490">
        <v>222</v>
      </c>
      <c r="V1490">
        <v>76.331100000000006</v>
      </c>
      <c r="W1490">
        <v>319.77999999999997</v>
      </c>
      <c r="X1490">
        <v>0</v>
      </c>
      <c r="Y1490">
        <v>0</v>
      </c>
      <c r="Z1490">
        <v>16945.5</v>
      </c>
      <c r="AA1490">
        <v>17265.28</v>
      </c>
      <c r="AB1490" s="12" t="s">
        <v>463</v>
      </c>
      <c r="AC1490">
        <v>76.331100000000006</v>
      </c>
      <c r="AD1490">
        <v>1</v>
      </c>
      <c r="AE1490">
        <v>1</v>
      </c>
      <c r="AF1490">
        <v>0</v>
      </c>
      <c r="AG1490">
        <v>16945.5</v>
      </c>
      <c r="AH1490">
        <v>222</v>
      </c>
      <c r="AI1490">
        <v>221</v>
      </c>
      <c r="AJ1490">
        <v>1</v>
      </c>
      <c r="AK1490">
        <v>1</v>
      </c>
      <c r="AL1490">
        <v>1</v>
      </c>
      <c r="AM1490">
        <v>99.55</v>
      </c>
      <c r="AN1490">
        <v>78.123500000000007</v>
      </c>
      <c r="AO1490">
        <v>76.33</v>
      </c>
      <c r="AP1490" s="13">
        <v>45268</v>
      </c>
      <c r="AQ1490">
        <v>-2</v>
      </c>
      <c r="AR1490">
        <v>1</v>
      </c>
    </row>
    <row r="1491" spans="1:44" x14ac:dyDescent="0.35">
      <c r="A1491" s="12" t="s">
        <v>2180</v>
      </c>
      <c r="B1491" s="12" t="s">
        <v>544</v>
      </c>
      <c r="C1491" s="12" t="s">
        <v>545</v>
      </c>
      <c r="D1491" s="12" t="s">
        <v>175</v>
      </c>
      <c r="E1491" s="12" t="s">
        <v>65</v>
      </c>
      <c r="F1491">
        <v>3</v>
      </c>
      <c r="G1491">
        <v>5</v>
      </c>
      <c r="H1491">
        <v>0</v>
      </c>
      <c r="I1491" s="12" t="s">
        <v>66</v>
      </c>
      <c r="J1491" s="12" t="s">
        <v>67</v>
      </c>
      <c r="K1491" s="12" t="s">
        <v>68</v>
      </c>
      <c r="L1491" s="12" t="s">
        <v>69</v>
      </c>
      <c r="M1491">
        <v>17.66</v>
      </c>
      <c r="N1491" s="12" t="s">
        <v>145</v>
      </c>
      <c r="O1491" s="12" t="s">
        <v>146</v>
      </c>
      <c r="P1491" s="12" t="s">
        <v>109</v>
      </c>
      <c r="Q1491" s="13">
        <v>45238</v>
      </c>
      <c r="R1491" s="13">
        <v>45262</v>
      </c>
      <c r="S1491">
        <v>2023</v>
      </c>
      <c r="T1491" s="12" t="s">
        <v>2132</v>
      </c>
      <c r="U1491">
        <v>41</v>
      </c>
      <c r="V1491">
        <v>155.36940000000001</v>
      </c>
      <c r="W1491">
        <v>151.85</v>
      </c>
      <c r="X1491">
        <v>0</v>
      </c>
      <c r="Y1491">
        <v>0</v>
      </c>
      <c r="Z1491">
        <v>6370.15</v>
      </c>
      <c r="AA1491">
        <v>6522</v>
      </c>
      <c r="AB1491" s="12" t="s">
        <v>546</v>
      </c>
      <c r="AC1491">
        <v>155.36940000000001</v>
      </c>
      <c r="AD1491">
        <v>1</v>
      </c>
      <c r="AE1491">
        <v>1</v>
      </c>
      <c r="AF1491">
        <v>0</v>
      </c>
      <c r="AG1491">
        <v>6370.15</v>
      </c>
      <c r="AH1491">
        <v>41</v>
      </c>
      <c r="AI1491">
        <v>41</v>
      </c>
      <c r="AJ1491">
        <v>0</v>
      </c>
      <c r="AK1491">
        <v>1</v>
      </c>
      <c r="AL1491">
        <v>1</v>
      </c>
      <c r="AM1491">
        <v>100</v>
      </c>
      <c r="AN1491">
        <v>159.07310000000001</v>
      </c>
      <c r="AO1491">
        <v>0</v>
      </c>
      <c r="AP1491" s="13">
        <v>45259</v>
      </c>
      <c r="AQ1491">
        <v>-3</v>
      </c>
      <c r="AR1491">
        <v>1</v>
      </c>
    </row>
    <row r="1492" spans="1:44" x14ac:dyDescent="0.35">
      <c r="A1492" s="12" t="s">
        <v>2181</v>
      </c>
      <c r="B1492" s="12" t="s">
        <v>76</v>
      </c>
      <c r="C1492" s="12" t="s">
        <v>77</v>
      </c>
      <c r="D1492" s="12" t="s">
        <v>78</v>
      </c>
      <c r="E1492" s="12" t="s">
        <v>65</v>
      </c>
      <c r="F1492">
        <v>2</v>
      </c>
      <c r="G1492">
        <v>4</v>
      </c>
      <c r="H1492">
        <v>0</v>
      </c>
      <c r="I1492" s="12" t="s">
        <v>151</v>
      </c>
      <c r="J1492" s="12" t="s">
        <v>152</v>
      </c>
      <c r="K1492" s="12" t="s">
        <v>125</v>
      </c>
      <c r="L1492" s="12" t="s">
        <v>69</v>
      </c>
      <c r="M1492">
        <v>36.479999999999997</v>
      </c>
      <c r="N1492" s="12" t="s">
        <v>97</v>
      </c>
      <c r="O1492" s="12" t="s">
        <v>98</v>
      </c>
      <c r="P1492" s="12" t="s">
        <v>72</v>
      </c>
      <c r="Q1492" s="13">
        <v>45238</v>
      </c>
      <c r="R1492" s="13">
        <v>45261</v>
      </c>
      <c r="S1492">
        <v>2023</v>
      </c>
      <c r="T1492" s="12" t="s">
        <v>2132</v>
      </c>
      <c r="U1492">
        <v>76</v>
      </c>
      <c r="V1492">
        <v>45.991</v>
      </c>
      <c r="W1492">
        <v>65.599999999999994</v>
      </c>
      <c r="X1492">
        <v>0</v>
      </c>
      <c r="Y1492">
        <v>0</v>
      </c>
      <c r="Z1492">
        <v>3495.32</v>
      </c>
      <c r="AA1492">
        <v>3560.92</v>
      </c>
      <c r="AB1492" s="12" t="s">
        <v>1267</v>
      </c>
      <c r="AC1492">
        <v>45.991</v>
      </c>
      <c r="AD1492">
        <v>1</v>
      </c>
      <c r="AE1492">
        <v>1</v>
      </c>
      <c r="AF1492">
        <v>0</v>
      </c>
      <c r="AG1492">
        <v>3495.32</v>
      </c>
      <c r="AH1492">
        <v>76</v>
      </c>
      <c r="AI1492">
        <v>76</v>
      </c>
      <c r="AJ1492">
        <v>0</v>
      </c>
      <c r="AK1492">
        <v>1</v>
      </c>
      <c r="AL1492">
        <v>1</v>
      </c>
      <c r="AM1492">
        <v>100</v>
      </c>
      <c r="AN1492">
        <v>46.854199999999999</v>
      </c>
      <c r="AO1492">
        <v>0</v>
      </c>
      <c r="AP1492" s="13">
        <v>45261</v>
      </c>
      <c r="AQ1492">
        <v>0</v>
      </c>
      <c r="AR1492">
        <v>1</v>
      </c>
    </row>
    <row r="1493" spans="1:44" x14ac:dyDescent="0.35">
      <c r="A1493" s="12" t="s">
        <v>2182</v>
      </c>
      <c r="B1493" s="12" t="s">
        <v>308</v>
      </c>
      <c r="C1493" s="12" t="s">
        <v>309</v>
      </c>
      <c r="D1493" s="12" t="s">
        <v>122</v>
      </c>
      <c r="E1493" s="12" t="s">
        <v>142</v>
      </c>
      <c r="F1493">
        <v>1</v>
      </c>
      <c r="G1493">
        <v>6</v>
      </c>
      <c r="H1493">
        <v>1</v>
      </c>
      <c r="I1493" s="12" t="s">
        <v>310</v>
      </c>
      <c r="J1493" s="12" t="s">
        <v>311</v>
      </c>
      <c r="K1493" s="12" t="s">
        <v>81</v>
      </c>
      <c r="L1493" s="12" t="s">
        <v>69</v>
      </c>
      <c r="M1493">
        <v>28.3</v>
      </c>
      <c r="N1493" s="12" t="s">
        <v>70</v>
      </c>
      <c r="O1493" s="12" t="s">
        <v>71</v>
      </c>
      <c r="P1493" s="12" t="s">
        <v>72</v>
      </c>
      <c r="Q1493" s="13">
        <v>45238</v>
      </c>
      <c r="R1493" s="13">
        <v>45276</v>
      </c>
      <c r="S1493">
        <v>2023</v>
      </c>
      <c r="T1493" s="12" t="s">
        <v>2132</v>
      </c>
      <c r="U1493">
        <v>521</v>
      </c>
      <c r="V1493">
        <v>59.409700000000001</v>
      </c>
      <c r="W1493">
        <v>694.38</v>
      </c>
      <c r="X1493">
        <v>0</v>
      </c>
      <c r="Y1493">
        <v>0</v>
      </c>
      <c r="Z1493">
        <v>30952.45</v>
      </c>
      <c r="AA1493">
        <v>31646.83</v>
      </c>
      <c r="AB1493" s="12" t="s">
        <v>312</v>
      </c>
      <c r="AC1493">
        <v>59.409700000000001</v>
      </c>
      <c r="AD1493">
        <v>1</v>
      </c>
      <c r="AE1493">
        <v>1</v>
      </c>
      <c r="AF1493">
        <v>0</v>
      </c>
      <c r="AG1493">
        <v>30952.45</v>
      </c>
      <c r="AH1493">
        <v>521</v>
      </c>
      <c r="AI1493">
        <v>516</v>
      </c>
      <c r="AJ1493">
        <v>5</v>
      </c>
      <c r="AK1493">
        <v>1</v>
      </c>
      <c r="AL1493">
        <v>1</v>
      </c>
      <c r="AM1493">
        <v>99.04</v>
      </c>
      <c r="AN1493">
        <v>61.331099999999999</v>
      </c>
      <c r="AO1493">
        <v>297.05</v>
      </c>
      <c r="AP1493" s="13">
        <v>45276</v>
      </c>
      <c r="AQ1493">
        <v>0</v>
      </c>
      <c r="AR1493">
        <v>1</v>
      </c>
    </row>
    <row r="1494" spans="1:44" x14ac:dyDescent="0.35">
      <c r="A1494" s="12" t="s">
        <v>2183</v>
      </c>
      <c r="B1494" s="12" t="s">
        <v>621</v>
      </c>
      <c r="C1494" s="12" t="s">
        <v>622</v>
      </c>
      <c r="D1494" s="12" t="s">
        <v>103</v>
      </c>
      <c r="E1494" s="12" t="s">
        <v>65</v>
      </c>
      <c r="F1494">
        <v>1</v>
      </c>
      <c r="G1494">
        <v>2</v>
      </c>
      <c r="H1494">
        <v>1</v>
      </c>
      <c r="I1494" s="12" t="s">
        <v>486</v>
      </c>
      <c r="J1494" s="12" t="s">
        <v>487</v>
      </c>
      <c r="K1494" s="12" t="s">
        <v>125</v>
      </c>
      <c r="L1494" s="12" t="s">
        <v>69</v>
      </c>
      <c r="M1494">
        <v>36.86</v>
      </c>
      <c r="N1494" s="12" t="s">
        <v>107</v>
      </c>
      <c r="O1494" s="12" t="s">
        <v>108</v>
      </c>
      <c r="P1494" s="12" t="s">
        <v>109</v>
      </c>
      <c r="Q1494" s="13">
        <v>45238</v>
      </c>
      <c r="R1494" s="13">
        <v>45269</v>
      </c>
      <c r="S1494">
        <v>2023</v>
      </c>
      <c r="T1494" s="12" t="s">
        <v>2132</v>
      </c>
      <c r="U1494">
        <v>89</v>
      </c>
      <c r="V1494">
        <v>201.42019999999999</v>
      </c>
      <c r="W1494">
        <v>190.28</v>
      </c>
      <c r="X1494">
        <v>0</v>
      </c>
      <c r="Y1494">
        <v>0</v>
      </c>
      <c r="Z1494">
        <v>17926.400000000001</v>
      </c>
      <c r="AA1494">
        <v>18116.68</v>
      </c>
      <c r="AB1494" s="12" t="s">
        <v>623</v>
      </c>
      <c r="AC1494">
        <v>201.42019999999999</v>
      </c>
      <c r="AD1494">
        <v>1</v>
      </c>
      <c r="AE1494">
        <v>1</v>
      </c>
      <c r="AF1494">
        <v>0</v>
      </c>
      <c r="AG1494">
        <v>17926.400000000001</v>
      </c>
      <c r="AH1494">
        <v>89</v>
      </c>
      <c r="AI1494">
        <v>88</v>
      </c>
      <c r="AJ1494">
        <v>1</v>
      </c>
      <c r="AK1494">
        <v>1</v>
      </c>
      <c r="AL1494">
        <v>1</v>
      </c>
      <c r="AM1494">
        <v>98.88</v>
      </c>
      <c r="AN1494">
        <v>205.87129999999999</v>
      </c>
      <c r="AO1494">
        <v>201.42</v>
      </c>
      <c r="AP1494" s="13">
        <v>45267</v>
      </c>
      <c r="AQ1494">
        <v>-2</v>
      </c>
      <c r="AR1494">
        <v>1</v>
      </c>
    </row>
    <row r="1495" spans="1:44" x14ac:dyDescent="0.35">
      <c r="A1495" s="12" t="s">
        <v>2184</v>
      </c>
      <c r="B1495" s="12" t="s">
        <v>128</v>
      </c>
      <c r="C1495" s="12" t="s">
        <v>129</v>
      </c>
      <c r="D1495" s="12" t="s">
        <v>130</v>
      </c>
      <c r="E1495" s="12" t="s">
        <v>65</v>
      </c>
      <c r="F1495">
        <v>3</v>
      </c>
      <c r="G1495">
        <v>5</v>
      </c>
      <c r="H1495">
        <v>0</v>
      </c>
      <c r="I1495" s="12" t="s">
        <v>131</v>
      </c>
      <c r="J1495" s="12" t="s">
        <v>132</v>
      </c>
      <c r="K1495" s="12" t="s">
        <v>133</v>
      </c>
      <c r="L1495" s="12" t="s">
        <v>134</v>
      </c>
      <c r="M1495">
        <v>1.51</v>
      </c>
      <c r="N1495" s="12" t="s">
        <v>159</v>
      </c>
      <c r="O1495" s="12" t="s">
        <v>160</v>
      </c>
      <c r="P1495" s="12" t="s">
        <v>137</v>
      </c>
      <c r="Q1495" s="13">
        <v>45238</v>
      </c>
      <c r="R1495" s="13">
        <v>45274</v>
      </c>
      <c r="S1495">
        <v>2023</v>
      </c>
      <c r="T1495" s="12" t="s">
        <v>2132</v>
      </c>
      <c r="U1495">
        <v>130</v>
      </c>
      <c r="V1495">
        <v>501.92320000000001</v>
      </c>
      <c r="W1495">
        <v>1619.29</v>
      </c>
      <c r="X1495">
        <v>0</v>
      </c>
      <c r="Y1495">
        <v>0</v>
      </c>
      <c r="Z1495">
        <v>65250.02</v>
      </c>
      <c r="AA1495">
        <v>66869.31</v>
      </c>
      <c r="AB1495" s="12" t="s">
        <v>138</v>
      </c>
      <c r="AC1495">
        <v>501.92320000000001</v>
      </c>
      <c r="AD1495">
        <v>1</v>
      </c>
      <c r="AE1495">
        <v>1</v>
      </c>
      <c r="AF1495">
        <v>0</v>
      </c>
      <c r="AG1495">
        <v>65250.02</v>
      </c>
      <c r="AH1495">
        <v>130</v>
      </c>
      <c r="AI1495">
        <v>121</v>
      </c>
      <c r="AJ1495">
        <v>9</v>
      </c>
      <c r="AK1495">
        <v>1</v>
      </c>
      <c r="AL1495">
        <v>1</v>
      </c>
      <c r="AM1495">
        <v>93.08</v>
      </c>
      <c r="AN1495">
        <v>552.63890000000004</v>
      </c>
      <c r="AO1495">
        <v>4517.3100000000004</v>
      </c>
      <c r="AP1495" s="13">
        <v>45274</v>
      </c>
      <c r="AQ1495">
        <v>0</v>
      </c>
      <c r="AR1495">
        <v>1</v>
      </c>
    </row>
    <row r="1496" spans="1:44" x14ac:dyDescent="0.35">
      <c r="A1496" s="12" t="s">
        <v>2185</v>
      </c>
      <c r="B1496" s="12" t="s">
        <v>221</v>
      </c>
      <c r="C1496" s="12" t="s">
        <v>222</v>
      </c>
      <c r="D1496" s="12" t="s">
        <v>114</v>
      </c>
      <c r="E1496" s="12" t="s">
        <v>142</v>
      </c>
      <c r="F1496">
        <v>3</v>
      </c>
      <c r="G1496">
        <v>11</v>
      </c>
      <c r="H1496">
        <v>0</v>
      </c>
      <c r="I1496" s="12" t="s">
        <v>105</v>
      </c>
      <c r="J1496" s="12" t="s">
        <v>106</v>
      </c>
      <c r="K1496" s="12" t="s">
        <v>81</v>
      </c>
      <c r="L1496" s="12" t="s">
        <v>96</v>
      </c>
      <c r="M1496">
        <v>5.01</v>
      </c>
      <c r="N1496" s="12" t="s">
        <v>70</v>
      </c>
      <c r="O1496" s="12" t="s">
        <v>71</v>
      </c>
      <c r="P1496" s="12" t="s">
        <v>72</v>
      </c>
      <c r="Q1496" s="13">
        <v>45238</v>
      </c>
      <c r="R1496" s="13">
        <v>45281</v>
      </c>
      <c r="S1496">
        <v>2023</v>
      </c>
      <c r="T1496" s="12" t="s">
        <v>2132</v>
      </c>
      <c r="U1496">
        <v>79</v>
      </c>
      <c r="V1496">
        <v>239.12739999999999</v>
      </c>
      <c r="W1496">
        <v>134.59</v>
      </c>
      <c r="X1496">
        <v>0</v>
      </c>
      <c r="Y1496">
        <v>0</v>
      </c>
      <c r="Z1496">
        <v>18891.060000000001</v>
      </c>
      <c r="AA1496">
        <v>19025.650000000001</v>
      </c>
      <c r="AB1496" s="12" t="s">
        <v>1239</v>
      </c>
      <c r="AC1496">
        <v>239.12739999999999</v>
      </c>
      <c r="AD1496">
        <v>1</v>
      </c>
      <c r="AE1496">
        <v>1</v>
      </c>
      <c r="AF1496">
        <v>0</v>
      </c>
      <c r="AG1496">
        <v>18891.060000000001</v>
      </c>
      <c r="AH1496">
        <v>79</v>
      </c>
      <c r="AI1496">
        <v>77</v>
      </c>
      <c r="AJ1496">
        <v>2</v>
      </c>
      <c r="AK1496">
        <v>1</v>
      </c>
      <c r="AL1496">
        <v>1</v>
      </c>
      <c r="AM1496">
        <v>97.47</v>
      </c>
      <c r="AN1496">
        <v>247.0864</v>
      </c>
      <c r="AO1496">
        <v>478.25</v>
      </c>
      <c r="AP1496" s="13">
        <v>45281</v>
      </c>
      <c r="AQ1496">
        <v>0</v>
      </c>
      <c r="AR1496">
        <v>1</v>
      </c>
    </row>
    <row r="1497" spans="1:44" x14ac:dyDescent="0.35">
      <c r="A1497" s="12" t="s">
        <v>2186</v>
      </c>
      <c r="B1497" s="12" t="s">
        <v>323</v>
      </c>
      <c r="C1497" s="12" t="s">
        <v>324</v>
      </c>
      <c r="D1497" s="12" t="s">
        <v>64</v>
      </c>
      <c r="E1497" s="12" t="s">
        <v>142</v>
      </c>
      <c r="F1497">
        <v>1</v>
      </c>
      <c r="G1497">
        <v>7</v>
      </c>
      <c r="H1497">
        <v>1</v>
      </c>
      <c r="I1497" s="12" t="s">
        <v>143</v>
      </c>
      <c r="J1497" s="12" t="s">
        <v>144</v>
      </c>
      <c r="K1497" s="12" t="s">
        <v>133</v>
      </c>
      <c r="L1497" s="12" t="s">
        <v>96</v>
      </c>
      <c r="M1497">
        <v>5.43</v>
      </c>
      <c r="N1497" s="12" t="s">
        <v>70</v>
      </c>
      <c r="O1497" s="12" t="s">
        <v>71</v>
      </c>
      <c r="P1497" s="12" t="s">
        <v>72</v>
      </c>
      <c r="Q1497" s="13">
        <v>45238</v>
      </c>
      <c r="R1497" s="13">
        <v>45281</v>
      </c>
      <c r="S1497">
        <v>2023</v>
      </c>
      <c r="T1497" s="12" t="s">
        <v>2132</v>
      </c>
      <c r="U1497">
        <v>511</v>
      </c>
      <c r="V1497">
        <v>39.503399999999999</v>
      </c>
      <c r="W1497">
        <v>347.56</v>
      </c>
      <c r="X1497">
        <v>0</v>
      </c>
      <c r="Y1497">
        <v>0</v>
      </c>
      <c r="Z1497">
        <v>20186.240000000002</v>
      </c>
      <c r="AA1497">
        <v>20533.8</v>
      </c>
      <c r="AB1497" s="12" t="s">
        <v>325</v>
      </c>
      <c r="AC1497">
        <v>39.503399999999999</v>
      </c>
      <c r="AD1497">
        <v>1</v>
      </c>
      <c r="AE1497">
        <v>1</v>
      </c>
      <c r="AF1497">
        <v>0</v>
      </c>
      <c r="AG1497">
        <v>20186.240000000002</v>
      </c>
      <c r="AH1497">
        <v>511</v>
      </c>
      <c r="AI1497">
        <v>510</v>
      </c>
      <c r="AJ1497">
        <v>1</v>
      </c>
      <c r="AK1497">
        <v>1</v>
      </c>
      <c r="AL1497">
        <v>1</v>
      </c>
      <c r="AM1497">
        <v>99.8</v>
      </c>
      <c r="AN1497">
        <v>40.262300000000003</v>
      </c>
      <c r="AO1497">
        <v>39.5</v>
      </c>
      <c r="AP1497" s="13">
        <v>45280</v>
      </c>
      <c r="AQ1497">
        <v>-1</v>
      </c>
      <c r="AR1497">
        <v>1</v>
      </c>
    </row>
    <row r="1498" spans="1:44" x14ac:dyDescent="0.35">
      <c r="A1498" s="12" t="s">
        <v>2187</v>
      </c>
      <c r="B1498" s="12" t="s">
        <v>561</v>
      </c>
      <c r="C1498" s="12" t="s">
        <v>562</v>
      </c>
      <c r="D1498" s="12" t="s">
        <v>130</v>
      </c>
      <c r="E1498" s="12" t="s">
        <v>142</v>
      </c>
      <c r="F1498">
        <v>1</v>
      </c>
      <c r="G1498">
        <v>9</v>
      </c>
      <c r="H1498">
        <v>1</v>
      </c>
      <c r="I1498" s="12" t="s">
        <v>223</v>
      </c>
      <c r="J1498" s="12" t="s">
        <v>224</v>
      </c>
      <c r="K1498" s="12" t="s">
        <v>81</v>
      </c>
      <c r="L1498" s="12" t="s">
        <v>134</v>
      </c>
      <c r="M1498">
        <v>2.4900000000000002</v>
      </c>
      <c r="N1498" s="12" t="s">
        <v>135</v>
      </c>
      <c r="O1498" s="12" t="s">
        <v>136</v>
      </c>
      <c r="P1498" s="12" t="s">
        <v>137</v>
      </c>
      <c r="Q1498" s="13">
        <v>45238</v>
      </c>
      <c r="R1498" s="13">
        <v>45278</v>
      </c>
      <c r="S1498">
        <v>2023</v>
      </c>
      <c r="T1498" s="12" t="s">
        <v>2132</v>
      </c>
      <c r="U1498">
        <v>51</v>
      </c>
      <c r="V1498">
        <v>603.56020000000001</v>
      </c>
      <c r="W1498">
        <v>517.66</v>
      </c>
      <c r="X1498">
        <v>0</v>
      </c>
      <c r="Y1498">
        <v>0</v>
      </c>
      <c r="Z1498">
        <v>30781.57</v>
      </c>
      <c r="AA1498">
        <v>31299.23</v>
      </c>
      <c r="AB1498" s="12" t="s">
        <v>563</v>
      </c>
      <c r="AC1498">
        <v>603.56020000000001</v>
      </c>
      <c r="AD1498">
        <v>1</v>
      </c>
      <c r="AE1498">
        <v>1</v>
      </c>
      <c r="AF1498">
        <v>0</v>
      </c>
      <c r="AG1498">
        <v>30781.57</v>
      </c>
      <c r="AH1498">
        <v>51</v>
      </c>
      <c r="AI1498">
        <v>50</v>
      </c>
      <c r="AJ1498">
        <v>1</v>
      </c>
      <c r="AK1498">
        <v>1</v>
      </c>
      <c r="AL1498">
        <v>1</v>
      </c>
      <c r="AM1498">
        <v>98.04</v>
      </c>
      <c r="AN1498">
        <v>625.9846</v>
      </c>
      <c r="AO1498">
        <v>603.55999999999995</v>
      </c>
      <c r="AP1498" s="13">
        <v>45276</v>
      </c>
      <c r="AQ1498">
        <v>-2</v>
      </c>
      <c r="AR1498">
        <v>1</v>
      </c>
    </row>
    <row r="1499" spans="1:44" x14ac:dyDescent="0.35">
      <c r="A1499" s="12" t="s">
        <v>2188</v>
      </c>
      <c r="B1499" s="12" t="s">
        <v>674</v>
      </c>
      <c r="C1499" s="12" t="s">
        <v>675</v>
      </c>
      <c r="D1499" s="12" t="s">
        <v>269</v>
      </c>
      <c r="E1499" s="12" t="s">
        <v>142</v>
      </c>
      <c r="F1499">
        <v>1</v>
      </c>
      <c r="G1499">
        <v>7</v>
      </c>
      <c r="H1499">
        <v>1</v>
      </c>
      <c r="I1499" s="12" t="s">
        <v>676</v>
      </c>
      <c r="J1499" s="12" t="s">
        <v>677</v>
      </c>
      <c r="K1499" s="12" t="s">
        <v>68</v>
      </c>
      <c r="L1499" s="12" t="s">
        <v>96</v>
      </c>
      <c r="M1499">
        <v>3.57</v>
      </c>
      <c r="N1499" s="12" t="s">
        <v>135</v>
      </c>
      <c r="O1499" s="12" t="s">
        <v>136</v>
      </c>
      <c r="P1499" s="12" t="s">
        <v>137</v>
      </c>
      <c r="Q1499" s="13">
        <v>45239</v>
      </c>
      <c r="R1499" s="13">
        <v>45284</v>
      </c>
      <c r="S1499">
        <v>2023</v>
      </c>
      <c r="T1499" s="12" t="s">
        <v>2132</v>
      </c>
      <c r="U1499">
        <v>91</v>
      </c>
      <c r="V1499">
        <v>355.32960000000003</v>
      </c>
      <c r="W1499">
        <v>713.36</v>
      </c>
      <c r="X1499">
        <v>1043.71</v>
      </c>
      <c r="Y1499">
        <v>1</v>
      </c>
      <c r="Z1499">
        <v>32334.99</v>
      </c>
      <c r="AA1499">
        <v>34092.06</v>
      </c>
      <c r="AB1499" s="12" t="s">
        <v>678</v>
      </c>
      <c r="AC1499">
        <v>355.32960000000003</v>
      </c>
      <c r="AD1499">
        <v>1</v>
      </c>
      <c r="AE1499">
        <v>1</v>
      </c>
      <c r="AF1499">
        <v>0</v>
      </c>
      <c r="AG1499">
        <v>32334.99</v>
      </c>
      <c r="AH1499">
        <v>91</v>
      </c>
      <c r="AI1499">
        <v>91</v>
      </c>
      <c r="AJ1499">
        <v>0</v>
      </c>
      <c r="AK1499">
        <v>1</v>
      </c>
      <c r="AL1499">
        <v>1</v>
      </c>
      <c r="AM1499">
        <v>100</v>
      </c>
      <c r="AN1499">
        <v>374.63810000000001</v>
      </c>
      <c r="AO1499">
        <v>0</v>
      </c>
      <c r="AP1499" s="13">
        <v>45280</v>
      </c>
      <c r="AQ1499">
        <v>-4</v>
      </c>
      <c r="AR1499">
        <v>1</v>
      </c>
    </row>
    <row r="1500" spans="1:44" x14ac:dyDescent="0.35">
      <c r="A1500" s="12" t="s">
        <v>2189</v>
      </c>
      <c r="B1500" s="12" t="s">
        <v>317</v>
      </c>
      <c r="C1500" s="12" t="s">
        <v>318</v>
      </c>
      <c r="D1500" s="12" t="s">
        <v>64</v>
      </c>
      <c r="E1500" s="12" t="s">
        <v>104</v>
      </c>
      <c r="F1500">
        <v>2</v>
      </c>
      <c r="G1500">
        <v>0</v>
      </c>
      <c r="H1500">
        <v>0</v>
      </c>
      <c r="I1500" s="12" t="s">
        <v>169</v>
      </c>
      <c r="J1500" s="12" t="s">
        <v>170</v>
      </c>
      <c r="K1500" s="12" t="s">
        <v>89</v>
      </c>
      <c r="L1500" s="12" t="s">
        <v>134</v>
      </c>
      <c r="M1500">
        <v>1.37</v>
      </c>
      <c r="N1500" s="12" t="s">
        <v>70</v>
      </c>
      <c r="O1500" s="12" t="s">
        <v>71</v>
      </c>
      <c r="P1500" s="12" t="s">
        <v>72</v>
      </c>
      <c r="Q1500" s="13">
        <v>45239</v>
      </c>
      <c r="R1500" s="13">
        <v>45268</v>
      </c>
      <c r="S1500">
        <v>2023</v>
      </c>
      <c r="T1500" s="12" t="s">
        <v>2132</v>
      </c>
      <c r="U1500">
        <v>950</v>
      </c>
      <c r="V1500">
        <v>15.848100000000001</v>
      </c>
      <c r="W1500">
        <v>119.28</v>
      </c>
      <c r="X1500">
        <v>0</v>
      </c>
      <c r="Y1500">
        <v>0</v>
      </c>
      <c r="Z1500">
        <v>15055.7</v>
      </c>
      <c r="AA1500">
        <v>15174.98</v>
      </c>
      <c r="AB1500" s="12" t="s">
        <v>319</v>
      </c>
      <c r="AC1500">
        <v>15.848100000000001</v>
      </c>
      <c r="AD1500">
        <v>1</v>
      </c>
      <c r="AE1500">
        <v>1</v>
      </c>
      <c r="AF1500">
        <v>0</v>
      </c>
      <c r="AG1500">
        <v>15055.7</v>
      </c>
      <c r="AH1500">
        <v>950</v>
      </c>
      <c r="AI1500">
        <v>940</v>
      </c>
      <c r="AJ1500">
        <v>10</v>
      </c>
      <c r="AK1500">
        <v>1</v>
      </c>
      <c r="AL1500">
        <v>1</v>
      </c>
      <c r="AM1500">
        <v>98.95</v>
      </c>
      <c r="AN1500">
        <v>16.143599999999999</v>
      </c>
      <c r="AO1500">
        <v>158.47999999999999</v>
      </c>
      <c r="AP1500" s="13">
        <v>45269</v>
      </c>
      <c r="AQ1500">
        <v>1</v>
      </c>
      <c r="AR1500">
        <v>0</v>
      </c>
    </row>
    <row r="1501" spans="1:44" x14ac:dyDescent="0.35">
      <c r="A1501" s="12" t="s">
        <v>2190</v>
      </c>
      <c r="B1501" s="12" t="s">
        <v>766</v>
      </c>
      <c r="C1501" s="12" t="s">
        <v>767</v>
      </c>
      <c r="D1501" s="12" t="s">
        <v>175</v>
      </c>
      <c r="E1501" s="12" t="s">
        <v>65</v>
      </c>
      <c r="F1501">
        <v>3</v>
      </c>
      <c r="G1501">
        <v>5</v>
      </c>
      <c r="H1501">
        <v>0</v>
      </c>
      <c r="I1501" s="12" t="s">
        <v>87</v>
      </c>
      <c r="J1501" s="12" t="s">
        <v>88</v>
      </c>
      <c r="K1501" s="12" t="s">
        <v>89</v>
      </c>
      <c r="L1501" s="12" t="s">
        <v>69</v>
      </c>
      <c r="M1501">
        <v>14.93</v>
      </c>
      <c r="N1501" s="12" t="s">
        <v>145</v>
      </c>
      <c r="O1501" s="12" t="s">
        <v>146</v>
      </c>
      <c r="P1501" s="12" t="s">
        <v>109</v>
      </c>
      <c r="Q1501" s="13">
        <v>45239</v>
      </c>
      <c r="R1501" s="13">
        <v>45263</v>
      </c>
      <c r="S1501">
        <v>2023</v>
      </c>
      <c r="T1501" s="12" t="s">
        <v>2132</v>
      </c>
      <c r="U1501">
        <v>39</v>
      </c>
      <c r="V1501">
        <v>81.965500000000006</v>
      </c>
      <c r="W1501">
        <v>66.430000000000007</v>
      </c>
      <c r="X1501">
        <v>0</v>
      </c>
      <c r="Y1501">
        <v>0</v>
      </c>
      <c r="Z1501">
        <v>3196.65</v>
      </c>
      <c r="AA1501">
        <v>3263.08</v>
      </c>
      <c r="AB1501" s="12" t="s">
        <v>768</v>
      </c>
      <c r="AC1501">
        <v>86.977900000000005</v>
      </c>
      <c r="AD1501">
        <v>1</v>
      </c>
      <c r="AE1501">
        <v>1</v>
      </c>
      <c r="AF1501">
        <v>-195.48</v>
      </c>
      <c r="AG1501">
        <v>3392.14</v>
      </c>
      <c r="AH1501">
        <v>39</v>
      </c>
      <c r="AI1501">
        <v>39</v>
      </c>
      <c r="AJ1501">
        <v>0</v>
      </c>
      <c r="AK1501">
        <v>1</v>
      </c>
      <c r="AL1501">
        <v>1</v>
      </c>
      <c r="AM1501">
        <v>100</v>
      </c>
      <c r="AN1501">
        <v>83.668800000000005</v>
      </c>
      <c r="AO1501">
        <v>0</v>
      </c>
      <c r="AP1501" s="13">
        <v>45263</v>
      </c>
      <c r="AQ1501">
        <v>0</v>
      </c>
      <c r="AR1501">
        <v>1</v>
      </c>
    </row>
    <row r="1502" spans="1:44" x14ac:dyDescent="0.35">
      <c r="A1502" s="12" t="s">
        <v>2191</v>
      </c>
      <c r="B1502" s="12" t="s">
        <v>1108</v>
      </c>
      <c r="C1502" s="12" t="s">
        <v>1109</v>
      </c>
      <c r="D1502" s="12" t="s">
        <v>103</v>
      </c>
      <c r="E1502" s="12" t="s">
        <v>65</v>
      </c>
      <c r="F1502">
        <v>3</v>
      </c>
      <c r="G1502">
        <v>4</v>
      </c>
      <c r="H1502">
        <v>0</v>
      </c>
      <c r="I1502" s="12" t="s">
        <v>79</v>
      </c>
      <c r="J1502" s="12" t="s">
        <v>80</v>
      </c>
      <c r="K1502" s="12" t="s">
        <v>81</v>
      </c>
      <c r="L1502" s="12" t="s">
        <v>82</v>
      </c>
      <c r="M1502">
        <v>12.07</v>
      </c>
      <c r="N1502" s="12" t="s">
        <v>107</v>
      </c>
      <c r="O1502" s="12" t="s">
        <v>108</v>
      </c>
      <c r="P1502" s="12" t="s">
        <v>109</v>
      </c>
      <c r="Q1502" s="13">
        <v>45239</v>
      </c>
      <c r="R1502" s="13">
        <v>45260</v>
      </c>
      <c r="S1502">
        <v>2023</v>
      </c>
      <c r="T1502" s="12" t="s">
        <v>2132</v>
      </c>
      <c r="U1502">
        <v>10</v>
      </c>
      <c r="V1502">
        <v>86.615200000000002</v>
      </c>
      <c r="W1502">
        <v>22.17</v>
      </c>
      <c r="X1502">
        <v>0</v>
      </c>
      <c r="Y1502">
        <v>0</v>
      </c>
      <c r="Z1502">
        <v>866.15</v>
      </c>
      <c r="AA1502">
        <v>888.32</v>
      </c>
      <c r="AB1502" s="12" t="s">
        <v>1634</v>
      </c>
      <c r="AC1502">
        <v>86.615200000000002</v>
      </c>
      <c r="AD1502">
        <v>1</v>
      </c>
      <c r="AE1502">
        <v>1</v>
      </c>
      <c r="AF1502">
        <v>0</v>
      </c>
      <c r="AG1502">
        <v>866.15</v>
      </c>
      <c r="AH1502">
        <v>10</v>
      </c>
      <c r="AI1502">
        <v>10</v>
      </c>
      <c r="AJ1502">
        <v>0</v>
      </c>
      <c r="AK1502">
        <v>1</v>
      </c>
      <c r="AL1502">
        <v>1</v>
      </c>
      <c r="AM1502">
        <v>100</v>
      </c>
      <c r="AN1502">
        <v>88.8322</v>
      </c>
      <c r="AO1502">
        <v>0</v>
      </c>
      <c r="AP1502" s="13">
        <v>45258</v>
      </c>
      <c r="AQ1502">
        <v>-2</v>
      </c>
      <c r="AR1502">
        <v>1</v>
      </c>
    </row>
    <row r="1503" spans="1:44" x14ac:dyDescent="0.35">
      <c r="A1503" s="12" t="s">
        <v>2192</v>
      </c>
      <c r="B1503" s="12" t="s">
        <v>513</v>
      </c>
      <c r="C1503" s="12" t="s">
        <v>514</v>
      </c>
      <c r="D1503" s="12" t="s">
        <v>269</v>
      </c>
      <c r="E1503" s="12" t="s">
        <v>65</v>
      </c>
      <c r="F1503">
        <v>1</v>
      </c>
      <c r="G1503">
        <v>2</v>
      </c>
      <c r="H1503">
        <v>1</v>
      </c>
      <c r="I1503" s="12" t="s">
        <v>515</v>
      </c>
      <c r="J1503" s="12" t="s">
        <v>516</v>
      </c>
      <c r="K1503" s="12" t="s">
        <v>68</v>
      </c>
      <c r="L1503" s="12" t="s">
        <v>134</v>
      </c>
      <c r="M1503">
        <v>3.69</v>
      </c>
      <c r="N1503" s="12" t="s">
        <v>159</v>
      </c>
      <c r="O1503" s="12" t="s">
        <v>160</v>
      </c>
      <c r="P1503" s="12" t="s">
        <v>137</v>
      </c>
      <c r="Q1503" s="13">
        <v>45239</v>
      </c>
      <c r="R1503" s="13">
        <v>45267</v>
      </c>
      <c r="S1503">
        <v>2023</v>
      </c>
      <c r="T1503" s="12" t="s">
        <v>2132</v>
      </c>
      <c r="U1503">
        <v>65</v>
      </c>
      <c r="V1503">
        <v>229.3486</v>
      </c>
      <c r="W1503">
        <v>194.76</v>
      </c>
      <c r="X1503">
        <v>0</v>
      </c>
      <c r="Y1503">
        <v>0</v>
      </c>
      <c r="Z1503">
        <v>14907.66</v>
      </c>
      <c r="AA1503">
        <v>15102.42</v>
      </c>
      <c r="AB1503" s="12" t="s">
        <v>517</v>
      </c>
      <c r="AC1503">
        <v>229.3486</v>
      </c>
      <c r="AD1503">
        <v>1</v>
      </c>
      <c r="AE1503">
        <v>1</v>
      </c>
      <c r="AF1503">
        <v>0</v>
      </c>
      <c r="AG1503">
        <v>14907.66</v>
      </c>
      <c r="AH1503">
        <v>65</v>
      </c>
      <c r="AI1503">
        <v>65</v>
      </c>
      <c r="AJ1503">
        <v>0</v>
      </c>
      <c r="AK1503">
        <v>1</v>
      </c>
      <c r="AL1503">
        <v>1</v>
      </c>
      <c r="AM1503">
        <v>100</v>
      </c>
      <c r="AN1503">
        <v>232.3449</v>
      </c>
      <c r="AO1503">
        <v>0</v>
      </c>
      <c r="AP1503" s="13">
        <v>45266</v>
      </c>
      <c r="AQ1503">
        <v>-1</v>
      </c>
      <c r="AR1503">
        <v>1</v>
      </c>
    </row>
    <row r="1504" spans="1:44" x14ac:dyDescent="0.35">
      <c r="A1504" s="12" t="s">
        <v>2193</v>
      </c>
      <c r="B1504" s="12" t="s">
        <v>399</v>
      </c>
      <c r="C1504" s="12" t="s">
        <v>400</v>
      </c>
      <c r="D1504" s="12" t="s">
        <v>114</v>
      </c>
      <c r="E1504" s="12" t="s">
        <v>65</v>
      </c>
      <c r="F1504">
        <v>1</v>
      </c>
      <c r="G1504">
        <v>2</v>
      </c>
      <c r="H1504">
        <v>1</v>
      </c>
      <c r="I1504" s="12" t="s">
        <v>151</v>
      </c>
      <c r="J1504" s="12" t="s">
        <v>152</v>
      </c>
      <c r="K1504" s="12" t="s">
        <v>125</v>
      </c>
      <c r="L1504" s="12" t="s">
        <v>69</v>
      </c>
      <c r="M1504">
        <v>36.479999999999997</v>
      </c>
      <c r="N1504" s="12" t="s">
        <v>97</v>
      </c>
      <c r="O1504" s="12" t="s">
        <v>98</v>
      </c>
      <c r="P1504" s="12" t="s">
        <v>72</v>
      </c>
      <c r="Q1504" s="13">
        <v>45239</v>
      </c>
      <c r="R1504" s="13">
        <v>45260</v>
      </c>
      <c r="S1504">
        <v>2023</v>
      </c>
      <c r="T1504" s="12" t="s">
        <v>2132</v>
      </c>
      <c r="U1504">
        <v>15</v>
      </c>
      <c r="V1504">
        <v>279.12979999999999</v>
      </c>
      <c r="W1504">
        <v>41.43</v>
      </c>
      <c r="X1504">
        <v>0</v>
      </c>
      <c r="Y1504">
        <v>0</v>
      </c>
      <c r="Z1504">
        <v>4186.95</v>
      </c>
      <c r="AA1504">
        <v>4228.38</v>
      </c>
      <c r="AB1504" s="12" t="s">
        <v>401</v>
      </c>
      <c r="AC1504">
        <v>296.81490000000002</v>
      </c>
      <c r="AD1504">
        <v>1</v>
      </c>
      <c r="AE1504">
        <v>1</v>
      </c>
      <c r="AF1504">
        <v>-265.27999999999997</v>
      </c>
      <c r="AG1504">
        <v>4452.22</v>
      </c>
      <c r="AH1504">
        <v>15</v>
      </c>
      <c r="AI1504">
        <v>15</v>
      </c>
      <c r="AJ1504">
        <v>0</v>
      </c>
      <c r="AK1504">
        <v>1</v>
      </c>
      <c r="AL1504">
        <v>1</v>
      </c>
      <c r="AM1504">
        <v>100</v>
      </c>
      <c r="AN1504">
        <v>281.89179999999999</v>
      </c>
      <c r="AO1504">
        <v>0</v>
      </c>
      <c r="AP1504" s="13">
        <v>45259</v>
      </c>
      <c r="AQ1504">
        <v>-1</v>
      </c>
      <c r="AR1504">
        <v>1</v>
      </c>
    </row>
    <row r="1505" spans="1:44" x14ac:dyDescent="0.35">
      <c r="A1505" s="12" t="s">
        <v>2194</v>
      </c>
      <c r="B1505" s="12" t="s">
        <v>747</v>
      </c>
      <c r="C1505" s="12" t="s">
        <v>748</v>
      </c>
      <c r="D1505" s="12" t="s">
        <v>114</v>
      </c>
      <c r="E1505" s="12" t="s">
        <v>104</v>
      </c>
      <c r="F1505">
        <v>2</v>
      </c>
      <c r="G1505">
        <v>0</v>
      </c>
      <c r="H1505">
        <v>0</v>
      </c>
      <c r="I1505" s="12" t="s">
        <v>380</v>
      </c>
      <c r="J1505" s="12" t="s">
        <v>381</v>
      </c>
      <c r="K1505" s="12" t="s">
        <v>89</v>
      </c>
      <c r="L1505" s="12" t="s">
        <v>96</v>
      </c>
      <c r="M1505">
        <v>10.210000000000001</v>
      </c>
      <c r="N1505" s="12" t="s">
        <v>70</v>
      </c>
      <c r="O1505" s="12" t="s">
        <v>71</v>
      </c>
      <c r="P1505" s="12" t="s">
        <v>72</v>
      </c>
      <c r="Q1505" s="13">
        <v>45239</v>
      </c>
      <c r="R1505" s="13">
        <v>45266</v>
      </c>
      <c r="S1505">
        <v>2023</v>
      </c>
      <c r="T1505" s="12" t="s">
        <v>2132</v>
      </c>
      <c r="U1505">
        <v>130</v>
      </c>
      <c r="V1505">
        <v>245.56890000000001</v>
      </c>
      <c r="W1505">
        <v>566.36</v>
      </c>
      <c r="X1505">
        <v>0</v>
      </c>
      <c r="Y1505">
        <v>0</v>
      </c>
      <c r="Z1505">
        <v>31923.96</v>
      </c>
      <c r="AA1505">
        <v>32490.32</v>
      </c>
      <c r="AB1505" s="12" t="s">
        <v>896</v>
      </c>
      <c r="AC1505">
        <v>245.56890000000001</v>
      </c>
      <c r="AD1505">
        <v>1</v>
      </c>
      <c r="AE1505">
        <v>1</v>
      </c>
      <c r="AF1505">
        <v>0</v>
      </c>
      <c r="AG1505">
        <v>31923.96</v>
      </c>
      <c r="AH1505">
        <v>130</v>
      </c>
      <c r="AI1505">
        <v>127</v>
      </c>
      <c r="AJ1505">
        <v>3</v>
      </c>
      <c r="AK1505">
        <v>1</v>
      </c>
      <c r="AL1505">
        <v>1</v>
      </c>
      <c r="AM1505">
        <v>97.69</v>
      </c>
      <c r="AN1505">
        <v>255.82929999999999</v>
      </c>
      <c r="AO1505">
        <v>736.71</v>
      </c>
      <c r="AP1505" s="13">
        <v>45266</v>
      </c>
      <c r="AQ1505">
        <v>0</v>
      </c>
      <c r="AR1505">
        <v>1</v>
      </c>
    </row>
    <row r="1506" spans="1:44" x14ac:dyDescent="0.35">
      <c r="A1506" s="12" t="s">
        <v>2195</v>
      </c>
      <c r="B1506" s="12" t="s">
        <v>712</v>
      </c>
      <c r="C1506" s="12" t="s">
        <v>713</v>
      </c>
      <c r="D1506" s="12" t="s">
        <v>103</v>
      </c>
      <c r="E1506" s="12" t="s">
        <v>104</v>
      </c>
      <c r="F1506">
        <v>2</v>
      </c>
      <c r="G1506">
        <v>0</v>
      </c>
      <c r="H1506">
        <v>0</v>
      </c>
      <c r="I1506" s="12" t="s">
        <v>105</v>
      </c>
      <c r="J1506" s="12" t="s">
        <v>106</v>
      </c>
      <c r="K1506" s="12" t="s">
        <v>81</v>
      </c>
      <c r="L1506" s="12" t="s">
        <v>96</v>
      </c>
      <c r="M1506">
        <v>5.01</v>
      </c>
      <c r="N1506" s="12" t="s">
        <v>145</v>
      </c>
      <c r="O1506" s="12" t="s">
        <v>146</v>
      </c>
      <c r="P1506" s="12" t="s">
        <v>109</v>
      </c>
      <c r="Q1506" s="13">
        <v>45239</v>
      </c>
      <c r="R1506" s="13">
        <v>45263</v>
      </c>
      <c r="S1506">
        <v>2023</v>
      </c>
      <c r="T1506" s="12" t="s">
        <v>2132</v>
      </c>
      <c r="U1506">
        <v>107</v>
      </c>
      <c r="V1506">
        <v>202.47229999999999</v>
      </c>
      <c r="W1506">
        <v>477.38</v>
      </c>
      <c r="X1506">
        <v>0</v>
      </c>
      <c r="Y1506">
        <v>0</v>
      </c>
      <c r="Z1506">
        <v>21664.54</v>
      </c>
      <c r="AA1506">
        <v>22141.919999999998</v>
      </c>
      <c r="AB1506" s="12" t="s">
        <v>1451</v>
      </c>
      <c r="AC1506">
        <v>202.47229999999999</v>
      </c>
      <c r="AD1506">
        <v>1</v>
      </c>
      <c r="AE1506">
        <v>1</v>
      </c>
      <c r="AF1506">
        <v>0</v>
      </c>
      <c r="AG1506">
        <v>21664.54</v>
      </c>
      <c r="AH1506">
        <v>107</v>
      </c>
      <c r="AI1506">
        <v>107</v>
      </c>
      <c r="AJ1506">
        <v>0</v>
      </c>
      <c r="AK1506">
        <v>1</v>
      </c>
      <c r="AL1506">
        <v>1</v>
      </c>
      <c r="AM1506">
        <v>100</v>
      </c>
      <c r="AN1506">
        <v>206.93379999999999</v>
      </c>
      <c r="AO1506">
        <v>0</v>
      </c>
      <c r="AP1506" s="13">
        <v>45260</v>
      </c>
      <c r="AQ1506">
        <v>-3</v>
      </c>
      <c r="AR1506">
        <v>1</v>
      </c>
    </row>
    <row r="1507" spans="1:44" x14ac:dyDescent="0.35">
      <c r="A1507" s="12" t="s">
        <v>2196</v>
      </c>
      <c r="B1507" s="12" t="s">
        <v>149</v>
      </c>
      <c r="C1507" s="12" t="s">
        <v>150</v>
      </c>
      <c r="D1507" s="12" t="s">
        <v>78</v>
      </c>
      <c r="E1507" s="12" t="s">
        <v>65</v>
      </c>
      <c r="F1507">
        <v>2</v>
      </c>
      <c r="G1507">
        <v>2</v>
      </c>
      <c r="H1507">
        <v>0</v>
      </c>
      <c r="I1507" s="12" t="s">
        <v>151</v>
      </c>
      <c r="J1507" s="12" t="s">
        <v>152</v>
      </c>
      <c r="K1507" s="12" t="s">
        <v>125</v>
      </c>
      <c r="L1507" s="12" t="s">
        <v>69</v>
      </c>
      <c r="M1507">
        <v>36.479999999999997</v>
      </c>
      <c r="N1507" s="12" t="s">
        <v>97</v>
      </c>
      <c r="O1507" s="12" t="s">
        <v>98</v>
      </c>
      <c r="P1507" s="12" t="s">
        <v>72</v>
      </c>
      <c r="Q1507" s="13">
        <v>45240</v>
      </c>
      <c r="R1507" s="13">
        <v>45272</v>
      </c>
      <c r="S1507">
        <v>2023</v>
      </c>
      <c r="T1507" s="12" t="s">
        <v>2132</v>
      </c>
      <c r="U1507">
        <v>210</v>
      </c>
      <c r="V1507">
        <v>76.092399999999998</v>
      </c>
      <c r="W1507">
        <v>175.82</v>
      </c>
      <c r="X1507">
        <v>0</v>
      </c>
      <c r="Y1507">
        <v>0</v>
      </c>
      <c r="Z1507">
        <v>15979.4</v>
      </c>
      <c r="AA1507">
        <v>16155.22</v>
      </c>
      <c r="AB1507" s="12" t="s">
        <v>153</v>
      </c>
      <c r="AC1507">
        <v>76.092399999999998</v>
      </c>
      <c r="AD1507">
        <v>1</v>
      </c>
      <c r="AE1507">
        <v>1</v>
      </c>
      <c r="AF1507">
        <v>0</v>
      </c>
      <c r="AG1507">
        <v>15979.4</v>
      </c>
      <c r="AH1507">
        <v>210</v>
      </c>
      <c r="AI1507">
        <v>209</v>
      </c>
      <c r="AJ1507">
        <v>1</v>
      </c>
      <c r="AK1507">
        <v>1</v>
      </c>
      <c r="AL1507">
        <v>1</v>
      </c>
      <c r="AM1507">
        <v>99.52</v>
      </c>
      <c r="AN1507">
        <v>77.297700000000006</v>
      </c>
      <c r="AO1507">
        <v>76.09</v>
      </c>
      <c r="AP1507" s="13">
        <v>45271</v>
      </c>
      <c r="AQ1507">
        <v>-1</v>
      </c>
      <c r="AR1507">
        <v>1</v>
      </c>
    </row>
    <row r="1508" spans="1:44" x14ac:dyDescent="0.35">
      <c r="A1508" s="12" t="s">
        <v>2197</v>
      </c>
      <c r="B1508" s="12" t="s">
        <v>544</v>
      </c>
      <c r="C1508" s="12" t="s">
        <v>545</v>
      </c>
      <c r="D1508" s="12" t="s">
        <v>175</v>
      </c>
      <c r="E1508" s="12" t="s">
        <v>65</v>
      </c>
      <c r="F1508">
        <v>3</v>
      </c>
      <c r="G1508">
        <v>5</v>
      </c>
      <c r="H1508">
        <v>0</v>
      </c>
      <c r="I1508" s="12" t="s">
        <v>66</v>
      </c>
      <c r="J1508" s="12" t="s">
        <v>67</v>
      </c>
      <c r="K1508" s="12" t="s">
        <v>68</v>
      </c>
      <c r="L1508" s="12" t="s">
        <v>69</v>
      </c>
      <c r="M1508">
        <v>17.66</v>
      </c>
      <c r="N1508" s="12" t="s">
        <v>107</v>
      </c>
      <c r="O1508" s="12" t="s">
        <v>108</v>
      </c>
      <c r="P1508" s="12" t="s">
        <v>109</v>
      </c>
      <c r="Q1508" s="13">
        <v>45240</v>
      </c>
      <c r="R1508" s="13">
        <v>45273</v>
      </c>
      <c r="S1508">
        <v>2023</v>
      </c>
      <c r="T1508" s="12" t="s">
        <v>2132</v>
      </c>
      <c r="U1508">
        <v>108</v>
      </c>
      <c r="V1508">
        <v>155.36940000000001</v>
      </c>
      <c r="W1508">
        <v>157.53</v>
      </c>
      <c r="X1508">
        <v>0</v>
      </c>
      <c r="Y1508">
        <v>0</v>
      </c>
      <c r="Z1508">
        <v>16779.900000000001</v>
      </c>
      <c r="AA1508">
        <v>16937.43</v>
      </c>
      <c r="AB1508" s="12" t="s">
        <v>546</v>
      </c>
      <c r="AC1508">
        <v>155.36940000000001</v>
      </c>
      <c r="AD1508">
        <v>1</v>
      </c>
      <c r="AE1508">
        <v>1</v>
      </c>
      <c r="AF1508">
        <v>0</v>
      </c>
      <c r="AG1508">
        <v>16779.900000000001</v>
      </c>
      <c r="AH1508">
        <v>108</v>
      </c>
      <c r="AI1508">
        <v>106</v>
      </c>
      <c r="AJ1508">
        <v>2</v>
      </c>
      <c r="AK1508">
        <v>1</v>
      </c>
      <c r="AL1508">
        <v>1</v>
      </c>
      <c r="AM1508">
        <v>98.15</v>
      </c>
      <c r="AN1508">
        <v>159.78700000000001</v>
      </c>
      <c r="AO1508">
        <v>310.74</v>
      </c>
      <c r="AP1508" s="13">
        <v>45273</v>
      </c>
      <c r="AQ1508">
        <v>0</v>
      </c>
      <c r="AR1508">
        <v>1</v>
      </c>
    </row>
    <row r="1509" spans="1:44" x14ac:dyDescent="0.35">
      <c r="A1509" s="12" t="s">
        <v>2198</v>
      </c>
      <c r="B1509" s="12" t="s">
        <v>802</v>
      </c>
      <c r="C1509" s="12" t="s">
        <v>803</v>
      </c>
      <c r="D1509" s="12" t="s">
        <v>114</v>
      </c>
      <c r="E1509" s="12" t="s">
        <v>65</v>
      </c>
      <c r="F1509">
        <v>3</v>
      </c>
      <c r="G1509">
        <v>5</v>
      </c>
      <c r="H1509">
        <v>0</v>
      </c>
      <c r="I1509" s="12" t="s">
        <v>804</v>
      </c>
      <c r="J1509" s="12" t="s">
        <v>342</v>
      </c>
      <c r="K1509" s="12" t="s">
        <v>117</v>
      </c>
      <c r="L1509" s="12" t="s">
        <v>69</v>
      </c>
      <c r="M1509">
        <v>30.07</v>
      </c>
      <c r="N1509" s="12" t="s">
        <v>70</v>
      </c>
      <c r="O1509" s="12" t="s">
        <v>71</v>
      </c>
      <c r="P1509" s="12" t="s">
        <v>72</v>
      </c>
      <c r="Q1509" s="13">
        <v>45240</v>
      </c>
      <c r="R1509" s="13">
        <v>45278</v>
      </c>
      <c r="S1509">
        <v>2023</v>
      </c>
      <c r="T1509" s="12" t="s">
        <v>2132</v>
      </c>
      <c r="U1509">
        <v>146</v>
      </c>
      <c r="V1509">
        <v>330.22109999999998</v>
      </c>
      <c r="W1509">
        <v>1065.2</v>
      </c>
      <c r="X1509">
        <v>0</v>
      </c>
      <c r="Y1509">
        <v>0</v>
      </c>
      <c r="Z1509">
        <v>48212.28</v>
      </c>
      <c r="AA1509">
        <v>49277.48</v>
      </c>
      <c r="AB1509" s="12" t="s">
        <v>805</v>
      </c>
      <c r="AC1509">
        <v>362.99209999999999</v>
      </c>
      <c r="AD1509">
        <v>2</v>
      </c>
      <c r="AE1509">
        <v>1</v>
      </c>
      <c r="AF1509">
        <v>-4784.57</v>
      </c>
      <c r="AG1509">
        <v>52996.85</v>
      </c>
      <c r="AH1509">
        <v>146</v>
      </c>
      <c r="AI1509">
        <v>144</v>
      </c>
      <c r="AJ1509">
        <v>2</v>
      </c>
      <c r="AK1509">
        <v>1</v>
      </c>
      <c r="AL1509">
        <v>1</v>
      </c>
      <c r="AM1509">
        <v>98.63</v>
      </c>
      <c r="AN1509">
        <v>342.2047</v>
      </c>
      <c r="AO1509">
        <v>660.44</v>
      </c>
      <c r="AP1509" s="13">
        <v>45277</v>
      </c>
      <c r="AQ1509">
        <v>-1</v>
      </c>
      <c r="AR1509">
        <v>1</v>
      </c>
    </row>
    <row r="1510" spans="1:44" x14ac:dyDescent="0.35">
      <c r="A1510" s="12" t="s">
        <v>2199</v>
      </c>
      <c r="B1510" s="12" t="s">
        <v>261</v>
      </c>
      <c r="C1510" s="12" t="s">
        <v>262</v>
      </c>
      <c r="D1510" s="12" t="s">
        <v>114</v>
      </c>
      <c r="E1510" s="12" t="s">
        <v>142</v>
      </c>
      <c r="F1510">
        <v>1</v>
      </c>
      <c r="G1510">
        <v>8</v>
      </c>
      <c r="H1510">
        <v>1</v>
      </c>
      <c r="I1510" s="12" t="s">
        <v>263</v>
      </c>
      <c r="J1510" s="12" t="s">
        <v>264</v>
      </c>
      <c r="K1510" s="12" t="s">
        <v>125</v>
      </c>
      <c r="L1510" s="12" t="s">
        <v>82</v>
      </c>
      <c r="M1510">
        <v>10.210000000000001</v>
      </c>
      <c r="N1510" s="12" t="s">
        <v>97</v>
      </c>
      <c r="O1510" s="12" t="s">
        <v>98</v>
      </c>
      <c r="P1510" s="12" t="s">
        <v>72</v>
      </c>
      <c r="Q1510" s="13">
        <v>45240</v>
      </c>
      <c r="R1510" s="13">
        <v>45289</v>
      </c>
      <c r="S1510">
        <v>2023</v>
      </c>
      <c r="T1510" s="12" t="s">
        <v>2132</v>
      </c>
      <c r="U1510">
        <v>124</v>
      </c>
      <c r="V1510">
        <v>138.256</v>
      </c>
      <c r="W1510">
        <v>399.9</v>
      </c>
      <c r="X1510">
        <v>525.5</v>
      </c>
      <c r="Y1510">
        <v>1</v>
      </c>
      <c r="Z1510">
        <v>17143.740000000002</v>
      </c>
      <c r="AA1510">
        <v>18069.14</v>
      </c>
      <c r="AB1510" s="12" t="s">
        <v>265</v>
      </c>
      <c r="AC1510">
        <v>138.256</v>
      </c>
      <c r="AD1510">
        <v>1</v>
      </c>
      <c r="AE1510">
        <v>1</v>
      </c>
      <c r="AF1510">
        <v>0</v>
      </c>
      <c r="AG1510">
        <v>17143.740000000002</v>
      </c>
      <c r="AH1510">
        <v>124</v>
      </c>
      <c r="AI1510">
        <v>123</v>
      </c>
      <c r="AJ1510">
        <v>1</v>
      </c>
      <c r="AK1510">
        <v>1</v>
      </c>
      <c r="AL1510">
        <v>1</v>
      </c>
      <c r="AM1510">
        <v>99.19</v>
      </c>
      <c r="AN1510">
        <v>146.90360000000001</v>
      </c>
      <c r="AO1510">
        <v>138.26</v>
      </c>
      <c r="AP1510" s="13">
        <v>45287</v>
      </c>
      <c r="AQ1510">
        <v>-2</v>
      </c>
      <c r="AR1510">
        <v>1</v>
      </c>
    </row>
    <row r="1511" spans="1:44" x14ac:dyDescent="0.35">
      <c r="A1511" s="12" t="s">
        <v>2200</v>
      </c>
      <c r="B1511" s="12" t="s">
        <v>876</v>
      </c>
      <c r="C1511" s="12" t="s">
        <v>877</v>
      </c>
      <c r="D1511" s="12" t="s">
        <v>269</v>
      </c>
      <c r="E1511" s="12" t="s">
        <v>142</v>
      </c>
      <c r="F1511">
        <v>3</v>
      </c>
      <c r="G1511">
        <v>11</v>
      </c>
      <c r="H1511">
        <v>0</v>
      </c>
      <c r="I1511" s="12" t="s">
        <v>515</v>
      </c>
      <c r="J1511" s="12" t="s">
        <v>516</v>
      </c>
      <c r="K1511" s="12" t="s">
        <v>68</v>
      </c>
      <c r="L1511" s="12" t="s">
        <v>134</v>
      </c>
      <c r="M1511">
        <v>3.69</v>
      </c>
      <c r="N1511" s="12" t="s">
        <v>159</v>
      </c>
      <c r="O1511" s="12" t="s">
        <v>160</v>
      </c>
      <c r="P1511" s="12" t="s">
        <v>137</v>
      </c>
      <c r="Q1511" s="13">
        <v>45240</v>
      </c>
      <c r="R1511" s="13">
        <v>45276</v>
      </c>
      <c r="S1511">
        <v>2023</v>
      </c>
      <c r="T1511" s="12" t="s">
        <v>2132</v>
      </c>
      <c r="U1511">
        <v>24</v>
      </c>
      <c r="V1511">
        <v>205.07480000000001</v>
      </c>
      <c r="W1511">
        <v>93.94</v>
      </c>
      <c r="X1511">
        <v>0</v>
      </c>
      <c r="Y1511">
        <v>0</v>
      </c>
      <c r="Z1511">
        <v>4921.8</v>
      </c>
      <c r="AA1511">
        <v>5015.74</v>
      </c>
      <c r="AB1511" s="12" t="s">
        <v>1175</v>
      </c>
      <c r="AC1511">
        <v>205.07480000000001</v>
      </c>
      <c r="AD1511">
        <v>1</v>
      </c>
      <c r="AE1511">
        <v>1</v>
      </c>
      <c r="AF1511">
        <v>0</v>
      </c>
      <c r="AG1511">
        <v>4921.8</v>
      </c>
      <c r="AH1511">
        <v>24</v>
      </c>
      <c r="AI1511">
        <v>24</v>
      </c>
      <c r="AJ1511">
        <v>0</v>
      </c>
      <c r="AK1511">
        <v>1</v>
      </c>
      <c r="AL1511">
        <v>1</v>
      </c>
      <c r="AM1511">
        <v>100</v>
      </c>
      <c r="AN1511">
        <v>208.989</v>
      </c>
      <c r="AO1511">
        <v>0</v>
      </c>
      <c r="AP1511" s="13">
        <v>45274</v>
      </c>
      <c r="AQ1511">
        <v>-2</v>
      </c>
      <c r="AR1511">
        <v>1</v>
      </c>
    </row>
    <row r="1512" spans="1:44" x14ac:dyDescent="0.35">
      <c r="A1512" s="12" t="s">
        <v>2201</v>
      </c>
      <c r="B1512" s="12" t="s">
        <v>207</v>
      </c>
      <c r="C1512" s="12" t="s">
        <v>208</v>
      </c>
      <c r="D1512" s="12" t="s">
        <v>78</v>
      </c>
      <c r="E1512" s="12" t="s">
        <v>65</v>
      </c>
      <c r="F1512">
        <v>2</v>
      </c>
      <c r="G1512">
        <v>3</v>
      </c>
      <c r="H1512">
        <v>0</v>
      </c>
      <c r="I1512" s="12" t="s">
        <v>209</v>
      </c>
      <c r="J1512" s="12" t="s">
        <v>210</v>
      </c>
      <c r="K1512" s="12" t="s">
        <v>133</v>
      </c>
      <c r="L1512" s="12" t="s">
        <v>96</v>
      </c>
      <c r="M1512">
        <v>7.82</v>
      </c>
      <c r="N1512" s="12" t="s">
        <v>70</v>
      </c>
      <c r="O1512" s="12" t="s">
        <v>71</v>
      </c>
      <c r="P1512" s="12" t="s">
        <v>72</v>
      </c>
      <c r="Q1512" s="13">
        <v>45240</v>
      </c>
      <c r="R1512" s="13">
        <v>45268</v>
      </c>
      <c r="S1512">
        <v>2023</v>
      </c>
      <c r="T1512" s="12" t="s">
        <v>2132</v>
      </c>
      <c r="U1512">
        <v>151</v>
      </c>
      <c r="V1512">
        <v>152.13079999999999</v>
      </c>
      <c r="W1512">
        <v>468.92</v>
      </c>
      <c r="X1512">
        <v>0</v>
      </c>
      <c r="Y1512">
        <v>0</v>
      </c>
      <c r="Z1512">
        <v>22971.75</v>
      </c>
      <c r="AA1512">
        <v>23440.67</v>
      </c>
      <c r="AB1512" s="12" t="s">
        <v>211</v>
      </c>
      <c r="AC1512">
        <v>152.13079999999999</v>
      </c>
      <c r="AD1512">
        <v>1</v>
      </c>
      <c r="AE1512">
        <v>1</v>
      </c>
      <c r="AF1512">
        <v>0</v>
      </c>
      <c r="AG1512">
        <v>22971.75</v>
      </c>
      <c r="AH1512">
        <v>151</v>
      </c>
      <c r="AI1512">
        <v>149</v>
      </c>
      <c r="AJ1512">
        <v>2</v>
      </c>
      <c r="AK1512">
        <v>1</v>
      </c>
      <c r="AL1512">
        <v>1</v>
      </c>
      <c r="AM1512">
        <v>98.68</v>
      </c>
      <c r="AN1512">
        <v>157.31989999999999</v>
      </c>
      <c r="AO1512">
        <v>304.26</v>
      </c>
      <c r="AP1512" s="13">
        <v>45265</v>
      </c>
      <c r="AQ1512">
        <v>-3</v>
      </c>
      <c r="AR1512">
        <v>1</v>
      </c>
    </row>
    <row r="1513" spans="1:44" x14ac:dyDescent="0.35">
      <c r="A1513" s="12" t="s">
        <v>2202</v>
      </c>
      <c r="B1513" s="12" t="s">
        <v>661</v>
      </c>
      <c r="C1513" s="12" t="s">
        <v>662</v>
      </c>
      <c r="D1513" s="12" t="s">
        <v>175</v>
      </c>
      <c r="E1513" s="12" t="s">
        <v>104</v>
      </c>
      <c r="F1513">
        <v>1</v>
      </c>
      <c r="G1513">
        <v>0</v>
      </c>
      <c r="H1513">
        <v>1</v>
      </c>
      <c r="I1513" s="12" t="s">
        <v>183</v>
      </c>
      <c r="J1513" s="12" t="s">
        <v>184</v>
      </c>
      <c r="K1513" s="12" t="s">
        <v>133</v>
      </c>
      <c r="L1513" s="12" t="s">
        <v>82</v>
      </c>
      <c r="M1513">
        <v>8.6199999999999992</v>
      </c>
      <c r="N1513" s="12" t="s">
        <v>107</v>
      </c>
      <c r="O1513" s="12" t="s">
        <v>108</v>
      </c>
      <c r="P1513" s="12" t="s">
        <v>109</v>
      </c>
      <c r="Q1513" s="13">
        <v>45240</v>
      </c>
      <c r="R1513" s="13">
        <v>45253</v>
      </c>
      <c r="S1513">
        <v>2023</v>
      </c>
      <c r="T1513" s="12" t="s">
        <v>2132</v>
      </c>
      <c r="U1513">
        <v>21</v>
      </c>
      <c r="V1513">
        <v>194.86689999999999</v>
      </c>
      <c r="W1513">
        <v>104.9</v>
      </c>
      <c r="X1513">
        <v>0</v>
      </c>
      <c r="Y1513">
        <v>0</v>
      </c>
      <c r="Z1513">
        <v>4092.2</v>
      </c>
      <c r="AA1513">
        <v>4197.1000000000004</v>
      </c>
      <c r="AB1513" s="12" t="s">
        <v>663</v>
      </c>
      <c r="AC1513">
        <v>201.68719999999999</v>
      </c>
      <c r="AD1513">
        <v>2</v>
      </c>
      <c r="AE1513">
        <v>1</v>
      </c>
      <c r="AF1513">
        <v>-143.22999999999999</v>
      </c>
      <c r="AG1513">
        <v>4235.43</v>
      </c>
      <c r="AH1513">
        <v>21</v>
      </c>
      <c r="AI1513">
        <v>21</v>
      </c>
      <c r="AJ1513">
        <v>0</v>
      </c>
      <c r="AK1513">
        <v>1</v>
      </c>
      <c r="AL1513">
        <v>1</v>
      </c>
      <c r="AM1513">
        <v>100</v>
      </c>
      <c r="AN1513">
        <v>199.8621</v>
      </c>
      <c r="AO1513">
        <v>0</v>
      </c>
      <c r="AP1513" s="13">
        <v>45250</v>
      </c>
      <c r="AQ1513">
        <v>-3</v>
      </c>
      <c r="AR1513">
        <v>1</v>
      </c>
    </row>
    <row r="1514" spans="1:44" x14ac:dyDescent="0.35">
      <c r="A1514" s="12" t="s">
        <v>2203</v>
      </c>
      <c r="B1514" s="12" t="s">
        <v>302</v>
      </c>
      <c r="C1514" s="12" t="s">
        <v>303</v>
      </c>
      <c r="D1514" s="12" t="s">
        <v>78</v>
      </c>
      <c r="E1514" s="12" t="s">
        <v>65</v>
      </c>
      <c r="F1514">
        <v>2</v>
      </c>
      <c r="G1514">
        <v>3</v>
      </c>
      <c r="H1514">
        <v>0</v>
      </c>
      <c r="I1514" s="12" t="s">
        <v>335</v>
      </c>
      <c r="J1514" s="12" t="s">
        <v>336</v>
      </c>
      <c r="K1514" s="12" t="s">
        <v>89</v>
      </c>
      <c r="L1514" s="12" t="s">
        <v>82</v>
      </c>
      <c r="M1514">
        <v>16</v>
      </c>
      <c r="N1514" s="12" t="s">
        <v>70</v>
      </c>
      <c r="O1514" s="12" t="s">
        <v>71</v>
      </c>
      <c r="P1514" s="12" t="s">
        <v>72</v>
      </c>
      <c r="Q1514" s="13">
        <v>45240</v>
      </c>
      <c r="R1514" s="13">
        <v>45277</v>
      </c>
      <c r="S1514">
        <v>2023</v>
      </c>
      <c r="T1514" s="12" t="s">
        <v>2132</v>
      </c>
      <c r="U1514">
        <v>279</v>
      </c>
      <c r="V1514">
        <v>144.41300000000001</v>
      </c>
      <c r="W1514">
        <v>796.63</v>
      </c>
      <c r="X1514">
        <v>0</v>
      </c>
      <c r="Y1514">
        <v>0</v>
      </c>
      <c r="Z1514">
        <v>40291.230000000003</v>
      </c>
      <c r="AA1514">
        <v>41087.86</v>
      </c>
      <c r="AB1514" s="12" t="s">
        <v>337</v>
      </c>
      <c r="AC1514">
        <v>144.41300000000001</v>
      </c>
      <c r="AD1514">
        <v>1</v>
      </c>
      <c r="AE1514">
        <v>1</v>
      </c>
      <c r="AF1514">
        <v>0</v>
      </c>
      <c r="AG1514">
        <v>40291.230000000003</v>
      </c>
      <c r="AH1514">
        <v>279</v>
      </c>
      <c r="AI1514">
        <v>276</v>
      </c>
      <c r="AJ1514">
        <v>3</v>
      </c>
      <c r="AK1514">
        <v>1</v>
      </c>
      <c r="AL1514">
        <v>1</v>
      </c>
      <c r="AM1514">
        <v>98.92</v>
      </c>
      <c r="AN1514">
        <v>148.869</v>
      </c>
      <c r="AO1514">
        <v>433.24</v>
      </c>
      <c r="AP1514" s="13">
        <v>45276</v>
      </c>
      <c r="AQ1514">
        <v>-1</v>
      </c>
      <c r="AR1514">
        <v>1</v>
      </c>
    </row>
    <row r="1515" spans="1:44" x14ac:dyDescent="0.35">
      <c r="A1515" s="12" t="s">
        <v>2204</v>
      </c>
      <c r="B1515" s="12" t="s">
        <v>140</v>
      </c>
      <c r="C1515" s="12" t="s">
        <v>141</v>
      </c>
      <c r="D1515" s="12" t="s">
        <v>103</v>
      </c>
      <c r="E1515" s="12" t="s">
        <v>142</v>
      </c>
      <c r="F1515">
        <v>1</v>
      </c>
      <c r="G1515">
        <v>7</v>
      </c>
      <c r="H1515">
        <v>1</v>
      </c>
      <c r="I1515" s="12" t="s">
        <v>143</v>
      </c>
      <c r="J1515" s="12" t="s">
        <v>144</v>
      </c>
      <c r="K1515" s="12" t="s">
        <v>133</v>
      </c>
      <c r="L1515" s="12" t="s">
        <v>96</v>
      </c>
      <c r="M1515">
        <v>5.43</v>
      </c>
      <c r="N1515" s="12" t="s">
        <v>145</v>
      </c>
      <c r="O1515" s="12" t="s">
        <v>146</v>
      </c>
      <c r="P1515" s="12" t="s">
        <v>109</v>
      </c>
      <c r="Q1515" s="13">
        <v>45240</v>
      </c>
      <c r="R1515" s="13">
        <v>45277</v>
      </c>
      <c r="S1515">
        <v>2023</v>
      </c>
      <c r="T1515" s="12" t="s">
        <v>2132</v>
      </c>
      <c r="U1515">
        <v>27</v>
      </c>
      <c r="V1515">
        <v>211.78559999999999</v>
      </c>
      <c r="W1515">
        <v>129.33000000000001</v>
      </c>
      <c r="X1515">
        <v>0</v>
      </c>
      <c r="Y1515">
        <v>0</v>
      </c>
      <c r="Z1515">
        <v>5718.21</v>
      </c>
      <c r="AA1515">
        <v>5847.54</v>
      </c>
      <c r="AB1515" s="12" t="s">
        <v>147</v>
      </c>
      <c r="AC1515">
        <v>211.78559999999999</v>
      </c>
      <c r="AD1515">
        <v>1</v>
      </c>
      <c r="AE1515">
        <v>1</v>
      </c>
      <c r="AF1515">
        <v>0</v>
      </c>
      <c r="AG1515">
        <v>5718.21</v>
      </c>
      <c r="AH1515">
        <v>27</v>
      </c>
      <c r="AI1515">
        <v>27</v>
      </c>
      <c r="AJ1515">
        <v>0</v>
      </c>
      <c r="AK1515">
        <v>1</v>
      </c>
      <c r="AL1515">
        <v>1</v>
      </c>
      <c r="AM1515">
        <v>100</v>
      </c>
      <c r="AN1515">
        <v>216.57560000000001</v>
      </c>
      <c r="AO1515">
        <v>0</v>
      </c>
      <c r="AP1515" s="13">
        <v>45277</v>
      </c>
      <c r="AQ1515">
        <v>0</v>
      </c>
      <c r="AR1515">
        <v>1</v>
      </c>
    </row>
    <row r="1516" spans="1:44" x14ac:dyDescent="0.35">
      <c r="A1516" s="12" t="s">
        <v>2205</v>
      </c>
      <c r="B1516" s="12" t="s">
        <v>587</v>
      </c>
      <c r="C1516" s="12" t="s">
        <v>588</v>
      </c>
      <c r="D1516" s="12" t="s">
        <v>122</v>
      </c>
      <c r="E1516" s="12" t="s">
        <v>104</v>
      </c>
      <c r="F1516">
        <v>2</v>
      </c>
      <c r="G1516">
        <v>0</v>
      </c>
      <c r="H1516">
        <v>0</v>
      </c>
      <c r="I1516" s="12" t="s">
        <v>486</v>
      </c>
      <c r="J1516" s="12" t="s">
        <v>487</v>
      </c>
      <c r="K1516" s="12" t="s">
        <v>125</v>
      </c>
      <c r="L1516" s="12" t="s">
        <v>69</v>
      </c>
      <c r="M1516">
        <v>36.86</v>
      </c>
      <c r="N1516" s="12" t="s">
        <v>70</v>
      </c>
      <c r="O1516" s="12" t="s">
        <v>71</v>
      </c>
      <c r="P1516" s="12" t="s">
        <v>72</v>
      </c>
      <c r="Q1516" s="13">
        <v>45240</v>
      </c>
      <c r="R1516" s="13">
        <v>45266</v>
      </c>
      <c r="S1516">
        <v>2023</v>
      </c>
      <c r="T1516" s="12" t="s">
        <v>2132</v>
      </c>
      <c r="U1516">
        <v>1655</v>
      </c>
      <c r="V1516">
        <v>12.517899999999999</v>
      </c>
      <c r="W1516">
        <v>382.87</v>
      </c>
      <c r="X1516">
        <v>0</v>
      </c>
      <c r="Y1516">
        <v>0</v>
      </c>
      <c r="Z1516">
        <v>20717.12</v>
      </c>
      <c r="AA1516">
        <v>21099.99</v>
      </c>
      <c r="AB1516" s="12" t="s">
        <v>744</v>
      </c>
      <c r="AC1516">
        <v>12.517899999999999</v>
      </c>
      <c r="AD1516">
        <v>1</v>
      </c>
      <c r="AE1516">
        <v>1</v>
      </c>
      <c r="AF1516">
        <v>0</v>
      </c>
      <c r="AG1516">
        <v>20717.12</v>
      </c>
      <c r="AH1516">
        <v>1655</v>
      </c>
      <c r="AI1516">
        <v>1642</v>
      </c>
      <c r="AJ1516">
        <v>13</v>
      </c>
      <c r="AK1516">
        <v>1</v>
      </c>
      <c r="AL1516">
        <v>1</v>
      </c>
      <c r="AM1516">
        <v>99.21</v>
      </c>
      <c r="AN1516">
        <v>12.850199999999999</v>
      </c>
      <c r="AO1516">
        <v>162.72999999999999</v>
      </c>
      <c r="AP1516" s="13">
        <v>45266</v>
      </c>
      <c r="AQ1516">
        <v>0</v>
      </c>
      <c r="AR1516">
        <v>1</v>
      </c>
    </row>
    <row r="1517" spans="1:44" x14ac:dyDescent="0.35">
      <c r="A1517" s="12" t="s">
        <v>2206</v>
      </c>
      <c r="B1517" s="12" t="s">
        <v>509</v>
      </c>
      <c r="C1517" s="12" t="s">
        <v>510</v>
      </c>
      <c r="D1517" s="12" t="s">
        <v>78</v>
      </c>
      <c r="E1517" s="12" t="s">
        <v>142</v>
      </c>
      <c r="F1517">
        <v>3</v>
      </c>
      <c r="G1517">
        <v>11</v>
      </c>
      <c r="H1517">
        <v>0</v>
      </c>
      <c r="I1517" s="12" t="s">
        <v>176</v>
      </c>
      <c r="J1517" s="12" t="s">
        <v>177</v>
      </c>
      <c r="K1517" s="12" t="s">
        <v>125</v>
      </c>
      <c r="L1517" s="12" t="s">
        <v>134</v>
      </c>
      <c r="M1517">
        <v>1.75</v>
      </c>
      <c r="N1517" s="12" t="s">
        <v>97</v>
      </c>
      <c r="O1517" s="12" t="s">
        <v>98</v>
      </c>
      <c r="P1517" s="12" t="s">
        <v>72</v>
      </c>
      <c r="Q1517" s="13">
        <v>45240</v>
      </c>
      <c r="R1517" s="13">
        <v>45278</v>
      </c>
      <c r="S1517">
        <v>2023</v>
      </c>
      <c r="T1517" s="12" t="s">
        <v>2132</v>
      </c>
      <c r="U1517">
        <v>95</v>
      </c>
      <c r="V1517">
        <v>144.51259999999999</v>
      </c>
      <c r="W1517">
        <v>278.55</v>
      </c>
      <c r="X1517">
        <v>0</v>
      </c>
      <c r="Y1517">
        <v>0</v>
      </c>
      <c r="Z1517">
        <v>13728.7</v>
      </c>
      <c r="AA1517">
        <v>14007.25</v>
      </c>
      <c r="AB1517" s="12" t="s">
        <v>511</v>
      </c>
      <c r="AC1517">
        <v>144.51259999999999</v>
      </c>
      <c r="AD1517">
        <v>1</v>
      </c>
      <c r="AE1517">
        <v>1</v>
      </c>
      <c r="AF1517">
        <v>0</v>
      </c>
      <c r="AG1517">
        <v>13728.7</v>
      </c>
      <c r="AH1517">
        <v>95</v>
      </c>
      <c r="AI1517">
        <v>93</v>
      </c>
      <c r="AJ1517">
        <v>2</v>
      </c>
      <c r="AK1517">
        <v>1</v>
      </c>
      <c r="AL1517">
        <v>1</v>
      </c>
      <c r="AM1517">
        <v>97.89</v>
      </c>
      <c r="AN1517">
        <v>150.6156</v>
      </c>
      <c r="AO1517">
        <v>289.02999999999997</v>
      </c>
      <c r="AP1517" s="13">
        <v>45278</v>
      </c>
      <c r="AQ1517">
        <v>0</v>
      </c>
      <c r="AR1517">
        <v>1</v>
      </c>
    </row>
    <row r="1518" spans="1:44" x14ac:dyDescent="0.35">
      <c r="A1518" s="12" t="s">
        <v>2207</v>
      </c>
      <c r="B1518" s="12" t="s">
        <v>498</v>
      </c>
      <c r="C1518" s="12" t="s">
        <v>499</v>
      </c>
      <c r="D1518" s="12" t="s">
        <v>175</v>
      </c>
      <c r="E1518" s="12" t="s">
        <v>104</v>
      </c>
      <c r="F1518">
        <v>3</v>
      </c>
      <c r="G1518">
        <v>1</v>
      </c>
      <c r="H1518">
        <v>0</v>
      </c>
      <c r="I1518" s="12" t="s">
        <v>233</v>
      </c>
      <c r="J1518" s="12" t="s">
        <v>234</v>
      </c>
      <c r="K1518" s="12" t="s">
        <v>125</v>
      </c>
      <c r="L1518" s="12" t="s">
        <v>96</v>
      </c>
      <c r="M1518">
        <v>3.73</v>
      </c>
      <c r="N1518" s="12" t="s">
        <v>145</v>
      </c>
      <c r="O1518" s="12" t="s">
        <v>146</v>
      </c>
      <c r="P1518" s="12" t="s">
        <v>109</v>
      </c>
      <c r="Q1518" s="13">
        <v>45240</v>
      </c>
      <c r="R1518" s="13">
        <v>45261</v>
      </c>
      <c r="S1518">
        <v>2023</v>
      </c>
      <c r="T1518" s="12" t="s">
        <v>2132</v>
      </c>
      <c r="U1518">
        <v>86</v>
      </c>
      <c r="V1518">
        <v>275.12700000000001</v>
      </c>
      <c r="W1518">
        <v>548.02</v>
      </c>
      <c r="X1518">
        <v>0</v>
      </c>
      <c r="Y1518">
        <v>0</v>
      </c>
      <c r="Z1518">
        <v>23660.92</v>
      </c>
      <c r="AA1518">
        <v>24208.94</v>
      </c>
      <c r="AB1518" s="12" t="s">
        <v>500</v>
      </c>
      <c r="AC1518">
        <v>284.75639999999999</v>
      </c>
      <c r="AD1518">
        <v>2</v>
      </c>
      <c r="AE1518">
        <v>1</v>
      </c>
      <c r="AF1518">
        <v>-828.13</v>
      </c>
      <c r="AG1518">
        <v>24489.05</v>
      </c>
      <c r="AH1518">
        <v>86</v>
      </c>
      <c r="AI1518">
        <v>85</v>
      </c>
      <c r="AJ1518">
        <v>1</v>
      </c>
      <c r="AK1518">
        <v>1</v>
      </c>
      <c r="AL1518">
        <v>1</v>
      </c>
      <c r="AM1518">
        <v>98.84</v>
      </c>
      <c r="AN1518">
        <v>284.81110000000001</v>
      </c>
      <c r="AO1518">
        <v>275.13</v>
      </c>
      <c r="AP1518" s="13">
        <v>45261</v>
      </c>
      <c r="AQ1518">
        <v>0</v>
      </c>
      <c r="AR1518">
        <v>1</v>
      </c>
    </row>
    <row r="1519" spans="1:44" x14ac:dyDescent="0.35">
      <c r="A1519" s="12" t="s">
        <v>2208</v>
      </c>
      <c r="B1519" s="12" t="s">
        <v>347</v>
      </c>
      <c r="C1519" s="12" t="s">
        <v>348</v>
      </c>
      <c r="D1519" s="12" t="s">
        <v>78</v>
      </c>
      <c r="E1519" s="12" t="s">
        <v>104</v>
      </c>
      <c r="F1519">
        <v>3</v>
      </c>
      <c r="G1519">
        <v>1</v>
      </c>
      <c r="H1519">
        <v>0</v>
      </c>
      <c r="I1519" s="12" t="s">
        <v>105</v>
      </c>
      <c r="J1519" s="12" t="s">
        <v>106</v>
      </c>
      <c r="K1519" s="12" t="s">
        <v>81</v>
      </c>
      <c r="L1519" s="12" t="s">
        <v>96</v>
      </c>
      <c r="M1519">
        <v>5.01</v>
      </c>
      <c r="N1519" s="12" t="s">
        <v>70</v>
      </c>
      <c r="O1519" s="12" t="s">
        <v>71</v>
      </c>
      <c r="P1519" s="12" t="s">
        <v>72</v>
      </c>
      <c r="Q1519" s="13">
        <v>45243</v>
      </c>
      <c r="R1519" s="13">
        <v>45257</v>
      </c>
      <c r="S1519">
        <v>2023</v>
      </c>
      <c r="T1519" s="12" t="s">
        <v>2132</v>
      </c>
      <c r="U1519">
        <v>71</v>
      </c>
      <c r="V1519">
        <v>104.9607</v>
      </c>
      <c r="W1519">
        <v>60.65</v>
      </c>
      <c r="X1519">
        <v>0</v>
      </c>
      <c r="Y1519">
        <v>0</v>
      </c>
      <c r="Z1519">
        <v>7452.21</v>
      </c>
      <c r="AA1519">
        <v>7512.86</v>
      </c>
      <c r="AB1519" s="12" t="s">
        <v>841</v>
      </c>
      <c r="AC1519">
        <v>100.34050000000001</v>
      </c>
      <c r="AD1519">
        <v>1</v>
      </c>
      <c r="AE1519">
        <v>1</v>
      </c>
      <c r="AF1519">
        <v>328.03</v>
      </c>
      <c r="AG1519">
        <v>7124.18</v>
      </c>
      <c r="AH1519">
        <v>71</v>
      </c>
      <c r="AI1519">
        <v>71</v>
      </c>
      <c r="AJ1519">
        <v>0</v>
      </c>
      <c r="AK1519">
        <v>1</v>
      </c>
      <c r="AL1519">
        <v>1</v>
      </c>
      <c r="AM1519">
        <v>100</v>
      </c>
      <c r="AN1519">
        <v>105.81489999999999</v>
      </c>
      <c r="AO1519">
        <v>0</v>
      </c>
      <c r="AP1519" s="13">
        <v>45257</v>
      </c>
      <c r="AQ1519">
        <v>0</v>
      </c>
      <c r="AR1519">
        <v>1</v>
      </c>
    </row>
    <row r="1520" spans="1:44" x14ac:dyDescent="0.35">
      <c r="A1520" s="12" t="s">
        <v>2209</v>
      </c>
      <c r="B1520" s="12" t="s">
        <v>395</v>
      </c>
      <c r="C1520" s="12" t="s">
        <v>396</v>
      </c>
      <c r="D1520" s="12" t="s">
        <v>130</v>
      </c>
      <c r="E1520" s="12" t="s">
        <v>104</v>
      </c>
      <c r="F1520">
        <v>3</v>
      </c>
      <c r="G1520">
        <v>1</v>
      </c>
      <c r="H1520">
        <v>0</v>
      </c>
      <c r="I1520" s="12" t="s">
        <v>341</v>
      </c>
      <c r="J1520" s="12" t="s">
        <v>342</v>
      </c>
      <c r="K1520" s="12" t="s">
        <v>117</v>
      </c>
      <c r="L1520" s="12" t="s">
        <v>82</v>
      </c>
      <c r="M1520">
        <v>18.36</v>
      </c>
      <c r="N1520" s="12" t="s">
        <v>135</v>
      </c>
      <c r="O1520" s="12" t="s">
        <v>136</v>
      </c>
      <c r="P1520" s="12" t="s">
        <v>137</v>
      </c>
      <c r="Q1520" s="13">
        <v>45243</v>
      </c>
      <c r="R1520" s="13">
        <v>45256</v>
      </c>
      <c r="S1520">
        <v>2023</v>
      </c>
      <c r="T1520" s="12" t="s">
        <v>2132</v>
      </c>
      <c r="U1520">
        <v>17</v>
      </c>
      <c r="V1520">
        <v>190.43799999999999</v>
      </c>
      <c r="W1520">
        <v>46.79</v>
      </c>
      <c r="X1520">
        <v>0</v>
      </c>
      <c r="Y1520">
        <v>0</v>
      </c>
      <c r="Z1520">
        <v>3237.45</v>
      </c>
      <c r="AA1520">
        <v>3284.24</v>
      </c>
      <c r="AB1520" s="12" t="s">
        <v>397</v>
      </c>
      <c r="AC1520">
        <v>190.43799999999999</v>
      </c>
      <c r="AD1520">
        <v>1</v>
      </c>
      <c r="AE1520">
        <v>1</v>
      </c>
      <c r="AF1520">
        <v>0</v>
      </c>
      <c r="AG1520">
        <v>3237.45</v>
      </c>
      <c r="AH1520">
        <v>17</v>
      </c>
      <c r="AI1520">
        <v>17</v>
      </c>
      <c r="AJ1520">
        <v>0</v>
      </c>
      <c r="AK1520">
        <v>1</v>
      </c>
      <c r="AL1520">
        <v>1</v>
      </c>
      <c r="AM1520">
        <v>100</v>
      </c>
      <c r="AN1520">
        <v>193.19040000000001</v>
      </c>
      <c r="AO1520">
        <v>0</v>
      </c>
      <c r="AP1520" s="13">
        <v>45254</v>
      </c>
      <c r="AQ1520">
        <v>-2</v>
      </c>
      <c r="AR1520">
        <v>1</v>
      </c>
    </row>
    <row r="1521" spans="1:44" x14ac:dyDescent="0.35">
      <c r="A1521" s="12" t="s">
        <v>2210</v>
      </c>
      <c r="B1521" s="12" t="s">
        <v>451</v>
      </c>
      <c r="C1521" s="12" t="s">
        <v>452</v>
      </c>
      <c r="D1521" s="12" t="s">
        <v>175</v>
      </c>
      <c r="E1521" s="12" t="s">
        <v>104</v>
      </c>
      <c r="F1521">
        <v>3</v>
      </c>
      <c r="G1521">
        <v>1</v>
      </c>
      <c r="H1521">
        <v>0</v>
      </c>
      <c r="I1521" s="12" t="s">
        <v>176</v>
      </c>
      <c r="J1521" s="12" t="s">
        <v>177</v>
      </c>
      <c r="K1521" s="12" t="s">
        <v>125</v>
      </c>
      <c r="L1521" s="12" t="s">
        <v>134</v>
      </c>
      <c r="M1521">
        <v>1.75</v>
      </c>
      <c r="N1521" s="12" t="s">
        <v>145</v>
      </c>
      <c r="O1521" s="12" t="s">
        <v>146</v>
      </c>
      <c r="P1521" s="12" t="s">
        <v>109</v>
      </c>
      <c r="Q1521" s="13">
        <v>45243</v>
      </c>
      <c r="R1521" s="13">
        <v>45257</v>
      </c>
      <c r="S1521">
        <v>2023</v>
      </c>
      <c r="T1521" s="12" t="s">
        <v>2132</v>
      </c>
      <c r="U1521">
        <v>33</v>
      </c>
      <c r="V1521">
        <v>254.15530000000001</v>
      </c>
      <c r="W1521">
        <v>131.72</v>
      </c>
      <c r="X1521">
        <v>0</v>
      </c>
      <c r="Y1521">
        <v>0</v>
      </c>
      <c r="Z1521">
        <v>8387.1200000000008</v>
      </c>
      <c r="AA1521">
        <v>8518.84</v>
      </c>
      <c r="AB1521" s="12" t="s">
        <v>1784</v>
      </c>
      <c r="AC1521">
        <v>254.15530000000001</v>
      </c>
      <c r="AD1521">
        <v>1</v>
      </c>
      <c r="AE1521">
        <v>1</v>
      </c>
      <c r="AF1521">
        <v>0</v>
      </c>
      <c r="AG1521">
        <v>8387.1200000000008</v>
      </c>
      <c r="AH1521">
        <v>33</v>
      </c>
      <c r="AI1521">
        <v>33</v>
      </c>
      <c r="AJ1521">
        <v>0</v>
      </c>
      <c r="AK1521">
        <v>1</v>
      </c>
      <c r="AL1521">
        <v>1</v>
      </c>
      <c r="AM1521">
        <v>100</v>
      </c>
      <c r="AN1521">
        <v>258.14679999999998</v>
      </c>
      <c r="AO1521">
        <v>0</v>
      </c>
      <c r="AP1521" s="13">
        <v>45258</v>
      </c>
      <c r="AQ1521">
        <v>1</v>
      </c>
      <c r="AR1521">
        <v>0</v>
      </c>
    </row>
    <row r="1522" spans="1:44" x14ac:dyDescent="0.35">
      <c r="A1522" s="12" t="s">
        <v>2211</v>
      </c>
      <c r="B1522" s="12" t="s">
        <v>420</v>
      </c>
      <c r="C1522" s="12" t="s">
        <v>421</v>
      </c>
      <c r="D1522" s="12" t="s">
        <v>269</v>
      </c>
      <c r="E1522" s="12" t="s">
        <v>104</v>
      </c>
      <c r="F1522">
        <v>2</v>
      </c>
      <c r="G1522">
        <v>0</v>
      </c>
      <c r="H1522">
        <v>0</v>
      </c>
      <c r="I1522" s="12" t="s">
        <v>380</v>
      </c>
      <c r="J1522" s="12" t="s">
        <v>381</v>
      </c>
      <c r="K1522" s="12" t="s">
        <v>89</v>
      </c>
      <c r="L1522" s="12" t="s">
        <v>96</v>
      </c>
      <c r="M1522">
        <v>10.210000000000001</v>
      </c>
      <c r="N1522" s="12" t="s">
        <v>159</v>
      </c>
      <c r="O1522" s="12" t="s">
        <v>160</v>
      </c>
      <c r="P1522" s="12" t="s">
        <v>137</v>
      </c>
      <c r="Q1522" s="13">
        <v>45243</v>
      </c>
      <c r="R1522" s="13">
        <v>45260</v>
      </c>
      <c r="S1522">
        <v>2023</v>
      </c>
      <c r="T1522" s="12" t="s">
        <v>2132</v>
      </c>
      <c r="U1522">
        <v>56</v>
      </c>
      <c r="V1522">
        <v>146.53960000000001</v>
      </c>
      <c r="W1522">
        <v>104.17</v>
      </c>
      <c r="X1522">
        <v>248.55</v>
      </c>
      <c r="Y1522">
        <v>1</v>
      </c>
      <c r="Z1522">
        <v>8206.2199999999993</v>
      </c>
      <c r="AA1522">
        <v>8558.94</v>
      </c>
      <c r="AB1522" s="12" t="s">
        <v>422</v>
      </c>
      <c r="AC1522">
        <v>146.53960000000001</v>
      </c>
      <c r="AD1522">
        <v>1</v>
      </c>
      <c r="AE1522">
        <v>1</v>
      </c>
      <c r="AF1522">
        <v>0</v>
      </c>
      <c r="AG1522">
        <v>8206.2199999999993</v>
      </c>
      <c r="AH1522">
        <v>56</v>
      </c>
      <c r="AI1522">
        <v>56</v>
      </c>
      <c r="AJ1522">
        <v>0</v>
      </c>
      <c r="AK1522">
        <v>1</v>
      </c>
      <c r="AL1522">
        <v>1</v>
      </c>
      <c r="AM1522">
        <v>100</v>
      </c>
      <c r="AN1522">
        <v>152.8382</v>
      </c>
      <c r="AO1522">
        <v>0</v>
      </c>
      <c r="AP1522" s="13">
        <v>45265</v>
      </c>
      <c r="AQ1522">
        <v>5</v>
      </c>
      <c r="AR1522">
        <v>0</v>
      </c>
    </row>
    <row r="1523" spans="1:44" x14ac:dyDescent="0.35">
      <c r="A1523" s="12" t="s">
        <v>2212</v>
      </c>
      <c r="B1523" s="12" t="s">
        <v>149</v>
      </c>
      <c r="C1523" s="12" t="s">
        <v>150</v>
      </c>
      <c r="D1523" s="12" t="s">
        <v>78</v>
      </c>
      <c r="E1523" s="12" t="s">
        <v>65</v>
      </c>
      <c r="F1523">
        <v>2</v>
      </c>
      <c r="G1523">
        <v>2</v>
      </c>
      <c r="H1523">
        <v>0</v>
      </c>
      <c r="I1523" s="12" t="s">
        <v>151</v>
      </c>
      <c r="J1523" s="12" t="s">
        <v>152</v>
      </c>
      <c r="K1523" s="12" t="s">
        <v>125</v>
      </c>
      <c r="L1523" s="12" t="s">
        <v>69</v>
      </c>
      <c r="M1523">
        <v>36.479999999999997</v>
      </c>
      <c r="N1523" s="12" t="s">
        <v>70</v>
      </c>
      <c r="O1523" s="12" t="s">
        <v>71</v>
      </c>
      <c r="P1523" s="12" t="s">
        <v>72</v>
      </c>
      <c r="Q1523" s="13">
        <v>45244</v>
      </c>
      <c r="R1523" s="13">
        <v>45268</v>
      </c>
      <c r="S1523">
        <v>2023</v>
      </c>
      <c r="T1523" s="12" t="s">
        <v>2132</v>
      </c>
      <c r="U1523">
        <v>86</v>
      </c>
      <c r="V1523">
        <v>76.092399999999998</v>
      </c>
      <c r="W1523">
        <v>66.510000000000005</v>
      </c>
      <c r="X1523">
        <v>0</v>
      </c>
      <c r="Y1523">
        <v>0</v>
      </c>
      <c r="Z1523">
        <v>6543.95</v>
      </c>
      <c r="AA1523">
        <v>6610.46</v>
      </c>
      <c r="AB1523" s="12" t="s">
        <v>153</v>
      </c>
      <c r="AC1523">
        <v>76.092399999999998</v>
      </c>
      <c r="AD1523">
        <v>1</v>
      </c>
      <c r="AE1523">
        <v>1</v>
      </c>
      <c r="AF1523">
        <v>0</v>
      </c>
      <c r="AG1523">
        <v>6543.95</v>
      </c>
      <c r="AH1523">
        <v>86</v>
      </c>
      <c r="AI1523">
        <v>85</v>
      </c>
      <c r="AJ1523">
        <v>1</v>
      </c>
      <c r="AK1523">
        <v>1</v>
      </c>
      <c r="AL1523">
        <v>1</v>
      </c>
      <c r="AM1523">
        <v>98.84</v>
      </c>
      <c r="AN1523">
        <v>77.770099999999999</v>
      </c>
      <c r="AO1523">
        <v>76.09</v>
      </c>
      <c r="AP1523" s="13">
        <v>45267</v>
      </c>
      <c r="AQ1523">
        <v>-1</v>
      </c>
      <c r="AR1523">
        <v>1</v>
      </c>
    </row>
    <row r="1524" spans="1:44" x14ac:dyDescent="0.35">
      <c r="A1524" s="12" t="s">
        <v>2213</v>
      </c>
      <c r="B1524" s="12" t="s">
        <v>544</v>
      </c>
      <c r="C1524" s="12" t="s">
        <v>545</v>
      </c>
      <c r="D1524" s="12" t="s">
        <v>175</v>
      </c>
      <c r="E1524" s="12" t="s">
        <v>65</v>
      </c>
      <c r="F1524">
        <v>3</v>
      </c>
      <c r="G1524">
        <v>5</v>
      </c>
      <c r="H1524">
        <v>0</v>
      </c>
      <c r="I1524" s="12" t="s">
        <v>359</v>
      </c>
      <c r="J1524" s="12" t="s">
        <v>360</v>
      </c>
      <c r="K1524" s="12" t="s">
        <v>133</v>
      </c>
      <c r="L1524" s="12" t="s">
        <v>82</v>
      </c>
      <c r="M1524">
        <v>12.65</v>
      </c>
      <c r="N1524" s="12" t="s">
        <v>145</v>
      </c>
      <c r="O1524" s="12" t="s">
        <v>146</v>
      </c>
      <c r="P1524" s="12" t="s">
        <v>109</v>
      </c>
      <c r="Q1524" s="13">
        <v>45244</v>
      </c>
      <c r="R1524" s="13">
        <v>45277</v>
      </c>
      <c r="S1524">
        <v>2023</v>
      </c>
      <c r="T1524" s="12" t="s">
        <v>2132</v>
      </c>
      <c r="U1524">
        <v>109</v>
      </c>
      <c r="V1524">
        <v>146.09</v>
      </c>
      <c r="W1524">
        <v>236.94</v>
      </c>
      <c r="X1524">
        <v>0</v>
      </c>
      <c r="Y1524">
        <v>0</v>
      </c>
      <c r="Z1524">
        <v>15923.81</v>
      </c>
      <c r="AA1524">
        <v>16160.75</v>
      </c>
      <c r="AB1524" s="12" t="s">
        <v>985</v>
      </c>
      <c r="AC1524">
        <v>155.36940000000001</v>
      </c>
      <c r="AD1524">
        <v>1</v>
      </c>
      <c r="AE1524">
        <v>1</v>
      </c>
      <c r="AF1524">
        <v>-1011.45</v>
      </c>
      <c r="AG1524">
        <v>16935.259999999998</v>
      </c>
      <c r="AH1524">
        <v>109</v>
      </c>
      <c r="AI1524">
        <v>108</v>
      </c>
      <c r="AJ1524">
        <v>1</v>
      </c>
      <c r="AK1524">
        <v>1</v>
      </c>
      <c r="AL1524">
        <v>1</v>
      </c>
      <c r="AM1524">
        <v>99.08</v>
      </c>
      <c r="AN1524">
        <v>149.63659999999999</v>
      </c>
      <c r="AO1524">
        <v>146.09</v>
      </c>
      <c r="AP1524" s="13">
        <v>45275</v>
      </c>
      <c r="AQ1524">
        <v>-2</v>
      </c>
      <c r="AR1524">
        <v>1</v>
      </c>
    </row>
    <row r="1525" spans="1:44" x14ac:dyDescent="0.35">
      <c r="A1525" s="12" t="s">
        <v>2214</v>
      </c>
      <c r="B1525" s="12" t="s">
        <v>766</v>
      </c>
      <c r="C1525" s="12" t="s">
        <v>767</v>
      </c>
      <c r="D1525" s="12" t="s">
        <v>175</v>
      </c>
      <c r="E1525" s="12" t="s">
        <v>65</v>
      </c>
      <c r="F1525">
        <v>3</v>
      </c>
      <c r="G1525">
        <v>5</v>
      </c>
      <c r="H1525">
        <v>0</v>
      </c>
      <c r="I1525" s="12" t="s">
        <v>87</v>
      </c>
      <c r="J1525" s="12" t="s">
        <v>88</v>
      </c>
      <c r="K1525" s="12" t="s">
        <v>89</v>
      </c>
      <c r="L1525" s="12" t="s">
        <v>69</v>
      </c>
      <c r="M1525">
        <v>14.93</v>
      </c>
      <c r="N1525" s="12" t="s">
        <v>107</v>
      </c>
      <c r="O1525" s="12" t="s">
        <v>108</v>
      </c>
      <c r="P1525" s="12" t="s">
        <v>109</v>
      </c>
      <c r="Q1525" s="13">
        <v>45244</v>
      </c>
      <c r="R1525" s="13">
        <v>45273</v>
      </c>
      <c r="S1525">
        <v>2023</v>
      </c>
      <c r="T1525" s="12" t="s">
        <v>2132</v>
      </c>
      <c r="U1525">
        <v>75</v>
      </c>
      <c r="V1525">
        <v>86.977900000000005</v>
      </c>
      <c r="W1525">
        <v>169.2</v>
      </c>
      <c r="X1525">
        <v>0</v>
      </c>
      <c r="Y1525">
        <v>0</v>
      </c>
      <c r="Z1525">
        <v>6523.34</v>
      </c>
      <c r="AA1525">
        <v>6692.54</v>
      </c>
      <c r="AB1525" s="12" t="s">
        <v>768</v>
      </c>
      <c r="AC1525">
        <v>86.977900000000005</v>
      </c>
      <c r="AD1525">
        <v>1</v>
      </c>
      <c r="AE1525">
        <v>1</v>
      </c>
      <c r="AF1525">
        <v>0</v>
      </c>
      <c r="AG1525">
        <v>6523.34</v>
      </c>
      <c r="AH1525">
        <v>75</v>
      </c>
      <c r="AI1525">
        <v>75</v>
      </c>
      <c r="AJ1525">
        <v>0</v>
      </c>
      <c r="AK1525">
        <v>1</v>
      </c>
      <c r="AL1525">
        <v>1</v>
      </c>
      <c r="AM1525">
        <v>100</v>
      </c>
      <c r="AN1525">
        <v>89.233900000000006</v>
      </c>
      <c r="AO1525">
        <v>0</v>
      </c>
      <c r="AP1525" s="13">
        <v>45272</v>
      </c>
      <c r="AQ1525">
        <v>-1</v>
      </c>
      <c r="AR1525">
        <v>1</v>
      </c>
    </row>
    <row r="1526" spans="1:44" x14ac:dyDescent="0.35">
      <c r="A1526" s="12" t="s">
        <v>2215</v>
      </c>
      <c r="B1526" s="12" t="s">
        <v>1034</v>
      </c>
      <c r="C1526" s="12" t="s">
        <v>1035</v>
      </c>
      <c r="D1526" s="12" t="s">
        <v>64</v>
      </c>
      <c r="E1526" s="12" t="s">
        <v>104</v>
      </c>
      <c r="F1526">
        <v>2</v>
      </c>
      <c r="G1526">
        <v>0</v>
      </c>
      <c r="H1526">
        <v>0</v>
      </c>
      <c r="I1526" s="12" t="s">
        <v>157</v>
      </c>
      <c r="J1526" s="12" t="s">
        <v>158</v>
      </c>
      <c r="K1526" s="12" t="s">
        <v>117</v>
      </c>
      <c r="L1526" s="12" t="s">
        <v>96</v>
      </c>
      <c r="M1526">
        <v>4.72</v>
      </c>
      <c r="N1526" s="12" t="s">
        <v>97</v>
      </c>
      <c r="O1526" s="12" t="s">
        <v>98</v>
      </c>
      <c r="P1526" s="12" t="s">
        <v>72</v>
      </c>
      <c r="Q1526" s="13">
        <v>45244</v>
      </c>
      <c r="R1526" s="13">
        <v>45273</v>
      </c>
      <c r="S1526">
        <v>2023</v>
      </c>
      <c r="T1526" s="12" t="s">
        <v>2132</v>
      </c>
      <c r="U1526">
        <v>956</v>
      </c>
      <c r="V1526">
        <v>9.9979999999999993</v>
      </c>
      <c r="W1526">
        <v>134.37</v>
      </c>
      <c r="X1526">
        <v>0</v>
      </c>
      <c r="Y1526">
        <v>0</v>
      </c>
      <c r="Z1526">
        <v>9558.09</v>
      </c>
      <c r="AA1526">
        <v>9692.4599999999991</v>
      </c>
      <c r="AB1526" s="12" t="s">
        <v>1036</v>
      </c>
      <c r="AC1526">
        <v>9.9979999999999993</v>
      </c>
      <c r="AD1526">
        <v>1</v>
      </c>
      <c r="AE1526">
        <v>1</v>
      </c>
      <c r="AF1526">
        <v>0</v>
      </c>
      <c r="AG1526">
        <v>9558.09</v>
      </c>
      <c r="AH1526">
        <v>956</v>
      </c>
      <c r="AI1526">
        <v>942</v>
      </c>
      <c r="AJ1526">
        <v>14</v>
      </c>
      <c r="AK1526">
        <v>1</v>
      </c>
      <c r="AL1526">
        <v>1</v>
      </c>
      <c r="AM1526">
        <v>98.54</v>
      </c>
      <c r="AN1526">
        <v>10.289199999999999</v>
      </c>
      <c r="AO1526">
        <v>139.97</v>
      </c>
      <c r="AP1526" s="13">
        <v>45273</v>
      </c>
      <c r="AQ1526">
        <v>0</v>
      </c>
      <c r="AR1526">
        <v>1</v>
      </c>
    </row>
    <row r="1527" spans="1:44" x14ac:dyDescent="0.35">
      <c r="A1527" s="12" t="s">
        <v>2216</v>
      </c>
      <c r="B1527" s="12" t="s">
        <v>308</v>
      </c>
      <c r="C1527" s="12" t="s">
        <v>309</v>
      </c>
      <c r="D1527" s="12" t="s">
        <v>122</v>
      </c>
      <c r="E1527" s="12" t="s">
        <v>142</v>
      </c>
      <c r="F1527">
        <v>1</v>
      </c>
      <c r="G1527">
        <v>6</v>
      </c>
      <c r="H1527">
        <v>1</v>
      </c>
      <c r="I1527" s="12" t="s">
        <v>310</v>
      </c>
      <c r="J1527" s="12" t="s">
        <v>311</v>
      </c>
      <c r="K1527" s="12" t="s">
        <v>81</v>
      </c>
      <c r="L1527" s="12" t="s">
        <v>69</v>
      </c>
      <c r="M1527">
        <v>28.3</v>
      </c>
      <c r="N1527" s="12" t="s">
        <v>70</v>
      </c>
      <c r="O1527" s="12" t="s">
        <v>71</v>
      </c>
      <c r="P1527" s="12" t="s">
        <v>72</v>
      </c>
      <c r="Q1527" s="13">
        <v>45244</v>
      </c>
      <c r="R1527" s="13">
        <v>45288</v>
      </c>
      <c r="S1527">
        <v>2023</v>
      </c>
      <c r="T1527" s="12" t="s">
        <v>2132</v>
      </c>
      <c r="U1527">
        <v>1146</v>
      </c>
      <c r="V1527">
        <v>59.409700000000001</v>
      </c>
      <c r="W1527">
        <v>716.98</v>
      </c>
      <c r="X1527">
        <v>0</v>
      </c>
      <c r="Y1527">
        <v>0</v>
      </c>
      <c r="Z1527">
        <v>68083.520000000004</v>
      </c>
      <c r="AA1527">
        <v>68800.5</v>
      </c>
      <c r="AB1527" s="12" t="s">
        <v>312</v>
      </c>
      <c r="AC1527">
        <v>59.409700000000001</v>
      </c>
      <c r="AD1527">
        <v>1</v>
      </c>
      <c r="AE1527">
        <v>1</v>
      </c>
      <c r="AF1527">
        <v>0</v>
      </c>
      <c r="AG1527">
        <v>68083.520000000004</v>
      </c>
      <c r="AH1527">
        <v>1146</v>
      </c>
      <c r="AI1527">
        <v>1140</v>
      </c>
      <c r="AJ1527">
        <v>6</v>
      </c>
      <c r="AK1527">
        <v>1</v>
      </c>
      <c r="AL1527">
        <v>1</v>
      </c>
      <c r="AM1527">
        <v>99.48</v>
      </c>
      <c r="AN1527">
        <v>60.351300000000002</v>
      </c>
      <c r="AO1527">
        <v>356.46</v>
      </c>
      <c r="AP1527" s="13">
        <v>45286</v>
      </c>
      <c r="AQ1527">
        <v>-2</v>
      </c>
      <c r="AR1527">
        <v>1</v>
      </c>
    </row>
    <row r="1528" spans="1:44" x14ac:dyDescent="0.35">
      <c r="A1528" s="12" t="s">
        <v>2217</v>
      </c>
      <c r="B1528" s="12" t="s">
        <v>241</v>
      </c>
      <c r="C1528" s="12" t="s">
        <v>242</v>
      </c>
      <c r="D1528" s="12" t="s">
        <v>103</v>
      </c>
      <c r="E1528" s="12" t="s">
        <v>142</v>
      </c>
      <c r="F1528">
        <v>3</v>
      </c>
      <c r="G1528">
        <v>11</v>
      </c>
      <c r="H1528">
        <v>0</v>
      </c>
      <c r="I1528" s="12" t="s">
        <v>243</v>
      </c>
      <c r="J1528" s="12" t="s">
        <v>244</v>
      </c>
      <c r="K1528" s="12" t="s">
        <v>81</v>
      </c>
      <c r="L1528" s="12" t="s">
        <v>82</v>
      </c>
      <c r="M1528">
        <v>9.2200000000000006</v>
      </c>
      <c r="N1528" s="12" t="s">
        <v>145</v>
      </c>
      <c r="O1528" s="12" t="s">
        <v>146</v>
      </c>
      <c r="P1528" s="12" t="s">
        <v>109</v>
      </c>
      <c r="Q1528" s="13">
        <v>45244</v>
      </c>
      <c r="R1528" s="13">
        <v>45291</v>
      </c>
      <c r="S1528">
        <v>2023</v>
      </c>
      <c r="T1528" s="12" t="s">
        <v>2132</v>
      </c>
      <c r="U1528">
        <v>108</v>
      </c>
      <c r="V1528">
        <v>164.8845</v>
      </c>
      <c r="W1528">
        <v>373.48</v>
      </c>
      <c r="X1528">
        <v>0</v>
      </c>
      <c r="Y1528">
        <v>0</v>
      </c>
      <c r="Z1528">
        <v>17807.53</v>
      </c>
      <c r="AA1528">
        <v>18181.009999999998</v>
      </c>
      <c r="AB1528" s="12" t="s">
        <v>245</v>
      </c>
      <c r="AC1528">
        <v>164.8845</v>
      </c>
      <c r="AD1528">
        <v>1</v>
      </c>
      <c r="AE1528">
        <v>1</v>
      </c>
      <c r="AF1528">
        <v>0</v>
      </c>
      <c r="AG1528">
        <v>17807.53</v>
      </c>
      <c r="AH1528">
        <v>108</v>
      </c>
      <c r="AI1528">
        <v>107</v>
      </c>
      <c r="AJ1528">
        <v>1</v>
      </c>
      <c r="AK1528">
        <v>1</v>
      </c>
      <c r="AL1528">
        <v>1</v>
      </c>
      <c r="AM1528">
        <v>99.07</v>
      </c>
      <c r="AN1528">
        <v>169.91589999999999</v>
      </c>
      <c r="AO1528">
        <v>164.88</v>
      </c>
      <c r="AP1528" s="13">
        <v>45291</v>
      </c>
      <c r="AQ1528">
        <v>0</v>
      </c>
      <c r="AR1528">
        <v>1</v>
      </c>
    </row>
    <row r="1529" spans="1:44" x14ac:dyDescent="0.35">
      <c r="A1529" s="12" t="s">
        <v>2218</v>
      </c>
      <c r="B1529" s="12" t="s">
        <v>120</v>
      </c>
      <c r="C1529" s="12" t="s">
        <v>121</v>
      </c>
      <c r="D1529" s="12" t="s">
        <v>122</v>
      </c>
      <c r="E1529" s="12" t="s">
        <v>65</v>
      </c>
      <c r="F1529">
        <v>3</v>
      </c>
      <c r="G1529">
        <v>4</v>
      </c>
      <c r="H1529">
        <v>0</v>
      </c>
      <c r="I1529" s="12" t="s">
        <v>123</v>
      </c>
      <c r="J1529" s="12" t="s">
        <v>124</v>
      </c>
      <c r="K1529" s="12" t="s">
        <v>125</v>
      </c>
      <c r="L1529" s="12" t="s">
        <v>82</v>
      </c>
      <c r="M1529">
        <v>6.75</v>
      </c>
      <c r="N1529" s="12" t="s">
        <v>70</v>
      </c>
      <c r="O1529" s="12" t="s">
        <v>71</v>
      </c>
      <c r="P1529" s="12" t="s">
        <v>72</v>
      </c>
      <c r="Q1529" s="13">
        <v>45244</v>
      </c>
      <c r="R1529" s="13">
        <v>45267</v>
      </c>
      <c r="S1529">
        <v>2023</v>
      </c>
      <c r="T1529" s="12" t="s">
        <v>2132</v>
      </c>
      <c r="U1529">
        <v>456</v>
      </c>
      <c r="V1529">
        <v>55.544699999999999</v>
      </c>
      <c r="W1529">
        <v>308.48</v>
      </c>
      <c r="X1529">
        <v>0</v>
      </c>
      <c r="Y1529">
        <v>0</v>
      </c>
      <c r="Z1529">
        <v>25328.38</v>
      </c>
      <c r="AA1529">
        <v>25636.86</v>
      </c>
      <c r="AB1529" s="12" t="s">
        <v>126</v>
      </c>
      <c r="AC1529">
        <v>55.544699999999999</v>
      </c>
      <c r="AD1529">
        <v>1</v>
      </c>
      <c r="AE1529">
        <v>1</v>
      </c>
      <c r="AF1529">
        <v>0</v>
      </c>
      <c r="AG1529">
        <v>25328.38</v>
      </c>
      <c r="AH1529">
        <v>456</v>
      </c>
      <c r="AI1529">
        <v>452</v>
      </c>
      <c r="AJ1529">
        <v>4</v>
      </c>
      <c r="AK1529">
        <v>1</v>
      </c>
      <c r="AL1529">
        <v>1</v>
      </c>
      <c r="AM1529">
        <v>99.12</v>
      </c>
      <c r="AN1529">
        <v>56.718699999999998</v>
      </c>
      <c r="AO1529">
        <v>222.18</v>
      </c>
      <c r="AP1529" s="13">
        <v>45264</v>
      </c>
      <c r="AQ1529">
        <v>-3</v>
      </c>
      <c r="AR1529">
        <v>1</v>
      </c>
    </row>
    <row r="1530" spans="1:44" x14ac:dyDescent="0.35">
      <c r="A1530" s="12" t="s">
        <v>2219</v>
      </c>
      <c r="B1530" s="12" t="s">
        <v>249</v>
      </c>
      <c r="C1530" s="12" t="s">
        <v>250</v>
      </c>
      <c r="D1530" s="12" t="s">
        <v>64</v>
      </c>
      <c r="E1530" s="12" t="s">
        <v>65</v>
      </c>
      <c r="F1530">
        <v>2</v>
      </c>
      <c r="G1530">
        <v>3</v>
      </c>
      <c r="H1530">
        <v>0</v>
      </c>
      <c r="I1530" s="12" t="s">
        <v>251</v>
      </c>
      <c r="J1530" s="12" t="s">
        <v>252</v>
      </c>
      <c r="K1530" s="12" t="s">
        <v>133</v>
      </c>
      <c r="L1530" s="12" t="s">
        <v>69</v>
      </c>
      <c r="M1530">
        <v>34.49</v>
      </c>
      <c r="N1530" s="12" t="s">
        <v>97</v>
      </c>
      <c r="O1530" s="12" t="s">
        <v>98</v>
      </c>
      <c r="P1530" s="12" t="s">
        <v>72</v>
      </c>
      <c r="Q1530" s="13">
        <v>45244</v>
      </c>
      <c r="R1530" s="13">
        <v>45276</v>
      </c>
      <c r="S1530">
        <v>2023</v>
      </c>
      <c r="T1530" s="12" t="s">
        <v>2132</v>
      </c>
      <c r="U1530">
        <v>673</v>
      </c>
      <c r="V1530">
        <v>10.6486</v>
      </c>
      <c r="W1530">
        <v>129.33000000000001</v>
      </c>
      <c r="X1530">
        <v>0</v>
      </c>
      <c r="Y1530">
        <v>0</v>
      </c>
      <c r="Z1530">
        <v>7166.51</v>
      </c>
      <c r="AA1530">
        <v>7295.84</v>
      </c>
      <c r="AB1530" s="12" t="s">
        <v>253</v>
      </c>
      <c r="AC1530">
        <v>10.6486</v>
      </c>
      <c r="AD1530">
        <v>1</v>
      </c>
      <c r="AE1530">
        <v>1</v>
      </c>
      <c r="AF1530">
        <v>0</v>
      </c>
      <c r="AG1530">
        <v>7166.51</v>
      </c>
      <c r="AH1530">
        <v>673</v>
      </c>
      <c r="AI1530">
        <v>665</v>
      </c>
      <c r="AJ1530">
        <v>8</v>
      </c>
      <c r="AK1530">
        <v>1</v>
      </c>
      <c r="AL1530">
        <v>1</v>
      </c>
      <c r="AM1530">
        <v>98.81</v>
      </c>
      <c r="AN1530">
        <v>10.9712</v>
      </c>
      <c r="AO1530">
        <v>85.19</v>
      </c>
      <c r="AP1530" s="13">
        <v>45275</v>
      </c>
      <c r="AQ1530">
        <v>-1</v>
      </c>
      <c r="AR1530">
        <v>1</v>
      </c>
    </row>
    <row r="1531" spans="1:44" x14ac:dyDescent="0.35">
      <c r="A1531" s="12" t="s">
        <v>2220</v>
      </c>
      <c r="B1531" s="12" t="s">
        <v>378</v>
      </c>
      <c r="C1531" s="12" t="s">
        <v>379</v>
      </c>
      <c r="D1531" s="12" t="s">
        <v>64</v>
      </c>
      <c r="E1531" s="12" t="s">
        <v>104</v>
      </c>
      <c r="F1531">
        <v>3</v>
      </c>
      <c r="G1531">
        <v>1</v>
      </c>
      <c r="H1531">
        <v>0</v>
      </c>
      <c r="I1531" s="12" t="s">
        <v>380</v>
      </c>
      <c r="J1531" s="12" t="s">
        <v>381</v>
      </c>
      <c r="K1531" s="12" t="s">
        <v>89</v>
      </c>
      <c r="L1531" s="12" t="s">
        <v>96</v>
      </c>
      <c r="M1531">
        <v>10.210000000000001</v>
      </c>
      <c r="N1531" s="12" t="s">
        <v>97</v>
      </c>
      <c r="O1531" s="12" t="s">
        <v>98</v>
      </c>
      <c r="P1531" s="12" t="s">
        <v>72</v>
      </c>
      <c r="Q1531" s="13">
        <v>45244</v>
      </c>
      <c r="R1531" s="13">
        <v>45271</v>
      </c>
      <c r="S1531">
        <v>2023</v>
      </c>
      <c r="T1531" s="12" t="s">
        <v>2132</v>
      </c>
      <c r="U1531">
        <v>892</v>
      </c>
      <c r="V1531">
        <v>16.160900000000002</v>
      </c>
      <c r="W1531">
        <v>159.79</v>
      </c>
      <c r="X1531">
        <v>0</v>
      </c>
      <c r="Y1531">
        <v>0</v>
      </c>
      <c r="Z1531">
        <v>14415.52</v>
      </c>
      <c r="AA1531">
        <v>14575.31</v>
      </c>
      <c r="AB1531" s="12" t="s">
        <v>382</v>
      </c>
      <c r="AC1531">
        <v>16.160900000000002</v>
      </c>
      <c r="AD1531">
        <v>1</v>
      </c>
      <c r="AE1531">
        <v>1</v>
      </c>
      <c r="AF1531">
        <v>0</v>
      </c>
      <c r="AG1531">
        <v>14415.52</v>
      </c>
      <c r="AH1531">
        <v>892</v>
      </c>
      <c r="AI1531">
        <v>880</v>
      </c>
      <c r="AJ1531">
        <v>12</v>
      </c>
      <c r="AK1531">
        <v>1</v>
      </c>
      <c r="AL1531">
        <v>1</v>
      </c>
      <c r="AM1531">
        <v>98.65</v>
      </c>
      <c r="AN1531">
        <v>16.562899999999999</v>
      </c>
      <c r="AO1531">
        <v>193.93</v>
      </c>
      <c r="AP1531" s="13">
        <v>45271</v>
      </c>
      <c r="AQ1531">
        <v>0</v>
      </c>
      <c r="AR1531">
        <v>1</v>
      </c>
    </row>
    <row r="1532" spans="1:44" x14ac:dyDescent="0.35">
      <c r="A1532" s="12" t="s">
        <v>2221</v>
      </c>
      <c r="B1532" s="12" t="s">
        <v>952</v>
      </c>
      <c r="C1532" s="12" t="s">
        <v>953</v>
      </c>
      <c r="D1532" s="12" t="s">
        <v>64</v>
      </c>
      <c r="E1532" s="12" t="s">
        <v>142</v>
      </c>
      <c r="F1532">
        <v>1</v>
      </c>
      <c r="G1532">
        <v>8</v>
      </c>
      <c r="H1532">
        <v>1</v>
      </c>
      <c r="I1532" s="12" t="s">
        <v>131</v>
      </c>
      <c r="J1532" s="12" t="s">
        <v>132</v>
      </c>
      <c r="K1532" s="12" t="s">
        <v>133</v>
      </c>
      <c r="L1532" s="12" t="s">
        <v>134</v>
      </c>
      <c r="M1532">
        <v>1.51</v>
      </c>
      <c r="N1532" s="12" t="s">
        <v>97</v>
      </c>
      <c r="O1532" s="12" t="s">
        <v>98</v>
      </c>
      <c r="P1532" s="12" t="s">
        <v>72</v>
      </c>
      <c r="Q1532" s="13">
        <v>45244</v>
      </c>
      <c r="R1532" s="13">
        <v>45291</v>
      </c>
      <c r="S1532">
        <v>2023</v>
      </c>
      <c r="T1532" s="12" t="s">
        <v>2132</v>
      </c>
      <c r="U1532">
        <v>700</v>
      </c>
      <c r="V1532">
        <v>29.328600000000002</v>
      </c>
      <c r="W1532">
        <v>185.6</v>
      </c>
      <c r="X1532">
        <v>662.53</v>
      </c>
      <c r="Y1532">
        <v>1</v>
      </c>
      <c r="Z1532">
        <v>20530.02</v>
      </c>
      <c r="AA1532">
        <v>21378.15</v>
      </c>
      <c r="AB1532" s="12" t="s">
        <v>954</v>
      </c>
      <c r="AC1532">
        <v>31.146599999999999</v>
      </c>
      <c r="AD1532">
        <v>1</v>
      </c>
      <c r="AE1532">
        <v>1</v>
      </c>
      <c r="AF1532">
        <v>-1272.5999999999999</v>
      </c>
      <c r="AG1532">
        <v>21802.62</v>
      </c>
      <c r="AH1532">
        <v>700</v>
      </c>
      <c r="AI1532">
        <v>695</v>
      </c>
      <c r="AJ1532">
        <v>5</v>
      </c>
      <c r="AK1532">
        <v>1</v>
      </c>
      <c r="AL1532">
        <v>1</v>
      </c>
      <c r="AM1532">
        <v>99.29</v>
      </c>
      <c r="AN1532">
        <v>30.759899999999998</v>
      </c>
      <c r="AO1532">
        <v>146.63999999999999</v>
      </c>
      <c r="AP1532" s="13">
        <v>45288</v>
      </c>
      <c r="AQ1532">
        <v>-3</v>
      </c>
      <c r="AR1532">
        <v>1</v>
      </c>
    </row>
    <row r="1533" spans="1:44" x14ac:dyDescent="0.35">
      <c r="A1533" s="12" t="s">
        <v>2222</v>
      </c>
      <c r="B1533" s="12" t="s">
        <v>140</v>
      </c>
      <c r="C1533" s="12" t="s">
        <v>141</v>
      </c>
      <c r="D1533" s="12" t="s">
        <v>103</v>
      </c>
      <c r="E1533" s="12" t="s">
        <v>142</v>
      </c>
      <c r="F1533">
        <v>1</v>
      </c>
      <c r="G1533">
        <v>7</v>
      </c>
      <c r="H1533">
        <v>1</v>
      </c>
      <c r="I1533" s="12" t="s">
        <v>143</v>
      </c>
      <c r="J1533" s="12" t="s">
        <v>144</v>
      </c>
      <c r="K1533" s="12" t="s">
        <v>133</v>
      </c>
      <c r="L1533" s="12" t="s">
        <v>96</v>
      </c>
      <c r="M1533">
        <v>5.43</v>
      </c>
      <c r="N1533" s="12" t="s">
        <v>145</v>
      </c>
      <c r="O1533" s="12" t="s">
        <v>146</v>
      </c>
      <c r="P1533" s="12" t="s">
        <v>109</v>
      </c>
      <c r="Q1533" s="13">
        <v>45244</v>
      </c>
      <c r="R1533" s="13">
        <v>45289</v>
      </c>
      <c r="S1533">
        <v>2023</v>
      </c>
      <c r="T1533" s="12" t="s">
        <v>2132</v>
      </c>
      <c r="U1533">
        <v>88</v>
      </c>
      <c r="V1533">
        <v>211.78559999999999</v>
      </c>
      <c r="W1533">
        <v>340.27</v>
      </c>
      <c r="X1533">
        <v>0</v>
      </c>
      <c r="Y1533">
        <v>0</v>
      </c>
      <c r="Z1533">
        <v>18637.13</v>
      </c>
      <c r="AA1533">
        <v>18977.400000000001</v>
      </c>
      <c r="AB1533" s="12" t="s">
        <v>147</v>
      </c>
      <c r="AC1533">
        <v>211.78559999999999</v>
      </c>
      <c r="AD1533">
        <v>1</v>
      </c>
      <c r="AE1533">
        <v>1</v>
      </c>
      <c r="AF1533">
        <v>0</v>
      </c>
      <c r="AG1533">
        <v>18637.13</v>
      </c>
      <c r="AH1533">
        <v>88</v>
      </c>
      <c r="AI1533">
        <v>88</v>
      </c>
      <c r="AJ1533">
        <v>0</v>
      </c>
      <c r="AK1533">
        <v>1</v>
      </c>
      <c r="AL1533">
        <v>1</v>
      </c>
      <c r="AM1533">
        <v>100</v>
      </c>
      <c r="AN1533">
        <v>215.6523</v>
      </c>
      <c r="AO1533">
        <v>0</v>
      </c>
      <c r="AP1533" s="13">
        <v>45289</v>
      </c>
      <c r="AQ1533">
        <v>0</v>
      </c>
      <c r="AR1533">
        <v>1</v>
      </c>
    </row>
    <row r="1534" spans="1:44" x14ac:dyDescent="0.35">
      <c r="A1534" s="12" t="s">
        <v>2223</v>
      </c>
      <c r="B1534" s="12" t="s">
        <v>112</v>
      </c>
      <c r="C1534" s="12" t="s">
        <v>113</v>
      </c>
      <c r="D1534" s="12" t="s">
        <v>114</v>
      </c>
      <c r="E1534" s="12" t="s">
        <v>104</v>
      </c>
      <c r="F1534">
        <v>3</v>
      </c>
      <c r="G1534">
        <v>1</v>
      </c>
      <c r="H1534">
        <v>0</v>
      </c>
      <c r="I1534" s="12" t="s">
        <v>227</v>
      </c>
      <c r="J1534" s="12" t="s">
        <v>228</v>
      </c>
      <c r="K1534" s="12" t="s">
        <v>89</v>
      </c>
      <c r="L1534" s="12" t="s">
        <v>96</v>
      </c>
      <c r="M1534">
        <v>9.15</v>
      </c>
      <c r="N1534" s="12" t="s">
        <v>70</v>
      </c>
      <c r="O1534" s="12" t="s">
        <v>71</v>
      </c>
      <c r="P1534" s="12" t="s">
        <v>72</v>
      </c>
      <c r="Q1534" s="13">
        <v>45245</v>
      </c>
      <c r="R1534" s="13">
        <v>45274</v>
      </c>
      <c r="S1534">
        <v>2023</v>
      </c>
      <c r="T1534" s="12" t="s">
        <v>2132</v>
      </c>
      <c r="U1534">
        <v>146</v>
      </c>
      <c r="V1534">
        <v>264.17590000000001</v>
      </c>
      <c r="W1534">
        <v>525.16999999999996</v>
      </c>
      <c r="X1534">
        <v>0</v>
      </c>
      <c r="Y1534">
        <v>0</v>
      </c>
      <c r="Z1534">
        <v>38569.68</v>
      </c>
      <c r="AA1534">
        <v>39094.85</v>
      </c>
      <c r="AB1534" s="12" t="s">
        <v>282</v>
      </c>
      <c r="AC1534">
        <v>264.17590000000001</v>
      </c>
      <c r="AD1534">
        <v>1</v>
      </c>
      <c r="AE1534">
        <v>1</v>
      </c>
      <c r="AF1534">
        <v>0</v>
      </c>
      <c r="AG1534">
        <v>38569.68</v>
      </c>
      <c r="AH1534">
        <v>146</v>
      </c>
      <c r="AI1534">
        <v>144</v>
      </c>
      <c r="AJ1534">
        <v>2</v>
      </c>
      <c r="AK1534">
        <v>1</v>
      </c>
      <c r="AL1534">
        <v>1</v>
      </c>
      <c r="AM1534">
        <v>98.63</v>
      </c>
      <c r="AN1534">
        <v>271.49200000000002</v>
      </c>
      <c r="AO1534">
        <v>528.35</v>
      </c>
      <c r="AP1534" s="13">
        <v>45274</v>
      </c>
      <c r="AQ1534">
        <v>0</v>
      </c>
      <c r="AR1534">
        <v>1</v>
      </c>
    </row>
    <row r="1535" spans="1:44" x14ac:dyDescent="0.35">
      <c r="A1535" s="12" t="s">
        <v>2224</v>
      </c>
      <c r="B1535" s="12" t="s">
        <v>503</v>
      </c>
      <c r="C1535" s="12" t="s">
        <v>504</v>
      </c>
      <c r="D1535" s="12" t="s">
        <v>103</v>
      </c>
      <c r="E1535" s="12" t="s">
        <v>104</v>
      </c>
      <c r="F1535">
        <v>3</v>
      </c>
      <c r="G1535">
        <v>1</v>
      </c>
      <c r="H1535">
        <v>0</v>
      </c>
      <c r="I1535" s="12" t="s">
        <v>251</v>
      </c>
      <c r="J1535" s="12" t="s">
        <v>252</v>
      </c>
      <c r="K1535" s="12" t="s">
        <v>133</v>
      </c>
      <c r="L1535" s="12" t="s">
        <v>69</v>
      </c>
      <c r="M1535">
        <v>34.49</v>
      </c>
      <c r="N1535" s="12" t="s">
        <v>145</v>
      </c>
      <c r="O1535" s="12" t="s">
        <v>146</v>
      </c>
      <c r="P1535" s="12" t="s">
        <v>109</v>
      </c>
      <c r="Q1535" s="13">
        <v>45245</v>
      </c>
      <c r="R1535" s="13">
        <v>45263</v>
      </c>
      <c r="S1535">
        <v>2023</v>
      </c>
      <c r="T1535" s="12" t="s">
        <v>2132</v>
      </c>
      <c r="U1535">
        <v>60</v>
      </c>
      <c r="V1535">
        <v>158.00909999999999</v>
      </c>
      <c r="W1535">
        <v>120.47</v>
      </c>
      <c r="X1535">
        <v>0</v>
      </c>
      <c r="Y1535">
        <v>0</v>
      </c>
      <c r="Z1535">
        <v>9480.5499999999993</v>
      </c>
      <c r="AA1535">
        <v>9601.02</v>
      </c>
      <c r="AB1535" s="12" t="s">
        <v>1358</v>
      </c>
      <c r="AC1535">
        <v>158.00909999999999</v>
      </c>
      <c r="AD1535">
        <v>1</v>
      </c>
      <c r="AE1535">
        <v>1</v>
      </c>
      <c r="AF1535">
        <v>0</v>
      </c>
      <c r="AG1535">
        <v>9480.5499999999993</v>
      </c>
      <c r="AH1535">
        <v>60</v>
      </c>
      <c r="AI1535">
        <v>60</v>
      </c>
      <c r="AJ1535">
        <v>0</v>
      </c>
      <c r="AK1535">
        <v>1</v>
      </c>
      <c r="AL1535">
        <v>1</v>
      </c>
      <c r="AM1535">
        <v>100</v>
      </c>
      <c r="AN1535">
        <v>160.01689999999999</v>
      </c>
      <c r="AO1535">
        <v>0</v>
      </c>
      <c r="AP1535" s="13">
        <v>45262</v>
      </c>
      <c r="AQ1535">
        <v>-1</v>
      </c>
      <c r="AR1535">
        <v>1</v>
      </c>
    </row>
    <row r="1536" spans="1:44" x14ac:dyDescent="0.35">
      <c r="A1536" s="12" t="s">
        <v>2225</v>
      </c>
      <c r="B1536" s="12" t="s">
        <v>609</v>
      </c>
      <c r="C1536" s="12" t="s">
        <v>610</v>
      </c>
      <c r="D1536" s="12" t="s">
        <v>64</v>
      </c>
      <c r="E1536" s="12" t="s">
        <v>104</v>
      </c>
      <c r="F1536">
        <v>1</v>
      </c>
      <c r="G1536">
        <v>0</v>
      </c>
      <c r="H1536">
        <v>1</v>
      </c>
      <c r="I1536" s="12" t="s">
        <v>227</v>
      </c>
      <c r="J1536" s="12" t="s">
        <v>228</v>
      </c>
      <c r="K1536" s="12" t="s">
        <v>89</v>
      </c>
      <c r="L1536" s="12" t="s">
        <v>96</v>
      </c>
      <c r="M1536">
        <v>9.15</v>
      </c>
      <c r="N1536" s="12" t="s">
        <v>97</v>
      </c>
      <c r="O1536" s="12" t="s">
        <v>98</v>
      </c>
      <c r="P1536" s="12" t="s">
        <v>72</v>
      </c>
      <c r="Q1536" s="13">
        <v>45245</v>
      </c>
      <c r="R1536" s="13">
        <v>45262</v>
      </c>
      <c r="S1536">
        <v>2023</v>
      </c>
      <c r="T1536" s="12" t="s">
        <v>2132</v>
      </c>
      <c r="U1536">
        <v>386</v>
      </c>
      <c r="V1536">
        <v>20.713699999999999</v>
      </c>
      <c r="W1536">
        <v>64.150000000000006</v>
      </c>
      <c r="X1536">
        <v>0</v>
      </c>
      <c r="Y1536">
        <v>0</v>
      </c>
      <c r="Z1536">
        <v>7995.49</v>
      </c>
      <c r="AA1536">
        <v>8059.64</v>
      </c>
      <c r="AB1536" s="12" t="s">
        <v>611</v>
      </c>
      <c r="AC1536">
        <v>20.713699999999999</v>
      </c>
      <c r="AD1536">
        <v>1</v>
      </c>
      <c r="AE1536">
        <v>1</v>
      </c>
      <c r="AF1536">
        <v>0</v>
      </c>
      <c r="AG1536">
        <v>7995.49</v>
      </c>
      <c r="AH1536">
        <v>386</v>
      </c>
      <c r="AI1536">
        <v>385</v>
      </c>
      <c r="AJ1536">
        <v>1</v>
      </c>
      <c r="AK1536">
        <v>1</v>
      </c>
      <c r="AL1536">
        <v>1</v>
      </c>
      <c r="AM1536">
        <v>99.74</v>
      </c>
      <c r="AN1536">
        <v>20.934100000000001</v>
      </c>
      <c r="AO1536">
        <v>20.71</v>
      </c>
      <c r="AP1536" s="13">
        <v>45262</v>
      </c>
      <c r="AQ1536">
        <v>0</v>
      </c>
      <c r="AR1536">
        <v>1</v>
      </c>
    </row>
    <row r="1537" spans="1:44" x14ac:dyDescent="0.35">
      <c r="A1537" s="12" t="s">
        <v>2226</v>
      </c>
      <c r="B1537" s="12" t="s">
        <v>848</v>
      </c>
      <c r="C1537" s="12" t="s">
        <v>849</v>
      </c>
      <c r="D1537" s="12" t="s">
        <v>103</v>
      </c>
      <c r="E1537" s="12" t="s">
        <v>65</v>
      </c>
      <c r="F1537">
        <v>2</v>
      </c>
      <c r="G1537">
        <v>4</v>
      </c>
      <c r="H1537">
        <v>0</v>
      </c>
      <c r="I1537" s="12" t="s">
        <v>87</v>
      </c>
      <c r="J1537" s="12" t="s">
        <v>88</v>
      </c>
      <c r="K1537" s="12" t="s">
        <v>89</v>
      </c>
      <c r="L1537" s="12" t="s">
        <v>69</v>
      </c>
      <c r="M1537">
        <v>14.93</v>
      </c>
      <c r="N1537" s="12" t="s">
        <v>107</v>
      </c>
      <c r="O1537" s="12" t="s">
        <v>108</v>
      </c>
      <c r="P1537" s="12" t="s">
        <v>109</v>
      </c>
      <c r="Q1537" s="13">
        <v>45245</v>
      </c>
      <c r="R1537" s="13">
        <v>45277</v>
      </c>
      <c r="S1537">
        <v>2023</v>
      </c>
      <c r="T1537" s="12" t="s">
        <v>2132</v>
      </c>
      <c r="U1537">
        <v>101</v>
      </c>
      <c r="V1537">
        <v>116.60290000000001</v>
      </c>
      <c r="W1537">
        <v>138.19999999999999</v>
      </c>
      <c r="X1537">
        <v>0</v>
      </c>
      <c r="Y1537">
        <v>0</v>
      </c>
      <c r="Z1537">
        <v>11776.89</v>
      </c>
      <c r="AA1537">
        <v>11915.09</v>
      </c>
      <c r="AB1537" s="12" t="s">
        <v>850</v>
      </c>
      <c r="AC1537">
        <v>123.8275</v>
      </c>
      <c r="AD1537">
        <v>1</v>
      </c>
      <c r="AE1537">
        <v>1</v>
      </c>
      <c r="AF1537">
        <v>-729.68</v>
      </c>
      <c r="AG1537">
        <v>12506.58</v>
      </c>
      <c r="AH1537">
        <v>101</v>
      </c>
      <c r="AI1537">
        <v>100</v>
      </c>
      <c r="AJ1537">
        <v>1</v>
      </c>
      <c r="AK1537">
        <v>1</v>
      </c>
      <c r="AL1537">
        <v>1</v>
      </c>
      <c r="AM1537">
        <v>99.01</v>
      </c>
      <c r="AN1537">
        <v>119.15089999999999</v>
      </c>
      <c r="AO1537">
        <v>116.6</v>
      </c>
      <c r="AP1537" s="13">
        <v>45274</v>
      </c>
      <c r="AQ1537">
        <v>-3</v>
      </c>
      <c r="AR1537">
        <v>1</v>
      </c>
    </row>
    <row r="1538" spans="1:44" x14ac:dyDescent="0.35">
      <c r="A1538" s="12" t="s">
        <v>2227</v>
      </c>
      <c r="B1538" s="12" t="s">
        <v>613</v>
      </c>
      <c r="C1538" s="12" t="s">
        <v>614</v>
      </c>
      <c r="D1538" s="12" t="s">
        <v>130</v>
      </c>
      <c r="E1538" s="12" t="s">
        <v>104</v>
      </c>
      <c r="F1538">
        <v>3</v>
      </c>
      <c r="G1538">
        <v>1</v>
      </c>
      <c r="H1538">
        <v>0</v>
      </c>
      <c r="I1538" s="12" t="s">
        <v>66</v>
      </c>
      <c r="J1538" s="12" t="s">
        <v>67</v>
      </c>
      <c r="K1538" s="12" t="s">
        <v>68</v>
      </c>
      <c r="L1538" s="12" t="s">
        <v>69</v>
      </c>
      <c r="M1538">
        <v>17.66</v>
      </c>
      <c r="N1538" s="12" t="s">
        <v>135</v>
      </c>
      <c r="O1538" s="12" t="s">
        <v>136</v>
      </c>
      <c r="P1538" s="12" t="s">
        <v>137</v>
      </c>
      <c r="Q1538" s="13">
        <v>45245</v>
      </c>
      <c r="R1538" s="13">
        <v>45274</v>
      </c>
      <c r="S1538">
        <v>2023</v>
      </c>
      <c r="T1538" s="12" t="s">
        <v>2132</v>
      </c>
      <c r="U1538">
        <v>144</v>
      </c>
      <c r="V1538">
        <v>195.35140000000001</v>
      </c>
      <c r="W1538">
        <v>601.57000000000005</v>
      </c>
      <c r="X1538">
        <v>847.87</v>
      </c>
      <c r="Y1538">
        <v>1</v>
      </c>
      <c r="Z1538">
        <v>28130.6</v>
      </c>
      <c r="AA1538">
        <v>29580.04</v>
      </c>
      <c r="AB1538" s="12" t="s">
        <v>615</v>
      </c>
      <c r="AC1538">
        <v>195.35140000000001</v>
      </c>
      <c r="AD1538">
        <v>1</v>
      </c>
      <c r="AE1538">
        <v>1</v>
      </c>
      <c r="AF1538">
        <v>0</v>
      </c>
      <c r="AG1538">
        <v>28130.6</v>
      </c>
      <c r="AH1538">
        <v>144</v>
      </c>
      <c r="AI1538">
        <v>142</v>
      </c>
      <c r="AJ1538">
        <v>2</v>
      </c>
      <c r="AK1538">
        <v>1</v>
      </c>
      <c r="AL1538">
        <v>1</v>
      </c>
      <c r="AM1538">
        <v>98.61</v>
      </c>
      <c r="AN1538">
        <v>208.31020000000001</v>
      </c>
      <c r="AO1538">
        <v>390.7</v>
      </c>
      <c r="AP1538" s="13">
        <v>45273</v>
      </c>
      <c r="AQ1538">
        <v>-1</v>
      </c>
      <c r="AR1538">
        <v>1</v>
      </c>
    </row>
    <row r="1539" spans="1:44" x14ac:dyDescent="0.35">
      <c r="A1539" s="12" t="s">
        <v>2228</v>
      </c>
      <c r="B1539" s="12" t="s">
        <v>308</v>
      </c>
      <c r="C1539" s="12" t="s">
        <v>309</v>
      </c>
      <c r="D1539" s="12" t="s">
        <v>122</v>
      </c>
      <c r="E1539" s="12" t="s">
        <v>142</v>
      </c>
      <c r="F1539">
        <v>1</v>
      </c>
      <c r="G1539">
        <v>6</v>
      </c>
      <c r="H1539">
        <v>1</v>
      </c>
      <c r="I1539" s="12" t="s">
        <v>310</v>
      </c>
      <c r="J1539" s="12" t="s">
        <v>311</v>
      </c>
      <c r="K1539" s="12" t="s">
        <v>81</v>
      </c>
      <c r="L1539" s="12" t="s">
        <v>69</v>
      </c>
      <c r="M1539">
        <v>28.3</v>
      </c>
      <c r="N1539" s="12" t="s">
        <v>70</v>
      </c>
      <c r="O1539" s="12" t="s">
        <v>71</v>
      </c>
      <c r="P1539" s="12" t="s">
        <v>72</v>
      </c>
      <c r="Q1539" s="13">
        <v>45245</v>
      </c>
      <c r="R1539" s="13">
        <v>45286</v>
      </c>
      <c r="S1539">
        <v>2023</v>
      </c>
      <c r="T1539" s="12" t="s">
        <v>2132</v>
      </c>
      <c r="U1539">
        <v>879</v>
      </c>
      <c r="V1539">
        <v>59.409700000000001</v>
      </c>
      <c r="W1539">
        <v>798.14</v>
      </c>
      <c r="X1539">
        <v>0</v>
      </c>
      <c r="Y1539">
        <v>0</v>
      </c>
      <c r="Z1539">
        <v>52221.13</v>
      </c>
      <c r="AA1539">
        <v>53019.27</v>
      </c>
      <c r="AB1539" s="12" t="s">
        <v>312</v>
      </c>
      <c r="AC1539">
        <v>59.409700000000001</v>
      </c>
      <c r="AD1539">
        <v>1</v>
      </c>
      <c r="AE1539">
        <v>1</v>
      </c>
      <c r="AF1539">
        <v>0</v>
      </c>
      <c r="AG1539">
        <v>52221.13</v>
      </c>
      <c r="AH1539">
        <v>879</v>
      </c>
      <c r="AI1539">
        <v>871</v>
      </c>
      <c r="AJ1539">
        <v>8</v>
      </c>
      <c r="AK1539">
        <v>1</v>
      </c>
      <c r="AL1539">
        <v>1</v>
      </c>
      <c r="AM1539">
        <v>99.09</v>
      </c>
      <c r="AN1539">
        <v>60.871699999999997</v>
      </c>
      <c r="AO1539">
        <v>475.28</v>
      </c>
      <c r="AP1539" s="13">
        <v>45286</v>
      </c>
      <c r="AQ1539">
        <v>0</v>
      </c>
      <c r="AR1539">
        <v>1</v>
      </c>
    </row>
    <row r="1540" spans="1:44" x14ac:dyDescent="0.35">
      <c r="A1540" s="12" t="s">
        <v>2229</v>
      </c>
      <c r="B1540" s="12" t="s">
        <v>598</v>
      </c>
      <c r="C1540" s="12" t="s">
        <v>599</v>
      </c>
      <c r="D1540" s="12" t="s">
        <v>269</v>
      </c>
      <c r="E1540" s="12" t="s">
        <v>65</v>
      </c>
      <c r="F1540">
        <v>1</v>
      </c>
      <c r="G1540">
        <v>2</v>
      </c>
      <c r="H1540">
        <v>1</v>
      </c>
      <c r="I1540" s="12" t="s">
        <v>176</v>
      </c>
      <c r="J1540" s="12" t="s">
        <v>177</v>
      </c>
      <c r="K1540" s="12" t="s">
        <v>125</v>
      </c>
      <c r="L1540" s="12" t="s">
        <v>134</v>
      </c>
      <c r="M1540">
        <v>1.75</v>
      </c>
      <c r="N1540" s="12" t="s">
        <v>159</v>
      </c>
      <c r="O1540" s="12" t="s">
        <v>160</v>
      </c>
      <c r="P1540" s="12" t="s">
        <v>137</v>
      </c>
      <c r="Q1540" s="13">
        <v>45245</v>
      </c>
      <c r="R1540" s="13">
        <v>45279</v>
      </c>
      <c r="S1540">
        <v>2023</v>
      </c>
      <c r="T1540" s="12" t="s">
        <v>2132</v>
      </c>
      <c r="U1540">
        <v>115</v>
      </c>
      <c r="V1540">
        <v>454.90469999999999</v>
      </c>
      <c r="W1540">
        <v>1109.9000000000001</v>
      </c>
      <c r="X1540">
        <v>0</v>
      </c>
      <c r="Y1540">
        <v>0</v>
      </c>
      <c r="Z1540">
        <v>52314.04</v>
      </c>
      <c r="AA1540">
        <v>53423.94</v>
      </c>
      <c r="AB1540" s="12" t="s">
        <v>600</v>
      </c>
      <c r="AC1540">
        <v>454.90469999999999</v>
      </c>
      <c r="AD1540">
        <v>1</v>
      </c>
      <c r="AE1540">
        <v>1</v>
      </c>
      <c r="AF1540">
        <v>0</v>
      </c>
      <c r="AG1540">
        <v>52314.04</v>
      </c>
      <c r="AH1540">
        <v>115</v>
      </c>
      <c r="AI1540">
        <v>114</v>
      </c>
      <c r="AJ1540">
        <v>1</v>
      </c>
      <c r="AK1540">
        <v>1</v>
      </c>
      <c r="AL1540">
        <v>1</v>
      </c>
      <c r="AM1540">
        <v>99.13</v>
      </c>
      <c r="AN1540">
        <v>468.6311</v>
      </c>
      <c r="AO1540">
        <v>454.9</v>
      </c>
      <c r="AP1540" s="13">
        <v>45279</v>
      </c>
      <c r="AQ1540">
        <v>0</v>
      </c>
      <c r="AR1540">
        <v>1</v>
      </c>
    </row>
    <row r="1541" spans="1:44" x14ac:dyDescent="0.35">
      <c r="A1541" s="12" t="s">
        <v>2230</v>
      </c>
      <c r="B1541" s="12" t="s">
        <v>747</v>
      </c>
      <c r="C1541" s="12" t="s">
        <v>748</v>
      </c>
      <c r="D1541" s="12" t="s">
        <v>114</v>
      </c>
      <c r="E1541" s="12" t="s">
        <v>104</v>
      </c>
      <c r="F1541">
        <v>2</v>
      </c>
      <c r="G1541">
        <v>0</v>
      </c>
      <c r="H1541">
        <v>0</v>
      </c>
      <c r="I1541" s="12" t="s">
        <v>251</v>
      </c>
      <c r="J1541" s="12" t="s">
        <v>252</v>
      </c>
      <c r="K1541" s="12" t="s">
        <v>133</v>
      </c>
      <c r="L1541" s="12" t="s">
        <v>69</v>
      </c>
      <c r="M1541">
        <v>34.49</v>
      </c>
      <c r="N1541" s="12" t="s">
        <v>97</v>
      </c>
      <c r="O1541" s="12" t="s">
        <v>98</v>
      </c>
      <c r="P1541" s="12" t="s">
        <v>72</v>
      </c>
      <c r="Q1541" s="13">
        <v>45245</v>
      </c>
      <c r="R1541" s="13">
        <v>45266</v>
      </c>
      <c r="S1541">
        <v>2023</v>
      </c>
      <c r="T1541" s="12" t="s">
        <v>2132</v>
      </c>
      <c r="U1541">
        <v>80</v>
      </c>
      <c r="V1541">
        <v>245.56890000000001</v>
      </c>
      <c r="W1541">
        <v>283.64999999999998</v>
      </c>
      <c r="X1541">
        <v>0</v>
      </c>
      <c r="Y1541">
        <v>0</v>
      </c>
      <c r="Z1541">
        <v>19645.509999999998</v>
      </c>
      <c r="AA1541">
        <v>19929.16</v>
      </c>
      <c r="AB1541" s="12" t="s">
        <v>749</v>
      </c>
      <c r="AC1541">
        <v>245.56890000000001</v>
      </c>
      <c r="AD1541">
        <v>1</v>
      </c>
      <c r="AE1541">
        <v>1</v>
      </c>
      <c r="AF1541">
        <v>0</v>
      </c>
      <c r="AG1541">
        <v>19645.509999999998</v>
      </c>
      <c r="AH1541">
        <v>80</v>
      </c>
      <c r="AI1541">
        <v>79</v>
      </c>
      <c r="AJ1541">
        <v>1</v>
      </c>
      <c r="AK1541">
        <v>1</v>
      </c>
      <c r="AL1541">
        <v>1</v>
      </c>
      <c r="AM1541">
        <v>98.75</v>
      </c>
      <c r="AN1541">
        <v>252.2679</v>
      </c>
      <c r="AO1541">
        <v>245.57</v>
      </c>
      <c r="AP1541" s="13">
        <v>45275</v>
      </c>
      <c r="AQ1541">
        <v>9</v>
      </c>
      <c r="AR1541">
        <v>0</v>
      </c>
    </row>
    <row r="1542" spans="1:44" x14ac:dyDescent="0.35">
      <c r="A1542" s="12" t="s">
        <v>2231</v>
      </c>
      <c r="B1542" s="12" t="s">
        <v>249</v>
      </c>
      <c r="C1542" s="12" t="s">
        <v>250</v>
      </c>
      <c r="D1542" s="12" t="s">
        <v>64</v>
      </c>
      <c r="E1542" s="12" t="s">
        <v>65</v>
      </c>
      <c r="F1542">
        <v>2</v>
      </c>
      <c r="G1542">
        <v>3</v>
      </c>
      <c r="H1542">
        <v>0</v>
      </c>
      <c r="I1542" s="12" t="s">
        <v>251</v>
      </c>
      <c r="J1542" s="12" t="s">
        <v>252</v>
      </c>
      <c r="K1542" s="12" t="s">
        <v>133</v>
      </c>
      <c r="L1542" s="12" t="s">
        <v>69</v>
      </c>
      <c r="M1542">
        <v>34.49</v>
      </c>
      <c r="N1542" s="12" t="s">
        <v>70</v>
      </c>
      <c r="O1542" s="12" t="s">
        <v>71</v>
      </c>
      <c r="P1542" s="12" t="s">
        <v>72</v>
      </c>
      <c r="Q1542" s="13">
        <v>45245</v>
      </c>
      <c r="R1542" s="13">
        <v>45269</v>
      </c>
      <c r="S1542">
        <v>2023</v>
      </c>
      <c r="T1542" s="12" t="s">
        <v>2132</v>
      </c>
      <c r="U1542">
        <v>265</v>
      </c>
      <c r="V1542">
        <v>10.6486</v>
      </c>
      <c r="W1542">
        <v>50.4</v>
      </c>
      <c r="X1542">
        <v>0</v>
      </c>
      <c r="Y1542">
        <v>0</v>
      </c>
      <c r="Z1542">
        <v>2821.88</v>
      </c>
      <c r="AA1542">
        <v>2872.28</v>
      </c>
      <c r="AB1542" s="12" t="s">
        <v>253</v>
      </c>
      <c r="AC1542">
        <v>10.6486</v>
      </c>
      <c r="AD1542">
        <v>1</v>
      </c>
      <c r="AE1542">
        <v>1</v>
      </c>
      <c r="AF1542">
        <v>0</v>
      </c>
      <c r="AG1542">
        <v>2821.88</v>
      </c>
      <c r="AH1542">
        <v>265</v>
      </c>
      <c r="AI1542">
        <v>263</v>
      </c>
      <c r="AJ1542">
        <v>2</v>
      </c>
      <c r="AK1542">
        <v>1</v>
      </c>
      <c r="AL1542">
        <v>1</v>
      </c>
      <c r="AM1542">
        <v>99.25</v>
      </c>
      <c r="AN1542">
        <v>10.921200000000001</v>
      </c>
      <c r="AO1542">
        <v>21.3</v>
      </c>
      <c r="AP1542" s="13">
        <v>45272</v>
      </c>
      <c r="AQ1542">
        <v>3</v>
      </c>
      <c r="AR1542">
        <v>0</v>
      </c>
    </row>
    <row r="1543" spans="1:44" x14ac:dyDescent="0.35">
      <c r="A1543" s="12" t="s">
        <v>2232</v>
      </c>
      <c r="B1543" s="12" t="s">
        <v>267</v>
      </c>
      <c r="C1543" s="12" t="s">
        <v>268</v>
      </c>
      <c r="D1543" s="12" t="s">
        <v>269</v>
      </c>
      <c r="E1543" s="12" t="s">
        <v>142</v>
      </c>
      <c r="F1543">
        <v>1</v>
      </c>
      <c r="G1543">
        <v>8</v>
      </c>
      <c r="H1543">
        <v>1</v>
      </c>
      <c r="I1543" s="12" t="s">
        <v>94</v>
      </c>
      <c r="J1543" s="12" t="s">
        <v>95</v>
      </c>
      <c r="K1543" s="12" t="s">
        <v>81</v>
      </c>
      <c r="L1543" s="12" t="s">
        <v>96</v>
      </c>
      <c r="M1543">
        <v>4.8099999999999996</v>
      </c>
      <c r="N1543" s="12" t="s">
        <v>135</v>
      </c>
      <c r="O1543" s="12" t="s">
        <v>136</v>
      </c>
      <c r="P1543" s="12" t="s">
        <v>137</v>
      </c>
      <c r="Q1543" s="13">
        <v>45245</v>
      </c>
      <c r="R1543" s="13">
        <v>45285</v>
      </c>
      <c r="S1543">
        <v>2023</v>
      </c>
      <c r="T1543" s="12" t="s">
        <v>2132</v>
      </c>
      <c r="U1543">
        <v>50</v>
      </c>
      <c r="V1543">
        <v>260.83659999999998</v>
      </c>
      <c r="W1543">
        <v>185.36</v>
      </c>
      <c r="X1543">
        <v>0</v>
      </c>
      <c r="Y1543">
        <v>0</v>
      </c>
      <c r="Z1543">
        <v>13041.83</v>
      </c>
      <c r="AA1543">
        <v>13227.19</v>
      </c>
      <c r="AB1543" s="12" t="s">
        <v>270</v>
      </c>
      <c r="AC1543">
        <v>247.31829999999999</v>
      </c>
      <c r="AD1543">
        <v>1</v>
      </c>
      <c r="AE1543">
        <v>1</v>
      </c>
      <c r="AF1543">
        <v>675.92</v>
      </c>
      <c r="AG1543">
        <v>12365.92</v>
      </c>
      <c r="AH1543">
        <v>50</v>
      </c>
      <c r="AI1543">
        <v>50</v>
      </c>
      <c r="AJ1543">
        <v>0</v>
      </c>
      <c r="AK1543">
        <v>1</v>
      </c>
      <c r="AL1543">
        <v>1</v>
      </c>
      <c r="AM1543">
        <v>100</v>
      </c>
      <c r="AN1543">
        <v>264.54379999999998</v>
      </c>
      <c r="AO1543">
        <v>0</v>
      </c>
      <c r="AP1543" s="13">
        <v>45283</v>
      </c>
      <c r="AQ1543">
        <v>-2</v>
      </c>
      <c r="AR1543">
        <v>1</v>
      </c>
    </row>
    <row r="1544" spans="1:44" x14ac:dyDescent="0.35">
      <c r="A1544" s="12" t="s">
        <v>2233</v>
      </c>
      <c r="B1544" s="12" t="s">
        <v>231</v>
      </c>
      <c r="C1544" s="12" t="s">
        <v>232</v>
      </c>
      <c r="D1544" s="12" t="s">
        <v>130</v>
      </c>
      <c r="E1544" s="12" t="s">
        <v>65</v>
      </c>
      <c r="F1544">
        <v>1</v>
      </c>
      <c r="G1544">
        <v>2</v>
      </c>
      <c r="H1544">
        <v>1</v>
      </c>
      <c r="I1544" s="12" t="s">
        <v>233</v>
      </c>
      <c r="J1544" s="12" t="s">
        <v>234</v>
      </c>
      <c r="K1544" s="12" t="s">
        <v>125</v>
      </c>
      <c r="L1544" s="12" t="s">
        <v>96</v>
      </c>
      <c r="M1544">
        <v>3.73</v>
      </c>
      <c r="N1544" s="12" t="s">
        <v>159</v>
      </c>
      <c r="O1544" s="12" t="s">
        <v>160</v>
      </c>
      <c r="P1544" s="12" t="s">
        <v>137</v>
      </c>
      <c r="Q1544" s="13">
        <v>45245</v>
      </c>
      <c r="R1544" s="13">
        <v>45283</v>
      </c>
      <c r="S1544">
        <v>2023</v>
      </c>
      <c r="T1544" s="12" t="s">
        <v>2132</v>
      </c>
      <c r="U1544">
        <v>148</v>
      </c>
      <c r="V1544">
        <v>4164.0039999999999</v>
      </c>
      <c r="W1544">
        <v>1297.32</v>
      </c>
      <c r="X1544">
        <v>0</v>
      </c>
      <c r="Y1544">
        <v>0</v>
      </c>
      <c r="Z1544">
        <v>616272.59</v>
      </c>
      <c r="AA1544">
        <v>617569.91</v>
      </c>
      <c r="AB1544" s="12" t="s">
        <v>235</v>
      </c>
      <c r="AC1544">
        <v>416.40039999999999</v>
      </c>
      <c r="AD1544">
        <v>1</v>
      </c>
      <c r="AE1544">
        <v>1</v>
      </c>
      <c r="AF1544">
        <v>554645.32999999996</v>
      </c>
      <c r="AG1544">
        <v>61627.26</v>
      </c>
      <c r="AH1544">
        <v>148</v>
      </c>
      <c r="AI1544">
        <v>146</v>
      </c>
      <c r="AJ1544">
        <v>2</v>
      </c>
      <c r="AK1544">
        <v>1</v>
      </c>
      <c r="AL1544">
        <v>1</v>
      </c>
      <c r="AM1544">
        <v>98.65</v>
      </c>
      <c r="AN1544">
        <v>4229.9309000000003</v>
      </c>
      <c r="AO1544">
        <v>8328.01</v>
      </c>
      <c r="AP1544" s="13">
        <v>45281</v>
      </c>
      <c r="AQ1544">
        <v>-2</v>
      </c>
      <c r="AR1544">
        <v>1</v>
      </c>
    </row>
    <row r="1545" spans="1:44" x14ac:dyDescent="0.35">
      <c r="A1545" s="12" t="s">
        <v>2234</v>
      </c>
      <c r="B1545" s="12" t="s">
        <v>712</v>
      </c>
      <c r="C1545" s="12" t="s">
        <v>713</v>
      </c>
      <c r="D1545" s="12" t="s">
        <v>103</v>
      </c>
      <c r="E1545" s="12" t="s">
        <v>104</v>
      </c>
      <c r="F1545">
        <v>2</v>
      </c>
      <c r="G1545">
        <v>0</v>
      </c>
      <c r="H1545">
        <v>0</v>
      </c>
      <c r="I1545" s="12" t="s">
        <v>105</v>
      </c>
      <c r="J1545" s="12" t="s">
        <v>106</v>
      </c>
      <c r="K1545" s="12" t="s">
        <v>81</v>
      </c>
      <c r="L1545" s="12" t="s">
        <v>96</v>
      </c>
      <c r="M1545">
        <v>5.01</v>
      </c>
      <c r="N1545" s="12" t="s">
        <v>145</v>
      </c>
      <c r="O1545" s="12" t="s">
        <v>146</v>
      </c>
      <c r="P1545" s="12" t="s">
        <v>109</v>
      </c>
      <c r="Q1545" s="13">
        <v>45245</v>
      </c>
      <c r="R1545" s="13">
        <v>45273</v>
      </c>
      <c r="S1545">
        <v>2023</v>
      </c>
      <c r="T1545" s="12" t="s">
        <v>2132</v>
      </c>
      <c r="U1545">
        <v>136</v>
      </c>
      <c r="V1545">
        <v>202.47229999999999</v>
      </c>
      <c r="W1545">
        <v>297.26</v>
      </c>
      <c r="X1545">
        <v>0</v>
      </c>
      <c r="Y1545">
        <v>0</v>
      </c>
      <c r="Z1545">
        <v>27536.23</v>
      </c>
      <c r="AA1545">
        <v>27833.49</v>
      </c>
      <c r="AB1545" s="12" t="s">
        <v>1451</v>
      </c>
      <c r="AC1545">
        <v>202.47229999999999</v>
      </c>
      <c r="AD1545">
        <v>1</v>
      </c>
      <c r="AE1545">
        <v>1</v>
      </c>
      <c r="AF1545">
        <v>0</v>
      </c>
      <c r="AG1545">
        <v>27536.23</v>
      </c>
      <c r="AH1545">
        <v>136</v>
      </c>
      <c r="AI1545">
        <v>135</v>
      </c>
      <c r="AJ1545">
        <v>1</v>
      </c>
      <c r="AK1545">
        <v>1</v>
      </c>
      <c r="AL1545">
        <v>1</v>
      </c>
      <c r="AM1545">
        <v>99.26</v>
      </c>
      <c r="AN1545">
        <v>206.17400000000001</v>
      </c>
      <c r="AO1545">
        <v>202.47</v>
      </c>
      <c r="AP1545" s="13">
        <v>45270</v>
      </c>
      <c r="AQ1545">
        <v>-3</v>
      </c>
      <c r="AR1545">
        <v>1</v>
      </c>
    </row>
    <row r="1546" spans="1:44" x14ac:dyDescent="0.35">
      <c r="A1546" s="12" t="s">
        <v>2235</v>
      </c>
      <c r="B1546" s="12" t="s">
        <v>602</v>
      </c>
      <c r="C1546" s="12" t="s">
        <v>603</v>
      </c>
      <c r="D1546" s="12" t="s">
        <v>114</v>
      </c>
      <c r="E1546" s="12" t="s">
        <v>142</v>
      </c>
      <c r="F1546">
        <v>2</v>
      </c>
      <c r="G1546">
        <v>10</v>
      </c>
      <c r="H1546">
        <v>0</v>
      </c>
      <c r="I1546" s="12" t="s">
        <v>604</v>
      </c>
      <c r="J1546" s="12" t="s">
        <v>605</v>
      </c>
      <c r="K1546" s="12" t="s">
        <v>68</v>
      </c>
      <c r="L1546" s="12" t="s">
        <v>82</v>
      </c>
      <c r="M1546">
        <v>7.24</v>
      </c>
      <c r="N1546" s="12" t="s">
        <v>97</v>
      </c>
      <c r="O1546" s="12" t="s">
        <v>98</v>
      </c>
      <c r="P1546" s="12" t="s">
        <v>72</v>
      </c>
      <c r="Q1546" s="13">
        <v>45245</v>
      </c>
      <c r="R1546" s="13">
        <v>45288</v>
      </c>
      <c r="S1546">
        <v>2023</v>
      </c>
      <c r="T1546" s="12" t="s">
        <v>2132</v>
      </c>
      <c r="U1546">
        <v>75</v>
      </c>
      <c r="V1546">
        <v>213.4624</v>
      </c>
      <c r="W1546">
        <v>254.46</v>
      </c>
      <c r="X1546">
        <v>0</v>
      </c>
      <c r="Y1546">
        <v>0</v>
      </c>
      <c r="Z1546">
        <v>16009.68</v>
      </c>
      <c r="AA1546">
        <v>16264.14</v>
      </c>
      <c r="AB1546" s="12" t="s">
        <v>606</v>
      </c>
      <c r="AC1546">
        <v>213.4624</v>
      </c>
      <c r="AD1546">
        <v>1</v>
      </c>
      <c r="AE1546">
        <v>1</v>
      </c>
      <c r="AF1546">
        <v>0</v>
      </c>
      <c r="AG1546">
        <v>16009.68</v>
      </c>
      <c r="AH1546">
        <v>75</v>
      </c>
      <c r="AI1546">
        <v>74</v>
      </c>
      <c r="AJ1546">
        <v>1</v>
      </c>
      <c r="AK1546">
        <v>1</v>
      </c>
      <c r="AL1546">
        <v>1</v>
      </c>
      <c r="AM1546">
        <v>98.67</v>
      </c>
      <c r="AN1546">
        <v>219.78569999999999</v>
      </c>
      <c r="AO1546">
        <v>213.46</v>
      </c>
      <c r="AP1546" s="13">
        <v>45285</v>
      </c>
      <c r="AQ1546">
        <v>-3</v>
      </c>
      <c r="AR1546">
        <v>1</v>
      </c>
    </row>
    <row r="1547" spans="1:44" x14ac:dyDescent="0.35">
      <c r="A1547" s="12" t="s">
        <v>2236</v>
      </c>
      <c r="B1547" s="12" t="s">
        <v>537</v>
      </c>
      <c r="C1547" s="12" t="s">
        <v>538</v>
      </c>
      <c r="D1547" s="12" t="s">
        <v>103</v>
      </c>
      <c r="E1547" s="12" t="s">
        <v>104</v>
      </c>
      <c r="F1547">
        <v>3</v>
      </c>
      <c r="G1547">
        <v>0</v>
      </c>
      <c r="H1547">
        <v>0</v>
      </c>
      <c r="I1547" s="12" t="s">
        <v>380</v>
      </c>
      <c r="J1547" s="12" t="s">
        <v>381</v>
      </c>
      <c r="K1547" s="12" t="s">
        <v>89</v>
      </c>
      <c r="L1547" s="12" t="s">
        <v>96</v>
      </c>
      <c r="M1547">
        <v>10.210000000000001</v>
      </c>
      <c r="N1547" s="12" t="s">
        <v>107</v>
      </c>
      <c r="O1547" s="12" t="s">
        <v>108</v>
      </c>
      <c r="P1547" s="12" t="s">
        <v>109</v>
      </c>
      <c r="Q1547" s="13">
        <v>45246</v>
      </c>
      <c r="R1547" s="13">
        <v>45269</v>
      </c>
      <c r="S1547">
        <v>2023</v>
      </c>
      <c r="T1547" s="12" t="s">
        <v>2132</v>
      </c>
      <c r="U1547">
        <v>96</v>
      </c>
      <c r="V1547">
        <v>242.5684</v>
      </c>
      <c r="W1547">
        <v>301.08</v>
      </c>
      <c r="X1547">
        <v>0</v>
      </c>
      <c r="Y1547">
        <v>0</v>
      </c>
      <c r="Z1547">
        <v>23286.57</v>
      </c>
      <c r="AA1547">
        <v>23587.65</v>
      </c>
      <c r="AB1547" s="12" t="s">
        <v>539</v>
      </c>
      <c r="AC1547">
        <v>242.5684</v>
      </c>
      <c r="AD1547">
        <v>1</v>
      </c>
      <c r="AE1547">
        <v>1</v>
      </c>
      <c r="AF1547">
        <v>0</v>
      </c>
      <c r="AG1547">
        <v>23286.57</v>
      </c>
      <c r="AH1547">
        <v>96</v>
      </c>
      <c r="AI1547">
        <v>95</v>
      </c>
      <c r="AJ1547">
        <v>1</v>
      </c>
      <c r="AK1547">
        <v>1</v>
      </c>
      <c r="AL1547">
        <v>1</v>
      </c>
      <c r="AM1547">
        <v>98.96</v>
      </c>
      <c r="AN1547">
        <v>248.291</v>
      </c>
      <c r="AO1547">
        <v>242.57</v>
      </c>
      <c r="AP1547" s="13">
        <v>45266</v>
      </c>
      <c r="AQ1547">
        <v>-3</v>
      </c>
      <c r="AR1547">
        <v>1</v>
      </c>
    </row>
    <row r="1548" spans="1:44" x14ac:dyDescent="0.35">
      <c r="A1548" s="12" t="s">
        <v>2237</v>
      </c>
      <c r="B1548" s="12" t="s">
        <v>112</v>
      </c>
      <c r="C1548" s="12" t="s">
        <v>113</v>
      </c>
      <c r="D1548" s="12" t="s">
        <v>114</v>
      </c>
      <c r="E1548" s="12" t="s">
        <v>104</v>
      </c>
      <c r="F1548">
        <v>3</v>
      </c>
      <c r="G1548">
        <v>1</v>
      </c>
      <c r="H1548">
        <v>0</v>
      </c>
      <c r="I1548" s="12" t="s">
        <v>233</v>
      </c>
      <c r="J1548" s="12" t="s">
        <v>234</v>
      </c>
      <c r="K1548" s="12" t="s">
        <v>125</v>
      </c>
      <c r="L1548" s="12" t="s">
        <v>96</v>
      </c>
      <c r="M1548">
        <v>3.73</v>
      </c>
      <c r="N1548" s="12" t="s">
        <v>97</v>
      </c>
      <c r="O1548" s="12" t="s">
        <v>98</v>
      </c>
      <c r="P1548" s="12" t="s">
        <v>72</v>
      </c>
      <c r="Q1548" s="13">
        <v>45246</v>
      </c>
      <c r="R1548" s="13">
        <v>45260</v>
      </c>
      <c r="S1548">
        <v>2023</v>
      </c>
      <c r="T1548" s="12" t="s">
        <v>2132</v>
      </c>
      <c r="U1548">
        <v>33</v>
      </c>
      <c r="V1548">
        <v>303.77699999999999</v>
      </c>
      <c r="W1548">
        <v>119.61</v>
      </c>
      <c r="X1548">
        <v>0</v>
      </c>
      <c r="Y1548">
        <v>0</v>
      </c>
      <c r="Z1548">
        <v>10024.64</v>
      </c>
      <c r="AA1548">
        <v>10144.25</v>
      </c>
      <c r="AB1548" s="12" t="s">
        <v>201</v>
      </c>
      <c r="AD1548">
        <v>0</v>
      </c>
      <c r="AE1548">
        <v>0</v>
      </c>
      <c r="AH1548">
        <v>33</v>
      </c>
      <c r="AI1548">
        <v>33</v>
      </c>
      <c r="AJ1548">
        <v>0</v>
      </c>
      <c r="AK1548">
        <v>1</v>
      </c>
      <c r="AL1548">
        <v>1</v>
      </c>
      <c r="AM1548">
        <v>100</v>
      </c>
      <c r="AN1548">
        <v>307.4015</v>
      </c>
      <c r="AO1548">
        <v>0</v>
      </c>
      <c r="AP1548" s="13">
        <v>45260</v>
      </c>
      <c r="AQ1548">
        <v>0</v>
      </c>
      <c r="AR1548">
        <v>1</v>
      </c>
    </row>
    <row r="1549" spans="1:44" x14ac:dyDescent="0.35">
      <c r="A1549" s="12" t="s">
        <v>2238</v>
      </c>
      <c r="B1549" s="12" t="s">
        <v>1220</v>
      </c>
      <c r="C1549" s="12" t="s">
        <v>1221</v>
      </c>
      <c r="D1549" s="12" t="s">
        <v>175</v>
      </c>
      <c r="E1549" s="12" t="s">
        <v>104</v>
      </c>
      <c r="F1549">
        <v>3</v>
      </c>
      <c r="G1549">
        <v>1</v>
      </c>
      <c r="H1549">
        <v>0</v>
      </c>
      <c r="I1549" s="12" t="s">
        <v>251</v>
      </c>
      <c r="J1549" s="12" t="s">
        <v>252</v>
      </c>
      <c r="K1549" s="12" t="s">
        <v>133</v>
      </c>
      <c r="L1549" s="12" t="s">
        <v>69</v>
      </c>
      <c r="M1549">
        <v>34.49</v>
      </c>
      <c r="N1549" s="12" t="s">
        <v>107</v>
      </c>
      <c r="O1549" s="12" t="s">
        <v>108</v>
      </c>
      <c r="P1549" s="12" t="s">
        <v>109</v>
      </c>
      <c r="Q1549" s="13">
        <v>45246</v>
      </c>
      <c r="R1549" s="13">
        <v>45273</v>
      </c>
      <c r="S1549">
        <v>2023</v>
      </c>
      <c r="T1549" s="12" t="s">
        <v>2132</v>
      </c>
      <c r="U1549">
        <v>129</v>
      </c>
      <c r="V1549">
        <v>138.98759999999999</v>
      </c>
      <c r="W1549">
        <v>313.57</v>
      </c>
      <c r="X1549">
        <v>0</v>
      </c>
      <c r="Y1549">
        <v>0</v>
      </c>
      <c r="Z1549">
        <v>17929.400000000001</v>
      </c>
      <c r="AA1549">
        <v>18242.97</v>
      </c>
      <c r="AB1549" s="12" t="s">
        <v>1438</v>
      </c>
      <c r="AC1549">
        <v>138.98759999999999</v>
      </c>
      <c r="AD1549">
        <v>1</v>
      </c>
      <c r="AE1549">
        <v>1</v>
      </c>
      <c r="AF1549">
        <v>0</v>
      </c>
      <c r="AG1549">
        <v>17929.400000000001</v>
      </c>
      <c r="AH1549">
        <v>129</v>
      </c>
      <c r="AI1549">
        <v>129</v>
      </c>
      <c r="AJ1549">
        <v>0</v>
      </c>
      <c r="AK1549">
        <v>1</v>
      </c>
      <c r="AL1549">
        <v>1</v>
      </c>
      <c r="AM1549">
        <v>100</v>
      </c>
      <c r="AN1549">
        <v>141.41839999999999</v>
      </c>
      <c r="AO1549">
        <v>0</v>
      </c>
      <c r="AP1549" s="13">
        <v>45271</v>
      </c>
      <c r="AQ1549">
        <v>-2</v>
      </c>
      <c r="AR1549">
        <v>1</v>
      </c>
    </row>
    <row r="1550" spans="1:44" x14ac:dyDescent="0.35">
      <c r="A1550" s="12" t="s">
        <v>2239</v>
      </c>
      <c r="B1550" s="12" t="s">
        <v>848</v>
      </c>
      <c r="C1550" s="12" t="s">
        <v>849</v>
      </c>
      <c r="D1550" s="12" t="s">
        <v>103</v>
      </c>
      <c r="E1550" s="12" t="s">
        <v>65</v>
      </c>
      <c r="F1550">
        <v>2</v>
      </c>
      <c r="G1550">
        <v>4</v>
      </c>
      <c r="H1550">
        <v>0</v>
      </c>
      <c r="I1550" s="12" t="s">
        <v>87</v>
      </c>
      <c r="J1550" s="12" t="s">
        <v>88</v>
      </c>
      <c r="K1550" s="12" t="s">
        <v>89</v>
      </c>
      <c r="L1550" s="12" t="s">
        <v>69</v>
      </c>
      <c r="M1550">
        <v>14.93</v>
      </c>
      <c r="N1550" s="12" t="s">
        <v>145</v>
      </c>
      <c r="O1550" s="12" t="s">
        <v>146</v>
      </c>
      <c r="P1550" s="12" t="s">
        <v>109</v>
      </c>
      <c r="Q1550" s="13">
        <v>45246</v>
      </c>
      <c r="R1550" s="13">
        <v>45272</v>
      </c>
      <c r="S1550">
        <v>2023</v>
      </c>
      <c r="T1550" s="12" t="s">
        <v>2132</v>
      </c>
      <c r="U1550">
        <v>54</v>
      </c>
      <c r="V1550">
        <v>116.55589999999999</v>
      </c>
      <c r="W1550">
        <v>129.34</v>
      </c>
      <c r="X1550">
        <v>0</v>
      </c>
      <c r="Y1550">
        <v>0</v>
      </c>
      <c r="Z1550">
        <v>6294.02</v>
      </c>
      <c r="AA1550">
        <v>6423.36</v>
      </c>
      <c r="AB1550" s="12" t="s">
        <v>850</v>
      </c>
      <c r="AC1550">
        <v>123.8275</v>
      </c>
      <c r="AD1550">
        <v>1</v>
      </c>
      <c r="AE1550">
        <v>1</v>
      </c>
      <c r="AF1550">
        <v>-392.67</v>
      </c>
      <c r="AG1550">
        <v>6686.69</v>
      </c>
      <c r="AH1550">
        <v>54</v>
      </c>
      <c r="AI1550">
        <v>54</v>
      </c>
      <c r="AJ1550">
        <v>0</v>
      </c>
      <c r="AK1550">
        <v>1</v>
      </c>
      <c r="AL1550">
        <v>1</v>
      </c>
      <c r="AM1550">
        <v>100</v>
      </c>
      <c r="AN1550">
        <v>118.9511</v>
      </c>
      <c r="AO1550">
        <v>0</v>
      </c>
      <c r="AP1550" s="13">
        <v>45270</v>
      </c>
      <c r="AQ1550">
        <v>-2</v>
      </c>
      <c r="AR1550">
        <v>1</v>
      </c>
    </row>
    <row r="1551" spans="1:44" x14ac:dyDescent="0.35">
      <c r="A1551" s="12" t="s">
        <v>2240</v>
      </c>
      <c r="B1551" s="12" t="s">
        <v>408</v>
      </c>
      <c r="C1551" s="12" t="s">
        <v>409</v>
      </c>
      <c r="D1551" s="12" t="s">
        <v>130</v>
      </c>
      <c r="E1551" s="12" t="s">
        <v>65</v>
      </c>
      <c r="F1551">
        <v>3</v>
      </c>
      <c r="G1551">
        <v>5</v>
      </c>
      <c r="H1551">
        <v>0</v>
      </c>
      <c r="I1551" s="12" t="s">
        <v>105</v>
      </c>
      <c r="J1551" s="12" t="s">
        <v>106</v>
      </c>
      <c r="K1551" s="12" t="s">
        <v>81</v>
      </c>
      <c r="L1551" s="12" t="s">
        <v>96</v>
      </c>
      <c r="M1551">
        <v>5.01</v>
      </c>
      <c r="N1551" s="12" t="s">
        <v>159</v>
      </c>
      <c r="O1551" s="12" t="s">
        <v>160</v>
      </c>
      <c r="P1551" s="12" t="s">
        <v>137</v>
      </c>
      <c r="Q1551" s="13">
        <v>45246</v>
      </c>
      <c r="R1551" s="13">
        <v>45270</v>
      </c>
      <c r="S1551">
        <v>2023</v>
      </c>
      <c r="T1551" s="12" t="s">
        <v>2132</v>
      </c>
      <c r="U1551">
        <v>38</v>
      </c>
      <c r="V1551">
        <v>770.47230000000002</v>
      </c>
      <c r="W1551">
        <v>638.87</v>
      </c>
      <c r="X1551">
        <v>0</v>
      </c>
      <c r="Y1551">
        <v>0</v>
      </c>
      <c r="Z1551">
        <v>29277.95</v>
      </c>
      <c r="AA1551">
        <v>29916.82</v>
      </c>
      <c r="AB1551" s="12" t="s">
        <v>410</v>
      </c>
      <c r="AC1551">
        <v>770.47230000000002</v>
      </c>
      <c r="AD1551">
        <v>1</v>
      </c>
      <c r="AE1551">
        <v>1</v>
      </c>
      <c r="AF1551">
        <v>0</v>
      </c>
      <c r="AG1551">
        <v>29277.95</v>
      </c>
      <c r="AH1551">
        <v>38</v>
      </c>
      <c r="AI1551">
        <v>38</v>
      </c>
      <c r="AJ1551">
        <v>0</v>
      </c>
      <c r="AK1551">
        <v>1</v>
      </c>
      <c r="AL1551">
        <v>1</v>
      </c>
      <c r="AM1551">
        <v>100</v>
      </c>
      <c r="AN1551">
        <v>787.28470000000004</v>
      </c>
      <c r="AO1551">
        <v>0</v>
      </c>
      <c r="AP1551" s="13">
        <v>45269</v>
      </c>
      <c r="AQ1551">
        <v>-1</v>
      </c>
      <c r="AR1551">
        <v>1</v>
      </c>
    </row>
    <row r="1552" spans="1:44" x14ac:dyDescent="0.35">
      <c r="A1552" s="12" t="s">
        <v>2241</v>
      </c>
      <c r="B1552" s="12" t="s">
        <v>167</v>
      </c>
      <c r="C1552" s="12" t="s">
        <v>168</v>
      </c>
      <c r="D1552" s="12" t="s">
        <v>64</v>
      </c>
      <c r="E1552" s="12" t="s">
        <v>104</v>
      </c>
      <c r="F1552">
        <v>3</v>
      </c>
      <c r="G1552">
        <v>1</v>
      </c>
      <c r="H1552">
        <v>0</v>
      </c>
      <c r="I1552" s="12" t="s">
        <v>169</v>
      </c>
      <c r="J1552" s="12" t="s">
        <v>170</v>
      </c>
      <c r="K1552" s="12" t="s">
        <v>89</v>
      </c>
      <c r="L1552" s="12" t="s">
        <v>134</v>
      </c>
      <c r="M1552">
        <v>1.37</v>
      </c>
      <c r="N1552" s="12" t="s">
        <v>97</v>
      </c>
      <c r="O1552" s="12" t="s">
        <v>98</v>
      </c>
      <c r="P1552" s="12" t="s">
        <v>72</v>
      </c>
      <c r="Q1552" s="13">
        <v>45246</v>
      </c>
      <c r="R1552" s="13">
        <v>45261</v>
      </c>
      <c r="S1552">
        <v>2023</v>
      </c>
      <c r="T1552" s="12" t="s">
        <v>2132</v>
      </c>
      <c r="U1552">
        <v>296</v>
      </c>
      <c r="V1552">
        <v>28.7181</v>
      </c>
      <c r="W1552">
        <v>65.739999999999995</v>
      </c>
      <c r="X1552">
        <v>0</v>
      </c>
      <c r="Y1552">
        <v>0</v>
      </c>
      <c r="Z1552">
        <v>8500.56</v>
      </c>
      <c r="AA1552">
        <v>8566.2999999999993</v>
      </c>
      <c r="AB1552" s="12" t="s">
        <v>171</v>
      </c>
      <c r="AC1552">
        <v>28.7181</v>
      </c>
      <c r="AD1552">
        <v>1</v>
      </c>
      <c r="AE1552">
        <v>1</v>
      </c>
      <c r="AF1552">
        <v>0</v>
      </c>
      <c r="AG1552">
        <v>8500.56</v>
      </c>
      <c r="AH1552">
        <v>296</v>
      </c>
      <c r="AI1552">
        <v>294</v>
      </c>
      <c r="AJ1552">
        <v>2</v>
      </c>
      <c r="AK1552">
        <v>1</v>
      </c>
      <c r="AL1552">
        <v>1</v>
      </c>
      <c r="AM1552">
        <v>99.32</v>
      </c>
      <c r="AN1552">
        <v>29.1371</v>
      </c>
      <c r="AO1552">
        <v>57.44</v>
      </c>
      <c r="AP1552" s="13">
        <v>45258</v>
      </c>
      <c r="AQ1552">
        <v>-3</v>
      </c>
      <c r="AR1552">
        <v>1</v>
      </c>
    </row>
    <row r="1553" spans="1:44" x14ac:dyDescent="0.35">
      <c r="A1553" s="12" t="s">
        <v>2242</v>
      </c>
      <c r="B1553" s="12" t="s">
        <v>120</v>
      </c>
      <c r="C1553" s="12" t="s">
        <v>121</v>
      </c>
      <c r="D1553" s="12" t="s">
        <v>122</v>
      </c>
      <c r="E1553" s="12" t="s">
        <v>65</v>
      </c>
      <c r="F1553">
        <v>3</v>
      </c>
      <c r="G1553">
        <v>4</v>
      </c>
      <c r="H1553">
        <v>0</v>
      </c>
      <c r="I1553" s="12" t="s">
        <v>79</v>
      </c>
      <c r="J1553" s="12" t="s">
        <v>80</v>
      </c>
      <c r="K1553" s="12" t="s">
        <v>81</v>
      </c>
      <c r="L1553" s="12" t="s">
        <v>82</v>
      </c>
      <c r="M1553">
        <v>12.07</v>
      </c>
      <c r="N1553" s="12" t="s">
        <v>97</v>
      </c>
      <c r="O1553" s="12" t="s">
        <v>98</v>
      </c>
      <c r="P1553" s="12" t="s">
        <v>72</v>
      </c>
      <c r="Q1553" s="13">
        <v>45246</v>
      </c>
      <c r="R1553" s="13">
        <v>45276</v>
      </c>
      <c r="S1553">
        <v>2023</v>
      </c>
      <c r="T1553" s="12" t="s">
        <v>2132</v>
      </c>
      <c r="U1553">
        <v>1138</v>
      </c>
      <c r="V1553">
        <v>55.544699999999999</v>
      </c>
      <c r="W1553">
        <v>1355.45</v>
      </c>
      <c r="X1553">
        <v>0</v>
      </c>
      <c r="Y1553">
        <v>0</v>
      </c>
      <c r="Z1553">
        <v>63209.87</v>
      </c>
      <c r="AA1553">
        <v>64565.32</v>
      </c>
      <c r="AB1553" s="12" t="s">
        <v>2243</v>
      </c>
      <c r="AC1553">
        <v>55.544699999999999</v>
      </c>
      <c r="AD1553">
        <v>1</v>
      </c>
      <c r="AE1553">
        <v>1</v>
      </c>
      <c r="AF1553">
        <v>0</v>
      </c>
      <c r="AG1553">
        <v>63209.87</v>
      </c>
      <c r="AH1553">
        <v>1138</v>
      </c>
      <c r="AI1553">
        <v>1126</v>
      </c>
      <c r="AJ1553">
        <v>12</v>
      </c>
      <c r="AK1553">
        <v>1</v>
      </c>
      <c r="AL1553">
        <v>1</v>
      </c>
      <c r="AM1553">
        <v>98.95</v>
      </c>
      <c r="AN1553">
        <v>57.340400000000002</v>
      </c>
      <c r="AO1553">
        <v>666.54</v>
      </c>
      <c r="AP1553" s="13">
        <v>45275</v>
      </c>
      <c r="AQ1553">
        <v>-1</v>
      </c>
      <c r="AR1553">
        <v>1</v>
      </c>
    </row>
    <row r="1554" spans="1:44" x14ac:dyDescent="0.35">
      <c r="A1554" s="12" t="s">
        <v>2244</v>
      </c>
      <c r="B1554" s="12" t="s">
        <v>249</v>
      </c>
      <c r="C1554" s="12" t="s">
        <v>250</v>
      </c>
      <c r="D1554" s="12" t="s">
        <v>64</v>
      </c>
      <c r="E1554" s="12" t="s">
        <v>65</v>
      </c>
      <c r="F1554">
        <v>2</v>
      </c>
      <c r="G1554">
        <v>3</v>
      </c>
      <c r="H1554">
        <v>0</v>
      </c>
      <c r="I1554" s="12" t="s">
        <v>251</v>
      </c>
      <c r="J1554" s="12" t="s">
        <v>252</v>
      </c>
      <c r="K1554" s="12" t="s">
        <v>133</v>
      </c>
      <c r="L1554" s="12" t="s">
        <v>69</v>
      </c>
      <c r="M1554">
        <v>34.49</v>
      </c>
      <c r="N1554" s="12" t="s">
        <v>97</v>
      </c>
      <c r="O1554" s="12" t="s">
        <v>98</v>
      </c>
      <c r="P1554" s="12" t="s">
        <v>72</v>
      </c>
      <c r="Q1554" s="13">
        <v>45246</v>
      </c>
      <c r="R1554" s="13">
        <v>45274</v>
      </c>
      <c r="S1554">
        <v>2023</v>
      </c>
      <c r="T1554" s="12" t="s">
        <v>2132</v>
      </c>
      <c r="U1554">
        <v>488</v>
      </c>
      <c r="V1554">
        <v>10.6486</v>
      </c>
      <c r="W1554">
        <v>130.61000000000001</v>
      </c>
      <c r="X1554">
        <v>0</v>
      </c>
      <c r="Y1554">
        <v>0</v>
      </c>
      <c r="Z1554">
        <v>5196.5200000000004</v>
      </c>
      <c r="AA1554">
        <v>5327.13</v>
      </c>
      <c r="AB1554" s="12" t="s">
        <v>253</v>
      </c>
      <c r="AC1554">
        <v>10.6486</v>
      </c>
      <c r="AD1554">
        <v>1</v>
      </c>
      <c r="AE1554">
        <v>1</v>
      </c>
      <c r="AF1554">
        <v>0</v>
      </c>
      <c r="AG1554">
        <v>5196.5200000000004</v>
      </c>
      <c r="AH1554">
        <v>488</v>
      </c>
      <c r="AI1554">
        <v>484</v>
      </c>
      <c r="AJ1554">
        <v>4</v>
      </c>
      <c r="AK1554">
        <v>1</v>
      </c>
      <c r="AL1554">
        <v>1</v>
      </c>
      <c r="AM1554">
        <v>99.18</v>
      </c>
      <c r="AN1554">
        <v>11.006500000000001</v>
      </c>
      <c r="AO1554">
        <v>42.59</v>
      </c>
      <c r="AP1554" s="13">
        <v>45274</v>
      </c>
      <c r="AQ1554">
        <v>0</v>
      </c>
      <c r="AR1554">
        <v>1</v>
      </c>
    </row>
    <row r="1555" spans="1:44" x14ac:dyDescent="0.35">
      <c r="A1555" s="12" t="s">
        <v>2245</v>
      </c>
      <c r="B1555" s="12" t="s">
        <v>823</v>
      </c>
      <c r="C1555" s="12" t="s">
        <v>824</v>
      </c>
      <c r="D1555" s="12" t="s">
        <v>114</v>
      </c>
      <c r="E1555" s="12" t="s">
        <v>142</v>
      </c>
      <c r="F1555">
        <v>1</v>
      </c>
      <c r="G1555">
        <v>8</v>
      </c>
      <c r="H1555">
        <v>1</v>
      </c>
      <c r="I1555" s="12" t="s">
        <v>515</v>
      </c>
      <c r="J1555" s="12" t="s">
        <v>516</v>
      </c>
      <c r="K1555" s="12" t="s">
        <v>68</v>
      </c>
      <c r="L1555" s="12" t="s">
        <v>134</v>
      </c>
      <c r="M1555">
        <v>3.69</v>
      </c>
      <c r="N1555" s="12" t="s">
        <v>97</v>
      </c>
      <c r="O1555" s="12" t="s">
        <v>98</v>
      </c>
      <c r="P1555" s="12" t="s">
        <v>72</v>
      </c>
      <c r="Q1555" s="13">
        <v>45246</v>
      </c>
      <c r="R1555" s="13">
        <v>45285</v>
      </c>
      <c r="S1555">
        <v>2023</v>
      </c>
      <c r="T1555" s="12" t="s">
        <v>2132</v>
      </c>
      <c r="U1555">
        <v>47</v>
      </c>
      <c r="V1555">
        <v>361.73399999999998</v>
      </c>
      <c r="W1555">
        <v>311.77</v>
      </c>
      <c r="X1555">
        <v>0</v>
      </c>
      <c r="Y1555">
        <v>0</v>
      </c>
      <c r="Z1555">
        <v>17001.5</v>
      </c>
      <c r="AA1555">
        <v>17313.27</v>
      </c>
      <c r="AB1555" s="12" t="s">
        <v>825</v>
      </c>
      <c r="AC1555">
        <v>361.73399999999998</v>
      </c>
      <c r="AD1555">
        <v>1</v>
      </c>
      <c r="AE1555">
        <v>1</v>
      </c>
      <c r="AF1555">
        <v>0</v>
      </c>
      <c r="AG1555">
        <v>17001.5</v>
      </c>
      <c r="AH1555">
        <v>47</v>
      </c>
      <c r="AI1555">
        <v>46</v>
      </c>
      <c r="AJ1555">
        <v>1</v>
      </c>
      <c r="AK1555">
        <v>1</v>
      </c>
      <c r="AL1555">
        <v>1</v>
      </c>
      <c r="AM1555">
        <v>97.87</v>
      </c>
      <c r="AN1555">
        <v>376.37540000000001</v>
      </c>
      <c r="AO1555">
        <v>361.73</v>
      </c>
      <c r="AP1555" s="13">
        <v>45282</v>
      </c>
      <c r="AQ1555">
        <v>-3</v>
      </c>
      <c r="AR1555">
        <v>1</v>
      </c>
    </row>
    <row r="1556" spans="1:44" x14ac:dyDescent="0.35">
      <c r="A1556" s="12" t="s">
        <v>2246</v>
      </c>
      <c r="B1556" s="12" t="s">
        <v>1166</v>
      </c>
      <c r="C1556" s="12" t="s">
        <v>1167</v>
      </c>
      <c r="D1556" s="12" t="s">
        <v>175</v>
      </c>
      <c r="E1556" s="12" t="s">
        <v>65</v>
      </c>
      <c r="F1556">
        <v>3</v>
      </c>
      <c r="G1556">
        <v>5</v>
      </c>
      <c r="H1556">
        <v>0</v>
      </c>
      <c r="I1556" s="12" t="s">
        <v>359</v>
      </c>
      <c r="J1556" s="12" t="s">
        <v>360</v>
      </c>
      <c r="K1556" s="12" t="s">
        <v>133</v>
      </c>
      <c r="L1556" s="12" t="s">
        <v>82</v>
      </c>
      <c r="M1556">
        <v>12.65</v>
      </c>
      <c r="N1556" s="12" t="s">
        <v>145</v>
      </c>
      <c r="O1556" s="12" t="s">
        <v>146</v>
      </c>
      <c r="P1556" s="12" t="s">
        <v>109</v>
      </c>
      <c r="Q1556" s="13">
        <v>45246</v>
      </c>
      <c r="R1556" s="13">
        <v>45278</v>
      </c>
      <c r="S1556">
        <v>2023</v>
      </c>
      <c r="T1556" s="12" t="s">
        <v>2132</v>
      </c>
      <c r="U1556">
        <v>100</v>
      </c>
      <c r="V1556">
        <v>276.63200000000001</v>
      </c>
      <c r="W1556">
        <v>295.33</v>
      </c>
      <c r="X1556">
        <v>0</v>
      </c>
      <c r="Y1556">
        <v>0</v>
      </c>
      <c r="Z1556">
        <v>27663.200000000001</v>
      </c>
      <c r="AA1556">
        <v>27958.53</v>
      </c>
      <c r="AB1556" s="12" t="s">
        <v>201</v>
      </c>
      <c r="AD1556">
        <v>0</v>
      </c>
      <c r="AE1556">
        <v>0</v>
      </c>
      <c r="AH1556">
        <v>100</v>
      </c>
      <c r="AI1556">
        <v>99</v>
      </c>
      <c r="AJ1556">
        <v>1</v>
      </c>
      <c r="AK1556">
        <v>1</v>
      </c>
      <c r="AL1556">
        <v>1</v>
      </c>
      <c r="AM1556">
        <v>99</v>
      </c>
      <c r="AN1556">
        <v>282.40940000000001</v>
      </c>
      <c r="AO1556">
        <v>276.63</v>
      </c>
      <c r="AP1556" s="13">
        <v>45276</v>
      </c>
      <c r="AQ1556">
        <v>-2</v>
      </c>
      <c r="AR1556">
        <v>1</v>
      </c>
    </row>
    <row r="1557" spans="1:44" x14ac:dyDescent="0.35">
      <c r="A1557" s="12" t="s">
        <v>2247</v>
      </c>
      <c r="B1557" s="12" t="s">
        <v>972</v>
      </c>
      <c r="C1557" s="12" t="s">
        <v>973</v>
      </c>
      <c r="D1557" s="12" t="s">
        <v>130</v>
      </c>
      <c r="E1557" s="12" t="s">
        <v>142</v>
      </c>
      <c r="F1557">
        <v>2</v>
      </c>
      <c r="G1557">
        <v>9</v>
      </c>
      <c r="H1557">
        <v>0</v>
      </c>
      <c r="I1557" s="12" t="s">
        <v>676</v>
      </c>
      <c r="J1557" s="12" t="s">
        <v>677</v>
      </c>
      <c r="K1557" s="12" t="s">
        <v>68</v>
      </c>
      <c r="L1557" s="12" t="s">
        <v>96</v>
      </c>
      <c r="M1557">
        <v>3.57</v>
      </c>
      <c r="N1557" s="12" t="s">
        <v>159</v>
      </c>
      <c r="O1557" s="12" t="s">
        <v>160</v>
      </c>
      <c r="P1557" s="12" t="s">
        <v>137</v>
      </c>
      <c r="Q1557" s="13">
        <v>45246</v>
      </c>
      <c r="R1557" s="13">
        <v>45290</v>
      </c>
      <c r="S1557">
        <v>2023</v>
      </c>
      <c r="T1557" s="12" t="s">
        <v>2132</v>
      </c>
      <c r="U1557">
        <v>87</v>
      </c>
      <c r="V1557">
        <v>842.69190000000003</v>
      </c>
      <c r="W1557">
        <v>832.22</v>
      </c>
      <c r="X1557">
        <v>0</v>
      </c>
      <c r="Y1557">
        <v>0</v>
      </c>
      <c r="Z1557">
        <v>73314.2</v>
      </c>
      <c r="AA1557">
        <v>74146.42</v>
      </c>
      <c r="AB1557" s="12" t="s">
        <v>974</v>
      </c>
      <c r="AC1557">
        <v>842.69190000000003</v>
      </c>
      <c r="AD1557">
        <v>1</v>
      </c>
      <c r="AE1557">
        <v>1</v>
      </c>
      <c r="AF1557">
        <v>0</v>
      </c>
      <c r="AG1557">
        <v>73314.2</v>
      </c>
      <c r="AH1557">
        <v>87</v>
      </c>
      <c r="AI1557">
        <v>86</v>
      </c>
      <c r="AJ1557">
        <v>1</v>
      </c>
      <c r="AK1557">
        <v>1</v>
      </c>
      <c r="AL1557">
        <v>1</v>
      </c>
      <c r="AM1557">
        <v>98.85</v>
      </c>
      <c r="AN1557">
        <v>862.16759999999999</v>
      </c>
      <c r="AO1557">
        <v>842.69</v>
      </c>
      <c r="AP1557" s="13">
        <v>45290</v>
      </c>
      <c r="AQ1557">
        <v>0</v>
      </c>
      <c r="AR1557">
        <v>1</v>
      </c>
    </row>
    <row r="1558" spans="1:44" x14ac:dyDescent="0.35">
      <c r="A1558" s="12" t="s">
        <v>2248</v>
      </c>
      <c r="B1558" s="12" t="s">
        <v>602</v>
      </c>
      <c r="C1558" s="12" t="s">
        <v>603</v>
      </c>
      <c r="D1558" s="12" t="s">
        <v>114</v>
      </c>
      <c r="E1558" s="12" t="s">
        <v>142</v>
      </c>
      <c r="F1558">
        <v>2</v>
      </c>
      <c r="G1558">
        <v>10</v>
      </c>
      <c r="H1558">
        <v>0</v>
      </c>
      <c r="I1558" s="12" t="s">
        <v>263</v>
      </c>
      <c r="J1558" s="12" t="s">
        <v>264</v>
      </c>
      <c r="K1558" s="12" t="s">
        <v>125</v>
      </c>
      <c r="L1558" s="12" t="s">
        <v>82</v>
      </c>
      <c r="M1558">
        <v>10.210000000000001</v>
      </c>
      <c r="N1558" s="12" t="s">
        <v>70</v>
      </c>
      <c r="O1558" s="12" t="s">
        <v>71</v>
      </c>
      <c r="P1558" s="12" t="s">
        <v>72</v>
      </c>
      <c r="Q1558" s="13">
        <v>45246</v>
      </c>
      <c r="R1558" s="13">
        <v>45293</v>
      </c>
      <c r="S1558">
        <v>2023</v>
      </c>
      <c r="T1558" s="12" t="s">
        <v>2132</v>
      </c>
      <c r="U1558">
        <v>104</v>
      </c>
      <c r="V1558">
        <v>213.4624</v>
      </c>
      <c r="W1558">
        <v>340.3</v>
      </c>
      <c r="X1558">
        <v>0</v>
      </c>
      <c r="Y1558">
        <v>0</v>
      </c>
      <c r="Z1558">
        <v>22200.09</v>
      </c>
      <c r="AA1558">
        <v>22540.39</v>
      </c>
      <c r="AB1558" s="12" t="s">
        <v>691</v>
      </c>
      <c r="AC1558">
        <v>213.4624</v>
      </c>
      <c r="AD1558">
        <v>1</v>
      </c>
      <c r="AE1558">
        <v>1</v>
      </c>
      <c r="AF1558">
        <v>0</v>
      </c>
      <c r="AG1558">
        <v>22200.09</v>
      </c>
      <c r="AH1558">
        <v>104</v>
      </c>
      <c r="AI1558">
        <v>102</v>
      </c>
      <c r="AJ1558">
        <v>2</v>
      </c>
      <c r="AK1558">
        <v>1</v>
      </c>
      <c r="AL1558">
        <v>1</v>
      </c>
      <c r="AM1558">
        <v>98.08</v>
      </c>
      <c r="AN1558">
        <v>220.98419999999999</v>
      </c>
      <c r="AO1558">
        <v>426.92</v>
      </c>
      <c r="AP1558" s="13">
        <v>45291</v>
      </c>
      <c r="AQ1558">
        <v>-2</v>
      </c>
      <c r="AR1558">
        <v>1</v>
      </c>
    </row>
    <row r="1559" spans="1:44" x14ac:dyDescent="0.35">
      <c r="A1559" s="12" t="s">
        <v>2249</v>
      </c>
      <c r="B1559" s="12" t="s">
        <v>433</v>
      </c>
      <c r="C1559" s="12" t="s">
        <v>434</v>
      </c>
      <c r="D1559" s="12" t="s">
        <v>78</v>
      </c>
      <c r="E1559" s="12" t="s">
        <v>65</v>
      </c>
      <c r="F1559">
        <v>2</v>
      </c>
      <c r="G1559">
        <v>4</v>
      </c>
      <c r="H1559">
        <v>0</v>
      </c>
      <c r="I1559" s="12" t="s">
        <v>105</v>
      </c>
      <c r="J1559" s="12" t="s">
        <v>106</v>
      </c>
      <c r="K1559" s="12" t="s">
        <v>81</v>
      </c>
      <c r="L1559" s="12" t="s">
        <v>96</v>
      </c>
      <c r="M1559">
        <v>5.01</v>
      </c>
      <c r="N1559" s="12" t="s">
        <v>97</v>
      </c>
      <c r="O1559" s="12" t="s">
        <v>98</v>
      </c>
      <c r="P1559" s="12" t="s">
        <v>72</v>
      </c>
      <c r="Q1559" s="13">
        <v>45246</v>
      </c>
      <c r="R1559" s="13">
        <v>45274</v>
      </c>
      <c r="S1559">
        <v>2023</v>
      </c>
      <c r="T1559" s="12" t="s">
        <v>2132</v>
      </c>
      <c r="U1559">
        <v>145</v>
      </c>
      <c r="V1559">
        <v>76.331100000000006</v>
      </c>
      <c r="W1559">
        <v>103.09</v>
      </c>
      <c r="X1559">
        <v>0</v>
      </c>
      <c r="Y1559">
        <v>0</v>
      </c>
      <c r="Z1559">
        <v>11068.01</v>
      </c>
      <c r="AA1559">
        <v>11171.1</v>
      </c>
      <c r="AB1559" s="12" t="s">
        <v>463</v>
      </c>
      <c r="AC1559">
        <v>76.331100000000006</v>
      </c>
      <c r="AD1559">
        <v>1</v>
      </c>
      <c r="AE1559">
        <v>1</v>
      </c>
      <c r="AF1559">
        <v>0</v>
      </c>
      <c r="AG1559">
        <v>11068.01</v>
      </c>
      <c r="AH1559">
        <v>145</v>
      </c>
      <c r="AI1559">
        <v>144</v>
      </c>
      <c r="AJ1559">
        <v>1</v>
      </c>
      <c r="AK1559">
        <v>1</v>
      </c>
      <c r="AL1559">
        <v>1</v>
      </c>
      <c r="AM1559">
        <v>99.31</v>
      </c>
      <c r="AN1559">
        <v>77.577100000000002</v>
      </c>
      <c r="AO1559">
        <v>76.33</v>
      </c>
      <c r="AP1559" s="13">
        <v>45274</v>
      </c>
      <c r="AQ1559">
        <v>0</v>
      </c>
      <c r="AR1559">
        <v>1</v>
      </c>
    </row>
    <row r="1560" spans="1:44" x14ac:dyDescent="0.35">
      <c r="A1560" s="12" t="s">
        <v>2250</v>
      </c>
      <c r="B1560" s="12" t="s">
        <v>149</v>
      </c>
      <c r="C1560" s="12" t="s">
        <v>150</v>
      </c>
      <c r="D1560" s="12" t="s">
        <v>78</v>
      </c>
      <c r="E1560" s="12" t="s">
        <v>65</v>
      </c>
      <c r="F1560">
        <v>2</v>
      </c>
      <c r="G1560">
        <v>2</v>
      </c>
      <c r="H1560">
        <v>0</v>
      </c>
      <c r="I1560" s="12" t="s">
        <v>151</v>
      </c>
      <c r="J1560" s="12" t="s">
        <v>152</v>
      </c>
      <c r="K1560" s="12" t="s">
        <v>125</v>
      </c>
      <c r="L1560" s="12" t="s">
        <v>69</v>
      </c>
      <c r="M1560">
        <v>36.479999999999997</v>
      </c>
      <c r="N1560" s="12" t="s">
        <v>70</v>
      </c>
      <c r="O1560" s="12" t="s">
        <v>71</v>
      </c>
      <c r="P1560" s="12" t="s">
        <v>72</v>
      </c>
      <c r="Q1560" s="13">
        <v>45247</v>
      </c>
      <c r="R1560" s="13">
        <v>45273</v>
      </c>
      <c r="S1560">
        <v>2023</v>
      </c>
      <c r="T1560" s="12" t="s">
        <v>2132</v>
      </c>
      <c r="U1560">
        <v>118</v>
      </c>
      <c r="V1560">
        <v>76.092399999999998</v>
      </c>
      <c r="W1560">
        <v>119.34</v>
      </c>
      <c r="X1560">
        <v>0</v>
      </c>
      <c r="Y1560">
        <v>0</v>
      </c>
      <c r="Z1560">
        <v>8978.9</v>
      </c>
      <c r="AA1560">
        <v>9098.24</v>
      </c>
      <c r="AB1560" s="12" t="s">
        <v>153</v>
      </c>
      <c r="AC1560">
        <v>76.092399999999998</v>
      </c>
      <c r="AD1560">
        <v>1</v>
      </c>
      <c r="AE1560">
        <v>1</v>
      </c>
      <c r="AF1560">
        <v>0</v>
      </c>
      <c r="AG1560">
        <v>8978.9</v>
      </c>
      <c r="AH1560">
        <v>118</v>
      </c>
      <c r="AI1560">
        <v>116</v>
      </c>
      <c r="AJ1560">
        <v>2</v>
      </c>
      <c r="AK1560">
        <v>1</v>
      </c>
      <c r="AL1560">
        <v>1</v>
      </c>
      <c r="AM1560">
        <v>98.31</v>
      </c>
      <c r="AN1560">
        <v>78.433099999999996</v>
      </c>
      <c r="AO1560">
        <v>152.18</v>
      </c>
      <c r="AP1560" s="13">
        <v>45278</v>
      </c>
      <c r="AQ1560">
        <v>5</v>
      </c>
      <c r="AR1560">
        <v>0</v>
      </c>
    </row>
    <row r="1561" spans="1:44" x14ac:dyDescent="0.35">
      <c r="A1561" s="12" t="s">
        <v>2251</v>
      </c>
      <c r="B1561" s="12" t="s">
        <v>544</v>
      </c>
      <c r="C1561" s="12" t="s">
        <v>545</v>
      </c>
      <c r="D1561" s="12" t="s">
        <v>175</v>
      </c>
      <c r="E1561" s="12" t="s">
        <v>65</v>
      </c>
      <c r="F1561">
        <v>3</v>
      </c>
      <c r="G1561">
        <v>5</v>
      </c>
      <c r="H1561">
        <v>0</v>
      </c>
      <c r="I1561" s="12" t="s">
        <v>66</v>
      </c>
      <c r="J1561" s="12" t="s">
        <v>67</v>
      </c>
      <c r="K1561" s="12" t="s">
        <v>68</v>
      </c>
      <c r="L1561" s="12" t="s">
        <v>69</v>
      </c>
      <c r="M1561">
        <v>17.66</v>
      </c>
      <c r="N1561" s="12" t="s">
        <v>145</v>
      </c>
      <c r="O1561" s="12" t="s">
        <v>146</v>
      </c>
      <c r="P1561" s="12" t="s">
        <v>109</v>
      </c>
      <c r="Q1561" s="13">
        <v>45247</v>
      </c>
      <c r="R1561" s="13">
        <v>45280</v>
      </c>
      <c r="S1561">
        <v>2023</v>
      </c>
      <c r="T1561" s="12" t="s">
        <v>2132</v>
      </c>
      <c r="U1561">
        <v>106</v>
      </c>
      <c r="V1561">
        <v>155.36940000000001</v>
      </c>
      <c r="W1561">
        <v>283.67</v>
      </c>
      <c r="X1561">
        <v>0</v>
      </c>
      <c r="Y1561">
        <v>0</v>
      </c>
      <c r="Z1561">
        <v>16469.16</v>
      </c>
      <c r="AA1561">
        <v>16752.830000000002</v>
      </c>
      <c r="AB1561" s="12" t="s">
        <v>546</v>
      </c>
      <c r="AC1561">
        <v>155.36940000000001</v>
      </c>
      <c r="AD1561">
        <v>1</v>
      </c>
      <c r="AE1561">
        <v>1</v>
      </c>
      <c r="AF1561">
        <v>0</v>
      </c>
      <c r="AG1561">
        <v>16469.16</v>
      </c>
      <c r="AH1561">
        <v>106</v>
      </c>
      <c r="AI1561">
        <v>105</v>
      </c>
      <c r="AJ1561">
        <v>1</v>
      </c>
      <c r="AK1561">
        <v>1</v>
      </c>
      <c r="AL1561">
        <v>1</v>
      </c>
      <c r="AM1561">
        <v>99.06</v>
      </c>
      <c r="AN1561">
        <v>159.55070000000001</v>
      </c>
      <c r="AO1561">
        <v>155.37</v>
      </c>
      <c r="AP1561" s="13">
        <v>45289</v>
      </c>
      <c r="AQ1561">
        <v>9</v>
      </c>
      <c r="AR1561">
        <v>0</v>
      </c>
    </row>
    <row r="1562" spans="1:44" x14ac:dyDescent="0.35">
      <c r="A1562" s="12" t="s">
        <v>2252</v>
      </c>
      <c r="B1562" s="12" t="s">
        <v>155</v>
      </c>
      <c r="C1562" s="12" t="s">
        <v>156</v>
      </c>
      <c r="D1562" s="12" t="s">
        <v>130</v>
      </c>
      <c r="E1562" s="12" t="s">
        <v>104</v>
      </c>
      <c r="F1562">
        <v>3</v>
      </c>
      <c r="G1562">
        <v>1</v>
      </c>
      <c r="H1562">
        <v>0</v>
      </c>
      <c r="I1562" s="12" t="s">
        <v>131</v>
      </c>
      <c r="J1562" s="12" t="s">
        <v>132</v>
      </c>
      <c r="K1562" s="12" t="s">
        <v>133</v>
      </c>
      <c r="L1562" s="12" t="s">
        <v>134</v>
      </c>
      <c r="M1562">
        <v>1.51</v>
      </c>
      <c r="N1562" s="12" t="s">
        <v>159</v>
      </c>
      <c r="O1562" s="12" t="s">
        <v>160</v>
      </c>
      <c r="P1562" s="12" t="s">
        <v>137</v>
      </c>
      <c r="Q1562" s="13">
        <v>45247</v>
      </c>
      <c r="R1562" s="13">
        <v>45265</v>
      </c>
      <c r="S1562">
        <v>2023</v>
      </c>
      <c r="T1562" s="12" t="s">
        <v>2132</v>
      </c>
      <c r="U1562">
        <v>60</v>
      </c>
      <c r="V1562">
        <v>194.04130000000001</v>
      </c>
      <c r="W1562">
        <v>109.96</v>
      </c>
      <c r="X1562">
        <v>0</v>
      </c>
      <c r="Y1562">
        <v>0</v>
      </c>
      <c r="Z1562">
        <v>11642.48</v>
      </c>
      <c r="AA1562">
        <v>11752.44</v>
      </c>
      <c r="AB1562" s="12" t="s">
        <v>205</v>
      </c>
      <c r="AC1562">
        <v>206.28880000000001</v>
      </c>
      <c r="AD1562">
        <v>1</v>
      </c>
      <c r="AE1562">
        <v>1</v>
      </c>
      <c r="AF1562">
        <v>-734.85</v>
      </c>
      <c r="AG1562">
        <v>12377.33</v>
      </c>
      <c r="AH1562">
        <v>60</v>
      </c>
      <c r="AI1562">
        <v>54</v>
      </c>
      <c r="AJ1562">
        <v>6</v>
      </c>
      <c r="AK1562">
        <v>1</v>
      </c>
      <c r="AL1562">
        <v>1</v>
      </c>
      <c r="AM1562">
        <v>90</v>
      </c>
      <c r="AN1562">
        <v>217.6377</v>
      </c>
      <c r="AO1562">
        <v>1164.25</v>
      </c>
      <c r="AP1562" s="13">
        <v>45274</v>
      </c>
      <c r="AQ1562">
        <v>9</v>
      </c>
      <c r="AR1562">
        <v>0</v>
      </c>
    </row>
    <row r="1563" spans="1:44" x14ac:dyDescent="0.35">
      <c r="A1563" s="12" t="s">
        <v>2253</v>
      </c>
      <c r="B1563" s="12" t="s">
        <v>302</v>
      </c>
      <c r="C1563" s="12" t="s">
        <v>303</v>
      </c>
      <c r="D1563" s="12" t="s">
        <v>78</v>
      </c>
      <c r="E1563" s="12" t="s">
        <v>65</v>
      </c>
      <c r="F1563">
        <v>2</v>
      </c>
      <c r="G1563">
        <v>3</v>
      </c>
      <c r="H1563">
        <v>0</v>
      </c>
      <c r="I1563" s="12" t="s">
        <v>335</v>
      </c>
      <c r="J1563" s="12" t="s">
        <v>336</v>
      </c>
      <c r="K1563" s="12" t="s">
        <v>89</v>
      </c>
      <c r="L1563" s="12" t="s">
        <v>82</v>
      </c>
      <c r="M1563">
        <v>16</v>
      </c>
      <c r="N1563" s="12" t="s">
        <v>70</v>
      </c>
      <c r="O1563" s="12" t="s">
        <v>71</v>
      </c>
      <c r="P1563" s="12" t="s">
        <v>72</v>
      </c>
      <c r="Q1563" s="13">
        <v>45247</v>
      </c>
      <c r="R1563" s="13">
        <v>45276</v>
      </c>
      <c r="S1563">
        <v>2023</v>
      </c>
      <c r="T1563" s="12" t="s">
        <v>2132</v>
      </c>
      <c r="U1563">
        <v>156</v>
      </c>
      <c r="V1563">
        <v>144.41300000000001</v>
      </c>
      <c r="W1563">
        <v>164.77</v>
      </c>
      <c r="X1563">
        <v>0</v>
      </c>
      <c r="Y1563">
        <v>0</v>
      </c>
      <c r="Z1563">
        <v>22528.43</v>
      </c>
      <c r="AA1563">
        <v>22693.200000000001</v>
      </c>
      <c r="AB1563" s="12" t="s">
        <v>337</v>
      </c>
      <c r="AC1563">
        <v>144.41300000000001</v>
      </c>
      <c r="AD1563">
        <v>1</v>
      </c>
      <c r="AE1563">
        <v>1</v>
      </c>
      <c r="AF1563">
        <v>0</v>
      </c>
      <c r="AG1563">
        <v>22528.43</v>
      </c>
      <c r="AH1563">
        <v>156</v>
      </c>
      <c r="AI1563">
        <v>155</v>
      </c>
      <c r="AJ1563">
        <v>1</v>
      </c>
      <c r="AK1563">
        <v>1</v>
      </c>
      <c r="AL1563">
        <v>1</v>
      </c>
      <c r="AM1563">
        <v>99.36</v>
      </c>
      <c r="AN1563">
        <v>146.40770000000001</v>
      </c>
      <c r="AO1563">
        <v>144.41</v>
      </c>
      <c r="AP1563" s="13">
        <v>45283</v>
      </c>
      <c r="AQ1563">
        <v>7</v>
      </c>
      <c r="AR1563">
        <v>0</v>
      </c>
    </row>
    <row r="1564" spans="1:44" x14ac:dyDescent="0.35">
      <c r="A1564" s="12" t="s">
        <v>2254</v>
      </c>
      <c r="B1564" s="12" t="s">
        <v>1013</v>
      </c>
      <c r="C1564" s="12" t="s">
        <v>1014</v>
      </c>
      <c r="D1564" s="12" t="s">
        <v>78</v>
      </c>
      <c r="E1564" s="12" t="s">
        <v>65</v>
      </c>
      <c r="F1564">
        <v>2</v>
      </c>
      <c r="G1564">
        <v>3</v>
      </c>
      <c r="H1564">
        <v>0</v>
      </c>
      <c r="I1564" s="12" t="s">
        <v>123</v>
      </c>
      <c r="J1564" s="12" t="s">
        <v>124</v>
      </c>
      <c r="K1564" s="12" t="s">
        <v>125</v>
      </c>
      <c r="L1564" s="12" t="s">
        <v>82</v>
      </c>
      <c r="M1564">
        <v>6.75</v>
      </c>
      <c r="N1564" s="12" t="s">
        <v>70</v>
      </c>
      <c r="O1564" s="12" t="s">
        <v>71</v>
      </c>
      <c r="P1564" s="12" t="s">
        <v>72</v>
      </c>
      <c r="Q1564" s="13">
        <v>45247</v>
      </c>
      <c r="R1564" s="13">
        <v>45282</v>
      </c>
      <c r="S1564">
        <v>2023</v>
      </c>
      <c r="T1564" s="12" t="s">
        <v>2132</v>
      </c>
      <c r="U1564">
        <v>244</v>
      </c>
      <c r="V1564">
        <v>125.2653</v>
      </c>
      <c r="W1564">
        <v>303.98</v>
      </c>
      <c r="X1564">
        <v>0</v>
      </c>
      <c r="Y1564">
        <v>0</v>
      </c>
      <c r="Z1564">
        <v>30564.73</v>
      </c>
      <c r="AA1564">
        <v>30868.71</v>
      </c>
      <c r="AB1564" s="12" t="s">
        <v>1015</v>
      </c>
      <c r="AC1564">
        <v>125.2653</v>
      </c>
      <c r="AD1564">
        <v>1</v>
      </c>
      <c r="AE1564">
        <v>1</v>
      </c>
      <c r="AF1564">
        <v>0</v>
      </c>
      <c r="AG1564">
        <v>30564.73</v>
      </c>
      <c r="AH1564">
        <v>244</v>
      </c>
      <c r="AI1564">
        <v>241</v>
      </c>
      <c r="AJ1564">
        <v>3</v>
      </c>
      <c r="AK1564">
        <v>1</v>
      </c>
      <c r="AL1564">
        <v>1</v>
      </c>
      <c r="AM1564">
        <v>98.77</v>
      </c>
      <c r="AN1564">
        <v>128.08590000000001</v>
      </c>
      <c r="AO1564">
        <v>375.8</v>
      </c>
      <c r="AP1564" s="13">
        <v>45282</v>
      </c>
      <c r="AQ1564">
        <v>0</v>
      </c>
      <c r="AR1564">
        <v>1</v>
      </c>
    </row>
    <row r="1565" spans="1:44" x14ac:dyDescent="0.35">
      <c r="A1565" s="12" t="s">
        <v>2255</v>
      </c>
      <c r="B1565" s="12" t="s">
        <v>787</v>
      </c>
      <c r="C1565" s="12" t="s">
        <v>788</v>
      </c>
      <c r="D1565" s="12" t="s">
        <v>269</v>
      </c>
      <c r="E1565" s="12" t="s">
        <v>65</v>
      </c>
      <c r="F1565">
        <v>2</v>
      </c>
      <c r="G1565">
        <v>3</v>
      </c>
      <c r="H1565">
        <v>0</v>
      </c>
      <c r="I1565" s="12" t="s">
        <v>143</v>
      </c>
      <c r="J1565" s="12" t="s">
        <v>144</v>
      </c>
      <c r="K1565" s="12" t="s">
        <v>133</v>
      </c>
      <c r="L1565" s="12" t="s">
        <v>96</v>
      </c>
      <c r="M1565">
        <v>5.43</v>
      </c>
      <c r="N1565" s="12" t="s">
        <v>135</v>
      </c>
      <c r="O1565" s="12" t="s">
        <v>136</v>
      </c>
      <c r="P1565" s="12" t="s">
        <v>137</v>
      </c>
      <c r="Q1565" s="13">
        <v>45247</v>
      </c>
      <c r="R1565" s="13">
        <v>45277</v>
      </c>
      <c r="S1565">
        <v>2023</v>
      </c>
      <c r="T1565" s="12" t="s">
        <v>2132</v>
      </c>
      <c r="U1565">
        <v>80</v>
      </c>
      <c r="V1565">
        <v>354.36430000000001</v>
      </c>
      <c r="W1565">
        <v>716</v>
      </c>
      <c r="X1565">
        <v>0</v>
      </c>
      <c r="Y1565">
        <v>0</v>
      </c>
      <c r="Z1565">
        <v>28349.14</v>
      </c>
      <c r="AA1565">
        <v>29065.14</v>
      </c>
      <c r="AB1565" s="12" t="s">
        <v>789</v>
      </c>
      <c r="AC1565">
        <v>354.36430000000001</v>
      </c>
      <c r="AD1565">
        <v>1</v>
      </c>
      <c r="AE1565">
        <v>1</v>
      </c>
      <c r="AF1565">
        <v>0</v>
      </c>
      <c r="AG1565">
        <v>28349.14</v>
      </c>
      <c r="AH1565">
        <v>80</v>
      </c>
      <c r="AI1565">
        <v>79</v>
      </c>
      <c r="AJ1565">
        <v>1</v>
      </c>
      <c r="AK1565">
        <v>1</v>
      </c>
      <c r="AL1565">
        <v>1</v>
      </c>
      <c r="AM1565">
        <v>98.75</v>
      </c>
      <c r="AN1565">
        <v>367.91320000000002</v>
      </c>
      <c r="AO1565">
        <v>354.36</v>
      </c>
      <c r="AP1565" s="13">
        <v>45276</v>
      </c>
      <c r="AQ1565">
        <v>-1</v>
      </c>
      <c r="AR1565">
        <v>1</v>
      </c>
    </row>
    <row r="1566" spans="1:44" x14ac:dyDescent="0.35">
      <c r="A1566" s="12" t="s">
        <v>2256</v>
      </c>
      <c r="B1566" s="12" t="s">
        <v>391</v>
      </c>
      <c r="C1566" s="12" t="s">
        <v>392</v>
      </c>
      <c r="D1566" s="12" t="s">
        <v>114</v>
      </c>
      <c r="E1566" s="12" t="s">
        <v>65</v>
      </c>
      <c r="F1566">
        <v>2</v>
      </c>
      <c r="G1566">
        <v>2</v>
      </c>
      <c r="H1566">
        <v>0</v>
      </c>
      <c r="I1566" s="12" t="s">
        <v>310</v>
      </c>
      <c r="J1566" s="12" t="s">
        <v>311</v>
      </c>
      <c r="K1566" s="12" t="s">
        <v>81</v>
      </c>
      <c r="L1566" s="12" t="s">
        <v>69</v>
      </c>
      <c r="M1566">
        <v>28.3</v>
      </c>
      <c r="N1566" s="12" t="s">
        <v>70</v>
      </c>
      <c r="O1566" s="12" t="s">
        <v>71</v>
      </c>
      <c r="P1566" s="12" t="s">
        <v>72</v>
      </c>
      <c r="Q1566" s="13">
        <v>45247</v>
      </c>
      <c r="R1566" s="13">
        <v>45284</v>
      </c>
      <c r="S1566">
        <v>2023</v>
      </c>
      <c r="T1566" s="12" t="s">
        <v>2132</v>
      </c>
      <c r="U1566">
        <v>134</v>
      </c>
      <c r="V1566">
        <v>223.56530000000001</v>
      </c>
      <c r="W1566">
        <v>201</v>
      </c>
      <c r="X1566">
        <v>0</v>
      </c>
      <c r="Y1566">
        <v>0</v>
      </c>
      <c r="Z1566">
        <v>29957.75</v>
      </c>
      <c r="AA1566">
        <v>30158.75</v>
      </c>
      <c r="AB1566" s="12" t="s">
        <v>393</v>
      </c>
      <c r="AC1566">
        <v>223.56530000000001</v>
      </c>
      <c r="AD1566">
        <v>1</v>
      </c>
      <c r="AE1566">
        <v>1</v>
      </c>
      <c r="AF1566">
        <v>0</v>
      </c>
      <c r="AG1566">
        <v>29957.75</v>
      </c>
      <c r="AH1566">
        <v>134</v>
      </c>
      <c r="AI1566">
        <v>132</v>
      </c>
      <c r="AJ1566">
        <v>2</v>
      </c>
      <c r="AK1566">
        <v>1</v>
      </c>
      <c r="AL1566">
        <v>1</v>
      </c>
      <c r="AM1566">
        <v>98.51</v>
      </c>
      <c r="AN1566">
        <v>228.47540000000001</v>
      </c>
      <c r="AO1566">
        <v>447.13</v>
      </c>
      <c r="AP1566" s="13">
        <v>45284</v>
      </c>
      <c r="AQ1566">
        <v>0</v>
      </c>
      <c r="AR1566">
        <v>1</v>
      </c>
    </row>
    <row r="1567" spans="1:44" x14ac:dyDescent="0.35">
      <c r="A1567" s="12" t="s">
        <v>2257</v>
      </c>
      <c r="B1567" s="12" t="s">
        <v>85</v>
      </c>
      <c r="C1567" s="12" t="s">
        <v>86</v>
      </c>
      <c r="D1567" s="12" t="s">
        <v>78</v>
      </c>
      <c r="E1567" s="12" t="s">
        <v>65</v>
      </c>
      <c r="F1567">
        <v>3</v>
      </c>
      <c r="G1567">
        <v>5</v>
      </c>
      <c r="H1567">
        <v>0</v>
      </c>
      <c r="I1567" s="12" t="s">
        <v>195</v>
      </c>
      <c r="J1567" s="12" t="s">
        <v>196</v>
      </c>
      <c r="K1567" s="12" t="s">
        <v>117</v>
      </c>
      <c r="L1567" s="12" t="s">
        <v>134</v>
      </c>
      <c r="M1567">
        <v>4.7699999999999996</v>
      </c>
      <c r="N1567" s="12" t="s">
        <v>97</v>
      </c>
      <c r="O1567" s="12" t="s">
        <v>98</v>
      </c>
      <c r="P1567" s="12" t="s">
        <v>72</v>
      </c>
      <c r="Q1567" s="13">
        <v>45247</v>
      </c>
      <c r="R1567" s="13">
        <v>45271</v>
      </c>
      <c r="S1567">
        <v>2023</v>
      </c>
      <c r="T1567" s="12" t="s">
        <v>2132</v>
      </c>
      <c r="U1567">
        <v>90</v>
      </c>
      <c r="V1567">
        <v>147.55000000000001</v>
      </c>
      <c r="W1567">
        <v>224.64</v>
      </c>
      <c r="X1567">
        <v>0</v>
      </c>
      <c r="Y1567">
        <v>0</v>
      </c>
      <c r="Z1567">
        <v>13279.5</v>
      </c>
      <c r="AA1567">
        <v>13504.14</v>
      </c>
      <c r="AB1567" s="12" t="s">
        <v>1417</v>
      </c>
      <c r="AC1567">
        <v>147.55000000000001</v>
      </c>
      <c r="AD1567">
        <v>1</v>
      </c>
      <c r="AE1567">
        <v>1</v>
      </c>
      <c r="AF1567">
        <v>0</v>
      </c>
      <c r="AG1567">
        <v>13279.5</v>
      </c>
      <c r="AH1567">
        <v>90</v>
      </c>
      <c r="AI1567">
        <v>89</v>
      </c>
      <c r="AJ1567">
        <v>1</v>
      </c>
      <c r="AK1567">
        <v>1</v>
      </c>
      <c r="AL1567">
        <v>1</v>
      </c>
      <c r="AM1567">
        <v>98.89</v>
      </c>
      <c r="AN1567">
        <v>151.7319</v>
      </c>
      <c r="AO1567">
        <v>147.55000000000001</v>
      </c>
      <c r="AP1567" s="13">
        <v>45268</v>
      </c>
      <c r="AQ1567">
        <v>-3</v>
      </c>
      <c r="AR1567">
        <v>1</v>
      </c>
    </row>
    <row r="1568" spans="1:44" x14ac:dyDescent="0.35">
      <c r="A1568" s="12" t="s">
        <v>2258</v>
      </c>
      <c r="B1568" s="12" t="s">
        <v>1054</v>
      </c>
      <c r="C1568" s="12" t="s">
        <v>1055</v>
      </c>
      <c r="D1568" s="12" t="s">
        <v>122</v>
      </c>
      <c r="E1568" s="12" t="s">
        <v>65</v>
      </c>
      <c r="F1568">
        <v>1</v>
      </c>
      <c r="G1568">
        <v>2</v>
      </c>
      <c r="H1568">
        <v>1</v>
      </c>
      <c r="I1568" s="12" t="s">
        <v>176</v>
      </c>
      <c r="J1568" s="12" t="s">
        <v>177</v>
      </c>
      <c r="K1568" s="12" t="s">
        <v>125</v>
      </c>
      <c r="L1568" s="12" t="s">
        <v>134</v>
      </c>
      <c r="M1568">
        <v>1.75</v>
      </c>
      <c r="N1568" s="12" t="s">
        <v>70</v>
      </c>
      <c r="O1568" s="12" t="s">
        <v>71</v>
      </c>
      <c r="P1568" s="12" t="s">
        <v>72</v>
      </c>
      <c r="Q1568" s="13">
        <v>45250</v>
      </c>
      <c r="R1568" s="13">
        <v>45282</v>
      </c>
      <c r="S1568">
        <v>2023</v>
      </c>
      <c r="T1568" s="12" t="s">
        <v>2132</v>
      </c>
      <c r="U1568">
        <v>1315</v>
      </c>
      <c r="V1568">
        <v>46.916699999999999</v>
      </c>
      <c r="W1568">
        <v>1469.34</v>
      </c>
      <c r="X1568">
        <v>0</v>
      </c>
      <c r="Y1568">
        <v>0</v>
      </c>
      <c r="Z1568">
        <v>61695.46</v>
      </c>
      <c r="AA1568">
        <v>63164.800000000003</v>
      </c>
      <c r="AB1568" s="12" t="s">
        <v>1056</v>
      </c>
      <c r="AC1568">
        <v>46.916699999999999</v>
      </c>
      <c r="AD1568">
        <v>1</v>
      </c>
      <c r="AE1568">
        <v>1</v>
      </c>
      <c r="AF1568">
        <v>0</v>
      </c>
      <c r="AG1568">
        <v>61695.46</v>
      </c>
      <c r="AH1568">
        <v>1315</v>
      </c>
      <c r="AI1568">
        <v>1303</v>
      </c>
      <c r="AJ1568">
        <v>12</v>
      </c>
      <c r="AK1568">
        <v>1</v>
      </c>
      <c r="AL1568">
        <v>1</v>
      </c>
      <c r="AM1568">
        <v>99.09</v>
      </c>
      <c r="AN1568">
        <v>48.476399999999998</v>
      </c>
      <c r="AO1568">
        <v>563</v>
      </c>
      <c r="AP1568" s="13">
        <v>45280</v>
      </c>
      <c r="AQ1568">
        <v>-2</v>
      </c>
      <c r="AR1568">
        <v>1</v>
      </c>
    </row>
    <row r="1569" spans="1:44" x14ac:dyDescent="0.35">
      <c r="A1569" s="12" t="s">
        <v>2259</v>
      </c>
      <c r="B1569" s="12" t="s">
        <v>112</v>
      </c>
      <c r="C1569" s="12" t="s">
        <v>113</v>
      </c>
      <c r="D1569" s="12" t="s">
        <v>114</v>
      </c>
      <c r="E1569" s="12" t="s">
        <v>104</v>
      </c>
      <c r="F1569">
        <v>3</v>
      </c>
      <c r="G1569">
        <v>1</v>
      </c>
      <c r="H1569">
        <v>0</v>
      </c>
      <c r="I1569" s="12" t="s">
        <v>233</v>
      </c>
      <c r="J1569" s="12" t="s">
        <v>234</v>
      </c>
      <c r="K1569" s="12" t="s">
        <v>125</v>
      </c>
      <c r="L1569" s="12" t="s">
        <v>96</v>
      </c>
      <c r="M1569">
        <v>3.73</v>
      </c>
      <c r="N1569" s="12" t="s">
        <v>97</v>
      </c>
      <c r="O1569" s="12" t="s">
        <v>98</v>
      </c>
      <c r="P1569" s="12" t="s">
        <v>72</v>
      </c>
      <c r="Q1569" s="13">
        <v>45250</v>
      </c>
      <c r="R1569" s="13">
        <v>45279</v>
      </c>
      <c r="S1569">
        <v>2023</v>
      </c>
      <c r="T1569" s="12" t="s">
        <v>2132</v>
      </c>
      <c r="U1569">
        <v>147</v>
      </c>
      <c r="V1569">
        <v>273.08609999999999</v>
      </c>
      <c r="W1569">
        <v>716.94</v>
      </c>
      <c r="X1569">
        <v>0</v>
      </c>
      <c r="Y1569">
        <v>0</v>
      </c>
      <c r="Z1569">
        <v>40143.660000000003</v>
      </c>
      <c r="AA1569">
        <v>40860.6</v>
      </c>
      <c r="AB1569" s="12" t="s">
        <v>201</v>
      </c>
      <c r="AD1569">
        <v>0</v>
      </c>
      <c r="AE1569">
        <v>0</v>
      </c>
      <c r="AH1569">
        <v>147</v>
      </c>
      <c r="AI1569">
        <v>145</v>
      </c>
      <c r="AJ1569">
        <v>2</v>
      </c>
      <c r="AK1569">
        <v>1</v>
      </c>
      <c r="AL1569">
        <v>1</v>
      </c>
      <c r="AM1569">
        <v>98.64</v>
      </c>
      <c r="AN1569">
        <v>281.79719999999998</v>
      </c>
      <c r="AO1569">
        <v>546.16999999999996</v>
      </c>
      <c r="AP1569" s="13">
        <v>45279</v>
      </c>
      <c r="AQ1569">
        <v>0</v>
      </c>
      <c r="AR1569">
        <v>1</v>
      </c>
    </row>
    <row r="1570" spans="1:44" x14ac:dyDescent="0.35">
      <c r="A1570" s="12" t="s">
        <v>2260</v>
      </c>
      <c r="B1570" s="12" t="s">
        <v>241</v>
      </c>
      <c r="C1570" s="12" t="s">
        <v>242</v>
      </c>
      <c r="D1570" s="12" t="s">
        <v>103</v>
      </c>
      <c r="E1570" s="12" t="s">
        <v>142</v>
      </c>
      <c r="F1570">
        <v>3</v>
      </c>
      <c r="G1570">
        <v>11</v>
      </c>
      <c r="H1570">
        <v>0</v>
      </c>
      <c r="I1570" s="12" t="s">
        <v>243</v>
      </c>
      <c r="J1570" s="12" t="s">
        <v>244</v>
      </c>
      <c r="K1570" s="12" t="s">
        <v>81</v>
      </c>
      <c r="L1570" s="12" t="s">
        <v>82</v>
      </c>
      <c r="M1570">
        <v>9.2200000000000006</v>
      </c>
      <c r="N1570" s="12" t="s">
        <v>107</v>
      </c>
      <c r="O1570" s="12" t="s">
        <v>108</v>
      </c>
      <c r="P1570" s="12" t="s">
        <v>109</v>
      </c>
      <c r="Q1570" s="13">
        <v>45250</v>
      </c>
      <c r="R1570" s="13">
        <v>45286</v>
      </c>
      <c r="S1570">
        <v>2023</v>
      </c>
      <c r="T1570" s="12" t="s">
        <v>2132</v>
      </c>
      <c r="U1570">
        <v>21</v>
      </c>
      <c r="V1570">
        <v>164.8845</v>
      </c>
      <c r="W1570">
        <v>42.63</v>
      </c>
      <c r="X1570">
        <v>0</v>
      </c>
      <c r="Y1570">
        <v>0</v>
      </c>
      <c r="Z1570">
        <v>3462.57</v>
      </c>
      <c r="AA1570">
        <v>3505.2</v>
      </c>
      <c r="AB1570" s="12" t="s">
        <v>245</v>
      </c>
      <c r="AC1570">
        <v>164.8845</v>
      </c>
      <c r="AD1570">
        <v>1</v>
      </c>
      <c r="AE1570">
        <v>1</v>
      </c>
      <c r="AF1570">
        <v>0</v>
      </c>
      <c r="AG1570">
        <v>3462.57</v>
      </c>
      <c r="AH1570">
        <v>21</v>
      </c>
      <c r="AI1570">
        <v>21</v>
      </c>
      <c r="AJ1570">
        <v>0</v>
      </c>
      <c r="AK1570">
        <v>1</v>
      </c>
      <c r="AL1570">
        <v>1</v>
      </c>
      <c r="AM1570">
        <v>100</v>
      </c>
      <c r="AN1570">
        <v>166.9145</v>
      </c>
      <c r="AO1570">
        <v>0</v>
      </c>
      <c r="AP1570" s="13">
        <v>45283</v>
      </c>
      <c r="AQ1570">
        <v>-3</v>
      </c>
      <c r="AR1570">
        <v>1</v>
      </c>
    </row>
    <row r="1571" spans="1:44" x14ac:dyDescent="0.35">
      <c r="A1571" s="12" t="s">
        <v>2261</v>
      </c>
      <c r="B1571" s="12" t="s">
        <v>598</v>
      </c>
      <c r="C1571" s="12" t="s">
        <v>599</v>
      </c>
      <c r="D1571" s="12" t="s">
        <v>269</v>
      </c>
      <c r="E1571" s="12" t="s">
        <v>65</v>
      </c>
      <c r="F1571">
        <v>1</v>
      </c>
      <c r="G1571">
        <v>2</v>
      </c>
      <c r="H1571">
        <v>1</v>
      </c>
      <c r="I1571" s="12" t="s">
        <v>176</v>
      </c>
      <c r="J1571" s="12" t="s">
        <v>177</v>
      </c>
      <c r="K1571" s="12" t="s">
        <v>125</v>
      </c>
      <c r="L1571" s="12" t="s">
        <v>134</v>
      </c>
      <c r="M1571">
        <v>1.75</v>
      </c>
      <c r="N1571" s="12" t="s">
        <v>159</v>
      </c>
      <c r="O1571" s="12" t="s">
        <v>160</v>
      </c>
      <c r="P1571" s="12" t="s">
        <v>137</v>
      </c>
      <c r="Q1571" s="13">
        <v>45250</v>
      </c>
      <c r="R1571" s="13">
        <v>45282</v>
      </c>
      <c r="S1571">
        <v>2023</v>
      </c>
      <c r="T1571" s="12" t="s">
        <v>2132</v>
      </c>
      <c r="U1571">
        <v>103</v>
      </c>
      <c r="V1571">
        <v>454.90469999999999</v>
      </c>
      <c r="W1571">
        <v>501.53</v>
      </c>
      <c r="X1571">
        <v>0</v>
      </c>
      <c r="Y1571">
        <v>0</v>
      </c>
      <c r="Z1571">
        <v>46855.18</v>
      </c>
      <c r="AA1571">
        <v>47356.71</v>
      </c>
      <c r="AB1571" s="12" t="s">
        <v>600</v>
      </c>
      <c r="AC1571">
        <v>454.90469999999999</v>
      </c>
      <c r="AD1571">
        <v>1</v>
      </c>
      <c r="AE1571">
        <v>1</v>
      </c>
      <c r="AF1571">
        <v>0</v>
      </c>
      <c r="AG1571">
        <v>46855.18</v>
      </c>
      <c r="AH1571">
        <v>103</v>
      </c>
      <c r="AI1571">
        <v>102</v>
      </c>
      <c r="AJ1571">
        <v>1</v>
      </c>
      <c r="AK1571">
        <v>1</v>
      </c>
      <c r="AL1571">
        <v>1</v>
      </c>
      <c r="AM1571">
        <v>99.03</v>
      </c>
      <c r="AN1571">
        <v>464.28149999999999</v>
      </c>
      <c r="AO1571">
        <v>454.9</v>
      </c>
      <c r="AP1571" s="13">
        <v>45279</v>
      </c>
      <c r="AQ1571">
        <v>-3</v>
      </c>
      <c r="AR1571">
        <v>1</v>
      </c>
    </row>
    <row r="1572" spans="1:44" x14ac:dyDescent="0.35">
      <c r="A1572" s="12" t="s">
        <v>2262</v>
      </c>
      <c r="B1572" s="12" t="s">
        <v>477</v>
      </c>
      <c r="C1572" s="12" t="s">
        <v>478</v>
      </c>
      <c r="D1572" s="12" t="s">
        <v>130</v>
      </c>
      <c r="E1572" s="12" t="s">
        <v>104</v>
      </c>
      <c r="F1572">
        <v>3</v>
      </c>
      <c r="G1572">
        <v>1</v>
      </c>
      <c r="H1572">
        <v>0</v>
      </c>
      <c r="I1572" s="12" t="s">
        <v>380</v>
      </c>
      <c r="J1572" s="12" t="s">
        <v>381</v>
      </c>
      <c r="K1572" s="12" t="s">
        <v>89</v>
      </c>
      <c r="L1572" s="12" t="s">
        <v>96</v>
      </c>
      <c r="M1572">
        <v>10.210000000000001</v>
      </c>
      <c r="N1572" s="12" t="s">
        <v>135</v>
      </c>
      <c r="O1572" s="12" t="s">
        <v>136</v>
      </c>
      <c r="P1572" s="12" t="s">
        <v>137</v>
      </c>
      <c r="Q1572" s="13">
        <v>45250</v>
      </c>
      <c r="R1572" s="13">
        <v>45272</v>
      </c>
      <c r="S1572">
        <v>2023</v>
      </c>
      <c r="T1572" s="12" t="s">
        <v>2132</v>
      </c>
      <c r="U1572">
        <v>93</v>
      </c>
      <c r="V1572">
        <v>778.59670000000006</v>
      </c>
      <c r="W1572">
        <v>822.21</v>
      </c>
      <c r="X1572">
        <v>0</v>
      </c>
      <c r="Y1572">
        <v>0</v>
      </c>
      <c r="Z1572">
        <v>72409.490000000005</v>
      </c>
      <c r="AA1572">
        <v>73231.7</v>
      </c>
      <c r="AB1572" s="12" t="s">
        <v>1094</v>
      </c>
      <c r="AC1572">
        <v>778.59670000000006</v>
      </c>
      <c r="AD1572">
        <v>1</v>
      </c>
      <c r="AE1572">
        <v>1</v>
      </c>
      <c r="AF1572">
        <v>0</v>
      </c>
      <c r="AG1572">
        <v>72409.490000000005</v>
      </c>
      <c r="AH1572">
        <v>93</v>
      </c>
      <c r="AI1572">
        <v>93</v>
      </c>
      <c r="AJ1572">
        <v>0</v>
      </c>
      <c r="AK1572">
        <v>1</v>
      </c>
      <c r="AL1572">
        <v>1</v>
      </c>
      <c r="AM1572">
        <v>100</v>
      </c>
      <c r="AN1572">
        <v>787.43769999999995</v>
      </c>
      <c r="AO1572">
        <v>0</v>
      </c>
      <c r="AP1572" s="13">
        <v>45269</v>
      </c>
      <c r="AQ1572">
        <v>-3</v>
      </c>
      <c r="AR1572">
        <v>1</v>
      </c>
    </row>
    <row r="1573" spans="1:44" x14ac:dyDescent="0.35">
      <c r="A1573" s="12" t="s">
        <v>2263</v>
      </c>
      <c r="B1573" s="12" t="s">
        <v>207</v>
      </c>
      <c r="C1573" s="12" t="s">
        <v>208</v>
      </c>
      <c r="D1573" s="12" t="s">
        <v>78</v>
      </c>
      <c r="E1573" s="12" t="s">
        <v>65</v>
      </c>
      <c r="F1573">
        <v>2</v>
      </c>
      <c r="G1573">
        <v>3</v>
      </c>
      <c r="H1573">
        <v>0</v>
      </c>
      <c r="I1573" s="12" t="s">
        <v>209</v>
      </c>
      <c r="J1573" s="12" t="s">
        <v>210</v>
      </c>
      <c r="K1573" s="12" t="s">
        <v>133</v>
      </c>
      <c r="L1573" s="12" t="s">
        <v>96</v>
      </c>
      <c r="M1573">
        <v>7.82</v>
      </c>
      <c r="N1573" s="12" t="s">
        <v>97</v>
      </c>
      <c r="O1573" s="12" t="s">
        <v>98</v>
      </c>
      <c r="P1573" s="12" t="s">
        <v>72</v>
      </c>
      <c r="Q1573" s="13">
        <v>45250</v>
      </c>
      <c r="R1573" s="13">
        <v>45281</v>
      </c>
      <c r="S1573">
        <v>2023</v>
      </c>
      <c r="T1573" s="12" t="s">
        <v>2132</v>
      </c>
      <c r="U1573">
        <v>190</v>
      </c>
      <c r="V1573">
        <v>160.3013</v>
      </c>
      <c r="W1573">
        <v>300.33999999999997</v>
      </c>
      <c r="X1573">
        <v>952.28</v>
      </c>
      <c r="Y1573">
        <v>1</v>
      </c>
      <c r="Z1573">
        <v>30457.25</v>
      </c>
      <c r="AA1573">
        <v>31709.87</v>
      </c>
      <c r="AB1573" s="12" t="s">
        <v>211</v>
      </c>
      <c r="AC1573">
        <v>152.13079999999999</v>
      </c>
      <c r="AD1573">
        <v>1</v>
      </c>
      <c r="AE1573">
        <v>1</v>
      </c>
      <c r="AF1573">
        <v>1552.4</v>
      </c>
      <c r="AG1573">
        <v>28904.85</v>
      </c>
      <c r="AH1573">
        <v>190</v>
      </c>
      <c r="AI1573">
        <v>188</v>
      </c>
      <c r="AJ1573">
        <v>2</v>
      </c>
      <c r="AK1573">
        <v>1</v>
      </c>
      <c r="AL1573">
        <v>1</v>
      </c>
      <c r="AM1573">
        <v>98.95</v>
      </c>
      <c r="AN1573">
        <v>168.6695</v>
      </c>
      <c r="AO1573">
        <v>320.60000000000002</v>
      </c>
      <c r="AP1573" s="13">
        <v>45286</v>
      </c>
      <c r="AQ1573">
        <v>5</v>
      </c>
      <c r="AR1573">
        <v>0</v>
      </c>
    </row>
    <row r="1574" spans="1:44" x14ac:dyDescent="0.35">
      <c r="A1574" s="12" t="s">
        <v>2264</v>
      </c>
      <c r="B1574" s="12" t="s">
        <v>231</v>
      </c>
      <c r="C1574" s="12" t="s">
        <v>232</v>
      </c>
      <c r="D1574" s="12" t="s">
        <v>130</v>
      </c>
      <c r="E1574" s="12" t="s">
        <v>65</v>
      </c>
      <c r="F1574">
        <v>1</v>
      </c>
      <c r="G1574">
        <v>2</v>
      </c>
      <c r="H1574">
        <v>1</v>
      </c>
      <c r="I1574" s="12" t="s">
        <v>233</v>
      </c>
      <c r="J1574" s="12" t="s">
        <v>234</v>
      </c>
      <c r="K1574" s="12" t="s">
        <v>125</v>
      </c>
      <c r="L1574" s="12" t="s">
        <v>96</v>
      </c>
      <c r="M1574">
        <v>3.73</v>
      </c>
      <c r="N1574" s="12" t="s">
        <v>159</v>
      </c>
      <c r="O1574" s="12" t="s">
        <v>160</v>
      </c>
      <c r="P1574" s="12" t="s">
        <v>137</v>
      </c>
      <c r="Q1574" s="13">
        <v>45250</v>
      </c>
      <c r="R1574" s="13">
        <v>45278</v>
      </c>
      <c r="S1574">
        <v>2023</v>
      </c>
      <c r="T1574" s="12" t="s">
        <v>2132</v>
      </c>
      <c r="U1574">
        <v>70</v>
      </c>
      <c r="V1574">
        <v>416.40039999999999</v>
      </c>
      <c r="W1574">
        <v>369.04</v>
      </c>
      <c r="X1574">
        <v>0</v>
      </c>
      <c r="Y1574">
        <v>0</v>
      </c>
      <c r="Z1574">
        <v>29148.03</v>
      </c>
      <c r="AA1574">
        <v>29517.07</v>
      </c>
      <c r="AB1574" s="12" t="s">
        <v>235</v>
      </c>
      <c r="AC1574">
        <v>416.40039999999999</v>
      </c>
      <c r="AD1574">
        <v>1</v>
      </c>
      <c r="AE1574">
        <v>1</v>
      </c>
      <c r="AF1574">
        <v>0</v>
      </c>
      <c r="AG1574">
        <v>29148.03</v>
      </c>
      <c r="AH1574">
        <v>70</v>
      </c>
      <c r="AI1574">
        <v>69</v>
      </c>
      <c r="AJ1574">
        <v>1</v>
      </c>
      <c r="AK1574">
        <v>1</v>
      </c>
      <c r="AL1574">
        <v>1</v>
      </c>
      <c r="AM1574">
        <v>98.57</v>
      </c>
      <c r="AN1574">
        <v>427.78359999999998</v>
      </c>
      <c r="AO1574">
        <v>416.4</v>
      </c>
      <c r="AP1574" s="13">
        <v>45277</v>
      </c>
      <c r="AQ1574">
        <v>-1</v>
      </c>
      <c r="AR1574">
        <v>1</v>
      </c>
    </row>
    <row r="1575" spans="1:44" x14ac:dyDescent="0.35">
      <c r="A1575" s="12" t="s">
        <v>2265</v>
      </c>
      <c r="B1575" s="12" t="s">
        <v>458</v>
      </c>
      <c r="C1575" s="12" t="s">
        <v>459</v>
      </c>
      <c r="D1575" s="12" t="s">
        <v>64</v>
      </c>
      <c r="E1575" s="12" t="s">
        <v>104</v>
      </c>
      <c r="F1575">
        <v>2</v>
      </c>
      <c r="G1575">
        <v>0</v>
      </c>
      <c r="H1575">
        <v>0</v>
      </c>
      <c r="I1575" s="12" t="s">
        <v>143</v>
      </c>
      <c r="J1575" s="12" t="s">
        <v>144</v>
      </c>
      <c r="K1575" s="12" t="s">
        <v>133</v>
      </c>
      <c r="L1575" s="12" t="s">
        <v>96</v>
      </c>
      <c r="M1575">
        <v>5.43</v>
      </c>
      <c r="N1575" s="12" t="s">
        <v>97</v>
      </c>
      <c r="O1575" s="12" t="s">
        <v>98</v>
      </c>
      <c r="P1575" s="12" t="s">
        <v>72</v>
      </c>
      <c r="Q1575" s="13">
        <v>45250</v>
      </c>
      <c r="R1575" s="13">
        <v>45277</v>
      </c>
      <c r="S1575">
        <v>2023</v>
      </c>
      <c r="T1575" s="12" t="s">
        <v>2132</v>
      </c>
      <c r="U1575">
        <v>860</v>
      </c>
      <c r="V1575">
        <v>24.782299999999999</v>
      </c>
      <c r="W1575">
        <v>146.01</v>
      </c>
      <c r="X1575">
        <v>0</v>
      </c>
      <c r="Y1575">
        <v>0</v>
      </c>
      <c r="Z1575">
        <v>21312.78</v>
      </c>
      <c r="AA1575">
        <v>21458.79</v>
      </c>
      <c r="AB1575" s="12" t="s">
        <v>480</v>
      </c>
      <c r="AC1575">
        <v>24.782299999999999</v>
      </c>
      <c r="AD1575">
        <v>1</v>
      </c>
      <c r="AE1575">
        <v>1</v>
      </c>
      <c r="AF1575">
        <v>0</v>
      </c>
      <c r="AG1575">
        <v>21312.78</v>
      </c>
      <c r="AH1575">
        <v>860</v>
      </c>
      <c r="AI1575">
        <v>853</v>
      </c>
      <c r="AJ1575">
        <v>7</v>
      </c>
      <c r="AK1575">
        <v>1</v>
      </c>
      <c r="AL1575">
        <v>1</v>
      </c>
      <c r="AM1575">
        <v>99.19</v>
      </c>
      <c r="AN1575">
        <v>25.1568</v>
      </c>
      <c r="AO1575">
        <v>173.48</v>
      </c>
      <c r="AP1575" s="13">
        <v>45277</v>
      </c>
      <c r="AQ1575">
        <v>0</v>
      </c>
      <c r="AR1575">
        <v>1</v>
      </c>
    </row>
    <row r="1576" spans="1:44" x14ac:dyDescent="0.35">
      <c r="A1576" s="12" t="s">
        <v>2266</v>
      </c>
      <c r="B1576" s="12" t="s">
        <v>428</v>
      </c>
      <c r="C1576" s="12" t="s">
        <v>429</v>
      </c>
      <c r="D1576" s="12" t="s">
        <v>64</v>
      </c>
      <c r="E1576" s="12" t="s">
        <v>65</v>
      </c>
      <c r="F1576">
        <v>3</v>
      </c>
      <c r="G1576">
        <v>4</v>
      </c>
      <c r="H1576">
        <v>0</v>
      </c>
      <c r="I1576" s="12" t="s">
        <v>105</v>
      </c>
      <c r="J1576" s="12" t="s">
        <v>106</v>
      </c>
      <c r="K1576" s="12" t="s">
        <v>81</v>
      </c>
      <c r="L1576" s="12" t="s">
        <v>96</v>
      </c>
      <c r="M1576">
        <v>5.01</v>
      </c>
      <c r="N1576" s="12" t="s">
        <v>97</v>
      </c>
      <c r="O1576" s="12" t="s">
        <v>98</v>
      </c>
      <c r="P1576" s="12" t="s">
        <v>72</v>
      </c>
      <c r="Q1576" s="13">
        <v>45250</v>
      </c>
      <c r="R1576" s="13">
        <v>45272</v>
      </c>
      <c r="S1576">
        <v>2023</v>
      </c>
      <c r="T1576" s="12" t="s">
        <v>2132</v>
      </c>
      <c r="U1576">
        <v>150</v>
      </c>
      <c r="V1576">
        <v>15.0402</v>
      </c>
      <c r="W1576">
        <v>27.49</v>
      </c>
      <c r="X1576">
        <v>0</v>
      </c>
      <c r="Y1576">
        <v>0</v>
      </c>
      <c r="Z1576">
        <v>2256.0300000000002</v>
      </c>
      <c r="AA1576">
        <v>2283.52</v>
      </c>
      <c r="AB1576" s="12" t="s">
        <v>2267</v>
      </c>
      <c r="AC1576">
        <v>15.0402</v>
      </c>
      <c r="AD1576">
        <v>1</v>
      </c>
      <c r="AE1576">
        <v>1</v>
      </c>
      <c r="AF1576">
        <v>0</v>
      </c>
      <c r="AG1576">
        <v>2256.0300000000002</v>
      </c>
      <c r="AH1576">
        <v>150</v>
      </c>
      <c r="AI1576">
        <v>149</v>
      </c>
      <c r="AJ1576">
        <v>1</v>
      </c>
      <c r="AK1576">
        <v>1</v>
      </c>
      <c r="AL1576">
        <v>1</v>
      </c>
      <c r="AM1576">
        <v>99.33</v>
      </c>
      <c r="AN1576">
        <v>15.3256</v>
      </c>
      <c r="AO1576">
        <v>15.04</v>
      </c>
      <c r="AP1576" s="13">
        <v>45271</v>
      </c>
      <c r="AQ1576">
        <v>-1</v>
      </c>
      <c r="AR1576">
        <v>1</v>
      </c>
    </row>
    <row r="1577" spans="1:44" x14ac:dyDescent="0.35">
      <c r="A1577" s="12" t="s">
        <v>2268</v>
      </c>
      <c r="B1577" s="12" t="s">
        <v>561</v>
      </c>
      <c r="C1577" s="12" t="s">
        <v>562</v>
      </c>
      <c r="D1577" s="12" t="s">
        <v>130</v>
      </c>
      <c r="E1577" s="12" t="s">
        <v>142</v>
      </c>
      <c r="F1577">
        <v>1</v>
      </c>
      <c r="G1577">
        <v>9</v>
      </c>
      <c r="H1577">
        <v>1</v>
      </c>
      <c r="I1577" s="12" t="s">
        <v>223</v>
      </c>
      <c r="J1577" s="12" t="s">
        <v>224</v>
      </c>
      <c r="K1577" s="12" t="s">
        <v>81</v>
      </c>
      <c r="L1577" s="12" t="s">
        <v>134</v>
      </c>
      <c r="M1577">
        <v>2.4900000000000002</v>
      </c>
      <c r="N1577" s="12" t="s">
        <v>135</v>
      </c>
      <c r="O1577" s="12" t="s">
        <v>136</v>
      </c>
      <c r="P1577" s="12" t="s">
        <v>137</v>
      </c>
      <c r="Q1577" s="13">
        <v>45250</v>
      </c>
      <c r="R1577" s="13">
        <v>45300</v>
      </c>
      <c r="S1577">
        <v>2023</v>
      </c>
      <c r="T1577" s="12" t="s">
        <v>2132</v>
      </c>
      <c r="U1577">
        <v>127</v>
      </c>
      <c r="V1577">
        <v>603.56020000000001</v>
      </c>
      <c r="W1577">
        <v>1681.91</v>
      </c>
      <c r="X1577">
        <v>0</v>
      </c>
      <c r="Y1577">
        <v>0</v>
      </c>
      <c r="Z1577">
        <v>76652.149999999994</v>
      </c>
      <c r="AA1577">
        <v>78334.06</v>
      </c>
      <c r="AB1577" s="12" t="s">
        <v>563</v>
      </c>
      <c r="AC1577">
        <v>603.56020000000001</v>
      </c>
      <c r="AD1577">
        <v>1</v>
      </c>
      <c r="AE1577">
        <v>1</v>
      </c>
      <c r="AF1577">
        <v>0</v>
      </c>
      <c r="AG1577">
        <v>76652.149999999994</v>
      </c>
      <c r="AH1577">
        <v>127</v>
      </c>
      <c r="AI1577">
        <v>126</v>
      </c>
      <c r="AJ1577">
        <v>1</v>
      </c>
      <c r="AK1577">
        <v>1</v>
      </c>
      <c r="AL1577">
        <v>1</v>
      </c>
      <c r="AM1577">
        <v>99.21</v>
      </c>
      <c r="AN1577">
        <v>621.69889999999998</v>
      </c>
      <c r="AO1577">
        <v>603.55999999999995</v>
      </c>
      <c r="AP1577" s="13">
        <v>45300</v>
      </c>
      <c r="AQ1577">
        <v>0</v>
      </c>
      <c r="AR1577">
        <v>1</v>
      </c>
    </row>
    <row r="1578" spans="1:44" x14ac:dyDescent="0.35">
      <c r="A1578" s="12" t="s">
        <v>2269</v>
      </c>
      <c r="B1578" s="12" t="s">
        <v>674</v>
      </c>
      <c r="C1578" s="12" t="s">
        <v>675</v>
      </c>
      <c r="D1578" s="12" t="s">
        <v>269</v>
      </c>
      <c r="E1578" s="12" t="s">
        <v>142</v>
      </c>
      <c r="F1578">
        <v>1</v>
      </c>
      <c r="G1578">
        <v>7</v>
      </c>
      <c r="H1578">
        <v>1</v>
      </c>
      <c r="I1578" s="12" t="s">
        <v>676</v>
      </c>
      <c r="J1578" s="12" t="s">
        <v>677</v>
      </c>
      <c r="K1578" s="12" t="s">
        <v>68</v>
      </c>
      <c r="L1578" s="12" t="s">
        <v>96</v>
      </c>
      <c r="M1578">
        <v>3.57</v>
      </c>
      <c r="N1578" s="12" t="s">
        <v>159</v>
      </c>
      <c r="O1578" s="12" t="s">
        <v>160</v>
      </c>
      <c r="P1578" s="12" t="s">
        <v>137</v>
      </c>
      <c r="Q1578" s="13">
        <v>45251</v>
      </c>
      <c r="R1578" s="13">
        <v>45298</v>
      </c>
      <c r="S1578">
        <v>2023</v>
      </c>
      <c r="T1578" s="12" t="s">
        <v>2132</v>
      </c>
      <c r="U1578">
        <v>103</v>
      </c>
      <c r="V1578">
        <v>355.32960000000003</v>
      </c>
      <c r="W1578">
        <v>725.58</v>
      </c>
      <c r="X1578">
        <v>0</v>
      </c>
      <c r="Y1578">
        <v>0</v>
      </c>
      <c r="Z1578">
        <v>36598.949999999997</v>
      </c>
      <c r="AA1578">
        <v>37324.53</v>
      </c>
      <c r="AB1578" s="12" t="s">
        <v>678</v>
      </c>
      <c r="AC1578">
        <v>355.32960000000003</v>
      </c>
      <c r="AD1578">
        <v>1</v>
      </c>
      <c r="AE1578">
        <v>1</v>
      </c>
      <c r="AF1578">
        <v>0</v>
      </c>
      <c r="AG1578">
        <v>36598.949999999997</v>
      </c>
      <c r="AH1578">
        <v>103</v>
      </c>
      <c r="AI1578">
        <v>102</v>
      </c>
      <c r="AJ1578">
        <v>1</v>
      </c>
      <c r="AK1578">
        <v>1</v>
      </c>
      <c r="AL1578">
        <v>1</v>
      </c>
      <c r="AM1578">
        <v>99.03</v>
      </c>
      <c r="AN1578">
        <v>365.92680000000001</v>
      </c>
      <c r="AO1578">
        <v>355.33</v>
      </c>
      <c r="AP1578" s="13">
        <v>45298</v>
      </c>
      <c r="AQ1578">
        <v>0</v>
      </c>
      <c r="AR1578">
        <v>1</v>
      </c>
    </row>
    <row r="1579" spans="1:44" x14ac:dyDescent="0.35">
      <c r="A1579" s="12" t="s">
        <v>2270</v>
      </c>
      <c r="B1579" s="12" t="s">
        <v>451</v>
      </c>
      <c r="C1579" s="12" t="s">
        <v>452</v>
      </c>
      <c r="D1579" s="12" t="s">
        <v>175</v>
      </c>
      <c r="E1579" s="12" t="s">
        <v>104</v>
      </c>
      <c r="F1579">
        <v>3</v>
      </c>
      <c r="G1579">
        <v>1</v>
      </c>
      <c r="H1579">
        <v>0</v>
      </c>
      <c r="I1579" s="12" t="s">
        <v>359</v>
      </c>
      <c r="J1579" s="12" t="s">
        <v>360</v>
      </c>
      <c r="K1579" s="12" t="s">
        <v>133</v>
      </c>
      <c r="L1579" s="12" t="s">
        <v>82</v>
      </c>
      <c r="M1579">
        <v>12.65</v>
      </c>
      <c r="N1579" s="12" t="s">
        <v>107</v>
      </c>
      <c r="O1579" s="12" t="s">
        <v>108</v>
      </c>
      <c r="P1579" s="12" t="s">
        <v>109</v>
      </c>
      <c r="Q1579" s="13">
        <v>45251</v>
      </c>
      <c r="R1579" s="13">
        <v>45271</v>
      </c>
      <c r="S1579">
        <v>2023</v>
      </c>
      <c r="T1579" s="12" t="s">
        <v>2132</v>
      </c>
      <c r="U1579">
        <v>77</v>
      </c>
      <c r="V1579">
        <v>254.15530000000001</v>
      </c>
      <c r="W1579">
        <v>149.59</v>
      </c>
      <c r="X1579">
        <v>628.88</v>
      </c>
      <c r="Y1579">
        <v>1</v>
      </c>
      <c r="Z1579">
        <v>19569.96</v>
      </c>
      <c r="AA1579">
        <v>20348.43</v>
      </c>
      <c r="AB1579" s="12" t="s">
        <v>627</v>
      </c>
      <c r="AC1579">
        <v>254.15530000000001</v>
      </c>
      <c r="AD1579">
        <v>1</v>
      </c>
      <c r="AE1579">
        <v>1</v>
      </c>
      <c r="AF1579">
        <v>0</v>
      </c>
      <c r="AG1579">
        <v>19569.96</v>
      </c>
      <c r="AH1579">
        <v>77</v>
      </c>
      <c r="AI1579">
        <v>76</v>
      </c>
      <c r="AJ1579">
        <v>1</v>
      </c>
      <c r="AK1579">
        <v>1</v>
      </c>
      <c r="AL1579">
        <v>1</v>
      </c>
      <c r="AM1579">
        <v>98.7</v>
      </c>
      <c r="AN1579">
        <v>267.74250000000001</v>
      </c>
      <c r="AO1579">
        <v>254.16</v>
      </c>
      <c r="AP1579" s="13">
        <v>45278</v>
      </c>
      <c r="AQ1579">
        <v>7</v>
      </c>
      <c r="AR1579">
        <v>0</v>
      </c>
    </row>
    <row r="1580" spans="1:44" x14ac:dyDescent="0.35">
      <c r="A1580" s="12" t="s">
        <v>2271</v>
      </c>
      <c r="B1580" s="12" t="s">
        <v>378</v>
      </c>
      <c r="C1580" s="12" t="s">
        <v>379</v>
      </c>
      <c r="D1580" s="12" t="s">
        <v>64</v>
      </c>
      <c r="E1580" s="12" t="s">
        <v>104</v>
      </c>
      <c r="F1580">
        <v>3</v>
      </c>
      <c r="G1580">
        <v>1</v>
      </c>
      <c r="H1580">
        <v>0</v>
      </c>
      <c r="I1580" s="12" t="s">
        <v>176</v>
      </c>
      <c r="J1580" s="12" t="s">
        <v>177</v>
      </c>
      <c r="K1580" s="12" t="s">
        <v>125</v>
      </c>
      <c r="L1580" s="12" t="s">
        <v>134</v>
      </c>
      <c r="M1580">
        <v>1.75</v>
      </c>
      <c r="N1580" s="12" t="s">
        <v>97</v>
      </c>
      <c r="O1580" s="12" t="s">
        <v>98</v>
      </c>
      <c r="P1580" s="12" t="s">
        <v>72</v>
      </c>
      <c r="Q1580" s="13">
        <v>45251</v>
      </c>
      <c r="R1580" s="13">
        <v>45265</v>
      </c>
      <c r="S1580">
        <v>2023</v>
      </c>
      <c r="T1580" s="12" t="s">
        <v>2132</v>
      </c>
      <c r="U1580">
        <v>245</v>
      </c>
      <c r="V1580">
        <v>17.127800000000001</v>
      </c>
      <c r="W1580">
        <v>32.25</v>
      </c>
      <c r="X1580">
        <v>0</v>
      </c>
      <c r="Y1580">
        <v>0</v>
      </c>
      <c r="Z1580">
        <v>4196.3100000000004</v>
      </c>
      <c r="AA1580">
        <v>4228.5600000000004</v>
      </c>
      <c r="AB1580" s="12" t="s">
        <v>1539</v>
      </c>
      <c r="AC1580">
        <v>16.160900000000002</v>
      </c>
      <c r="AD1580">
        <v>1</v>
      </c>
      <c r="AE1580">
        <v>1</v>
      </c>
      <c r="AF1580">
        <v>236.89</v>
      </c>
      <c r="AG1580">
        <v>3959.42</v>
      </c>
      <c r="AH1580">
        <v>245</v>
      </c>
      <c r="AI1580">
        <v>243</v>
      </c>
      <c r="AJ1580">
        <v>2</v>
      </c>
      <c r="AK1580">
        <v>1</v>
      </c>
      <c r="AL1580">
        <v>1</v>
      </c>
      <c r="AM1580">
        <v>99.18</v>
      </c>
      <c r="AN1580">
        <v>17.401499999999999</v>
      </c>
      <c r="AO1580">
        <v>34.26</v>
      </c>
      <c r="AP1580" s="13">
        <v>45264</v>
      </c>
      <c r="AQ1580">
        <v>-1</v>
      </c>
      <c r="AR1580">
        <v>1</v>
      </c>
    </row>
    <row r="1581" spans="1:44" x14ac:dyDescent="0.35">
      <c r="A1581" s="12" t="s">
        <v>2272</v>
      </c>
      <c r="B1581" s="12" t="s">
        <v>728</v>
      </c>
      <c r="C1581" s="12" t="s">
        <v>729</v>
      </c>
      <c r="D1581" s="12" t="s">
        <v>269</v>
      </c>
      <c r="E1581" s="12" t="s">
        <v>65</v>
      </c>
      <c r="F1581">
        <v>2</v>
      </c>
      <c r="G1581">
        <v>3</v>
      </c>
      <c r="H1581">
        <v>0</v>
      </c>
      <c r="I1581" s="12" t="s">
        <v>310</v>
      </c>
      <c r="J1581" s="12" t="s">
        <v>311</v>
      </c>
      <c r="K1581" s="12" t="s">
        <v>81</v>
      </c>
      <c r="L1581" s="12" t="s">
        <v>69</v>
      </c>
      <c r="M1581">
        <v>28.3</v>
      </c>
      <c r="N1581" s="12" t="s">
        <v>159</v>
      </c>
      <c r="O1581" s="12" t="s">
        <v>160</v>
      </c>
      <c r="P1581" s="12" t="s">
        <v>137</v>
      </c>
      <c r="Q1581" s="13">
        <v>45251</v>
      </c>
      <c r="R1581" s="13">
        <v>45280</v>
      </c>
      <c r="S1581">
        <v>2023</v>
      </c>
      <c r="T1581" s="12" t="s">
        <v>2132</v>
      </c>
      <c r="U1581">
        <v>74</v>
      </c>
      <c r="V1581">
        <v>374.99740000000003</v>
      </c>
      <c r="W1581">
        <v>310.08999999999997</v>
      </c>
      <c r="X1581">
        <v>0</v>
      </c>
      <c r="Y1581">
        <v>0</v>
      </c>
      <c r="Z1581">
        <v>27749.81</v>
      </c>
      <c r="AA1581">
        <v>28059.9</v>
      </c>
      <c r="AB1581" s="12" t="s">
        <v>730</v>
      </c>
      <c r="AC1581">
        <v>374.99740000000003</v>
      </c>
      <c r="AD1581">
        <v>1</v>
      </c>
      <c r="AE1581">
        <v>1</v>
      </c>
      <c r="AF1581">
        <v>0</v>
      </c>
      <c r="AG1581">
        <v>27749.81</v>
      </c>
      <c r="AH1581">
        <v>74</v>
      </c>
      <c r="AI1581">
        <v>73</v>
      </c>
      <c r="AJ1581">
        <v>1</v>
      </c>
      <c r="AK1581">
        <v>1</v>
      </c>
      <c r="AL1581">
        <v>1</v>
      </c>
      <c r="AM1581">
        <v>98.65</v>
      </c>
      <c r="AN1581">
        <v>384.38220000000001</v>
      </c>
      <c r="AO1581">
        <v>375</v>
      </c>
      <c r="AP1581" s="13">
        <v>45287</v>
      </c>
      <c r="AQ1581">
        <v>7</v>
      </c>
      <c r="AR1581">
        <v>0</v>
      </c>
    </row>
    <row r="1582" spans="1:44" x14ac:dyDescent="0.35">
      <c r="A1582" s="12" t="s">
        <v>2273</v>
      </c>
      <c r="B1582" s="12" t="s">
        <v>255</v>
      </c>
      <c r="C1582" s="12" t="s">
        <v>256</v>
      </c>
      <c r="D1582" s="12" t="s">
        <v>103</v>
      </c>
      <c r="E1582" s="12" t="s">
        <v>65</v>
      </c>
      <c r="F1582">
        <v>2</v>
      </c>
      <c r="G1582">
        <v>4</v>
      </c>
      <c r="H1582">
        <v>0</v>
      </c>
      <c r="I1582" s="12" t="s">
        <v>143</v>
      </c>
      <c r="J1582" s="12" t="s">
        <v>144</v>
      </c>
      <c r="K1582" s="12" t="s">
        <v>133</v>
      </c>
      <c r="L1582" s="12" t="s">
        <v>96</v>
      </c>
      <c r="M1582">
        <v>5.43</v>
      </c>
      <c r="N1582" s="12" t="s">
        <v>145</v>
      </c>
      <c r="O1582" s="12" t="s">
        <v>146</v>
      </c>
      <c r="P1582" s="12" t="s">
        <v>109</v>
      </c>
      <c r="Q1582" s="13">
        <v>45251</v>
      </c>
      <c r="R1582" s="13">
        <v>45283</v>
      </c>
      <c r="S1582">
        <v>2023</v>
      </c>
      <c r="T1582" s="12" t="s">
        <v>2132</v>
      </c>
      <c r="U1582">
        <v>99</v>
      </c>
      <c r="V1582">
        <v>95.085700000000003</v>
      </c>
      <c r="W1582">
        <v>230.43</v>
      </c>
      <c r="X1582">
        <v>291.44</v>
      </c>
      <c r="Y1582">
        <v>1</v>
      </c>
      <c r="Z1582">
        <v>9413.48</v>
      </c>
      <c r="AA1582">
        <v>9935.35</v>
      </c>
      <c r="AB1582" s="12" t="s">
        <v>366</v>
      </c>
      <c r="AC1582">
        <v>95.085700000000003</v>
      </c>
      <c r="AD1582">
        <v>1</v>
      </c>
      <c r="AE1582">
        <v>1</v>
      </c>
      <c r="AF1582">
        <v>0</v>
      </c>
      <c r="AG1582">
        <v>9413.48</v>
      </c>
      <c r="AH1582">
        <v>99</v>
      </c>
      <c r="AI1582">
        <v>98</v>
      </c>
      <c r="AJ1582">
        <v>1</v>
      </c>
      <c r="AK1582">
        <v>1</v>
      </c>
      <c r="AL1582">
        <v>1</v>
      </c>
      <c r="AM1582">
        <v>98.99</v>
      </c>
      <c r="AN1582">
        <v>101.38120000000001</v>
      </c>
      <c r="AO1582">
        <v>95.09</v>
      </c>
      <c r="AP1582" s="13">
        <v>45289</v>
      </c>
      <c r="AQ1582">
        <v>6</v>
      </c>
      <c r="AR1582">
        <v>0</v>
      </c>
    </row>
    <row r="1583" spans="1:44" x14ac:dyDescent="0.35">
      <c r="A1583" s="12" t="s">
        <v>2274</v>
      </c>
      <c r="B1583" s="12" t="s">
        <v>1013</v>
      </c>
      <c r="C1583" s="12" t="s">
        <v>1014</v>
      </c>
      <c r="D1583" s="12" t="s">
        <v>78</v>
      </c>
      <c r="E1583" s="12" t="s">
        <v>65</v>
      </c>
      <c r="F1583">
        <v>2</v>
      </c>
      <c r="G1583">
        <v>3</v>
      </c>
      <c r="H1583">
        <v>0</v>
      </c>
      <c r="I1583" s="12" t="s">
        <v>123</v>
      </c>
      <c r="J1583" s="12" t="s">
        <v>124</v>
      </c>
      <c r="K1583" s="12" t="s">
        <v>125</v>
      </c>
      <c r="L1583" s="12" t="s">
        <v>82</v>
      </c>
      <c r="M1583">
        <v>6.75</v>
      </c>
      <c r="N1583" s="12" t="s">
        <v>97</v>
      </c>
      <c r="O1583" s="12" t="s">
        <v>98</v>
      </c>
      <c r="P1583" s="12" t="s">
        <v>72</v>
      </c>
      <c r="Q1583" s="13">
        <v>45251</v>
      </c>
      <c r="R1583" s="13">
        <v>45272</v>
      </c>
      <c r="S1583">
        <v>2023</v>
      </c>
      <c r="T1583" s="12" t="s">
        <v>2132</v>
      </c>
      <c r="U1583">
        <v>49</v>
      </c>
      <c r="V1583">
        <v>125.2653</v>
      </c>
      <c r="W1583">
        <v>49.07</v>
      </c>
      <c r="X1583">
        <v>0</v>
      </c>
      <c r="Y1583">
        <v>0</v>
      </c>
      <c r="Z1583">
        <v>6138</v>
      </c>
      <c r="AA1583">
        <v>6187.07</v>
      </c>
      <c r="AB1583" s="12" t="s">
        <v>1015</v>
      </c>
      <c r="AC1583">
        <v>125.2653</v>
      </c>
      <c r="AD1583">
        <v>1</v>
      </c>
      <c r="AE1583">
        <v>1</v>
      </c>
      <c r="AF1583">
        <v>0</v>
      </c>
      <c r="AG1583">
        <v>6138</v>
      </c>
      <c r="AH1583">
        <v>49</v>
      </c>
      <c r="AI1583">
        <v>48</v>
      </c>
      <c r="AJ1583">
        <v>1</v>
      </c>
      <c r="AK1583">
        <v>1</v>
      </c>
      <c r="AL1583">
        <v>1</v>
      </c>
      <c r="AM1583">
        <v>97.96</v>
      </c>
      <c r="AN1583">
        <v>128.8973</v>
      </c>
      <c r="AO1583">
        <v>125.27</v>
      </c>
      <c r="AP1583" s="13">
        <v>45271</v>
      </c>
      <c r="AQ1583">
        <v>-1</v>
      </c>
      <c r="AR1583">
        <v>1</v>
      </c>
    </row>
    <row r="1584" spans="1:44" x14ac:dyDescent="0.35">
      <c r="A1584" s="12" t="s">
        <v>2275</v>
      </c>
      <c r="B1584" s="12" t="s">
        <v>602</v>
      </c>
      <c r="C1584" s="12" t="s">
        <v>603</v>
      </c>
      <c r="D1584" s="12" t="s">
        <v>114</v>
      </c>
      <c r="E1584" s="12" t="s">
        <v>142</v>
      </c>
      <c r="F1584">
        <v>2</v>
      </c>
      <c r="G1584">
        <v>10</v>
      </c>
      <c r="H1584">
        <v>0</v>
      </c>
      <c r="I1584" s="12" t="s">
        <v>263</v>
      </c>
      <c r="J1584" s="12" t="s">
        <v>264</v>
      </c>
      <c r="K1584" s="12" t="s">
        <v>125</v>
      </c>
      <c r="L1584" s="12" t="s">
        <v>82</v>
      </c>
      <c r="M1584">
        <v>10.210000000000001</v>
      </c>
      <c r="N1584" s="12" t="s">
        <v>70</v>
      </c>
      <c r="O1584" s="12" t="s">
        <v>71</v>
      </c>
      <c r="P1584" s="12" t="s">
        <v>72</v>
      </c>
      <c r="Q1584" s="13">
        <v>45251</v>
      </c>
      <c r="R1584" s="13">
        <v>45298</v>
      </c>
      <c r="S1584">
        <v>2023</v>
      </c>
      <c r="T1584" s="12" t="s">
        <v>2132</v>
      </c>
      <c r="U1584">
        <v>110</v>
      </c>
      <c r="V1584">
        <v>213.4624</v>
      </c>
      <c r="W1584">
        <v>437.23</v>
      </c>
      <c r="X1584">
        <v>0</v>
      </c>
      <c r="Y1584">
        <v>0</v>
      </c>
      <c r="Z1584">
        <v>23480.86</v>
      </c>
      <c r="AA1584">
        <v>23918.09</v>
      </c>
      <c r="AB1584" s="12" t="s">
        <v>691</v>
      </c>
      <c r="AC1584">
        <v>213.4624</v>
      </c>
      <c r="AD1584">
        <v>1</v>
      </c>
      <c r="AE1584">
        <v>1</v>
      </c>
      <c r="AF1584">
        <v>0</v>
      </c>
      <c r="AG1584">
        <v>23480.86</v>
      </c>
      <c r="AH1584">
        <v>110</v>
      </c>
      <c r="AI1584">
        <v>109</v>
      </c>
      <c r="AJ1584">
        <v>1</v>
      </c>
      <c r="AK1584">
        <v>1</v>
      </c>
      <c r="AL1584">
        <v>1</v>
      </c>
      <c r="AM1584">
        <v>99.09</v>
      </c>
      <c r="AN1584">
        <v>219.43209999999999</v>
      </c>
      <c r="AO1584">
        <v>213.46</v>
      </c>
      <c r="AP1584" s="13">
        <v>45297</v>
      </c>
      <c r="AQ1584">
        <v>-1</v>
      </c>
      <c r="AR1584">
        <v>1</v>
      </c>
    </row>
    <row r="1585" spans="1:44" x14ac:dyDescent="0.35">
      <c r="A1585" s="12" t="s">
        <v>2276</v>
      </c>
      <c r="B1585" s="12" t="s">
        <v>680</v>
      </c>
      <c r="C1585" s="12" t="s">
        <v>681</v>
      </c>
      <c r="D1585" s="12" t="s">
        <v>122</v>
      </c>
      <c r="E1585" s="12" t="s">
        <v>104</v>
      </c>
      <c r="F1585">
        <v>3</v>
      </c>
      <c r="G1585">
        <v>1</v>
      </c>
      <c r="H1585">
        <v>0</v>
      </c>
      <c r="I1585" s="12" t="s">
        <v>227</v>
      </c>
      <c r="J1585" s="12" t="s">
        <v>228</v>
      </c>
      <c r="K1585" s="12" t="s">
        <v>89</v>
      </c>
      <c r="L1585" s="12" t="s">
        <v>96</v>
      </c>
      <c r="M1585">
        <v>9.15</v>
      </c>
      <c r="N1585" s="12" t="s">
        <v>97</v>
      </c>
      <c r="O1585" s="12" t="s">
        <v>98</v>
      </c>
      <c r="P1585" s="12" t="s">
        <v>72</v>
      </c>
      <c r="Q1585" s="13">
        <v>45252</v>
      </c>
      <c r="R1585" s="13">
        <v>45277</v>
      </c>
      <c r="S1585">
        <v>2023</v>
      </c>
      <c r="T1585" s="12" t="s">
        <v>2132</v>
      </c>
      <c r="U1585">
        <v>1550</v>
      </c>
      <c r="V1585">
        <v>23.246099999999998</v>
      </c>
      <c r="W1585">
        <v>262.68</v>
      </c>
      <c r="X1585">
        <v>0</v>
      </c>
      <c r="Y1585">
        <v>0</v>
      </c>
      <c r="Z1585">
        <v>36031.46</v>
      </c>
      <c r="AA1585">
        <v>36294.14</v>
      </c>
      <c r="AB1585" s="12" t="s">
        <v>861</v>
      </c>
      <c r="AC1585">
        <v>23.246099999999998</v>
      </c>
      <c r="AD1585">
        <v>1</v>
      </c>
      <c r="AE1585">
        <v>1</v>
      </c>
      <c r="AF1585">
        <v>0</v>
      </c>
      <c r="AG1585">
        <v>36031.46</v>
      </c>
      <c r="AH1585">
        <v>1550</v>
      </c>
      <c r="AI1585">
        <v>1541</v>
      </c>
      <c r="AJ1585">
        <v>9</v>
      </c>
      <c r="AK1585">
        <v>1</v>
      </c>
      <c r="AL1585">
        <v>1</v>
      </c>
      <c r="AM1585">
        <v>99.42</v>
      </c>
      <c r="AN1585">
        <v>23.552299999999999</v>
      </c>
      <c r="AO1585">
        <v>209.21</v>
      </c>
      <c r="AP1585" s="13">
        <v>45281</v>
      </c>
      <c r="AQ1585">
        <v>4</v>
      </c>
      <c r="AR1585">
        <v>0</v>
      </c>
    </row>
    <row r="1586" spans="1:44" x14ac:dyDescent="0.35">
      <c r="A1586" s="12" t="s">
        <v>2277</v>
      </c>
      <c r="B1586" s="12" t="s">
        <v>613</v>
      </c>
      <c r="C1586" s="12" t="s">
        <v>614</v>
      </c>
      <c r="D1586" s="12" t="s">
        <v>130</v>
      </c>
      <c r="E1586" s="12" t="s">
        <v>104</v>
      </c>
      <c r="F1586">
        <v>3</v>
      </c>
      <c r="G1586">
        <v>1</v>
      </c>
      <c r="H1586">
        <v>0</v>
      </c>
      <c r="I1586" s="12" t="s">
        <v>66</v>
      </c>
      <c r="J1586" s="12" t="s">
        <v>67</v>
      </c>
      <c r="K1586" s="12" t="s">
        <v>68</v>
      </c>
      <c r="L1586" s="12" t="s">
        <v>69</v>
      </c>
      <c r="M1586">
        <v>17.66</v>
      </c>
      <c r="N1586" s="12" t="s">
        <v>159</v>
      </c>
      <c r="O1586" s="12" t="s">
        <v>160</v>
      </c>
      <c r="P1586" s="12" t="s">
        <v>137</v>
      </c>
      <c r="Q1586" s="13">
        <v>45252</v>
      </c>
      <c r="R1586" s="13">
        <v>45275</v>
      </c>
      <c r="S1586">
        <v>2023</v>
      </c>
      <c r="T1586" s="12" t="s">
        <v>2132</v>
      </c>
      <c r="U1586">
        <v>101</v>
      </c>
      <c r="V1586">
        <v>195.35140000000001</v>
      </c>
      <c r="W1586">
        <v>449.96</v>
      </c>
      <c r="X1586">
        <v>0</v>
      </c>
      <c r="Y1586">
        <v>0</v>
      </c>
      <c r="Z1586">
        <v>19730.490000000002</v>
      </c>
      <c r="AA1586">
        <v>20180.45</v>
      </c>
      <c r="AB1586" s="12" t="s">
        <v>615</v>
      </c>
      <c r="AC1586">
        <v>195.35140000000001</v>
      </c>
      <c r="AD1586">
        <v>1</v>
      </c>
      <c r="AE1586">
        <v>1</v>
      </c>
      <c r="AF1586">
        <v>0</v>
      </c>
      <c r="AG1586">
        <v>19730.490000000002</v>
      </c>
      <c r="AH1586">
        <v>101</v>
      </c>
      <c r="AI1586">
        <v>100</v>
      </c>
      <c r="AJ1586">
        <v>1</v>
      </c>
      <c r="AK1586">
        <v>1</v>
      </c>
      <c r="AL1586">
        <v>1</v>
      </c>
      <c r="AM1586">
        <v>99.01</v>
      </c>
      <c r="AN1586">
        <v>201.80449999999999</v>
      </c>
      <c r="AO1586">
        <v>195.35</v>
      </c>
      <c r="AP1586" s="13">
        <v>45273</v>
      </c>
      <c r="AQ1586">
        <v>-2</v>
      </c>
      <c r="AR1586">
        <v>1</v>
      </c>
    </row>
    <row r="1587" spans="1:44" x14ac:dyDescent="0.35">
      <c r="A1587" s="12" t="s">
        <v>2278</v>
      </c>
      <c r="B1587" s="12" t="s">
        <v>308</v>
      </c>
      <c r="C1587" s="12" t="s">
        <v>309</v>
      </c>
      <c r="D1587" s="12" t="s">
        <v>122</v>
      </c>
      <c r="E1587" s="12" t="s">
        <v>142</v>
      </c>
      <c r="F1587">
        <v>1</v>
      </c>
      <c r="G1587">
        <v>6</v>
      </c>
      <c r="H1587">
        <v>1</v>
      </c>
      <c r="I1587" s="12" t="s">
        <v>310</v>
      </c>
      <c r="J1587" s="12" t="s">
        <v>311</v>
      </c>
      <c r="K1587" s="12" t="s">
        <v>81</v>
      </c>
      <c r="L1587" s="12" t="s">
        <v>69</v>
      </c>
      <c r="M1587">
        <v>28.3</v>
      </c>
      <c r="N1587" s="12" t="s">
        <v>97</v>
      </c>
      <c r="O1587" s="12" t="s">
        <v>98</v>
      </c>
      <c r="P1587" s="12" t="s">
        <v>72</v>
      </c>
      <c r="Q1587" s="13">
        <v>45252</v>
      </c>
      <c r="R1587" s="13">
        <v>45293</v>
      </c>
      <c r="S1587">
        <v>2023</v>
      </c>
      <c r="T1587" s="12" t="s">
        <v>2132</v>
      </c>
      <c r="U1587">
        <v>870</v>
      </c>
      <c r="V1587">
        <v>56.011499999999998</v>
      </c>
      <c r="W1587">
        <v>1026.08</v>
      </c>
      <c r="X1587">
        <v>0</v>
      </c>
      <c r="Y1587">
        <v>0</v>
      </c>
      <c r="Z1587">
        <v>48730.01</v>
      </c>
      <c r="AA1587">
        <v>49756.09</v>
      </c>
      <c r="AB1587" s="12" t="s">
        <v>312</v>
      </c>
      <c r="AC1587">
        <v>59.409700000000001</v>
      </c>
      <c r="AD1587">
        <v>1</v>
      </c>
      <c r="AE1587">
        <v>1</v>
      </c>
      <c r="AF1587">
        <v>-2956.43</v>
      </c>
      <c r="AG1587">
        <v>51686.44</v>
      </c>
      <c r="AH1587">
        <v>870</v>
      </c>
      <c r="AI1587">
        <v>867</v>
      </c>
      <c r="AJ1587">
        <v>3</v>
      </c>
      <c r="AK1587">
        <v>1</v>
      </c>
      <c r="AL1587">
        <v>1</v>
      </c>
      <c r="AM1587">
        <v>99.66</v>
      </c>
      <c r="AN1587">
        <v>57.388800000000003</v>
      </c>
      <c r="AO1587">
        <v>168.03</v>
      </c>
      <c r="AP1587" s="13">
        <v>45302</v>
      </c>
      <c r="AQ1587">
        <v>9</v>
      </c>
      <c r="AR1587">
        <v>0</v>
      </c>
    </row>
    <row r="1588" spans="1:44" x14ac:dyDescent="0.35">
      <c r="A1588" s="12" t="s">
        <v>2279</v>
      </c>
      <c r="B1588" s="12" t="s">
        <v>732</v>
      </c>
      <c r="C1588" s="12" t="s">
        <v>733</v>
      </c>
      <c r="D1588" s="12" t="s">
        <v>114</v>
      </c>
      <c r="E1588" s="12" t="s">
        <v>104</v>
      </c>
      <c r="F1588">
        <v>3</v>
      </c>
      <c r="G1588">
        <v>1</v>
      </c>
      <c r="H1588">
        <v>0</v>
      </c>
      <c r="I1588" s="12" t="s">
        <v>359</v>
      </c>
      <c r="J1588" s="12" t="s">
        <v>360</v>
      </c>
      <c r="K1588" s="12" t="s">
        <v>133</v>
      </c>
      <c r="L1588" s="12" t="s">
        <v>82</v>
      </c>
      <c r="M1588">
        <v>12.65</v>
      </c>
      <c r="N1588" s="12" t="s">
        <v>97</v>
      </c>
      <c r="O1588" s="12" t="s">
        <v>98</v>
      </c>
      <c r="P1588" s="12" t="s">
        <v>72</v>
      </c>
      <c r="Q1588" s="13">
        <v>45252</v>
      </c>
      <c r="R1588" s="13">
        <v>45265</v>
      </c>
      <c r="S1588">
        <v>2023</v>
      </c>
      <c r="T1588" s="12" t="s">
        <v>2132</v>
      </c>
      <c r="U1588">
        <v>19</v>
      </c>
      <c r="V1588">
        <v>370.15300000000002</v>
      </c>
      <c r="W1588">
        <v>174.81</v>
      </c>
      <c r="X1588">
        <v>0</v>
      </c>
      <c r="Y1588">
        <v>0</v>
      </c>
      <c r="Z1588">
        <v>7032.91</v>
      </c>
      <c r="AA1588">
        <v>7207.72</v>
      </c>
      <c r="AB1588" s="12" t="s">
        <v>201</v>
      </c>
      <c r="AD1588">
        <v>0</v>
      </c>
      <c r="AE1588">
        <v>0</v>
      </c>
      <c r="AH1588">
        <v>19</v>
      </c>
      <c r="AI1588">
        <v>19</v>
      </c>
      <c r="AJ1588">
        <v>0</v>
      </c>
      <c r="AK1588">
        <v>1</v>
      </c>
      <c r="AL1588">
        <v>1</v>
      </c>
      <c r="AM1588">
        <v>100</v>
      </c>
      <c r="AN1588">
        <v>379.3535</v>
      </c>
      <c r="AO1588">
        <v>0</v>
      </c>
      <c r="AP1588" s="13">
        <v>45273</v>
      </c>
      <c r="AQ1588">
        <v>8</v>
      </c>
      <c r="AR1588">
        <v>0</v>
      </c>
    </row>
    <row r="1589" spans="1:44" x14ac:dyDescent="0.35">
      <c r="A1589" s="12" t="s">
        <v>2280</v>
      </c>
      <c r="B1589" s="12" t="s">
        <v>1179</v>
      </c>
      <c r="C1589" s="12" t="s">
        <v>1180</v>
      </c>
      <c r="D1589" s="12" t="s">
        <v>122</v>
      </c>
      <c r="E1589" s="12" t="s">
        <v>142</v>
      </c>
      <c r="F1589">
        <v>1</v>
      </c>
      <c r="G1589">
        <v>8</v>
      </c>
      <c r="H1589">
        <v>1</v>
      </c>
      <c r="I1589" s="12" t="s">
        <v>143</v>
      </c>
      <c r="J1589" s="12" t="s">
        <v>144</v>
      </c>
      <c r="K1589" s="12" t="s">
        <v>133</v>
      </c>
      <c r="L1589" s="12" t="s">
        <v>96</v>
      </c>
      <c r="M1589">
        <v>5.43</v>
      </c>
      <c r="N1589" s="12" t="s">
        <v>70</v>
      </c>
      <c r="O1589" s="12" t="s">
        <v>71</v>
      </c>
      <c r="P1589" s="12" t="s">
        <v>72</v>
      </c>
      <c r="Q1589" s="13">
        <v>45252</v>
      </c>
      <c r="R1589" s="13">
        <v>45303</v>
      </c>
      <c r="S1589">
        <v>2023</v>
      </c>
      <c r="T1589" s="12" t="s">
        <v>2132</v>
      </c>
      <c r="U1589">
        <v>1874</v>
      </c>
      <c r="V1589">
        <v>52.674799999999998</v>
      </c>
      <c r="W1589">
        <v>751.2</v>
      </c>
      <c r="X1589">
        <v>0</v>
      </c>
      <c r="Y1589">
        <v>0</v>
      </c>
      <c r="Z1589">
        <v>98712.58</v>
      </c>
      <c r="AA1589">
        <v>99463.78</v>
      </c>
      <c r="AB1589" s="12" t="s">
        <v>1181</v>
      </c>
      <c r="AC1589">
        <v>52.674799999999998</v>
      </c>
      <c r="AD1589">
        <v>1</v>
      </c>
      <c r="AE1589">
        <v>1</v>
      </c>
      <c r="AF1589">
        <v>0</v>
      </c>
      <c r="AG1589">
        <v>98712.58</v>
      </c>
      <c r="AH1589">
        <v>1874</v>
      </c>
      <c r="AI1589">
        <v>1864</v>
      </c>
      <c r="AJ1589">
        <v>10</v>
      </c>
      <c r="AK1589">
        <v>1</v>
      </c>
      <c r="AL1589">
        <v>1</v>
      </c>
      <c r="AM1589">
        <v>99.47</v>
      </c>
      <c r="AN1589">
        <v>53.360399999999998</v>
      </c>
      <c r="AO1589">
        <v>526.75</v>
      </c>
      <c r="AP1589" s="13">
        <v>45308</v>
      </c>
      <c r="AQ1589">
        <v>5</v>
      </c>
      <c r="AR1589">
        <v>0</v>
      </c>
    </row>
    <row r="1590" spans="1:44" x14ac:dyDescent="0.35">
      <c r="A1590" s="12" t="s">
        <v>2281</v>
      </c>
      <c r="B1590" s="12" t="s">
        <v>1433</v>
      </c>
      <c r="C1590" s="12" t="s">
        <v>1434</v>
      </c>
      <c r="D1590" s="12" t="s">
        <v>269</v>
      </c>
      <c r="E1590" s="12" t="s">
        <v>65</v>
      </c>
      <c r="F1590">
        <v>3</v>
      </c>
      <c r="G1590">
        <v>5</v>
      </c>
      <c r="H1590">
        <v>0</v>
      </c>
      <c r="I1590" s="12" t="s">
        <v>223</v>
      </c>
      <c r="J1590" s="12" t="s">
        <v>224</v>
      </c>
      <c r="K1590" s="12" t="s">
        <v>81</v>
      </c>
      <c r="L1590" s="12" t="s">
        <v>134</v>
      </c>
      <c r="M1590">
        <v>2.4900000000000002</v>
      </c>
      <c r="N1590" s="12" t="s">
        <v>135</v>
      </c>
      <c r="O1590" s="12" t="s">
        <v>136</v>
      </c>
      <c r="P1590" s="12" t="s">
        <v>137</v>
      </c>
      <c r="Q1590" s="13">
        <v>45252</v>
      </c>
      <c r="R1590" s="13">
        <v>45284</v>
      </c>
      <c r="S1590">
        <v>2023</v>
      </c>
      <c r="T1590" s="12" t="s">
        <v>2132</v>
      </c>
      <c r="U1590">
        <v>95</v>
      </c>
      <c r="V1590">
        <v>457.42090000000002</v>
      </c>
      <c r="W1590">
        <v>418.16</v>
      </c>
      <c r="X1590">
        <v>0</v>
      </c>
      <c r="Y1590">
        <v>0</v>
      </c>
      <c r="Z1590">
        <v>43454.99</v>
      </c>
      <c r="AA1590">
        <v>43873.15</v>
      </c>
      <c r="AB1590" s="12" t="s">
        <v>1435</v>
      </c>
      <c r="AC1590">
        <v>457.42090000000002</v>
      </c>
      <c r="AD1590">
        <v>1</v>
      </c>
      <c r="AE1590">
        <v>1</v>
      </c>
      <c r="AF1590">
        <v>0</v>
      </c>
      <c r="AG1590">
        <v>43454.99</v>
      </c>
      <c r="AH1590">
        <v>95</v>
      </c>
      <c r="AI1590">
        <v>94</v>
      </c>
      <c r="AJ1590">
        <v>1</v>
      </c>
      <c r="AK1590">
        <v>1</v>
      </c>
      <c r="AL1590">
        <v>1</v>
      </c>
      <c r="AM1590">
        <v>98.95</v>
      </c>
      <c r="AN1590">
        <v>466.73559999999998</v>
      </c>
      <c r="AO1590">
        <v>457.42</v>
      </c>
      <c r="AP1590" s="13">
        <v>45281</v>
      </c>
      <c r="AQ1590">
        <v>-3</v>
      </c>
      <c r="AR1590">
        <v>1</v>
      </c>
    </row>
    <row r="1591" spans="1:44" x14ac:dyDescent="0.35">
      <c r="A1591" s="12" t="s">
        <v>2282</v>
      </c>
      <c r="B1591" s="12" t="s">
        <v>602</v>
      </c>
      <c r="C1591" s="12" t="s">
        <v>603</v>
      </c>
      <c r="D1591" s="12" t="s">
        <v>114</v>
      </c>
      <c r="E1591" s="12" t="s">
        <v>142</v>
      </c>
      <c r="F1591">
        <v>2</v>
      </c>
      <c r="G1591">
        <v>10</v>
      </c>
      <c r="H1591">
        <v>0</v>
      </c>
      <c r="I1591" s="12" t="s">
        <v>263</v>
      </c>
      <c r="J1591" s="12" t="s">
        <v>264</v>
      </c>
      <c r="K1591" s="12" t="s">
        <v>125</v>
      </c>
      <c r="L1591" s="12" t="s">
        <v>82</v>
      </c>
      <c r="M1591">
        <v>10.210000000000001</v>
      </c>
      <c r="N1591" s="12" t="s">
        <v>70</v>
      </c>
      <c r="O1591" s="12" t="s">
        <v>71</v>
      </c>
      <c r="P1591" s="12" t="s">
        <v>72</v>
      </c>
      <c r="Q1591" s="13">
        <v>45252</v>
      </c>
      <c r="R1591" s="13">
        <v>45299</v>
      </c>
      <c r="S1591">
        <v>2023</v>
      </c>
      <c r="T1591" s="12" t="s">
        <v>2132</v>
      </c>
      <c r="U1591">
        <v>110</v>
      </c>
      <c r="V1591">
        <v>213.4624</v>
      </c>
      <c r="W1591">
        <v>249.38</v>
      </c>
      <c r="X1591">
        <v>0</v>
      </c>
      <c r="Y1591">
        <v>0</v>
      </c>
      <c r="Z1591">
        <v>23480.86</v>
      </c>
      <c r="AA1591">
        <v>23730.240000000002</v>
      </c>
      <c r="AB1591" s="12" t="s">
        <v>691</v>
      </c>
      <c r="AC1591">
        <v>213.4624</v>
      </c>
      <c r="AD1591">
        <v>1</v>
      </c>
      <c r="AE1591">
        <v>1</v>
      </c>
      <c r="AF1591">
        <v>0</v>
      </c>
      <c r="AG1591">
        <v>23480.86</v>
      </c>
      <c r="AH1591">
        <v>110</v>
      </c>
      <c r="AI1591">
        <v>109</v>
      </c>
      <c r="AJ1591">
        <v>1</v>
      </c>
      <c r="AK1591">
        <v>1</v>
      </c>
      <c r="AL1591">
        <v>1</v>
      </c>
      <c r="AM1591">
        <v>99.09</v>
      </c>
      <c r="AN1591">
        <v>217.70869999999999</v>
      </c>
      <c r="AO1591">
        <v>213.46</v>
      </c>
      <c r="AP1591" s="13">
        <v>45298</v>
      </c>
      <c r="AQ1591">
        <v>-1</v>
      </c>
      <c r="AR1591">
        <v>1</v>
      </c>
    </row>
    <row r="1592" spans="1:44" x14ac:dyDescent="0.35">
      <c r="A1592" s="12" t="s">
        <v>2283</v>
      </c>
      <c r="B1592" s="12" t="s">
        <v>149</v>
      </c>
      <c r="C1592" s="12" t="s">
        <v>150</v>
      </c>
      <c r="D1592" s="12" t="s">
        <v>78</v>
      </c>
      <c r="E1592" s="12" t="s">
        <v>65</v>
      </c>
      <c r="F1592">
        <v>2</v>
      </c>
      <c r="G1592">
        <v>2</v>
      </c>
      <c r="H1592">
        <v>0</v>
      </c>
      <c r="I1592" s="12" t="s">
        <v>151</v>
      </c>
      <c r="J1592" s="12" t="s">
        <v>152</v>
      </c>
      <c r="K1592" s="12" t="s">
        <v>125</v>
      </c>
      <c r="L1592" s="12" t="s">
        <v>69</v>
      </c>
      <c r="M1592">
        <v>36.479999999999997</v>
      </c>
      <c r="N1592" s="12" t="s">
        <v>70</v>
      </c>
      <c r="O1592" s="12" t="s">
        <v>71</v>
      </c>
      <c r="P1592" s="12" t="s">
        <v>72</v>
      </c>
      <c r="Q1592" s="13">
        <v>45253</v>
      </c>
      <c r="R1592" s="13">
        <v>45278</v>
      </c>
      <c r="S1592">
        <v>2023</v>
      </c>
      <c r="T1592" s="12" t="s">
        <v>2132</v>
      </c>
      <c r="U1592">
        <v>101</v>
      </c>
      <c r="V1592">
        <v>76.092399999999998</v>
      </c>
      <c r="W1592">
        <v>185.18</v>
      </c>
      <c r="X1592">
        <v>0</v>
      </c>
      <c r="Y1592">
        <v>0</v>
      </c>
      <c r="Z1592">
        <v>7685.33</v>
      </c>
      <c r="AA1592">
        <v>7870.51</v>
      </c>
      <c r="AB1592" s="12" t="s">
        <v>153</v>
      </c>
      <c r="AC1592">
        <v>76.092399999999998</v>
      </c>
      <c r="AD1592">
        <v>1</v>
      </c>
      <c r="AE1592">
        <v>1</v>
      </c>
      <c r="AF1592">
        <v>0</v>
      </c>
      <c r="AG1592">
        <v>7685.33</v>
      </c>
      <c r="AH1592">
        <v>101</v>
      </c>
      <c r="AI1592">
        <v>100</v>
      </c>
      <c r="AJ1592">
        <v>1</v>
      </c>
      <c r="AK1592">
        <v>1</v>
      </c>
      <c r="AL1592">
        <v>1</v>
      </c>
      <c r="AM1592">
        <v>99.01</v>
      </c>
      <c r="AN1592">
        <v>78.705100000000002</v>
      </c>
      <c r="AO1592">
        <v>76.09</v>
      </c>
      <c r="AP1592" s="13">
        <v>45281</v>
      </c>
      <c r="AQ1592">
        <v>3</v>
      </c>
      <c r="AR1592">
        <v>0</v>
      </c>
    </row>
    <row r="1593" spans="1:44" x14ac:dyDescent="0.35">
      <c r="A1593" s="12" t="s">
        <v>2284</v>
      </c>
      <c r="B1593" s="12" t="s">
        <v>766</v>
      </c>
      <c r="C1593" s="12" t="s">
        <v>767</v>
      </c>
      <c r="D1593" s="12" t="s">
        <v>175</v>
      </c>
      <c r="E1593" s="12" t="s">
        <v>65</v>
      </c>
      <c r="F1593">
        <v>3</v>
      </c>
      <c r="G1593">
        <v>5</v>
      </c>
      <c r="H1593">
        <v>0</v>
      </c>
      <c r="I1593" s="12" t="s">
        <v>157</v>
      </c>
      <c r="J1593" s="12" t="s">
        <v>158</v>
      </c>
      <c r="K1593" s="12" t="s">
        <v>117</v>
      </c>
      <c r="L1593" s="12" t="s">
        <v>96</v>
      </c>
      <c r="M1593">
        <v>4.72</v>
      </c>
      <c r="N1593" s="12" t="s">
        <v>145</v>
      </c>
      <c r="O1593" s="12" t="s">
        <v>146</v>
      </c>
      <c r="P1593" s="12" t="s">
        <v>109</v>
      </c>
      <c r="Q1593" s="13">
        <v>45253</v>
      </c>
      <c r="R1593" s="13">
        <v>45275</v>
      </c>
      <c r="S1593">
        <v>2023</v>
      </c>
      <c r="T1593" s="12" t="s">
        <v>2132</v>
      </c>
      <c r="U1593">
        <v>23</v>
      </c>
      <c r="V1593">
        <v>86.977900000000005</v>
      </c>
      <c r="W1593">
        <v>40.29</v>
      </c>
      <c r="X1593">
        <v>0</v>
      </c>
      <c r="Y1593">
        <v>0</v>
      </c>
      <c r="Z1593">
        <v>2000.49</v>
      </c>
      <c r="AA1593">
        <v>2040.78</v>
      </c>
      <c r="AB1593" s="12" t="s">
        <v>1279</v>
      </c>
      <c r="AC1593">
        <v>86.977900000000005</v>
      </c>
      <c r="AD1593">
        <v>1</v>
      </c>
      <c r="AE1593">
        <v>1</v>
      </c>
      <c r="AF1593">
        <v>0</v>
      </c>
      <c r="AG1593">
        <v>2000.49</v>
      </c>
      <c r="AH1593">
        <v>23</v>
      </c>
      <c r="AI1593">
        <v>23</v>
      </c>
      <c r="AJ1593">
        <v>0</v>
      </c>
      <c r="AK1593">
        <v>1</v>
      </c>
      <c r="AL1593">
        <v>1</v>
      </c>
      <c r="AM1593">
        <v>100</v>
      </c>
      <c r="AN1593">
        <v>88.729600000000005</v>
      </c>
      <c r="AO1593">
        <v>0</v>
      </c>
      <c r="AP1593" s="13">
        <v>45273</v>
      </c>
      <c r="AQ1593">
        <v>-2</v>
      </c>
      <c r="AR1593">
        <v>1</v>
      </c>
    </row>
    <row r="1594" spans="1:44" x14ac:dyDescent="0.35">
      <c r="A1594" s="12" t="s">
        <v>2285</v>
      </c>
      <c r="B1594" s="12" t="s">
        <v>1034</v>
      </c>
      <c r="C1594" s="12" t="s">
        <v>1035</v>
      </c>
      <c r="D1594" s="12" t="s">
        <v>64</v>
      </c>
      <c r="E1594" s="12" t="s">
        <v>104</v>
      </c>
      <c r="F1594">
        <v>2</v>
      </c>
      <c r="G1594">
        <v>0</v>
      </c>
      <c r="H1594">
        <v>0</v>
      </c>
      <c r="I1594" s="12" t="s">
        <v>157</v>
      </c>
      <c r="J1594" s="12" t="s">
        <v>158</v>
      </c>
      <c r="K1594" s="12" t="s">
        <v>117</v>
      </c>
      <c r="L1594" s="12" t="s">
        <v>96</v>
      </c>
      <c r="M1594">
        <v>4.72</v>
      </c>
      <c r="N1594" s="12" t="s">
        <v>70</v>
      </c>
      <c r="O1594" s="12" t="s">
        <v>71</v>
      </c>
      <c r="P1594" s="12" t="s">
        <v>72</v>
      </c>
      <c r="Q1594" s="13">
        <v>45253</v>
      </c>
      <c r="R1594" s="13">
        <v>45277</v>
      </c>
      <c r="S1594">
        <v>2023</v>
      </c>
      <c r="T1594" s="12" t="s">
        <v>2132</v>
      </c>
      <c r="U1594">
        <v>723</v>
      </c>
      <c r="V1594">
        <v>10.4892</v>
      </c>
      <c r="W1594">
        <v>62.79</v>
      </c>
      <c r="X1594">
        <v>0</v>
      </c>
      <c r="Y1594">
        <v>0</v>
      </c>
      <c r="Z1594">
        <v>7583.69</v>
      </c>
      <c r="AA1594">
        <v>7646.48</v>
      </c>
      <c r="AB1594" s="12" t="s">
        <v>1036</v>
      </c>
      <c r="AC1594">
        <v>9.9979999999999993</v>
      </c>
      <c r="AD1594">
        <v>1</v>
      </c>
      <c r="AE1594">
        <v>1</v>
      </c>
      <c r="AF1594">
        <v>355.14</v>
      </c>
      <c r="AG1594">
        <v>7228.55</v>
      </c>
      <c r="AH1594">
        <v>723</v>
      </c>
      <c r="AI1594">
        <v>720</v>
      </c>
      <c r="AJ1594">
        <v>3</v>
      </c>
      <c r="AK1594">
        <v>1</v>
      </c>
      <c r="AL1594">
        <v>1</v>
      </c>
      <c r="AM1594">
        <v>99.59</v>
      </c>
      <c r="AN1594">
        <v>10.620100000000001</v>
      </c>
      <c r="AO1594">
        <v>31.47</v>
      </c>
      <c r="AP1594" s="13">
        <v>45284</v>
      </c>
      <c r="AQ1594">
        <v>7</v>
      </c>
      <c r="AR1594">
        <v>0</v>
      </c>
    </row>
    <row r="1595" spans="1:44" x14ac:dyDescent="0.35">
      <c r="A1595" s="12" t="s">
        <v>2286</v>
      </c>
      <c r="B1595" s="12" t="s">
        <v>472</v>
      </c>
      <c r="C1595" s="12" t="s">
        <v>473</v>
      </c>
      <c r="D1595" s="12" t="s">
        <v>122</v>
      </c>
      <c r="E1595" s="12" t="s">
        <v>142</v>
      </c>
      <c r="F1595">
        <v>2</v>
      </c>
      <c r="G1595">
        <v>9</v>
      </c>
      <c r="H1595">
        <v>0</v>
      </c>
      <c r="I1595" s="12" t="s">
        <v>209</v>
      </c>
      <c r="J1595" s="12" t="s">
        <v>210</v>
      </c>
      <c r="K1595" s="12" t="s">
        <v>133</v>
      </c>
      <c r="L1595" s="12" t="s">
        <v>96</v>
      </c>
      <c r="M1595">
        <v>7.82</v>
      </c>
      <c r="N1595" s="12" t="s">
        <v>70</v>
      </c>
      <c r="O1595" s="12" t="s">
        <v>71</v>
      </c>
      <c r="P1595" s="12" t="s">
        <v>72</v>
      </c>
      <c r="Q1595" s="13">
        <v>45253</v>
      </c>
      <c r="R1595" s="13">
        <v>45298</v>
      </c>
      <c r="S1595">
        <v>2023</v>
      </c>
      <c r="T1595" s="12" t="s">
        <v>2132</v>
      </c>
      <c r="U1595">
        <v>1256</v>
      </c>
      <c r="V1595">
        <v>51.300899999999999</v>
      </c>
      <c r="W1595">
        <v>612.64</v>
      </c>
      <c r="X1595">
        <v>0</v>
      </c>
      <c r="Y1595">
        <v>0</v>
      </c>
      <c r="Z1595">
        <v>64433.93</v>
      </c>
      <c r="AA1595">
        <v>65046.57</v>
      </c>
      <c r="AB1595" s="12" t="s">
        <v>474</v>
      </c>
      <c r="AC1595">
        <v>48.7896</v>
      </c>
      <c r="AD1595">
        <v>1</v>
      </c>
      <c r="AE1595">
        <v>1</v>
      </c>
      <c r="AF1595">
        <v>3154.19</v>
      </c>
      <c r="AG1595">
        <v>61279.74</v>
      </c>
      <c r="AH1595">
        <v>1256</v>
      </c>
      <c r="AI1595">
        <v>1251</v>
      </c>
      <c r="AJ1595">
        <v>5</v>
      </c>
      <c r="AK1595">
        <v>1</v>
      </c>
      <c r="AL1595">
        <v>1</v>
      </c>
      <c r="AM1595">
        <v>99.6</v>
      </c>
      <c r="AN1595">
        <v>51.995699999999999</v>
      </c>
      <c r="AO1595">
        <v>256.5</v>
      </c>
      <c r="AP1595" s="13">
        <v>45301</v>
      </c>
      <c r="AQ1595">
        <v>3</v>
      </c>
      <c r="AR1595">
        <v>0</v>
      </c>
    </row>
    <row r="1596" spans="1:44" x14ac:dyDescent="0.35">
      <c r="A1596" s="12" t="s">
        <v>2287</v>
      </c>
      <c r="B1596" s="12" t="s">
        <v>477</v>
      </c>
      <c r="C1596" s="12" t="s">
        <v>478</v>
      </c>
      <c r="D1596" s="12" t="s">
        <v>130</v>
      </c>
      <c r="E1596" s="12" t="s">
        <v>104</v>
      </c>
      <c r="F1596">
        <v>3</v>
      </c>
      <c r="G1596">
        <v>1</v>
      </c>
      <c r="H1596">
        <v>0</v>
      </c>
      <c r="I1596" s="12" t="s">
        <v>380</v>
      </c>
      <c r="J1596" s="12" t="s">
        <v>381</v>
      </c>
      <c r="K1596" s="12" t="s">
        <v>89</v>
      </c>
      <c r="L1596" s="12" t="s">
        <v>96</v>
      </c>
      <c r="M1596">
        <v>10.210000000000001</v>
      </c>
      <c r="N1596" s="12" t="s">
        <v>135</v>
      </c>
      <c r="O1596" s="12" t="s">
        <v>136</v>
      </c>
      <c r="P1596" s="12" t="s">
        <v>137</v>
      </c>
      <c r="Q1596" s="13">
        <v>45253</v>
      </c>
      <c r="R1596" s="13">
        <v>45281</v>
      </c>
      <c r="S1596">
        <v>2023</v>
      </c>
      <c r="T1596" s="12" t="s">
        <v>2132</v>
      </c>
      <c r="U1596">
        <v>138</v>
      </c>
      <c r="V1596">
        <v>778.59670000000006</v>
      </c>
      <c r="W1596">
        <v>2577.14</v>
      </c>
      <c r="X1596">
        <v>0</v>
      </c>
      <c r="Y1596">
        <v>0</v>
      </c>
      <c r="Z1596">
        <v>107446.34</v>
      </c>
      <c r="AA1596">
        <v>110023.48</v>
      </c>
      <c r="AB1596" s="12" t="s">
        <v>1094</v>
      </c>
      <c r="AC1596">
        <v>778.59670000000006</v>
      </c>
      <c r="AD1596">
        <v>1</v>
      </c>
      <c r="AE1596">
        <v>1</v>
      </c>
      <c r="AF1596">
        <v>0</v>
      </c>
      <c r="AG1596">
        <v>107446.34</v>
      </c>
      <c r="AH1596">
        <v>138</v>
      </c>
      <c r="AI1596">
        <v>138</v>
      </c>
      <c r="AJ1596">
        <v>0</v>
      </c>
      <c r="AK1596">
        <v>1</v>
      </c>
      <c r="AL1596">
        <v>1</v>
      </c>
      <c r="AM1596">
        <v>100</v>
      </c>
      <c r="AN1596">
        <v>797.27160000000003</v>
      </c>
      <c r="AO1596">
        <v>0</v>
      </c>
      <c r="AP1596" s="13">
        <v>45279</v>
      </c>
      <c r="AQ1596">
        <v>-2</v>
      </c>
      <c r="AR1596">
        <v>1</v>
      </c>
    </row>
    <row r="1597" spans="1:44" x14ac:dyDescent="0.35">
      <c r="A1597" s="12" t="s">
        <v>2288</v>
      </c>
      <c r="B1597" s="12" t="s">
        <v>207</v>
      </c>
      <c r="C1597" s="12" t="s">
        <v>208</v>
      </c>
      <c r="D1597" s="12" t="s">
        <v>78</v>
      </c>
      <c r="E1597" s="12" t="s">
        <v>65</v>
      </c>
      <c r="F1597">
        <v>2</v>
      </c>
      <c r="G1597">
        <v>3</v>
      </c>
      <c r="H1597">
        <v>0</v>
      </c>
      <c r="I1597" s="12" t="s">
        <v>209</v>
      </c>
      <c r="J1597" s="12" t="s">
        <v>210</v>
      </c>
      <c r="K1597" s="12" t="s">
        <v>133</v>
      </c>
      <c r="L1597" s="12" t="s">
        <v>96</v>
      </c>
      <c r="M1597">
        <v>7.82</v>
      </c>
      <c r="N1597" s="12" t="s">
        <v>70</v>
      </c>
      <c r="O1597" s="12" t="s">
        <v>71</v>
      </c>
      <c r="P1597" s="12" t="s">
        <v>72</v>
      </c>
      <c r="Q1597" s="13">
        <v>45253</v>
      </c>
      <c r="R1597" s="13">
        <v>45291</v>
      </c>
      <c r="S1597">
        <v>2023</v>
      </c>
      <c r="T1597" s="12" t="s">
        <v>2132</v>
      </c>
      <c r="U1597">
        <v>286</v>
      </c>
      <c r="V1597">
        <v>152.13079999999999</v>
      </c>
      <c r="W1597">
        <v>766.06</v>
      </c>
      <c r="X1597">
        <v>0</v>
      </c>
      <c r="Y1597">
        <v>0</v>
      </c>
      <c r="Z1597">
        <v>43509.41</v>
      </c>
      <c r="AA1597">
        <v>44275.47</v>
      </c>
      <c r="AB1597" s="12" t="s">
        <v>211</v>
      </c>
      <c r="AC1597">
        <v>152.13079999999999</v>
      </c>
      <c r="AD1597">
        <v>1</v>
      </c>
      <c r="AE1597">
        <v>1</v>
      </c>
      <c r="AF1597">
        <v>0</v>
      </c>
      <c r="AG1597">
        <v>43509.41</v>
      </c>
      <c r="AH1597">
        <v>286</v>
      </c>
      <c r="AI1597">
        <v>280</v>
      </c>
      <c r="AJ1597">
        <v>6</v>
      </c>
      <c r="AK1597">
        <v>1</v>
      </c>
      <c r="AL1597">
        <v>1</v>
      </c>
      <c r="AM1597">
        <v>97.9</v>
      </c>
      <c r="AN1597">
        <v>158.1267</v>
      </c>
      <c r="AO1597">
        <v>912.78</v>
      </c>
      <c r="AP1597" s="13">
        <v>45297</v>
      </c>
      <c r="AQ1597">
        <v>6</v>
      </c>
      <c r="AR1597">
        <v>0</v>
      </c>
    </row>
    <row r="1598" spans="1:44" x14ac:dyDescent="0.35">
      <c r="A1598" s="12" t="s">
        <v>2289</v>
      </c>
      <c r="B1598" s="12" t="s">
        <v>490</v>
      </c>
      <c r="C1598" s="12" t="s">
        <v>491</v>
      </c>
      <c r="D1598" s="12" t="s">
        <v>130</v>
      </c>
      <c r="E1598" s="12" t="s">
        <v>104</v>
      </c>
      <c r="F1598">
        <v>3</v>
      </c>
      <c r="G1598">
        <v>1</v>
      </c>
      <c r="H1598">
        <v>0</v>
      </c>
      <c r="I1598" s="12" t="s">
        <v>243</v>
      </c>
      <c r="J1598" s="12" t="s">
        <v>244</v>
      </c>
      <c r="K1598" s="12" t="s">
        <v>81</v>
      </c>
      <c r="L1598" s="12" t="s">
        <v>82</v>
      </c>
      <c r="M1598">
        <v>9.2200000000000006</v>
      </c>
      <c r="N1598" s="12" t="s">
        <v>159</v>
      </c>
      <c r="O1598" s="12" t="s">
        <v>160</v>
      </c>
      <c r="P1598" s="12" t="s">
        <v>137</v>
      </c>
      <c r="Q1598" s="13">
        <v>45253</v>
      </c>
      <c r="R1598" s="13">
        <v>45280</v>
      </c>
      <c r="S1598">
        <v>2023</v>
      </c>
      <c r="T1598" s="12" t="s">
        <v>2132</v>
      </c>
      <c r="U1598">
        <v>132</v>
      </c>
      <c r="V1598">
        <v>338.63850000000002</v>
      </c>
      <c r="W1598">
        <v>1022.36</v>
      </c>
      <c r="X1598">
        <v>0</v>
      </c>
      <c r="Y1598">
        <v>0</v>
      </c>
      <c r="Z1598">
        <v>44700.28</v>
      </c>
      <c r="AA1598">
        <v>45722.64</v>
      </c>
      <c r="AB1598" s="12" t="s">
        <v>201</v>
      </c>
      <c r="AD1598">
        <v>0</v>
      </c>
      <c r="AE1598">
        <v>0</v>
      </c>
      <c r="AH1598">
        <v>132</v>
      </c>
      <c r="AI1598">
        <v>131</v>
      </c>
      <c r="AJ1598">
        <v>1</v>
      </c>
      <c r="AK1598">
        <v>1</v>
      </c>
      <c r="AL1598">
        <v>1</v>
      </c>
      <c r="AM1598">
        <v>99.24</v>
      </c>
      <c r="AN1598">
        <v>349.02780000000001</v>
      </c>
      <c r="AO1598">
        <v>338.64</v>
      </c>
      <c r="AP1598" s="13">
        <v>45276</v>
      </c>
      <c r="AQ1598">
        <v>-4</v>
      </c>
      <c r="AR1598">
        <v>1</v>
      </c>
    </row>
    <row r="1599" spans="1:44" x14ac:dyDescent="0.35">
      <c r="A1599" s="12" t="s">
        <v>2290</v>
      </c>
      <c r="B1599" s="12" t="s">
        <v>458</v>
      </c>
      <c r="C1599" s="12" t="s">
        <v>459</v>
      </c>
      <c r="D1599" s="12" t="s">
        <v>64</v>
      </c>
      <c r="E1599" s="12" t="s">
        <v>104</v>
      </c>
      <c r="F1599">
        <v>2</v>
      </c>
      <c r="G1599">
        <v>0</v>
      </c>
      <c r="H1599">
        <v>0</v>
      </c>
      <c r="I1599" s="12" t="s">
        <v>143</v>
      </c>
      <c r="J1599" s="12" t="s">
        <v>144</v>
      </c>
      <c r="K1599" s="12" t="s">
        <v>133</v>
      </c>
      <c r="L1599" s="12" t="s">
        <v>96</v>
      </c>
      <c r="M1599">
        <v>5.43</v>
      </c>
      <c r="N1599" s="12" t="s">
        <v>97</v>
      </c>
      <c r="O1599" s="12" t="s">
        <v>98</v>
      </c>
      <c r="P1599" s="12" t="s">
        <v>72</v>
      </c>
      <c r="Q1599" s="13">
        <v>45253</v>
      </c>
      <c r="R1599" s="13">
        <v>45267</v>
      </c>
      <c r="S1599">
        <v>2023</v>
      </c>
      <c r="T1599" s="12" t="s">
        <v>2132</v>
      </c>
      <c r="U1599">
        <v>226</v>
      </c>
      <c r="V1599">
        <v>25.816299999999998</v>
      </c>
      <c r="W1599">
        <v>142.69</v>
      </c>
      <c r="X1599">
        <v>0</v>
      </c>
      <c r="Y1599">
        <v>0</v>
      </c>
      <c r="Z1599">
        <v>5834.48</v>
      </c>
      <c r="AA1599">
        <v>5977.17</v>
      </c>
      <c r="AB1599" s="12" t="s">
        <v>480</v>
      </c>
      <c r="AC1599">
        <v>24.782299999999999</v>
      </c>
      <c r="AD1599">
        <v>1</v>
      </c>
      <c r="AE1599">
        <v>1</v>
      </c>
      <c r="AF1599">
        <v>233.68</v>
      </c>
      <c r="AG1599">
        <v>5600.8</v>
      </c>
      <c r="AH1599">
        <v>226</v>
      </c>
      <c r="AI1599">
        <v>225</v>
      </c>
      <c r="AJ1599">
        <v>1</v>
      </c>
      <c r="AK1599">
        <v>1</v>
      </c>
      <c r="AL1599">
        <v>1</v>
      </c>
      <c r="AM1599">
        <v>99.56</v>
      </c>
      <c r="AN1599">
        <v>26.565200000000001</v>
      </c>
      <c r="AO1599">
        <v>25.82</v>
      </c>
      <c r="AP1599" s="13">
        <v>45267</v>
      </c>
      <c r="AQ1599">
        <v>0</v>
      </c>
      <c r="AR1599">
        <v>1</v>
      </c>
    </row>
    <row r="1600" spans="1:44" x14ac:dyDescent="0.35">
      <c r="A1600" s="12" t="s">
        <v>2291</v>
      </c>
      <c r="B1600" s="12" t="s">
        <v>787</v>
      </c>
      <c r="C1600" s="12" t="s">
        <v>788</v>
      </c>
      <c r="D1600" s="12" t="s">
        <v>269</v>
      </c>
      <c r="E1600" s="12" t="s">
        <v>65</v>
      </c>
      <c r="F1600">
        <v>2</v>
      </c>
      <c r="G1600">
        <v>3</v>
      </c>
      <c r="H1600">
        <v>0</v>
      </c>
      <c r="I1600" s="12" t="s">
        <v>143</v>
      </c>
      <c r="J1600" s="12" t="s">
        <v>144</v>
      </c>
      <c r="K1600" s="12" t="s">
        <v>133</v>
      </c>
      <c r="L1600" s="12" t="s">
        <v>96</v>
      </c>
      <c r="M1600">
        <v>5.43</v>
      </c>
      <c r="N1600" s="12" t="s">
        <v>159</v>
      </c>
      <c r="O1600" s="12" t="s">
        <v>160</v>
      </c>
      <c r="P1600" s="12" t="s">
        <v>137</v>
      </c>
      <c r="Q1600" s="13">
        <v>45253</v>
      </c>
      <c r="R1600" s="13">
        <v>45291</v>
      </c>
      <c r="S1600">
        <v>2023</v>
      </c>
      <c r="T1600" s="12" t="s">
        <v>2132</v>
      </c>
      <c r="U1600">
        <v>144</v>
      </c>
      <c r="V1600">
        <v>368.85860000000002</v>
      </c>
      <c r="W1600">
        <v>526.94000000000005</v>
      </c>
      <c r="X1600">
        <v>0</v>
      </c>
      <c r="Y1600">
        <v>0</v>
      </c>
      <c r="Z1600">
        <v>53115.64</v>
      </c>
      <c r="AA1600">
        <v>53642.58</v>
      </c>
      <c r="AB1600" s="12" t="s">
        <v>789</v>
      </c>
      <c r="AC1600">
        <v>354.36430000000001</v>
      </c>
      <c r="AD1600">
        <v>1</v>
      </c>
      <c r="AE1600">
        <v>1</v>
      </c>
      <c r="AF1600">
        <v>2087.1799999999998</v>
      </c>
      <c r="AG1600">
        <v>51028.46</v>
      </c>
      <c r="AH1600">
        <v>144</v>
      </c>
      <c r="AI1600">
        <v>143</v>
      </c>
      <c r="AJ1600">
        <v>1</v>
      </c>
      <c r="AK1600">
        <v>1</v>
      </c>
      <c r="AL1600">
        <v>1</v>
      </c>
      <c r="AM1600">
        <v>99.31</v>
      </c>
      <c r="AN1600">
        <v>375.12290000000002</v>
      </c>
      <c r="AO1600">
        <v>368.86</v>
      </c>
      <c r="AP1600" s="13">
        <v>45289</v>
      </c>
      <c r="AQ1600">
        <v>-2</v>
      </c>
      <c r="AR1600">
        <v>1</v>
      </c>
    </row>
    <row r="1601" spans="1:44" x14ac:dyDescent="0.35">
      <c r="A1601" s="12" t="s">
        <v>2292</v>
      </c>
      <c r="B1601" s="12" t="s">
        <v>85</v>
      </c>
      <c r="C1601" s="12" t="s">
        <v>86</v>
      </c>
      <c r="D1601" s="12" t="s">
        <v>78</v>
      </c>
      <c r="E1601" s="12" t="s">
        <v>65</v>
      </c>
      <c r="F1601">
        <v>3</v>
      </c>
      <c r="G1601">
        <v>5</v>
      </c>
      <c r="H1601">
        <v>0</v>
      </c>
      <c r="I1601" s="12" t="s">
        <v>195</v>
      </c>
      <c r="J1601" s="12" t="s">
        <v>196</v>
      </c>
      <c r="K1601" s="12" t="s">
        <v>117</v>
      </c>
      <c r="L1601" s="12" t="s">
        <v>134</v>
      </c>
      <c r="M1601">
        <v>4.7699999999999996</v>
      </c>
      <c r="N1601" s="12" t="s">
        <v>97</v>
      </c>
      <c r="O1601" s="12" t="s">
        <v>98</v>
      </c>
      <c r="P1601" s="12" t="s">
        <v>72</v>
      </c>
      <c r="Q1601" s="13">
        <v>45253</v>
      </c>
      <c r="R1601" s="13">
        <v>45276</v>
      </c>
      <c r="S1601">
        <v>2023</v>
      </c>
      <c r="T1601" s="12" t="s">
        <v>2132</v>
      </c>
      <c r="U1601">
        <v>83</v>
      </c>
      <c r="V1601">
        <v>147.55000000000001</v>
      </c>
      <c r="W1601">
        <v>147.05000000000001</v>
      </c>
      <c r="X1601">
        <v>0</v>
      </c>
      <c r="Y1601">
        <v>0</v>
      </c>
      <c r="Z1601">
        <v>12246.65</v>
      </c>
      <c r="AA1601">
        <v>12393.7</v>
      </c>
      <c r="AB1601" s="12" t="s">
        <v>1417</v>
      </c>
      <c r="AC1601">
        <v>147.55000000000001</v>
      </c>
      <c r="AD1601">
        <v>1</v>
      </c>
      <c r="AE1601">
        <v>1</v>
      </c>
      <c r="AF1601">
        <v>0</v>
      </c>
      <c r="AG1601">
        <v>12246.65</v>
      </c>
      <c r="AH1601">
        <v>83</v>
      </c>
      <c r="AI1601">
        <v>82</v>
      </c>
      <c r="AJ1601">
        <v>1</v>
      </c>
      <c r="AK1601">
        <v>1</v>
      </c>
      <c r="AL1601">
        <v>1</v>
      </c>
      <c r="AM1601">
        <v>98.8</v>
      </c>
      <c r="AN1601">
        <v>151.14269999999999</v>
      </c>
      <c r="AO1601">
        <v>147.55000000000001</v>
      </c>
      <c r="AP1601" s="13">
        <v>45276</v>
      </c>
      <c r="AQ1601">
        <v>0</v>
      </c>
      <c r="AR1601">
        <v>1</v>
      </c>
    </row>
    <row r="1602" spans="1:44" x14ac:dyDescent="0.35">
      <c r="A1602" s="12" t="s">
        <v>2293</v>
      </c>
      <c r="B1602" s="12" t="s">
        <v>404</v>
      </c>
      <c r="C1602" s="12" t="s">
        <v>405</v>
      </c>
      <c r="D1602" s="12" t="s">
        <v>269</v>
      </c>
      <c r="E1602" s="12" t="s">
        <v>65</v>
      </c>
      <c r="F1602">
        <v>3</v>
      </c>
      <c r="G1602">
        <v>5</v>
      </c>
      <c r="H1602">
        <v>0</v>
      </c>
      <c r="I1602" s="12" t="s">
        <v>94</v>
      </c>
      <c r="J1602" s="12" t="s">
        <v>95</v>
      </c>
      <c r="K1602" s="12" t="s">
        <v>81</v>
      </c>
      <c r="L1602" s="12" t="s">
        <v>96</v>
      </c>
      <c r="M1602">
        <v>4.8099999999999996</v>
      </c>
      <c r="N1602" s="12" t="s">
        <v>159</v>
      </c>
      <c r="O1602" s="12" t="s">
        <v>160</v>
      </c>
      <c r="P1602" s="12" t="s">
        <v>137</v>
      </c>
      <c r="Q1602" s="13">
        <v>45254</v>
      </c>
      <c r="R1602" s="13">
        <v>45291</v>
      </c>
      <c r="S1602">
        <v>2023</v>
      </c>
      <c r="T1602" s="12" t="s">
        <v>2132</v>
      </c>
      <c r="U1602">
        <v>137</v>
      </c>
      <c r="V1602">
        <v>489.87400000000002</v>
      </c>
      <c r="W1602">
        <v>716.78</v>
      </c>
      <c r="X1602">
        <v>0</v>
      </c>
      <c r="Y1602">
        <v>0</v>
      </c>
      <c r="Z1602">
        <v>67112.740000000005</v>
      </c>
      <c r="AA1602">
        <v>67829.52</v>
      </c>
      <c r="AB1602" s="12" t="s">
        <v>201</v>
      </c>
      <c r="AD1602">
        <v>0</v>
      </c>
      <c r="AE1602">
        <v>0</v>
      </c>
      <c r="AH1602">
        <v>137</v>
      </c>
      <c r="AI1602">
        <v>137</v>
      </c>
      <c r="AJ1602">
        <v>0</v>
      </c>
      <c r="AK1602">
        <v>1</v>
      </c>
      <c r="AL1602">
        <v>1</v>
      </c>
      <c r="AM1602">
        <v>100</v>
      </c>
      <c r="AN1602">
        <v>495.10599999999999</v>
      </c>
      <c r="AO1602">
        <v>0</v>
      </c>
      <c r="AP1602" s="13">
        <v>45290</v>
      </c>
      <c r="AQ1602">
        <v>-1</v>
      </c>
      <c r="AR1602">
        <v>1</v>
      </c>
    </row>
    <row r="1603" spans="1:44" x14ac:dyDescent="0.35">
      <c r="A1603" s="12" t="s">
        <v>2294</v>
      </c>
      <c r="B1603" s="12" t="s">
        <v>513</v>
      </c>
      <c r="C1603" s="12" t="s">
        <v>514</v>
      </c>
      <c r="D1603" s="12" t="s">
        <v>269</v>
      </c>
      <c r="E1603" s="12" t="s">
        <v>65</v>
      </c>
      <c r="F1603">
        <v>1</v>
      </c>
      <c r="G1603">
        <v>2</v>
      </c>
      <c r="H1603">
        <v>1</v>
      </c>
      <c r="I1603" s="12" t="s">
        <v>515</v>
      </c>
      <c r="J1603" s="12" t="s">
        <v>516</v>
      </c>
      <c r="K1603" s="12" t="s">
        <v>68</v>
      </c>
      <c r="L1603" s="12" t="s">
        <v>134</v>
      </c>
      <c r="M1603">
        <v>3.69</v>
      </c>
      <c r="N1603" s="12" t="s">
        <v>159</v>
      </c>
      <c r="O1603" s="12" t="s">
        <v>160</v>
      </c>
      <c r="P1603" s="12" t="s">
        <v>137</v>
      </c>
      <c r="Q1603" s="13">
        <v>45254</v>
      </c>
      <c r="R1603" s="13">
        <v>45275</v>
      </c>
      <c r="S1603">
        <v>2023</v>
      </c>
      <c r="T1603" s="12" t="s">
        <v>2132</v>
      </c>
      <c r="U1603">
        <v>15</v>
      </c>
      <c r="V1603">
        <v>229.3486</v>
      </c>
      <c r="W1603">
        <v>32.24</v>
      </c>
      <c r="X1603">
        <v>0</v>
      </c>
      <c r="Y1603">
        <v>0</v>
      </c>
      <c r="Z1603">
        <v>3440.23</v>
      </c>
      <c r="AA1603">
        <v>3472.47</v>
      </c>
      <c r="AB1603" s="12" t="s">
        <v>517</v>
      </c>
      <c r="AC1603">
        <v>229.3486</v>
      </c>
      <c r="AD1603">
        <v>1</v>
      </c>
      <c r="AE1603">
        <v>1</v>
      </c>
      <c r="AF1603">
        <v>0</v>
      </c>
      <c r="AG1603">
        <v>3440.23</v>
      </c>
      <c r="AH1603">
        <v>15</v>
      </c>
      <c r="AI1603">
        <v>15</v>
      </c>
      <c r="AJ1603">
        <v>0</v>
      </c>
      <c r="AK1603">
        <v>1</v>
      </c>
      <c r="AL1603">
        <v>1</v>
      </c>
      <c r="AM1603">
        <v>100</v>
      </c>
      <c r="AN1603">
        <v>231.49789999999999</v>
      </c>
      <c r="AO1603">
        <v>0</v>
      </c>
      <c r="AP1603" s="13">
        <v>45272</v>
      </c>
      <c r="AQ1603">
        <v>-3</v>
      </c>
      <c r="AR1603">
        <v>1</v>
      </c>
    </row>
    <row r="1604" spans="1:44" x14ac:dyDescent="0.35">
      <c r="A1604" s="12" t="s">
        <v>2295</v>
      </c>
      <c r="B1604" s="12" t="s">
        <v>408</v>
      </c>
      <c r="C1604" s="12" t="s">
        <v>409</v>
      </c>
      <c r="D1604" s="12" t="s">
        <v>130</v>
      </c>
      <c r="E1604" s="12" t="s">
        <v>65</v>
      </c>
      <c r="F1604">
        <v>3</v>
      </c>
      <c r="G1604">
        <v>5</v>
      </c>
      <c r="H1604">
        <v>0</v>
      </c>
      <c r="I1604" s="12" t="s">
        <v>105</v>
      </c>
      <c r="J1604" s="12" t="s">
        <v>106</v>
      </c>
      <c r="K1604" s="12" t="s">
        <v>81</v>
      </c>
      <c r="L1604" s="12" t="s">
        <v>96</v>
      </c>
      <c r="M1604">
        <v>5.01</v>
      </c>
      <c r="N1604" s="12" t="s">
        <v>159</v>
      </c>
      <c r="O1604" s="12" t="s">
        <v>160</v>
      </c>
      <c r="P1604" s="12" t="s">
        <v>137</v>
      </c>
      <c r="Q1604" s="13">
        <v>45254</v>
      </c>
      <c r="R1604" s="13">
        <v>45288</v>
      </c>
      <c r="S1604">
        <v>2023</v>
      </c>
      <c r="T1604" s="12" t="s">
        <v>2132</v>
      </c>
      <c r="U1604">
        <v>112</v>
      </c>
      <c r="V1604">
        <v>770.47230000000002</v>
      </c>
      <c r="W1604">
        <v>1042.4000000000001</v>
      </c>
      <c r="X1604">
        <v>0</v>
      </c>
      <c r="Y1604">
        <v>0</v>
      </c>
      <c r="Z1604">
        <v>86292.9</v>
      </c>
      <c r="AA1604">
        <v>87335.3</v>
      </c>
      <c r="AB1604" s="12" t="s">
        <v>410</v>
      </c>
      <c r="AC1604">
        <v>770.47230000000002</v>
      </c>
      <c r="AD1604">
        <v>1</v>
      </c>
      <c r="AE1604">
        <v>1</v>
      </c>
      <c r="AF1604">
        <v>0</v>
      </c>
      <c r="AG1604">
        <v>86292.9</v>
      </c>
      <c r="AH1604">
        <v>112</v>
      </c>
      <c r="AI1604">
        <v>110</v>
      </c>
      <c r="AJ1604">
        <v>2</v>
      </c>
      <c r="AK1604">
        <v>1</v>
      </c>
      <c r="AL1604">
        <v>1</v>
      </c>
      <c r="AM1604">
        <v>98.21</v>
      </c>
      <c r="AN1604">
        <v>793.95730000000003</v>
      </c>
      <c r="AO1604">
        <v>1540.94</v>
      </c>
      <c r="AP1604" s="13">
        <v>45287</v>
      </c>
      <c r="AQ1604">
        <v>-1</v>
      </c>
      <c r="AR1604">
        <v>1</v>
      </c>
    </row>
    <row r="1605" spans="1:44" x14ac:dyDescent="0.35">
      <c r="A1605" s="12" t="s">
        <v>2296</v>
      </c>
      <c r="B1605" s="12" t="s">
        <v>621</v>
      </c>
      <c r="C1605" s="12" t="s">
        <v>622</v>
      </c>
      <c r="D1605" s="12" t="s">
        <v>103</v>
      </c>
      <c r="E1605" s="12" t="s">
        <v>65</v>
      </c>
      <c r="F1605">
        <v>1</v>
      </c>
      <c r="G1605">
        <v>2</v>
      </c>
      <c r="H1605">
        <v>1</v>
      </c>
      <c r="I1605" s="12" t="s">
        <v>486</v>
      </c>
      <c r="J1605" s="12" t="s">
        <v>487</v>
      </c>
      <c r="K1605" s="12" t="s">
        <v>125</v>
      </c>
      <c r="L1605" s="12" t="s">
        <v>69</v>
      </c>
      <c r="M1605">
        <v>36.86</v>
      </c>
      <c r="N1605" s="12" t="s">
        <v>145</v>
      </c>
      <c r="O1605" s="12" t="s">
        <v>146</v>
      </c>
      <c r="P1605" s="12" t="s">
        <v>109</v>
      </c>
      <c r="Q1605" s="13">
        <v>45254</v>
      </c>
      <c r="R1605" s="13">
        <v>45287</v>
      </c>
      <c r="S1605">
        <v>2023</v>
      </c>
      <c r="T1605" s="12" t="s">
        <v>2132</v>
      </c>
      <c r="U1605">
        <v>106</v>
      </c>
      <c r="V1605">
        <v>201.42019999999999</v>
      </c>
      <c r="W1605">
        <v>131.1</v>
      </c>
      <c r="X1605">
        <v>0</v>
      </c>
      <c r="Y1605">
        <v>0</v>
      </c>
      <c r="Z1605">
        <v>21350.54</v>
      </c>
      <c r="AA1605">
        <v>21481.64</v>
      </c>
      <c r="AB1605" s="12" t="s">
        <v>623</v>
      </c>
      <c r="AC1605">
        <v>201.42019999999999</v>
      </c>
      <c r="AD1605">
        <v>1</v>
      </c>
      <c r="AE1605">
        <v>1</v>
      </c>
      <c r="AF1605">
        <v>0</v>
      </c>
      <c r="AG1605">
        <v>21350.54</v>
      </c>
      <c r="AH1605">
        <v>106</v>
      </c>
      <c r="AI1605">
        <v>106</v>
      </c>
      <c r="AJ1605">
        <v>0</v>
      </c>
      <c r="AK1605">
        <v>1</v>
      </c>
      <c r="AL1605">
        <v>1</v>
      </c>
      <c r="AM1605">
        <v>100</v>
      </c>
      <c r="AN1605">
        <v>202.65700000000001</v>
      </c>
      <c r="AO1605">
        <v>0</v>
      </c>
      <c r="AP1605" s="13">
        <v>45287</v>
      </c>
      <c r="AQ1605">
        <v>0</v>
      </c>
      <c r="AR1605">
        <v>1</v>
      </c>
    </row>
    <row r="1606" spans="1:44" x14ac:dyDescent="0.35">
      <c r="A1606" s="12" t="s">
        <v>2297</v>
      </c>
      <c r="B1606" s="12" t="s">
        <v>827</v>
      </c>
      <c r="C1606" s="12" t="s">
        <v>828</v>
      </c>
      <c r="D1606" s="12" t="s">
        <v>175</v>
      </c>
      <c r="E1606" s="12" t="s">
        <v>104</v>
      </c>
      <c r="F1606">
        <v>2</v>
      </c>
      <c r="G1606">
        <v>0</v>
      </c>
      <c r="H1606">
        <v>0</v>
      </c>
      <c r="I1606" s="12" t="s">
        <v>183</v>
      </c>
      <c r="J1606" s="12" t="s">
        <v>184</v>
      </c>
      <c r="K1606" s="12" t="s">
        <v>133</v>
      </c>
      <c r="L1606" s="12" t="s">
        <v>82</v>
      </c>
      <c r="M1606">
        <v>8.6199999999999992</v>
      </c>
      <c r="N1606" s="12" t="s">
        <v>107</v>
      </c>
      <c r="O1606" s="12" t="s">
        <v>108</v>
      </c>
      <c r="P1606" s="12" t="s">
        <v>109</v>
      </c>
      <c r="Q1606" s="13">
        <v>45254</v>
      </c>
      <c r="R1606" s="13">
        <v>45278</v>
      </c>
      <c r="S1606">
        <v>2023</v>
      </c>
      <c r="T1606" s="12" t="s">
        <v>2132</v>
      </c>
      <c r="U1606">
        <v>103</v>
      </c>
      <c r="V1606">
        <v>107.794</v>
      </c>
      <c r="W1606">
        <v>234.19</v>
      </c>
      <c r="X1606">
        <v>0</v>
      </c>
      <c r="Y1606">
        <v>0</v>
      </c>
      <c r="Z1606">
        <v>11102.78</v>
      </c>
      <c r="AA1606">
        <v>11336.97</v>
      </c>
      <c r="AB1606" s="12" t="s">
        <v>829</v>
      </c>
      <c r="AC1606">
        <v>107.794</v>
      </c>
      <c r="AD1606">
        <v>1</v>
      </c>
      <c r="AE1606">
        <v>1</v>
      </c>
      <c r="AF1606">
        <v>0</v>
      </c>
      <c r="AG1606">
        <v>11102.78</v>
      </c>
      <c r="AH1606">
        <v>103</v>
      </c>
      <c r="AI1606">
        <v>102</v>
      </c>
      <c r="AJ1606">
        <v>1</v>
      </c>
      <c r="AK1606">
        <v>1</v>
      </c>
      <c r="AL1606">
        <v>1</v>
      </c>
      <c r="AM1606">
        <v>99.03</v>
      </c>
      <c r="AN1606">
        <v>111.1468</v>
      </c>
      <c r="AO1606">
        <v>107.79</v>
      </c>
      <c r="AP1606" s="13">
        <v>45275</v>
      </c>
      <c r="AQ1606">
        <v>-3</v>
      </c>
      <c r="AR1606">
        <v>1</v>
      </c>
    </row>
    <row r="1607" spans="1:44" x14ac:dyDescent="0.35">
      <c r="A1607" s="12" t="s">
        <v>2298</v>
      </c>
      <c r="B1607" s="12" t="s">
        <v>140</v>
      </c>
      <c r="C1607" s="12" t="s">
        <v>141</v>
      </c>
      <c r="D1607" s="12" t="s">
        <v>103</v>
      </c>
      <c r="E1607" s="12" t="s">
        <v>142</v>
      </c>
      <c r="F1607">
        <v>1</v>
      </c>
      <c r="G1607">
        <v>7</v>
      </c>
      <c r="H1607">
        <v>1</v>
      </c>
      <c r="I1607" s="12" t="s">
        <v>143</v>
      </c>
      <c r="J1607" s="12" t="s">
        <v>144</v>
      </c>
      <c r="K1607" s="12" t="s">
        <v>133</v>
      </c>
      <c r="L1607" s="12" t="s">
        <v>96</v>
      </c>
      <c r="M1607">
        <v>5.43</v>
      </c>
      <c r="N1607" s="12" t="s">
        <v>107</v>
      </c>
      <c r="O1607" s="12" t="s">
        <v>108</v>
      </c>
      <c r="P1607" s="12" t="s">
        <v>109</v>
      </c>
      <c r="Q1607" s="13">
        <v>45254</v>
      </c>
      <c r="R1607" s="13">
        <v>45302</v>
      </c>
      <c r="S1607">
        <v>2023</v>
      </c>
      <c r="T1607" s="12" t="s">
        <v>2132</v>
      </c>
      <c r="U1607">
        <v>116</v>
      </c>
      <c r="V1607">
        <v>211.78559999999999</v>
      </c>
      <c r="W1607">
        <v>170.56</v>
      </c>
      <c r="X1607">
        <v>0</v>
      </c>
      <c r="Y1607">
        <v>0</v>
      </c>
      <c r="Z1607">
        <v>24567.13</v>
      </c>
      <c r="AA1607">
        <v>24737.69</v>
      </c>
      <c r="AB1607" s="12" t="s">
        <v>147</v>
      </c>
      <c r="AC1607">
        <v>211.78559999999999</v>
      </c>
      <c r="AD1607">
        <v>1</v>
      </c>
      <c r="AE1607">
        <v>1</v>
      </c>
      <c r="AF1607">
        <v>0</v>
      </c>
      <c r="AG1607">
        <v>24567.13</v>
      </c>
      <c r="AH1607">
        <v>116</v>
      </c>
      <c r="AI1607">
        <v>115</v>
      </c>
      <c r="AJ1607">
        <v>1</v>
      </c>
      <c r="AK1607">
        <v>1</v>
      </c>
      <c r="AL1607">
        <v>1</v>
      </c>
      <c r="AM1607">
        <v>99.14</v>
      </c>
      <c r="AN1607">
        <v>215.1103</v>
      </c>
      <c r="AO1607">
        <v>211.79</v>
      </c>
      <c r="AP1607" s="13">
        <v>45306</v>
      </c>
      <c r="AQ1607">
        <v>4</v>
      </c>
      <c r="AR1607">
        <v>0</v>
      </c>
    </row>
    <row r="1608" spans="1:44" x14ac:dyDescent="0.35">
      <c r="A1608" s="12" t="s">
        <v>2299</v>
      </c>
      <c r="B1608" s="12" t="s">
        <v>1042</v>
      </c>
      <c r="C1608" s="12" t="s">
        <v>1043</v>
      </c>
      <c r="D1608" s="12" t="s">
        <v>269</v>
      </c>
      <c r="E1608" s="12" t="s">
        <v>104</v>
      </c>
      <c r="F1608">
        <v>2</v>
      </c>
      <c r="G1608">
        <v>0</v>
      </c>
      <c r="H1608">
        <v>0</v>
      </c>
      <c r="I1608" s="12" t="s">
        <v>199</v>
      </c>
      <c r="J1608" s="12" t="s">
        <v>200</v>
      </c>
      <c r="K1608" s="12" t="s">
        <v>68</v>
      </c>
      <c r="L1608" s="12" t="s">
        <v>96</v>
      </c>
      <c r="M1608">
        <v>9.4700000000000006</v>
      </c>
      <c r="N1608" s="12" t="s">
        <v>159</v>
      </c>
      <c r="O1608" s="12" t="s">
        <v>160</v>
      </c>
      <c r="P1608" s="12" t="s">
        <v>137</v>
      </c>
      <c r="Q1608" s="13">
        <v>45254</v>
      </c>
      <c r="R1608" s="13">
        <v>45272</v>
      </c>
      <c r="S1608">
        <v>2023</v>
      </c>
      <c r="T1608" s="12" t="s">
        <v>2132</v>
      </c>
      <c r="U1608">
        <v>60</v>
      </c>
      <c r="V1608">
        <v>290.76319999999998</v>
      </c>
      <c r="W1608">
        <v>203.56</v>
      </c>
      <c r="X1608">
        <v>0</v>
      </c>
      <c r="Y1608">
        <v>0</v>
      </c>
      <c r="Z1608">
        <v>17445.79</v>
      </c>
      <c r="AA1608">
        <v>17649.349999999999</v>
      </c>
      <c r="AB1608" s="12" t="s">
        <v>1414</v>
      </c>
      <c r="AC1608">
        <v>290.76319999999998</v>
      </c>
      <c r="AD1608">
        <v>1</v>
      </c>
      <c r="AE1608">
        <v>1</v>
      </c>
      <c r="AF1608">
        <v>0</v>
      </c>
      <c r="AG1608">
        <v>17445.79</v>
      </c>
      <c r="AH1608">
        <v>60</v>
      </c>
      <c r="AI1608">
        <v>59</v>
      </c>
      <c r="AJ1608">
        <v>1</v>
      </c>
      <c r="AK1608">
        <v>1</v>
      </c>
      <c r="AL1608">
        <v>1</v>
      </c>
      <c r="AM1608">
        <v>98.33</v>
      </c>
      <c r="AN1608">
        <v>299.14159999999998</v>
      </c>
      <c r="AO1608">
        <v>290.76</v>
      </c>
      <c r="AP1608" s="13">
        <v>45271</v>
      </c>
      <c r="AQ1608">
        <v>-1</v>
      </c>
      <c r="AR1608">
        <v>1</v>
      </c>
    </row>
    <row r="1609" spans="1:44" x14ac:dyDescent="0.35">
      <c r="A1609" s="12" t="s">
        <v>2300</v>
      </c>
      <c r="B1609" s="12" t="s">
        <v>837</v>
      </c>
      <c r="C1609" s="12" t="s">
        <v>838</v>
      </c>
      <c r="D1609" s="12" t="s">
        <v>114</v>
      </c>
      <c r="E1609" s="12" t="s">
        <v>104</v>
      </c>
      <c r="F1609">
        <v>2</v>
      </c>
      <c r="G1609">
        <v>0</v>
      </c>
      <c r="H1609">
        <v>0</v>
      </c>
      <c r="I1609" s="12" t="s">
        <v>79</v>
      </c>
      <c r="J1609" s="12" t="s">
        <v>80</v>
      </c>
      <c r="K1609" s="12" t="s">
        <v>81</v>
      </c>
      <c r="L1609" s="12" t="s">
        <v>82</v>
      </c>
      <c r="M1609">
        <v>12.07</v>
      </c>
      <c r="N1609" s="12" t="s">
        <v>97</v>
      </c>
      <c r="O1609" s="12" t="s">
        <v>98</v>
      </c>
      <c r="P1609" s="12" t="s">
        <v>72</v>
      </c>
      <c r="Q1609" s="13">
        <v>45257</v>
      </c>
      <c r="R1609" s="13">
        <v>45282</v>
      </c>
      <c r="S1609">
        <v>2023</v>
      </c>
      <c r="T1609" s="12" t="s">
        <v>2132</v>
      </c>
      <c r="U1609">
        <v>115</v>
      </c>
      <c r="V1609">
        <v>71.121200000000002</v>
      </c>
      <c r="W1609">
        <v>78.95</v>
      </c>
      <c r="X1609">
        <v>0</v>
      </c>
      <c r="Y1609">
        <v>0</v>
      </c>
      <c r="Z1609">
        <v>8178.94</v>
      </c>
      <c r="AA1609">
        <v>8257.89</v>
      </c>
      <c r="AB1609" s="12" t="s">
        <v>2301</v>
      </c>
      <c r="AC1609">
        <v>71.121200000000002</v>
      </c>
      <c r="AD1609">
        <v>1</v>
      </c>
      <c r="AE1609">
        <v>1</v>
      </c>
      <c r="AF1609">
        <v>0</v>
      </c>
      <c r="AG1609">
        <v>8178.94</v>
      </c>
      <c r="AH1609">
        <v>115</v>
      </c>
      <c r="AI1609">
        <v>113</v>
      </c>
      <c r="AJ1609">
        <v>2</v>
      </c>
      <c r="AK1609">
        <v>1</v>
      </c>
      <c r="AL1609">
        <v>1</v>
      </c>
      <c r="AM1609">
        <v>98.26</v>
      </c>
      <c r="AN1609">
        <v>73.078699999999998</v>
      </c>
      <c r="AO1609">
        <v>142.24</v>
      </c>
      <c r="AP1609" s="13">
        <v>45282</v>
      </c>
      <c r="AQ1609">
        <v>0</v>
      </c>
      <c r="AR1609">
        <v>1</v>
      </c>
    </row>
    <row r="1610" spans="1:44" x14ac:dyDescent="0.35">
      <c r="A1610" s="12" t="s">
        <v>2302</v>
      </c>
      <c r="B1610" s="12" t="s">
        <v>843</v>
      </c>
      <c r="C1610" s="12" t="s">
        <v>844</v>
      </c>
      <c r="D1610" s="12" t="s">
        <v>175</v>
      </c>
      <c r="E1610" s="12" t="s">
        <v>65</v>
      </c>
      <c r="F1610">
        <v>3</v>
      </c>
      <c r="G1610">
        <v>5</v>
      </c>
      <c r="H1610">
        <v>0</v>
      </c>
      <c r="I1610" s="12" t="s">
        <v>359</v>
      </c>
      <c r="J1610" s="12" t="s">
        <v>360</v>
      </c>
      <c r="K1610" s="12" t="s">
        <v>133</v>
      </c>
      <c r="L1610" s="12" t="s">
        <v>82</v>
      </c>
      <c r="M1610">
        <v>12.65</v>
      </c>
      <c r="N1610" s="12" t="s">
        <v>107</v>
      </c>
      <c r="O1610" s="12" t="s">
        <v>108</v>
      </c>
      <c r="P1610" s="12" t="s">
        <v>109</v>
      </c>
      <c r="Q1610" s="13">
        <v>45257</v>
      </c>
      <c r="R1610" s="13">
        <v>45292</v>
      </c>
      <c r="S1610">
        <v>2023</v>
      </c>
      <c r="T1610" s="12" t="s">
        <v>2132</v>
      </c>
      <c r="U1610">
        <v>124</v>
      </c>
      <c r="V1610">
        <v>267.03480000000002</v>
      </c>
      <c r="W1610">
        <v>410.7</v>
      </c>
      <c r="X1610">
        <v>0</v>
      </c>
      <c r="Y1610">
        <v>0</v>
      </c>
      <c r="Z1610">
        <v>33112.32</v>
      </c>
      <c r="AA1610">
        <v>33523.019999999997</v>
      </c>
      <c r="AB1610" s="12" t="s">
        <v>845</v>
      </c>
      <c r="AC1610">
        <v>267.03480000000002</v>
      </c>
      <c r="AD1610">
        <v>1</v>
      </c>
      <c r="AE1610">
        <v>1</v>
      </c>
      <c r="AF1610">
        <v>0</v>
      </c>
      <c r="AG1610">
        <v>33112.32</v>
      </c>
      <c r="AH1610">
        <v>124</v>
      </c>
      <c r="AI1610">
        <v>123</v>
      </c>
      <c r="AJ1610">
        <v>1</v>
      </c>
      <c r="AK1610">
        <v>1</v>
      </c>
      <c r="AL1610">
        <v>1</v>
      </c>
      <c r="AM1610">
        <v>99.19</v>
      </c>
      <c r="AN1610">
        <v>272.54480000000001</v>
      </c>
      <c r="AO1610">
        <v>267.02999999999997</v>
      </c>
      <c r="AP1610" s="13">
        <v>45292</v>
      </c>
      <c r="AQ1610">
        <v>0</v>
      </c>
      <c r="AR1610">
        <v>1</v>
      </c>
    </row>
    <row r="1611" spans="1:44" x14ac:dyDescent="0.35">
      <c r="A1611" s="12" t="s">
        <v>2303</v>
      </c>
      <c r="B1611" s="12" t="s">
        <v>261</v>
      </c>
      <c r="C1611" s="12" t="s">
        <v>262</v>
      </c>
      <c r="D1611" s="12" t="s">
        <v>114</v>
      </c>
      <c r="E1611" s="12" t="s">
        <v>142</v>
      </c>
      <c r="F1611">
        <v>1</v>
      </c>
      <c r="G1611">
        <v>8</v>
      </c>
      <c r="H1611">
        <v>1</v>
      </c>
      <c r="I1611" s="12" t="s">
        <v>263</v>
      </c>
      <c r="J1611" s="12" t="s">
        <v>264</v>
      </c>
      <c r="K1611" s="12" t="s">
        <v>125</v>
      </c>
      <c r="L1611" s="12" t="s">
        <v>82</v>
      </c>
      <c r="M1611">
        <v>10.210000000000001</v>
      </c>
      <c r="N1611" s="12" t="s">
        <v>97</v>
      </c>
      <c r="O1611" s="12" t="s">
        <v>98</v>
      </c>
      <c r="P1611" s="12" t="s">
        <v>72</v>
      </c>
      <c r="Q1611" s="13">
        <v>45257</v>
      </c>
      <c r="R1611" s="13">
        <v>45298</v>
      </c>
      <c r="S1611">
        <v>2023</v>
      </c>
      <c r="T1611" s="12" t="s">
        <v>2132</v>
      </c>
      <c r="U1611">
        <v>61</v>
      </c>
      <c r="V1611">
        <v>138.256</v>
      </c>
      <c r="W1611">
        <v>168.78</v>
      </c>
      <c r="X1611">
        <v>0</v>
      </c>
      <c r="Y1611">
        <v>0</v>
      </c>
      <c r="Z1611">
        <v>8433.6200000000008</v>
      </c>
      <c r="AA1611">
        <v>8602.4</v>
      </c>
      <c r="AB1611" s="12" t="s">
        <v>265</v>
      </c>
      <c r="AC1611">
        <v>138.256</v>
      </c>
      <c r="AD1611">
        <v>1</v>
      </c>
      <c r="AE1611">
        <v>1</v>
      </c>
      <c r="AF1611">
        <v>0</v>
      </c>
      <c r="AG1611">
        <v>8433.6200000000008</v>
      </c>
      <c r="AH1611">
        <v>61</v>
      </c>
      <c r="AI1611">
        <v>60</v>
      </c>
      <c r="AJ1611">
        <v>1</v>
      </c>
      <c r="AK1611">
        <v>1</v>
      </c>
      <c r="AL1611">
        <v>1</v>
      </c>
      <c r="AM1611">
        <v>98.36</v>
      </c>
      <c r="AN1611">
        <v>143.3733</v>
      </c>
      <c r="AO1611">
        <v>138.26</v>
      </c>
      <c r="AP1611" s="13">
        <v>45298</v>
      </c>
      <c r="AQ1611">
        <v>0</v>
      </c>
      <c r="AR1611">
        <v>1</v>
      </c>
    </row>
    <row r="1612" spans="1:44" x14ac:dyDescent="0.35">
      <c r="A1612" s="12" t="s">
        <v>2304</v>
      </c>
      <c r="B1612" s="12" t="s">
        <v>62</v>
      </c>
      <c r="C1612" s="12" t="s">
        <v>63</v>
      </c>
      <c r="D1612" s="12" t="s">
        <v>64</v>
      </c>
      <c r="E1612" s="12" t="s">
        <v>65</v>
      </c>
      <c r="F1612">
        <v>1</v>
      </c>
      <c r="G1612">
        <v>2</v>
      </c>
      <c r="H1612">
        <v>1</v>
      </c>
      <c r="I1612" s="12" t="s">
        <v>66</v>
      </c>
      <c r="J1612" s="12" t="s">
        <v>67</v>
      </c>
      <c r="K1612" s="12" t="s">
        <v>68</v>
      </c>
      <c r="L1612" s="12" t="s">
        <v>69</v>
      </c>
      <c r="M1612">
        <v>17.66</v>
      </c>
      <c r="N1612" s="12" t="s">
        <v>70</v>
      </c>
      <c r="O1612" s="12" t="s">
        <v>71</v>
      </c>
      <c r="P1612" s="12" t="s">
        <v>72</v>
      </c>
      <c r="Q1612" s="13">
        <v>45257</v>
      </c>
      <c r="R1612" s="13">
        <v>45283</v>
      </c>
      <c r="S1612">
        <v>2023</v>
      </c>
      <c r="T1612" s="12" t="s">
        <v>2132</v>
      </c>
      <c r="U1612">
        <v>384</v>
      </c>
      <c r="V1612">
        <v>24.687000000000001</v>
      </c>
      <c r="W1612">
        <v>155.78</v>
      </c>
      <c r="X1612">
        <v>0</v>
      </c>
      <c r="Y1612">
        <v>0</v>
      </c>
      <c r="Z1612">
        <v>9479.81</v>
      </c>
      <c r="AA1612">
        <v>9635.59</v>
      </c>
      <c r="AB1612" s="12" t="s">
        <v>74</v>
      </c>
      <c r="AC1612">
        <v>24.687000000000001</v>
      </c>
      <c r="AD1612">
        <v>1</v>
      </c>
      <c r="AE1612">
        <v>1</v>
      </c>
      <c r="AF1612">
        <v>0</v>
      </c>
      <c r="AG1612">
        <v>9479.81</v>
      </c>
      <c r="AH1612">
        <v>384</v>
      </c>
      <c r="AI1612">
        <v>379</v>
      </c>
      <c r="AJ1612">
        <v>5</v>
      </c>
      <c r="AK1612">
        <v>1</v>
      </c>
      <c r="AL1612">
        <v>1</v>
      </c>
      <c r="AM1612">
        <v>98.7</v>
      </c>
      <c r="AN1612">
        <v>25.4237</v>
      </c>
      <c r="AO1612">
        <v>123.44</v>
      </c>
      <c r="AP1612" s="13">
        <v>45280</v>
      </c>
      <c r="AQ1612">
        <v>-3</v>
      </c>
      <c r="AR1612">
        <v>1</v>
      </c>
    </row>
    <row r="1613" spans="1:44" x14ac:dyDescent="0.35">
      <c r="A1613" s="12" t="s">
        <v>2305</v>
      </c>
      <c r="B1613" s="12" t="s">
        <v>747</v>
      </c>
      <c r="C1613" s="12" t="s">
        <v>748</v>
      </c>
      <c r="D1613" s="12" t="s">
        <v>114</v>
      </c>
      <c r="E1613" s="12" t="s">
        <v>104</v>
      </c>
      <c r="F1613">
        <v>2</v>
      </c>
      <c r="G1613">
        <v>0</v>
      </c>
      <c r="H1613">
        <v>0</v>
      </c>
      <c r="I1613" s="12" t="s">
        <v>380</v>
      </c>
      <c r="J1613" s="12" t="s">
        <v>381</v>
      </c>
      <c r="K1613" s="12" t="s">
        <v>89</v>
      </c>
      <c r="L1613" s="12" t="s">
        <v>96</v>
      </c>
      <c r="M1613">
        <v>10.210000000000001</v>
      </c>
      <c r="N1613" s="12" t="s">
        <v>97</v>
      </c>
      <c r="O1613" s="12" t="s">
        <v>98</v>
      </c>
      <c r="P1613" s="12" t="s">
        <v>72</v>
      </c>
      <c r="Q1613" s="13">
        <v>45257</v>
      </c>
      <c r="R1613" s="13">
        <v>45282</v>
      </c>
      <c r="S1613">
        <v>2023</v>
      </c>
      <c r="T1613" s="12" t="s">
        <v>2132</v>
      </c>
      <c r="U1613">
        <v>116</v>
      </c>
      <c r="V1613">
        <v>245.56890000000001</v>
      </c>
      <c r="W1613">
        <v>657.19</v>
      </c>
      <c r="X1613">
        <v>0</v>
      </c>
      <c r="Y1613">
        <v>0</v>
      </c>
      <c r="Z1613">
        <v>28485.99</v>
      </c>
      <c r="AA1613">
        <v>29143.18</v>
      </c>
      <c r="AB1613" s="12" t="s">
        <v>896</v>
      </c>
      <c r="AC1613">
        <v>245.56890000000001</v>
      </c>
      <c r="AD1613">
        <v>1</v>
      </c>
      <c r="AE1613">
        <v>1</v>
      </c>
      <c r="AF1613">
        <v>0</v>
      </c>
      <c r="AG1613">
        <v>28485.99</v>
      </c>
      <c r="AH1613">
        <v>116</v>
      </c>
      <c r="AI1613">
        <v>114</v>
      </c>
      <c r="AJ1613">
        <v>2</v>
      </c>
      <c r="AK1613">
        <v>1</v>
      </c>
      <c r="AL1613">
        <v>1</v>
      </c>
      <c r="AM1613">
        <v>98.28</v>
      </c>
      <c r="AN1613">
        <v>255.642</v>
      </c>
      <c r="AO1613">
        <v>491.14</v>
      </c>
      <c r="AP1613" s="13">
        <v>45281</v>
      </c>
      <c r="AQ1613">
        <v>-1</v>
      </c>
      <c r="AR1613">
        <v>1</v>
      </c>
    </row>
    <row r="1614" spans="1:44" x14ac:dyDescent="0.35">
      <c r="A1614" s="12" t="s">
        <v>2306</v>
      </c>
      <c r="B1614" s="12" t="s">
        <v>773</v>
      </c>
      <c r="C1614" s="12" t="s">
        <v>774</v>
      </c>
      <c r="D1614" s="12" t="s">
        <v>64</v>
      </c>
      <c r="E1614" s="12" t="s">
        <v>142</v>
      </c>
      <c r="F1614">
        <v>1</v>
      </c>
      <c r="G1614">
        <v>7</v>
      </c>
      <c r="H1614">
        <v>1</v>
      </c>
      <c r="I1614" s="12" t="s">
        <v>251</v>
      </c>
      <c r="J1614" s="12" t="s">
        <v>252</v>
      </c>
      <c r="K1614" s="12" t="s">
        <v>133</v>
      </c>
      <c r="L1614" s="12" t="s">
        <v>69</v>
      </c>
      <c r="M1614">
        <v>34.49</v>
      </c>
      <c r="N1614" s="12" t="s">
        <v>97</v>
      </c>
      <c r="O1614" s="12" t="s">
        <v>98</v>
      </c>
      <c r="P1614" s="12" t="s">
        <v>72</v>
      </c>
      <c r="Q1614" s="13">
        <v>45257</v>
      </c>
      <c r="R1614" s="13">
        <v>45307</v>
      </c>
      <c r="S1614">
        <v>2023</v>
      </c>
      <c r="T1614" s="12" t="s">
        <v>2132</v>
      </c>
      <c r="U1614">
        <v>867</v>
      </c>
      <c r="V1614">
        <v>10.6265</v>
      </c>
      <c r="W1614">
        <v>198.68</v>
      </c>
      <c r="X1614">
        <v>0</v>
      </c>
      <c r="Y1614">
        <v>0</v>
      </c>
      <c r="Z1614">
        <v>9213.18</v>
      </c>
      <c r="AA1614">
        <v>9411.86</v>
      </c>
      <c r="AB1614" s="12" t="s">
        <v>775</v>
      </c>
      <c r="AC1614">
        <v>10.0604</v>
      </c>
      <c r="AD1614">
        <v>1</v>
      </c>
      <c r="AE1614">
        <v>1</v>
      </c>
      <c r="AF1614">
        <v>490.81</v>
      </c>
      <c r="AG1614">
        <v>8722.3700000000008</v>
      </c>
      <c r="AH1614">
        <v>867</v>
      </c>
      <c r="AI1614">
        <v>854</v>
      </c>
      <c r="AJ1614">
        <v>13</v>
      </c>
      <c r="AK1614">
        <v>1</v>
      </c>
      <c r="AL1614">
        <v>1</v>
      </c>
      <c r="AM1614">
        <v>98.5</v>
      </c>
      <c r="AN1614">
        <v>11.020899999999999</v>
      </c>
      <c r="AO1614">
        <v>138.13999999999999</v>
      </c>
      <c r="AP1614" s="13">
        <v>45305</v>
      </c>
      <c r="AQ1614">
        <v>-2</v>
      </c>
      <c r="AR1614">
        <v>1</v>
      </c>
    </row>
    <row r="1615" spans="1:44" x14ac:dyDescent="0.35">
      <c r="A1615" s="12" t="s">
        <v>2307</v>
      </c>
      <c r="B1615" s="12" t="s">
        <v>657</v>
      </c>
      <c r="C1615" s="12" t="s">
        <v>658</v>
      </c>
      <c r="D1615" s="12" t="s">
        <v>175</v>
      </c>
      <c r="E1615" s="12" t="s">
        <v>65</v>
      </c>
      <c r="F1615">
        <v>1</v>
      </c>
      <c r="G1615">
        <v>2</v>
      </c>
      <c r="H1615">
        <v>1</v>
      </c>
      <c r="I1615" s="12" t="s">
        <v>183</v>
      </c>
      <c r="J1615" s="12" t="s">
        <v>184</v>
      </c>
      <c r="K1615" s="12" t="s">
        <v>133</v>
      </c>
      <c r="L1615" s="12" t="s">
        <v>82</v>
      </c>
      <c r="M1615">
        <v>8.6199999999999992</v>
      </c>
      <c r="N1615" s="12" t="s">
        <v>107</v>
      </c>
      <c r="O1615" s="12" t="s">
        <v>108</v>
      </c>
      <c r="P1615" s="12" t="s">
        <v>109</v>
      </c>
      <c r="Q1615" s="13">
        <v>45257</v>
      </c>
      <c r="R1615" s="13">
        <v>45293</v>
      </c>
      <c r="S1615">
        <v>2023</v>
      </c>
      <c r="T1615" s="12" t="s">
        <v>2132</v>
      </c>
      <c r="U1615">
        <v>133</v>
      </c>
      <c r="V1615">
        <v>153.8561</v>
      </c>
      <c r="W1615">
        <v>292.25</v>
      </c>
      <c r="X1615">
        <v>0</v>
      </c>
      <c r="Y1615">
        <v>0</v>
      </c>
      <c r="Z1615">
        <v>20462.86</v>
      </c>
      <c r="AA1615">
        <v>20755.11</v>
      </c>
      <c r="AB1615" s="12" t="s">
        <v>659</v>
      </c>
      <c r="AC1615">
        <v>153.8561</v>
      </c>
      <c r="AD1615">
        <v>1</v>
      </c>
      <c r="AE1615">
        <v>1</v>
      </c>
      <c r="AF1615">
        <v>0</v>
      </c>
      <c r="AG1615">
        <v>20462.86</v>
      </c>
      <c r="AH1615">
        <v>133</v>
      </c>
      <c r="AI1615">
        <v>132</v>
      </c>
      <c r="AJ1615">
        <v>1</v>
      </c>
      <c r="AK1615">
        <v>1</v>
      </c>
      <c r="AL1615">
        <v>1</v>
      </c>
      <c r="AM1615">
        <v>99.25</v>
      </c>
      <c r="AN1615">
        <v>157.23570000000001</v>
      </c>
      <c r="AO1615">
        <v>153.86000000000001</v>
      </c>
      <c r="AP1615" s="13">
        <v>45293</v>
      </c>
      <c r="AQ1615">
        <v>0</v>
      </c>
      <c r="AR1615">
        <v>1</v>
      </c>
    </row>
    <row r="1616" spans="1:44" x14ac:dyDescent="0.35">
      <c r="A1616" s="12" t="s">
        <v>2308</v>
      </c>
      <c r="B1616" s="12" t="s">
        <v>952</v>
      </c>
      <c r="C1616" s="12" t="s">
        <v>953</v>
      </c>
      <c r="D1616" s="12" t="s">
        <v>64</v>
      </c>
      <c r="E1616" s="12" t="s">
        <v>142</v>
      </c>
      <c r="F1616">
        <v>1</v>
      </c>
      <c r="G1616">
        <v>8</v>
      </c>
      <c r="H1616">
        <v>1</v>
      </c>
      <c r="I1616" s="12" t="s">
        <v>131</v>
      </c>
      <c r="J1616" s="12" t="s">
        <v>132</v>
      </c>
      <c r="K1616" s="12" t="s">
        <v>133</v>
      </c>
      <c r="L1616" s="12" t="s">
        <v>134</v>
      </c>
      <c r="M1616">
        <v>1.51</v>
      </c>
      <c r="N1616" s="12" t="s">
        <v>97</v>
      </c>
      <c r="O1616" s="12" t="s">
        <v>98</v>
      </c>
      <c r="P1616" s="12" t="s">
        <v>72</v>
      </c>
      <c r="Q1616" s="13">
        <v>45257</v>
      </c>
      <c r="R1616" s="13">
        <v>45300</v>
      </c>
      <c r="S1616">
        <v>2023</v>
      </c>
      <c r="T1616" s="12" t="s">
        <v>2132</v>
      </c>
      <c r="U1616">
        <v>511</v>
      </c>
      <c r="V1616">
        <v>31.146599999999999</v>
      </c>
      <c r="W1616">
        <v>370.8</v>
      </c>
      <c r="X1616">
        <v>0</v>
      </c>
      <c r="Y1616">
        <v>0</v>
      </c>
      <c r="Z1616">
        <v>15915.91</v>
      </c>
      <c r="AA1616">
        <v>16286.71</v>
      </c>
      <c r="AB1616" s="12" t="s">
        <v>954</v>
      </c>
      <c r="AC1616">
        <v>31.146599999999999</v>
      </c>
      <c r="AD1616">
        <v>1</v>
      </c>
      <c r="AE1616">
        <v>1</v>
      </c>
      <c r="AF1616">
        <v>0</v>
      </c>
      <c r="AG1616">
        <v>15915.91</v>
      </c>
      <c r="AH1616">
        <v>511</v>
      </c>
      <c r="AI1616">
        <v>506</v>
      </c>
      <c r="AJ1616">
        <v>5</v>
      </c>
      <c r="AK1616">
        <v>1</v>
      </c>
      <c r="AL1616">
        <v>1</v>
      </c>
      <c r="AM1616">
        <v>99.02</v>
      </c>
      <c r="AN1616">
        <v>32.187199999999997</v>
      </c>
      <c r="AO1616">
        <v>155.72999999999999</v>
      </c>
      <c r="AP1616" s="13">
        <v>45300</v>
      </c>
      <c r="AQ1616">
        <v>0</v>
      </c>
      <c r="AR1616">
        <v>1</v>
      </c>
    </row>
    <row r="1617" spans="1:44" x14ac:dyDescent="0.35">
      <c r="A1617" s="12" t="s">
        <v>2309</v>
      </c>
      <c r="B1617" s="12" t="s">
        <v>587</v>
      </c>
      <c r="C1617" s="12" t="s">
        <v>588</v>
      </c>
      <c r="D1617" s="12" t="s">
        <v>122</v>
      </c>
      <c r="E1617" s="12" t="s">
        <v>104</v>
      </c>
      <c r="F1617">
        <v>2</v>
      </c>
      <c r="G1617">
        <v>0</v>
      </c>
      <c r="H1617">
        <v>0</v>
      </c>
      <c r="I1617" s="12" t="s">
        <v>486</v>
      </c>
      <c r="J1617" s="12" t="s">
        <v>487</v>
      </c>
      <c r="K1617" s="12" t="s">
        <v>125</v>
      </c>
      <c r="L1617" s="12" t="s">
        <v>69</v>
      </c>
      <c r="M1617">
        <v>36.86</v>
      </c>
      <c r="N1617" s="12" t="s">
        <v>97</v>
      </c>
      <c r="O1617" s="12" t="s">
        <v>98</v>
      </c>
      <c r="P1617" s="12" t="s">
        <v>72</v>
      </c>
      <c r="Q1617" s="13">
        <v>45257</v>
      </c>
      <c r="R1617" s="13">
        <v>45283</v>
      </c>
      <c r="S1617">
        <v>2023</v>
      </c>
      <c r="T1617" s="12" t="s">
        <v>2132</v>
      </c>
      <c r="U1617">
        <v>1616</v>
      </c>
      <c r="V1617">
        <v>12.517899999999999</v>
      </c>
      <c r="W1617">
        <v>233.13</v>
      </c>
      <c r="X1617">
        <v>0</v>
      </c>
      <c r="Y1617">
        <v>0</v>
      </c>
      <c r="Z1617">
        <v>20228.93</v>
      </c>
      <c r="AA1617">
        <v>20462.060000000001</v>
      </c>
      <c r="AB1617" s="12" t="s">
        <v>744</v>
      </c>
      <c r="AC1617">
        <v>12.517899999999999</v>
      </c>
      <c r="AD1617">
        <v>1</v>
      </c>
      <c r="AE1617">
        <v>1</v>
      </c>
      <c r="AF1617">
        <v>0</v>
      </c>
      <c r="AG1617">
        <v>20228.93</v>
      </c>
      <c r="AH1617">
        <v>1616</v>
      </c>
      <c r="AI1617">
        <v>1607</v>
      </c>
      <c r="AJ1617">
        <v>9</v>
      </c>
      <c r="AK1617">
        <v>1</v>
      </c>
      <c r="AL1617">
        <v>1</v>
      </c>
      <c r="AM1617">
        <v>99.44</v>
      </c>
      <c r="AN1617">
        <v>12.7331</v>
      </c>
      <c r="AO1617">
        <v>112.66</v>
      </c>
      <c r="AP1617" s="13">
        <v>45282</v>
      </c>
      <c r="AQ1617">
        <v>-1</v>
      </c>
      <c r="AR1617">
        <v>1</v>
      </c>
    </row>
    <row r="1618" spans="1:44" x14ac:dyDescent="0.35">
      <c r="A1618" s="12" t="s">
        <v>2310</v>
      </c>
      <c r="B1618" s="12" t="s">
        <v>1433</v>
      </c>
      <c r="C1618" s="12" t="s">
        <v>1434</v>
      </c>
      <c r="D1618" s="12" t="s">
        <v>269</v>
      </c>
      <c r="E1618" s="12" t="s">
        <v>65</v>
      </c>
      <c r="F1618">
        <v>3</v>
      </c>
      <c r="G1618">
        <v>5</v>
      </c>
      <c r="H1618">
        <v>0</v>
      </c>
      <c r="I1618" s="12" t="s">
        <v>223</v>
      </c>
      <c r="J1618" s="12" t="s">
        <v>224</v>
      </c>
      <c r="K1618" s="12" t="s">
        <v>81</v>
      </c>
      <c r="L1618" s="12" t="s">
        <v>134</v>
      </c>
      <c r="M1618">
        <v>2.4900000000000002</v>
      </c>
      <c r="N1618" s="12" t="s">
        <v>159</v>
      </c>
      <c r="O1618" s="12" t="s">
        <v>160</v>
      </c>
      <c r="P1618" s="12" t="s">
        <v>137</v>
      </c>
      <c r="Q1618" s="13">
        <v>45257</v>
      </c>
      <c r="R1618" s="13">
        <v>45287</v>
      </c>
      <c r="S1618">
        <v>2023</v>
      </c>
      <c r="T1618" s="12" t="s">
        <v>2132</v>
      </c>
      <c r="U1618">
        <v>87</v>
      </c>
      <c r="V1618">
        <v>457.42090000000002</v>
      </c>
      <c r="W1618">
        <v>643.79</v>
      </c>
      <c r="X1618">
        <v>0</v>
      </c>
      <c r="Y1618">
        <v>0</v>
      </c>
      <c r="Z1618">
        <v>39795.620000000003</v>
      </c>
      <c r="AA1618">
        <v>40439.410000000003</v>
      </c>
      <c r="AB1618" s="12" t="s">
        <v>1435</v>
      </c>
      <c r="AC1618">
        <v>457.42090000000002</v>
      </c>
      <c r="AD1618">
        <v>1</v>
      </c>
      <c r="AE1618">
        <v>1</v>
      </c>
      <c r="AF1618">
        <v>0</v>
      </c>
      <c r="AG1618">
        <v>39795.620000000003</v>
      </c>
      <c r="AH1618">
        <v>87</v>
      </c>
      <c r="AI1618">
        <v>87</v>
      </c>
      <c r="AJ1618">
        <v>0</v>
      </c>
      <c r="AK1618">
        <v>1</v>
      </c>
      <c r="AL1618">
        <v>1</v>
      </c>
      <c r="AM1618">
        <v>100</v>
      </c>
      <c r="AN1618">
        <v>464.82080000000002</v>
      </c>
      <c r="AO1618">
        <v>0</v>
      </c>
      <c r="AP1618" s="13">
        <v>45287</v>
      </c>
      <c r="AQ1618">
        <v>0</v>
      </c>
      <c r="AR1618">
        <v>1</v>
      </c>
    </row>
    <row r="1619" spans="1:44" x14ac:dyDescent="0.35">
      <c r="A1619" s="12" t="s">
        <v>2311</v>
      </c>
      <c r="B1619" s="12" t="s">
        <v>412</v>
      </c>
      <c r="C1619" s="12" t="s">
        <v>413</v>
      </c>
      <c r="D1619" s="12" t="s">
        <v>269</v>
      </c>
      <c r="E1619" s="12" t="s">
        <v>65</v>
      </c>
      <c r="F1619">
        <v>1</v>
      </c>
      <c r="G1619">
        <v>2</v>
      </c>
      <c r="H1619">
        <v>1</v>
      </c>
      <c r="I1619" s="12" t="s">
        <v>233</v>
      </c>
      <c r="J1619" s="12" t="s">
        <v>234</v>
      </c>
      <c r="K1619" s="12" t="s">
        <v>125</v>
      </c>
      <c r="L1619" s="12" t="s">
        <v>96</v>
      </c>
      <c r="M1619">
        <v>3.73</v>
      </c>
      <c r="N1619" s="12" t="s">
        <v>135</v>
      </c>
      <c r="O1619" s="12" t="s">
        <v>136</v>
      </c>
      <c r="P1619" s="12" t="s">
        <v>137</v>
      </c>
      <c r="Q1619" s="13">
        <v>45258</v>
      </c>
      <c r="R1619" s="13">
        <v>45288</v>
      </c>
      <c r="S1619">
        <v>2023</v>
      </c>
      <c r="T1619" s="12" t="s">
        <v>2132</v>
      </c>
      <c r="U1619">
        <v>87</v>
      </c>
      <c r="V1619">
        <v>104.4832</v>
      </c>
      <c r="W1619">
        <v>186.08</v>
      </c>
      <c r="X1619">
        <v>284.62</v>
      </c>
      <c r="Y1619">
        <v>1</v>
      </c>
      <c r="Z1619">
        <v>9090.0400000000009</v>
      </c>
      <c r="AA1619">
        <v>9560.74</v>
      </c>
      <c r="AB1619" s="12" t="s">
        <v>414</v>
      </c>
      <c r="AC1619">
        <v>104.4832</v>
      </c>
      <c r="AD1619">
        <v>1</v>
      </c>
      <c r="AE1619">
        <v>1</v>
      </c>
      <c r="AF1619">
        <v>0</v>
      </c>
      <c r="AG1619">
        <v>9090.0400000000009</v>
      </c>
      <c r="AH1619">
        <v>87</v>
      </c>
      <c r="AI1619">
        <v>86</v>
      </c>
      <c r="AJ1619">
        <v>1</v>
      </c>
      <c r="AK1619">
        <v>1</v>
      </c>
      <c r="AL1619">
        <v>1</v>
      </c>
      <c r="AM1619">
        <v>98.85</v>
      </c>
      <c r="AN1619">
        <v>111.17140000000001</v>
      </c>
      <c r="AO1619">
        <v>104.48</v>
      </c>
      <c r="AP1619" s="13">
        <v>45287</v>
      </c>
      <c r="AQ1619">
        <v>-1</v>
      </c>
      <c r="AR1619">
        <v>1</v>
      </c>
    </row>
    <row r="1620" spans="1:44" x14ac:dyDescent="0.35">
      <c r="A1620" s="12" t="s">
        <v>2312</v>
      </c>
      <c r="B1620" s="12" t="s">
        <v>685</v>
      </c>
      <c r="C1620" s="12" t="s">
        <v>686</v>
      </c>
      <c r="D1620" s="12" t="s">
        <v>175</v>
      </c>
      <c r="E1620" s="12" t="s">
        <v>104</v>
      </c>
      <c r="F1620">
        <v>2</v>
      </c>
      <c r="G1620">
        <v>0</v>
      </c>
      <c r="H1620">
        <v>0</v>
      </c>
      <c r="I1620" s="12" t="s">
        <v>243</v>
      </c>
      <c r="J1620" s="12" t="s">
        <v>244</v>
      </c>
      <c r="K1620" s="12" t="s">
        <v>81</v>
      </c>
      <c r="L1620" s="12" t="s">
        <v>82</v>
      </c>
      <c r="M1620">
        <v>9.2200000000000006</v>
      </c>
      <c r="N1620" s="12" t="s">
        <v>145</v>
      </c>
      <c r="O1620" s="12" t="s">
        <v>146</v>
      </c>
      <c r="P1620" s="12" t="s">
        <v>109</v>
      </c>
      <c r="Q1620" s="13">
        <v>45258</v>
      </c>
      <c r="R1620" s="13">
        <v>45275</v>
      </c>
      <c r="S1620">
        <v>2023</v>
      </c>
      <c r="T1620" s="12" t="s">
        <v>2132</v>
      </c>
      <c r="U1620">
        <v>52</v>
      </c>
      <c r="V1620">
        <v>221.7389</v>
      </c>
      <c r="W1620">
        <v>150.68</v>
      </c>
      <c r="X1620">
        <v>0</v>
      </c>
      <c r="Y1620">
        <v>0</v>
      </c>
      <c r="Z1620">
        <v>11530.42</v>
      </c>
      <c r="AA1620">
        <v>11681.1</v>
      </c>
      <c r="AB1620" s="12" t="s">
        <v>687</v>
      </c>
      <c r="AC1620">
        <v>221.7389</v>
      </c>
      <c r="AD1620">
        <v>1</v>
      </c>
      <c r="AE1620">
        <v>1</v>
      </c>
      <c r="AF1620">
        <v>0</v>
      </c>
      <c r="AG1620">
        <v>11530.42</v>
      </c>
      <c r="AH1620">
        <v>52</v>
      </c>
      <c r="AI1620">
        <v>51</v>
      </c>
      <c r="AJ1620">
        <v>1</v>
      </c>
      <c r="AK1620">
        <v>1</v>
      </c>
      <c r="AL1620">
        <v>1</v>
      </c>
      <c r="AM1620">
        <v>98.08</v>
      </c>
      <c r="AN1620">
        <v>229.0412</v>
      </c>
      <c r="AO1620">
        <v>221.74</v>
      </c>
      <c r="AP1620" s="13">
        <v>45272</v>
      </c>
      <c r="AQ1620">
        <v>-3</v>
      </c>
      <c r="AR1620">
        <v>1</v>
      </c>
    </row>
    <row r="1621" spans="1:44" x14ac:dyDescent="0.35">
      <c r="A1621" s="12" t="s">
        <v>2313</v>
      </c>
      <c r="B1621" s="12" t="s">
        <v>755</v>
      </c>
      <c r="C1621" s="12" t="s">
        <v>756</v>
      </c>
      <c r="D1621" s="12" t="s">
        <v>78</v>
      </c>
      <c r="E1621" s="12" t="s">
        <v>65</v>
      </c>
      <c r="F1621">
        <v>2</v>
      </c>
      <c r="G1621">
        <v>2</v>
      </c>
      <c r="H1621">
        <v>0</v>
      </c>
      <c r="I1621" s="12" t="s">
        <v>359</v>
      </c>
      <c r="J1621" s="12" t="s">
        <v>360</v>
      </c>
      <c r="K1621" s="12" t="s">
        <v>133</v>
      </c>
      <c r="L1621" s="12" t="s">
        <v>82</v>
      </c>
      <c r="M1621">
        <v>12.65</v>
      </c>
      <c r="N1621" s="12" t="s">
        <v>97</v>
      </c>
      <c r="O1621" s="12" t="s">
        <v>98</v>
      </c>
      <c r="P1621" s="12" t="s">
        <v>72</v>
      </c>
      <c r="Q1621" s="13">
        <v>45258</v>
      </c>
      <c r="R1621" s="13">
        <v>45279</v>
      </c>
      <c r="S1621">
        <v>2023</v>
      </c>
      <c r="T1621" s="12" t="s">
        <v>2132</v>
      </c>
      <c r="U1621">
        <v>51</v>
      </c>
      <c r="V1621">
        <v>42.746899999999997</v>
      </c>
      <c r="W1621">
        <v>20.37</v>
      </c>
      <c r="X1621">
        <v>0</v>
      </c>
      <c r="Y1621">
        <v>0</v>
      </c>
      <c r="Z1621">
        <v>2180.09</v>
      </c>
      <c r="AA1621">
        <v>2200.46</v>
      </c>
      <c r="AB1621" s="12" t="s">
        <v>759</v>
      </c>
      <c r="AC1621">
        <v>45.472499999999997</v>
      </c>
      <c r="AD1621">
        <v>1</v>
      </c>
      <c r="AE1621">
        <v>1</v>
      </c>
      <c r="AF1621">
        <v>-139.01</v>
      </c>
      <c r="AG1621">
        <v>2319.1</v>
      </c>
      <c r="AH1621">
        <v>51</v>
      </c>
      <c r="AI1621">
        <v>50</v>
      </c>
      <c r="AJ1621">
        <v>1</v>
      </c>
      <c r="AK1621">
        <v>1</v>
      </c>
      <c r="AL1621">
        <v>1</v>
      </c>
      <c r="AM1621">
        <v>98.04</v>
      </c>
      <c r="AN1621">
        <v>44.0092</v>
      </c>
      <c r="AO1621">
        <v>42.75</v>
      </c>
      <c r="AP1621" s="13">
        <v>45278</v>
      </c>
      <c r="AQ1621">
        <v>-1</v>
      </c>
      <c r="AR1621">
        <v>1</v>
      </c>
    </row>
    <row r="1622" spans="1:44" x14ac:dyDescent="0.35">
      <c r="A1622" s="12" t="s">
        <v>2314</v>
      </c>
      <c r="B1622" s="12" t="s">
        <v>809</v>
      </c>
      <c r="C1622" s="12" t="s">
        <v>810</v>
      </c>
      <c r="D1622" s="12" t="s">
        <v>114</v>
      </c>
      <c r="E1622" s="12" t="s">
        <v>65</v>
      </c>
      <c r="F1622">
        <v>3</v>
      </c>
      <c r="G1622">
        <v>5</v>
      </c>
      <c r="H1622">
        <v>0</v>
      </c>
      <c r="I1622" s="12" t="s">
        <v>804</v>
      </c>
      <c r="J1622" s="12" t="s">
        <v>342</v>
      </c>
      <c r="K1622" s="12" t="s">
        <v>117</v>
      </c>
      <c r="L1622" s="12" t="s">
        <v>69</v>
      </c>
      <c r="M1622">
        <v>30.07</v>
      </c>
      <c r="N1622" s="12" t="s">
        <v>70</v>
      </c>
      <c r="O1622" s="12" t="s">
        <v>71</v>
      </c>
      <c r="P1622" s="12" t="s">
        <v>72</v>
      </c>
      <c r="Q1622" s="13">
        <v>45258</v>
      </c>
      <c r="R1622" s="13">
        <v>45281</v>
      </c>
      <c r="S1622">
        <v>2023</v>
      </c>
      <c r="T1622" s="12" t="s">
        <v>2132</v>
      </c>
      <c r="U1622">
        <v>26</v>
      </c>
      <c r="V1622">
        <v>323.22789999999998</v>
      </c>
      <c r="W1622">
        <v>187.57</v>
      </c>
      <c r="X1622">
        <v>0</v>
      </c>
      <c r="Y1622">
        <v>0</v>
      </c>
      <c r="Z1622">
        <v>8403.93</v>
      </c>
      <c r="AA1622">
        <v>8591.5</v>
      </c>
      <c r="AB1622" s="12" t="s">
        <v>880</v>
      </c>
      <c r="AC1622">
        <v>323.22789999999998</v>
      </c>
      <c r="AD1622">
        <v>1</v>
      </c>
      <c r="AE1622">
        <v>1</v>
      </c>
      <c r="AF1622">
        <v>0</v>
      </c>
      <c r="AG1622">
        <v>8403.93</v>
      </c>
      <c r="AH1622">
        <v>26</v>
      </c>
      <c r="AI1622">
        <v>26</v>
      </c>
      <c r="AJ1622">
        <v>0</v>
      </c>
      <c r="AK1622">
        <v>1</v>
      </c>
      <c r="AL1622">
        <v>1</v>
      </c>
      <c r="AM1622">
        <v>100</v>
      </c>
      <c r="AN1622">
        <v>330.44209999999998</v>
      </c>
      <c r="AO1622">
        <v>0</v>
      </c>
      <c r="AP1622" s="13">
        <v>45278</v>
      </c>
      <c r="AQ1622">
        <v>-3</v>
      </c>
      <c r="AR1622">
        <v>1</v>
      </c>
    </row>
    <row r="1623" spans="1:44" x14ac:dyDescent="0.35">
      <c r="A1623" s="12" t="s">
        <v>2315</v>
      </c>
      <c r="B1623" s="12" t="s">
        <v>773</v>
      </c>
      <c r="C1623" s="12" t="s">
        <v>774</v>
      </c>
      <c r="D1623" s="12" t="s">
        <v>64</v>
      </c>
      <c r="E1623" s="12" t="s">
        <v>142</v>
      </c>
      <c r="F1623">
        <v>1</v>
      </c>
      <c r="G1623">
        <v>7</v>
      </c>
      <c r="H1623">
        <v>1</v>
      </c>
      <c r="I1623" s="12" t="s">
        <v>251</v>
      </c>
      <c r="J1623" s="12" t="s">
        <v>252</v>
      </c>
      <c r="K1623" s="12" t="s">
        <v>133</v>
      </c>
      <c r="L1623" s="12" t="s">
        <v>69</v>
      </c>
      <c r="M1623">
        <v>34.49</v>
      </c>
      <c r="N1623" s="12" t="s">
        <v>70</v>
      </c>
      <c r="O1623" s="12" t="s">
        <v>71</v>
      </c>
      <c r="P1623" s="12" t="s">
        <v>72</v>
      </c>
      <c r="Q1623" s="13">
        <v>45258</v>
      </c>
      <c r="R1623" s="13">
        <v>45299</v>
      </c>
      <c r="S1623">
        <v>2023</v>
      </c>
      <c r="T1623" s="12" t="s">
        <v>2132</v>
      </c>
      <c r="U1623">
        <v>425</v>
      </c>
      <c r="V1623">
        <v>10.0604</v>
      </c>
      <c r="W1623">
        <v>58.64</v>
      </c>
      <c r="X1623">
        <v>0</v>
      </c>
      <c r="Y1623">
        <v>0</v>
      </c>
      <c r="Z1623">
        <v>4275.67</v>
      </c>
      <c r="AA1623">
        <v>4334.3100000000004</v>
      </c>
      <c r="AB1623" s="12" t="s">
        <v>775</v>
      </c>
      <c r="AC1623">
        <v>10.0604</v>
      </c>
      <c r="AD1623">
        <v>1</v>
      </c>
      <c r="AE1623">
        <v>1</v>
      </c>
      <c r="AF1623">
        <v>0</v>
      </c>
      <c r="AG1623">
        <v>4275.67</v>
      </c>
      <c r="AH1623">
        <v>425</v>
      </c>
      <c r="AI1623">
        <v>422</v>
      </c>
      <c r="AJ1623">
        <v>3</v>
      </c>
      <c r="AK1623">
        <v>1</v>
      </c>
      <c r="AL1623">
        <v>1</v>
      </c>
      <c r="AM1623">
        <v>99.29</v>
      </c>
      <c r="AN1623">
        <v>10.270899999999999</v>
      </c>
      <c r="AO1623">
        <v>30.18</v>
      </c>
      <c r="AP1623" s="13">
        <v>45299</v>
      </c>
      <c r="AQ1623">
        <v>0</v>
      </c>
      <c r="AR1623">
        <v>1</v>
      </c>
    </row>
    <row r="1624" spans="1:44" x14ac:dyDescent="0.35">
      <c r="A1624" s="12" t="s">
        <v>2316</v>
      </c>
      <c r="B1624" s="12" t="s">
        <v>823</v>
      </c>
      <c r="C1624" s="12" t="s">
        <v>824</v>
      </c>
      <c r="D1624" s="12" t="s">
        <v>114</v>
      </c>
      <c r="E1624" s="12" t="s">
        <v>142</v>
      </c>
      <c r="F1624">
        <v>1</v>
      </c>
      <c r="G1624">
        <v>8</v>
      </c>
      <c r="H1624">
        <v>1</v>
      </c>
      <c r="I1624" s="12" t="s">
        <v>515</v>
      </c>
      <c r="J1624" s="12" t="s">
        <v>516</v>
      </c>
      <c r="K1624" s="12" t="s">
        <v>68</v>
      </c>
      <c r="L1624" s="12" t="s">
        <v>134</v>
      </c>
      <c r="M1624">
        <v>3.69</v>
      </c>
      <c r="N1624" s="12" t="s">
        <v>97</v>
      </c>
      <c r="O1624" s="12" t="s">
        <v>98</v>
      </c>
      <c r="P1624" s="12" t="s">
        <v>72</v>
      </c>
      <c r="Q1624" s="13">
        <v>45258</v>
      </c>
      <c r="R1624" s="13">
        <v>45299</v>
      </c>
      <c r="S1624">
        <v>2023</v>
      </c>
      <c r="T1624" s="12" t="s">
        <v>2132</v>
      </c>
      <c r="U1624">
        <v>61</v>
      </c>
      <c r="V1624">
        <v>340.79689999999999</v>
      </c>
      <c r="W1624">
        <v>305.77</v>
      </c>
      <c r="X1624">
        <v>0</v>
      </c>
      <c r="Y1624">
        <v>0</v>
      </c>
      <c r="Z1624">
        <v>20788.61</v>
      </c>
      <c r="AA1624">
        <v>21094.38</v>
      </c>
      <c r="AB1624" s="12" t="s">
        <v>825</v>
      </c>
      <c r="AC1624">
        <v>361.73399999999998</v>
      </c>
      <c r="AD1624">
        <v>1</v>
      </c>
      <c r="AE1624">
        <v>1</v>
      </c>
      <c r="AF1624">
        <v>-1277.1600000000001</v>
      </c>
      <c r="AG1624">
        <v>22065.77</v>
      </c>
      <c r="AH1624">
        <v>61</v>
      </c>
      <c r="AI1624">
        <v>60</v>
      </c>
      <c r="AJ1624">
        <v>1</v>
      </c>
      <c r="AK1624">
        <v>1</v>
      </c>
      <c r="AL1624">
        <v>1</v>
      </c>
      <c r="AM1624">
        <v>98.36</v>
      </c>
      <c r="AN1624">
        <v>351.57299999999998</v>
      </c>
      <c r="AO1624">
        <v>340.8</v>
      </c>
      <c r="AP1624" s="13">
        <v>45299</v>
      </c>
      <c r="AQ1624">
        <v>0</v>
      </c>
      <c r="AR1624">
        <v>1</v>
      </c>
    </row>
    <row r="1625" spans="1:44" x14ac:dyDescent="0.35">
      <c r="A1625" s="12" t="s">
        <v>2317</v>
      </c>
      <c r="B1625" s="12" t="s">
        <v>855</v>
      </c>
      <c r="C1625" s="12" t="s">
        <v>856</v>
      </c>
      <c r="D1625" s="12" t="s">
        <v>269</v>
      </c>
      <c r="E1625" s="12" t="s">
        <v>65</v>
      </c>
      <c r="F1625">
        <v>3</v>
      </c>
      <c r="G1625">
        <v>5</v>
      </c>
      <c r="H1625">
        <v>0</v>
      </c>
      <c r="I1625" s="12" t="s">
        <v>94</v>
      </c>
      <c r="J1625" s="12" t="s">
        <v>95</v>
      </c>
      <c r="K1625" s="12" t="s">
        <v>81</v>
      </c>
      <c r="L1625" s="12" t="s">
        <v>96</v>
      </c>
      <c r="M1625">
        <v>4.8099999999999996</v>
      </c>
      <c r="N1625" s="12" t="s">
        <v>135</v>
      </c>
      <c r="O1625" s="12" t="s">
        <v>136</v>
      </c>
      <c r="P1625" s="12" t="s">
        <v>137</v>
      </c>
      <c r="Q1625" s="13">
        <v>45258</v>
      </c>
      <c r="R1625" s="13">
        <v>45287</v>
      </c>
      <c r="S1625">
        <v>2023</v>
      </c>
      <c r="T1625" s="12" t="s">
        <v>2132</v>
      </c>
      <c r="U1625">
        <v>79</v>
      </c>
      <c r="V1625">
        <v>493.6902</v>
      </c>
      <c r="W1625">
        <v>682.72</v>
      </c>
      <c r="X1625">
        <v>0</v>
      </c>
      <c r="Y1625">
        <v>0</v>
      </c>
      <c r="Z1625">
        <v>39001.53</v>
      </c>
      <c r="AA1625">
        <v>39684.25</v>
      </c>
      <c r="AB1625" s="12" t="s">
        <v>857</v>
      </c>
      <c r="AC1625">
        <v>493.6902</v>
      </c>
      <c r="AD1625">
        <v>1</v>
      </c>
      <c r="AE1625">
        <v>1</v>
      </c>
      <c r="AF1625">
        <v>0</v>
      </c>
      <c r="AG1625">
        <v>39001.53</v>
      </c>
      <c r="AH1625">
        <v>79</v>
      </c>
      <c r="AI1625">
        <v>79</v>
      </c>
      <c r="AJ1625">
        <v>0</v>
      </c>
      <c r="AK1625">
        <v>1</v>
      </c>
      <c r="AL1625">
        <v>1</v>
      </c>
      <c r="AM1625">
        <v>100</v>
      </c>
      <c r="AN1625">
        <v>502.3322</v>
      </c>
      <c r="AO1625">
        <v>0</v>
      </c>
      <c r="AP1625" s="13">
        <v>45287</v>
      </c>
      <c r="AQ1625">
        <v>0</v>
      </c>
      <c r="AR1625">
        <v>1</v>
      </c>
    </row>
    <row r="1626" spans="1:44" x14ac:dyDescent="0.35">
      <c r="A1626" s="12" t="s">
        <v>2318</v>
      </c>
      <c r="B1626" s="12" t="s">
        <v>149</v>
      </c>
      <c r="C1626" s="12" t="s">
        <v>150</v>
      </c>
      <c r="D1626" s="12" t="s">
        <v>78</v>
      </c>
      <c r="E1626" s="12" t="s">
        <v>65</v>
      </c>
      <c r="F1626">
        <v>2</v>
      </c>
      <c r="G1626">
        <v>2</v>
      </c>
      <c r="H1626">
        <v>0</v>
      </c>
      <c r="I1626" s="12" t="s">
        <v>151</v>
      </c>
      <c r="J1626" s="12" t="s">
        <v>152</v>
      </c>
      <c r="K1626" s="12" t="s">
        <v>125</v>
      </c>
      <c r="L1626" s="12" t="s">
        <v>69</v>
      </c>
      <c r="M1626">
        <v>36.479999999999997</v>
      </c>
      <c r="N1626" s="12" t="s">
        <v>97</v>
      </c>
      <c r="O1626" s="12" t="s">
        <v>98</v>
      </c>
      <c r="P1626" s="12" t="s">
        <v>72</v>
      </c>
      <c r="Q1626" s="13">
        <v>45259</v>
      </c>
      <c r="R1626" s="13">
        <v>45281</v>
      </c>
      <c r="S1626">
        <v>2023</v>
      </c>
      <c r="T1626" s="12" t="s">
        <v>2132</v>
      </c>
      <c r="U1626">
        <v>65</v>
      </c>
      <c r="V1626">
        <v>76.092399999999998</v>
      </c>
      <c r="W1626">
        <v>54.66</v>
      </c>
      <c r="X1626">
        <v>148.41999999999999</v>
      </c>
      <c r="Y1626">
        <v>1</v>
      </c>
      <c r="Z1626">
        <v>4946.01</v>
      </c>
      <c r="AA1626">
        <v>5149.09</v>
      </c>
      <c r="AB1626" s="12" t="s">
        <v>153</v>
      </c>
      <c r="AC1626">
        <v>76.092399999999998</v>
      </c>
      <c r="AD1626">
        <v>1</v>
      </c>
      <c r="AE1626">
        <v>1</v>
      </c>
      <c r="AF1626">
        <v>0</v>
      </c>
      <c r="AG1626">
        <v>4946.01</v>
      </c>
      <c r="AH1626">
        <v>65</v>
      </c>
      <c r="AI1626">
        <v>64</v>
      </c>
      <c r="AJ1626">
        <v>1</v>
      </c>
      <c r="AK1626">
        <v>1</v>
      </c>
      <c r="AL1626">
        <v>1</v>
      </c>
      <c r="AM1626">
        <v>98.46</v>
      </c>
      <c r="AN1626">
        <v>80.454499999999996</v>
      </c>
      <c r="AO1626">
        <v>76.09</v>
      </c>
      <c r="AP1626" s="13">
        <v>45279</v>
      </c>
      <c r="AQ1626">
        <v>-2</v>
      </c>
      <c r="AR1626">
        <v>1</v>
      </c>
    </row>
    <row r="1627" spans="1:44" x14ac:dyDescent="0.35">
      <c r="A1627" s="12" t="s">
        <v>2319</v>
      </c>
      <c r="B1627" s="12" t="s">
        <v>350</v>
      </c>
      <c r="C1627" s="12" t="s">
        <v>351</v>
      </c>
      <c r="D1627" s="12" t="s">
        <v>64</v>
      </c>
      <c r="E1627" s="12" t="s">
        <v>104</v>
      </c>
      <c r="F1627">
        <v>3</v>
      </c>
      <c r="G1627">
        <v>1</v>
      </c>
      <c r="H1627">
        <v>0</v>
      </c>
      <c r="I1627" s="12" t="s">
        <v>227</v>
      </c>
      <c r="J1627" s="12" t="s">
        <v>228</v>
      </c>
      <c r="K1627" s="12" t="s">
        <v>89</v>
      </c>
      <c r="L1627" s="12" t="s">
        <v>96</v>
      </c>
      <c r="M1627">
        <v>9.15</v>
      </c>
      <c r="N1627" s="12" t="s">
        <v>97</v>
      </c>
      <c r="O1627" s="12" t="s">
        <v>98</v>
      </c>
      <c r="P1627" s="12" t="s">
        <v>72</v>
      </c>
      <c r="Q1627" s="13">
        <v>45259</v>
      </c>
      <c r="R1627" s="13">
        <v>45281</v>
      </c>
      <c r="S1627">
        <v>2023</v>
      </c>
      <c r="T1627" s="12" t="s">
        <v>2132</v>
      </c>
      <c r="U1627">
        <v>637</v>
      </c>
      <c r="V1627">
        <v>8.7273999999999994</v>
      </c>
      <c r="W1627">
        <v>129.66999999999999</v>
      </c>
      <c r="X1627">
        <v>0</v>
      </c>
      <c r="Y1627">
        <v>0</v>
      </c>
      <c r="Z1627">
        <v>5559.35</v>
      </c>
      <c r="AA1627">
        <v>5689.02</v>
      </c>
      <c r="AB1627" s="12" t="s">
        <v>352</v>
      </c>
      <c r="AC1627">
        <v>8.7273999999999994</v>
      </c>
      <c r="AD1627">
        <v>1</v>
      </c>
      <c r="AE1627">
        <v>1</v>
      </c>
      <c r="AF1627">
        <v>0</v>
      </c>
      <c r="AG1627">
        <v>5559.35</v>
      </c>
      <c r="AH1627">
        <v>637</v>
      </c>
      <c r="AI1627">
        <v>629</v>
      </c>
      <c r="AJ1627">
        <v>8</v>
      </c>
      <c r="AK1627">
        <v>1</v>
      </c>
      <c r="AL1627">
        <v>1</v>
      </c>
      <c r="AM1627">
        <v>98.74</v>
      </c>
      <c r="AN1627">
        <v>9.0446000000000009</v>
      </c>
      <c r="AO1627">
        <v>69.819999999999993</v>
      </c>
      <c r="AP1627" s="13">
        <v>45278</v>
      </c>
      <c r="AQ1627">
        <v>-3</v>
      </c>
      <c r="AR1627">
        <v>1</v>
      </c>
    </row>
    <row r="1628" spans="1:44" x14ac:dyDescent="0.35">
      <c r="A1628" s="12" t="s">
        <v>2320</v>
      </c>
      <c r="B1628" s="12" t="s">
        <v>1075</v>
      </c>
      <c r="C1628" s="12" t="s">
        <v>1076</v>
      </c>
      <c r="D1628" s="12" t="s">
        <v>103</v>
      </c>
      <c r="E1628" s="12" t="s">
        <v>65</v>
      </c>
      <c r="F1628">
        <v>2</v>
      </c>
      <c r="G1628">
        <v>4</v>
      </c>
      <c r="H1628">
        <v>0</v>
      </c>
      <c r="I1628" s="12" t="s">
        <v>183</v>
      </c>
      <c r="J1628" s="12" t="s">
        <v>184</v>
      </c>
      <c r="K1628" s="12" t="s">
        <v>133</v>
      </c>
      <c r="L1628" s="12" t="s">
        <v>82</v>
      </c>
      <c r="M1628">
        <v>8.6199999999999992</v>
      </c>
      <c r="N1628" s="12" t="s">
        <v>145</v>
      </c>
      <c r="O1628" s="12" t="s">
        <v>146</v>
      </c>
      <c r="P1628" s="12" t="s">
        <v>109</v>
      </c>
      <c r="Q1628" s="13">
        <v>45259</v>
      </c>
      <c r="R1628" s="13">
        <v>45289</v>
      </c>
      <c r="S1628">
        <v>2023</v>
      </c>
      <c r="T1628" s="12" t="s">
        <v>2132</v>
      </c>
      <c r="U1628">
        <v>81</v>
      </c>
      <c r="V1628">
        <v>68.470200000000006</v>
      </c>
      <c r="W1628">
        <v>105.45</v>
      </c>
      <c r="X1628">
        <v>0</v>
      </c>
      <c r="Y1628">
        <v>0</v>
      </c>
      <c r="Z1628">
        <v>5546.09</v>
      </c>
      <c r="AA1628">
        <v>5651.54</v>
      </c>
      <c r="AB1628" s="12" t="s">
        <v>1163</v>
      </c>
      <c r="AC1628">
        <v>68.470200000000006</v>
      </c>
      <c r="AD1628">
        <v>1</v>
      </c>
      <c r="AE1628">
        <v>1</v>
      </c>
      <c r="AF1628">
        <v>0</v>
      </c>
      <c r="AG1628">
        <v>5546.09</v>
      </c>
      <c r="AH1628">
        <v>81</v>
      </c>
      <c r="AI1628">
        <v>80</v>
      </c>
      <c r="AJ1628">
        <v>1</v>
      </c>
      <c r="AK1628">
        <v>1</v>
      </c>
      <c r="AL1628">
        <v>1</v>
      </c>
      <c r="AM1628">
        <v>98.77</v>
      </c>
      <c r="AN1628">
        <v>70.644199999999998</v>
      </c>
      <c r="AO1628">
        <v>68.47</v>
      </c>
      <c r="AP1628" s="13">
        <v>45287</v>
      </c>
      <c r="AQ1628">
        <v>-2</v>
      </c>
      <c r="AR1628">
        <v>1</v>
      </c>
    </row>
    <row r="1629" spans="1:44" x14ac:dyDescent="0.35">
      <c r="A1629" s="12" t="s">
        <v>2321</v>
      </c>
      <c r="B1629" s="12" t="s">
        <v>823</v>
      </c>
      <c r="C1629" s="12" t="s">
        <v>824</v>
      </c>
      <c r="D1629" s="12" t="s">
        <v>114</v>
      </c>
      <c r="E1629" s="12" t="s">
        <v>142</v>
      </c>
      <c r="F1629">
        <v>1</v>
      </c>
      <c r="G1629">
        <v>8</v>
      </c>
      <c r="H1629">
        <v>1</v>
      </c>
      <c r="I1629" s="12" t="s">
        <v>515</v>
      </c>
      <c r="J1629" s="12" t="s">
        <v>516</v>
      </c>
      <c r="K1629" s="12" t="s">
        <v>68</v>
      </c>
      <c r="L1629" s="12" t="s">
        <v>134</v>
      </c>
      <c r="M1629">
        <v>3.69</v>
      </c>
      <c r="N1629" s="12" t="s">
        <v>97</v>
      </c>
      <c r="O1629" s="12" t="s">
        <v>98</v>
      </c>
      <c r="P1629" s="12" t="s">
        <v>72</v>
      </c>
      <c r="Q1629" s="13">
        <v>45259</v>
      </c>
      <c r="R1629" s="13">
        <v>45297</v>
      </c>
      <c r="S1629">
        <v>2023</v>
      </c>
      <c r="T1629" s="12" t="s">
        <v>2132</v>
      </c>
      <c r="U1629">
        <v>38</v>
      </c>
      <c r="V1629">
        <v>361.73399999999998</v>
      </c>
      <c r="W1629">
        <v>157.05000000000001</v>
      </c>
      <c r="X1629">
        <v>0</v>
      </c>
      <c r="Y1629">
        <v>0</v>
      </c>
      <c r="Z1629">
        <v>13745.89</v>
      </c>
      <c r="AA1629">
        <v>13902.94</v>
      </c>
      <c r="AB1629" s="12" t="s">
        <v>825</v>
      </c>
      <c r="AC1629">
        <v>361.73399999999998</v>
      </c>
      <c r="AD1629">
        <v>1</v>
      </c>
      <c r="AE1629">
        <v>1</v>
      </c>
      <c r="AF1629">
        <v>0</v>
      </c>
      <c r="AG1629">
        <v>13745.89</v>
      </c>
      <c r="AH1629">
        <v>38</v>
      </c>
      <c r="AI1629">
        <v>37</v>
      </c>
      <c r="AJ1629">
        <v>1</v>
      </c>
      <c r="AK1629">
        <v>1</v>
      </c>
      <c r="AL1629">
        <v>1</v>
      </c>
      <c r="AM1629">
        <v>97.37</v>
      </c>
      <c r="AN1629">
        <v>375.7552</v>
      </c>
      <c r="AO1629">
        <v>361.73</v>
      </c>
      <c r="AP1629" s="13">
        <v>45294</v>
      </c>
      <c r="AQ1629">
        <v>-3</v>
      </c>
      <c r="AR1629">
        <v>1</v>
      </c>
    </row>
    <row r="1630" spans="1:44" x14ac:dyDescent="0.35">
      <c r="A1630" s="12" t="s">
        <v>2322</v>
      </c>
      <c r="B1630" s="12" t="s">
        <v>267</v>
      </c>
      <c r="C1630" s="12" t="s">
        <v>268</v>
      </c>
      <c r="D1630" s="12" t="s">
        <v>269</v>
      </c>
      <c r="E1630" s="12" t="s">
        <v>142</v>
      </c>
      <c r="F1630">
        <v>1</v>
      </c>
      <c r="G1630">
        <v>8</v>
      </c>
      <c r="H1630">
        <v>1</v>
      </c>
      <c r="I1630" s="12" t="s">
        <v>94</v>
      </c>
      <c r="J1630" s="12" t="s">
        <v>95</v>
      </c>
      <c r="K1630" s="12" t="s">
        <v>81</v>
      </c>
      <c r="L1630" s="12" t="s">
        <v>96</v>
      </c>
      <c r="M1630">
        <v>4.8099999999999996</v>
      </c>
      <c r="N1630" s="12" t="s">
        <v>159</v>
      </c>
      <c r="O1630" s="12" t="s">
        <v>160</v>
      </c>
      <c r="P1630" s="12" t="s">
        <v>137</v>
      </c>
      <c r="Q1630" s="13">
        <v>45259</v>
      </c>
      <c r="R1630" s="13">
        <v>45299</v>
      </c>
      <c r="S1630">
        <v>2023</v>
      </c>
      <c r="T1630" s="12" t="s">
        <v>2132</v>
      </c>
      <c r="U1630">
        <v>50</v>
      </c>
      <c r="V1630">
        <v>247.31829999999999</v>
      </c>
      <c r="W1630">
        <v>232.35</v>
      </c>
      <c r="X1630">
        <v>0</v>
      </c>
      <c r="Y1630">
        <v>0</v>
      </c>
      <c r="Z1630">
        <v>12365.92</v>
      </c>
      <c r="AA1630">
        <v>12598.27</v>
      </c>
      <c r="AB1630" s="12" t="s">
        <v>270</v>
      </c>
      <c r="AC1630">
        <v>247.31829999999999</v>
      </c>
      <c r="AD1630">
        <v>1</v>
      </c>
      <c r="AE1630">
        <v>1</v>
      </c>
      <c r="AF1630">
        <v>0</v>
      </c>
      <c r="AG1630">
        <v>12365.92</v>
      </c>
      <c r="AH1630">
        <v>50</v>
      </c>
      <c r="AI1630">
        <v>49</v>
      </c>
      <c r="AJ1630">
        <v>1</v>
      </c>
      <c r="AK1630">
        <v>1</v>
      </c>
      <c r="AL1630">
        <v>1</v>
      </c>
      <c r="AM1630">
        <v>98</v>
      </c>
      <c r="AN1630">
        <v>257.10739999999998</v>
      </c>
      <c r="AO1630">
        <v>247.32</v>
      </c>
      <c r="AP1630" s="13">
        <v>45296</v>
      </c>
      <c r="AQ1630">
        <v>-3</v>
      </c>
      <c r="AR1630">
        <v>1</v>
      </c>
    </row>
    <row r="1631" spans="1:44" x14ac:dyDescent="0.35">
      <c r="A1631" s="12" t="s">
        <v>2323</v>
      </c>
      <c r="B1631" s="12" t="s">
        <v>1134</v>
      </c>
      <c r="C1631" s="12" t="s">
        <v>1135</v>
      </c>
      <c r="D1631" s="12" t="s">
        <v>269</v>
      </c>
      <c r="E1631" s="12" t="s">
        <v>104</v>
      </c>
      <c r="F1631">
        <v>2</v>
      </c>
      <c r="G1631">
        <v>0</v>
      </c>
      <c r="H1631">
        <v>0</v>
      </c>
      <c r="I1631" s="12" t="s">
        <v>380</v>
      </c>
      <c r="J1631" s="12" t="s">
        <v>381</v>
      </c>
      <c r="K1631" s="12" t="s">
        <v>89</v>
      </c>
      <c r="L1631" s="12" t="s">
        <v>96</v>
      </c>
      <c r="M1631">
        <v>10.210000000000001</v>
      </c>
      <c r="N1631" s="12" t="s">
        <v>159</v>
      </c>
      <c r="O1631" s="12" t="s">
        <v>160</v>
      </c>
      <c r="P1631" s="12" t="s">
        <v>137</v>
      </c>
      <c r="Q1631" s="13">
        <v>45259</v>
      </c>
      <c r="R1631" s="13">
        <v>45286</v>
      </c>
      <c r="S1631">
        <v>2023</v>
      </c>
      <c r="T1631" s="12" t="s">
        <v>2132</v>
      </c>
      <c r="U1631">
        <v>127</v>
      </c>
      <c r="V1631">
        <v>107.5608</v>
      </c>
      <c r="W1631">
        <v>157.02000000000001</v>
      </c>
      <c r="X1631">
        <v>0</v>
      </c>
      <c r="Y1631">
        <v>0</v>
      </c>
      <c r="Z1631">
        <v>13660.22</v>
      </c>
      <c r="AA1631">
        <v>13817.24</v>
      </c>
      <c r="AB1631" s="12" t="s">
        <v>1136</v>
      </c>
      <c r="AC1631">
        <v>107.5608</v>
      </c>
      <c r="AD1631">
        <v>1</v>
      </c>
      <c r="AE1631">
        <v>1</v>
      </c>
      <c r="AF1631">
        <v>0</v>
      </c>
      <c r="AG1631">
        <v>13660.22</v>
      </c>
      <c r="AH1631">
        <v>127</v>
      </c>
      <c r="AI1631">
        <v>126</v>
      </c>
      <c r="AJ1631">
        <v>1</v>
      </c>
      <c r="AK1631">
        <v>1</v>
      </c>
      <c r="AL1631">
        <v>1</v>
      </c>
      <c r="AM1631">
        <v>99.21</v>
      </c>
      <c r="AN1631">
        <v>109.6606</v>
      </c>
      <c r="AO1631">
        <v>107.56</v>
      </c>
      <c r="AP1631" s="13">
        <v>45284</v>
      </c>
      <c r="AQ1631">
        <v>-2</v>
      </c>
      <c r="AR1631">
        <v>1</v>
      </c>
    </row>
    <row r="1632" spans="1:44" x14ac:dyDescent="0.35">
      <c r="A1632" s="12" t="s">
        <v>2324</v>
      </c>
      <c r="B1632" s="12" t="s">
        <v>293</v>
      </c>
      <c r="C1632" s="12" t="s">
        <v>294</v>
      </c>
      <c r="D1632" s="12" t="s">
        <v>114</v>
      </c>
      <c r="E1632" s="12" t="s">
        <v>142</v>
      </c>
      <c r="F1632">
        <v>1</v>
      </c>
      <c r="G1632">
        <v>6</v>
      </c>
      <c r="H1632">
        <v>1</v>
      </c>
      <c r="I1632" s="12" t="s">
        <v>195</v>
      </c>
      <c r="J1632" s="12" t="s">
        <v>196</v>
      </c>
      <c r="K1632" s="12" t="s">
        <v>117</v>
      </c>
      <c r="L1632" s="12" t="s">
        <v>134</v>
      </c>
      <c r="M1632">
        <v>4.7699999999999996</v>
      </c>
      <c r="N1632" s="12" t="s">
        <v>70</v>
      </c>
      <c r="O1632" s="12" t="s">
        <v>71</v>
      </c>
      <c r="P1632" s="12" t="s">
        <v>72</v>
      </c>
      <c r="Q1632" s="13">
        <v>45259</v>
      </c>
      <c r="R1632" s="13">
        <v>45302</v>
      </c>
      <c r="S1632">
        <v>2023</v>
      </c>
      <c r="T1632" s="12" t="s">
        <v>2132</v>
      </c>
      <c r="U1632">
        <v>75</v>
      </c>
      <c r="V1632">
        <v>193.76310000000001</v>
      </c>
      <c r="W1632">
        <v>249.16</v>
      </c>
      <c r="X1632">
        <v>0</v>
      </c>
      <c r="Y1632">
        <v>0</v>
      </c>
      <c r="Z1632">
        <v>14532.23</v>
      </c>
      <c r="AA1632">
        <v>14781.39</v>
      </c>
      <c r="AB1632" s="12" t="s">
        <v>295</v>
      </c>
      <c r="AC1632">
        <v>206.0489</v>
      </c>
      <c r="AD1632">
        <v>1</v>
      </c>
      <c r="AE1632">
        <v>1</v>
      </c>
      <c r="AF1632">
        <v>-921.44</v>
      </c>
      <c r="AG1632">
        <v>15453.67</v>
      </c>
      <c r="AH1632">
        <v>75</v>
      </c>
      <c r="AI1632">
        <v>73</v>
      </c>
      <c r="AJ1632">
        <v>2</v>
      </c>
      <c r="AK1632">
        <v>1</v>
      </c>
      <c r="AL1632">
        <v>1</v>
      </c>
      <c r="AM1632">
        <v>97.33</v>
      </c>
      <c r="AN1632">
        <v>202.48480000000001</v>
      </c>
      <c r="AO1632">
        <v>387.53</v>
      </c>
      <c r="AP1632" s="13">
        <v>45299</v>
      </c>
      <c r="AQ1632">
        <v>-3</v>
      </c>
      <c r="AR1632">
        <v>1</v>
      </c>
    </row>
    <row r="1633" spans="1:44" x14ac:dyDescent="0.35">
      <c r="A1633" s="12" t="s">
        <v>2325</v>
      </c>
      <c r="B1633" s="12" t="s">
        <v>1220</v>
      </c>
      <c r="C1633" s="12" t="s">
        <v>1221</v>
      </c>
      <c r="D1633" s="12" t="s">
        <v>175</v>
      </c>
      <c r="E1633" s="12" t="s">
        <v>104</v>
      </c>
      <c r="F1633">
        <v>3</v>
      </c>
      <c r="G1633">
        <v>1</v>
      </c>
      <c r="H1633">
        <v>0</v>
      </c>
      <c r="I1633" s="12" t="s">
        <v>515</v>
      </c>
      <c r="J1633" s="12" t="s">
        <v>516</v>
      </c>
      <c r="K1633" s="12" t="s">
        <v>68</v>
      </c>
      <c r="L1633" s="12" t="s">
        <v>134</v>
      </c>
      <c r="M1633">
        <v>3.69</v>
      </c>
      <c r="N1633" s="12" t="s">
        <v>145</v>
      </c>
      <c r="O1633" s="12" t="s">
        <v>146</v>
      </c>
      <c r="P1633" s="12" t="s">
        <v>109</v>
      </c>
      <c r="Q1633" s="13">
        <v>45260</v>
      </c>
      <c r="R1633" s="13">
        <v>45276</v>
      </c>
      <c r="S1633">
        <v>2023</v>
      </c>
      <c r="T1633" s="12" t="s">
        <v>2132</v>
      </c>
      <c r="U1633">
        <v>47</v>
      </c>
      <c r="V1633">
        <v>138.98759999999999</v>
      </c>
      <c r="W1633">
        <v>150.78</v>
      </c>
      <c r="X1633">
        <v>0</v>
      </c>
      <c r="Y1633">
        <v>0</v>
      </c>
      <c r="Z1633">
        <v>6532.42</v>
      </c>
      <c r="AA1633">
        <v>6683.2</v>
      </c>
      <c r="AB1633" s="12" t="s">
        <v>1222</v>
      </c>
      <c r="AC1633">
        <v>138.98759999999999</v>
      </c>
      <c r="AD1633">
        <v>1</v>
      </c>
      <c r="AE1633">
        <v>1</v>
      </c>
      <c r="AF1633">
        <v>0</v>
      </c>
      <c r="AG1633">
        <v>6532.42</v>
      </c>
      <c r="AH1633">
        <v>47</v>
      </c>
      <c r="AI1633">
        <v>46</v>
      </c>
      <c r="AJ1633">
        <v>1</v>
      </c>
      <c r="AK1633">
        <v>1</v>
      </c>
      <c r="AL1633">
        <v>1</v>
      </c>
      <c r="AM1633">
        <v>97.87</v>
      </c>
      <c r="AN1633">
        <v>145.2869</v>
      </c>
      <c r="AO1633">
        <v>138.99</v>
      </c>
      <c r="AP1633" s="13">
        <v>45275</v>
      </c>
      <c r="AQ1633">
        <v>-1</v>
      </c>
      <c r="AR1633">
        <v>1</v>
      </c>
    </row>
    <row r="1634" spans="1:44" x14ac:dyDescent="0.35">
      <c r="A1634" s="12" t="s">
        <v>2326</v>
      </c>
      <c r="B1634" s="12" t="s">
        <v>308</v>
      </c>
      <c r="C1634" s="12" t="s">
        <v>309</v>
      </c>
      <c r="D1634" s="12" t="s">
        <v>122</v>
      </c>
      <c r="E1634" s="12" t="s">
        <v>142</v>
      </c>
      <c r="F1634">
        <v>1</v>
      </c>
      <c r="G1634">
        <v>6</v>
      </c>
      <c r="H1634">
        <v>1</v>
      </c>
      <c r="I1634" s="12" t="s">
        <v>310</v>
      </c>
      <c r="J1634" s="12" t="s">
        <v>311</v>
      </c>
      <c r="K1634" s="12" t="s">
        <v>81</v>
      </c>
      <c r="L1634" s="12" t="s">
        <v>69</v>
      </c>
      <c r="M1634">
        <v>28.3</v>
      </c>
      <c r="N1634" s="12" t="s">
        <v>70</v>
      </c>
      <c r="O1634" s="12" t="s">
        <v>71</v>
      </c>
      <c r="P1634" s="12" t="s">
        <v>72</v>
      </c>
      <c r="Q1634" s="13">
        <v>45260</v>
      </c>
      <c r="R1634" s="13">
        <v>45311</v>
      </c>
      <c r="S1634">
        <v>2023</v>
      </c>
      <c r="T1634" s="12" t="s">
        <v>2132</v>
      </c>
      <c r="U1634">
        <v>1891</v>
      </c>
      <c r="V1634">
        <v>59.409700000000001</v>
      </c>
      <c r="W1634">
        <v>2800.44</v>
      </c>
      <c r="X1634">
        <v>0</v>
      </c>
      <c r="Y1634">
        <v>0</v>
      </c>
      <c r="Z1634">
        <v>112343.74</v>
      </c>
      <c r="AA1634">
        <v>115144.18</v>
      </c>
      <c r="AB1634" s="12" t="s">
        <v>312</v>
      </c>
      <c r="AC1634">
        <v>59.409700000000001</v>
      </c>
      <c r="AD1634">
        <v>1</v>
      </c>
      <c r="AE1634">
        <v>1</v>
      </c>
      <c r="AF1634">
        <v>0</v>
      </c>
      <c r="AG1634">
        <v>112343.74</v>
      </c>
      <c r="AH1634">
        <v>1891</v>
      </c>
      <c r="AI1634">
        <v>1877</v>
      </c>
      <c r="AJ1634">
        <v>14</v>
      </c>
      <c r="AK1634">
        <v>1</v>
      </c>
      <c r="AL1634">
        <v>1</v>
      </c>
      <c r="AM1634">
        <v>99.26</v>
      </c>
      <c r="AN1634">
        <v>61.344799999999999</v>
      </c>
      <c r="AO1634">
        <v>831.74</v>
      </c>
      <c r="AP1634" s="13">
        <v>45317</v>
      </c>
      <c r="AQ1634">
        <v>6</v>
      </c>
      <c r="AR1634">
        <v>0</v>
      </c>
    </row>
    <row r="1635" spans="1:44" x14ac:dyDescent="0.35">
      <c r="A1635" s="12" t="s">
        <v>2327</v>
      </c>
      <c r="B1635" s="12" t="s">
        <v>339</v>
      </c>
      <c r="C1635" s="12" t="s">
        <v>340</v>
      </c>
      <c r="D1635" s="12" t="s">
        <v>103</v>
      </c>
      <c r="E1635" s="12" t="s">
        <v>142</v>
      </c>
      <c r="F1635">
        <v>2</v>
      </c>
      <c r="G1635">
        <v>9</v>
      </c>
      <c r="H1635">
        <v>0</v>
      </c>
      <c r="I1635" s="12" t="s">
        <v>341</v>
      </c>
      <c r="J1635" s="12" t="s">
        <v>342</v>
      </c>
      <c r="K1635" s="12" t="s">
        <v>117</v>
      </c>
      <c r="L1635" s="12" t="s">
        <v>82</v>
      </c>
      <c r="M1635">
        <v>18.36</v>
      </c>
      <c r="N1635" s="12" t="s">
        <v>145</v>
      </c>
      <c r="O1635" s="12" t="s">
        <v>146</v>
      </c>
      <c r="P1635" s="12" t="s">
        <v>109</v>
      </c>
      <c r="Q1635" s="13">
        <v>45260</v>
      </c>
      <c r="R1635" s="13">
        <v>45307</v>
      </c>
      <c r="S1635">
        <v>2023</v>
      </c>
      <c r="T1635" s="12" t="s">
        <v>2132</v>
      </c>
      <c r="U1635">
        <v>105</v>
      </c>
      <c r="V1635">
        <v>249.9879</v>
      </c>
      <c r="W1635">
        <v>327.83</v>
      </c>
      <c r="X1635">
        <v>0</v>
      </c>
      <c r="Y1635">
        <v>0</v>
      </c>
      <c r="Z1635">
        <v>26248.73</v>
      </c>
      <c r="AA1635">
        <v>26576.560000000001</v>
      </c>
      <c r="AB1635" s="12" t="s">
        <v>343</v>
      </c>
      <c r="AC1635">
        <v>249.9879</v>
      </c>
      <c r="AD1635">
        <v>1</v>
      </c>
      <c r="AE1635">
        <v>1</v>
      </c>
      <c r="AF1635">
        <v>0</v>
      </c>
      <c r="AG1635">
        <v>26248.73</v>
      </c>
      <c r="AH1635">
        <v>105</v>
      </c>
      <c r="AI1635">
        <v>103</v>
      </c>
      <c r="AJ1635">
        <v>2</v>
      </c>
      <c r="AK1635">
        <v>1</v>
      </c>
      <c r="AL1635">
        <v>1</v>
      </c>
      <c r="AM1635">
        <v>98.1</v>
      </c>
      <c r="AN1635">
        <v>258.02480000000003</v>
      </c>
      <c r="AO1635">
        <v>499.98</v>
      </c>
      <c r="AP1635" s="13">
        <v>45317</v>
      </c>
      <c r="AQ1635">
        <v>10</v>
      </c>
      <c r="AR1635">
        <v>0</v>
      </c>
    </row>
    <row r="1636" spans="1:44" x14ac:dyDescent="0.35">
      <c r="A1636" s="12" t="s">
        <v>2328</v>
      </c>
      <c r="B1636" s="12" t="s">
        <v>728</v>
      </c>
      <c r="C1636" s="12" t="s">
        <v>729</v>
      </c>
      <c r="D1636" s="12" t="s">
        <v>269</v>
      </c>
      <c r="E1636" s="12" t="s">
        <v>65</v>
      </c>
      <c r="F1636">
        <v>2</v>
      </c>
      <c r="G1636">
        <v>3</v>
      </c>
      <c r="H1636">
        <v>0</v>
      </c>
      <c r="I1636" s="12" t="s">
        <v>310</v>
      </c>
      <c r="J1636" s="12" t="s">
        <v>311</v>
      </c>
      <c r="K1636" s="12" t="s">
        <v>81</v>
      </c>
      <c r="L1636" s="12" t="s">
        <v>69</v>
      </c>
      <c r="M1636">
        <v>28.3</v>
      </c>
      <c r="N1636" s="12" t="s">
        <v>159</v>
      </c>
      <c r="O1636" s="12" t="s">
        <v>160</v>
      </c>
      <c r="P1636" s="12" t="s">
        <v>137</v>
      </c>
      <c r="Q1636" s="13">
        <v>45260</v>
      </c>
      <c r="R1636" s="13">
        <v>45291</v>
      </c>
      <c r="S1636">
        <v>2023</v>
      </c>
      <c r="T1636" s="12" t="s">
        <v>2132</v>
      </c>
      <c r="U1636">
        <v>94</v>
      </c>
      <c r="V1636">
        <v>374.99740000000003</v>
      </c>
      <c r="W1636">
        <v>774.82</v>
      </c>
      <c r="X1636">
        <v>0</v>
      </c>
      <c r="Y1636">
        <v>0</v>
      </c>
      <c r="Z1636">
        <v>35249.760000000002</v>
      </c>
      <c r="AA1636">
        <v>36024.58</v>
      </c>
      <c r="AB1636" s="12" t="s">
        <v>730</v>
      </c>
      <c r="AC1636">
        <v>374.99740000000003</v>
      </c>
      <c r="AD1636">
        <v>1</v>
      </c>
      <c r="AE1636">
        <v>1</v>
      </c>
      <c r="AF1636">
        <v>0</v>
      </c>
      <c r="AG1636">
        <v>35249.760000000002</v>
      </c>
      <c r="AH1636">
        <v>94</v>
      </c>
      <c r="AI1636">
        <v>93</v>
      </c>
      <c r="AJ1636">
        <v>1</v>
      </c>
      <c r="AK1636">
        <v>1</v>
      </c>
      <c r="AL1636">
        <v>1</v>
      </c>
      <c r="AM1636">
        <v>98.94</v>
      </c>
      <c r="AN1636">
        <v>387.36099999999999</v>
      </c>
      <c r="AO1636">
        <v>375</v>
      </c>
      <c r="AP1636" s="13">
        <v>45295</v>
      </c>
      <c r="AQ1636">
        <v>4</v>
      </c>
      <c r="AR1636">
        <v>0</v>
      </c>
    </row>
    <row r="1637" spans="1:44" x14ac:dyDescent="0.35">
      <c r="A1637" s="12" t="s">
        <v>2329</v>
      </c>
      <c r="B1637" s="12" t="s">
        <v>827</v>
      </c>
      <c r="C1637" s="12" t="s">
        <v>828</v>
      </c>
      <c r="D1637" s="12" t="s">
        <v>175</v>
      </c>
      <c r="E1637" s="12" t="s">
        <v>104</v>
      </c>
      <c r="F1637">
        <v>2</v>
      </c>
      <c r="G1637">
        <v>0</v>
      </c>
      <c r="H1637">
        <v>0</v>
      </c>
      <c r="I1637" s="12" t="s">
        <v>183</v>
      </c>
      <c r="J1637" s="12" t="s">
        <v>184</v>
      </c>
      <c r="K1637" s="12" t="s">
        <v>133</v>
      </c>
      <c r="L1637" s="12" t="s">
        <v>82</v>
      </c>
      <c r="M1637">
        <v>8.6199999999999992</v>
      </c>
      <c r="N1637" s="12" t="s">
        <v>107</v>
      </c>
      <c r="O1637" s="12" t="s">
        <v>108</v>
      </c>
      <c r="P1637" s="12" t="s">
        <v>109</v>
      </c>
      <c r="Q1637" s="13">
        <v>45260</v>
      </c>
      <c r="R1637" s="13">
        <v>45285</v>
      </c>
      <c r="S1637">
        <v>2023</v>
      </c>
      <c r="T1637" s="12" t="s">
        <v>2132</v>
      </c>
      <c r="U1637">
        <v>112</v>
      </c>
      <c r="V1637">
        <v>107.794</v>
      </c>
      <c r="W1637">
        <v>189.77</v>
      </c>
      <c r="X1637">
        <v>0</v>
      </c>
      <c r="Y1637">
        <v>0</v>
      </c>
      <c r="Z1637">
        <v>12072.93</v>
      </c>
      <c r="AA1637">
        <v>12262.7</v>
      </c>
      <c r="AB1637" s="12" t="s">
        <v>829</v>
      </c>
      <c r="AC1637">
        <v>107.794</v>
      </c>
      <c r="AD1637">
        <v>1</v>
      </c>
      <c r="AE1637">
        <v>1</v>
      </c>
      <c r="AF1637">
        <v>0</v>
      </c>
      <c r="AG1637">
        <v>12072.93</v>
      </c>
      <c r="AH1637">
        <v>112</v>
      </c>
      <c r="AI1637">
        <v>111</v>
      </c>
      <c r="AJ1637">
        <v>1</v>
      </c>
      <c r="AK1637">
        <v>1</v>
      </c>
      <c r="AL1637">
        <v>1</v>
      </c>
      <c r="AM1637">
        <v>99.11</v>
      </c>
      <c r="AN1637">
        <v>110.4748</v>
      </c>
      <c r="AO1637">
        <v>107.79</v>
      </c>
      <c r="AP1637" s="13">
        <v>45285</v>
      </c>
      <c r="AQ1637">
        <v>0</v>
      </c>
      <c r="AR1637">
        <v>1</v>
      </c>
    </row>
    <row r="1638" spans="1:44" x14ac:dyDescent="0.35">
      <c r="A1638" s="12" t="s">
        <v>2330</v>
      </c>
      <c r="B1638" s="12" t="s">
        <v>454</v>
      </c>
      <c r="C1638" s="12" t="s">
        <v>455</v>
      </c>
      <c r="D1638" s="12" t="s">
        <v>122</v>
      </c>
      <c r="E1638" s="12" t="s">
        <v>104</v>
      </c>
      <c r="F1638">
        <v>3</v>
      </c>
      <c r="G1638">
        <v>1</v>
      </c>
      <c r="H1638">
        <v>0</v>
      </c>
      <c r="I1638" s="12" t="s">
        <v>87</v>
      </c>
      <c r="J1638" s="12" t="s">
        <v>88</v>
      </c>
      <c r="K1638" s="12" t="s">
        <v>89</v>
      </c>
      <c r="L1638" s="12" t="s">
        <v>69</v>
      </c>
      <c r="M1638">
        <v>14.93</v>
      </c>
      <c r="N1638" s="12" t="s">
        <v>70</v>
      </c>
      <c r="O1638" s="12" t="s">
        <v>71</v>
      </c>
      <c r="P1638" s="12" t="s">
        <v>72</v>
      </c>
      <c r="Q1638" s="13">
        <v>45260</v>
      </c>
      <c r="R1638" s="13">
        <v>45276</v>
      </c>
      <c r="S1638">
        <v>2023</v>
      </c>
      <c r="T1638" s="12" t="s">
        <v>2132</v>
      </c>
      <c r="U1638">
        <v>698</v>
      </c>
      <c r="V1638">
        <v>20.5017</v>
      </c>
      <c r="W1638">
        <v>202.18</v>
      </c>
      <c r="X1638">
        <v>0</v>
      </c>
      <c r="Y1638">
        <v>0</v>
      </c>
      <c r="Z1638">
        <v>14310.19</v>
      </c>
      <c r="AA1638">
        <v>14512.37</v>
      </c>
      <c r="AB1638" s="12" t="s">
        <v>456</v>
      </c>
      <c r="AC1638">
        <v>21.796199999999999</v>
      </c>
      <c r="AD1638">
        <v>1</v>
      </c>
      <c r="AE1638">
        <v>1</v>
      </c>
      <c r="AF1638">
        <v>-903.56</v>
      </c>
      <c r="AG1638">
        <v>15213.75</v>
      </c>
      <c r="AH1638">
        <v>698</v>
      </c>
      <c r="AI1638">
        <v>692</v>
      </c>
      <c r="AJ1638">
        <v>6</v>
      </c>
      <c r="AK1638">
        <v>1</v>
      </c>
      <c r="AL1638">
        <v>1</v>
      </c>
      <c r="AM1638">
        <v>99.14</v>
      </c>
      <c r="AN1638">
        <v>20.971599999999999</v>
      </c>
      <c r="AO1638">
        <v>123.01</v>
      </c>
      <c r="AP1638" s="13">
        <v>45273</v>
      </c>
      <c r="AQ1638">
        <v>-3</v>
      </c>
      <c r="AR1638">
        <v>1</v>
      </c>
    </row>
    <row r="1639" spans="1:44" x14ac:dyDescent="0.35">
      <c r="A1639" s="12" t="s">
        <v>2331</v>
      </c>
      <c r="B1639" s="12" t="s">
        <v>661</v>
      </c>
      <c r="C1639" s="12" t="s">
        <v>662</v>
      </c>
      <c r="D1639" s="12" t="s">
        <v>175</v>
      </c>
      <c r="E1639" s="12" t="s">
        <v>104</v>
      </c>
      <c r="F1639">
        <v>1</v>
      </c>
      <c r="G1639">
        <v>0</v>
      </c>
      <c r="H1639">
        <v>1</v>
      </c>
      <c r="I1639" s="12" t="s">
        <v>183</v>
      </c>
      <c r="J1639" s="12" t="s">
        <v>184</v>
      </c>
      <c r="K1639" s="12" t="s">
        <v>133</v>
      </c>
      <c r="L1639" s="12" t="s">
        <v>82</v>
      </c>
      <c r="M1639">
        <v>8.6199999999999992</v>
      </c>
      <c r="N1639" s="12" t="s">
        <v>145</v>
      </c>
      <c r="O1639" s="12" t="s">
        <v>146</v>
      </c>
      <c r="P1639" s="12" t="s">
        <v>109</v>
      </c>
      <c r="Q1639" s="13">
        <v>45260</v>
      </c>
      <c r="R1639" s="13">
        <v>45277</v>
      </c>
      <c r="S1639">
        <v>2023</v>
      </c>
      <c r="T1639" s="12" t="s">
        <v>2132</v>
      </c>
      <c r="U1639">
        <v>50</v>
      </c>
      <c r="V1639">
        <v>194.86689999999999</v>
      </c>
      <c r="W1639">
        <v>79.010000000000005</v>
      </c>
      <c r="X1639">
        <v>317.86</v>
      </c>
      <c r="Y1639">
        <v>1</v>
      </c>
      <c r="Z1639">
        <v>9743.35</v>
      </c>
      <c r="AA1639">
        <v>10140.219999999999</v>
      </c>
      <c r="AB1639" s="12" t="s">
        <v>663</v>
      </c>
      <c r="AC1639">
        <v>201.68719999999999</v>
      </c>
      <c r="AD1639">
        <v>2</v>
      </c>
      <c r="AE1639">
        <v>1</v>
      </c>
      <c r="AF1639">
        <v>-341.02</v>
      </c>
      <c r="AG1639">
        <v>10084.36</v>
      </c>
      <c r="AH1639">
        <v>50</v>
      </c>
      <c r="AI1639">
        <v>50</v>
      </c>
      <c r="AJ1639">
        <v>0</v>
      </c>
      <c r="AK1639">
        <v>1</v>
      </c>
      <c r="AL1639">
        <v>1</v>
      </c>
      <c r="AM1639">
        <v>100</v>
      </c>
      <c r="AN1639">
        <v>202.80430000000001</v>
      </c>
      <c r="AO1639">
        <v>0</v>
      </c>
      <c r="AP1639" s="13">
        <v>45274</v>
      </c>
      <c r="AQ1639">
        <v>-3</v>
      </c>
      <c r="AR1639">
        <v>1</v>
      </c>
    </row>
    <row r="1640" spans="1:44" x14ac:dyDescent="0.35">
      <c r="A1640" s="12" t="s">
        <v>2332</v>
      </c>
      <c r="B1640" s="12" t="s">
        <v>447</v>
      </c>
      <c r="C1640" s="12" t="s">
        <v>448</v>
      </c>
      <c r="D1640" s="12" t="s">
        <v>269</v>
      </c>
      <c r="E1640" s="12" t="s">
        <v>65</v>
      </c>
      <c r="F1640">
        <v>2</v>
      </c>
      <c r="G1640">
        <v>2</v>
      </c>
      <c r="H1640">
        <v>0</v>
      </c>
      <c r="I1640" s="12" t="s">
        <v>176</v>
      </c>
      <c r="J1640" s="12" t="s">
        <v>177</v>
      </c>
      <c r="K1640" s="12" t="s">
        <v>125</v>
      </c>
      <c r="L1640" s="12" t="s">
        <v>134</v>
      </c>
      <c r="M1640">
        <v>1.75</v>
      </c>
      <c r="N1640" s="12" t="s">
        <v>159</v>
      </c>
      <c r="O1640" s="12" t="s">
        <v>160</v>
      </c>
      <c r="P1640" s="12" t="s">
        <v>137</v>
      </c>
      <c r="Q1640" s="13">
        <v>45260</v>
      </c>
      <c r="R1640" s="13">
        <v>45295</v>
      </c>
      <c r="S1640">
        <v>2023</v>
      </c>
      <c r="T1640" s="12" t="s">
        <v>2132</v>
      </c>
      <c r="U1640">
        <v>119</v>
      </c>
      <c r="V1640">
        <v>388.54930000000002</v>
      </c>
      <c r="W1640">
        <v>281.75</v>
      </c>
      <c r="X1640">
        <v>0</v>
      </c>
      <c r="Y1640">
        <v>0</v>
      </c>
      <c r="Z1640">
        <v>46237.37</v>
      </c>
      <c r="AA1640">
        <v>46519.12</v>
      </c>
      <c r="AB1640" s="12" t="s">
        <v>2333</v>
      </c>
      <c r="AC1640">
        <v>388.54930000000002</v>
      </c>
      <c r="AD1640">
        <v>1</v>
      </c>
      <c r="AE1640">
        <v>1</v>
      </c>
      <c r="AF1640">
        <v>0</v>
      </c>
      <c r="AG1640">
        <v>46237.37</v>
      </c>
      <c r="AH1640">
        <v>119</v>
      </c>
      <c r="AI1640">
        <v>119</v>
      </c>
      <c r="AJ1640">
        <v>0</v>
      </c>
      <c r="AK1640">
        <v>1</v>
      </c>
      <c r="AL1640">
        <v>1</v>
      </c>
      <c r="AM1640">
        <v>100</v>
      </c>
      <c r="AN1640">
        <v>390.9169</v>
      </c>
      <c r="AO1640">
        <v>0</v>
      </c>
      <c r="AP1640" s="13">
        <v>45294</v>
      </c>
      <c r="AQ1640">
        <v>-1</v>
      </c>
      <c r="AR1640">
        <v>1</v>
      </c>
    </row>
    <row r="1641" spans="1:44" x14ac:dyDescent="0.35">
      <c r="A1641" s="12" t="s">
        <v>2334</v>
      </c>
      <c r="B1641" s="12" t="s">
        <v>238</v>
      </c>
      <c r="C1641" s="12" t="s">
        <v>239</v>
      </c>
      <c r="D1641" s="12" t="s">
        <v>122</v>
      </c>
      <c r="E1641" s="12" t="s">
        <v>65</v>
      </c>
      <c r="F1641">
        <v>3</v>
      </c>
      <c r="G1641">
        <v>4</v>
      </c>
      <c r="H1641">
        <v>0</v>
      </c>
      <c r="I1641" s="12" t="s">
        <v>79</v>
      </c>
      <c r="J1641" s="12" t="s">
        <v>80</v>
      </c>
      <c r="K1641" s="12" t="s">
        <v>81</v>
      </c>
      <c r="L1641" s="12" t="s">
        <v>82</v>
      </c>
      <c r="M1641">
        <v>12.07</v>
      </c>
      <c r="N1641" s="12" t="s">
        <v>70</v>
      </c>
      <c r="O1641" s="12" t="s">
        <v>71</v>
      </c>
      <c r="P1641" s="12" t="s">
        <v>72</v>
      </c>
      <c r="Q1641" s="13">
        <v>45260</v>
      </c>
      <c r="R1641" s="13">
        <v>45286</v>
      </c>
      <c r="S1641">
        <v>2023</v>
      </c>
      <c r="T1641" s="12" t="s">
        <v>2132</v>
      </c>
      <c r="U1641">
        <v>793</v>
      </c>
      <c r="V1641">
        <v>37.143599999999999</v>
      </c>
      <c r="W1641">
        <v>738.2</v>
      </c>
      <c r="X1641">
        <v>0</v>
      </c>
      <c r="Y1641">
        <v>0</v>
      </c>
      <c r="Z1641">
        <v>29454.87</v>
      </c>
      <c r="AA1641">
        <v>30193.07</v>
      </c>
      <c r="AB1641" s="12" t="s">
        <v>297</v>
      </c>
      <c r="AC1641">
        <v>37.143599999999999</v>
      </c>
      <c r="AD1641">
        <v>1</v>
      </c>
      <c r="AE1641">
        <v>1</v>
      </c>
      <c r="AF1641">
        <v>0</v>
      </c>
      <c r="AG1641">
        <v>29454.87</v>
      </c>
      <c r="AH1641">
        <v>793</v>
      </c>
      <c r="AI1641">
        <v>787</v>
      </c>
      <c r="AJ1641">
        <v>6</v>
      </c>
      <c r="AK1641">
        <v>1</v>
      </c>
      <c r="AL1641">
        <v>1</v>
      </c>
      <c r="AM1641">
        <v>99.24</v>
      </c>
      <c r="AN1641">
        <v>38.364800000000002</v>
      </c>
      <c r="AO1641">
        <v>222.86</v>
      </c>
      <c r="AP1641" s="13">
        <v>45285</v>
      </c>
      <c r="AQ1641">
        <v>-1</v>
      </c>
      <c r="AR1641">
        <v>1</v>
      </c>
    </row>
    <row r="1642" spans="1:44" x14ac:dyDescent="0.35">
      <c r="A1642" s="12" t="s">
        <v>2335</v>
      </c>
      <c r="B1642" s="12" t="s">
        <v>537</v>
      </c>
      <c r="C1642" s="12" t="s">
        <v>538</v>
      </c>
      <c r="D1642" s="12" t="s">
        <v>103</v>
      </c>
      <c r="E1642" s="12" t="s">
        <v>104</v>
      </c>
      <c r="F1642">
        <v>3</v>
      </c>
      <c r="G1642">
        <v>0</v>
      </c>
      <c r="H1642">
        <v>0</v>
      </c>
      <c r="I1642" s="12" t="s">
        <v>105</v>
      </c>
      <c r="J1642" s="12" t="s">
        <v>106</v>
      </c>
      <c r="K1642" s="12" t="s">
        <v>81</v>
      </c>
      <c r="L1642" s="12" t="s">
        <v>96</v>
      </c>
      <c r="M1642">
        <v>5.01</v>
      </c>
      <c r="N1642" s="12" t="s">
        <v>145</v>
      </c>
      <c r="O1642" s="12" t="s">
        <v>146</v>
      </c>
      <c r="P1642" s="12" t="s">
        <v>109</v>
      </c>
      <c r="Q1642" s="13">
        <v>45261</v>
      </c>
      <c r="R1642" s="13">
        <v>45277</v>
      </c>
      <c r="S1642">
        <v>2023</v>
      </c>
      <c r="T1642" s="12" t="s">
        <v>2336</v>
      </c>
      <c r="U1642">
        <v>48</v>
      </c>
      <c r="V1642">
        <v>272.9855</v>
      </c>
      <c r="W1642">
        <v>160.27000000000001</v>
      </c>
      <c r="X1642">
        <v>0</v>
      </c>
      <c r="Y1642">
        <v>0</v>
      </c>
      <c r="Z1642">
        <v>13103.3</v>
      </c>
      <c r="AA1642">
        <v>13263.57</v>
      </c>
      <c r="AB1642" s="12" t="s">
        <v>201</v>
      </c>
      <c r="AD1642">
        <v>0</v>
      </c>
      <c r="AE1642">
        <v>0</v>
      </c>
      <c r="AH1642">
        <v>48</v>
      </c>
      <c r="AI1642">
        <v>48</v>
      </c>
      <c r="AJ1642">
        <v>0</v>
      </c>
      <c r="AK1642">
        <v>1</v>
      </c>
      <c r="AL1642">
        <v>1</v>
      </c>
      <c r="AM1642">
        <v>100</v>
      </c>
      <c r="AN1642">
        <v>276.3245</v>
      </c>
      <c r="AO1642">
        <v>0</v>
      </c>
      <c r="AP1642" s="13">
        <v>45277</v>
      </c>
      <c r="AQ1642">
        <v>0</v>
      </c>
      <c r="AR1642">
        <v>1</v>
      </c>
    </row>
    <row r="1643" spans="1:44" x14ac:dyDescent="0.35">
      <c r="A1643" s="12" t="s">
        <v>2337</v>
      </c>
      <c r="B1643" s="12" t="s">
        <v>327</v>
      </c>
      <c r="C1643" s="12" t="s">
        <v>328</v>
      </c>
      <c r="D1643" s="12" t="s">
        <v>130</v>
      </c>
      <c r="E1643" s="12" t="s">
        <v>104</v>
      </c>
      <c r="F1643">
        <v>2</v>
      </c>
      <c r="G1643">
        <v>0</v>
      </c>
      <c r="H1643">
        <v>0</v>
      </c>
      <c r="I1643" s="12" t="s">
        <v>94</v>
      </c>
      <c r="J1643" s="12" t="s">
        <v>95</v>
      </c>
      <c r="K1643" s="12" t="s">
        <v>81</v>
      </c>
      <c r="L1643" s="12" t="s">
        <v>96</v>
      </c>
      <c r="M1643">
        <v>4.8099999999999996</v>
      </c>
      <c r="N1643" s="12" t="s">
        <v>159</v>
      </c>
      <c r="O1643" s="12" t="s">
        <v>160</v>
      </c>
      <c r="P1643" s="12" t="s">
        <v>137</v>
      </c>
      <c r="Q1643" s="13">
        <v>45261</v>
      </c>
      <c r="R1643" s="13">
        <v>45280</v>
      </c>
      <c r="S1643">
        <v>2023</v>
      </c>
      <c r="T1643" s="12" t="s">
        <v>2336</v>
      </c>
      <c r="U1643">
        <v>71</v>
      </c>
      <c r="V1643">
        <v>762.93029999999999</v>
      </c>
      <c r="W1643">
        <v>1152.6300000000001</v>
      </c>
      <c r="X1643">
        <v>0</v>
      </c>
      <c r="Y1643">
        <v>0</v>
      </c>
      <c r="Z1643">
        <v>54168.05</v>
      </c>
      <c r="AA1643">
        <v>55320.68</v>
      </c>
      <c r="AB1643" s="12" t="s">
        <v>329</v>
      </c>
      <c r="AC1643">
        <v>762.93029999999999</v>
      </c>
      <c r="AD1643">
        <v>1</v>
      </c>
      <c r="AE1643">
        <v>1</v>
      </c>
      <c r="AF1643">
        <v>0</v>
      </c>
      <c r="AG1643">
        <v>54168.05</v>
      </c>
      <c r="AH1643">
        <v>71</v>
      </c>
      <c r="AI1643">
        <v>70</v>
      </c>
      <c r="AJ1643">
        <v>1</v>
      </c>
      <c r="AK1643">
        <v>1</v>
      </c>
      <c r="AL1643">
        <v>1</v>
      </c>
      <c r="AM1643">
        <v>98.59</v>
      </c>
      <c r="AN1643">
        <v>790.29539999999997</v>
      </c>
      <c r="AO1643">
        <v>762.93</v>
      </c>
      <c r="AP1643" s="13">
        <v>45277</v>
      </c>
      <c r="AQ1643">
        <v>-3</v>
      </c>
      <c r="AR1643">
        <v>1</v>
      </c>
    </row>
    <row r="1644" spans="1:44" x14ac:dyDescent="0.35">
      <c r="A1644" s="12" t="s">
        <v>2338</v>
      </c>
      <c r="B1644" s="12" t="s">
        <v>241</v>
      </c>
      <c r="C1644" s="12" t="s">
        <v>242</v>
      </c>
      <c r="D1644" s="12" t="s">
        <v>103</v>
      </c>
      <c r="E1644" s="12" t="s">
        <v>142</v>
      </c>
      <c r="F1644">
        <v>3</v>
      </c>
      <c r="G1644">
        <v>11</v>
      </c>
      <c r="H1644">
        <v>0</v>
      </c>
      <c r="I1644" s="12" t="s">
        <v>243</v>
      </c>
      <c r="J1644" s="12" t="s">
        <v>244</v>
      </c>
      <c r="K1644" s="12" t="s">
        <v>81</v>
      </c>
      <c r="L1644" s="12" t="s">
        <v>82</v>
      </c>
      <c r="M1644">
        <v>9.2200000000000006</v>
      </c>
      <c r="N1644" s="12" t="s">
        <v>107</v>
      </c>
      <c r="O1644" s="12" t="s">
        <v>108</v>
      </c>
      <c r="P1644" s="12" t="s">
        <v>109</v>
      </c>
      <c r="Q1644" s="13">
        <v>45261</v>
      </c>
      <c r="R1644" s="13">
        <v>45310</v>
      </c>
      <c r="S1644">
        <v>2023</v>
      </c>
      <c r="T1644" s="12" t="s">
        <v>2336</v>
      </c>
      <c r="U1644">
        <v>122</v>
      </c>
      <c r="V1644">
        <v>164.8845</v>
      </c>
      <c r="W1644">
        <v>386.25</v>
      </c>
      <c r="X1644">
        <v>0</v>
      </c>
      <c r="Y1644">
        <v>0</v>
      </c>
      <c r="Z1644">
        <v>20115.91</v>
      </c>
      <c r="AA1644">
        <v>20502.16</v>
      </c>
      <c r="AB1644" s="12" t="s">
        <v>245</v>
      </c>
      <c r="AC1644">
        <v>164.8845</v>
      </c>
      <c r="AD1644">
        <v>1</v>
      </c>
      <c r="AE1644">
        <v>1</v>
      </c>
      <c r="AF1644">
        <v>0</v>
      </c>
      <c r="AG1644">
        <v>20115.91</v>
      </c>
      <c r="AH1644">
        <v>122</v>
      </c>
      <c r="AI1644">
        <v>121</v>
      </c>
      <c r="AJ1644">
        <v>1</v>
      </c>
      <c r="AK1644">
        <v>1</v>
      </c>
      <c r="AL1644">
        <v>1</v>
      </c>
      <c r="AM1644">
        <v>99.18</v>
      </c>
      <c r="AN1644">
        <v>169.4393</v>
      </c>
      <c r="AO1644">
        <v>164.88</v>
      </c>
      <c r="AP1644" s="13">
        <v>45310</v>
      </c>
      <c r="AQ1644">
        <v>0</v>
      </c>
      <c r="AR1644">
        <v>1</v>
      </c>
    </row>
    <row r="1645" spans="1:44" x14ac:dyDescent="0.35">
      <c r="A1645" s="12" t="s">
        <v>2339</v>
      </c>
      <c r="B1645" s="12" t="s">
        <v>1666</v>
      </c>
      <c r="C1645" s="12" t="s">
        <v>1667</v>
      </c>
      <c r="D1645" s="12" t="s">
        <v>78</v>
      </c>
      <c r="E1645" s="12" t="s">
        <v>65</v>
      </c>
      <c r="F1645">
        <v>2</v>
      </c>
      <c r="G1645">
        <v>3</v>
      </c>
      <c r="H1645">
        <v>0</v>
      </c>
      <c r="I1645" s="12" t="s">
        <v>176</v>
      </c>
      <c r="J1645" s="12" t="s">
        <v>177</v>
      </c>
      <c r="K1645" s="12" t="s">
        <v>125</v>
      </c>
      <c r="L1645" s="12" t="s">
        <v>134</v>
      </c>
      <c r="M1645">
        <v>1.75</v>
      </c>
      <c r="N1645" s="12" t="s">
        <v>97</v>
      </c>
      <c r="O1645" s="12" t="s">
        <v>98</v>
      </c>
      <c r="P1645" s="12" t="s">
        <v>72</v>
      </c>
      <c r="Q1645" s="13">
        <v>45261</v>
      </c>
      <c r="R1645" s="13">
        <v>45282</v>
      </c>
      <c r="S1645">
        <v>2023</v>
      </c>
      <c r="T1645" s="12" t="s">
        <v>2336</v>
      </c>
      <c r="U1645">
        <v>45</v>
      </c>
      <c r="V1645">
        <v>75.122299999999996</v>
      </c>
      <c r="W1645">
        <v>44.75</v>
      </c>
      <c r="X1645">
        <v>0</v>
      </c>
      <c r="Y1645">
        <v>0</v>
      </c>
      <c r="Z1645">
        <v>3380.5</v>
      </c>
      <c r="AA1645">
        <v>3425.25</v>
      </c>
      <c r="AB1645" s="12" t="s">
        <v>2340</v>
      </c>
      <c r="AC1645">
        <v>75.122299999999996</v>
      </c>
      <c r="AD1645">
        <v>1</v>
      </c>
      <c r="AE1645">
        <v>1</v>
      </c>
      <c r="AF1645">
        <v>0</v>
      </c>
      <c r="AG1645">
        <v>3380.5</v>
      </c>
      <c r="AH1645">
        <v>45</v>
      </c>
      <c r="AI1645">
        <v>44</v>
      </c>
      <c r="AJ1645">
        <v>1</v>
      </c>
      <c r="AK1645">
        <v>1</v>
      </c>
      <c r="AL1645">
        <v>1</v>
      </c>
      <c r="AM1645">
        <v>97.78</v>
      </c>
      <c r="AN1645">
        <v>77.846699999999998</v>
      </c>
      <c r="AO1645">
        <v>75.12</v>
      </c>
      <c r="AP1645" s="13">
        <v>45280</v>
      </c>
      <c r="AQ1645">
        <v>-2</v>
      </c>
      <c r="AR1645">
        <v>1</v>
      </c>
    </row>
    <row r="1646" spans="1:44" x14ac:dyDescent="0.35">
      <c r="A1646" s="12" t="s">
        <v>2341</v>
      </c>
      <c r="B1646" s="12" t="s">
        <v>490</v>
      </c>
      <c r="C1646" s="12" t="s">
        <v>491</v>
      </c>
      <c r="D1646" s="12" t="s">
        <v>130</v>
      </c>
      <c r="E1646" s="12" t="s">
        <v>104</v>
      </c>
      <c r="F1646">
        <v>3</v>
      </c>
      <c r="G1646">
        <v>1</v>
      </c>
      <c r="H1646">
        <v>0</v>
      </c>
      <c r="I1646" s="12" t="s">
        <v>123</v>
      </c>
      <c r="J1646" s="12" t="s">
        <v>124</v>
      </c>
      <c r="K1646" s="12" t="s">
        <v>125</v>
      </c>
      <c r="L1646" s="12" t="s">
        <v>82</v>
      </c>
      <c r="M1646">
        <v>6.75</v>
      </c>
      <c r="N1646" s="12" t="s">
        <v>159</v>
      </c>
      <c r="O1646" s="12" t="s">
        <v>160</v>
      </c>
      <c r="P1646" s="12" t="s">
        <v>137</v>
      </c>
      <c r="Q1646" s="13">
        <v>45261</v>
      </c>
      <c r="R1646" s="13">
        <v>45288</v>
      </c>
      <c r="S1646">
        <v>2023</v>
      </c>
      <c r="T1646" s="12" t="s">
        <v>2336</v>
      </c>
      <c r="U1646">
        <v>133</v>
      </c>
      <c r="V1646">
        <v>297.19900000000001</v>
      </c>
      <c r="W1646">
        <v>326.12</v>
      </c>
      <c r="X1646">
        <v>0</v>
      </c>
      <c r="Y1646">
        <v>0</v>
      </c>
      <c r="Z1646">
        <v>39527.47</v>
      </c>
      <c r="AA1646">
        <v>39853.589999999997</v>
      </c>
      <c r="AB1646" s="12" t="s">
        <v>1289</v>
      </c>
      <c r="AC1646">
        <v>297.19900000000001</v>
      </c>
      <c r="AD1646">
        <v>1</v>
      </c>
      <c r="AE1646">
        <v>1</v>
      </c>
      <c r="AF1646">
        <v>0</v>
      </c>
      <c r="AG1646">
        <v>39527.47</v>
      </c>
      <c r="AH1646">
        <v>133</v>
      </c>
      <c r="AI1646">
        <v>132</v>
      </c>
      <c r="AJ1646">
        <v>1</v>
      </c>
      <c r="AK1646">
        <v>1</v>
      </c>
      <c r="AL1646">
        <v>1</v>
      </c>
      <c r="AM1646">
        <v>99.25</v>
      </c>
      <c r="AN1646">
        <v>301.92110000000002</v>
      </c>
      <c r="AO1646">
        <v>297.2</v>
      </c>
      <c r="AP1646" s="13">
        <v>45294</v>
      </c>
      <c r="AQ1646">
        <v>6</v>
      </c>
      <c r="AR1646">
        <v>0</v>
      </c>
    </row>
    <row r="1647" spans="1:44" x14ac:dyDescent="0.35">
      <c r="A1647" s="12" t="s">
        <v>2342</v>
      </c>
      <c r="B1647" s="12" t="s">
        <v>509</v>
      </c>
      <c r="C1647" s="12" t="s">
        <v>510</v>
      </c>
      <c r="D1647" s="12" t="s">
        <v>78</v>
      </c>
      <c r="E1647" s="12" t="s">
        <v>142</v>
      </c>
      <c r="F1647">
        <v>3</v>
      </c>
      <c r="G1647">
        <v>11</v>
      </c>
      <c r="H1647">
        <v>0</v>
      </c>
      <c r="I1647" s="12" t="s">
        <v>176</v>
      </c>
      <c r="J1647" s="12" t="s">
        <v>177</v>
      </c>
      <c r="K1647" s="12" t="s">
        <v>125</v>
      </c>
      <c r="L1647" s="12" t="s">
        <v>134</v>
      </c>
      <c r="M1647">
        <v>1.75</v>
      </c>
      <c r="N1647" s="12" t="s">
        <v>97</v>
      </c>
      <c r="O1647" s="12" t="s">
        <v>98</v>
      </c>
      <c r="P1647" s="12" t="s">
        <v>72</v>
      </c>
      <c r="Q1647" s="13">
        <v>45261</v>
      </c>
      <c r="R1647" s="13">
        <v>45307</v>
      </c>
      <c r="S1647">
        <v>2023</v>
      </c>
      <c r="T1647" s="12" t="s">
        <v>2336</v>
      </c>
      <c r="U1647">
        <v>209</v>
      </c>
      <c r="V1647">
        <v>150.6925</v>
      </c>
      <c r="W1647">
        <v>344.5</v>
      </c>
      <c r="X1647">
        <v>0</v>
      </c>
      <c r="Y1647">
        <v>0</v>
      </c>
      <c r="Z1647">
        <v>31494.73</v>
      </c>
      <c r="AA1647">
        <v>31839.23</v>
      </c>
      <c r="AB1647" s="12" t="s">
        <v>511</v>
      </c>
      <c r="AC1647">
        <v>144.51259999999999</v>
      </c>
      <c r="AD1647">
        <v>1</v>
      </c>
      <c r="AE1647">
        <v>1</v>
      </c>
      <c r="AF1647">
        <v>1291.5999999999999</v>
      </c>
      <c r="AG1647">
        <v>30203.13</v>
      </c>
      <c r="AH1647">
        <v>209</v>
      </c>
      <c r="AI1647">
        <v>204</v>
      </c>
      <c r="AJ1647">
        <v>5</v>
      </c>
      <c r="AK1647">
        <v>1</v>
      </c>
      <c r="AL1647">
        <v>1</v>
      </c>
      <c r="AM1647">
        <v>97.61</v>
      </c>
      <c r="AN1647">
        <v>156.07470000000001</v>
      </c>
      <c r="AO1647">
        <v>753.46</v>
      </c>
      <c r="AP1647" s="13">
        <v>45304</v>
      </c>
      <c r="AQ1647">
        <v>-3</v>
      </c>
      <c r="AR1647">
        <v>1</v>
      </c>
    </row>
    <row r="1648" spans="1:44" x14ac:dyDescent="0.35">
      <c r="A1648" s="12" t="s">
        <v>2343</v>
      </c>
      <c r="B1648" s="12" t="s">
        <v>823</v>
      </c>
      <c r="C1648" s="12" t="s">
        <v>824</v>
      </c>
      <c r="D1648" s="12" t="s">
        <v>114</v>
      </c>
      <c r="E1648" s="12" t="s">
        <v>142</v>
      </c>
      <c r="F1648">
        <v>1</v>
      </c>
      <c r="G1648">
        <v>8</v>
      </c>
      <c r="H1648">
        <v>1</v>
      </c>
      <c r="I1648" s="12" t="s">
        <v>515</v>
      </c>
      <c r="J1648" s="12" t="s">
        <v>516</v>
      </c>
      <c r="K1648" s="12" t="s">
        <v>68</v>
      </c>
      <c r="L1648" s="12" t="s">
        <v>134</v>
      </c>
      <c r="M1648">
        <v>3.69</v>
      </c>
      <c r="N1648" s="12" t="s">
        <v>97</v>
      </c>
      <c r="O1648" s="12" t="s">
        <v>98</v>
      </c>
      <c r="P1648" s="12" t="s">
        <v>72</v>
      </c>
      <c r="Q1648" s="13">
        <v>45264</v>
      </c>
      <c r="R1648" s="13">
        <v>45312</v>
      </c>
      <c r="S1648">
        <v>2023</v>
      </c>
      <c r="T1648" s="12" t="s">
        <v>2336</v>
      </c>
      <c r="U1648">
        <v>118</v>
      </c>
      <c r="V1648">
        <v>361.73399999999998</v>
      </c>
      <c r="W1648">
        <v>896.88</v>
      </c>
      <c r="X1648">
        <v>0</v>
      </c>
      <c r="Y1648">
        <v>0</v>
      </c>
      <c r="Z1648">
        <v>42684.61</v>
      </c>
      <c r="AA1648">
        <v>43581.49</v>
      </c>
      <c r="AB1648" s="12" t="s">
        <v>825</v>
      </c>
      <c r="AC1648">
        <v>361.73399999999998</v>
      </c>
      <c r="AD1648">
        <v>1</v>
      </c>
      <c r="AE1648">
        <v>1</v>
      </c>
      <c r="AF1648">
        <v>0</v>
      </c>
      <c r="AG1648">
        <v>42684.61</v>
      </c>
      <c r="AH1648">
        <v>118</v>
      </c>
      <c r="AI1648">
        <v>117</v>
      </c>
      <c r="AJ1648">
        <v>1</v>
      </c>
      <c r="AK1648">
        <v>1</v>
      </c>
      <c r="AL1648">
        <v>1</v>
      </c>
      <c r="AM1648">
        <v>99.15</v>
      </c>
      <c r="AN1648">
        <v>372.4914</v>
      </c>
      <c r="AO1648">
        <v>361.73</v>
      </c>
      <c r="AP1648" s="13">
        <v>45310</v>
      </c>
      <c r="AQ1648">
        <v>-2</v>
      </c>
      <c r="AR1648">
        <v>1</v>
      </c>
    </row>
    <row r="1649" spans="1:44" x14ac:dyDescent="0.35">
      <c r="A1649" s="12" t="s">
        <v>2344</v>
      </c>
      <c r="B1649" s="12" t="s">
        <v>957</v>
      </c>
      <c r="C1649" s="12" t="s">
        <v>958</v>
      </c>
      <c r="D1649" s="12" t="s">
        <v>103</v>
      </c>
      <c r="E1649" s="12" t="s">
        <v>142</v>
      </c>
      <c r="F1649">
        <v>1</v>
      </c>
      <c r="G1649">
        <v>7</v>
      </c>
      <c r="H1649">
        <v>1</v>
      </c>
      <c r="I1649" s="12" t="s">
        <v>183</v>
      </c>
      <c r="J1649" s="12" t="s">
        <v>184</v>
      </c>
      <c r="K1649" s="12" t="s">
        <v>133</v>
      </c>
      <c r="L1649" s="12" t="s">
        <v>82</v>
      </c>
      <c r="M1649">
        <v>8.6199999999999992</v>
      </c>
      <c r="N1649" s="12" t="s">
        <v>107</v>
      </c>
      <c r="O1649" s="12" t="s">
        <v>108</v>
      </c>
      <c r="P1649" s="12" t="s">
        <v>109</v>
      </c>
      <c r="Q1649" s="13">
        <v>45264</v>
      </c>
      <c r="R1649" s="13">
        <v>45306</v>
      </c>
      <c r="S1649">
        <v>2023</v>
      </c>
      <c r="T1649" s="12" t="s">
        <v>2336</v>
      </c>
      <c r="U1649">
        <v>65</v>
      </c>
      <c r="V1649">
        <v>199.1737</v>
      </c>
      <c r="W1649">
        <v>180.17</v>
      </c>
      <c r="X1649">
        <v>0</v>
      </c>
      <c r="Y1649">
        <v>0</v>
      </c>
      <c r="Z1649">
        <v>12946.29</v>
      </c>
      <c r="AA1649">
        <v>13126.46</v>
      </c>
      <c r="AB1649" s="12" t="s">
        <v>959</v>
      </c>
      <c r="AC1649">
        <v>199.1737</v>
      </c>
      <c r="AD1649">
        <v>1</v>
      </c>
      <c r="AE1649">
        <v>1</v>
      </c>
      <c r="AF1649">
        <v>0</v>
      </c>
      <c r="AG1649">
        <v>12946.29</v>
      </c>
      <c r="AH1649">
        <v>65</v>
      </c>
      <c r="AI1649">
        <v>65</v>
      </c>
      <c r="AJ1649">
        <v>0</v>
      </c>
      <c r="AK1649">
        <v>1</v>
      </c>
      <c r="AL1649">
        <v>1</v>
      </c>
      <c r="AM1649">
        <v>100</v>
      </c>
      <c r="AN1649">
        <v>201.94550000000001</v>
      </c>
      <c r="AO1649">
        <v>0</v>
      </c>
      <c r="AP1649" s="13">
        <v>45306</v>
      </c>
      <c r="AQ1649">
        <v>0</v>
      </c>
      <c r="AR1649">
        <v>1</v>
      </c>
    </row>
    <row r="1650" spans="1:44" x14ac:dyDescent="0.35">
      <c r="A1650" s="12" t="s">
        <v>2345</v>
      </c>
      <c r="B1650" s="12" t="s">
        <v>1042</v>
      </c>
      <c r="C1650" s="12" t="s">
        <v>1043</v>
      </c>
      <c r="D1650" s="12" t="s">
        <v>269</v>
      </c>
      <c r="E1650" s="12" t="s">
        <v>104</v>
      </c>
      <c r="F1650">
        <v>2</v>
      </c>
      <c r="G1650">
        <v>0</v>
      </c>
      <c r="H1650">
        <v>0</v>
      </c>
      <c r="I1650" s="12" t="s">
        <v>143</v>
      </c>
      <c r="J1650" s="12" t="s">
        <v>144</v>
      </c>
      <c r="K1650" s="12" t="s">
        <v>133</v>
      </c>
      <c r="L1650" s="12" t="s">
        <v>96</v>
      </c>
      <c r="M1650">
        <v>5.43</v>
      </c>
      <c r="N1650" s="12" t="s">
        <v>135</v>
      </c>
      <c r="O1650" s="12" t="s">
        <v>136</v>
      </c>
      <c r="P1650" s="12" t="s">
        <v>137</v>
      </c>
      <c r="Q1650" s="13">
        <v>45264</v>
      </c>
      <c r="R1650" s="13">
        <v>45279</v>
      </c>
      <c r="S1650">
        <v>2023</v>
      </c>
      <c r="T1650" s="12" t="s">
        <v>2336</v>
      </c>
      <c r="U1650">
        <v>40</v>
      </c>
      <c r="V1650">
        <v>273.98759999999999</v>
      </c>
      <c r="W1650">
        <v>147.83000000000001</v>
      </c>
      <c r="X1650">
        <v>0</v>
      </c>
      <c r="Y1650">
        <v>0</v>
      </c>
      <c r="Z1650">
        <v>10959.5</v>
      </c>
      <c r="AA1650">
        <v>11107.33</v>
      </c>
      <c r="AB1650" s="12" t="s">
        <v>1044</v>
      </c>
      <c r="AC1650">
        <v>290.76319999999998</v>
      </c>
      <c r="AD1650">
        <v>1</v>
      </c>
      <c r="AE1650">
        <v>1</v>
      </c>
      <c r="AF1650">
        <v>-671.02</v>
      </c>
      <c r="AG1650">
        <v>11630.53</v>
      </c>
      <c r="AH1650">
        <v>40</v>
      </c>
      <c r="AI1650">
        <v>39</v>
      </c>
      <c r="AJ1650">
        <v>1</v>
      </c>
      <c r="AK1650">
        <v>1</v>
      </c>
      <c r="AL1650">
        <v>1</v>
      </c>
      <c r="AM1650">
        <v>97.5</v>
      </c>
      <c r="AN1650">
        <v>284.80340000000001</v>
      </c>
      <c r="AO1650">
        <v>273.99</v>
      </c>
      <c r="AP1650" s="13">
        <v>45279</v>
      </c>
      <c r="AQ1650">
        <v>0</v>
      </c>
      <c r="AR1650">
        <v>1</v>
      </c>
    </row>
    <row r="1651" spans="1:44" x14ac:dyDescent="0.35">
      <c r="A1651" s="12" t="s">
        <v>2346</v>
      </c>
      <c r="B1651" s="12" t="s">
        <v>1042</v>
      </c>
      <c r="C1651" s="12" t="s">
        <v>1043</v>
      </c>
      <c r="D1651" s="12" t="s">
        <v>269</v>
      </c>
      <c r="E1651" s="12" t="s">
        <v>104</v>
      </c>
      <c r="F1651">
        <v>2</v>
      </c>
      <c r="G1651">
        <v>0</v>
      </c>
      <c r="H1651">
        <v>0</v>
      </c>
      <c r="I1651" s="12" t="s">
        <v>143</v>
      </c>
      <c r="J1651" s="12" t="s">
        <v>144</v>
      </c>
      <c r="K1651" s="12" t="s">
        <v>133</v>
      </c>
      <c r="L1651" s="12" t="s">
        <v>96</v>
      </c>
      <c r="M1651">
        <v>5.43</v>
      </c>
      <c r="N1651" s="12" t="s">
        <v>135</v>
      </c>
      <c r="O1651" s="12" t="s">
        <v>136</v>
      </c>
      <c r="P1651" s="12" t="s">
        <v>137</v>
      </c>
      <c r="Q1651" s="13">
        <v>45264</v>
      </c>
      <c r="R1651" s="13">
        <v>45280</v>
      </c>
      <c r="S1651">
        <v>2023</v>
      </c>
      <c r="T1651" s="12" t="s">
        <v>2336</v>
      </c>
      <c r="U1651">
        <v>42</v>
      </c>
      <c r="V1651">
        <v>290.76319999999998</v>
      </c>
      <c r="W1651">
        <v>161.69999999999999</v>
      </c>
      <c r="X1651">
        <v>0</v>
      </c>
      <c r="Y1651">
        <v>0</v>
      </c>
      <c r="Z1651">
        <v>12212.05</v>
      </c>
      <c r="AA1651">
        <v>12373.75</v>
      </c>
      <c r="AB1651" s="12" t="s">
        <v>1044</v>
      </c>
      <c r="AC1651">
        <v>290.76319999999998</v>
      </c>
      <c r="AD1651">
        <v>1</v>
      </c>
      <c r="AE1651">
        <v>1</v>
      </c>
      <c r="AF1651">
        <v>0</v>
      </c>
      <c r="AG1651">
        <v>12212.05</v>
      </c>
      <c r="AH1651">
        <v>42</v>
      </c>
      <c r="AI1651">
        <v>42</v>
      </c>
      <c r="AJ1651">
        <v>0</v>
      </c>
      <c r="AK1651">
        <v>1</v>
      </c>
      <c r="AL1651">
        <v>1</v>
      </c>
      <c r="AM1651">
        <v>100</v>
      </c>
      <c r="AN1651">
        <v>294.61320000000001</v>
      </c>
      <c r="AO1651">
        <v>0</v>
      </c>
      <c r="AP1651" s="13">
        <v>45282</v>
      </c>
      <c r="AQ1651">
        <v>2</v>
      </c>
      <c r="AR1651">
        <v>0</v>
      </c>
    </row>
    <row r="1652" spans="1:44" x14ac:dyDescent="0.35">
      <c r="A1652" s="12" t="s">
        <v>2347</v>
      </c>
      <c r="B1652" s="12" t="s">
        <v>221</v>
      </c>
      <c r="C1652" s="12" t="s">
        <v>222</v>
      </c>
      <c r="D1652" s="12" t="s">
        <v>114</v>
      </c>
      <c r="E1652" s="12" t="s">
        <v>142</v>
      </c>
      <c r="F1652">
        <v>3</v>
      </c>
      <c r="G1652">
        <v>11</v>
      </c>
      <c r="H1652">
        <v>0</v>
      </c>
      <c r="I1652" s="12" t="s">
        <v>105</v>
      </c>
      <c r="J1652" s="12" t="s">
        <v>106</v>
      </c>
      <c r="K1652" s="12" t="s">
        <v>81</v>
      </c>
      <c r="L1652" s="12" t="s">
        <v>96</v>
      </c>
      <c r="M1652">
        <v>5.01</v>
      </c>
      <c r="N1652" s="12" t="s">
        <v>97</v>
      </c>
      <c r="O1652" s="12" t="s">
        <v>98</v>
      </c>
      <c r="P1652" s="12" t="s">
        <v>72</v>
      </c>
      <c r="Q1652" s="13">
        <v>45264</v>
      </c>
      <c r="R1652" s="13">
        <v>45301</v>
      </c>
      <c r="S1652">
        <v>2023</v>
      </c>
      <c r="T1652" s="12" t="s">
        <v>2336</v>
      </c>
      <c r="U1652">
        <v>32</v>
      </c>
      <c r="V1652">
        <v>239.12739999999999</v>
      </c>
      <c r="W1652">
        <v>58.27</v>
      </c>
      <c r="X1652">
        <v>0</v>
      </c>
      <c r="Y1652">
        <v>0</v>
      </c>
      <c r="Z1652">
        <v>7652.08</v>
      </c>
      <c r="AA1652">
        <v>7710.35</v>
      </c>
      <c r="AB1652" s="12" t="s">
        <v>1239</v>
      </c>
      <c r="AC1652">
        <v>239.12739999999999</v>
      </c>
      <c r="AD1652">
        <v>1</v>
      </c>
      <c r="AE1652">
        <v>1</v>
      </c>
      <c r="AF1652">
        <v>0</v>
      </c>
      <c r="AG1652">
        <v>7652.08</v>
      </c>
      <c r="AH1652">
        <v>32</v>
      </c>
      <c r="AI1652">
        <v>31</v>
      </c>
      <c r="AJ1652">
        <v>1</v>
      </c>
      <c r="AK1652">
        <v>1</v>
      </c>
      <c r="AL1652">
        <v>1</v>
      </c>
      <c r="AM1652">
        <v>96.88</v>
      </c>
      <c r="AN1652">
        <v>248.7209</v>
      </c>
      <c r="AO1652">
        <v>239.13</v>
      </c>
      <c r="AP1652" s="13">
        <v>45308</v>
      </c>
      <c r="AQ1652">
        <v>7</v>
      </c>
      <c r="AR1652">
        <v>0</v>
      </c>
    </row>
    <row r="1653" spans="1:44" x14ac:dyDescent="0.35">
      <c r="A1653" s="12" t="s">
        <v>2348</v>
      </c>
      <c r="B1653" s="12" t="s">
        <v>433</v>
      </c>
      <c r="C1653" s="12" t="s">
        <v>434</v>
      </c>
      <c r="D1653" s="12" t="s">
        <v>78</v>
      </c>
      <c r="E1653" s="12" t="s">
        <v>65</v>
      </c>
      <c r="F1653">
        <v>2</v>
      </c>
      <c r="G1653">
        <v>4</v>
      </c>
      <c r="H1653">
        <v>0</v>
      </c>
      <c r="I1653" s="12" t="s">
        <v>105</v>
      </c>
      <c r="J1653" s="12" t="s">
        <v>106</v>
      </c>
      <c r="K1653" s="12" t="s">
        <v>81</v>
      </c>
      <c r="L1653" s="12" t="s">
        <v>96</v>
      </c>
      <c r="M1653">
        <v>5.01</v>
      </c>
      <c r="N1653" s="12" t="s">
        <v>97</v>
      </c>
      <c r="O1653" s="12" t="s">
        <v>98</v>
      </c>
      <c r="P1653" s="12" t="s">
        <v>72</v>
      </c>
      <c r="Q1653" s="13">
        <v>45264</v>
      </c>
      <c r="R1653" s="13">
        <v>45294</v>
      </c>
      <c r="S1653">
        <v>2023</v>
      </c>
      <c r="T1653" s="12" t="s">
        <v>2336</v>
      </c>
      <c r="U1653">
        <v>179</v>
      </c>
      <c r="V1653">
        <v>76.331100000000006</v>
      </c>
      <c r="W1653">
        <v>89.54</v>
      </c>
      <c r="X1653">
        <v>0</v>
      </c>
      <c r="Y1653">
        <v>0</v>
      </c>
      <c r="Z1653">
        <v>13663.27</v>
      </c>
      <c r="AA1653">
        <v>13752.81</v>
      </c>
      <c r="AB1653" s="12" t="s">
        <v>463</v>
      </c>
      <c r="AC1653">
        <v>76.331100000000006</v>
      </c>
      <c r="AD1653">
        <v>1</v>
      </c>
      <c r="AE1653">
        <v>1</v>
      </c>
      <c r="AF1653">
        <v>0</v>
      </c>
      <c r="AG1653">
        <v>13663.27</v>
      </c>
      <c r="AH1653">
        <v>179</v>
      </c>
      <c r="AI1653">
        <v>177</v>
      </c>
      <c r="AJ1653">
        <v>2</v>
      </c>
      <c r="AK1653">
        <v>1</v>
      </c>
      <c r="AL1653">
        <v>1</v>
      </c>
      <c r="AM1653">
        <v>98.88</v>
      </c>
      <c r="AN1653">
        <v>77.6995</v>
      </c>
      <c r="AO1653">
        <v>152.66</v>
      </c>
      <c r="AP1653" s="13">
        <v>45292</v>
      </c>
      <c r="AQ1653">
        <v>-2</v>
      </c>
      <c r="AR1653">
        <v>1</v>
      </c>
    </row>
    <row r="1654" spans="1:44" x14ac:dyDescent="0.35">
      <c r="A1654" s="12" t="s">
        <v>2349</v>
      </c>
      <c r="B1654" s="12" t="s">
        <v>548</v>
      </c>
      <c r="C1654" s="12" t="s">
        <v>549</v>
      </c>
      <c r="D1654" s="12" t="s">
        <v>78</v>
      </c>
      <c r="E1654" s="12" t="s">
        <v>104</v>
      </c>
      <c r="F1654">
        <v>3</v>
      </c>
      <c r="G1654">
        <v>1</v>
      </c>
      <c r="H1654">
        <v>0</v>
      </c>
      <c r="I1654" s="12" t="s">
        <v>199</v>
      </c>
      <c r="J1654" s="12" t="s">
        <v>200</v>
      </c>
      <c r="K1654" s="12" t="s">
        <v>68</v>
      </c>
      <c r="L1654" s="12" t="s">
        <v>96</v>
      </c>
      <c r="M1654">
        <v>9.4700000000000006</v>
      </c>
      <c r="N1654" s="12" t="s">
        <v>97</v>
      </c>
      <c r="O1654" s="12" t="s">
        <v>98</v>
      </c>
      <c r="P1654" s="12" t="s">
        <v>72</v>
      </c>
      <c r="Q1654" s="13">
        <v>45265</v>
      </c>
      <c r="R1654" s="13">
        <v>45289</v>
      </c>
      <c r="S1654">
        <v>2023</v>
      </c>
      <c r="T1654" s="12" t="s">
        <v>2336</v>
      </c>
      <c r="U1654">
        <v>217</v>
      </c>
      <c r="V1654">
        <v>62.471600000000002</v>
      </c>
      <c r="W1654">
        <v>130.26</v>
      </c>
      <c r="X1654">
        <v>0</v>
      </c>
      <c r="Y1654">
        <v>0</v>
      </c>
      <c r="Z1654">
        <v>13556.34</v>
      </c>
      <c r="AA1654">
        <v>13686.6</v>
      </c>
      <c r="AB1654" s="12" t="s">
        <v>930</v>
      </c>
      <c r="AC1654">
        <v>62.471600000000002</v>
      </c>
      <c r="AD1654">
        <v>1</v>
      </c>
      <c r="AE1654">
        <v>1</v>
      </c>
      <c r="AF1654">
        <v>0</v>
      </c>
      <c r="AG1654">
        <v>13556.34</v>
      </c>
      <c r="AH1654">
        <v>217</v>
      </c>
      <c r="AI1654">
        <v>215</v>
      </c>
      <c r="AJ1654">
        <v>2</v>
      </c>
      <c r="AK1654">
        <v>1</v>
      </c>
      <c r="AL1654">
        <v>1</v>
      </c>
      <c r="AM1654">
        <v>99.08</v>
      </c>
      <c r="AN1654">
        <v>63.6586</v>
      </c>
      <c r="AO1654">
        <v>124.94</v>
      </c>
      <c r="AP1654" s="13">
        <v>45289</v>
      </c>
      <c r="AQ1654">
        <v>0</v>
      </c>
      <c r="AR1654">
        <v>1</v>
      </c>
    </row>
    <row r="1655" spans="1:44" x14ac:dyDescent="0.35">
      <c r="A1655" s="12" t="s">
        <v>2350</v>
      </c>
      <c r="B1655" s="12" t="s">
        <v>848</v>
      </c>
      <c r="C1655" s="12" t="s">
        <v>849</v>
      </c>
      <c r="D1655" s="12" t="s">
        <v>103</v>
      </c>
      <c r="E1655" s="12" t="s">
        <v>65</v>
      </c>
      <c r="F1655">
        <v>2</v>
      </c>
      <c r="G1655">
        <v>4</v>
      </c>
      <c r="H1655">
        <v>0</v>
      </c>
      <c r="I1655" s="12" t="s">
        <v>87</v>
      </c>
      <c r="J1655" s="12" t="s">
        <v>88</v>
      </c>
      <c r="K1655" s="12" t="s">
        <v>89</v>
      </c>
      <c r="L1655" s="12" t="s">
        <v>69</v>
      </c>
      <c r="M1655">
        <v>14.93</v>
      </c>
      <c r="N1655" s="12" t="s">
        <v>145</v>
      </c>
      <c r="O1655" s="12" t="s">
        <v>146</v>
      </c>
      <c r="P1655" s="12" t="s">
        <v>109</v>
      </c>
      <c r="Q1655" s="13">
        <v>45265</v>
      </c>
      <c r="R1655" s="13">
        <v>45297</v>
      </c>
      <c r="S1655">
        <v>2023</v>
      </c>
      <c r="T1655" s="12" t="s">
        <v>2336</v>
      </c>
      <c r="U1655">
        <v>100</v>
      </c>
      <c r="V1655">
        <v>123.8275</v>
      </c>
      <c r="W1655">
        <v>126.79</v>
      </c>
      <c r="X1655">
        <v>0</v>
      </c>
      <c r="Y1655">
        <v>0</v>
      </c>
      <c r="Z1655">
        <v>12382.75</v>
      </c>
      <c r="AA1655">
        <v>12509.54</v>
      </c>
      <c r="AB1655" s="12" t="s">
        <v>850</v>
      </c>
      <c r="AC1655">
        <v>123.8275</v>
      </c>
      <c r="AD1655">
        <v>1</v>
      </c>
      <c r="AE1655">
        <v>1</v>
      </c>
      <c r="AF1655">
        <v>0</v>
      </c>
      <c r="AG1655">
        <v>12382.75</v>
      </c>
      <c r="AH1655">
        <v>100</v>
      </c>
      <c r="AI1655">
        <v>100</v>
      </c>
      <c r="AJ1655">
        <v>0</v>
      </c>
      <c r="AK1655">
        <v>1</v>
      </c>
      <c r="AL1655">
        <v>1</v>
      </c>
      <c r="AM1655">
        <v>100</v>
      </c>
      <c r="AN1655">
        <v>125.0954</v>
      </c>
      <c r="AO1655">
        <v>0</v>
      </c>
      <c r="AP1655" s="13">
        <v>45294</v>
      </c>
      <c r="AQ1655">
        <v>-3</v>
      </c>
      <c r="AR1655">
        <v>1</v>
      </c>
    </row>
    <row r="1656" spans="1:44" x14ac:dyDescent="0.35">
      <c r="A1656" s="12" t="s">
        <v>2351</v>
      </c>
      <c r="B1656" s="12" t="s">
        <v>241</v>
      </c>
      <c r="C1656" s="12" t="s">
        <v>242</v>
      </c>
      <c r="D1656" s="12" t="s">
        <v>103</v>
      </c>
      <c r="E1656" s="12" t="s">
        <v>142</v>
      </c>
      <c r="F1656">
        <v>3</v>
      </c>
      <c r="G1656">
        <v>11</v>
      </c>
      <c r="H1656">
        <v>0</v>
      </c>
      <c r="I1656" s="12" t="s">
        <v>157</v>
      </c>
      <c r="J1656" s="12" t="s">
        <v>158</v>
      </c>
      <c r="K1656" s="12" t="s">
        <v>117</v>
      </c>
      <c r="L1656" s="12" t="s">
        <v>96</v>
      </c>
      <c r="M1656">
        <v>4.72</v>
      </c>
      <c r="N1656" s="12" t="s">
        <v>145</v>
      </c>
      <c r="O1656" s="12" t="s">
        <v>146</v>
      </c>
      <c r="P1656" s="12" t="s">
        <v>109</v>
      </c>
      <c r="Q1656" s="13">
        <v>45265</v>
      </c>
      <c r="R1656" s="13">
        <v>45317</v>
      </c>
      <c r="S1656">
        <v>2023</v>
      </c>
      <c r="T1656" s="12" t="s">
        <v>2336</v>
      </c>
      <c r="U1656">
        <v>146</v>
      </c>
      <c r="V1656">
        <v>164.8845</v>
      </c>
      <c r="W1656">
        <v>172.36</v>
      </c>
      <c r="X1656">
        <v>0</v>
      </c>
      <c r="Y1656">
        <v>0</v>
      </c>
      <c r="Z1656">
        <v>24073.14</v>
      </c>
      <c r="AA1656">
        <v>24245.5</v>
      </c>
      <c r="AB1656" s="12" t="s">
        <v>2352</v>
      </c>
      <c r="AC1656">
        <v>164.8845</v>
      </c>
      <c r="AD1656">
        <v>1</v>
      </c>
      <c r="AE1656">
        <v>1</v>
      </c>
      <c r="AF1656">
        <v>0</v>
      </c>
      <c r="AG1656">
        <v>24073.14</v>
      </c>
      <c r="AH1656">
        <v>146</v>
      </c>
      <c r="AI1656">
        <v>144</v>
      </c>
      <c r="AJ1656">
        <v>2</v>
      </c>
      <c r="AK1656">
        <v>1</v>
      </c>
      <c r="AL1656">
        <v>1</v>
      </c>
      <c r="AM1656">
        <v>98.63</v>
      </c>
      <c r="AN1656">
        <v>168.3715</v>
      </c>
      <c r="AO1656">
        <v>329.77</v>
      </c>
      <c r="AP1656" s="13">
        <v>45314</v>
      </c>
      <c r="AQ1656">
        <v>-3</v>
      </c>
      <c r="AR1656">
        <v>1</v>
      </c>
    </row>
    <row r="1657" spans="1:44" x14ac:dyDescent="0.35">
      <c r="A1657" s="12" t="s">
        <v>2353</v>
      </c>
      <c r="B1657" s="12" t="s">
        <v>598</v>
      </c>
      <c r="C1657" s="12" t="s">
        <v>599</v>
      </c>
      <c r="D1657" s="12" t="s">
        <v>269</v>
      </c>
      <c r="E1657" s="12" t="s">
        <v>65</v>
      </c>
      <c r="F1657">
        <v>1</v>
      </c>
      <c r="G1657">
        <v>2</v>
      </c>
      <c r="H1657">
        <v>1</v>
      </c>
      <c r="I1657" s="12" t="s">
        <v>176</v>
      </c>
      <c r="J1657" s="12" t="s">
        <v>177</v>
      </c>
      <c r="K1657" s="12" t="s">
        <v>125</v>
      </c>
      <c r="L1657" s="12" t="s">
        <v>134</v>
      </c>
      <c r="M1657">
        <v>1.75</v>
      </c>
      <c r="N1657" s="12" t="s">
        <v>135</v>
      </c>
      <c r="O1657" s="12" t="s">
        <v>136</v>
      </c>
      <c r="P1657" s="12" t="s">
        <v>137</v>
      </c>
      <c r="Q1657" s="13">
        <v>45265</v>
      </c>
      <c r="R1657" s="13">
        <v>45303</v>
      </c>
      <c r="S1657">
        <v>2023</v>
      </c>
      <c r="T1657" s="12" t="s">
        <v>2336</v>
      </c>
      <c r="U1657">
        <v>146</v>
      </c>
      <c r="V1657">
        <v>454.90469999999999</v>
      </c>
      <c r="W1657">
        <v>836.42</v>
      </c>
      <c r="X1657">
        <v>0</v>
      </c>
      <c r="Y1657">
        <v>0</v>
      </c>
      <c r="Z1657">
        <v>66416.09</v>
      </c>
      <c r="AA1657">
        <v>67252.509999999995</v>
      </c>
      <c r="AB1657" s="12" t="s">
        <v>600</v>
      </c>
      <c r="AC1657">
        <v>454.90469999999999</v>
      </c>
      <c r="AD1657">
        <v>1</v>
      </c>
      <c r="AE1657">
        <v>1</v>
      </c>
      <c r="AF1657">
        <v>0</v>
      </c>
      <c r="AG1657">
        <v>66416.09</v>
      </c>
      <c r="AH1657">
        <v>146</v>
      </c>
      <c r="AI1657">
        <v>144</v>
      </c>
      <c r="AJ1657">
        <v>2</v>
      </c>
      <c r="AK1657">
        <v>1</v>
      </c>
      <c r="AL1657">
        <v>1</v>
      </c>
      <c r="AM1657">
        <v>98.63</v>
      </c>
      <c r="AN1657">
        <v>467.03129999999999</v>
      </c>
      <c r="AO1657">
        <v>909.81</v>
      </c>
      <c r="AP1657" s="13">
        <v>45303</v>
      </c>
      <c r="AQ1657">
        <v>0</v>
      </c>
      <c r="AR1657">
        <v>1</v>
      </c>
    </row>
    <row r="1658" spans="1:44" x14ac:dyDescent="0.35">
      <c r="A1658" s="12" t="s">
        <v>2354</v>
      </c>
      <c r="B1658" s="12" t="s">
        <v>1054</v>
      </c>
      <c r="C1658" s="12" t="s">
        <v>1055</v>
      </c>
      <c r="D1658" s="12" t="s">
        <v>122</v>
      </c>
      <c r="E1658" s="12" t="s">
        <v>65</v>
      </c>
      <c r="F1658">
        <v>1</v>
      </c>
      <c r="G1658">
        <v>2</v>
      </c>
      <c r="H1658">
        <v>1</v>
      </c>
      <c r="I1658" s="12" t="s">
        <v>176</v>
      </c>
      <c r="J1658" s="12" t="s">
        <v>177</v>
      </c>
      <c r="K1658" s="12" t="s">
        <v>125</v>
      </c>
      <c r="L1658" s="12" t="s">
        <v>134</v>
      </c>
      <c r="M1658">
        <v>1.75</v>
      </c>
      <c r="N1658" s="12" t="s">
        <v>70</v>
      </c>
      <c r="O1658" s="12" t="s">
        <v>71</v>
      </c>
      <c r="P1658" s="12" t="s">
        <v>72</v>
      </c>
      <c r="Q1658" s="13">
        <v>45266</v>
      </c>
      <c r="R1658" s="13">
        <v>45290</v>
      </c>
      <c r="S1658">
        <v>2023</v>
      </c>
      <c r="T1658" s="12" t="s">
        <v>2336</v>
      </c>
      <c r="U1658">
        <v>578</v>
      </c>
      <c r="V1658">
        <v>46.916699999999999</v>
      </c>
      <c r="W1658">
        <v>428.08</v>
      </c>
      <c r="X1658">
        <v>0</v>
      </c>
      <c r="Y1658">
        <v>0</v>
      </c>
      <c r="Z1658">
        <v>27117.85</v>
      </c>
      <c r="AA1658">
        <v>27545.93</v>
      </c>
      <c r="AB1658" s="12" t="s">
        <v>1056</v>
      </c>
      <c r="AC1658">
        <v>46.916699999999999</v>
      </c>
      <c r="AD1658">
        <v>1</v>
      </c>
      <c r="AE1658">
        <v>1</v>
      </c>
      <c r="AF1658">
        <v>0</v>
      </c>
      <c r="AG1658">
        <v>27117.85</v>
      </c>
      <c r="AH1658">
        <v>578</v>
      </c>
      <c r="AI1658">
        <v>575</v>
      </c>
      <c r="AJ1658">
        <v>3</v>
      </c>
      <c r="AK1658">
        <v>1</v>
      </c>
      <c r="AL1658">
        <v>1</v>
      </c>
      <c r="AM1658">
        <v>99.48</v>
      </c>
      <c r="AN1658">
        <v>47.905999999999999</v>
      </c>
      <c r="AO1658">
        <v>140.75</v>
      </c>
      <c r="AP1658" s="13">
        <v>45290</v>
      </c>
      <c r="AQ1658">
        <v>0</v>
      </c>
      <c r="AR1658">
        <v>1</v>
      </c>
    </row>
    <row r="1659" spans="1:44" x14ac:dyDescent="0.35">
      <c r="A1659" s="12" t="s">
        <v>2355</v>
      </c>
      <c r="B1659" s="12" t="s">
        <v>408</v>
      </c>
      <c r="C1659" s="12" t="s">
        <v>409</v>
      </c>
      <c r="D1659" s="12" t="s">
        <v>130</v>
      </c>
      <c r="E1659" s="12" t="s">
        <v>65</v>
      </c>
      <c r="F1659">
        <v>3</v>
      </c>
      <c r="G1659">
        <v>5</v>
      </c>
      <c r="H1659">
        <v>0</v>
      </c>
      <c r="I1659" s="12" t="s">
        <v>275</v>
      </c>
      <c r="J1659" s="12" t="s">
        <v>276</v>
      </c>
      <c r="K1659" s="12" t="s">
        <v>89</v>
      </c>
      <c r="L1659" s="12" t="s">
        <v>82</v>
      </c>
      <c r="M1659">
        <v>14.26</v>
      </c>
      <c r="N1659" s="12" t="s">
        <v>159</v>
      </c>
      <c r="O1659" s="12" t="s">
        <v>160</v>
      </c>
      <c r="P1659" s="12" t="s">
        <v>137</v>
      </c>
      <c r="Q1659" s="13">
        <v>45266</v>
      </c>
      <c r="R1659" s="13">
        <v>45288</v>
      </c>
      <c r="S1659">
        <v>2023</v>
      </c>
      <c r="T1659" s="12" t="s">
        <v>2336</v>
      </c>
      <c r="U1659">
        <v>23</v>
      </c>
      <c r="V1659">
        <v>786.69240000000002</v>
      </c>
      <c r="W1659">
        <v>369.54</v>
      </c>
      <c r="X1659">
        <v>0</v>
      </c>
      <c r="Y1659">
        <v>0</v>
      </c>
      <c r="Z1659">
        <v>18093.93</v>
      </c>
      <c r="AA1659">
        <v>18463.47</v>
      </c>
      <c r="AB1659" s="12" t="s">
        <v>201</v>
      </c>
      <c r="AD1659">
        <v>0</v>
      </c>
      <c r="AE1659">
        <v>0</v>
      </c>
      <c r="AH1659">
        <v>23</v>
      </c>
      <c r="AI1659">
        <v>23</v>
      </c>
      <c r="AJ1659">
        <v>0</v>
      </c>
      <c r="AK1659">
        <v>1</v>
      </c>
      <c r="AL1659">
        <v>1</v>
      </c>
      <c r="AM1659">
        <v>100</v>
      </c>
      <c r="AN1659">
        <v>802.75940000000003</v>
      </c>
      <c r="AO1659">
        <v>0</v>
      </c>
      <c r="AP1659" s="13">
        <v>45291</v>
      </c>
      <c r="AQ1659">
        <v>3</v>
      </c>
      <c r="AR1659">
        <v>0</v>
      </c>
    </row>
    <row r="1660" spans="1:44" x14ac:dyDescent="0.35">
      <c r="A1660" s="12" t="s">
        <v>2356</v>
      </c>
      <c r="B1660" s="12" t="s">
        <v>331</v>
      </c>
      <c r="C1660" s="12" t="s">
        <v>332</v>
      </c>
      <c r="D1660" s="12" t="s">
        <v>122</v>
      </c>
      <c r="E1660" s="12" t="s">
        <v>142</v>
      </c>
      <c r="F1660">
        <v>3</v>
      </c>
      <c r="G1660">
        <v>11</v>
      </c>
      <c r="H1660">
        <v>0</v>
      </c>
      <c r="I1660" s="12" t="s">
        <v>183</v>
      </c>
      <c r="J1660" s="12" t="s">
        <v>184</v>
      </c>
      <c r="K1660" s="12" t="s">
        <v>133</v>
      </c>
      <c r="L1660" s="12" t="s">
        <v>82</v>
      </c>
      <c r="M1660">
        <v>8.6199999999999992</v>
      </c>
      <c r="N1660" s="12" t="s">
        <v>97</v>
      </c>
      <c r="O1660" s="12" t="s">
        <v>98</v>
      </c>
      <c r="P1660" s="12" t="s">
        <v>72</v>
      </c>
      <c r="Q1660" s="13">
        <v>45266</v>
      </c>
      <c r="R1660" s="13">
        <v>45308</v>
      </c>
      <c r="S1660">
        <v>2023</v>
      </c>
      <c r="T1660" s="12" t="s">
        <v>2336</v>
      </c>
      <c r="U1660">
        <v>968</v>
      </c>
      <c r="V1660">
        <v>25.052199999999999</v>
      </c>
      <c r="W1660">
        <v>241.26</v>
      </c>
      <c r="X1660">
        <v>0</v>
      </c>
      <c r="Y1660">
        <v>0</v>
      </c>
      <c r="Z1660">
        <v>24250.53</v>
      </c>
      <c r="AA1660">
        <v>24491.79</v>
      </c>
      <c r="AB1660" s="12" t="s">
        <v>2357</v>
      </c>
      <c r="AC1660">
        <v>25.052199999999999</v>
      </c>
      <c r="AD1660">
        <v>1</v>
      </c>
      <c r="AE1660">
        <v>1</v>
      </c>
      <c r="AF1660">
        <v>0</v>
      </c>
      <c r="AG1660">
        <v>24250.53</v>
      </c>
      <c r="AH1660">
        <v>968</v>
      </c>
      <c r="AI1660">
        <v>962</v>
      </c>
      <c r="AJ1660">
        <v>6</v>
      </c>
      <c r="AK1660">
        <v>1</v>
      </c>
      <c r="AL1660">
        <v>1</v>
      </c>
      <c r="AM1660">
        <v>99.38</v>
      </c>
      <c r="AN1660">
        <v>25.459199999999999</v>
      </c>
      <c r="AO1660">
        <v>150.31</v>
      </c>
      <c r="AP1660" s="13">
        <v>45306</v>
      </c>
      <c r="AQ1660">
        <v>-2</v>
      </c>
      <c r="AR1660">
        <v>1</v>
      </c>
    </row>
    <row r="1661" spans="1:44" x14ac:dyDescent="0.35">
      <c r="A1661" s="12" t="s">
        <v>2358</v>
      </c>
      <c r="B1661" s="12" t="s">
        <v>657</v>
      </c>
      <c r="C1661" s="12" t="s">
        <v>658</v>
      </c>
      <c r="D1661" s="12" t="s">
        <v>175</v>
      </c>
      <c r="E1661" s="12" t="s">
        <v>65</v>
      </c>
      <c r="F1661">
        <v>1</v>
      </c>
      <c r="G1661">
        <v>2</v>
      </c>
      <c r="H1661">
        <v>1</v>
      </c>
      <c r="I1661" s="12" t="s">
        <v>183</v>
      </c>
      <c r="J1661" s="12" t="s">
        <v>184</v>
      </c>
      <c r="K1661" s="12" t="s">
        <v>133</v>
      </c>
      <c r="L1661" s="12" t="s">
        <v>82</v>
      </c>
      <c r="M1661">
        <v>8.6199999999999992</v>
      </c>
      <c r="N1661" s="12" t="s">
        <v>145</v>
      </c>
      <c r="O1661" s="12" t="s">
        <v>146</v>
      </c>
      <c r="P1661" s="12" t="s">
        <v>109</v>
      </c>
      <c r="Q1661" s="13">
        <v>45266</v>
      </c>
      <c r="R1661" s="13">
        <v>45287</v>
      </c>
      <c r="S1661">
        <v>2023</v>
      </c>
      <c r="T1661" s="12" t="s">
        <v>2336</v>
      </c>
      <c r="U1661">
        <v>14</v>
      </c>
      <c r="V1661">
        <v>153.8561</v>
      </c>
      <c r="W1661">
        <v>52.09</v>
      </c>
      <c r="X1661">
        <v>0</v>
      </c>
      <c r="Y1661">
        <v>0</v>
      </c>
      <c r="Z1661">
        <v>2153.9899999999998</v>
      </c>
      <c r="AA1661">
        <v>2206.08</v>
      </c>
      <c r="AB1661" s="12" t="s">
        <v>659</v>
      </c>
      <c r="AC1661">
        <v>153.8561</v>
      </c>
      <c r="AD1661">
        <v>1</v>
      </c>
      <c r="AE1661">
        <v>1</v>
      </c>
      <c r="AF1661">
        <v>0</v>
      </c>
      <c r="AG1661">
        <v>2153.9899999999998</v>
      </c>
      <c r="AH1661">
        <v>14</v>
      </c>
      <c r="AI1661">
        <v>14</v>
      </c>
      <c r="AJ1661">
        <v>0</v>
      </c>
      <c r="AK1661">
        <v>1</v>
      </c>
      <c r="AL1661">
        <v>1</v>
      </c>
      <c r="AM1661">
        <v>100</v>
      </c>
      <c r="AN1661">
        <v>157.57679999999999</v>
      </c>
      <c r="AO1661">
        <v>0</v>
      </c>
      <c r="AP1661" s="13">
        <v>45287</v>
      </c>
      <c r="AQ1661">
        <v>0</v>
      </c>
      <c r="AR1661">
        <v>1</v>
      </c>
    </row>
    <row r="1662" spans="1:44" x14ac:dyDescent="0.35">
      <c r="A1662" s="12" t="s">
        <v>2359</v>
      </c>
      <c r="B1662" s="12" t="s">
        <v>289</v>
      </c>
      <c r="C1662" s="12" t="s">
        <v>290</v>
      </c>
      <c r="D1662" s="12" t="s">
        <v>175</v>
      </c>
      <c r="E1662" s="12" t="s">
        <v>104</v>
      </c>
      <c r="F1662">
        <v>3</v>
      </c>
      <c r="G1662">
        <v>1</v>
      </c>
      <c r="H1662">
        <v>0</v>
      </c>
      <c r="I1662" s="12" t="s">
        <v>157</v>
      </c>
      <c r="J1662" s="12" t="s">
        <v>158</v>
      </c>
      <c r="K1662" s="12" t="s">
        <v>117</v>
      </c>
      <c r="L1662" s="12" t="s">
        <v>96</v>
      </c>
      <c r="M1662">
        <v>4.72</v>
      </c>
      <c r="N1662" s="12" t="s">
        <v>107</v>
      </c>
      <c r="O1662" s="12" t="s">
        <v>108</v>
      </c>
      <c r="P1662" s="12" t="s">
        <v>109</v>
      </c>
      <c r="Q1662" s="13">
        <v>45266</v>
      </c>
      <c r="R1662" s="13">
        <v>45283</v>
      </c>
      <c r="S1662">
        <v>2023</v>
      </c>
      <c r="T1662" s="12" t="s">
        <v>2336</v>
      </c>
      <c r="U1662">
        <v>52</v>
      </c>
      <c r="V1662">
        <v>194.9136</v>
      </c>
      <c r="W1662">
        <v>81.069999999999993</v>
      </c>
      <c r="X1662">
        <v>0</v>
      </c>
      <c r="Y1662">
        <v>0</v>
      </c>
      <c r="Z1662">
        <v>10135.51</v>
      </c>
      <c r="AA1662">
        <v>10216.58</v>
      </c>
      <c r="AB1662" s="12" t="s">
        <v>291</v>
      </c>
      <c r="AC1662">
        <v>194.9136</v>
      </c>
      <c r="AD1662">
        <v>1</v>
      </c>
      <c r="AE1662">
        <v>1</v>
      </c>
      <c r="AF1662">
        <v>0</v>
      </c>
      <c r="AG1662">
        <v>10135.51</v>
      </c>
      <c r="AH1662">
        <v>52</v>
      </c>
      <c r="AI1662">
        <v>51</v>
      </c>
      <c r="AJ1662">
        <v>1</v>
      </c>
      <c r="AK1662">
        <v>1</v>
      </c>
      <c r="AL1662">
        <v>1</v>
      </c>
      <c r="AM1662">
        <v>98.08</v>
      </c>
      <c r="AN1662">
        <v>200.32499999999999</v>
      </c>
      <c r="AO1662">
        <v>194.91</v>
      </c>
      <c r="AP1662" s="13">
        <v>45280</v>
      </c>
      <c r="AQ1662">
        <v>-3</v>
      </c>
      <c r="AR1662">
        <v>1</v>
      </c>
    </row>
    <row r="1663" spans="1:44" x14ac:dyDescent="0.35">
      <c r="A1663" s="12" t="s">
        <v>2360</v>
      </c>
      <c r="B1663" s="12" t="s">
        <v>532</v>
      </c>
      <c r="C1663" s="12" t="s">
        <v>533</v>
      </c>
      <c r="D1663" s="12" t="s">
        <v>114</v>
      </c>
      <c r="E1663" s="12" t="s">
        <v>65</v>
      </c>
      <c r="F1663">
        <v>2</v>
      </c>
      <c r="G1663">
        <v>3</v>
      </c>
      <c r="H1663">
        <v>0</v>
      </c>
      <c r="I1663" s="12" t="s">
        <v>105</v>
      </c>
      <c r="J1663" s="12" t="s">
        <v>106</v>
      </c>
      <c r="K1663" s="12" t="s">
        <v>81</v>
      </c>
      <c r="L1663" s="12" t="s">
        <v>96</v>
      </c>
      <c r="M1663">
        <v>5.01</v>
      </c>
      <c r="N1663" s="12" t="s">
        <v>97</v>
      </c>
      <c r="O1663" s="12" t="s">
        <v>98</v>
      </c>
      <c r="P1663" s="12" t="s">
        <v>72</v>
      </c>
      <c r="Q1663" s="13">
        <v>45266</v>
      </c>
      <c r="R1663" s="13">
        <v>45294</v>
      </c>
      <c r="S1663">
        <v>2023</v>
      </c>
      <c r="T1663" s="12" t="s">
        <v>2336</v>
      </c>
      <c r="U1663">
        <v>66</v>
      </c>
      <c r="V1663">
        <v>250.00970000000001</v>
      </c>
      <c r="W1663">
        <v>362.23</v>
      </c>
      <c r="X1663">
        <v>0</v>
      </c>
      <c r="Y1663">
        <v>0</v>
      </c>
      <c r="Z1663">
        <v>16500.64</v>
      </c>
      <c r="AA1663">
        <v>16862.87</v>
      </c>
      <c r="AB1663" s="12" t="s">
        <v>534</v>
      </c>
      <c r="AC1663">
        <v>250.00970000000001</v>
      </c>
      <c r="AD1663">
        <v>1</v>
      </c>
      <c r="AE1663">
        <v>1</v>
      </c>
      <c r="AF1663">
        <v>0</v>
      </c>
      <c r="AG1663">
        <v>16500.64</v>
      </c>
      <c r="AH1663">
        <v>66</v>
      </c>
      <c r="AI1663">
        <v>64</v>
      </c>
      <c r="AJ1663">
        <v>2</v>
      </c>
      <c r="AK1663">
        <v>1</v>
      </c>
      <c r="AL1663">
        <v>1</v>
      </c>
      <c r="AM1663">
        <v>96.97</v>
      </c>
      <c r="AN1663">
        <v>263.48230000000001</v>
      </c>
      <c r="AO1663">
        <v>500.02</v>
      </c>
      <c r="AP1663" s="13">
        <v>45303</v>
      </c>
      <c r="AQ1663">
        <v>9</v>
      </c>
      <c r="AR1663">
        <v>0</v>
      </c>
    </row>
    <row r="1664" spans="1:44" x14ac:dyDescent="0.35">
      <c r="A1664" s="12" t="s">
        <v>2361</v>
      </c>
      <c r="B1664" s="12" t="s">
        <v>924</v>
      </c>
      <c r="C1664" s="12" t="s">
        <v>925</v>
      </c>
      <c r="D1664" s="12" t="s">
        <v>103</v>
      </c>
      <c r="E1664" s="12" t="s">
        <v>104</v>
      </c>
      <c r="F1664">
        <v>2</v>
      </c>
      <c r="G1664">
        <v>0</v>
      </c>
      <c r="H1664">
        <v>0</v>
      </c>
      <c r="I1664" s="12" t="s">
        <v>335</v>
      </c>
      <c r="J1664" s="12" t="s">
        <v>336</v>
      </c>
      <c r="K1664" s="12" t="s">
        <v>89</v>
      </c>
      <c r="L1664" s="12" t="s">
        <v>82</v>
      </c>
      <c r="M1664">
        <v>16</v>
      </c>
      <c r="N1664" s="12" t="s">
        <v>107</v>
      </c>
      <c r="O1664" s="12" t="s">
        <v>108</v>
      </c>
      <c r="P1664" s="12" t="s">
        <v>109</v>
      </c>
      <c r="Q1664" s="13">
        <v>45266</v>
      </c>
      <c r="R1664" s="13">
        <v>45280</v>
      </c>
      <c r="S1664">
        <v>2023</v>
      </c>
      <c r="T1664" s="12" t="s">
        <v>2336</v>
      </c>
      <c r="U1664">
        <v>27</v>
      </c>
      <c r="V1664">
        <v>161.51509999999999</v>
      </c>
      <c r="W1664">
        <v>98.53</v>
      </c>
      <c r="X1664">
        <v>0</v>
      </c>
      <c r="Y1664">
        <v>0</v>
      </c>
      <c r="Z1664">
        <v>4360.91</v>
      </c>
      <c r="AA1664">
        <v>4459.4399999999996</v>
      </c>
      <c r="AB1664" s="12" t="s">
        <v>926</v>
      </c>
      <c r="AC1664">
        <v>161.51509999999999</v>
      </c>
      <c r="AD1664">
        <v>1</v>
      </c>
      <c r="AE1664">
        <v>1</v>
      </c>
      <c r="AF1664">
        <v>0</v>
      </c>
      <c r="AG1664">
        <v>4360.91</v>
      </c>
      <c r="AH1664">
        <v>27</v>
      </c>
      <c r="AI1664">
        <v>27</v>
      </c>
      <c r="AJ1664">
        <v>0</v>
      </c>
      <c r="AK1664">
        <v>1</v>
      </c>
      <c r="AL1664">
        <v>1</v>
      </c>
      <c r="AM1664">
        <v>100</v>
      </c>
      <c r="AN1664">
        <v>165.1644</v>
      </c>
      <c r="AO1664">
        <v>0</v>
      </c>
      <c r="AP1664" s="13">
        <v>45280</v>
      </c>
      <c r="AQ1664">
        <v>0</v>
      </c>
      <c r="AR1664">
        <v>1</v>
      </c>
    </row>
    <row r="1665" spans="1:44" x14ac:dyDescent="0.35">
      <c r="A1665" s="12" t="s">
        <v>2362</v>
      </c>
      <c r="B1665" s="12" t="s">
        <v>740</v>
      </c>
      <c r="C1665" s="12" t="s">
        <v>741</v>
      </c>
      <c r="D1665" s="12" t="s">
        <v>64</v>
      </c>
      <c r="E1665" s="12" t="s">
        <v>104</v>
      </c>
      <c r="F1665">
        <v>2</v>
      </c>
      <c r="G1665">
        <v>0</v>
      </c>
      <c r="H1665">
        <v>0</v>
      </c>
      <c r="I1665" s="12" t="s">
        <v>151</v>
      </c>
      <c r="J1665" s="12" t="s">
        <v>152</v>
      </c>
      <c r="K1665" s="12" t="s">
        <v>125</v>
      </c>
      <c r="L1665" s="12" t="s">
        <v>69</v>
      </c>
      <c r="M1665">
        <v>36.479999999999997</v>
      </c>
      <c r="N1665" s="12" t="s">
        <v>97</v>
      </c>
      <c r="O1665" s="12" t="s">
        <v>98</v>
      </c>
      <c r="P1665" s="12" t="s">
        <v>72</v>
      </c>
      <c r="Q1665" s="13">
        <v>45266</v>
      </c>
      <c r="R1665" s="13">
        <v>45289</v>
      </c>
      <c r="S1665">
        <v>2023</v>
      </c>
      <c r="T1665" s="12" t="s">
        <v>2336</v>
      </c>
      <c r="U1665">
        <v>684</v>
      </c>
      <c r="V1665">
        <v>41.2042</v>
      </c>
      <c r="W1665">
        <v>485.46</v>
      </c>
      <c r="X1665">
        <v>0</v>
      </c>
      <c r="Y1665">
        <v>0</v>
      </c>
      <c r="Z1665">
        <v>28183.67</v>
      </c>
      <c r="AA1665">
        <v>28669.13</v>
      </c>
      <c r="AB1665" s="12" t="s">
        <v>2363</v>
      </c>
      <c r="AC1665">
        <v>41.2042</v>
      </c>
      <c r="AD1665">
        <v>1</v>
      </c>
      <c r="AE1665">
        <v>1</v>
      </c>
      <c r="AF1665">
        <v>0</v>
      </c>
      <c r="AG1665">
        <v>28183.67</v>
      </c>
      <c r="AH1665">
        <v>684</v>
      </c>
      <c r="AI1665">
        <v>674</v>
      </c>
      <c r="AJ1665">
        <v>10</v>
      </c>
      <c r="AK1665">
        <v>1</v>
      </c>
      <c r="AL1665">
        <v>1</v>
      </c>
      <c r="AM1665">
        <v>98.54</v>
      </c>
      <c r="AN1665">
        <v>42.535800000000002</v>
      </c>
      <c r="AO1665">
        <v>412.04</v>
      </c>
      <c r="AP1665" s="13">
        <v>45288</v>
      </c>
      <c r="AQ1665">
        <v>-1</v>
      </c>
      <c r="AR1665">
        <v>1</v>
      </c>
    </row>
    <row r="1666" spans="1:44" x14ac:dyDescent="0.35">
      <c r="A1666" s="12" t="s">
        <v>2364</v>
      </c>
      <c r="B1666" s="12" t="s">
        <v>1042</v>
      </c>
      <c r="C1666" s="12" t="s">
        <v>1043</v>
      </c>
      <c r="D1666" s="12" t="s">
        <v>269</v>
      </c>
      <c r="E1666" s="12" t="s">
        <v>104</v>
      </c>
      <c r="F1666">
        <v>2</v>
      </c>
      <c r="G1666">
        <v>0</v>
      </c>
      <c r="H1666">
        <v>0</v>
      </c>
      <c r="I1666" s="12" t="s">
        <v>143</v>
      </c>
      <c r="J1666" s="12" t="s">
        <v>144</v>
      </c>
      <c r="K1666" s="12" t="s">
        <v>133</v>
      </c>
      <c r="L1666" s="12" t="s">
        <v>96</v>
      </c>
      <c r="M1666">
        <v>5.43</v>
      </c>
      <c r="N1666" s="12" t="s">
        <v>135</v>
      </c>
      <c r="O1666" s="12" t="s">
        <v>136</v>
      </c>
      <c r="P1666" s="12" t="s">
        <v>137</v>
      </c>
      <c r="Q1666" s="13">
        <v>45266</v>
      </c>
      <c r="R1666" s="13">
        <v>45290</v>
      </c>
      <c r="S1666">
        <v>2023</v>
      </c>
      <c r="T1666" s="12" t="s">
        <v>2336</v>
      </c>
      <c r="U1666">
        <v>104</v>
      </c>
      <c r="V1666">
        <v>290.76319999999998</v>
      </c>
      <c r="W1666">
        <v>480.92</v>
      </c>
      <c r="X1666">
        <v>0</v>
      </c>
      <c r="Y1666">
        <v>0</v>
      </c>
      <c r="Z1666">
        <v>30239.37</v>
      </c>
      <c r="AA1666">
        <v>30720.29</v>
      </c>
      <c r="AB1666" s="12" t="s">
        <v>1044</v>
      </c>
      <c r="AC1666">
        <v>290.76319999999998</v>
      </c>
      <c r="AD1666">
        <v>1</v>
      </c>
      <c r="AE1666">
        <v>1</v>
      </c>
      <c r="AF1666">
        <v>0</v>
      </c>
      <c r="AG1666">
        <v>30239.37</v>
      </c>
      <c r="AH1666">
        <v>104</v>
      </c>
      <c r="AI1666">
        <v>104</v>
      </c>
      <c r="AJ1666">
        <v>0</v>
      </c>
      <c r="AK1666">
        <v>1</v>
      </c>
      <c r="AL1666">
        <v>1</v>
      </c>
      <c r="AM1666">
        <v>100</v>
      </c>
      <c r="AN1666">
        <v>295.38740000000001</v>
      </c>
      <c r="AO1666">
        <v>0</v>
      </c>
      <c r="AP1666" s="13">
        <v>45294</v>
      </c>
      <c r="AQ1666">
        <v>4</v>
      </c>
      <c r="AR1666">
        <v>0</v>
      </c>
    </row>
    <row r="1667" spans="1:44" x14ac:dyDescent="0.35">
      <c r="A1667" s="12" t="s">
        <v>2365</v>
      </c>
      <c r="B1667" s="12" t="s">
        <v>766</v>
      </c>
      <c r="C1667" s="12" t="s">
        <v>767</v>
      </c>
      <c r="D1667" s="12" t="s">
        <v>175</v>
      </c>
      <c r="E1667" s="12" t="s">
        <v>65</v>
      </c>
      <c r="F1667">
        <v>3</v>
      </c>
      <c r="G1667">
        <v>5</v>
      </c>
      <c r="H1667">
        <v>0</v>
      </c>
      <c r="I1667" s="12" t="s">
        <v>87</v>
      </c>
      <c r="J1667" s="12" t="s">
        <v>88</v>
      </c>
      <c r="K1667" s="12" t="s">
        <v>89</v>
      </c>
      <c r="L1667" s="12" t="s">
        <v>69</v>
      </c>
      <c r="M1667">
        <v>14.93</v>
      </c>
      <c r="N1667" s="12" t="s">
        <v>145</v>
      </c>
      <c r="O1667" s="12" t="s">
        <v>146</v>
      </c>
      <c r="P1667" s="12" t="s">
        <v>109</v>
      </c>
      <c r="Q1667" s="13">
        <v>45267</v>
      </c>
      <c r="R1667" s="13">
        <v>45295</v>
      </c>
      <c r="S1667">
        <v>2023</v>
      </c>
      <c r="T1667" s="12" t="s">
        <v>2336</v>
      </c>
      <c r="U1667">
        <v>71</v>
      </c>
      <c r="V1667">
        <v>86.977900000000005</v>
      </c>
      <c r="W1667">
        <v>132.75</v>
      </c>
      <c r="X1667">
        <v>0</v>
      </c>
      <c r="Y1667">
        <v>0</v>
      </c>
      <c r="Z1667">
        <v>6175.43</v>
      </c>
      <c r="AA1667">
        <v>6308.18</v>
      </c>
      <c r="AB1667" s="12" t="s">
        <v>768</v>
      </c>
      <c r="AC1667">
        <v>86.977900000000005</v>
      </c>
      <c r="AD1667">
        <v>1</v>
      </c>
      <c r="AE1667">
        <v>1</v>
      </c>
      <c r="AF1667">
        <v>0</v>
      </c>
      <c r="AG1667">
        <v>6175.43</v>
      </c>
      <c r="AH1667">
        <v>71</v>
      </c>
      <c r="AI1667">
        <v>71</v>
      </c>
      <c r="AJ1667">
        <v>0</v>
      </c>
      <c r="AK1667">
        <v>1</v>
      </c>
      <c r="AL1667">
        <v>1</v>
      </c>
      <c r="AM1667">
        <v>100</v>
      </c>
      <c r="AN1667">
        <v>88.8476</v>
      </c>
      <c r="AO1667">
        <v>0</v>
      </c>
      <c r="AP1667" s="13">
        <v>45294</v>
      </c>
      <c r="AQ1667">
        <v>-1</v>
      </c>
      <c r="AR1667">
        <v>1</v>
      </c>
    </row>
    <row r="1668" spans="1:44" x14ac:dyDescent="0.35">
      <c r="A1668" s="12" t="s">
        <v>2366</v>
      </c>
      <c r="B1668" s="12" t="s">
        <v>1034</v>
      </c>
      <c r="C1668" s="12" t="s">
        <v>1035</v>
      </c>
      <c r="D1668" s="12" t="s">
        <v>64</v>
      </c>
      <c r="E1668" s="12" t="s">
        <v>104</v>
      </c>
      <c r="F1668">
        <v>2</v>
      </c>
      <c r="G1668">
        <v>0</v>
      </c>
      <c r="H1668">
        <v>0</v>
      </c>
      <c r="I1668" s="12" t="s">
        <v>157</v>
      </c>
      <c r="J1668" s="12" t="s">
        <v>158</v>
      </c>
      <c r="K1668" s="12" t="s">
        <v>117</v>
      </c>
      <c r="L1668" s="12" t="s">
        <v>96</v>
      </c>
      <c r="M1668">
        <v>4.72</v>
      </c>
      <c r="N1668" s="12" t="s">
        <v>70</v>
      </c>
      <c r="O1668" s="12" t="s">
        <v>71</v>
      </c>
      <c r="P1668" s="12" t="s">
        <v>72</v>
      </c>
      <c r="Q1668" s="13">
        <v>45267</v>
      </c>
      <c r="R1668" s="13">
        <v>45289</v>
      </c>
      <c r="S1668">
        <v>2023</v>
      </c>
      <c r="T1668" s="12" t="s">
        <v>2336</v>
      </c>
      <c r="U1668">
        <v>638</v>
      </c>
      <c r="V1668">
        <v>9.9979999999999993</v>
      </c>
      <c r="W1668">
        <v>104.08</v>
      </c>
      <c r="X1668">
        <v>207.04</v>
      </c>
      <c r="Y1668">
        <v>1</v>
      </c>
      <c r="Z1668">
        <v>6378.72</v>
      </c>
      <c r="AA1668">
        <v>6689.84</v>
      </c>
      <c r="AB1668" s="12" t="s">
        <v>1036</v>
      </c>
      <c r="AC1668">
        <v>9.9979999999999993</v>
      </c>
      <c r="AD1668">
        <v>1</v>
      </c>
      <c r="AE1668">
        <v>1</v>
      </c>
      <c r="AF1668">
        <v>0</v>
      </c>
      <c r="AG1668">
        <v>6378.72</v>
      </c>
      <c r="AH1668">
        <v>638</v>
      </c>
      <c r="AI1668">
        <v>631</v>
      </c>
      <c r="AJ1668">
        <v>7</v>
      </c>
      <c r="AK1668">
        <v>1</v>
      </c>
      <c r="AL1668">
        <v>1</v>
      </c>
      <c r="AM1668">
        <v>98.9</v>
      </c>
      <c r="AN1668">
        <v>10.602</v>
      </c>
      <c r="AO1668">
        <v>69.989999999999995</v>
      </c>
      <c r="AP1668" s="13">
        <v>45285</v>
      </c>
      <c r="AQ1668">
        <v>-4</v>
      </c>
      <c r="AR1668">
        <v>1</v>
      </c>
    </row>
    <row r="1669" spans="1:44" x14ac:dyDescent="0.35">
      <c r="A1669" s="12" t="s">
        <v>2367</v>
      </c>
      <c r="B1669" s="12" t="s">
        <v>399</v>
      </c>
      <c r="C1669" s="12" t="s">
        <v>400</v>
      </c>
      <c r="D1669" s="12" t="s">
        <v>114</v>
      </c>
      <c r="E1669" s="12" t="s">
        <v>65</v>
      </c>
      <c r="F1669">
        <v>1</v>
      </c>
      <c r="G1669">
        <v>2</v>
      </c>
      <c r="H1669">
        <v>1</v>
      </c>
      <c r="I1669" s="12" t="s">
        <v>151</v>
      </c>
      <c r="J1669" s="12" t="s">
        <v>152</v>
      </c>
      <c r="K1669" s="12" t="s">
        <v>125</v>
      </c>
      <c r="L1669" s="12" t="s">
        <v>69</v>
      </c>
      <c r="M1669">
        <v>36.479999999999997</v>
      </c>
      <c r="N1669" s="12" t="s">
        <v>70</v>
      </c>
      <c r="O1669" s="12" t="s">
        <v>71</v>
      </c>
      <c r="P1669" s="12" t="s">
        <v>72</v>
      </c>
      <c r="Q1669" s="13">
        <v>45267</v>
      </c>
      <c r="R1669" s="13">
        <v>45301</v>
      </c>
      <c r="S1669">
        <v>2023</v>
      </c>
      <c r="T1669" s="12" t="s">
        <v>2336</v>
      </c>
      <c r="U1669">
        <v>118</v>
      </c>
      <c r="V1669">
        <v>279.66120000000001</v>
      </c>
      <c r="W1669">
        <v>572.54999999999995</v>
      </c>
      <c r="X1669">
        <v>0</v>
      </c>
      <c r="Y1669">
        <v>0</v>
      </c>
      <c r="Z1669">
        <v>33000.019999999997</v>
      </c>
      <c r="AA1669">
        <v>33572.57</v>
      </c>
      <c r="AB1669" s="12" t="s">
        <v>401</v>
      </c>
      <c r="AC1669">
        <v>296.81490000000002</v>
      </c>
      <c r="AD1669">
        <v>1</v>
      </c>
      <c r="AE1669">
        <v>1</v>
      </c>
      <c r="AF1669">
        <v>-2024.14</v>
      </c>
      <c r="AG1669">
        <v>35024.160000000003</v>
      </c>
      <c r="AH1669">
        <v>118</v>
      </c>
      <c r="AI1669">
        <v>117</v>
      </c>
      <c r="AJ1669">
        <v>1</v>
      </c>
      <c r="AK1669">
        <v>1</v>
      </c>
      <c r="AL1669">
        <v>1</v>
      </c>
      <c r="AM1669">
        <v>99.15</v>
      </c>
      <c r="AN1669">
        <v>286.94510000000002</v>
      </c>
      <c r="AO1669">
        <v>279.66000000000003</v>
      </c>
      <c r="AP1669" s="13">
        <v>45298</v>
      </c>
      <c r="AQ1669">
        <v>-3</v>
      </c>
      <c r="AR1669">
        <v>1</v>
      </c>
    </row>
    <row r="1670" spans="1:44" x14ac:dyDescent="0.35">
      <c r="A1670" s="12" t="s">
        <v>2368</v>
      </c>
      <c r="B1670" s="12" t="s">
        <v>694</v>
      </c>
      <c r="C1670" s="12" t="s">
        <v>695</v>
      </c>
      <c r="D1670" s="12" t="s">
        <v>103</v>
      </c>
      <c r="E1670" s="12" t="s">
        <v>65</v>
      </c>
      <c r="F1670">
        <v>2</v>
      </c>
      <c r="G1670">
        <v>3</v>
      </c>
      <c r="H1670">
        <v>0</v>
      </c>
      <c r="I1670" s="12" t="s">
        <v>263</v>
      </c>
      <c r="J1670" s="12" t="s">
        <v>264</v>
      </c>
      <c r="K1670" s="12" t="s">
        <v>125</v>
      </c>
      <c r="L1670" s="12" t="s">
        <v>82</v>
      </c>
      <c r="M1670">
        <v>10.210000000000001</v>
      </c>
      <c r="N1670" s="12" t="s">
        <v>107</v>
      </c>
      <c r="O1670" s="12" t="s">
        <v>108</v>
      </c>
      <c r="P1670" s="12" t="s">
        <v>109</v>
      </c>
      <c r="Q1670" s="13">
        <v>45267</v>
      </c>
      <c r="R1670" s="13">
        <v>45300</v>
      </c>
      <c r="S1670">
        <v>2023</v>
      </c>
      <c r="T1670" s="12" t="s">
        <v>2336</v>
      </c>
      <c r="U1670">
        <v>108</v>
      </c>
      <c r="V1670">
        <v>215.60980000000001</v>
      </c>
      <c r="W1670">
        <v>309.62</v>
      </c>
      <c r="X1670">
        <v>0</v>
      </c>
      <c r="Y1670">
        <v>0</v>
      </c>
      <c r="Z1670">
        <v>23285.86</v>
      </c>
      <c r="AA1670">
        <v>23595.48</v>
      </c>
      <c r="AB1670" s="12" t="s">
        <v>696</v>
      </c>
      <c r="AC1670">
        <v>215.60980000000001</v>
      </c>
      <c r="AD1670">
        <v>1</v>
      </c>
      <c r="AE1670">
        <v>1</v>
      </c>
      <c r="AF1670">
        <v>0</v>
      </c>
      <c r="AG1670">
        <v>23285.86</v>
      </c>
      <c r="AH1670">
        <v>108</v>
      </c>
      <c r="AI1670">
        <v>107</v>
      </c>
      <c r="AJ1670">
        <v>1</v>
      </c>
      <c r="AK1670">
        <v>1</v>
      </c>
      <c r="AL1670">
        <v>1</v>
      </c>
      <c r="AM1670">
        <v>99.07</v>
      </c>
      <c r="AN1670">
        <v>220.51849999999999</v>
      </c>
      <c r="AO1670">
        <v>215.61</v>
      </c>
      <c r="AP1670" s="13">
        <v>45297</v>
      </c>
      <c r="AQ1670">
        <v>-3</v>
      </c>
      <c r="AR1670">
        <v>1</v>
      </c>
    </row>
    <row r="1671" spans="1:44" x14ac:dyDescent="0.35">
      <c r="A1671" s="12" t="s">
        <v>2369</v>
      </c>
      <c r="B1671" s="12" t="s">
        <v>569</v>
      </c>
      <c r="C1671" s="12" t="s">
        <v>570</v>
      </c>
      <c r="D1671" s="12" t="s">
        <v>114</v>
      </c>
      <c r="E1671" s="12" t="s">
        <v>142</v>
      </c>
      <c r="F1671">
        <v>1</v>
      </c>
      <c r="G1671">
        <v>6</v>
      </c>
      <c r="H1671">
        <v>1</v>
      </c>
      <c r="I1671" s="12" t="s">
        <v>123</v>
      </c>
      <c r="J1671" s="12" t="s">
        <v>124</v>
      </c>
      <c r="K1671" s="12" t="s">
        <v>125</v>
      </c>
      <c r="L1671" s="12" t="s">
        <v>82</v>
      </c>
      <c r="M1671">
        <v>6.75</v>
      </c>
      <c r="N1671" s="12" t="s">
        <v>70</v>
      </c>
      <c r="O1671" s="12" t="s">
        <v>71</v>
      </c>
      <c r="P1671" s="12" t="s">
        <v>72</v>
      </c>
      <c r="Q1671" s="13">
        <v>45267</v>
      </c>
      <c r="R1671" s="13">
        <v>45310</v>
      </c>
      <c r="S1671">
        <v>2023</v>
      </c>
      <c r="T1671" s="12" t="s">
        <v>2336</v>
      </c>
      <c r="U1671">
        <v>73</v>
      </c>
      <c r="V1671">
        <v>349.9393</v>
      </c>
      <c r="W1671">
        <v>629.16</v>
      </c>
      <c r="X1671">
        <v>0</v>
      </c>
      <c r="Y1671">
        <v>0</v>
      </c>
      <c r="Z1671">
        <v>25545.57</v>
      </c>
      <c r="AA1671">
        <v>26174.73</v>
      </c>
      <c r="AB1671" s="12" t="s">
        <v>571</v>
      </c>
      <c r="AC1671">
        <v>349.9393</v>
      </c>
      <c r="AD1671">
        <v>1</v>
      </c>
      <c r="AE1671">
        <v>1</v>
      </c>
      <c r="AF1671">
        <v>0</v>
      </c>
      <c r="AG1671">
        <v>25545.57</v>
      </c>
      <c r="AH1671">
        <v>73</v>
      </c>
      <c r="AI1671">
        <v>73</v>
      </c>
      <c r="AJ1671">
        <v>0</v>
      </c>
      <c r="AK1671">
        <v>1</v>
      </c>
      <c r="AL1671">
        <v>1</v>
      </c>
      <c r="AM1671">
        <v>100</v>
      </c>
      <c r="AN1671">
        <v>358.55790000000002</v>
      </c>
      <c r="AO1671">
        <v>0</v>
      </c>
      <c r="AP1671" s="13">
        <v>45310</v>
      </c>
      <c r="AQ1671">
        <v>0</v>
      </c>
      <c r="AR1671">
        <v>1</v>
      </c>
    </row>
    <row r="1672" spans="1:44" x14ac:dyDescent="0.35">
      <c r="A1672" s="12" t="s">
        <v>2370</v>
      </c>
      <c r="B1672" s="12" t="s">
        <v>447</v>
      </c>
      <c r="C1672" s="12" t="s">
        <v>448</v>
      </c>
      <c r="D1672" s="12" t="s">
        <v>269</v>
      </c>
      <c r="E1672" s="12" t="s">
        <v>65</v>
      </c>
      <c r="F1672">
        <v>2</v>
      </c>
      <c r="G1672">
        <v>2</v>
      </c>
      <c r="H1672">
        <v>0</v>
      </c>
      <c r="I1672" s="12" t="s">
        <v>176</v>
      </c>
      <c r="J1672" s="12" t="s">
        <v>177</v>
      </c>
      <c r="K1672" s="12" t="s">
        <v>125</v>
      </c>
      <c r="L1672" s="12" t="s">
        <v>134</v>
      </c>
      <c r="M1672">
        <v>1.75</v>
      </c>
      <c r="N1672" s="12" t="s">
        <v>159</v>
      </c>
      <c r="O1672" s="12" t="s">
        <v>160</v>
      </c>
      <c r="P1672" s="12" t="s">
        <v>137</v>
      </c>
      <c r="Q1672" s="13">
        <v>45267</v>
      </c>
      <c r="R1672" s="13">
        <v>45304</v>
      </c>
      <c r="S1672">
        <v>2023</v>
      </c>
      <c r="T1672" s="12" t="s">
        <v>2336</v>
      </c>
      <c r="U1672">
        <v>140</v>
      </c>
      <c r="V1672">
        <v>388.54930000000002</v>
      </c>
      <c r="W1672">
        <v>643.54999999999995</v>
      </c>
      <c r="X1672">
        <v>0</v>
      </c>
      <c r="Y1672">
        <v>0</v>
      </c>
      <c r="Z1672">
        <v>54396.9</v>
      </c>
      <c r="AA1672">
        <v>55040.45</v>
      </c>
      <c r="AB1672" s="12" t="s">
        <v>2333</v>
      </c>
      <c r="AC1672">
        <v>388.54930000000002</v>
      </c>
      <c r="AD1672">
        <v>1</v>
      </c>
      <c r="AE1672">
        <v>1</v>
      </c>
      <c r="AF1672">
        <v>0</v>
      </c>
      <c r="AG1672">
        <v>54396.9</v>
      </c>
      <c r="AH1672">
        <v>140</v>
      </c>
      <c r="AI1672">
        <v>139</v>
      </c>
      <c r="AJ1672">
        <v>1</v>
      </c>
      <c r="AK1672">
        <v>1</v>
      </c>
      <c r="AL1672">
        <v>1</v>
      </c>
      <c r="AM1672">
        <v>99.29</v>
      </c>
      <c r="AN1672">
        <v>395.97449999999998</v>
      </c>
      <c r="AO1672">
        <v>388.55</v>
      </c>
      <c r="AP1672" s="13">
        <v>45301</v>
      </c>
      <c r="AQ1672">
        <v>-3</v>
      </c>
      <c r="AR1672">
        <v>1</v>
      </c>
    </row>
    <row r="1673" spans="1:44" x14ac:dyDescent="0.35">
      <c r="A1673" s="12" t="s">
        <v>2371</v>
      </c>
      <c r="B1673" s="12" t="s">
        <v>902</v>
      </c>
      <c r="C1673" s="12" t="s">
        <v>903</v>
      </c>
      <c r="D1673" s="12" t="s">
        <v>122</v>
      </c>
      <c r="E1673" s="12" t="s">
        <v>142</v>
      </c>
      <c r="F1673">
        <v>1</v>
      </c>
      <c r="G1673">
        <v>6</v>
      </c>
      <c r="H1673">
        <v>1</v>
      </c>
      <c r="I1673" s="12" t="s">
        <v>105</v>
      </c>
      <c r="J1673" s="12" t="s">
        <v>106</v>
      </c>
      <c r="K1673" s="12" t="s">
        <v>81</v>
      </c>
      <c r="L1673" s="12" t="s">
        <v>96</v>
      </c>
      <c r="M1673">
        <v>5.01</v>
      </c>
      <c r="N1673" s="12" t="s">
        <v>97</v>
      </c>
      <c r="O1673" s="12" t="s">
        <v>98</v>
      </c>
      <c r="P1673" s="12" t="s">
        <v>72</v>
      </c>
      <c r="Q1673" s="13">
        <v>45267</v>
      </c>
      <c r="R1673" s="13">
        <v>45318</v>
      </c>
      <c r="S1673">
        <v>2023</v>
      </c>
      <c r="T1673" s="12" t="s">
        <v>2336</v>
      </c>
      <c r="U1673">
        <v>1850</v>
      </c>
      <c r="V1673">
        <v>41.861199999999997</v>
      </c>
      <c r="W1673">
        <v>1697.05</v>
      </c>
      <c r="X1673">
        <v>0</v>
      </c>
      <c r="Y1673">
        <v>0</v>
      </c>
      <c r="Z1673">
        <v>77443.22</v>
      </c>
      <c r="AA1673">
        <v>79140.27</v>
      </c>
      <c r="AB1673" s="12" t="s">
        <v>904</v>
      </c>
      <c r="AC1673">
        <v>41.861199999999997</v>
      </c>
      <c r="AD1673">
        <v>1</v>
      </c>
      <c r="AE1673">
        <v>1</v>
      </c>
      <c r="AF1673">
        <v>0</v>
      </c>
      <c r="AG1673">
        <v>77443.22</v>
      </c>
      <c r="AH1673">
        <v>1850</v>
      </c>
      <c r="AI1673">
        <v>1845</v>
      </c>
      <c r="AJ1673">
        <v>5</v>
      </c>
      <c r="AK1673">
        <v>1</v>
      </c>
      <c r="AL1673">
        <v>1</v>
      </c>
      <c r="AM1673">
        <v>99.73</v>
      </c>
      <c r="AN1673">
        <v>42.894500000000001</v>
      </c>
      <c r="AO1673">
        <v>209.31</v>
      </c>
      <c r="AP1673" s="13">
        <v>45318</v>
      </c>
      <c r="AQ1673">
        <v>0</v>
      </c>
      <c r="AR1673">
        <v>1</v>
      </c>
    </row>
    <row r="1674" spans="1:44" x14ac:dyDescent="0.35">
      <c r="A1674" s="12" t="s">
        <v>2372</v>
      </c>
      <c r="B1674" s="12" t="s">
        <v>509</v>
      </c>
      <c r="C1674" s="12" t="s">
        <v>510</v>
      </c>
      <c r="D1674" s="12" t="s">
        <v>78</v>
      </c>
      <c r="E1674" s="12" t="s">
        <v>142</v>
      </c>
      <c r="F1674">
        <v>3</v>
      </c>
      <c r="G1674">
        <v>11</v>
      </c>
      <c r="H1674">
        <v>0</v>
      </c>
      <c r="I1674" s="12" t="s">
        <v>176</v>
      </c>
      <c r="J1674" s="12" t="s">
        <v>177</v>
      </c>
      <c r="K1674" s="12" t="s">
        <v>125</v>
      </c>
      <c r="L1674" s="12" t="s">
        <v>134</v>
      </c>
      <c r="M1674">
        <v>1.75</v>
      </c>
      <c r="N1674" s="12" t="s">
        <v>70</v>
      </c>
      <c r="O1674" s="12" t="s">
        <v>71</v>
      </c>
      <c r="P1674" s="12" t="s">
        <v>72</v>
      </c>
      <c r="Q1674" s="13">
        <v>45267</v>
      </c>
      <c r="R1674" s="13">
        <v>45305</v>
      </c>
      <c r="S1674">
        <v>2023</v>
      </c>
      <c r="T1674" s="12" t="s">
        <v>2336</v>
      </c>
      <c r="U1674">
        <v>91</v>
      </c>
      <c r="V1674">
        <v>144.51259999999999</v>
      </c>
      <c r="W1674">
        <v>145.51</v>
      </c>
      <c r="X1674">
        <v>0</v>
      </c>
      <c r="Y1674">
        <v>0</v>
      </c>
      <c r="Z1674">
        <v>13150.65</v>
      </c>
      <c r="AA1674">
        <v>13296.16</v>
      </c>
      <c r="AB1674" s="12" t="s">
        <v>511</v>
      </c>
      <c r="AC1674">
        <v>144.51259999999999</v>
      </c>
      <c r="AD1674">
        <v>1</v>
      </c>
      <c r="AE1674">
        <v>1</v>
      </c>
      <c r="AF1674">
        <v>0</v>
      </c>
      <c r="AG1674">
        <v>13150.65</v>
      </c>
      <c r="AH1674">
        <v>91</v>
      </c>
      <c r="AI1674">
        <v>89</v>
      </c>
      <c r="AJ1674">
        <v>2</v>
      </c>
      <c r="AK1674">
        <v>1</v>
      </c>
      <c r="AL1674">
        <v>1</v>
      </c>
      <c r="AM1674">
        <v>97.8</v>
      </c>
      <c r="AN1674">
        <v>149.39500000000001</v>
      </c>
      <c r="AO1674">
        <v>289.02999999999997</v>
      </c>
      <c r="AP1674" s="13">
        <v>45304</v>
      </c>
      <c r="AQ1674">
        <v>-1</v>
      </c>
      <c r="AR1674">
        <v>1</v>
      </c>
    </row>
    <row r="1675" spans="1:44" x14ac:dyDescent="0.35">
      <c r="A1675" s="12" t="s">
        <v>2373</v>
      </c>
      <c r="B1675" s="12" t="s">
        <v>1433</v>
      </c>
      <c r="C1675" s="12" t="s">
        <v>1434</v>
      </c>
      <c r="D1675" s="12" t="s">
        <v>269</v>
      </c>
      <c r="E1675" s="12" t="s">
        <v>65</v>
      </c>
      <c r="F1675">
        <v>3</v>
      </c>
      <c r="G1675">
        <v>5</v>
      </c>
      <c r="H1675">
        <v>0</v>
      </c>
      <c r="I1675" s="12" t="s">
        <v>223</v>
      </c>
      <c r="J1675" s="12" t="s">
        <v>224</v>
      </c>
      <c r="K1675" s="12" t="s">
        <v>81</v>
      </c>
      <c r="L1675" s="12" t="s">
        <v>134</v>
      </c>
      <c r="M1675">
        <v>2.4900000000000002</v>
      </c>
      <c r="N1675" s="12" t="s">
        <v>159</v>
      </c>
      <c r="O1675" s="12" t="s">
        <v>160</v>
      </c>
      <c r="P1675" s="12" t="s">
        <v>137</v>
      </c>
      <c r="Q1675" s="13">
        <v>45267</v>
      </c>
      <c r="R1675" s="13">
        <v>45297</v>
      </c>
      <c r="S1675">
        <v>2023</v>
      </c>
      <c r="T1675" s="12" t="s">
        <v>2336</v>
      </c>
      <c r="U1675">
        <v>83</v>
      </c>
      <c r="V1675">
        <v>457.42090000000002</v>
      </c>
      <c r="W1675">
        <v>303.01</v>
      </c>
      <c r="X1675">
        <v>0</v>
      </c>
      <c r="Y1675">
        <v>0</v>
      </c>
      <c r="Z1675">
        <v>37965.93</v>
      </c>
      <c r="AA1675">
        <v>38268.94</v>
      </c>
      <c r="AB1675" s="12" t="s">
        <v>1435</v>
      </c>
      <c r="AC1675">
        <v>457.42090000000002</v>
      </c>
      <c r="AD1675">
        <v>1</v>
      </c>
      <c r="AE1675">
        <v>1</v>
      </c>
      <c r="AF1675">
        <v>0</v>
      </c>
      <c r="AG1675">
        <v>37965.93</v>
      </c>
      <c r="AH1675">
        <v>83</v>
      </c>
      <c r="AI1675">
        <v>82</v>
      </c>
      <c r="AJ1675">
        <v>1</v>
      </c>
      <c r="AK1675">
        <v>1</v>
      </c>
      <c r="AL1675">
        <v>1</v>
      </c>
      <c r="AM1675">
        <v>98.8</v>
      </c>
      <c r="AN1675">
        <v>466.69439999999997</v>
      </c>
      <c r="AO1675">
        <v>457.42</v>
      </c>
      <c r="AP1675" s="13">
        <v>45296</v>
      </c>
      <c r="AQ1675">
        <v>-1</v>
      </c>
      <c r="AR1675">
        <v>1</v>
      </c>
    </row>
    <row r="1676" spans="1:44" x14ac:dyDescent="0.35">
      <c r="A1676" s="12" t="s">
        <v>2374</v>
      </c>
      <c r="B1676" s="12" t="s">
        <v>537</v>
      </c>
      <c r="C1676" s="12" t="s">
        <v>538</v>
      </c>
      <c r="D1676" s="12" t="s">
        <v>103</v>
      </c>
      <c r="E1676" s="12" t="s">
        <v>104</v>
      </c>
      <c r="F1676">
        <v>3</v>
      </c>
      <c r="G1676">
        <v>0</v>
      </c>
      <c r="H1676">
        <v>0</v>
      </c>
      <c r="I1676" s="12" t="s">
        <v>380</v>
      </c>
      <c r="J1676" s="12" t="s">
        <v>381</v>
      </c>
      <c r="K1676" s="12" t="s">
        <v>89</v>
      </c>
      <c r="L1676" s="12" t="s">
        <v>96</v>
      </c>
      <c r="M1676">
        <v>10.210000000000001</v>
      </c>
      <c r="N1676" s="12" t="s">
        <v>145</v>
      </c>
      <c r="O1676" s="12" t="s">
        <v>146</v>
      </c>
      <c r="P1676" s="12" t="s">
        <v>109</v>
      </c>
      <c r="Q1676" s="13">
        <v>45268</v>
      </c>
      <c r="R1676" s="13">
        <v>45286</v>
      </c>
      <c r="S1676">
        <v>2023</v>
      </c>
      <c r="T1676" s="12" t="s">
        <v>2336</v>
      </c>
      <c r="U1676">
        <v>60</v>
      </c>
      <c r="V1676">
        <v>242.5684</v>
      </c>
      <c r="W1676">
        <v>341.04</v>
      </c>
      <c r="X1676">
        <v>0</v>
      </c>
      <c r="Y1676">
        <v>0</v>
      </c>
      <c r="Z1676">
        <v>14554.1</v>
      </c>
      <c r="AA1676">
        <v>14895.14</v>
      </c>
      <c r="AB1676" s="12" t="s">
        <v>539</v>
      </c>
      <c r="AC1676">
        <v>242.5684</v>
      </c>
      <c r="AD1676">
        <v>1</v>
      </c>
      <c r="AE1676">
        <v>1</v>
      </c>
      <c r="AF1676">
        <v>0</v>
      </c>
      <c r="AG1676">
        <v>14554.1</v>
      </c>
      <c r="AH1676">
        <v>60</v>
      </c>
      <c r="AI1676">
        <v>60</v>
      </c>
      <c r="AJ1676">
        <v>0</v>
      </c>
      <c r="AK1676">
        <v>1</v>
      </c>
      <c r="AL1676">
        <v>1</v>
      </c>
      <c r="AM1676">
        <v>100</v>
      </c>
      <c r="AN1676">
        <v>248.25239999999999</v>
      </c>
      <c r="AO1676">
        <v>0</v>
      </c>
      <c r="AP1676" s="13">
        <v>45285</v>
      </c>
      <c r="AQ1676">
        <v>-1</v>
      </c>
      <c r="AR1676">
        <v>1</v>
      </c>
    </row>
    <row r="1677" spans="1:44" x14ac:dyDescent="0.35">
      <c r="A1677" s="12" t="s">
        <v>2375</v>
      </c>
      <c r="B1677" s="12" t="s">
        <v>802</v>
      </c>
      <c r="C1677" s="12" t="s">
        <v>803</v>
      </c>
      <c r="D1677" s="12" t="s">
        <v>114</v>
      </c>
      <c r="E1677" s="12" t="s">
        <v>65</v>
      </c>
      <c r="F1677">
        <v>3</v>
      </c>
      <c r="G1677">
        <v>5</v>
      </c>
      <c r="H1677">
        <v>0</v>
      </c>
      <c r="I1677" s="12" t="s">
        <v>804</v>
      </c>
      <c r="J1677" s="12" t="s">
        <v>342</v>
      </c>
      <c r="K1677" s="12" t="s">
        <v>117</v>
      </c>
      <c r="L1677" s="12" t="s">
        <v>69</v>
      </c>
      <c r="M1677">
        <v>30.07</v>
      </c>
      <c r="N1677" s="12" t="s">
        <v>70</v>
      </c>
      <c r="O1677" s="12" t="s">
        <v>71</v>
      </c>
      <c r="P1677" s="12" t="s">
        <v>72</v>
      </c>
      <c r="Q1677" s="13">
        <v>45268</v>
      </c>
      <c r="R1677" s="13">
        <v>45295</v>
      </c>
      <c r="S1677">
        <v>2023</v>
      </c>
      <c r="T1677" s="12" t="s">
        <v>2336</v>
      </c>
      <c r="U1677">
        <v>63</v>
      </c>
      <c r="V1677">
        <v>350.71699999999998</v>
      </c>
      <c r="W1677">
        <v>343.87</v>
      </c>
      <c r="X1677">
        <v>0</v>
      </c>
      <c r="Y1677">
        <v>0</v>
      </c>
      <c r="Z1677">
        <v>22095.17</v>
      </c>
      <c r="AA1677">
        <v>22439.040000000001</v>
      </c>
      <c r="AB1677" s="12" t="s">
        <v>805</v>
      </c>
      <c r="AC1677">
        <v>362.99209999999999</v>
      </c>
      <c r="AD1677">
        <v>2</v>
      </c>
      <c r="AE1677">
        <v>1</v>
      </c>
      <c r="AF1677">
        <v>-773.33</v>
      </c>
      <c r="AG1677">
        <v>22868.5</v>
      </c>
      <c r="AH1677">
        <v>63</v>
      </c>
      <c r="AI1677">
        <v>62</v>
      </c>
      <c r="AJ1677">
        <v>1</v>
      </c>
      <c r="AK1677">
        <v>1</v>
      </c>
      <c r="AL1677">
        <v>1</v>
      </c>
      <c r="AM1677">
        <v>98.41</v>
      </c>
      <c r="AN1677">
        <v>361.92</v>
      </c>
      <c r="AO1677">
        <v>350.72</v>
      </c>
      <c r="AP1677" s="13">
        <v>45292</v>
      </c>
      <c r="AQ1677">
        <v>-3</v>
      </c>
      <c r="AR1677">
        <v>1</v>
      </c>
    </row>
    <row r="1678" spans="1:44" x14ac:dyDescent="0.35">
      <c r="A1678" s="12" t="s">
        <v>2376</v>
      </c>
      <c r="B1678" s="12" t="s">
        <v>163</v>
      </c>
      <c r="C1678" s="12" t="s">
        <v>164</v>
      </c>
      <c r="D1678" s="12" t="s">
        <v>64</v>
      </c>
      <c r="E1678" s="12" t="s">
        <v>104</v>
      </c>
      <c r="F1678">
        <v>2</v>
      </c>
      <c r="G1678">
        <v>0</v>
      </c>
      <c r="H1678">
        <v>0</v>
      </c>
      <c r="I1678" s="12" t="s">
        <v>79</v>
      </c>
      <c r="J1678" s="12" t="s">
        <v>80</v>
      </c>
      <c r="K1678" s="12" t="s">
        <v>81</v>
      </c>
      <c r="L1678" s="12" t="s">
        <v>82</v>
      </c>
      <c r="M1678">
        <v>12.07</v>
      </c>
      <c r="N1678" s="12" t="s">
        <v>70</v>
      </c>
      <c r="O1678" s="12" t="s">
        <v>71</v>
      </c>
      <c r="P1678" s="12" t="s">
        <v>72</v>
      </c>
      <c r="Q1678" s="13">
        <v>45268</v>
      </c>
      <c r="R1678" s="13">
        <v>45282</v>
      </c>
      <c r="S1678">
        <v>2023</v>
      </c>
      <c r="T1678" s="12" t="s">
        <v>2336</v>
      </c>
      <c r="U1678">
        <v>242</v>
      </c>
      <c r="V1678">
        <v>12.8643</v>
      </c>
      <c r="W1678">
        <v>68.819999999999993</v>
      </c>
      <c r="X1678">
        <v>0</v>
      </c>
      <c r="Y1678">
        <v>0</v>
      </c>
      <c r="Z1678">
        <v>3113.16</v>
      </c>
      <c r="AA1678">
        <v>3181.98</v>
      </c>
      <c r="AB1678" s="12" t="s">
        <v>165</v>
      </c>
      <c r="AC1678">
        <v>12.8643</v>
      </c>
      <c r="AD1678">
        <v>1</v>
      </c>
      <c r="AE1678">
        <v>1</v>
      </c>
      <c r="AF1678">
        <v>0</v>
      </c>
      <c r="AG1678">
        <v>3113.16</v>
      </c>
      <c r="AH1678">
        <v>242</v>
      </c>
      <c r="AI1678">
        <v>239</v>
      </c>
      <c r="AJ1678">
        <v>3</v>
      </c>
      <c r="AK1678">
        <v>1</v>
      </c>
      <c r="AL1678">
        <v>1</v>
      </c>
      <c r="AM1678">
        <v>98.76</v>
      </c>
      <c r="AN1678">
        <v>13.313700000000001</v>
      </c>
      <c r="AO1678">
        <v>38.590000000000003</v>
      </c>
      <c r="AP1678" s="13">
        <v>45284</v>
      </c>
      <c r="AQ1678">
        <v>2</v>
      </c>
      <c r="AR1678">
        <v>0</v>
      </c>
    </row>
    <row r="1679" spans="1:44" x14ac:dyDescent="0.35">
      <c r="A1679" s="12" t="s">
        <v>2377</v>
      </c>
      <c r="B1679" s="12" t="s">
        <v>706</v>
      </c>
      <c r="C1679" s="12" t="s">
        <v>707</v>
      </c>
      <c r="D1679" s="12" t="s">
        <v>130</v>
      </c>
      <c r="E1679" s="12" t="s">
        <v>142</v>
      </c>
      <c r="F1679">
        <v>1</v>
      </c>
      <c r="G1679">
        <v>8</v>
      </c>
      <c r="H1679">
        <v>1</v>
      </c>
      <c r="I1679" s="12" t="s">
        <v>263</v>
      </c>
      <c r="J1679" s="12" t="s">
        <v>264</v>
      </c>
      <c r="K1679" s="12" t="s">
        <v>125</v>
      </c>
      <c r="L1679" s="12" t="s">
        <v>82</v>
      </c>
      <c r="M1679">
        <v>10.210000000000001</v>
      </c>
      <c r="N1679" s="12" t="s">
        <v>159</v>
      </c>
      <c r="O1679" s="12" t="s">
        <v>160</v>
      </c>
      <c r="P1679" s="12" t="s">
        <v>137</v>
      </c>
      <c r="Q1679" s="13">
        <v>45268</v>
      </c>
      <c r="R1679" s="13">
        <v>45309</v>
      </c>
      <c r="S1679">
        <v>2023</v>
      </c>
      <c r="T1679" s="12" t="s">
        <v>2336</v>
      </c>
      <c r="U1679">
        <v>63</v>
      </c>
      <c r="V1679">
        <v>277.71210000000002</v>
      </c>
      <c r="W1679">
        <v>207.77</v>
      </c>
      <c r="X1679">
        <v>0</v>
      </c>
      <c r="Y1679">
        <v>0</v>
      </c>
      <c r="Z1679">
        <v>17495.86</v>
      </c>
      <c r="AA1679">
        <v>17703.63</v>
      </c>
      <c r="AB1679" s="12" t="s">
        <v>708</v>
      </c>
      <c r="AC1679">
        <v>277.71210000000002</v>
      </c>
      <c r="AD1679">
        <v>1</v>
      </c>
      <c r="AE1679">
        <v>1</v>
      </c>
      <c r="AF1679">
        <v>0</v>
      </c>
      <c r="AG1679">
        <v>17495.86</v>
      </c>
      <c r="AH1679">
        <v>63</v>
      </c>
      <c r="AI1679">
        <v>62</v>
      </c>
      <c r="AJ1679">
        <v>1</v>
      </c>
      <c r="AK1679">
        <v>1</v>
      </c>
      <c r="AL1679">
        <v>1</v>
      </c>
      <c r="AM1679">
        <v>98.41</v>
      </c>
      <c r="AN1679">
        <v>285.54250000000002</v>
      </c>
      <c r="AO1679">
        <v>277.70999999999998</v>
      </c>
      <c r="AP1679" s="13">
        <v>45308</v>
      </c>
      <c r="AQ1679">
        <v>-1</v>
      </c>
      <c r="AR1679">
        <v>1</v>
      </c>
    </row>
    <row r="1680" spans="1:44" x14ac:dyDescent="0.35">
      <c r="A1680" s="12" t="s">
        <v>2378</v>
      </c>
      <c r="B1680" s="12" t="s">
        <v>437</v>
      </c>
      <c r="C1680" s="12" t="s">
        <v>438</v>
      </c>
      <c r="D1680" s="12" t="s">
        <v>269</v>
      </c>
      <c r="E1680" s="12" t="s">
        <v>65</v>
      </c>
      <c r="F1680">
        <v>2</v>
      </c>
      <c r="G1680">
        <v>4</v>
      </c>
      <c r="H1680">
        <v>0</v>
      </c>
      <c r="I1680" s="12" t="s">
        <v>115</v>
      </c>
      <c r="J1680" s="12" t="s">
        <v>116</v>
      </c>
      <c r="K1680" s="12" t="s">
        <v>117</v>
      </c>
      <c r="L1680" s="12" t="s">
        <v>82</v>
      </c>
      <c r="M1680">
        <v>17.170000000000002</v>
      </c>
      <c r="N1680" s="12" t="s">
        <v>135</v>
      </c>
      <c r="O1680" s="12" t="s">
        <v>136</v>
      </c>
      <c r="P1680" s="12" t="s">
        <v>137</v>
      </c>
      <c r="Q1680" s="13">
        <v>45268</v>
      </c>
      <c r="R1680" s="13">
        <v>45290</v>
      </c>
      <c r="S1680">
        <v>2023</v>
      </c>
      <c r="T1680" s="12" t="s">
        <v>2336</v>
      </c>
      <c r="U1680">
        <v>21</v>
      </c>
      <c r="V1680">
        <v>473.21539999999999</v>
      </c>
      <c r="W1680">
        <v>91.1</v>
      </c>
      <c r="X1680">
        <v>0</v>
      </c>
      <c r="Y1680">
        <v>0</v>
      </c>
      <c r="Z1680">
        <v>9937.52</v>
      </c>
      <c r="AA1680">
        <v>10028.620000000001</v>
      </c>
      <c r="AB1680" s="12" t="s">
        <v>439</v>
      </c>
      <c r="AC1680">
        <v>473.21539999999999</v>
      </c>
      <c r="AD1680">
        <v>1</v>
      </c>
      <c r="AE1680">
        <v>1</v>
      </c>
      <c r="AF1680">
        <v>0</v>
      </c>
      <c r="AG1680">
        <v>9937.52</v>
      </c>
      <c r="AH1680">
        <v>21</v>
      </c>
      <c r="AI1680">
        <v>21</v>
      </c>
      <c r="AJ1680">
        <v>0</v>
      </c>
      <c r="AK1680">
        <v>1</v>
      </c>
      <c r="AL1680">
        <v>1</v>
      </c>
      <c r="AM1680">
        <v>100</v>
      </c>
      <c r="AN1680">
        <v>477.55349999999999</v>
      </c>
      <c r="AO1680">
        <v>0</v>
      </c>
      <c r="AP1680" s="13">
        <v>45287</v>
      </c>
      <c r="AQ1680">
        <v>-3</v>
      </c>
      <c r="AR1680">
        <v>1</v>
      </c>
    </row>
    <row r="1681" spans="1:44" x14ac:dyDescent="0.35">
      <c r="A1681" s="12" t="s">
        <v>2379</v>
      </c>
      <c r="B1681" s="12" t="s">
        <v>1220</v>
      </c>
      <c r="C1681" s="12" t="s">
        <v>1221</v>
      </c>
      <c r="D1681" s="12" t="s">
        <v>175</v>
      </c>
      <c r="E1681" s="12" t="s">
        <v>104</v>
      </c>
      <c r="F1681">
        <v>3</v>
      </c>
      <c r="G1681">
        <v>1</v>
      </c>
      <c r="H1681">
        <v>0</v>
      </c>
      <c r="I1681" s="12" t="s">
        <v>251</v>
      </c>
      <c r="J1681" s="12" t="s">
        <v>252</v>
      </c>
      <c r="K1681" s="12" t="s">
        <v>133</v>
      </c>
      <c r="L1681" s="12" t="s">
        <v>69</v>
      </c>
      <c r="M1681">
        <v>34.49</v>
      </c>
      <c r="N1681" s="12" t="s">
        <v>107</v>
      </c>
      <c r="O1681" s="12" t="s">
        <v>108</v>
      </c>
      <c r="P1681" s="12" t="s">
        <v>109</v>
      </c>
      <c r="Q1681" s="13">
        <v>45268</v>
      </c>
      <c r="R1681" s="13">
        <v>45289</v>
      </c>
      <c r="S1681">
        <v>2023</v>
      </c>
      <c r="T1681" s="12" t="s">
        <v>2336</v>
      </c>
      <c r="U1681">
        <v>82</v>
      </c>
      <c r="V1681">
        <v>138.98759999999999</v>
      </c>
      <c r="W1681">
        <v>231.88</v>
      </c>
      <c r="X1681">
        <v>0</v>
      </c>
      <c r="Y1681">
        <v>0</v>
      </c>
      <c r="Z1681">
        <v>11396.98</v>
      </c>
      <c r="AA1681">
        <v>11628.86</v>
      </c>
      <c r="AB1681" s="12" t="s">
        <v>1438</v>
      </c>
      <c r="AC1681">
        <v>138.98759999999999</v>
      </c>
      <c r="AD1681">
        <v>1</v>
      </c>
      <c r="AE1681">
        <v>1</v>
      </c>
      <c r="AF1681">
        <v>0</v>
      </c>
      <c r="AG1681">
        <v>11396.98</v>
      </c>
      <c r="AH1681">
        <v>82</v>
      </c>
      <c r="AI1681">
        <v>81</v>
      </c>
      <c r="AJ1681">
        <v>1</v>
      </c>
      <c r="AK1681">
        <v>1</v>
      </c>
      <c r="AL1681">
        <v>1</v>
      </c>
      <c r="AM1681">
        <v>98.78</v>
      </c>
      <c r="AN1681">
        <v>143.56620000000001</v>
      </c>
      <c r="AO1681">
        <v>138.99</v>
      </c>
      <c r="AP1681" s="13">
        <v>45298</v>
      </c>
      <c r="AQ1681">
        <v>9</v>
      </c>
      <c r="AR1681">
        <v>0</v>
      </c>
    </row>
    <row r="1682" spans="1:44" x14ac:dyDescent="0.35">
      <c r="A1682" s="12" t="s">
        <v>2380</v>
      </c>
      <c r="B1682" s="12" t="s">
        <v>732</v>
      </c>
      <c r="C1682" s="12" t="s">
        <v>733</v>
      </c>
      <c r="D1682" s="12" t="s">
        <v>114</v>
      </c>
      <c r="E1682" s="12" t="s">
        <v>104</v>
      </c>
      <c r="F1682">
        <v>3</v>
      </c>
      <c r="G1682">
        <v>1</v>
      </c>
      <c r="H1682">
        <v>0</v>
      </c>
      <c r="I1682" s="12" t="s">
        <v>199</v>
      </c>
      <c r="J1682" s="12" t="s">
        <v>200</v>
      </c>
      <c r="K1682" s="12" t="s">
        <v>68</v>
      </c>
      <c r="L1682" s="12" t="s">
        <v>96</v>
      </c>
      <c r="M1682">
        <v>9.4700000000000006</v>
      </c>
      <c r="N1682" s="12" t="s">
        <v>97</v>
      </c>
      <c r="O1682" s="12" t="s">
        <v>98</v>
      </c>
      <c r="P1682" s="12" t="s">
        <v>72</v>
      </c>
      <c r="Q1682" s="13">
        <v>45268</v>
      </c>
      <c r="R1682" s="13">
        <v>45295</v>
      </c>
      <c r="S1682">
        <v>2023</v>
      </c>
      <c r="T1682" s="12" t="s">
        <v>2336</v>
      </c>
      <c r="U1682">
        <v>133</v>
      </c>
      <c r="V1682">
        <v>314.15269999999998</v>
      </c>
      <c r="W1682">
        <v>983.18</v>
      </c>
      <c r="X1682">
        <v>0</v>
      </c>
      <c r="Y1682">
        <v>0</v>
      </c>
      <c r="Z1682">
        <v>41782.31</v>
      </c>
      <c r="AA1682">
        <v>42765.49</v>
      </c>
      <c r="AB1682" s="12" t="s">
        <v>734</v>
      </c>
      <c r="AC1682">
        <v>314.15269999999998</v>
      </c>
      <c r="AD1682">
        <v>1</v>
      </c>
      <c r="AE1682">
        <v>1</v>
      </c>
      <c r="AF1682">
        <v>0</v>
      </c>
      <c r="AG1682">
        <v>41782.31</v>
      </c>
      <c r="AH1682">
        <v>133</v>
      </c>
      <c r="AI1682">
        <v>131</v>
      </c>
      <c r="AJ1682">
        <v>2</v>
      </c>
      <c r="AK1682">
        <v>1</v>
      </c>
      <c r="AL1682">
        <v>1</v>
      </c>
      <c r="AM1682">
        <v>98.5</v>
      </c>
      <c r="AN1682">
        <v>326.45409999999998</v>
      </c>
      <c r="AO1682">
        <v>628.30999999999995</v>
      </c>
      <c r="AP1682" s="13">
        <v>45294</v>
      </c>
      <c r="AQ1682">
        <v>-1</v>
      </c>
      <c r="AR1682">
        <v>1</v>
      </c>
    </row>
    <row r="1683" spans="1:44" x14ac:dyDescent="0.35">
      <c r="A1683" s="12" t="s">
        <v>2381</v>
      </c>
      <c r="B1683" s="12" t="s">
        <v>532</v>
      </c>
      <c r="C1683" s="12" t="s">
        <v>533</v>
      </c>
      <c r="D1683" s="12" t="s">
        <v>114</v>
      </c>
      <c r="E1683" s="12" t="s">
        <v>65</v>
      </c>
      <c r="F1683">
        <v>2</v>
      </c>
      <c r="G1683">
        <v>3</v>
      </c>
      <c r="H1683">
        <v>0</v>
      </c>
      <c r="I1683" s="12" t="s">
        <v>105</v>
      </c>
      <c r="J1683" s="12" t="s">
        <v>106</v>
      </c>
      <c r="K1683" s="12" t="s">
        <v>81</v>
      </c>
      <c r="L1683" s="12" t="s">
        <v>96</v>
      </c>
      <c r="M1683">
        <v>5.01</v>
      </c>
      <c r="N1683" s="12" t="s">
        <v>70</v>
      </c>
      <c r="O1683" s="12" t="s">
        <v>71</v>
      </c>
      <c r="P1683" s="12" t="s">
        <v>72</v>
      </c>
      <c r="Q1683" s="13">
        <v>45268</v>
      </c>
      <c r="R1683" s="13">
        <v>45297</v>
      </c>
      <c r="S1683">
        <v>2023</v>
      </c>
      <c r="T1683" s="12" t="s">
        <v>2336</v>
      </c>
      <c r="U1683">
        <v>73</v>
      </c>
      <c r="V1683">
        <v>250.00970000000001</v>
      </c>
      <c r="W1683">
        <v>472.14</v>
      </c>
      <c r="X1683">
        <v>0</v>
      </c>
      <c r="Y1683">
        <v>0</v>
      </c>
      <c r="Z1683">
        <v>18250.71</v>
      </c>
      <c r="AA1683">
        <v>18722.849999999999</v>
      </c>
      <c r="AB1683" s="12" t="s">
        <v>534</v>
      </c>
      <c r="AC1683">
        <v>250.00970000000001</v>
      </c>
      <c r="AD1683">
        <v>1</v>
      </c>
      <c r="AE1683">
        <v>1</v>
      </c>
      <c r="AF1683">
        <v>0</v>
      </c>
      <c r="AG1683">
        <v>18250.71</v>
      </c>
      <c r="AH1683">
        <v>73</v>
      </c>
      <c r="AI1683">
        <v>72</v>
      </c>
      <c r="AJ1683">
        <v>1</v>
      </c>
      <c r="AK1683">
        <v>1</v>
      </c>
      <c r="AL1683">
        <v>1</v>
      </c>
      <c r="AM1683">
        <v>98.63</v>
      </c>
      <c r="AN1683">
        <v>260.03960000000001</v>
      </c>
      <c r="AO1683">
        <v>250.01</v>
      </c>
      <c r="AP1683" s="13">
        <v>45295</v>
      </c>
      <c r="AQ1683">
        <v>-2</v>
      </c>
      <c r="AR1683">
        <v>1</v>
      </c>
    </row>
    <row r="1684" spans="1:44" x14ac:dyDescent="0.35">
      <c r="A1684" s="12" t="s">
        <v>2382</v>
      </c>
      <c r="B1684" s="12" t="s">
        <v>712</v>
      </c>
      <c r="C1684" s="12" t="s">
        <v>713</v>
      </c>
      <c r="D1684" s="12" t="s">
        <v>103</v>
      </c>
      <c r="E1684" s="12" t="s">
        <v>104</v>
      </c>
      <c r="F1684">
        <v>2</v>
      </c>
      <c r="G1684">
        <v>0</v>
      </c>
      <c r="H1684">
        <v>0</v>
      </c>
      <c r="I1684" s="12" t="s">
        <v>105</v>
      </c>
      <c r="J1684" s="12" t="s">
        <v>106</v>
      </c>
      <c r="K1684" s="12" t="s">
        <v>81</v>
      </c>
      <c r="L1684" s="12" t="s">
        <v>96</v>
      </c>
      <c r="M1684">
        <v>5.01</v>
      </c>
      <c r="N1684" s="12" t="s">
        <v>145</v>
      </c>
      <c r="O1684" s="12" t="s">
        <v>146</v>
      </c>
      <c r="P1684" s="12" t="s">
        <v>109</v>
      </c>
      <c r="Q1684" s="13">
        <v>45268</v>
      </c>
      <c r="R1684" s="13">
        <v>45282</v>
      </c>
      <c r="S1684">
        <v>2023</v>
      </c>
      <c r="T1684" s="12" t="s">
        <v>2336</v>
      </c>
      <c r="U1684">
        <v>31</v>
      </c>
      <c r="V1684">
        <v>202.47229999999999</v>
      </c>
      <c r="W1684">
        <v>68.84</v>
      </c>
      <c r="X1684">
        <v>0</v>
      </c>
      <c r="Y1684">
        <v>0</v>
      </c>
      <c r="Z1684">
        <v>6276.64</v>
      </c>
      <c r="AA1684">
        <v>6345.48</v>
      </c>
      <c r="AB1684" s="12" t="s">
        <v>1451</v>
      </c>
      <c r="AC1684">
        <v>202.47229999999999</v>
      </c>
      <c r="AD1684">
        <v>1</v>
      </c>
      <c r="AE1684">
        <v>1</v>
      </c>
      <c r="AF1684">
        <v>0</v>
      </c>
      <c r="AG1684">
        <v>6276.64</v>
      </c>
      <c r="AH1684">
        <v>31</v>
      </c>
      <c r="AI1684">
        <v>31</v>
      </c>
      <c r="AJ1684">
        <v>0</v>
      </c>
      <c r="AK1684">
        <v>1</v>
      </c>
      <c r="AL1684">
        <v>1</v>
      </c>
      <c r="AM1684">
        <v>100</v>
      </c>
      <c r="AN1684">
        <v>204.69290000000001</v>
      </c>
      <c r="AO1684">
        <v>0</v>
      </c>
      <c r="AP1684" s="13">
        <v>45281</v>
      </c>
      <c r="AQ1684">
        <v>-1</v>
      </c>
      <c r="AR1684">
        <v>1</v>
      </c>
    </row>
    <row r="1685" spans="1:44" x14ac:dyDescent="0.35">
      <c r="A1685" s="12" t="s">
        <v>2383</v>
      </c>
      <c r="B1685" s="12" t="s">
        <v>891</v>
      </c>
      <c r="C1685" s="12" t="s">
        <v>892</v>
      </c>
      <c r="D1685" s="12" t="s">
        <v>122</v>
      </c>
      <c r="E1685" s="12" t="s">
        <v>65</v>
      </c>
      <c r="F1685">
        <v>3</v>
      </c>
      <c r="G1685">
        <v>5</v>
      </c>
      <c r="H1685">
        <v>0</v>
      </c>
      <c r="I1685" s="12" t="s">
        <v>94</v>
      </c>
      <c r="J1685" s="12" t="s">
        <v>95</v>
      </c>
      <c r="K1685" s="12" t="s">
        <v>81</v>
      </c>
      <c r="L1685" s="12" t="s">
        <v>96</v>
      </c>
      <c r="M1685">
        <v>4.8099999999999996</v>
      </c>
      <c r="N1685" s="12" t="s">
        <v>97</v>
      </c>
      <c r="O1685" s="12" t="s">
        <v>98</v>
      </c>
      <c r="P1685" s="12" t="s">
        <v>72</v>
      </c>
      <c r="Q1685" s="13">
        <v>45271</v>
      </c>
      <c r="R1685" s="13">
        <v>45303</v>
      </c>
      <c r="S1685">
        <v>2023</v>
      </c>
      <c r="T1685" s="12" t="s">
        <v>2336</v>
      </c>
      <c r="U1685">
        <v>1340</v>
      </c>
      <c r="V1685">
        <v>45.780299999999997</v>
      </c>
      <c r="W1685">
        <v>1536.8</v>
      </c>
      <c r="X1685">
        <v>0</v>
      </c>
      <c r="Y1685">
        <v>0</v>
      </c>
      <c r="Z1685">
        <v>61345.599999999999</v>
      </c>
      <c r="AA1685">
        <v>62882.400000000001</v>
      </c>
      <c r="AB1685" s="12" t="s">
        <v>201</v>
      </c>
      <c r="AD1685">
        <v>0</v>
      </c>
      <c r="AE1685">
        <v>0</v>
      </c>
      <c r="AH1685">
        <v>1340</v>
      </c>
      <c r="AI1685">
        <v>1330</v>
      </c>
      <c r="AJ1685">
        <v>10</v>
      </c>
      <c r="AK1685">
        <v>1</v>
      </c>
      <c r="AL1685">
        <v>1</v>
      </c>
      <c r="AM1685">
        <v>99.25</v>
      </c>
      <c r="AN1685">
        <v>47.28</v>
      </c>
      <c r="AO1685">
        <v>457.8</v>
      </c>
      <c r="AP1685" s="13">
        <v>45300</v>
      </c>
      <c r="AQ1685">
        <v>-3</v>
      </c>
      <c r="AR1685">
        <v>1</v>
      </c>
    </row>
    <row r="1686" spans="1:44" x14ac:dyDescent="0.35">
      <c r="A1686" s="12" t="s">
        <v>2384</v>
      </c>
      <c r="B1686" s="12" t="s">
        <v>963</v>
      </c>
      <c r="C1686" s="12" t="s">
        <v>964</v>
      </c>
      <c r="D1686" s="12" t="s">
        <v>114</v>
      </c>
      <c r="E1686" s="12" t="s">
        <v>142</v>
      </c>
      <c r="F1686">
        <v>1</v>
      </c>
      <c r="G1686">
        <v>6</v>
      </c>
      <c r="H1686">
        <v>1</v>
      </c>
      <c r="I1686" s="12" t="s">
        <v>176</v>
      </c>
      <c r="J1686" s="12" t="s">
        <v>177</v>
      </c>
      <c r="K1686" s="12" t="s">
        <v>125</v>
      </c>
      <c r="L1686" s="12" t="s">
        <v>134</v>
      </c>
      <c r="M1686">
        <v>1.75</v>
      </c>
      <c r="N1686" s="12" t="s">
        <v>97</v>
      </c>
      <c r="O1686" s="12" t="s">
        <v>98</v>
      </c>
      <c r="P1686" s="12" t="s">
        <v>72</v>
      </c>
      <c r="Q1686" s="13">
        <v>45271</v>
      </c>
      <c r="R1686" s="13">
        <v>45314</v>
      </c>
      <c r="S1686">
        <v>2023</v>
      </c>
      <c r="T1686" s="12" t="s">
        <v>2336</v>
      </c>
      <c r="U1686">
        <v>76</v>
      </c>
      <c r="V1686">
        <v>194.73220000000001</v>
      </c>
      <c r="W1686">
        <v>159.82</v>
      </c>
      <c r="X1686">
        <v>0</v>
      </c>
      <c r="Y1686">
        <v>0</v>
      </c>
      <c r="Z1686">
        <v>14799.65</v>
      </c>
      <c r="AA1686">
        <v>14959.47</v>
      </c>
      <c r="AB1686" s="12" t="s">
        <v>965</v>
      </c>
      <c r="AC1686">
        <v>194.73220000000001</v>
      </c>
      <c r="AD1686">
        <v>1</v>
      </c>
      <c r="AE1686">
        <v>1</v>
      </c>
      <c r="AF1686">
        <v>0</v>
      </c>
      <c r="AG1686">
        <v>14799.65</v>
      </c>
      <c r="AH1686">
        <v>76</v>
      </c>
      <c r="AI1686">
        <v>75</v>
      </c>
      <c r="AJ1686">
        <v>1</v>
      </c>
      <c r="AK1686">
        <v>1</v>
      </c>
      <c r="AL1686">
        <v>1</v>
      </c>
      <c r="AM1686">
        <v>98.68</v>
      </c>
      <c r="AN1686">
        <v>199.45959999999999</v>
      </c>
      <c r="AO1686">
        <v>194.73</v>
      </c>
      <c r="AP1686" s="13">
        <v>45312</v>
      </c>
      <c r="AQ1686">
        <v>-2</v>
      </c>
      <c r="AR1686">
        <v>1</v>
      </c>
    </row>
    <row r="1687" spans="1:44" x14ac:dyDescent="0.35">
      <c r="A1687" s="12" t="s">
        <v>2385</v>
      </c>
      <c r="B1687" s="12" t="s">
        <v>685</v>
      </c>
      <c r="C1687" s="12" t="s">
        <v>686</v>
      </c>
      <c r="D1687" s="12" t="s">
        <v>175</v>
      </c>
      <c r="E1687" s="12" t="s">
        <v>104</v>
      </c>
      <c r="F1687">
        <v>2</v>
      </c>
      <c r="G1687">
        <v>0</v>
      </c>
      <c r="H1687">
        <v>0</v>
      </c>
      <c r="I1687" s="12" t="s">
        <v>195</v>
      </c>
      <c r="J1687" s="12" t="s">
        <v>196</v>
      </c>
      <c r="K1687" s="12" t="s">
        <v>117</v>
      </c>
      <c r="L1687" s="12" t="s">
        <v>134</v>
      </c>
      <c r="M1687">
        <v>4.7699999999999996</v>
      </c>
      <c r="N1687" s="12" t="s">
        <v>145</v>
      </c>
      <c r="O1687" s="12" t="s">
        <v>146</v>
      </c>
      <c r="P1687" s="12" t="s">
        <v>109</v>
      </c>
      <c r="Q1687" s="13">
        <v>45271</v>
      </c>
      <c r="R1687" s="13">
        <v>45290</v>
      </c>
      <c r="S1687">
        <v>2023</v>
      </c>
      <c r="T1687" s="12" t="s">
        <v>2336</v>
      </c>
      <c r="U1687">
        <v>71</v>
      </c>
      <c r="V1687">
        <v>208.49469999999999</v>
      </c>
      <c r="W1687">
        <v>250.11</v>
      </c>
      <c r="X1687">
        <v>0</v>
      </c>
      <c r="Y1687">
        <v>0</v>
      </c>
      <c r="Z1687">
        <v>14803.12</v>
      </c>
      <c r="AA1687">
        <v>15053.23</v>
      </c>
      <c r="AB1687" s="12" t="s">
        <v>1210</v>
      </c>
      <c r="AC1687">
        <v>221.7389</v>
      </c>
      <c r="AD1687">
        <v>1</v>
      </c>
      <c r="AE1687">
        <v>1</v>
      </c>
      <c r="AF1687">
        <v>-940.34</v>
      </c>
      <c r="AG1687">
        <v>15743.46</v>
      </c>
      <c r="AH1687">
        <v>71</v>
      </c>
      <c r="AI1687">
        <v>70</v>
      </c>
      <c r="AJ1687">
        <v>1</v>
      </c>
      <c r="AK1687">
        <v>1</v>
      </c>
      <c r="AL1687">
        <v>1</v>
      </c>
      <c r="AM1687">
        <v>98.59</v>
      </c>
      <c r="AN1687">
        <v>215.0462</v>
      </c>
      <c r="AO1687">
        <v>208.49</v>
      </c>
      <c r="AP1687" s="13">
        <v>45293</v>
      </c>
      <c r="AQ1687">
        <v>3</v>
      </c>
      <c r="AR1687">
        <v>0</v>
      </c>
    </row>
    <row r="1688" spans="1:44" x14ac:dyDescent="0.35">
      <c r="A1688" s="12" t="s">
        <v>2386</v>
      </c>
      <c r="B1688" s="12" t="s">
        <v>876</v>
      </c>
      <c r="C1688" s="12" t="s">
        <v>877</v>
      </c>
      <c r="D1688" s="12" t="s">
        <v>269</v>
      </c>
      <c r="E1688" s="12" t="s">
        <v>142</v>
      </c>
      <c r="F1688">
        <v>3</v>
      </c>
      <c r="G1688">
        <v>11</v>
      </c>
      <c r="H1688">
        <v>0</v>
      </c>
      <c r="I1688" s="12" t="s">
        <v>515</v>
      </c>
      <c r="J1688" s="12" t="s">
        <v>516</v>
      </c>
      <c r="K1688" s="12" t="s">
        <v>68</v>
      </c>
      <c r="L1688" s="12" t="s">
        <v>134</v>
      </c>
      <c r="M1688">
        <v>3.69</v>
      </c>
      <c r="N1688" s="12" t="s">
        <v>159</v>
      </c>
      <c r="O1688" s="12" t="s">
        <v>160</v>
      </c>
      <c r="P1688" s="12" t="s">
        <v>137</v>
      </c>
      <c r="Q1688" s="13">
        <v>45271</v>
      </c>
      <c r="R1688" s="13">
        <v>45308</v>
      </c>
      <c r="S1688">
        <v>2023</v>
      </c>
      <c r="T1688" s="12" t="s">
        <v>2336</v>
      </c>
      <c r="U1688">
        <v>27</v>
      </c>
      <c r="V1688">
        <v>205.07480000000001</v>
      </c>
      <c r="W1688">
        <v>122.3</v>
      </c>
      <c r="X1688">
        <v>0</v>
      </c>
      <c r="Y1688">
        <v>0</v>
      </c>
      <c r="Z1688">
        <v>5537.02</v>
      </c>
      <c r="AA1688">
        <v>5659.32</v>
      </c>
      <c r="AB1688" s="12" t="s">
        <v>1175</v>
      </c>
      <c r="AC1688">
        <v>205.07480000000001</v>
      </c>
      <c r="AD1688">
        <v>1</v>
      </c>
      <c r="AE1688">
        <v>1</v>
      </c>
      <c r="AF1688">
        <v>0</v>
      </c>
      <c r="AG1688">
        <v>5537.02</v>
      </c>
      <c r="AH1688">
        <v>27</v>
      </c>
      <c r="AI1688">
        <v>27</v>
      </c>
      <c r="AJ1688">
        <v>0</v>
      </c>
      <c r="AK1688">
        <v>1</v>
      </c>
      <c r="AL1688">
        <v>1</v>
      </c>
      <c r="AM1688">
        <v>100</v>
      </c>
      <c r="AN1688">
        <v>209.6044</v>
      </c>
      <c r="AO1688">
        <v>0</v>
      </c>
      <c r="AP1688" s="13">
        <v>45308</v>
      </c>
      <c r="AQ1688">
        <v>0</v>
      </c>
      <c r="AR1688">
        <v>1</v>
      </c>
    </row>
    <row r="1689" spans="1:44" x14ac:dyDescent="0.35">
      <c r="A1689" s="12" t="s">
        <v>2387</v>
      </c>
      <c r="B1689" s="12" t="s">
        <v>339</v>
      </c>
      <c r="C1689" s="12" t="s">
        <v>340</v>
      </c>
      <c r="D1689" s="12" t="s">
        <v>103</v>
      </c>
      <c r="E1689" s="12" t="s">
        <v>142</v>
      </c>
      <c r="F1689">
        <v>2</v>
      </c>
      <c r="G1689">
        <v>9</v>
      </c>
      <c r="H1689">
        <v>0</v>
      </c>
      <c r="I1689" s="12" t="s">
        <v>341</v>
      </c>
      <c r="J1689" s="12" t="s">
        <v>342</v>
      </c>
      <c r="K1689" s="12" t="s">
        <v>117</v>
      </c>
      <c r="L1689" s="12" t="s">
        <v>82</v>
      </c>
      <c r="M1689">
        <v>18.36</v>
      </c>
      <c r="N1689" s="12" t="s">
        <v>145</v>
      </c>
      <c r="O1689" s="12" t="s">
        <v>146</v>
      </c>
      <c r="P1689" s="12" t="s">
        <v>109</v>
      </c>
      <c r="Q1689" s="13">
        <v>45271</v>
      </c>
      <c r="R1689" s="13">
        <v>45322</v>
      </c>
      <c r="S1689">
        <v>2023</v>
      </c>
      <c r="T1689" s="12" t="s">
        <v>2336</v>
      </c>
      <c r="U1689">
        <v>135</v>
      </c>
      <c r="V1689">
        <v>235.30330000000001</v>
      </c>
      <c r="W1689">
        <v>462.4</v>
      </c>
      <c r="X1689">
        <v>0</v>
      </c>
      <c r="Y1689">
        <v>0</v>
      </c>
      <c r="Z1689">
        <v>31765.95</v>
      </c>
      <c r="AA1689">
        <v>32228.35</v>
      </c>
      <c r="AB1689" s="12" t="s">
        <v>343</v>
      </c>
      <c r="AC1689">
        <v>249.9879</v>
      </c>
      <c r="AD1689">
        <v>1</v>
      </c>
      <c r="AE1689">
        <v>1</v>
      </c>
      <c r="AF1689">
        <v>-1982.42</v>
      </c>
      <c r="AG1689">
        <v>33748.370000000003</v>
      </c>
      <c r="AH1689">
        <v>135</v>
      </c>
      <c r="AI1689">
        <v>134</v>
      </c>
      <c r="AJ1689">
        <v>1</v>
      </c>
      <c r="AK1689">
        <v>1</v>
      </c>
      <c r="AL1689">
        <v>1</v>
      </c>
      <c r="AM1689">
        <v>99.26</v>
      </c>
      <c r="AN1689">
        <v>240.51</v>
      </c>
      <c r="AO1689">
        <v>235.3</v>
      </c>
      <c r="AP1689" s="13">
        <v>45319</v>
      </c>
      <c r="AQ1689">
        <v>-3</v>
      </c>
      <c r="AR1689">
        <v>1</v>
      </c>
    </row>
    <row r="1690" spans="1:44" x14ac:dyDescent="0.35">
      <c r="A1690" s="12" t="s">
        <v>2388</v>
      </c>
      <c r="B1690" s="12" t="s">
        <v>85</v>
      </c>
      <c r="C1690" s="12" t="s">
        <v>86</v>
      </c>
      <c r="D1690" s="12" t="s">
        <v>78</v>
      </c>
      <c r="E1690" s="12" t="s">
        <v>65</v>
      </c>
      <c r="F1690">
        <v>3</v>
      </c>
      <c r="G1690">
        <v>5</v>
      </c>
      <c r="H1690">
        <v>0</v>
      </c>
      <c r="I1690" s="12" t="s">
        <v>87</v>
      </c>
      <c r="J1690" s="12" t="s">
        <v>88</v>
      </c>
      <c r="K1690" s="12" t="s">
        <v>89</v>
      </c>
      <c r="L1690" s="12" t="s">
        <v>69</v>
      </c>
      <c r="M1690">
        <v>14.93</v>
      </c>
      <c r="N1690" s="12" t="s">
        <v>70</v>
      </c>
      <c r="O1690" s="12" t="s">
        <v>71</v>
      </c>
      <c r="P1690" s="12" t="s">
        <v>72</v>
      </c>
      <c r="Q1690" s="13">
        <v>45271</v>
      </c>
      <c r="R1690" s="13">
        <v>45297</v>
      </c>
      <c r="S1690">
        <v>2023</v>
      </c>
      <c r="T1690" s="12" t="s">
        <v>2336</v>
      </c>
      <c r="U1690">
        <v>116</v>
      </c>
      <c r="V1690">
        <v>147.55000000000001</v>
      </c>
      <c r="W1690">
        <v>255.55</v>
      </c>
      <c r="X1690">
        <v>0</v>
      </c>
      <c r="Y1690">
        <v>0</v>
      </c>
      <c r="Z1690">
        <v>17115.8</v>
      </c>
      <c r="AA1690">
        <v>17371.349999999999</v>
      </c>
      <c r="AB1690" s="12" t="s">
        <v>90</v>
      </c>
      <c r="AC1690">
        <v>147.55000000000001</v>
      </c>
      <c r="AD1690">
        <v>1</v>
      </c>
      <c r="AE1690">
        <v>1</v>
      </c>
      <c r="AF1690">
        <v>0</v>
      </c>
      <c r="AG1690">
        <v>17115.8</v>
      </c>
      <c r="AH1690">
        <v>116</v>
      </c>
      <c r="AI1690">
        <v>114</v>
      </c>
      <c r="AJ1690">
        <v>2</v>
      </c>
      <c r="AK1690">
        <v>1</v>
      </c>
      <c r="AL1690">
        <v>1</v>
      </c>
      <c r="AM1690">
        <v>98.28</v>
      </c>
      <c r="AN1690">
        <v>152.38030000000001</v>
      </c>
      <c r="AO1690">
        <v>295.10000000000002</v>
      </c>
      <c r="AP1690" s="13">
        <v>45298</v>
      </c>
      <c r="AQ1690">
        <v>1</v>
      </c>
      <c r="AR1690">
        <v>0</v>
      </c>
    </row>
    <row r="1691" spans="1:44" x14ac:dyDescent="0.35">
      <c r="A1691" s="12" t="s">
        <v>2389</v>
      </c>
      <c r="B1691" s="12" t="s">
        <v>149</v>
      </c>
      <c r="C1691" s="12" t="s">
        <v>150</v>
      </c>
      <c r="D1691" s="12" t="s">
        <v>78</v>
      </c>
      <c r="E1691" s="12" t="s">
        <v>65</v>
      </c>
      <c r="F1691">
        <v>2</v>
      </c>
      <c r="G1691">
        <v>2</v>
      </c>
      <c r="H1691">
        <v>0</v>
      </c>
      <c r="I1691" s="12" t="s">
        <v>169</v>
      </c>
      <c r="J1691" s="12" t="s">
        <v>170</v>
      </c>
      <c r="K1691" s="12" t="s">
        <v>89</v>
      </c>
      <c r="L1691" s="12" t="s">
        <v>134</v>
      </c>
      <c r="M1691">
        <v>1.37</v>
      </c>
      <c r="N1691" s="12" t="s">
        <v>97</v>
      </c>
      <c r="O1691" s="12" t="s">
        <v>98</v>
      </c>
      <c r="P1691" s="12" t="s">
        <v>72</v>
      </c>
      <c r="Q1691" s="13">
        <v>45272</v>
      </c>
      <c r="R1691" s="13">
        <v>45298</v>
      </c>
      <c r="S1691">
        <v>2023</v>
      </c>
      <c r="T1691" s="12" t="s">
        <v>2336</v>
      </c>
      <c r="U1691">
        <v>114</v>
      </c>
      <c r="V1691">
        <v>76.092399999999998</v>
      </c>
      <c r="W1691">
        <v>196.44</v>
      </c>
      <c r="X1691">
        <v>0</v>
      </c>
      <c r="Y1691">
        <v>0</v>
      </c>
      <c r="Z1691">
        <v>8674.5300000000007</v>
      </c>
      <c r="AA1691">
        <v>8870.9699999999993</v>
      </c>
      <c r="AB1691" s="12" t="s">
        <v>315</v>
      </c>
      <c r="AC1691">
        <v>76.092399999999998</v>
      </c>
      <c r="AD1691">
        <v>1</v>
      </c>
      <c r="AE1691">
        <v>1</v>
      </c>
      <c r="AF1691">
        <v>0</v>
      </c>
      <c r="AG1691">
        <v>8674.5300000000007</v>
      </c>
      <c r="AH1691">
        <v>114</v>
      </c>
      <c r="AI1691">
        <v>113</v>
      </c>
      <c r="AJ1691">
        <v>1</v>
      </c>
      <c r="AK1691">
        <v>1</v>
      </c>
      <c r="AL1691">
        <v>1</v>
      </c>
      <c r="AM1691">
        <v>99.12</v>
      </c>
      <c r="AN1691">
        <v>78.504199999999997</v>
      </c>
      <c r="AO1691">
        <v>76.09</v>
      </c>
      <c r="AP1691" s="13">
        <v>45296</v>
      </c>
      <c r="AQ1691">
        <v>-2</v>
      </c>
      <c r="AR1691">
        <v>1</v>
      </c>
    </row>
    <row r="1692" spans="1:44" x14ac:dyDescent="0.35">
      <c r="A1692" s="12" t="s">
        <v>2390</v>
      </c>
      <c r="B1692" s="12" t="s">
        <v>609</v>
      </c>
      <c r="C1692" s="12" t="s">
        <v>610</v>
      </c>
      <c r="D1692" s="12" t="s">
        <v>64</v>
      </c>
      <c r="E1692" s="12" t="s">
        <v>104</v>
      </c>
      <c r="F1692">
        <v>1</v>
      </c>
      <c r="G1692">
        <v>0</v>
      </c>
      <c r="H1692">
        <v>1</v>
      </c>
      <c r="I1692" s="12" t="s">
        <v>227</v>
      </c>
      <c r="J1692" s="12" t="s">
        <v>228</v>
      </c>
      <c r="K1692" s="12" t="s">
        <v>89</v>
      </c>
      <c r="L1692" s="12" t="s">
        <v>96</v>
      </c>
      <c r="M1692">
        <v>9.15</v>
      </c>
      <c r="N1692" s="12" t="s">
        <v>97</v>
      </c>
      <c r="O1692" s="12" t="s">
        <v>98</v>
      </c>
      <c r="P1692" s="12" t="s">
        <v>72</v>
      </c>
      <c r="Q1692" s="13">
        <v>45272</v>
      </c>
      <c r="R1692" s="13">
        <v>45296</v>
      </c>
      <c r="S1692">
        <v>2023</v>
      </c>
      <c r="T1692" s="12" t="s">
        <v>2336</v>
      </c>
      <c r="U1692">
        <v>720</v>
      </c>
      <c r="V1692">
        <v>20.713699999999999</v>
      </c>
      <c r="W1692">
        <v>213.67</v>
      </c>
      <c r="X1692">
        <v>485.79</v>
      </c>
      <c r="Y1692">
        <v>1</v>
      </c>
      <c r="Z1692">
        <v>14913.86</v>
      </c>
      <c r="AA1692">
        <v>15613.32</v>
      </c>
      <c r="AB1692" s="12" t="s">
        <v>611</v>
      </c>
      <c r="AC1692">
        <v>20.713699999999999</v>
      </c>
      <c r="AD1692">
        <v>1</v>
      </c>
      <c r="AE1692">
        <v>1</v>
      </c>
      <c r="AF1692">
        <v>0</v>
      </c>
      <c r="AG1692">
        <v>14913.86</v>
      </c>
      <c r="AH1692">
        <v>720</v>
      </c>
      <c r="AI1692">
        <v>716</v>
      </c>
      <c r="AJ1692">
        <v>4</v>
      </c>
      <c r="AK1692">
        <v>1</v>
      </c>
      <c r="AL1692">
        <v>1</v>
      </c>
      <c r="AM1692">
        <v>99.44</v>
      </c>
      <c r="AN1692">
        <v>21.8063</v>
      </c>
      <c r="AO1692">
        <v>82.85</v>
      </c>
      <c r="AP1692" s="13">
        <v>45295</v>
      </c>
      <c r="AQ1692">
        <v>-1</v>
      </c>
      <c r="AR1692">
        <v>1</v>
      </c>
    </row>
    <row r="1693" spans="1:44" x14ac:dyDescent="0.35">
      <c r="A1693" s="12" t="s">
        <v>2391</v>
      </c>
      <c r="B1693" s="12" t="s">
        <v>284</v>
      </c>
      <c r="C1693" s="12" t="s">
        <v>285</v>
      </c>
      <c r="D1693" s="12" t="s">
        <v>269</v>
      </c>
      <c r="E1693" s="12" t="s">
        <v>104</v>
      </c>
      <c r="F1693">
        <v>3</v>
      </c>
      <c r="G1693">
        <v>1</v>
      </c>
      <c r="H1693">
        <v>0</v>
      </c>
      <c r="I1693" s="12" t="s">
        <v>199</v>
      </c>
      <c r="J1693" s="12" t="s">
        <v>200</v>
      </c>
      <c r="K1693" s="12" t="s">
        <v>68</v>
      </c>
      <c r="L1693" s="12" t="s">
        <v>96</v>
      </c>
      <c r="M1693">
        <v>9.4700000000000006</v>
      </c>
      <c r="N1693" s="12" t="s">
        <v>135</v>
      </c>
      <c r="O1693" s="12" t="s">
        <v>136</v>
      </c>
      <c r="P1693" s="12" t="s">
        <v>137</v>
      </c>
      <c r="Q1693" s="13">
        <v>45272</v>
      </c>
      <c r="R1693" s="13">
        <v>45301</v>
      </c>
      <c r="S1693">
        <v>2023</v>
      </c>
      <c r="T1693" s="12" t="s">
        <v>2336</v>
      </c>
      <c r="U1693">
        <v>146</v>
      </c>
      <c r="V1693">
        <v>397.87</v>
      </c>
      <c r="W1693">
        <v>529.71</v>
      </c>
      <c r="X1693">
        <v>0</v>
      </c>
      <c r="Y1693">
        <v>0</v>
      </c>
      <c r="Z1693">
        <v>58089.02</v>
      </c>
      <c r="AA1693">
        <v>58618.73</v>
      </c>
      <c r="AB1693" s="12" t="s">
        <v>286</v>
      </c>
      <c r="AC1693">
        <v>397.87</v>
      </c>
      <c r="AD1693">
        <v>1</v>
      </c>
      <c r="AE1693">
        <v>1</v>
      </c>
      <c r="AF1693">
        <v>0</v>
      </c>
      <c r="AG1693">
        <v>58089.02</v>
      </c>
      <c r="AH1693">
        <v>146</v>
      </c>
      <c r="AI1693">
        <v>144</v>
      </c>
      <c r="AJ1693">
        <v>2</v>
      </c>
      <c r="AK1693">
        <v>1</v>
      </c>
      <c r="AL1693">
        <v>1</v>
      </c>
      <c r="AM1693">
        <v>98.63</v>
      </c>
      <c r="AN1693">
        <v>407.0745</v>
      </c>
      <c r="AO1693">
        <v>795.74</v>
      </c>
      <c r="AP1693" s="13">
        <v>45301</v>
      </c>
      <c r="AQ1693">
        <v>0</v>
      </c>
      <c r="AR1693">
        <v>1</v>
      </c>
    </row>
    <row r="1694" spans="1:44" x14ac:dyDescent="0.35">
      <c r="A1694" s="12" t="s">
        <v>2392</v>
      </c>
      <c r="B1694" s="12" t="s">
        <v>617</v>
      </c>
      <c r="C1694" s="12" t="s">
        <v>618</v>
      </c>
      <c r="D1694" s="12" t="s">
        <v>78</v>
      </c>
      <c r="E1694" s="12" t="s">
        <v>65</v>
      </c>
      <c r="F1694">
        <v>2</v>
      </c>
      <c r="G1694">
        <v>4</v>
      </c>
      <c r="H1694">
        <v>0</v>
      </c>
      <c r="I1694" s="12" t="s">
        <v>341</v>
      </c>
      <c r="J1694" s="12" t="s">
        <v>342</v>
      </c>
      <c r="K1694" s="12" t="s">
        <v>117</v>
      </c>
      <c r="L1694" s="12" t="s">
        <v>82</v>
      </c>
      <c r="M1694">
        <v>18.36</v>
      </c>
      <c r="N1694" s="12" t="s">
        <v>97</v>
      </c>
      <c r="O1694" s="12" t="s">
        <v>98</v>
      </c>
      <c r="P1694" s="12" t="s">
        <v>72</v>
      </c>
      <c r="Q1694" s="13">
        <v>45272</v>
      </c>
      <c r="R1694" s="13">
        <v>45297</v>
      </c>
      <c r="S1694">
        <v>2023</v>
      </c>
      <c r="T1694" s="12" t="s">
        <v>2336</v>
      </c>
      <c r="U1694">
        <v>108</v>
      </c>
      <c r="V1694">
        <v>101.9539</v>
      </c>
      <c r="W1694">
        <v>276.29000000000002</v>
      </c>
      <c r="X1694">
        <v>0</v>
      </c>
      <c r="Y1694">
        <v>0</v>
      </c>
      <c r="Z1694">
        <v>11011.02</v>
      </c>
      <c r="AA1694">
        <v>11287.31</v>
      </c>
      <c r="AB1694" s="12" t="s">
        <v>619</v>
      </c>
      <c r="AC1694">
        <v>108.2711</v>
      </c>
      <c r="AD1694">
        <v>1</v>
      </c>
      <c r="AE1694">
        <v>1</v>
      </c>
      <c r="AF1694">
        <v>-682.26</v>
      </c>
      <c r="AG1694">
        <v>11693.28</v>
      </c>
      <c r="AH1694">
        <v>108</v>
      </c>
      <c r="AI1694">
        <v>106</v>
      </c>
      <c r="AJ1694">
        <v>2</v>
      </c>
      <c r="AK1694">
        <v>1</v>
      </c>
      <c r="AL1694">
        <v>1</v>
      </c>
      <c r="AM1694">
        <v>98.15</v>
      </c>
      <c r="AN1694">
        <v>106.4841</v>
      </c>
      <c r="AO1694">
        <v>203.91</v>
      </c>
      <c r="AP1694" s="13">
        <v>45294</v>
      </c>
      <c r="AQ1694">
        <v>-3</v>
      </c>
      <c r="AR1694">
        <v>1</v>
      </c>
    </row>
    <row r="1695" spans="1:44" x14ac:dyDescent="0.35">
      <c r="A1695" s="12" t="s">
        <v>2393</v>
      </c>
      <c r="B1695" s="12" t="s">
        <v>249</v>
      </c>
      <c r="C1695" s="12" t="s">
        <v>250</v>
      </c>
      <c r="D1695" s="12" t="s">
        <v>64</v>
      </c>
      <c r="E1695" s="12" t="s">
        <v>65</v>
      </c>
      <c r="F1695">
        <v>2</v>
      </c>
      <c r="G1695">
        <v>3</v>
      </c>
      <c r="H1695">
        <v>0</v>
      </c>
      <c r="I1695" s="12" t="s">
        <v>251</v>
      </c>
      <c r="J1695" s="12" t="s">
        <v>252</v>
      </c>
      <c r="K1695" s="12" t="s">
        <v>133</v>
      </c>
      <c r="L1695" s="12" t="s">
        <v>69</v>
      </c>
      <c r="M1695">
        <v>34.49</v>
      </c>
      <c r="N1695" s="12" t="s">
        <v>70</v>
      </c>
      <c r="O1695" s="12" t="s">
        <v>71</v>
      </c>
      <c r="P1695" s="12" t="s">
        <v>72</v>
      </c>
      <c r="Q1695" s="13">
        <v>45272</v>
      </c>
      <c r="R1695" s="13">
        <v>45300</v>
      </c>
      <c r="S1695">
        <v>2023</v>
      </c>
      <c r="T1695" s="12" t="s">
        <v>2336</v>
      </c>
      <c r="U1695">
        <v>496</v>
      </c>
      <c r="V1695">
        <v>10.6486</v>
      </c>
      <c r="W1695">
        <v>49.47</v>
      </c>
      <c r="X1695">
        <v>0</v>
      </c>
      <c r="Y1695">
        <v>0</v>
      </c>
      <c r="Z1695">
        <v>5281.71</v>
      </c>
      <c r="AA1695">
        <v>5331.18</v>
      </c>
      <c r="AB1695" s="12" t="s">
        <v>253</v>
      </c>
      <c r="AC1695">
        <v>10.6486</v>
      </c>
      <c r="AD1695">
        <v>1</v>
      </c>
      <c r="AE1695">
        <v>1</v>
      </c>
      <c r="AF1695">
        <v>0</v>
      </c>
      <c r="AG1695">
        <v>5281.71</v>
      </c>
      <c r="AH1695">
        <v>496</v>
      </c>
      <c r="AI1695">
        <v>490</v>
      </c>
      <c r="AJ1695">
        <v>6</v>
      </c>
      <c r="AK1695">
        <v>1</v>
      </c>
      <c r="AL1695">
        <v>1</v>
      </c>
      <c r="AM1695">
        <v>98.79</v>
      </c>
      <c r="AN1695">
        <v>10.88</v>
      </c>
      <c r="AO1695">
        <v>63.89</v>
      </c>
      <c r="AP1695" s="13">
        <v>45298</v>
      </c>
      <c r="AQ1695">
        <v>-2</v>
      </c>
      <c r="AR1695">
        <v>1</v>
      </c>
    </row>
    <row r="1696" spans="1:44" x14ac:dyDescent="0.35">
      <c r="A1696" s="12" t="s">
        <v>2394</v>
      </c>
      <c r="B1696" s="12" t="s">
        <v>477</v>
      </c>
      <c r="C1696" s="12" t="s">
        <v>478</v>
      </c>
      <c r="D1696" s="12" t="s">
        <v>130</v>
      </c>
      <c r="E1696" s="12" t="s">
        <v>104</v>
      </c>
      <c r="F1696">
        <v>3</v>
      </c>
      <c r="G1696">
        <v>1</v>
      </c>
      <c r="H1696">
        <v>0</v>
      </c>
      <c r="I1696" s="12" t="s">
        <v>87</v>
      </c>
      <c r="J1696" s="12" t="s">
        <v>88</v>
      </c>
      <c r="K1696" s="12" t="s">
        <v>89</v>
      </c>
      <c r="L1696" s="12" t="s">
        <v>69</v>
      </c>
      <c r="M1696">
        <v>14.93</v>
      </c>
      <c r="N1696" s="12" t="s">
        <v>159</v>
      </c>
      <c r="O1696" s="12" t="s">
        <v>160</v>
      </c>
      <c r="P1696" s="12" t="s">
        <v>137</v>
      </c>
      <c r="Q1696" s="13">
        <v>45272</v>
      </c>
      <c r="R1696" s="13">
        <v>45291</v>
      </c>
      <c r="S1696">
        <v>2023</v>
      </c>
      <c r="T1696" s="12" t="s">
        <v>2336</v>
      </c>
      <c r="U1696">
        <v>68</v>
      </c>
      <c r="V1696">
        <v>874.26649999999995</v>
      </c>
      <c r="W1696">
        <v>1503.32</v>
      </c>
      <c r="X1696">
        <v>0</v>
      </c>
      <c r="Y1696">
        <v>0</v>
      </c>
      <c r="Z1696">
        <v>59450.12</v>
      </c>
      <c r="AA1696">
        <v>60953.440000000002</v>
      </c>
      <c r="AB1696" s="12" t="s">
        <v>201</v>
      </c>
      <c r="AD1696">
        <v>0</v>
      </c>
      <c r="AE1696">
        <v>0</v>
      </c>
      <c r="AH1696">
        <v>68</v>
      </c>
      <c r="AI1696">
        <v>67</v>
      </c>
      <c r="AJ1696">
        <v>1</v>
      </c>
      <c r="AK1696">
        <v>1</v>
      </c>
      <c r="AL1696">
        <v>1</v>
      </c>
      <c r="AM1696">
        <v>98.53</v>
      </c>
      <c r="AN1696">
        <v>909.75289999999995</v>
      </c>
      <c r="AO1696">
        <v>874.27</v>
      </c>
      <c r="AP1696" s="13">
        <v>45292</v>
      </c>
      <c r="AQ1696">
        <v>1</v>
      </c>
      <c r="AR1696">
        <v>0</v>
      </c>
    </row>
    <row r="1697" spans="1:44" x14ac:dyDescent="0.35">
      <c r="A1697" s="12" t="s">
        <v>2395</v>
      </c>
      <c r="B1697" s="12" t="s">
        <v>128</v>
      </c>
      <c r="C1697" s="12" t="s">
        <v>129</v>
      </c>
      <c r="D1697" s="12" t="s">
        <v>130</v>
      </c>
      <c r="E1697" s="12" t="s">
        <v>65</v>
      </c>
      <c r="F1697">
        <v>3</v>
      </c>
      <c r="G1697">
        <v>5</v>
      </c>
      <c r="H1697">
        <v>0</v>
      </c>
      <c r="I1697" s="12" t="s">
        <v>66</v>
      </c>
      <c r="J1697" s="12" t="s">
        <v>67</v>
      </c>
      <c r="K1697" s="12" t="s">
        <v>68</v>
      </c>
      <c r="L1697" s="12" t="s">
        <v>69</v>
      </c>
      <c r="M1697">
        <v>17.66</v>
      </c>
      <c r="N1697" s="12" t="s">
        <v>159</v>
      </c>
      <c r="O1697" s="12" t="s">
        <v>160</v>
      </c>
      <c r="P1697" s="12" t="s">
        <v>137</v>
      </c>
      <c r="Q1697" s="13">
        <v>45272</v>
      </c>
      <c r="R1697" s="13">
        <v>45303</v>
      </c>
      <c r="S1697">
        <v>2023</v>
      </c>
      <c r="T1697" s="12" t="s">
        <v>2336</v>
      </c>
      <c r="U1697">
        <v>90</v>
      </c>
      <c r="V1697">
        <v>548.67269999999996</v>
      </c>
      <c r="W1697">
        <v>1035.33</v>
      </c>
      <c r="X1697">
        <v>0</v>
      </c>
      <c r="Y1697">
        <v>0</v>
      </c>
      <c r="Z1697">
        <v>49380.54</v>
      </c>
      <c r="AA1697">
        <v>50415.87</v>
      </c>
      <c r="AB1697" s="12" t="s">
        <v>201</v>
      </c>
      <c r="AD1697">
        <v>0</v>
      </c>
      <c r="AE1697">
        <v>0</v>
      </c>
      <c r="AH1697">
        <v>90</v>
      </c>
      <c r="AI1697">
        <v>89</v>
      </c>
      <c r="AJ1697">
        <v>1</v>
      </c>
      <c r="AK1697">
        <v>1</v>
      </c>
      <c r="AL1697">
        <v>1</v>
      </c>
      <c r="AM1697">
        <v>98.89</v>
      </c>
      <c r="AN1697">
        <v>566.47050000000002</v>
      </c>
      <c r="AO1697">
        <v>548.66999999999996</v>
      </c>
      <c r="AP1697" s="13">
        <v>45302</v>
      </c>
      <c r="AQ1697">
        <v>-1</v>
      </c>
      <c r="AR1697">
        <v>1</v>
      </c>
    </row>
    <row r="1698" spans="1:44" x14ac:dyDescent="0.35">
      <c r="A1698" s="12" t="s">
        <v>2396</v>
      </c>
      <c r="B1698" s="12" t="s">
        <v>92</v>
      </c>
      <c r="C1698" s="12" t="s">
        <v>93</v>
      </c>
      <c r="D1698" s="12" t="s">
        <v>64</v>
      </c>
      <c r="E1698" s="12" t="s">
        <v>65</v>
      </c>
      <c r="F1698">
        <v>3</v>
      </c>
      <c r="G1698">
        <v>5</v>
      </c>
      <c r="H1698">
        <v>0</v>
      </c>
      <c r="I1698" s="12" t="s">
        <v>176</v>
      </c>
      <c r="J1698" s="12" t="s">
        <v>177</v>
      </c>
      <c r="K1698" s="12" t="s">
        <v>125</v>
      </c>
      <c r="L1698" s="12" t="s">
        <v>134</v>
      </c>
      <c r="M1698">
        <v>1.75</v>
      </c>
      <c r="N1698" s="12" t="s">
        <v>97</v>
      </c>
      <c r="O1698" s="12" t="s">
        <v>98</v>
      </c>
      <c r="P1698" s="12" t="s">
        <v>72</v>
      </c>
      <c r="Q1698" s="13">
        <v>45272</v>
      </c>
      <c r="R1698" s="13">
        <v>45300</v>
      </c>
      <c r="S1698">
        <v>2023</v>
      </c>
      <c r="T1698" s="12" t="s">
        <v>2336</v>
      </c>
      <c r="U1698">
        <v>496</v>
      </c>
      <c r="V1698">
        <v>25.526499999999999</v>
      </c>
      <c r="W1698">
        <v>263.44</v>
      </c>
      <c r="X1698">
        <v>0</v>
      </c>
      <c r="Y1698">
        <v>0</v>
      </c>
      <c r="Z1698">
        <v>12661.14</v>
      </c>
      <c r="AA1698">
        <v>12924.58</v>
      </c>
      <c r="AB1698" s="12" t="s">
        <v>191</v>
      </c>
      <c r="AC1698">
        <v>24.617899999999999</v>
      </c>
      <c r="AD1698">
        <v>1</v>
      </c>
      <c r="AE1698">
        <v>1</v>
      </c>
      <c r="AF1698">
        <v>450.67</v>
      </c>
      <c r="AG1698">
        <v>12210.48</v>
      </c>
      <c r="AH1698">
        <v>496</v>
      </c>
      <c r="AI1698">
        <v>495</v>
      </c>
      <c r="AJ1698">
        <v>1</v>
      </c>
      <c r="AK1698">
        <v>1</v>
      </c>
      <c r="AL1698">
        <v>1</v>
      </c>
      <c r="AM1698">
        <v>99.8</v>
      </c>
      <c r="AN1698">
        <v>26.110299999999999</v>
      </c>
      <c r="AO1698">
        <v>25.53</v>
      </c>
      <c r="AP1698" s="13">
        <v>45299</v>
      </c>
      <c r="AQ1698">
        <v>-1</v>
      </c>
      <c r="AR1698">
        <v>1</v>
      </c>
    </row>
    <row r="1699" spans="1:44" x14ac:dyDescent="0.35">
      <c r="A1699" s="12" t="s">
        <v>2397</v>
      </c>
      <c r="B1699" s="12" t="s">
        <v>661</v>
      </c>
      <c r="C1699" s="12" t="s">
        <v>662</v>
      </c>
      <c r="D1699" s="12" t="s">
        <v>175</v>
      </c>
      <c r="E1699" s="12" t="s">
        <v>104</v>
      </c>
      <c r="F1699">
        <v>1</v>
      </c>
      <c r="G1699">
        <v>0</v>
      </c>
      <c r="H1699">
        <v>1</v>
      </c>
      <c r="I1699" s="12" t="s">
        <v>183</v>
      </c>
      <c r="J1699" s="12" t="s">
        <v>184</v>
      </c>
      <c r="K1699" s="12" t="s">
        <v>133</v>
      </c>
      <c r="L1699" s="12" t="s">
        <v>82</v>
      </c>
      <c r="M1699">
        <v>8.6199999999999992</v>
      </c>
      <c r="N1699" s="12" t="s">
        <v>107</v>
      </c>
      <c r="O1699" s="12" t="s">
        <v>108</v>
      </c>
      <c r="P1699" s="12" t="s">
        <v>109</v>
      </c>
      <c r="Q1699" s="13">
        <v>45272</v>
      </c>
      <c r="R1699" s="13">
        <v>45294</v>
      </c>
      <c r="S1699">
        <v>2023</v>
      </c>
      <c r="T1699" s="12" t="s">
        <v>2336</v>
      </c>
      <c r="U1699">
        <v>90</v>
      </c>
      <c r="V1699">
        <v>194.86689999999999</v>
      </c>
      <c r="W1699">
        <v>209.7</v>
      </c>
      <c r="X1699">
        <v>0</v>
      </c>
      <c r="Y1699">
        <v>0</v>
      </c>
      <c r="Z1699">
        <v>17538.02</v>
      </c>
      <c r="AA1699">
        <v>17747.72</v>
      </c>
      <c r="AB1699" s="12" t="s">
        <v>663</v>
      </c>
      <c r="AC1699">
        <v>201.68719999999999</v>
      </c>
      <c r="AD1699">
        <v>2</v>
      </c>
      <c r="AE1699">
        <v>1</v>
      </c>
      <c r="AF1699">
        <v>-613.83000000000004</v>
      </c>
      <c r="AG1699">
        <v>18151.849999999999</v>
      </c>
      <c r="AH1699">
        <v>90</v>
      </c>
      <c r="AI1699">
        <v>89</v>
      </c>
      <c r="AJ1699">
        <v>1</v>
      </c>
      <c r="AK1699">
        <v>1</v>
      </c>
      <c r="AL1699">
        <v>1</v>
      </c>
      <c r="AM1699">
        <v>98.89</v>
      </c>
      <c r="AN1699">
        <v>199.4126</v>
      </c>
      <c r="AO1699">
        <v>194.87</v>
      </c>
      <c r="AP1699" s="13">
        <v>45291</v>
      </c>
      <c r="AQ1699">
        <v>-3</v>
      </c>
      <c r="AR1699">
        <v>1</v>
      </c>
    </row>
    <row r="1700" spans="1:44" x14ac:dyDescent="0.35">
      <c r="A1700" s="12" t="s">
        <v>2398</v>
      </c>
      <c r="B1700" s="12" t="s">
        <v>1134</v>
      </c>
      <c r="C1700" s="12" t="s">
        <v>1135</v>
      </c>
      <c r="D1700" s="12" t="s">
        <v>269</v>
      </c>
      <c r="E1700" s="12" t="s">
        <v>104</v>
      </c>
      <c r="F1700">
        <v>2</v>
      </c>
      <c r="G1700">
        <v>0</v>
      </c>
      <c r="H1700">
        <v>0</v>
      </c>
      <c r="I1700" s="12" t="s">
        <v>380</v>
      </c>
      <c r="J1700" s="12" t="s">
        <v>381</v>
      </c>
      <c r="K1700" s="12" t="s">
        <v>89</v>
      </c>
      <c r="L1700" s="12" t="s">
        <v>96</v>
      </c>
      <c r="M1700">
        <v>10.210000000000001</v>
      </c>
      <c r="N1700" s="12" t="s">
        <v>159</v>
      </c>
      <c r="O1700" s="12" t="s">
        <v>160</v>
      </c>
      <c r="P1700" s="12" t="s">
        <v>137</v>
      </c>
      <c r="Q1700" s="13">
        <v>45272</v>
      </c>
      <c r="R1700" s="13">
        <v>45294</v>
      </c>
      <c r="S1700">
        <v>2023</v>
      </c>
      <c r="T1700" s="12" t="s">
        <v>2336</v>
      </c>
      <c r="U1700">
        <v>88</v>
      </c>
      <c r="V1700">
        <v>107.5608</v>
      </c>
      <c r="W1700">
        <v>75.02</v>
      </c>
      <c r="X1700">
        <v>0</v>
      </c>
      <c r="Y1700">
        <v>0</v>
      </c>
      <c r="Z1700">
        <v>9465.35</v>
      </c>
      <c r="AA1700">
        <v>9540.3700000000008</v>
      </c>
      <c r="AB1700" s="12" t="s">
        <v>1136</v>
      </c>
      <c r="AC1700">
        <v>107.5608</v>
      </c>
      <c r="AD1700">
        <v>1</v>
      </c>
      <c r="AE1700">
        <v>1</v>
      </c>
      <c r="AF1700">
        <v>0</v>
      </c>
      <c r="AG1700">
        <v>9465.35</v>
      </c>
      <c r="AH1700">
        <v>88</v>
      </c>
      <c r="AI1700">
        <v>87</v>
      </c>
      <c r="AJ1700">
        <v>1</v>
      </c>
      <c r="AK1700">
        <v>1</v>
      </c>
      <c r="AL1700">
        <v>1</v>
      </c>
      <c r="AM1700">
        <v>98.86</v>
      </c>
      <c r="AN1700">
        <v>109.65940000000001</v>
      </c>
      <c r="AO1700">
        <v>107.56</v>
      </c>
      <c r="AP1700" s="13">
        <v>45292</v>
      </c>
      <c r="AQ1700">
        <v>-2</v>
      </c>
      <c r="AR1700">
        <v>1</v>
      </c>
    </row>
    <row r="1701" spans="1:44" x14ac:dyDescent="0.35">
      <c r="A1701" s="12" t="s">
        <v>2399</v>
      </c>
      <c r="B1701" s="12" t="s">
        <v>740</v>
      </c>
      <c r="C1701" s="12" t="s">
        <v>741</v>
      </c>
      <c r="D1701" s="12" t="s">
        <v>64</v>
      </c>
      <c r="E1701" s="12" t="s">
        <v>104</v>
      </c>
      <c r="F1701">
        <v>2</v>
      </c>
      <c r="G1701">
        <v>0</v>
      </c>
      <c r="H1701">
        <v>0</v>
      </c>
      <c r="I1701" s="12" t="s">
        <v>183</v>
      </c>
      <c r="J1701" s="12" t="s">
        <v>184</v>
      </c>
      <c r="K1701" s="12" t="s">
        <v>133</v>
      </c>
      <c r="L1701" s="12" t="s">
        <v>82</v>
      </c>
      <c r="M1701">
        <v>8.6199999999999992</v>
      </c>
      <c r="N1701" s="12" t="s">
        <v>70</v>
      </c>
      <c r="O1701" s="12" t="s">
        <v>71</v>
      </c>
      <c r="P1701" s="12" t="s">
        <v>72</v>
      </c>
      <c r="Q1701" s="13">
        <v>45272</v>
      </c>
      <c r="R1701" s="13">
        <v>45291</v>
      </c>
      <c r="S1701">
        <v>2023</v>
      </c>
      <c r="T1701" s="12" t="s">
        <v>2336</v>
      </c>
      <c r="U1701">
        <v>483</v>
      </c>
      <c r="V1701">
        <v>41.2042</v>
      </c>
      <c r="W1701">
        <v>491.83</v>
      </c>
      <c r="X1701">
        <v>0</v>
      </c>
      <c r="Y1701">
        <v>0</v>
      </c>
      <c r="Z1701">
        <v>19901.63</v>
      </c>
      <c r="AA1701">
        <v>20393.46</v>
      </c>
      <c r="AB1701" s="12" t="s">
        <v>742</v>
      </c>
      <c r="AC1701">
        <v>41.2042</v>
      </c>
      <c r="AD1701">
        <v>1</v>
      </c>
      <c r="AE1701">
        <v>1</v>
      </c>
      <c r="AF1701">
        <v>0</v>
      </c>
      <c r="AG1701">
        <v>19901.63</v>
      </c>
      <c r="AH1701">
        <v>483</v>
      </c>
      <c r="AI1701">
        <v>476</v>
      </c>
      <c r="AJ1701">
        <v>7</v>
      </c>
      <c r="AK1701">
        <v>1</v>
      </c>
      <c r="AL1701">
        <v>1</v>
      </c>
      <c r="AM1701">
        <v>98.55</v>
      </c>
      <c r="AN1701">
        <v>42.843400000000003</v>
      </c>
      <c r="AO1701">
        <v>288.43</v>
      </c>
      <c r="AP1701" s="13">
        <v>45290</v>
      </c>
      <c r="AQ1701">
        <v>-1</v>
      </c>
      <c r="AR1701">
        <v>1</v>
      </c>
    </row>
    <row r="1702" spans="1:44" x14ac:dyDescent="0.35">
      <c r="A1702" s="12" t="s">
        <v>2400</v>
      </c>
      <c r="B1702" s="12" t="s">
        <v>437</v>
      </c>
      <c r="C1702" s="12" t="s">
        <v>438</v>
      </c>
      <c r="D1702" s="12" t="s">
        <v>269</v>
      </c>
      <c r="E1702" s="12" t="s">
        <v>65</v>
      </c>
      <c r="F1702">
        <v>2</v>
      </c>
      <c r="G1702">
        <v>4</v>
      </c>
      <c r="H1702">
        <v>0</v>
      </c>
      <c r="I1702" s="12" t="s">
        <v>115</v>
      </c>
      <c r="J1702" s="12" t="s">
        <v>116</v>
      </c>
      <c r="K1702" s="12" t="s">
        <v>117</v>
      </c>
      <c r="L1702" s="12" t="s">
        <v>82</v>
      </c>
      <c r="M1702">
        <v>17.170000000000002</v>
      </c>
      <c r="N1702" s="12" t="s">
        <v>135</v>
      </c>
      <c r="O1702" s="12" t="s">
        <v>136</v>
      </c>
      <c r="P1702" s="12" t="s">
        <v>137</v>
      </c>
      <c r="Q1702" s="13">
        <v>45273</v>
      </c>
      <c r="R1702" s="13">
        <v>45302</v>
      </c>
      <c r="S1702">
        <v>2023</v>
      </c>
      <c r="T1702" s="12" t="s">
        <v>2336</v>
      </c>
      <c r="U1702">
        <v>75</v>
      </c>
      <c r="V1702">
        <v>473.21539999999999</v>
      </c>
      <c r="W1702">
        <v>252.84</v>
      </c>
      <c r="X1702">
        <v>0</v>
      </c>
      <c r="Y1702">
        <v>0</v>
      </c>
      <c r="Z1702">
        <v>35491.160000000003</v>
      </c>
      <c r="AA1702">
        <v>35744</v>
      </c>
      <c r="AB1702" s="12" t="s">
        <v>439</v>
      </c>
      <c r="AC1702">
        <v>473.21539999999999</v>
      </c>
      <c r="AD1702">
        <v>1</v>
      </c>
      <c r="AE1702">
        <v>1</v>
      </c>
      <c r="AF1702">
        <v>0</v>
      </c>
      <c r="AG1702">
        <v>35491.160000000003</v>
      </c>
      <c r="AH1702">
        <v>75</v>
      </c>
      <c r="AI1702">
        <v>74</v>
      </c>
      <c r="AJ1702">
        <v>1</v>
      </c>
      <c r="AK1702">
        <v>1</v>
      </c>
      <c r="AL1702">
        <v>1</v>
      </c>
      <c r="AM1702">
        <v>98.67</v>
      </c>
      <c r="AN1702">
        <v>483.02699999999999</v>
      </c>
      <c r="AO1702">
        <v>473.22</v>
      </c>
      <c r="AP1702" s="13">
        <v>45302</v>
      </c>
      <c r="AQ1702">
        <v>0</v>
      </c>
      <c r="AR1702">
        <v>1</v>
      </c>
    </row>
    <row r="1703" spans="1:44" x14ac:dyDescent="0.35">
      <c r="A1703" s="12" t="s">
        <v>2401</v>
      </c>
      <c r="B1703" s="12" t="s">
        <v>621</v>
      </c>
      <c r="C1703" s="12" t="s">
        <v>622</v>
      </c>
      <c r="D1703" s="12" t="s">
        <v>103</v>
      </c>
      <c r="E1703" s="12" t="s">
        <v>65</v>
      </c>
      <c r="F1703">
        <v>1</v>
      </c>
      <c r="G1703">
        <v>2</v>
      </c>
      <c r="H1703">
        <v>1</v>
      </c>
      <c r="I1703" s="12" t="s">
        <v>486</v>
      </c>
      <c r="J1703" s="12" t="s">
        <v>487</v>
      </c>
      <c r="K1703" s="12" t="s">
        <v>125</v>
      </c>
      <c r="L1703" s="12" t="s">
        <v>69</v>
      </c>
      <c r="M1703">
        <v>36.86</v>
      </c>
      <c r="N1703" s="12" t="s">
        <v>107</v>
      </c>
      <c r="O1703" s="12" t="s">
        <v>108</v>
      </c>
      <c r="P1703" s="12" t="s">
        <v>109</v>
      </c>
      <c r="Q1703" s="13">
        <v>45273</v>
      </c>
      <c r="R1703" s="13">
        <v>45304</v>
      </c>
      <c r="S1703">
        <v>2023</v>
      </c>
      <c r="T1703" s="12" t="s">
        <v>2336</v>
      </c>
      <c r="U1703">
        <v>87</v>
      </c>
      <c r="V1703">
        <v>201.42019999999999</v>
      </c>
      <c r="W1703">
        <v>385.93</v>
      </c>
      <c r="X1703">
        <v>0</v>
      </c>
      <c r="Y1703">
        <v>0</v>
      </c>
      <c r="Z1703">
        <v>17523.560000000001</v>
      </c>
      <c r="AA1703">
        <v>17909.490000000002</v>
      </c>
      <c r="AB1703" s="12" t="s">
        <v>623</v>
      </c>
      <c r="AC1703">
        <v>201.42019999999999</v>
      </c>
      <c r="AD1703">
        <v>1</v>
      </c>
      <c r="AE1703">
        <v>1</v>
      </c>
      <c r="AF1703">
        <v>0</v>
      </c>
      <c r="AG1703">
        <v>17523.560000000001</v>
      </c>
      <c r="AH1703">
        <v>87</v>
      </c>
      <c r="AI1703">
        <v>86</v>
      </c>
      <c r="AJ1703">
        <v>1</v>
      </c>
      <c r="AK1703">
        <v>1</v>
      </c>
      <c r="AL1703">
        <v>1</v>
      </c>
      <c r="AM1703">
        <v>98.85</v>
      </c>
      <c r="AN1703">
        <v>208.2499</v>
      </c>
      <c r="AO1703">
        <v>201.42</v>
      </c>
      <c r="AP1703" s="13">
        <v>45303</v>
      </c>
      <c r="AQ1703">
        <v>-1</v>
      </c>
      <c r="AR1703">
        <v>1</v>
      </c>
    </row>
    <row r="1704" spans="1:44" x14ac:dyDescent="0.35">
      <c r="A1704" s="12" t="s">
        <v>2402</v>
      </c>
      <c r="B1704" s="12" t="s">
        <v>249</v>
      </c>
      <c r="C1704" s="12" t="s">
        <v>250</v>
      </c>
      <c r="D1704" s="12" t="s">
        <v>64</v>
      </c>
      <c r="E1704" s="12" t="s">
        <v>65</v>
      </c>
      <c r="F1704">
        <v>2</v>
      </c>
      <c r="G1704">
        <v>3</v>
      </c>
      <c r="H1704">
        <v>0</v>
      </c>
      <c r="I1704" s="12" t="s">
        <v>251</v>
      </c>
      <c r="J1704" s="12" t="s">
        <v>252</v>
      </c>
      <c r="K1704" s="12" t="s">
        <v>133</v>
      </c>
      <c r="L1704" s="12" t="s">
        <v>69</v>
      </c>
      <c r="M1704">
        <v>34.49</v>
      </c>
      <c r="N1704" s="12" t="s">
        <v>70</v>
      </c>
      <c r="O1704" s="12" t="s">
        <v>71</v>
      </c>
      <c r="P1704" s="12" t="s">
        <v>72</v>
      </c>
      <c r="Q1704" s="13">
        <v>45273</v>
      </c>
      <c r="R1704" s="13">
        <v>45302</v>
      </c>
      <c r="S1704">
        <v>2023</v>
      </c>
      <c r="T1704" s="12" t="s">
        <v>2336</v>
      </c>
      <c r="U1704">
        <v>548</v>
      </c>
      <c r="V1704">
        <v>10.6486</v>
      </c>
      <c r="W1704">
        <v>119.43</v>
      </c>
      <c r="X1704">
        <v>0</v>
      </c>
      <c r="Y1704">
        <v>0</v>
      </c>
      <c r="Z1704">
        <v>5835.43</v>
      </c>
      <c r="AA1704">
        <v>5954.86</v>
      </c>
      <c r="AB1704" s="12" t="s">
        <v>253</v>
      </c>
      <c r="AC1704">
        <v>10.6486</v>
      </c>
      <c r="AD1704">
        <v>1</v>
      </c>
      <c r="AE1704">
        <v>1</v>
      </c>
      <c r="AF1704">
        <v>0</v>
      </c>
      <c r="AG1704">
        <v>5835.43</v>
      </c>
      <c r="AH1704">
        <v>548</v>
      </c>
      <c r="AI1704">
        <v>540</v>
      </c>
      <c r="AJ1704">
        <v>8</v>
      </c>
      <c r="AK1704">
        <v>1</v>
      </c>
      <c r="AL1704">
        <v>1</v>
      </c>
      <c r="AM1704">
        <v>98.54</v>
      </c>
      <c r="AN1704">
        <v>11.0275</v>
      </c>
      <c r="AO1704">
        <v>85.19</v>
      </c>
      <c r="AP1704" s="13">
        <v>45301</v>
      </c>
      <c r="AQ1704">
        <v>-1</v>
      </c>
      <c r="AR1704">
        <v>1</v>
      </c>
    </row>
    <row r="1705" spans="1:44" x14ac:dyDescent="0.35">
      <c r="A1705" s="12" t="s">
        <v>2403</v>
      </c>
      <c r="B1705" s="12" t="s">
        <v>1666</v>
      </c>
      <c r="C1705" s="12" t="s">
        <v>1667</v>
      </c>
      <c r="D1705" s="12" t="s">
        <v>78</v>
      </c>
      <c r="E1705" s="12" t="s">
        <v>65</v>
      </c>
      <c r="F1705">
        <v>2</v>
      </c>
      <c r="G1705">
        <v>3</v>
      </c>
      <c r="H1705">
        <v>0</v>
      </c>
      <c r="I1705" s="12" t="s">
        <v>176</v>
      </c>
      <c r="J1705" s="12" t="s">
        <v>177</v>
      </c>
      <c r="K1705" s="12" t="s">
        <v>125</v>
      </c>
      <c r="L1705" s="12" t="s">
        <v>134</v>
      </c>
      <c r="M1705">
        <v>1.75</v>
      </c>
      <c r="N1705" s="12" t="s">
        <v>97</v>
      </c>
      <c r="O1705" s="12" t="s">
        <v>98</v>
      </c>
      <c r="P1705" s="12" t="s">
        <v>72</v>
      </c>
      <c r="Q1705" s="13">
        <v>45273</v>
      </c>
      <c r="R1705" s="13">
        <v>45302</v>
      </c>
      <c r="S1705">
        <v>2023</v>
      </c>
      <c r="T1705" s="12" t="s">
        <v>2336</v>
      </c>
      <c r="U1705">
        <v>169</v>
      </c>
      <c r="V1705">
        <v>75.122299999999996</v>
      </c>
      <c r="W1705">
        <v>155.91999999999999</v>
      </c>
      <c r="X1705">
        <v>0</v>
      </c>
      <c r="Y1705">
        <v>0</v>
      </c>
      <c r="Z1705">
        <v>12695.67</v>
      </c>
      <c r="AA1705">
        <v>12851.59</v>
      </c>
      <c r="AB1705" s="12" t="s">
        <v>2340</v>
      </c>
      <c r="AC1705">
        <v>75.122299999999996</v>
      </c>
      <c r="AD1705">
        <v>1</v>
      </c>
      <c r="AE1705">
        <v>1</v>
      </c>
      <c r="AF1705">
        <v>0</v>
      </c>
      <c r="AG1705">
        <v>12695.67</v>
      </c>
      <c r="AH1705">
        <v>169</v>
      </c>
      <c r="AI1705">
        <v>168</v>
      </c>
      <c r="AJ1705">
        <v>1</v>
      </c>
      <c r="AK1705">
        <v>1</v>
      </c>
      <c r="AL1705">
        <v>1</v>
      </c>
      <c r="AM1705">
        <v>99.41</v>
      </c>
      <c r="AN1705">
        <v>76.497600000000006</v>
      </c>
      <c r="AO1705">
        <v>75.12</v>
      </c>
      <c r="AP1705" s="13">
        <v>45311</v>
      </c>
      <c r="AQ1705">
        <v>9</v>
      </c>
      <c r="AR1705">
        <v>0</v>
      </c>
    </row>
    <row r="1706" spans="1:44" x14ac:dyDescent="0.35">
      <c r="A1706" s="12" t="s">
        <v>2404</v>
      </c>
      <c r="B1706" s="12" t="s">
        <v>740</v>
      </c>
      <c r="C1706" s="12" t="s">
        <v>741</v>
      </c>
      <c r="D1706" s="12" t="s">
        <v>64</v>
      </c>
      <c r="E1706" s="12" t="s">
        <v>104</v>
      </c>
      <c r="F1706">
        <v>2</v>
      </c>
      <c r="G1706">
        <v>0</v>
      </c>
      <c r="H1706">
        <v>0</v>
      </c>
      <c r="I1706" s="12" t="s">
        <v>183</v>
      </c>
      <c r="J1706" s="12" t="s">
        <v>184</v>
      </c>
      <c r="K1706" s="12" t="s">
        <v>133</v>
      </c>
      <c r="L1706" s="12" t="s">
        <v>82</v>
      </c>
      <c r="M1706">
        <v>8.6199999999999992</v>
      </c>
      <c r="N1706" s="12" t="s">
        <v>70</v>
      </c>
      <c r="O1706" s="12" t="s">
        <v>71</v>
      </c>
      <c r="P1706" s="12" t="s">
        <v>72</v>
      </c>
      <c r="Q1706" s="13">
        <v>45273</v>
      </c>
      <c r="R1706" s="13">
        <v>45301</v>
      </c>
      <c r="S1706">
        <v>2023</v>
      </c>
      <c r="T1706" s="12" t="s">
        <v>2336</v>
      </c>
      <c r="U1706">
        <v>914</v>
      </c>
      <c r="V1706">
        <v>41.2042</v>
      </c>
      <c r="W1706">
        <v>279.44</v>
      </c>
      <c r="X1706">
        <v>0</v>
      </c>
      <c r="Y1706">
        <v>0</v>
      </c>
      <c r="Z1706">
        <v>37660.639999999999</v>
      </c>
      <c r="AA1706">
        <v>37940.080000000002</v>
      </c>
      <c r="AB1706" s="12" t="s">
        <v>742</v>
      </c>
      <c r="AC1706">
        <v>41.2042</v>
      </c>
      <c r="AD1706">
        <v>1</v>
      </c>
      <c r="AE1706">
        <v>1</v>
      </c>
      <c r="AF1706">
        <v>0</v>
      </c>
      <c r="AG1706">
        <v>37660.639999999999</v>
      </c>
      <c r="AH1706">
        <v>914</v>
      </c>
      <c r="AI1706">
        <v>906</v>
      </c>
      <c r="AJ1706">
        <v>8</v>
      </c>
      <c r="AK1706">
        <v>1</v>
      </c>
      <c r="AL1706">
        <v>1</v>
      </c>
      <c r="AM1706">
        <v>99.12</v>
      </c>
      <c r="AN1706">
        <v>41.8765</v>
      </c>
      <c r="AO1706">
        <v>329.63</v>
      </c>
      <c r="AP1706" s="13">
        <v>45300</v>
      </c>
      <c r="AQ1706">
        <v>-1</v>
      </c>
      <c r="AR1706">
        <v>1</v>
      </c>
    </row>
    <row r="1707" spans="1:44" x14ac:dyDescent="0.35">
      <c r="A1707" s="12" t="s">
        <v>2405</v>
      </c>
      <c r="B1707" s="12" t="s">
        <v>712</v>
      </c>
      <c r="C1707" s="12" t="s">
        <v>713</v>
      </c>
      <c r="D1707" s="12" t="s">
        <v>103</v>
      </c>
      <c r="E1707" s="12" t="s">
        <v>104</v>
      </c>
      <c r="F1707">
        <v>2</v>
      </c>
      <c r="G1707">
        <v>0</v>
      </c>
      <c r="H1707">
        <v>0</v>
      </c>
      <c r="I1707" s="12" t="s">
        <v>199</v>
      </c>
      <c r="J1707" s="12" t="s">
        <v>200</v>
      </c>
      <c r="K1707" s="12" t="s">
        <v>68</v>
      </c>
      <c r="L1707" s="12" t="s">
        <v>96</v>
      </c>
      <c r="M1707">
        <v>9.4700000000000006</v>
      </c>
      <c r="N1707" s="12" t="s">
        <v>107</v>
      </c>
      <c r="O1707" s="12" t="s">
        <v>108</v>
      </c>
      <c r="P1707" s="12" t="s">
        <v>109</v>
      </c>
      <c r="Q1707" s="13">
        <v>45273</v>
      </c>
      <c r="R1707" s="13">
        <v>45292</v>
      </c>
      <c r="S1707">
        <v>2023</v>
      </c>
      <c r="T1707" s="12" t="s">
        <v>2336</v>
      </c>
      <c r="U1707">
        <v>69</v>
      </c>
      <c r="V1707">
        <v>202.47229999999999</v>
      </c>
      <c r="W1707">
        <v>321.45</v>
      </c>
      <c r="X1707">
        <v>0</v>
      </c>
      <c r="Y1707">
        <v>0</v>
      </c>
      <c r="Z1707">
        <v>13970.59</v>
      </c>
      <c r="AA1707">
        <v>14292.04</v>
      </c>
      <c r="AB1707" s="12" t="s">
        <v>714</v>
      </c>
      <c r="AC1707">
        <v>202.47229999999999</v>
      </c>
      <c r="AD1707">
        <v>1</v>
      </c>
      <c r="AE1707">
        <v>1</v>
      </c>
      <c r="AF1707">
        <v>0</v>
      </c>
      <c r="AG1707">
        <v>13970.59</v>
      </c>
      <c r="AH1707">
        <v>69</v>
      </c>
      <c r="AI1707">
        <v>68</v>
      </c>
      <c r="AJ1707">
        <v>1</v>
      </c>
      <c r="AK1707">
        <v>1</v>
      </c>
      <c r="AL1707">
        <v>1</v>
      </c>
      <c r="AM1707">
        <v>98.55</v>
      </c>
      <c r="AN1707">
        <v>210.17699999999999</v>
      </c>
      <c r="AO1707">
        <v>202.47</v>
      </c>
      <c r="AP1707" s="13">
        <v>45293</v>
      </c>
      <c r="AQ1707">
        <v>1</v>
      </c>
      <c r="AR1707">
        <v>0</v>
      </c>
    </row>
    <row r="1708" spans="1:44" x14ac:dyDescent="0.35">
      <c r="A1708" s="12" t="s">
        <v>2406</v>
      </c>
      <c r="B1708" s="12" t="s">
        <v>561</v>
      </c>
      <c r="C1708" s="12" t="s">
        <v>562</v>
      </c>
      <c r="D1708" s="12" t="s">
        <v>130</v>
      </c>
      <c r="E1708" s="12" t="s">
        <v>142</v>
      </c>
      <c r="F1708">
        <v>1</v>
      </c>
      <c r="G1708">
        <v>9</v>
      </c>
      <c r="H1708">
        <v>1</v>
      </c>
      <c r="I1708" s="12" t="s">
        <v>223</v>
      </c>
      <c r="J1708" s="12" t="s">
        <v>224</v>
      </c>
      <c r="K1708" s="12" t="s">
        <v>81</v>
      </c>
      <c r="L1708" s="12" t="s">
        <v>134</v>
      </c>
      <c r="M1708">
        <v>2.4900000000000002</v>
      </c>
      <c r="N1708" s="12" t="s">
        <v>159</v>
      </c>
      <c r="O1708" s="12" t="s">
        <v>160</v>
      </c>
      <c r="P1708" s="12" t="s">
        <v>137</v>
      </c>
      <c r="Q1708" s="13">
        <v>45273</v>
      </c>
      <c r="R1708" s="13">
        <v>45318</v>
      </c>
      <c r="S1708">
        <v>2023</v>
      </c>
      <c r="T1708" s="12" t="s">
        <v>2336</v>
      </c>
      <c r="U1708">
        <v>92</v>
      </c>
      <c r="V1708">
        <v>569.14030000000002</v>
      </c>
      <c r="W1708">
        <v>508.46</v>
      </c>
      <c r="X1708">
        <v>0</v>
      </c>
      <c r="Y1708">
        <v>0</v>
      </c>
      <c r="Z1708">
        <v>52360.91</v>
      </c>
      <c r="AA1708">
        <v>52869.37</v>
      </c>
      <c r="AB1708" s="12" t="s">
        <v>563</v>
      </c>
      <c r="AC1708">
        <v>603.56020000000001</v>
      </c>
      <c r="AD1708">
        <v>1</v>
      </c>
      <c r="AE1708">
        <v>1</v>
      </c>
      <c r="AF1708">
        <v>-3166.63</v>
      </c>
      <c r="AG1708">
        <v>55527.54</v>
      </c>
      <c r="AH1708">
        <v>92</v>
      </c>
      <c r="AI1708">
        <v>91</v>
      </c>
      <c r="AJ1708">
        <v>1</v>
      </c>
      <c r="AK1708">
        <v>1</v>
      </c>
      <c r="AL1708">
        <v>1</v>
      </c>
      <c r="AM1708">
        <v>98.91</v>
      </c>
      <c r="AN1708">
        <v>580.98209999999995</v>
      </c>
      <c r="AO1708">
        <v>569.14</v>
      </c>
      <c r="AP1708" s="13">
        <v>45316</v>
      </c>
      <c r="AQ1708">
        <v>-2</v>
      </c>
      <c r="AR1708">
        <v>1</v>
      </c>
    </row>
    <row r="1709" spans="1:44" x14ac:dyDescent="0.35">
      <c r="A1709" s="12" t="s">
        <v>2407</v>
      </c>
      <c r="B1709" s="12" t="s">
        <v>433</v>
      </c>
      <c r="C1709" s="12" t="s">
        <v>434</v>
      </c>
      <c r="D1709" s="12" t="s">
        <v>78</v>
      </c>
      <c r="E1709" s="12" t="s">
        <v>65</v>
      </c>
      <c r="F1709">
        <v>2</v>
      </c>
      <c r="G1709">
        <v>4</v>
      </c>
      <c r="H1709">
        <v>0</v>
      </c>
      <c r="I1709" s="12" t="s">
        <v>105</v>
      </c>
      <c r="J1709" s="12" t="s">
        <v>106</v>
      </c>
      <c r="K1709" s="12" t="s">
        <v>81</v>
      </c>
      <c r="L1709" s="12" t="s">
        <v>96</v>
      </c>
      <c r="M1709">
        <v>5.01</v>
      </c>
      <c r="N1709" s="12" t="s">
        <v>97</v>
      </c>
      <c r="O1709" s="12" t="s">
        <v>98</v>
      </c>
      <c r="P1709" s="12" t="s">
        <v>72</v>
      </c>
      <c r="Q1709" s="13">
        <v>45273</v>
      </c>
      <c r="R1709" s="13">
        <v>45305</v>
      </c>
      <c r="S1709">
        <v>2023</v>
      </c>
      <c r="T1709" s="12" t="s">
        <v>2336</v>
      </c>
      <c r="U1709">
        <v>207</v>
      </c>
      <c r="V1709">
        <v>76.331100000000006</v>
      </c>
      <c r="W1709">
        <v>122.03</v>
      </c>
      <c r="X1709">
        <v>0</v>
      </c>
      <c r="Y1709">
        <v>0</v>
      </c>
      <c r="Z1709">
        <v>15800.54</v>
      </c>
      <c r="AA1709">
        <v>15922.57</v>
      </c>
      <c r="AB1709" s="12" t="s">
        <v>463</v>
      </c>
      <c r="AC1709">
        <v>76.331100000000006</v>
      </c>
      <c r="AD1709">
        <v>1</v>
      </c>
      <c r="AE1709">
        <v>1</v>
      </c>
      <c r="AF1709">
        <v>0</v>
      </c>
      <c r="AG1709">
        <v>15800.54</v>
      </c>
      <c r="AH1709">
        <v>207</v>
      </c>
      <c r="AI1709">
        <v>205</v>
      </c>
      <c r="AJ1709">
        <v>2</v>
      </c>
      <c r="AK1709">
        <v>1</v>
      </c>
      <c r="AL1709">
        <v>1</v>
      </c>
      <c r="AM1709">
        <v>99.03</v>
      </c>
      <c r="AN1709">
        <v>77.671099999999996</v>
      </c>
      <c r="AO1709">
        <v>152.66</v>
      </c>
      <c r="AP1709" s="13">
        <v>45303</v>
      </c>
      <c r="AQ1709">
        <v>-2</v>
      </c>
      <c r="AR1709">
        <v>1</v>
      </c>
    </row>
    <row r="1710" spans="1:44" x14ac:dyDescent="0.35">
      <c r="A1710" s="12" t="s">
        <v>2408</v>
      </c>
      <c r="B1710" s="12" t="s">
        <v>674</v>
      </c>
      <c r="C1710" s="12" t="s">
        <v>675</v>
      </c>
      <c r="D1710" s="12" t="s">
        <v>269</v>
      </c>
      <c r="E1710" s="12" t="s">
        <v>142</v>
      </c>
      <c r="F1710">
        <v>1</v>
      </c>
      <c r="G1710">
        <v>7</v>
      </c>
      <c r="H1710">
        <v>1</v>
      </c>
      <c r="I1710" s="12" t="s">
        <v>676</v>
      </c>
      <c r="J1710" s="12" t="s">
        <v>677</v>
      </c>
      <c r="K1710" s="12" t="s">
        <v>68</v>
      </c>
      <c r="L1710" s="12" t="s">
        <v>96</v>
      </c>
      <c r="M1710">
        <v>3.57</v>
      </c>
      <c r="N1710" s="12" t="s">
        <v>159</v>
      </c>
      <c r="O1710" s="12" t="s">
        <v>160</v>
      </c>
      <c r="P1710" s="12" t="s">
        <v>137</v>
      </c>
      <c r="Q1710" s="13">
        <v>45274</v>
      </c>
      <c r="R1710" s="13">
        <v>45321</v>
      </c>
      <c r="S1710">
        <v>2023</v>
      </c>
      <c r="T1710" s="12" t="s">
        <v>2336</v>
      </c>
      <c r="U1710">
        <v>106</v>
      </c>
      <c r="V1710">
        <v>355.32960000000003</v>
      </c>
      <c r="W1710">
        <v>478.08</v>
      </c>
      <c r="X1710">
        <v>0</v>
      </c>
      <c r="Y1710">
        <v>0</v>
      </c>
      <c r="Z1710">
        <v>37664.94</v>
      </c>
      <c r="AA1710">
        <v>38143.019999999997</v>
      </c>
      <c r="AB1710" s="12" t="s">
        <v>678</v>
      </c>
      <c r="AC1710">
        <v>355.32960000000003</v>
      </c>
      <c r="AD1710">
        <v>1</v>
      </c>
      <c r="AE1710">
        <v>1</v>
      </c>
      <c r="AF1710">
        <v>0</v>
      </c>
      <c r="AG1710">
        <v>37664.94</v>
      </c>
      <c r="AH1710">
        <v>106</v>
      </c>
      <c r="AI1710">
        <v>105</v>
      </c>
      <c r="AJ1710">
        <v>1</v>
      </c>
      <c r="AK1710">
        <v>1</v>
      </c>
      <c r="AL1710">
        <v>1</v>
      </c>
      <c r="AM1710">
        <v>99.06</v>
      </c>
      <c r="AN1710">
        <v>363.26679999999999</v>
      </c>
      <c r="AO1710">
        <v>355.33</v>
      </c>
      <c r="AP1710" s="13">
        <v>45319</v>
      </c>
      <c r="AQ1710">
        <v>-2</v>
      </c>
      <c r="AR1710">
        <v>1</v>
      </c>
    </row>
    <row r="1711" spans="1:44" x14ac:dyDescent="0.35">
      <c r="A1711" s="12" t="s">
        <v>2409</v>
      </c>
      <c r="B1711" s="12" t="s">
        <v>437</v>
      </c>
      <c r="C1711" s="12" t="s">
        <v>438</v>
      </c>
      <c r="D1711" s="12" t="s">
        <v>269</v>
      </c>
      <c r="E1711" s="12" t="s">
        <v>65</v>
      </c>
      <c r="F1711">
        <v>2</v>
      </c>
      <c r="G1711">
        <v>4</v>
      </c>
      <c r="H1711">
        <v>0</v>
      </c>
      <c r="I1711" s="12" t="s">
        <v>115</v>
      </c>
      <c r="J1711" s="12" t="s">
        <v>116</v>
      </c>
      <c r="K1711" s="12" t="s">
        <v>117</v>
      </c>
      <c r="L1711" s="12" t="s">
        <v>82</v>
      </c>
      <c r="M1711">
        <v>17.170000000000002</v>
      </c>
      <c r="N1711" s="12" t="s">
        <v>135</v>
      </c>
      <c r="O1711" s="12" t="s">
        <v>136</v>
      </c>
      <c r="P1711" s="12" t="s">
        <v>137</v>
      </c>
      <c r="Q1711" s="13">
        <v>45274</v>
      </c>
      <c r="R1711" s="13">
        <v>45305</v>
      </c>
      <c r="S1711">
        <v>2023</v>
      </c>
      <c r="T1711" s="12" t="s">
        <v>2336</v>
      </c>
      <c r="U1711">
        <v>90</v>
      </c>
      <c r="V1711">
        <v>473.21539999999999</v>
      </c>
      <c r="W1711">
        <v>376.23</v>
      </c>
      <c r="X1711">
        <v>0</v>
      </c>
      <c r="Y1711">
        <v>0</v>
      </c>
      <c r="Z1711">
        <v>42589.39</v>
      </c>
      <c r="AA1711">
        <v>42965.62</v>
      </c>
      <c r="AB1711" s="12" t="s">
        <v>439</v>
      </c>
      <c r="AC1711">
        <v>473.21539999999999</v>
      </c>
      <c r="AD1711">
        <v>1</v>
      </c>
      <c r="AE1711">
        <v>1</v>
      </c>
      <c r="AF1711">
        <v>0</v>
      </c>
      <c r="AG1711">
        <v>42589.39</v>
      </c>
      <c r="AH1711">
        <v>90</v>
      </c>
      <c r="AI1711">
        <v>89</v>
      </c>
      <c r="AJ1711">
        <v>1</v>
      </c>
      <c r="AK1711">
        <v>1</v>
      </c>
      <c r="AL1711">
        <v>1</v>
      </c>
      <c r="AM1711">
        <v>98.89</v>
      </c>
      <c r="AN1711">
        <v>482.75970000000001</v>
      </c>
      <c r="AO1711">
        <v>473.22</v>
      </c>
      <c r="AP1711" s="13">
        <v>45305</v>
      </c>
      <c r="AQ1711">
        <v>0</v>
      </c>
      <c r="AR1711">
        <v>1</v>
      </c>
    </row>
    <row r="1712" spans="1:44" x14ac:dyDescent="0.35">
      <c r="A1712" s="12" t="s">
        <v>2410</v>
      </c>
      <c r="B1712" s="12" t="s">
        <v>630</v>
      </c>
      <c r="C1712" s="12" t="s">
        <v>631</v>
      </c>
      <c r="D1712" s="12" t="s">
        <v>130</v>
      </c>
      <c r="E1712" s="12" t="s">
        <v>65</v>
      </c>
      <c r="F1712">
        <v>1</v>
      </c>
      <c r="G1712">
        <v>2</v>
      </c>
      <c r="H1712">
        <v>1</v>
      </c>
      <c r="I1712" s="12" t="s">
        <v>335</v>
      </c>
      <c r="J1712" s="12" t="s">
        <v>336</v>
      </c>
      <c r="K1712" s="12" t="s">
        <v>89</v>
      </c>
      <c r="L1712" s="12" t="s">
        <v>82</v>
      </c>
      <c r="M1712">
        <v>16</v>
      </c>
      <c r="N1712" s="12" t="s">
        <v>135</v>
      </c>
      <c r="O1712" s="12" t="s">
        <v>136</v>
      </c>
      <c r="P1712" s="12" t="s">
        <v>137</v>
      </c>
      <c r="Q1712" s="13">
        <v>45274</v>
      </c>
      <c r="R1712" s="13">
        <v>45300</v>
      </c>
      <c r="S1712">
        <v>2023</v>
      </c>
      <c r="T1712" s="12" t="s">
        <v>2336</v>
      </c>
      <c r="U1712">
        <v>55</v>
      </c>
      <c r="V1712">
        <v>422.09030000000001</v>
      </c>
      <c r="W1712">
        <v>554.9</v>
      </c>
      <c r="X1712">
        <v>0</v>
      </c>
      <c r="Y1712">
        <v>0</v>
      </c>
      <c r="Z1712">
        <v>23214.97</v>
      </c>
      <c r="AA1712">
        <v>23769.87</v>
      </c>
      <c r="AB1712" s="12" t="s">
        <v>632</v>
      </c>
      <c r="AC1712">
        <v>448.44209999999998</v>
      </c>
      <c r="AD1712">
        <v>1</v>
      </c>
      <c r="AE1712">
        <v>1</v>
      </c>
      <c r="AF1712">
        <v>-1449.35</v>
      </c>
      <c r="AG1712">
        <v>24664.32</v>
      </c>
      <c r="AH1712">
        <v>55</v>
      </c>
      <c r="AI1712">
        <v>54</v>
      </c>
      <c r="AJ1712">
        <v>1</v>
      </c>
      <c r="AK1712">
        <v>1</v>
      </c>
      <c r="AL1712">
        <v>1</v>
      </c>
      <c r="AM1712">
        <v>98.18</v>
      </c>
      <c r="AN1712">
        <v>440.18270000000001</v>
      </c>
      <c r="AO1712">
        <v>422.09</v>
      </c>
      <c r="AP1712" s="13">
        <v>45297</v>
      </c>
      <c r="AQ1712">
        <v>-3</v>
      </c>
      <c r="AR1712">
        <v>1</v>
      </c>
    </row>
    <row r="1713" spans="1:44" x14ac:dyDescent="0.35">
      <c r="A1713" s="12" t="s">
        <v>2411</v>
      </c>
      <c r="B1713" s="12" t="s">
        <v>120</v>
      </c>
      <c r="C1713" s="12" t="s">
        <v>121</v>
      </c>
      <c r="D1713" s="12" t="s">
        <v>122</v>
      </c>
      <c r="E1713" s="12" t="s">
        <v>65</v>
      </c>
      <c r="F1713">
        <v>3</v>
      </c>
      <c r="G1713">
        <v>4</v>
      </c>
      <c r="H1713">
        <v>0</v>
      </c>
      <c r="I1713" s="12" t="s">
        <v>209</v>
      </c>
      <c r="J1713" s="12" t="s">
        <v>210</v>
      </c>
      <c r="K1713" s="12" t="s">
        <v>133</v>
      </c>
      <c r="L1713" s="12" t="s">
        <v>96</v>
      </c>
      <c r="M1713">
        <v>7.82</v>
      </c>
      <c r="N1713" s="12" t="s">
        <v>97</v>
      </c>
      <c r="O1713" s="12" t="s">
        <v>98</v>
      </c>
      <c r="P1713" s="12" t="s">
        <v>72</v>
      </c>
      <c r="Q1713" s="13">
        <v>45274</v>
      </c>
      <c r="R1713" s="13">
        <v>45298</v>
      </c>
      <c r="S1713">
        <v>2023</v>
      </c>
      <c r="T1713" s="12" t="s">
        <v>2336</v>
      </c>
      <c r="U1713">
        <v>512</v>
      </c>
      <c r="V1713">
        <v>61.282400000000003</v>
      </c>
      <c r="W1713">
        <v>472.19</v>
      </c>
      <c r="X1713">
        <v>0</v>
      </c>
      <c r="Y1713">
        <v>0</v>
      </c>
      <c r="Z1713">
        <v>31376.59</v>
      </c>
      <c r="AA1713">
        <v>31848.78</v>
      </c>
      <c r="AB1713" s="12" t="s">
        <v>201</v>
      </c>
      <c r="AD1713">
        <v>0</v>
      </c>
      <c r="AE1713">
        <v>0</v>
      </c>
      <c r="AH1713">
        <v>512</v>
      </c>
      <c r="AI1713">
        <v>508</v>
      </c>
      <c r="AJ1713">
        <v>4</v>
      </c>
      <c r="AK1713">
        <v>1</v>
      </c>
      <c r="AL1713">
        <v>1</v>
      </c>
      <c r="AM1713">
        <v>99.22</v>
      </c>
      <c r="AN1713">
        <v>62.694400000000002</v>
      </c>
      <c r="AO1713">
        <v>245.13</v>
      </c>
      <c r="AP1713" s="13">
        <v>45296</v>
      </c>
      <c r="AQ1713">
        <v>-2</v>
      </c>
      <c r="AR1713">
        <v>1</v>
      </c>
    </row>
    <row r="1714" spans="1:44" x14ac:dyDescent="0.35">
      <c r="A1714" s="12" t="s">
        <v>2412</v>
      </c>
      <c r="B1714" s="12" t="s">
        <v>451</v>
      </c>
      <c r="C1714" s="12" t="s">
        <v>452</v>
      </c>
      <c r="D1714" s="12" t="s">
        <v>175</v>
      </c>
      <c r="E1714" s="12" t="s">
        <v>104</v>
      </c>
      <c r="F1714">
        <v>3</v>
      </c>
      <c r="G1714">
        <v>1</v>
      </c>
      <c r="H1714">
        <v>0</v>
      </c>
      <c r="I1714" s="12" t="s">
        <v>359</v>
      </c>
      <c r="J1714" s="12" t="s">
        <v>360</v>
      </c>
      <c r="K1714" s="12" t="s">
        <v>133</v>
      </c>
      <c r="L1714" s="12" t="s">
        <v>82</v>
      </c>
      <c r="M1714">
        <v>12.65</v>
      </c>
      <c r="N1714" s="12" t="s">
        <v>107</v>
      </c>
      <c r="O1714" s="12" t="s">
        <v>108</v>
      </c>
      <c r="P1714" s="12" t="s">
        <v>109</v>
      </c>
      <c r="Q1714" s="13">
        <v>45274</v>
      </c>
      <c r="R1714" s="13">
        <v>45297</v>
      </c>
      <c r="S1714">
        <v>2023</v>
      </c>
      <c r="T1714" s="12" t="s">
        <v>2336</v>
      </c>
      <c r="U1714">
        <v>103</v>
      </c>
      <c r="V1714">
        <v>254.15530000000001</v>
      </c>
      <c r="W1714">
        <v>249.39</v>
      </c>
      <c r="X1714">
        <v>0</v>
      </c>
      <c r="Y1714">
        <v>0</v>
      </c>
      <c r="Z1714">
        <v>26178</v>
      </c>
      <c r="AA1714">
        <v>26427.39</v>
      </c>
      <c r="AB1714" s="12" t="s">
        <v>627</v>
      </c>
      <c r="AC1714">
        <v>254.15530000000001</v>
      </c>
      <c r="AD1714">
        <v>1</v>
      </c>
      <c r="AE1714">
        <v>1</v>
      </c>
      <c r="AF1714">
        <v>0</v>
      </c>
      <c r="AG1714">
        <v>26178</v>
      </c>
      <c r="AH1714">
        <v>103</v>
      </c>
      <c r="AI1714">
        <v>102</v>
      </c>
      <c r="AJ1714">
        <v>1</v>
      </c>
      <c r="AK1714">
        <v>1</v>
      </c>
      <c r="AL1714">
        <v>1</v>
      </c>
      <c r="AM1714">
        <v>99.03</v>
      </c>
      <c r="AN1714">
        <v>259.09199999999998</v>
      </c>
      <c r="AO1714">
        <v>254.16</v>
      </c>
      <c r="AP1714" s="13">
        <v>45296</v>
      </c>
      <c r="AQ1714">
        <v>-1</v>
      </c>
      <c r="AR1714">
        <v>1</v>
      </c>
    </row>
    <row r="1715" spans="1:44" x14ac:dyDescent="0.35">
      <c r="A1715" s="12" t="s">
        <v>2413</v>
      </c>
      <c r="B1715" s="12" t="s">
        <v>451</v>
      </c>
      <c r="C1715" s="12" t="s">
        <v>452</v>
      </c>
      <c r="D1715" s="12" t="s">
        <v>175</v>
      </c>
      <c r="E1715" s="12" t="s">
        <v>104</v>
      </c>
      <c r="F1715">
        <v>3</v>
      </c>
      <c r="G1715">
        <v>1</v>
      </c>
      <c r="H1715">
        <v>0</v>
      </c>
      <c r="I1715" s="12" t="s">
        <v>359</v>
      </c>
      <c r="J1715" s="12" t="s">
        <v>360</v>
      </c>
      <c r="K1715" s="12" t="s">
        <v>133</v>
      </c>
      <c r="L1715" s="12" t="s">
        <v>82</v>
      </c>
      <c r="M1715">
        <v>12.65</v>
      </c>
      <c r="N1715" s="12" t="s">
        <v>145</v>
      </c>
      <c r="O1715" s="12" t="s">
        <v>146</v>
      </c>
      <c r="P1715" s="12" t="s">
        <v>109</v>
      </c>
      <c r="Q1715" s="13">
        <v>45274</v>
      </c>
      <c r="R1715" s="13">
        <v>45297</v>
      </c>
      <c r="S1715">
        <v>2023</v>
      </c>
      <c r="T1715" s="12" t="s">
        <v>2336</v>
      </c>
      <c r="U1715">
        <v>102</v>
      </c>
      <c r="V1715">
        <v>254.15530000000001</v>
      </c>
      <c r="W1715">
        <v>609.11</v>
      </c>
      <c r="X1715">
        <v>0</v>
      </c>
      <c r="Y1715">
        <v>0</v>
      </c>
      <c r="Z1715">
        <v>25923.84</v>
      </c>
      <c r="AA1715">
        <v>26532.95</v>
      </c>
      <c r="AB1715" s="12" t="s">
        <v>627</v>
      </c>
      <c r="AC1715">
        <v>254.15530000000001</v>
      </c>
      <c r="AD1715">
        <v>1</v>
      </c>
      <c r="AE1715">
        <v>1</v>
      </c>
      <c r="AF1715">
        <v>0</v>
      </c>
      <c r="AG1715">
        <v>25923.84</v>
      </c>
      <c r="AH1715">
        <v>102</v>
      </c>
      <c r="AI1715">
        <v>101</v>
      </c>
      <c r="AJ1715">
        <v>1</v>
      </c>
      <c r="AK1715">
        <v>1</v>
      </c>
      <c r="AL1715">
        <v>1</v>
      </c>
      <c r="AM1715">
        <v>99.02</v>
      </c>
      <c r="AN1715">
        <v>262.70249999999999</v>
      </c>
      <c r="AO1715">
        <v>254.16</v>
      </c>
      <c r="AP1715" s="13">
        <v>45297</v>
      </c>
      <c r="AQ1715">
        <v>0</v>
      </c>
      <c r="AR1715">
        <v>1</v>
      </c>
    </row>
    <row r="1716" spans="1:44" x14ac:dyDescent="0.35">
      <c r="A1716" s="12" t="s">
        <v>2414</v>
      </c>
      <c r="B1716" s="12" t="s">
        <v>420</v>
      </c>
      <c r="C1716" s="12" t="s">
        <v>421</v>
      </c>
      <c r="D1716" s="12" t="s">
        <v>269</v>
      </c>
      <c r="E1716" s="12" t="s">
        <v>104</v>
      </c>
      <c r="F1716">
        <v>2</v>
      </c>
      <c r="G1716">
        <v>0</v>
      </c>
      <c r="H1716">
        <v>0</v>
      </c>
      <c r="I1716" s="12" t="s">
        <v>380</v>
      </c>
      <c r="J1716" s="12" t="s">
        <v>381</v>
      </c>
      <c r="K1716" s="12" t="s">
        <v>89</v>
      </c>
      <c r="L1716" s="12" t="s">
        <v>96</v>
      </c>
      <c r="M1716">
        <v>10.210000000000001</v>
      </c>
      <c r="N1716" s="12" t="s">
        <v>135</v>
      </c>
      <c r="O1716" s="12" t="s">
        <v>136</v>
      </c>
      <c r="P1716" s="12" t="s">
        <v>137</v>
      </c>
      <c r="Q1716" s="13">
        <v>45274</v>
      </c>
      <c r="R1716" s="13">
        <v>45300</v>
      </c>
      <c r="S1716">
        <v>2023</v>
      </c>
      <c r="T1716" s="12" t="s">
        <v>2336</v>
      </c>
      <c r="U1716">
        <v>120</v>
      </c>
      <c r="V1716">
        <v>146.53960000000001</v>
      </c>
      <c r="W1716">
        <v>309.52999999999997</v>
      </c>
      <c r="X1716">
        <v>0</v>
      </c>
      <c r="Y1716">
        <v>0</v>
      </c>
      <c r="Z1716">
        <v>17584.75</v>
      </c>
      <c r="AA1716">
        <v>17894.28</v>
      </c>
      <c r="AB1716" s="12" t="s">
        <v>422</v>
      </c>
      <c r="AC1716">
        <v>146.53960000000001</v>
      </c>
      <c r="AD1716">
        <v>1</v>
      </c>
      <c r="AE1716">
        <v>1</v>
      </c>
      <c r="AF1716">
        <v>0</v>
      </c>
      <c r="AG1716">
        <v>17584.75</v>
      </c>
      <c r="AH1716">
        <v>120</v>
      </c>
      <c r="AI1716">
        <v>119</v>
      </c>
      <c r="AJ1716">
        <v>1</v>
      </c>
      <c r="AK1716">
        <v>1</v>
      </c>
      <c r="AL1716">
        <v>1</v>
      </c>
      <c r="AM1716">
        <v>99.17</v>
      </c>
      <c r="AN1716">
        <v>150.37209999999999</v>
      </c>
      <c r="AO1716">
        <v>146.54</v>
      </c>
      <c r="AP1716" s="13">
        <v>45299</v>
      </c>
      <c r="AQ1716">
        <v>-1</v>
      </c>
      <c r="AR1716">
        <v>1</v>
      </c>
    </row>
    <row r="1717" spans="1:44" x14ac:dyDescent="0.35">
      <c r="A1717" s="12" t="s">
        <v>2415</v>
      </c>
      <c r="B1717" s="12" t="s">
        <v>712</v>
      </c>
      <c r="C1717" s="12" t="s">
        <v>713</v>
      </c>
      <c r="D1717" s="12" t="s">
        <v>103</v>
      </c>
      <c r="E1717" s="12" t="s">
        <v>104</v>
      </c>
      <c r="F1717">
        <v>2</v>
      </c>
      <c r="G1717">
        <v>0</v>
      </c>
      <c r="H1717">
        <v>0</v>
      </c>
      <c r="I1717" s="12" t="s">
        <v>199</v>
      </c>
      <c r="J1717" s="12" t="s">
        <v>200</v>
      </c>
      <c r="K1717" s="12" t="s">
        <v>68</v>
      </c>
      <c r="L1717" s="12" t="s">
        <v>96</v>
      </c>
      <c r="M1717">
        <v>9.4700000000000006</v>
      </c>
      <c r="N1717" s="12" t="s">
        <v>107</v>
      </c>
      <c r="O1717" s="12" t="s">
        <v>108</v>
      </c>
      <c r="P1717" s="12" t="s">
        <v>109</v>
      </c>
      <c r="Q1717" s="13">
        <v>45274</v>
      </c>
      <c r="R1717" s="13">
        <v>45289</v>
      </c>
      <c r="S1717">
        <v>2023</v>
      </c>
      <c r="T1717" s="12" t="s">
        <v>2336</v>
      </c>
      <c r="U1717">
        <v>37</v>
      </c>
      <c r="V1717">
        <v>202.47229999999999</v>
      </c>
      <c r="W1717">
        <v>119.64</v>
      </c>
      <c r="X1717">
        <v>0</v>
      </c>
      <c r="Y1717">
        <v>0</v>
      </c>
      <c r="Z1717">
        <v>7491.48</v>
      </c>
      <c r="AA1717">
        <v>7611.12</v>
      </c>
      <c r="AB1717" s="12" t="s">
        <v>714</v>
      </c>
      <c r="AC1717">
        <v>202.47229999999999</v>
      </c>
      <c r="AD1717">
        <v>1</v>
      </c>
      <c r="AE1717">
        <v>1</v>
      </c>
      <c r="AF1717">
        <v>0</v>
      </c>
      <c r="AG1717">
        <v>7491.48</v>
      </c>
      <c r="AH1717">
        <v>37</v>
      </c>
      <c r="AI1717">
        <v>37</v>
      </c>
      <c r="AJ1717">
        <v>0</v>
      </c>
      <c r="AK1717">
        <v>1</v>
      </c>
      <c r="AL1717">
        <v>1</v>
      </c>
      <c r="AM1717">
        <v>100</v>
      </c>
      <c r="AN1717">
        <v>205.70580000000001</v>
      </c>
      <c r="AO1717">
        <v>0</v>
      </c>
      <c r="AP1717" s="13">
        <v>45288</v>
      </c>
      <c r="AQ1717">
        <v>-1</v>
      </c>
      <c r="AR1717">
        <v>1</v>
      </c>
    </row>
    <row r="1718" spans="1:44" x14ac:dyDescent="0.35">
      <c r="A1718" s="12" t="s">
        <v>2416</v>
      </c>
      <c r="B1718" s="12" t="s">
        <v>509</v>
      </c>
      <c r="C1718" s="12" t="s">
        <v>510</v>
      </c>
      <c r="D1718" s="12" t="s">
        <v>78</v>
      </c>
      <c r="E1718" s="12" t="s">
        <v>142</v>
      </c>
      <c r="F1718">
        <v>3</v>
      </c>
      <c r="G1718">
        <v>11</v>
      </c>
      <c r="H1718">
        <v>0</v>
      </c>
      <c r="I1718" s="12" t="s">
        <v>176</v>
      </c>
      <c r="J1718" s="12" t="s">
        <v>177</v>
      </c>
      <c r="K1718" s="12" t="s">
        <v>125</v>
      </c>
      <c r="L1718" s="12" t="s">
        <v>134</v>
      </c>
      <c r="M1718">
        <v>1.75</v>
      </c>
      <c r="N1718" s="12" t="s">
        <v>70</v>
      </c>
      <c r="O1718" s="12" t="s">
        <v>71</v>
      </c>
      <c r="P1718" s="12" t="s">
        <v>72</v>
      </c>
      <c r="Q1718" s="13">
        <v>45274</v>
      </c>
      <c r="R1718" s="13">
        <v>45313</v>
      </c>
      <c r="S1718">
        <v>2023</v>
      </c>
      <c r="T1718" s="12" t="s">
        <v>2336</v>
      </c>
      <c r="U1718">
        <v>111</v>
      </c>
      <c r="V1718">
        <v>144.51259999999999</v>
      </c>
      <c r="W1718">
        <v>164.02</v>
      </c>
      <c r="X1718">
        <v>0</v>
      </c>
      <c r="Y1718">
        <v>0</v>
      </c>
      <c r="Z1718">
        <v>16040.9</v>
      </c>
      <c r="AA1718">
        <v>16204.92</v>
      </c>
      <c r="AB1718" s="12" t="s">
        <v>511</v>
      </c>
      <c r="AC1718">
        <v>144.51259999999999</v>
      </c>
      <c r="AD1718">
        <v>1</v>
      </c>
      <c r="AE1718">
        <v>1</v>
      </c>
      <c r="AF1718">
        <v>0</v>
      </c>
      <c r="AG1718">
        <v>16040.9</v>
      </c>
      <c r="AH1718">
        <v>111</v>
      </c>
      <c r="AI1718">
        <v>109</v>
      </c>
      <c r="AJ1718">
        <v>2</v>
      </c>
      <c r="AK1718">
        <v>1</v>
      </c>
      <c r="AL1718">
        <v>1</v>
      </c>
      <c r="AM1718">
        <v>98.2</v>
      </c>
      <c r="AN1718">
        <v>148.66900000000001</v>
      </c>
      <c r="AO1718">
        <v>289.02999999999997</v>
      </c>
      <c r="AP1718" s="13">
        <v>45310</v>
      </c>
      <c r="AQ1718">
        <v>-3</v>
      </c>
      <c r="AR1718">
        <v>1</v>
      </c>
    </row>
    <row r="1719" spans="1:44" x14ac:dyDescent="0.35">
      <c r="A1719" s="12" t="s">
        <v>2417</v>
      </c>
      <c r="B1719" s="12" t="s">
        <v>561</v>
      </c>
      <c r="C1719" s="12" t="s">
        <v>562</v>
      </c>
      <c r="D1719" s="12" t="s">
        <v>130</v>
      </c>
      <c r="E1719" s="12" t="s">
        <v>142</v>
      </c>
      <c r="F1719">
        <v>1</v>
      </c>
      <c r="G1719">
        <v>9</v>
      </c>
      <c r="H1719">
        <v>1</v>
      </c>
      <c r="I1719" s="12" t="s">
        <v>223</v>
      </c>
      <c r="J1719" s="12" t="s">
        <v>224</v>
      </c>
      <c r="K1719" s="12" t="s">
        <v>81</v>
      </c>
      <c r="L1719" s="12" t="s">
        <v>134</v>
      </c>
      <c r="M1719">
        <v>2.4900000000000002</v>
      </c>
      <c r="N1719" s="12" t="s">
        <v>135</v>
      </c>
      <c r="O1719" s="12" t="s">
        <v>136</v>
      </c>
      <c r="P1719" s="12" t="s">
        <v>137</v>
      </c>
      <c r="Q1719" s="13">
        <v>45274</v>
      </c>
      <c r="R1719" s="13">
        <v>45324</v>
      </c>
      <c r="S1719">
        <v>2023</v>
      </c>
      <c r="T1719" s="12" t="s">
        <v>2336</v>
      </c>
      <c r="U1719">
        <v>134</v>
      </c>
      <c r="V1719">
        <v>603.56020000000001</v>
      </c>
      <c r="W1719">
        <v>2057.5100000000002</v>
      </c>
      <c r="X1719">
        <v>0</v>
      </c>
      <c r="Y1719">
        <v>0</v>
      </c>
      <c r="Z1719">
        <v>80877.070000000007</v>
      </c>
      <c r="AA1719">
        <v>82934.58</v>
      </c>
      <c r="AB1719" s="12" t="s">
        <v>563</v>
      </c>
      <c r="AC1719">
        <v>603.56020000000001</v>
      </c>
      <c r="AD1719">
        <v>1</v>
      </c>
      <c r="AE1719">
        <v>1</v>
      </c>
      <c r="AF1719">
        <v>0</v>
      </c>
      <c r="AG1719">
        <v>80877.070000000007</v>
      </c>
      <c r="AH1719">
        <v>134</v>
      </c>
      <c r="AI1719">
        <v>133</v>
      </c>
      <c r="AJ1719">
        <v>1</v>
      </c>
      <c r="AK1719">
        <v>1</v>
      </c>
      <c r="AL1719">
        <v>1</v>
      </c>
      <c r="AM1719">
        <v>99.25</v>
      </c>
      <c r="AN1719">
        <v>623.56820000000005</v>
      </c>
      <c r="AO1719">
        <v>603.55999999999995</v>
      </c>
      <c r="AP1719" s="13">
        <v>45321</v>
      </c>
      <c r="AQ1719">
        <v>-3</v>
      </c>
      <c r="AR1719">
        <v>1</v>
      </c>
    </row>
    <row r="1720" spans="1:44" x14ac:dyDescent="0.35">
      <c r="A1720" s="12" t="s">
        <v>2418</v>
      </c>
      <c r="B1720" s="12" t="s">
        <v>537</v>
      </c>
      <c r="C1720" s="12" t="s">
        <v>538</v>
      </c>
      <c r="D1720" s="12" t="s">
        <v>103</v>
      </c>
      <c r="E1720" s="12" t="s">
        <v>104</v>
      </c>
      <c r="F1720">
        <v>3</v>
      </c>
      <c r="G1720">
        <v>0</v>
      </c>
      <c r="H1720">
        <v>0</v>
      </c>
      <c r="I1720" s="12" t="s">
        <v>380</v>
      </c>
      <c r="J1720" s="12" t="s">
        <v>381</v>
      </c>
      <c r="K1720" s="12" t="s">
        <v>89</v>
      </c>
      <c r="L1720" s="12" t="s">
        <v>96</v>
      </c>
      <c r="M1720">
        <v>10.210000000000001</v>
      </c>
      <c r="N1720" s="12" t="s">
        <v>145</v>
      </c>
      <c r="O1720" s="12" t="s">
        <v>146</v>
      </c>
      <c r="P1720" s="12" t="s">
        <v>109</v>
      </c>
      <c r="Q1720" s="13">
        <v>45275</v>
      </c>
      <c r="R1720" s="13">
        <v>45287</v>
      </c>
      <c r="S1720">
        <v>2023</v>
      </c>
      <c r="T1720" s="12" t="s">
        <v>2336</v>
      </c>
      <c r="U1720">
        <v>16</v>
      </c>
      <c r="V1720">
        <v>242.5684</v>
      </c>
      <c r="W1720">
        <v>79.05</v>
      </c>
      <c r="X1720">
        <v>0</v>
      </c>
      <c r="Y1720">
        <v>0</v>
      </c>
      <c r="Z1720">
        <v>3881.09</v>
      </c>
      <c r="AA1720">
        <v>3960.14</v>
      </c>
      <c r="AB1720" s="12" t="s">
        <v>539</v>
      </c>
      <c r="AC1720">
        <v>242.5684</v>
      </c>
      <c r="AD1720">
        <v>1</v>
      </c>
      <c r="AE1720">
        <v>1</v>
      </c>
      <c r="AF1720">
        <v>0</v>
      </c>
      <c r="AG1720">
        <v>3881.09</v>
      </c>
      <c r="AH1720">
        <v>16</v>
      </c>
      <c r="AI1720">
        <v>16</v>
      </c>
      <c r="AJ1720">
        <v>0</v>
      </c>
      <c r="AK1720">
        <v>1</v>
      </c>
      <c r="AL1720">
        <v>1</v>
      </c>
      <c r="AM1720">
        <v>100</v>
      </c>
      <c r="AN1720">
        <v>247.50899999999999</v>
      </c>
      <c r="AO1720">
        <v>0</v>
      </c>
      <c r="AP1720" s="13">
        <v>45286</v>
      </c>
      <c r="AQ1720">
        <v>-1</v>
      </c>
      <c r="AR1720">
        <v>1</v>
      </c>
    </row>
    <row r="1721" spans="1:44" x14ac:dyDescent="0.35">
      <c r="A1721" s="12" t="s">
        <v>2419</v>
      </c>
      <c r="B1721" s="12" t="s">
        <v>249</v>
      </c>
      <c r="C1721" s="12" t="s">
        <v>250</v>
      </c>
      <c r="D1721" s="12" t="s">
        <v>64</v>
      </c>
      <c r="E1721" s="12" t="s">
        <v>65</v>
      </c>
      <c r="F1721">
        <v>2</v>
      </c>
      <c r="G1721">
        <v>3</v>
      </c>
      <c r="H1721">
        <v>0</v>
      </c>
      <c r="I1721" s="12" t="s">
        <v>183</v>
      </c>
      <c r="J1721" s="12" t="s">
        <v>184</v>
      </c>
      <c r="K1721" s="12" t="s">
        <v>133</v>
      </c>
      <c r="L1721" s="12" t="s">
        <v>82</v>
      </c>
      <c r="M1721">
        <v>8.6199999999999992</v>
      </c>
      <c r="N1721" s="12" t="s">
        <v>97</v>
      </c>
      <c r="O1721" s="12" t="s">
        <v>98</v>
      </c>
      <c r="P1721" s="12" t="s">
        <v>72</v>
      </c>
      <c r="Q1721" s="13">
        <v>45275</v>
      </c>
      <c r="R1721" s="13">
        <v>45308</v>
      </c>
      <c r="S1721">
        <v>2023</v>
      </c>
      <c r="T1721" s="12" t="s">
        <v>2336</v>
      </c>
      <c r="U1721">
        <v>726</v>
      </c>
      <c r="V1721">
        <v>10.022600000000001</v>
      </c>
      <c r="W1721">
        <v>116.14</v>
      </c>
      <c r="X1721">
        <v>0</v>
      </c>
      <c r="Y1721">
        <v>0</v>
      </c>
      <c r="Z1721">
        <v>7276.41</v>
      </c>
      <c r="AA1721">
        <v>7392.55</v>
      </c>
      <c r="AB1721" s="12" t="s">
        <v>2127</v>
      </c>
      <c r="AC1721">
        <v>10.6486</v>
      </c>
      <c r="AD1721">
        <v>1</v>
      </c>
      <c r="AE1721">
        <v>1</v>
      </c>
      <c r="AF1721">
        <v>-454.48</v>
      </c>
      <c r="AG1721">
        <v>7730.88</v>
      </c>
      <c r="AH1721">
        <v>726</v>
      </c>
      <c r="AI1721">
        <v>716</v>
      </c>
      <c r="AJ1721">
        <v>10</v>
      </c>
      <c r="AK1721">
        <v>1</v>
      </c>
      <c r="AL1721">
        <v>1</v>
      </c>
      <c r="AM1721">
        <v>98.62</v>
      </c>
      <c r="AN1721">
        <v>10.3248</v>
      </c>
      <c r="AO1721">
        <v>100.23</v>
      </c>
      <c r="AP1721" s="13">
        <v>45318</v>
      </c>
      <c r="AQ1721">
        <v>10</v>
      </c>
      <c r="AR1721">
        <v>0</v>
      </c>
    </row>
    <row r="1722" spans="1:44" x14ac:dyDescent="0.35">
      <c r="A1722" s="12" t="s">
        <v>2420</v>
      </c>
      <c r="B1722" s="12" t="s">
        <v>289</v>
      </c>
      <c r="C1722" s="12" t="s">
        <v>290</v>
      </c>
      <c r="D1722" s="12" t="s">
        <v>175</v>
      </c>
      <c r="E1722" s="12" t="s">
        <v>104</v>
      </c>
      <c r="F1722">
        <v>3</v>
      </c>
      <c r="G1722">
        <v>1</v>
      </c>
      <c r="H1722">
        <v>0</v>
      </c>
      <c r="I1722" s="12" t="s">
        <v>359</v>
      </c>
      <c r="J1722" s="12" t="s">
        <v>360</v>
      </c>
      <c r="K1722" s="12" t="s">
        <v>133</v>
      </c>
      <c r="L1722" s="12" t="s">
        <v>82</v>
      </c>
      <c r="M1722">
        <v>12.65</v>
      </c>
      <c r="N1722" s="12" t="s">
        <v>145</v>
      </c>
      <c r="O1722" s="12" t="s">
        <v>146</v>
      </c>
      <c r="P1722" s="12" t="s">
        <v>109</v>
      </c>
      <c r="Q1722" s="13">
        <v>45275</v>
      </c>
      <c r="R1722" s="13">
        <v>45296</v>
      </c>
      <c r="S1722">
        <v>2023</v>
      </c>
      <c r="T1722" s="12" t="s">
        <v>2336</v>
      </c>
      <c r="U1722">
        <v>81</v>
      </c>
      <c r="V1722">
        <v>194.9136</v>
      </c>
      <c r="W1722">
        <v>146.5</v>
      </c>
      <c r="X1722">
        <v>0</v>
      </c>
      <c r="Y1722">
        <v>0</v>
      </c>
      <c r="Z1722">
        <v>15788</v>
      </c>
      <c r="AA1722">
        <v>15934.5</v>
      </c>
      <c r="AB1722" s="12" t="s">
        <v>369</v>
      </c>
      <c r="AC1722">
        <v>194.9136</v>
      </c>
      <c r="AD1722">
        <v>1</v>
      </c>
      <c r="AE1722">
        <v>1</v>
      </c>
      <c r="AF1722">
        <v>0</v>
      </c>
      <c r="AG1722">
        <v>15788</v>
      </c>
      <c r="AH1722">
        <v>81</v>
      </c>
      <c r="AI1722">
        <v>80</v>
      </c>
      <c r="AJ1722">
        <v>1</v>
      </c>
      <c r="AK1722">
        <v>1</v>
      </c>
      <c r="AL1722">
        <v>1</v>
      </c>
      <c r="AM1722">
        <v>98.77</v>
      </c>
      <c r="AN1722">
        <v>199.18129999999999</v>
      </c>
      <c r="AO1722">
        <v>194.91</v>
      </c>
      <c r="AP1722" s="13">
        <v>45303</v>
      </c>
      <c r="AQ1722">
        <v>7</v>
      </c>
      <c r="AR1722">
        <v>0</v>
      </c>
    </row>
    <row r="1723" spans="1:44" x14ac:dyDescent="0.35">
      <c r="A1723" s="12" t="s">
        <v>2421</v>
      </c>
      <c r="B1723" s="12" t="s">
        <v>532</v>
      </c>
      <c r="C1723" s="12" t="s">
        <v>533</v>
      </c>
      <c r="D1723" s="12" t="s">
        <v>114</v>
      </c>
      <c r="E1723" s="12" t="s">
        <v>65</v>
      </c>
      <c r="F1723">
        <v>2</v>
      </c>
      <c r="G1723">
        <v>3</v>
      </c>
      <c r="H1723">
        <v>0</v>
      </c>
      <c r="I1723" s="12" t="s">
        <v>105</v>
      </c>
      <c r="J1723" s="12" t="s">
        <v>106</v>
      </c>
      <c r="K1723" s="12" t="s">
        <v>81</v>
      </c>
      <c r="L1723" s="12" t="s">
        <v>96</v>
      </c>
      <c r="M1723">
        <v>5.01</v>
      </c>
      <c r="N1723" s="12" t="s">
        <v>70</v>
      </c>
      <c r="O1723" s="12" t="s">
        <v>71</v>
      </c>
      <c r="P1723" s="12" t="s">
        <v>72</v>
      </c>
      <c r="Q1723" s="13">
        <v>45275</v>
      </c>
      <c r="R1723" s="13">
        <v>45307</v>
      </c>
      <c r="S1723">
        <v>2023</v>
      </c>
      <c r="T1723" s="12" t="s">
        <v>2336</v>
      </c>
      <c r="U1723">
        <v>100</v>
      </c>
      <c r="V1723">
        <v>250.00970000000001</v>
      </c>
      <c r="W1723">
        <v>581.39</v>
      </c>
      <c r="X1723">
        <v>0</v>
      </c>
      <c r="Y1723">
        <v>0</v>
      </c>
      <c r="Z1723">
        <v>25000.97</v>
      </c>
      <c r="AA1723">
        <v>25582.36</v>
      </c>
      <c r="AB1723" s="12" t="s">
        <v>534</v>
      </c>
      <c r="AC1723">
        <v>250.00970000000001</v>
      </c>
      <c r="AD1723">
        <v>1</v>
      </c>
      <c r="AE1723">
        <v>1</v>
      </c>
      <c r="AF1723">
        <v>0</v>
      </c>
      <c r="AG1723">
        <v>25000.97</v>
      </c>
      <c r="AH1723">
        <v>100</v>
      </c>
      <c r="AI1723">
        <v>98</v>
      </c>
      <c r="AJ1723">
        <v>2</v>
      </c>
      <c r="AK1723">
        <v>1</v>
      </c>
      <c r="AL1723">
        <v>1</v>
      </c>
      <c r="AM1723">
        <v>98</v>
      </c>
      <c r="AN1723">
        <v>261.04450000000003</v>
      </c>
      <c r="AO1723">
        <v>500.02</v>
      </c>
      <c r="AP1723" s="13">
        <v>45305</v>
      </c>
      <c r="AQ1723">
        <v>-2</v>
      </c>
      <c r="AR1723">
        <v>1</v>
      </c>
    </row>
    <row r="1724" spans="1:44" x14ac:dyDescent="0.35">
      <c r="A1724" s="12" t="s">
        <v>2422</v>
      </c>
      <c r="B1724" s="12" t="s">
        <v>736</v>
      </c>
      <c r="C1724" s="12" t="s">
        <v>737</v>
      </c>
      <c r="D1724" s="12" t="s">
        <v>64</v>
      </c>
      <c r="E1724" s="12" t="s">
        <v>104</v>
      </c>
      <c r="F1724">
        <v>3</v>
      </c>
      <c r="G1724">
        <v>1</v>
      </c>
      <c r="H1724">
        <v>0</v>
      </c>
      <c r="I1724" s="12" t="s">
        <v>115</v>
      </c>
      <c r="J1724" s="12" t="s">
        <v>116</v>
      </c>
      <c r="K1724" s="12" t="s">
        <v>117</v>
      </c>
      <c r="L1724" s="12" t="s">
        <v>82</v>
      </c>
      <c r="M1724">
        <v>17.170000000000002</v>
      </c>
      <c r="N1724" s="12" t="s">
        <v>97</v>
      </c>
      <c r="O1724" s="12" t="s">
        <v>98</v>
      </c>
      <c r="P1724" s="12" t="s">
        <v>72</v>
      </c>
      <c r="Q1724" s="13">
        <v>45275</v>
      </c>
      <c r="R1724" s="13">
        <v>45301</v>
      </c>
      <c r="S1724">
        <v>2023</v>
      </c>
      <c r="T1724" s="12" t="s">
        <v>2336</v>
      </c>
      <c r="U1724">
        <v>821</v>
      </c>
      <c r="V1724">
        <v>25.445900000000002</v>
      </c>
      <c r="W1724">
        <v>429.11</v>
      </c>
      <c r="X1724">
        <v>0</v>
      </c>
      <c r="Y1724">
        <v>0</v>
      </c>
      <c r="Z1724">
        <v>20891.080000000002</v>
      </c>
      <c r="AA1724">
        <v>21320.19</v>
      </c>
      <c r="AB1724" s="12" t="s">
        <v>2423</v>
      </c>
      <c r="AC1724">
        <v>24.696300000000001</v>
      </c>
      <c r="AD1724">
        <v>1</v>
      </c>
      <c r="AE1724">
        <v>1</v>
      </c>
      <c r="AF1724">
        <v>615.41999999999996</v>
      </c>
      <c r="AG1724">
        <v>20275.66</v>
      </c>
      <c r="AH1724">
        <v>821</v>
      </c>
      <c r="AI1724">
        <v>815</v>
      </c>
      <c r="AJ1724">
        <v>6</v>
      </c>
      <c r="AK1724">
        <v>1</v>
      </c>
      <c r="AL1724">
        <v>1</v>
      </c>
      <c r="AM1724">
        <v>99.27</v>
      </c>
      <c r="AN1724">
        <v>26.159700000000001</v>
      </c>
      <c r="AO1724">
        <v>152.68</v>
      </c>
      <c r="AP1724" s="13">
        <v>45301</v>
      </c>
      <c r="AQ1724">
        <v>0</v>
      </c>
      <c r="AR1724">
        <v>1</v>
      </c>
    </row>
    <row r="1725" spans="1:44" x14ac:dyDescent="0.35">
      <c r="A1725" s="12" t="s">
        <v>2424</v>
      </c>
      <c r="B1725" s="12" t="s">
        <v>924</v>
      </c>
      <c r="C1725" s="12" t="s">
        <v>925</v>
      </c>
      <c r="D1725" s="12" t="s">
        <v>103</v>
      </c>
      <c r="E1725" s="12" t="s">
        <v>104</v>
      </c>
      <c r="F1725">
        <v>2</v>
      </c>
      <c r="G1725">
        <v>0</v>
      </c>
      <c r="H1725">
        <v>0</v>
      </c>
      <c r="I1725" s="12" t="s">
        <v>335</v>
      </c>
      <c r="J1725" s="12" t="s">
        <v>336</v>
      </c>
      <c r="K1725" s="12" t="s">
        <v>89</v>
      </c>
      <c r="L1725" s="12" t="s">
        <v>82</v>
      </c>
      <c r="M1725">
        <v>16</v>
      </c>
      <c r="N1725" s="12" t="s">
        <v>145</v>
      </c>
      <c r="O1725" s="12" t="s">
        <v>146</v>
      </c>
      <c r="P1725" s="12" t="s">
        <v>109</v>
      </c>
      <c r="Q1725" s="13">
        <v>45275</v>
      </c>
      <c r="R1725" s="13">
        <v>45294</v>
      </c>
      <c r="S1725">
        <v>2023</v>
      </c>
      <c r="T1725" s="12" t="s">
        <v>2336</v>
      </c>
      <c r="U1725">
        <v>70</v>
      </c>
      <c r="V1725">
        <v>161.51509999999999</v>
      </c>
      <c r="W1725">
        <v>276.55</v>
      </c>
      <c r="X1725">
        <v>0</v>
      </c>
      <c r="Y1725">
        <v>0</v>
      </c>
      <c r="Z1725">
        <v>11306.06</v>
      </c>
      <c r="AA1725">
        <v>11582.61</v>
      </c>
      <c r="AB1725" s="12" t="s">
        <v>926</v>
      </c>
      <c r="AC1725">
        <v>161.51509999999999</v>
      </c>
      <c r="AD1725">
        <v>1</v>
      </c>
      <c r="AE1725">
        <v>1</v>
      </c>
      <c r="AF1725">
        <v>0</v>
      </c>
      <c r="AG1725">
        <v>11306.06</v>
      </c>
      <c r="AH1725">
        <v>70</v>
      </c>
      <c r="AI1725">
        <v>70</v>
      </c>
      <c r="AJ1725">
        <v>0</v>
      </c>
      <c r="AK1725">
        <v>1</v>
      </c>
      <c r="AL1725">
        <v>1</v>
      </c>
      <c r="AM1725">
        <v>100</v>
      </c>
      <c r="AN1725">
        <v>165.4658</v>
      </c>
      <c r="AO1725">
        <v>0</v>
      </c>
      <c r="AP1725" s="13">
        <v>45295</v>
      </c>
      <c r="AQ1725">
        <v>1</v>
      </c>
      <c r="AR1725">
        <v>0</v>
      </c>
    </row>
    <row r="1726" spans="1:44" x14ac:dyDescent="0.35">
      <c r="A1726" s="12" t="s">
        <v>2425</v>
      </c>
      <c r="B1726" s="12" t="s">
        <v>843</v>
      </c>
      <c r="C1726" s="12" t="s">
        <v>844</v>
      </c>
      <c r="D1726" s="12" t="s">
        <v>175</v>
      </c>
      <c r="E1726" s="12" t="s">
        <v>65</v>
      </c>
      <c r="F1726">
        <v>3</v>
      </c>
      <c r="G1726">
        <v>5</v>
      </c>
      <c r="H1726">
        <v>0</v>
      </c>
      <c r="I1726" s="12" t="s">
        <v>359</v>
      </c>
      <c r="J1726" s="12" t="s">
        <v>360</v>
      </c>
      <c r="K1726" s="12" t="s">
        <v>133</v>
      </c>
      <c r="L1726" s="12" t="s">
        <v>82</v>
      </c>
      <c r="M1726">
        <v>12.65</v>
      </c>
      <c r="N1726" s="12" t="s">
        <v>107</v>
      </c>
      <c r="O1726" s="12" t="s">
        <v>108</v>
      </c>
      <c r="P1726" s="12" t="s">
        <v>109</v>
      </c>
      <c r="Q1726" s="13">
        <v>45278</v>
      </c>
      <c r="R1726" s="13">
        <v>45311</v>
      </c>
      <c r="S1726">
        <v>2023</v>
      </c>
      <c r="T1726" s="12" t="s">
        <v>2336</v>
      </c>
      <c r="U1726">
        <v>108</v>
      </c>
      <c r="V1726">
        <v>267.03480000000002</v>
      </c>
      <c r="W1726">
        <v>740.67</v>
      </c>
      <c r="X1726">
        <v>0</v>
      </c>
      <c r="Y1726">
        <v>0</v>
      </c>
      <c r="Z1726">
        <v>28839.759999999998</v>
      </c>
      <c r="AA1726">
        <v>29580.43</v>
      </c>
      <c r="AB1726" s="12" t="s">
        <v>845</v>
      </c>
      <c r="AC1726">
        <v>267.03480000000002</v>
      </c>
      <c r="AD1726">
        <v>1</v>
      </c>
      <c r="AE1726">
        <v>1</v>
      </c>
      <c r="AF1726">
        <v>0</v>
      </c>
      <c r="AG1726">
        <v>28839.759999999998</v>
      </c>
      <c r="AH1726">
        <v>108</v>
      </c>
      <c r="AI1726">
        <v>107</v>
      </c>
      <c r="AJ1726">
        <v>1</v>
      </c>
      <c r="AK1726">
        <v>1</v>
      </c>
      <c r="AL1726">
        <v>1</v>
      </c>
      <c r="AM1726">
        <v>99.07</v>
      </c>
      <c r="AN1726">
        <v>276.45260000000002</v>
      </c>
      <c r="AO1726">
        <v>267.02999999999997</v>
      </c>
      <c r="AP1726" s="13">
        <v>45311</v>
      </c>
      <c r="AQ1726">
        <v>0</v>
      </c>
      <c r="AR1726">
        <v>1</v>
      </c>
    </row>
    <row r="1727" spans="1:44" x14ac:dyDescent="0.35">
      <c r="A1727" s="12" t="s">
        <v>2426</v>
      </c>
      <c r="B1727" s="12" t="s">
        <v>472</v>
      </c>
      <c r="C1727" s="12" t="s">
        <v>473</v>
      </c>
      <c r="D1727" s="12" t="s">
        <v>122</v>
      </c>
      <c r="E1727" s="12" t="s">
        <v>142</v>
      </c>
      <c r="F1727">
        <v>2</v>
      </c>
      <c r="G1727">
        <v>9</v>
      </c>
      <c r="H1727">
        <v>0</v>
      </c>
      <c r="I1727" s="12" t="s">
        <v>209</v>
      </c>
      <c r="J1727" s="12" t="s">
        <v>210</v>
      </c>
      <c r="K1727" s="12" t="s">
        <v>133</v>
      </c>
      <c r="L1727" s="12" t="s">
        <v>96</v>
      </c>
      <c r="M1727">
        <v>7.82</v>
      </c>
      <c r="N1727" s="12" t="s">
        <v>70</v>
      </c>
      <c r="O1727" s="12" t="s">
        <v>71</v>
      </c>
      <c r="P1727" s="12" t="s">
        <v>72</v>
      </c>
      <c r="Q1727" s="13">
        <v>45278</v>
      </c>
      <c r="R1727" s="13">
        <v>45317</v>
      </c>
      <c r="S1727">
        <v>2023</v>
      </c>
      <c r="T1727" s="12" t="s">
        <v>2336</v>
      </c>
      <c r="U1727">
        <v>655</v>
      </c>
      <c r="V1727">
        <v>48.7896</v>
      </c>
      <c r="W1727">
        <v>779.67</v>
      </c>
      <c r="X1727">
        <v>0</v>
      </c>
      <c r="Y1727">
        <v>0</v>
      </c>
      <c r="Z1727">
        <v>31957.19</v>
      </c>
      <c r="AA1727">
        <v>32736.86</v>
      </c>
      <c r="AB1727" s="12" t="s">
        <v>474</v>
      </c>
      <c r="AC1727">
        <v>48.7896</v>
      </c>
      <c r="AD1727">
        <v>1</v>
      </c>
      <c r="AE1727">
        <v>1</v>
      </c>
      <c r="AF1727">
        <v>0</v>
      </c>
      <c r="AG1727">
        <v>31957.19</v>
      </c>
      <c r="AH1727">
        <v>655</v>
      </c>
      <c r="AI1727">
        <v>650</v>
      </c>
      <c r="AJ1727">
        <v>5</v>
      </c>
      <c r="AK1727">
        <v>1</v>
      </c>
      <c r="AL1727">
        <v>1</v>
      </c>
      <c r="AM1727">
        <v>99.24</v>
      </c>
      <c r="AN1727">
        <v>50.364400000000003</v>
      </c>
      <c r="AO1727">
        <v>243.95</v>
      </c>
      <c r="AP1727" s="13">
        <v>45315</v>
      </c>
      <c r="AQ1727">
        <v>-2</v>
      </c>
      <c r="AR1727">
        <v>1</v>
      </c>
    </row>
    <row r="1728" spans="1:44" x14ac:dyDescent="0.35">
      <c r="A1728" s="12" t="s">
        <v>2427</v>
      </c>
      <c r="B1728" s="12" t="s">
        <v>941</v>
      </c>
      <c r="C1728" s="12" t="s">
        <v>942</v>
      </c>
      <c r="D1728" s="12" t="s">
        <v>130</v>
      </c>
      <c r="E1728" s="12" t="s">
        <v>104</v>
      </c>
      <c r="F1728">
        <v>2</v>
      </c>
      <c r="G1728">
        <v>0</v>
      </c>
      <c r="H1728">
        <v>0</v>
      </c>
      <c r="I1728" s="12" t="s">
        <v>131</v>
      </c>
      <c r="J1728" s="12" t="s">
        <v>132</v>
      </c>
      <c r="K1728" s="12" t="s">
        <v>133</v>
      </c>
      <c r="L1728" s="12" t="s">
        <v>134</v>
      </c>
      <c r="M1728">
        <v>1.51</v>
      </c>
      <c r="N1728" s="12" t="s">
        <v>159</v>
      </c>
      <c r="O1728" s="12" t="s">
        <v>160</v>
      </c>
      <c r="P1728" s="12" t="s">
        <v>137</v>
      </c>
      <c r="Q1728" s="13">
        <v>45278</v>
      </c>
      <c r="R1728" s="13">
        <v>45290</v>
      </c>
      <c r="S1728">
        <v>2023</v>
      </c>
      <c r="T1728" s="12" t="s">
        <v>2336</v>
      </c>
      <c r="U1728">
        <v>10</v>
      </c>
      <c r="V1728">
        <v>990.29020000000003</v>
      </c>
      <c r="W1728">
        <v>110.52</v>
      </c>
      <c r="X1728">
        <v>0</v>
      </c>
      <c r="Y1728">
        <v>0</v>
      </c>
      <c r="Z1728">
        <v>9902.9</v>
      </c>
      <c r="AA1728">
        <v>10013.42</v>
      </c>
      <c r="AB1728" s="12" t="s">
        <v>943</v>
      </c>
      <c r="AC1728">
        <v>990.29020000000003</v>
      </c>
      <c r="AD1728">
        <v>1</v>
      </c>
      <c r="AE1728">
        <v>1</v>
      </c>
      <c r="AF1728">
        <v>0</v>
      </c>
      <c r="AG1728">
        <v>9902.9</v>
      </c>
      <c r="AH1728">
        <v>10</v>
      </c>
      <c r="AI1728">
        <v>9</v>
      </c>
      <c r="AJ1728">
        <v>1</v>
      </c>
      <c r="AK1728">
        <v>1</v>
      </c>
      <c r="AL1728">
        <v>1</v>
      </c>
      <c r="AM1728">
        <v>90</v>
      </c>
      <c r="AN1728">
        <v>1112.6024</v>
      </c>
      <c r="AO1728">
        <v>990.29</v>
      </c>
      <c r="AP1728" s="13">
        <v>45287</v>
      </c>
      <c r="AQ1728">
        <v>-3</v>
      </c>
      <c r="AR1728">
        <v>1</v>
      </c>
    </row>
    <row r="1729" spans="1:44" x14ac:dyDescent="0.35">
      <c r="A1729" s="12" t="s">
        <v>2428</v>
      </c>
      <c r="B1729" s="12" t="s">
        <v>924</v>
      </c>
      <c r="C1729" s="12" t="s">
        <v>925</v>
      </c>
      <c r="D1729" s="12" t="s">
        <v>103</v>
      </c>
      <c r="E1729" s="12" t="s">
        <v>104</v>
      </c>
      <c r="F1729">
        <v>2</v>
      </c>
      <c r="G1729">
        <v>0</v>
      </c>
      <c r="H1729">
        <v>0</v>
      </c>
      <c r="I1729" s="12" t="s">
        <v>335</v>
      </c>
      <c r="J1729" s="12" t="s">
        <v>336</v>
      </c>
      <c r="K1729" s="12" t="s">
        <v>89</v>
      </c>
      <c r="L1729" s="12" t="s">
        <v>82</v>
      </c>
      <c r="M1729">
        <v>16</v>
      </c>
      <c r="N1729" s="12" t="s">
        <v>107</v>
      </c>
      <c r="O1729" s="12" t="s">
        <v>108</v>
      </c>
      <c r="P1729" s="12" t="s">
        <v>109</v>
      </c>
      <c r="Q1729" s="13">
        <v>45278</v>
      </c>
      <c r="R1729" s="13">
        <v>45304</v>
      </c>
      <c r="S1729">
        <v>2023</v>
      </c>
      <c r="T1729" s="12" t="s">
        <v>2336</v>
      </c>
      <c r="U1729">
        <v>126</v>
      </c>
      <c r="V1729">
        <v>161.51509999999999</v>
      </c>
      <c r="W1729">
        <v>196.05</v>
      </c>
      <c r="X1729">
        <v>0</v>
      </c>
      <c r="Y1729">
        <v>0</v>
      </c>
      <c r="Z1729">
        <v>20350.900000000001</v>
      </c>
      <c r="AA1729">
        <v>20546.95</v>
      </c>
      <c r="AB1729" s="12" t="s">
        <v>926</v>
      </c>
      <c r="AC1729">
        <v>161.51509999999999</v>
      </c>
      <c r="AD1729">
        <v>1</v>
      </c>
      <c r="AE1729">
        <v>1</v>
      </c>
      <c r="AF1729">
        <v>0</v>
      </c>
      <c r="AG1729">
        <v>20350.900000000001</v>
      </c>
      <c r="AH1729">
        <v>126</v>
      </c>
      <c r="AI1729">
        <v>125</v>
      </c>
      <c r="AJ1729">
        <v>1</v>
      </c>
      <c r="AK1729">
        <v>1</v>
      </c>
      <c r="AL1729">
        <v>1</v>
      </c>
      <c r="AM1729">
        <v>99.21</v>
      </c>
      <c r="AN1729">
        <v>164.37559999999999</v>
      </c>
      <c r="AO1729">
        <v>161.52000000000001</v>
      </c>
      <c r="AP1729" s="13">
        <v>45302</v>
      </c>
      <c r="AQ1729">
        <v>-2</v>
      </c>
      <c r="AR1729">
        <v>1</v>
      </c>
    </row>
    <row r="1730" spans="1:44" x14ac:dyDescent="0.35">
      <c r="A1730" s="12" t="s">
        <v>2429</v>
      </c>
      <c r="B1730" s="12" t="s">
        <v>428</v>
      </c>
      <c r="C1730" s="12" t="s">
        <v>429</v>
      </c>
      <c r="D1730" s="12" t="s">
        <v>64</v>
      </c>
      <c r="E1730" s="12" t="s">
        <v>65</v>
      </c>
      <c r="F1730">
        <v>3</v>
      </c>
      <c r="G1730">
        <v>4</v>
      </c>
      <c r="H1730">
        <v>0</v>
      </c>
      <c r="I1730" s="12" t="s">
        <v>105</v>
      </c>
      <c r="J1730" s="12" t="s">
        <v>106</v>
      </c>
      <c r="K1730" s="12" t="s">
        <v>81</v>
      </c>
      <c r="L1730" s="12" t="s">
        <v>96</v>
      </c>
      <c r="M1730">
        <v>5.01</v>
      </c>
      <c r="N1730" s="12" t="s">
        <v>97</v>
      </c>
      <c r="O1730" s="12" t="s">
        <v>98</v>
      </c>
      <c r="P1730" s="12" t="s">
        <v>72</v>
      </c>
      <c r="Q1730" s="13">
        <v>45278</v>
      </c>
      <c r="R1730" s="13">
        <v>45302</v>
      </c>
      <c r="S1730">
        <v>2023</v>
      </c>
      <c r="T1730" s="12" t="s">
        <v>2336</v>
      </c>
      <c r="U1730">
        <v>281</v>
      </c>
      <c r="V1730">
        <v>15.0402</v>
      </c>
      <c r="W1730">
        <v>36.86</v>
      </c>
      <c r="X1730">
        <v>0</v>
      </c>
      <c r="Y1730">
        <v>0</v>
      </c>
      <c r="Z1730">
        <v>4226.3</v>
      </c>
      <c r="AA1730">
        <v>4263.16</v>
      </c>
      <c r="AB1730" s="12" t="s">
        <v>2267</v>
      </c>
      <c r="AC1730">
        <v>15.0402</v>
      </c>
      <c r="AD1730">
        <v>1</v>
      </c>
      <c r="AE1730">
        <v>1</v>
      </c>
      <c r="AF1730">
        <v>0</v>
      </c>
      <c r="AG1730">
        <v>4226.3</v>
      </c>
      <c r="AH1730">
        <v>281</v>
      </c>
      <c r="AI1730">
        <v>277</v>
      </c>
      <c r="AJ1730">
        <v>4</v>
      </c>
      <c r="AK1730">
        <v>1</v>
      </c>
      <c r="AL1730">
        <v>1</v>
      </c>
      <c r="AM1730">
        <v>98.58</v>
      </c>
      <c r="AN1730">
        <v>15.390499999999999</v>
      </c>
      <c r="AO1730">
        <v>60.16</v>
      </c>
      <c r="AP1730" s="13">
        <v>45302</v>
      </c>
      <c r="AQ1730">
        <v>0</v>
      </c>
      <c r="AR1730">
        <v>1</v>
      </c>
    </row>
    <row r="1731" spans="1:44" x14ac:dyDescent="0.35">
      <c r="A1731" s="12" t="s">
        <v>2430</v>
      </c>
      <c r="B1731" s="12" t="s">
        <v>428</v>
      </c>
      <c r="C1731" s="12" t="s">
        <v>429</v>
      </c>
      <c r="D1731" s="12" t="s">
        <v>64</v>
      </c>
      <c r="E1731" s="12" t="s">
        <v>65</v>
      </c>
      <c r="F1731">
        <v>3</v>
      </c>
      <c r="G1731">
        <v>4</v>
      </c>
      <c r="H1731">
        <v>0</v>
      </c>
      <c r="I1731" s="12" t="s">
        <v>380</v>
      </c>
      <c r="J1731" s="12" t="s">
        <v>381</v>
      </c>
      <c r="K1731" s="12" t="s">
        <v>89</v>
      </c>
      <c r="L1731" s="12" t="s">
        <v>96</v>
      </c>
      <c r="M1731">
        <v>10.210000000000001</v>
      </c>
      <c r="N1731" s="12" t="s">
        <v>97</v>
      </c>
      <c r="O1731" s="12" t="s">
        <v>98</v>
      </c>
      <c r="P1731" s="12" t="s">
        <v>72</v>
      </c>
      <c r="Q1731" s="13">
        <v>45278</v>
      </c>
      <c r="R1731" s="13">
        <v>45305</v>
      </c>
      <c r="S1731">
        <v>2023</v>
      </c>
      <c r="T1731" s="12" t="s">
        <v>2336</v>
      </c>
      <c r="U1731">
        <v>448</v>
      </c>
      <c r="V1731">
        <v>14.146699999999999</v>
      </c>
      <c r="W1731">
        <v>48.02</v>
      </c>
      <c r="X1731">
        <v>0</v>
      </c>
      <c r="Y1731">
        <v>0</v>
      </c>
      <c r="Z1731">
        <v>6337.72</v>
      </c>
      <c r="AA1731">
        <v>6385.74</v>
      </c>
      <c r="AB1731" s="12" t="s">
        <v>430</v>
      </c>
      <c r="AC1731">
        <v>15.0402</v>
      </c>
      <c r="AD1731">
        <v>1</v>
      </c>
      <c r="AE1731">
        <v>1</v>
      </c>
      <c r="AF1731">
        <v>-400.29</v>
      </c>
      <c r="AG1731">
        <v>6738.01</v>
      </c>
      <c r="AH1731">
        <v>448</v>
      </c>
      <c r="AI1731">
        <v>446</v>
      </c>
      <c r="AJ1731">
        <v>2</v>
      </c>
      <c r="AK1731">
        <v>1</v>
      </c>
      <c r="AL1731">
        <v>1</v>
      </c>
      <c r="AM1731">
        <v>99.55</v>
      </c>
      <c r="AN1731">
        <v>14.3178</v>
      </c>
      <c r="AO1731">
        <v>28.29</v>
      </c>
      <c r="AP1731" s="13">
        <v>45304</v>
      </c>
      <c r="AQ1731">
        <v>-1</v>
      </c>
      <c r="AR1731">
        <v>1</v>
      </c>
    </row>
    <row r="1732" spans="1:44" x14ac:dyDescent="0.35">
      <c r="A1732" s="12" t="s">
        <v>2431</v>
      </c>
      <c r="B1732" s="12" t="s">
        <v>561</v>
      </c>
      <c r="C1732" s="12" t="s">
        <v>562</v>
      </c>
      <c r="D1732" s="12" t="s">
        <v>130</v>
      </c>
      <c r="E1732" s="12" t="s">
        <v>142</v>
      </c>
      <c r="F1732">
        <v>1</v>
      </c>
      <c r="G1732">
        <v>9</v>
      </c>
      <c r="H1732">
        <v>1</v>
      </c>
      <c r="I1732" s="12" t="s">
        <v>223</v>
      </c>
      <c r="J1732" s="12" t="s">
        <v>224</v>
      </c>
      <c r="K1732" s="12" t="s">
        <v>81</v>
      </c>
      <c r="L1732" s="12" t="s">
        <v>134</v>
      </c>
      <c r="M1732">
        <v>2.4900000000000002</v>
      </c>
      <c r="N1732" s="12" t="s">
        <v>135</v>
      </c>
      <c r="O1732" s="12" t="s">
        <v>136</v>
      </c>
      <c r="P1732" s="12" t="s">
        <v>137</v>
      </c>
      <c r="Q1732" s="13">
        <v>45278</v>
      </c>
      <c r="R1732" s="13">
        <v>45323</v>
      </c>
      <c r="S1732">
        <v>2023</v>
      </c>
      <c r="T1732" s="12" t="s">
        <v>2336</v>
      </c>
      <c r="U1732">
        <v>88</v>
      </c>
      <c r="V1732">
        <v>603.56020000000001</v>
      </c>
      <c r="W1732">
        <v>1076.51</v>
      </c>
      <c r="X1732">
        <v>0</v>
      </c>
      <c r="Y1732">
        <v>0</v>
      </c>
      <c r="Z1732">
        <v>53113.3</v>
      </c>
      <c r="AA1732">
        <v>54189.81</v>
      </c>
      <c r="AB1732" s="12" t="s">
        <v>563</v>
      </c>
      <c r="AC1732">
        <v>603.56020000000001</v>
      </c>
      <c r="AD1732">
        <v>1</v>
      </c>
      <c r="AE1732">
        <v>1</v>
      </c>
      <c r="AF1732">
        <v>0</v>
      </c>
      <c r="AG1732">
        <v>53113.3</v>
      </c>
      <c r="AH1732">
        <v>88</v>
      </c>
      <c r="AI1732">
        <v>87</v>
      </c>
      <c r="AJ1732">
        <v>1</v>
      </c>
      <c r="AK1732">
        <v>1</v>
      </c>
      <c r="AL1732">
        <v>1</v>
      </c>
      <c r="AM1732">
        <v>98.86</v>
      </c>
      <c r="AN1732">
        <v>622.87139999999999</v>
      </c>
      <c r="AO1732">
        <v>603.55999999999995</v>
      </c>
      <c r="AP1732" s="13">
        <v>45320</v>
      </c>
      <c r="AQ1732">
        <v>-3</v>
      </c>
      <c r="AR1732">
        <v>1</v>
      </c>
    </row>
    <row r="1733" spans="1:44" x14ac:dyDescent="0.35">
      <c r="A1733" s="12" t="s">
        <v>2432</v>
      </c>
      <c r="B1733" s="12" t="s">
        <v>472</v>
      </c>
      <c r="C1733" s="12" t="s">
        <v>473</v>
      </c>
      <c r="D1733" s="12" t="s">
        <v>122</v>
      </c>
      <c r="E1733" s="12" t="s">
        <v>142</v>
      </c>
      <c r="F1733">
        <v>2</v>
      </c>
      <c r="G1733">
        <v>9</v>
      </c>
      <c r="H1733">
        <v>0</v>
      </c>
      <c r="I1733" s="12" t="s">
        <v>209</v>
      </c>
      <c r="J1733" s="12" t="s">
        <v>210</v>
      </c>
      <c r="K1733" s="12" t="s">
        <v>133</v>
      </c>
      <c r="L1733" s="12" t="s">
        <v>96</v>
      </c>
      <c r="M1733">
        <v>7.82</v>
      </c>
      <c r="N1733" s="12" t="s">
        <v>70</v>
      </c>
      <c r="O1733" s="12" t="s">
        <v>71</v>
      </c>
      <c r="P1733" s="12" t="s">
        <v>72</v>
      </c>
      <c r="Q1733" s="13">
        <v>45278</v>
      </c>
      <c r="R1733" s="13">
        <v>45317</v>
      </c>
      <c r="S1733">
        <v>2023</v>
      </c>
      <c r="T1733" s="12" t="s">
        <v>2336</v>
      </c>
      <c r="U1733">
        <v>655</v>
      </c>
      <c r="V1733">
        <v>48.7896</v>
      </c>
      <c r="W1733">
        <v>779.67</v>
      </c>
      <c r="X1733">
        <v>0</v>
      </c>
      <c r="Y1733">
        <v>0</v>
      </c>
      <c r="Z1733">
        <v>31957.19</v>
      </c>
      <c r="AA1733">
        <v>32736.86</v>
      </c>
      <c r="AB1733" s="12" t="s">
        <v>474</v>
      </c>
      <c r="AC1733">
        <v>48.7896</v>
      </c>
      <c r="AD1733">
        <v>1</v>
      </c>
      <c r="AE1733">
        <v>1</v>
      </c>
      <c r="AF1733">
        <v>0</v>
      </c>
      <c r="AG1733">
        <v>31957.19</v>
      </c>
      <c r="AK1733">
        <v>0</v>
      </c>
      <c r="AL1733">
        <v>0</v>
      </c>
      <c r="AO1733">
        <v>0</v>
      </c>
      <c r="AP1733" s="13"/>
    </row>
    <row r="1734" spans="1:44" x14ac:dyDescent="0.35">
      <c r="A1734" s="12" t="s">
        <v>2433</v>
      </c>
      <c r="B1734" s="12" t="s">
        <v>465</v>
      </c>
      <c r="C1734" s="12" t="s">
        <v>466</v>
      </c>
      <c r="D1734" s="12" t="s">
        <v>78</v>
      </c>
      <c r="E1734" s="12" t="s">
        <v>142</v>
      </c>
      <c r="F1734">
        <v>3</v>
      </c>
      <c r="G1734">
        <v>11</v>
      </c>
      <c r="H1734">
        <v>0</v>
      </c>
      <c r="I1734" s="12" t="s">
        <v>195</v>
      </c>
      <c r="J1734" s="12" t="s">
        <v>196</v>
      </c>
      <c r="K1734" s="12" t="s">
        <v>117</v>
      </c>
      <c r="L1734" s="12" t="s">
        <v>134</v>
      </c>
      <c r="M1734">
        <v>4.7699999999999996</v>
      </c>
      <c r="N1734" s="12" t="s">
        <v>70</v>
      </c>
      <c r="O1734" s="12" t="s">
        <v>71</v>
      </c>
      <c r="P1734" s="12" t="s">
        <v>72</v>
      </c>
      <c r="Q1734" s="13">
        <v>45279</v>
      </c>
      <c r="R1734" s="13">
        <v>45323</v>
      </c>
      <c r="S1734">
        <v>2023</v>
      </c>
      <c r="T1734" s="12" t="s">
        <v>2336</v>
      </c>
      <c r="U1734">
        <v>184</v>
      </c>
      <c r="V1734">
        <v>103.64619999999999</v>
      </c>
      <c r="W1734">
        <v>243</v>
      </c>
      <c r="X1734">
        <v>0</v>
      </c>
      <c r="Y1734">
        <v>0</v>
      </c>
      <c r="Z1734">
        <v>19070.900000000001</v>
      </c>
      <c r="AA1734">
        <v>19313.900000000001</v>
      </c>
      <c r="AB1734" s="12" t="s">
        <v>467</v>
      </c>
      <c r="AC1734">
        <v>110.11579999999999</v>
      </c>
      <c r="AD1734">
        <v>1</v>
      </c>
      <c r="AE1734">
        <v>1</v>
      </c>
      <c r="AF1734">
        <v>-1190.4100000000001</v>
      </c>
      <c r="AG1734">
        <v>20261.310000000001</v>
      </c>
      <c r="AH1734">
        <v>184</v>
      </c>
      <c r="AI1734">
        <v>181</v>
      </c>
      <c r="AJ1734">
        <v>3</v>
      </c>
      <c r="AK1734">
        <v>1</v>
      </c>
      <c r="AL1734">
        <v>1</v>
      </c>
      <c r="AM1734">
        <v>98.37</v>
      </c>
      <c r="AN1734">
        <v>106.70659999999999</v>
      </c>
      <c r="AO1734">
        <v>310.94</v>
      </c>
      <c r="AP1734" s="13">
        <v>45322</v>
      </c>
      <c r="AQ1734">
        <v>-1</v>
      </c>
      <c r="AR1734">
        <v>1</v>
      </c>
    </row>
    <row r="1735" spans="1:44" x14ac:dyDescent="0.35">
      <c r="A1735" s="12" t="s">
        <v>2434</v>
      </c>
      <c r="B1735" s="12" t="s">
        <v>617</v>
      </c>
      <c r="C1735" s="12" t="s">
        <v>618</v>
      </c>
      <c r="D1735" s="12" t="s">
        <v>78</v>
      </c>
      <c r="E1735" s="12" t="s">
        <v>65</v>
      </c>
      <c r="F1735">
        <v>2</v>
      </c>
      <c r="G1735">
        <v>4</v>
      </c>
      <c r="H1735">
        <v>0</v>
      </c>
      <c r="I1735" s="12" t="s">
        <v>341</v>
      </c>
      <c r="J1735" s="12" t="s">
        <v>342</v>
      </c>
      <c r="K1735" s="12" t="s">
        <v>117</v>
      </c>
      <c r="L1735" s="12" t="s">
        <v>82</v>
      </c>
      <c r="M1735">
        <v>18.36</v>
      </c>
      <c r="N1735" s="12" t="s">
        <v>70</v>
      </c>
      <c r="O1735" s="12" t="s">
        <v>71</v>
      </c>
      <c r="P1735" s="12" t="s">
        <v>72</v>
      </c>
      <c r="Q1735" s="13">
        <v>45279</v>
      </c>
      <c r="R1735" s="13">
        <v>45304</v>
      </c>
      <c r="S1735">
        <v>2023</v>
      </c>
      <c r="T1735" s="12" t="s">
        <v>2336</v>
      </c>
      <c r="U1735">
        <v>101</v>
      </c>
      <c r="V1735">
        <v>108.2711</v>
      </c>
      <c r="W1735">
        <v>87.37</v>
      </c>
      <c r="X1735">
        <v>0</v>
      </c>
      <c r="Y1735">
        <v>0</v>
      </c>
      <c r="Z1735">
        <v>10935.38</v>
      </c>
      <c r="AA1735">
        <v>11022.75</v>
      </c>
      <c r="AB1735" s="12" t="s">
        <v>619</v>
      </c>
      <c r="AC1735">
        <v>108.2711</v>
      </c>
      <c r="AD1735">
        <v>1</v>
      </c>
      <c r="AE1735">
        <v>1</v>
      </c>
      <c r="AF1735">
        <v>0</v>
      </c>
      <c r="AG1735">
        <v>10935.38</v>
      </c>
      <c r="AH1735">
        <v>101</v>
      </c>
      <c r="AI1735">
        <v>100</v>
      </c>
      <c r="AJ1735">
        <v>1</v>
      </c>
      <c r="AK1735">
        <v>1</v>
      </c>
      <c r="AL1735">
        <v>1</v>
      </c>
      <c r="AM1735">
        <v>99.01</v>
      </c>
      <c r="AN1735">
        <v>110.22750000000001</v>
      </c>
      <c r="AO1735">
        <v>108.27</v>
      </c>
      <c r="AP1735" s="13">
        <v>45309</v>
      </c>
      <c r="AQ1735">
        <v>5</v>
      </c>
      <c r="AR1735">
        <v>0</v>
      </c>
    </row>
    <row r="1736" spans="1:44" x14ac:dyDescent="0.35">
      <c r="A1736" s="12" t="s">
        <v>2435</v>
      </c>
      <c r="B1736" s="12" t="s">
        <v>747</v>
      </c>
      <c r="C1736" s="12" t="s">
        <v>748</v>
      </c>
      <c r="D1736" s="12" t="s">
        <v>114</v>
      </c>
      <c r="E1736" s="12" t="s">
        <v>104</v>
      </c>
      <c r="F1736">
        <v>2</v>
      </c>
      <c r="G1736">
        <v>0</v>
      </c>
      <c r="H1736">
        <v>0</v>
      </c>
      <c r="I1736" s="12" t="s">
        <v>251</v>
      </c>
      <c r="J1736" s="12" t="s">
        <v>252</v>
      </c>
      <c r="K1736" s="12" t="s">
        <v>133</v>
      </c>
      <c r="L1736" s="12" t="s">
        <v>69</v>
      </c>
      <c r="M1736">
        <v>34.49</v>
      </c>
      <c r="N1736" s="12" t="s">
        <v>97</v>
      </c>
      <c r="O1736" s="12" t="s">
        <v>98</v>
      </c>
      <c r="P1736" s="12" t="s">
        <v>72</v>
      </c>
      <c r="Q1736" s="13">
        <v>45279</v>
      </c>
      <c r="R1736" s="13">
        <v>45308</v>
      </c>
      <c r="S1736">
        <v>2023</v>
      </c>
      <c r="T1736" s="12" t="s">
        <v>2336</v>
      </c>
      <c r="U1736">
        <v>145</v>
      </c>
      <c r="V1736">
        <v>245.56890000000001</v>
      </c>
      <c r="W1736">
        <v>564.57000000000005</v>
      </c>
      <c r="X1736">
        <v>0</v>
      </c>
      <c r="Y1736">
        <v>0</v>
      </c>
      <c r="Z1736">
        <v>35607.49</v>
      </c>
      <c r="AA1736">
        <v>36172.06</v>
      </c>
      <c r="AB1736" s="12" t="s">
        <v>749</v>
      </c>
      <c r="AC1736">
        <v>245.56890000000001</v>
      </c>
      <c r="AD1736">
        <v>1</v>
      </c>
      <c r="AE1736">
        <v>1</v>
      </c>
      <c r="AF1736">
        <v>0</v>
      </c>
      <c r="AG1736">
        <v>35607.49</v>
      </c>
      <c r="AH1736">
        <v>145</v>
      </c>
      <c r="AI1736">
        <v>142</v>
      </c>
      <c r="AJ1736">
        <v>3</v>
      </c>
      <c r="AK1736">
        <v>1</v>
      </c>
      <c r="AL1736">
        <v>1</v>
      </c>
      <c r="AM1736">
        <v>97.93</v>
      </c>
      <c r="AN1736">
        <v>254.7328</v>
      </c>
      <c r="AO1736">
        <v>736.71</v>
      </c>
      <c r="AP1736" s="13">
        <v>45306</v>
      </c>
      <c r="AQ1736">
        <v>-2</v>
      </c>
      <c r="AR1736">
        <v>1</v>
      </c>
    </row>
    <row r="1737" spans="1:44" x14ac:dyDescent="0.35">
      <c r="A1737" s="12" t="s">
        <v>2436</v>
      </c>
      <c r="B1737" s="12" t="s">
        <v>509</v>
      </c>
      <c r="C1737" s="12" t="s">
        <v>510</v>
      </c>
      <c r="D1737" s="12" t="s">
        <v>78</v>
      </c>
      <c r="E1737" s="12" t="s">
        <v>142</v>
      </c>
      <c r="F1737">
        <v>3</v>
      </c>
      <c r="G1737">
        <v>11</v>
      </c>
      <c r="H1737">
        <v>0</v>
      </c>
      <c r="I1737" s="12" t="s">
        <v>275</v>
      </c>
      <c r="J1737" s="12" t="s">
        <v>276</v>
      </c>
      <c r="K1737" s="12" t="s">
        <v>89</v>
      </c>
      <c r="L1737" s="12" t="s">
        <v>82</v>
      </c>
      <c r="M1737">
        <v>14.26</v>
      </c>
      <c r="N1737" s="12" t="s">
        <v>97</v>
      </c>
      <c r="O1737" s="12" t="s">
        <v>98</v>
      </c>
      <c r="P1737" s="12" t="s">
        <v>72</v>
      </c>
      <c r="Q1737" s="13">
        <v>45279</v>
      </c>
      <c r="R1737" s="13">
        <v>45322</v>
      </c>
      <c r="S1737">
        <v>2023</v>
      </c>
      <c r="T1737" s="12" t="s">
        <v>2336</v>
      </c>
      <c r="U1737">
        <v>158</v>
      </c>
      <c r="V1737">
        <v>144.51259999999999</v>
      </c>
      <c r="W1737">
        <v>496.58</v>
      </c>
      <c r="X1737">
        <v>0</v>
      </c>
      <c r="Y1737">
        <v>0</v>
      </c>
      <c r="Z1737">
        <v>22832.99</v>
      </c>
      <c r="AA1737">
        <v>23329.57</v>
      </c>
      <c r="AB1737" s="12" t="s">
        <v>833</v>
      </c>
      <c r="AC1737">
        <v>144.51259999999999</v>
      </c>
      <c r="AD1737">
        <v>1</v>
      </c>
      <c r="AE1737">
        <v>1</v>
      </c>
      <c r="AF1737">
        <v>0</v>
      </c>
      <c r="AG1737">
        <v>22832.99</v>
      </c>
      <c r="AH1737">
        <v>158</v>
      </c>
      <c r="AI1737">
        <v>154</v>
      </c>
      <c r="AJ1737">
        <v>4</v>
      </c>
      <c r="AK1737">
        <v>1</v>
      </c>
      <c r="AL1737">
        <v>1</v>
      </c>
      <c r="AM1737">
        <v>97.47</v>
      </c>
      <c r="AN1737">
        <v>151.4907</v>
      </c>
      <c r="AO1737">
        <v>578.04999999999995</v>
      </c>
      <c r="AP1737" s="13">
        <v>45321</v>
      </c>
      <c r="AQ1737">
        <v>-1</v>
      </c>
      <c r="AR1737">
        <v>1</v>
      </c>
    </row>
    <row r="1738" spans="1:44" x14ac:dyDescent="0.35">
      <c r="A1738" s="12" t="s">
        <v>2437</v>
      </c>
      <c r="B1738" s="12" t="s">
        <v>404</v>
      </c>
      <c r="C1738" s="12" t="s">
        <v>405</v>
      </c>
      <c r="D1738" s="12" t="s">
        <v>269</v>
      </c>
      <c r="E1738" s="12" t="s">
        <v>65</v>
      </c>
      <c r="F1738">
        <v>3</v>
      </c>
      <c r="G1738">
        <v>5</v>
      </c>
      <c r="H1738">
        <v>0</v>
      </c>
      <c r="I1738" s="12" t="s">
        <v>79</v>
      </c>
      <c r="J1738" s="12" t="s">
        <v>80</v>
      </c>
      <c r="K1738" s="12" t="s">
        <v>81</v>
      </c>
      <c r="L1738" s="12" t="s">
        <v>82</v>
      </c>
      <c r="M1738">
        <v>12.07</v>
      </c>
      <c r="N1738" s="12" t="s">
        <v>135</v>
      </c>
      <c r="O1738" s="12" t="s">
        <v>136</v>
      </c>
      <c r="P1738" s="12" t="s">
        <v>137</v>
      </c>
      <c r="Q1738" s="13">
        <v>45280</v>
      </c>
      <c r="R1738" s="13">
        <v>45309</v>
      </c>
      <c r="S1738">
        <v>2023</v>
      </c>
      <c r="T1738" s="12" t="s">
        <v>2336</v>
      </c>
      <c r="U1738">
        <v>77</v>
      </c>
      <c r="V1738">
        <v>430.41070000000002</v>
      </c>
      <c r="W1738">
        <v>437.88</v>
      </c>
      <c r="X1738">
        <v>0</v>
      </c>
      <c r="Y1738">
        <v>0</v>
      </c>
      <c r="Z1738">
        <v>33141.620000000003</v>
      </c>
      <c r="AA1738">
        <v>33579.5</v>
      </c>
      <c r="AB1738" s="12" t="s">
        <v>406</v>
      </c>
      <c r="AC1738">
        <v>430.41070000000002</v>
      </c>
      <c r="AD1738">
        <v>1</v>
      </c>
      <c r="AE1738">
        <v>1</v>
      </c>
      <c r="AF1738">
        <v>0</v>
      </c>
      <c r="AG1738">
        <v>33141.620000000003</v>
      </c>
      <c r="AH1738">
        <v>77</v>
      </c>
      <c r="AI1738">
        <v>77</v>
      </c>
      <c r="AJ1738">
        <v>0</v>
      </c>
      <c r="AK1738">
        <v>1</v>
      </c>
      <c r="AL1738">
        <v>1</v>
      </c>
      <c r="AM1738">
        <v>100</v>
      </c>
      <c r="AN1738">
        <v>436.09750000000003</v>
      </c>
      <c r="AO1738">
        <v>0</v>
      </c>
      <c r="AP1738" s="13">
        <v>45309</v>
      </c>
      <c r="AQ1738">
        <v>0</v>
      </c>
      <c r="AR1738">
        <v>1</v>
      </c>
    </row>
    <row r="1739" spans="1:44" x14ac:dyDescent="0.35">
      <c r="A1739" s="12" t="s">
        <v>2438</v>
      </c>
      <c r="B1739" s="12" t="s">
        <v>766</v>
      </c>
      <c r="C1739" s="12" t="s">
        <v>767</v>
      </c>
      <c r="D1739" s="12" t="s">
        <v>175</v>
      </c>
      <c r="E1739" s="12" t="s">
        <v>65</v>
      </c>
      <c r="F1739">
        <v>3</v>
      </c>
      <c r="G1739">
        <v>5</v>
      </c>
      <c r="H1739">
        <v>0</v>
      </c>
      <c r="I1739" s="12" t="s">
        <v>87</v>
      </c>
      <c r="J1739" s="12" t="s">
        <v>88</v>
      </c>
      <c r="K1739" s="12" t="s">
        <v>89</v>
      </c>
      <c r="L1739" s="12" t="s">
        <v>69</v>
      </c>
      <c r="M1739">
        <v>14.93</v>
      </c>
      <c r="N1739" s="12" t="s">
        <v>145</v>
      </c>
      <c r="O1739" s="12" t="s">
        <v>146</v>
      </c>
      <c r="P1739" s="12" t="s">
        <v>109</v>
      </c>
      <c r="Q1739" s="13">
        <v>45280</v>
      </c>
      <c r="R1739" s="13">
        <v>45310</v>
      </c>
      <c r="S1739">
        <v>2023</v>
      </c>
      <c r="T1739" s="12" t="s">
        <v>2336</v>
      </c>
      <c r="U1739">
        <v>82</v>
      </c>
      <c r="V1739">
        <v>86.977900000000005</v>
      </c>
      <c r="W1739">
        <v>72.349999999999994</v>
      </c>
      <c r="X1739">
        <v>0</v>
      </c>
      <c r="Y1739">
        <v>0</v>
      </c>
      <c r="Z1739">
        <v>7132.19</v>
      </c>
      <c r="AA1739">
        <v>7204.54</v>
      </c>
      <c r="AB1739" s="12" t="s">
        <v>768</v>
      </c>
      <c r="AC1739">
        <v>86.977900000000005</v>
      </c>
      <c r="AD1739">
        <v>1</v>
      </c>
      <c r="AE1739">
        <v>1</v>
      </c>
      <c r="AF1739">
        <v>0</v>
      </c>
      <c r="AG1739">
        <v>7132.19</v>
      </c>
      <c r="AH1739">
        <v>82</v>
      </c>
      <c r="AI1739">
        <v>81</v>
      </c>
      <c r="AJ1739">
        <v>1</v>
      </c>
      <c r="AK1739">
        <v>1</v>
      </c>
      <c r="AL1739">
        <v>1</v>
      </c>
      <c r="AM1739">
        <v>98.78</v>
      </c>
      <c r="AN1739">
        <v>88.944900000000004</v>
      </c>
      <c r="AO1739">
        <v>86.98</v>
      </c>
      <c r="AP1739" s="13">
        <v>45315</v>
      </c>
      <c r="AQ1739">
        <v>5</v>
      </c>
      <c r="AR1739">
        <v>0</v>
      </c>
    </row>
    <row r="1740" spans="1:44" x14ac:dyDescent="0.35">
      <c r="A1740" s="12" t="s">
        <v>2439</v>
      </c>
      <c r="B1740" s="12" t="s">
        <v>630</v>
      </c>
      <c r="C1740" s="12" t="s">
        <v>631</v>
      </c>
      <c r="D1740" s="12" t="s">
        <v>130</v>
      </c>
      <c r="E1740" s="12" t="s">
        <v>65</v>
      </c>
      <c r="F1740">
        <v>1</v>
      </c>
      <c r="G1740">
        <v>2</v>
      </c>
      <c r="H1740">
        <v>1</v>
      </c>
      <c r="I1740" s="12" t="s">
        <v>335</v>
      </c>
      <c r="J1740" s="12" t="s">
        <v>336</v>
      </c>
      <c r="K1740" s="12" t="s">
        <v>89</v>
      </c>
      <c r="L1740" s="12" t="s">
        <v>82</v>
      </c>
      <c r="M1740">
        <v>16</v>
      </c>
      <c r="N1740" s="12" t="s">
        <v>159</v>
      </c>
      <c r="O1740" s="12" t="s">
        <v>160</v>
      </c>
      <c r="P1740" s="12" t="s">
        <v>137</v>
      </c>
      <c r="Q1740" s="13">
        <v>45280</v>
      </c>
      <c r="R1740" s="13">
        <v>45314</v>
      </c>
      <c r="S1740">
        <v>2023</v>
      </c>
      <c r="T1740" s="12" t="s">
        <v>2336</v>
      </c>
      <c r="U1740">
        <v>113</v>
      </c>
      <c r="V1740">
        <v>421.91919999999999</v>
      </c>
      <c r="W1740">
        <v>1005.09</v>
      </c>
      <c r="X1740">
        <v>0</v>
      </c>
      <c r="Y1740">
        <v>0</v>
      </c>
      <c r="Z1740">
        <v>47676.87</v>
      </c>
      <c r="AA1740">
        <v>48681.96</v>
      </c>
      <c r="AB1740" s="12" t="s">
        <v>632</v>
      </c>
      <c r="AC1740">
        <v>448.44209999999998</v>
      </c>
      <c r="AD1740">
        <v>1</v>
      </c>
      <c r="AE1740">
        <v>1</v>
      </c>
      <c r="AF1740">
        <v>-2997.09</v>
      </c>
      <c r="AG1740">
        <v>50673.96</v>
      </c>
      <c r="AH1740">
        <v>113</v>
      </c>
      <c r="AI1740">
        <v>113</v>
      </c>
      <c r="AJ1740">
        <v>0</v>
      </c>
      <c r="AK1740">
        <v>1</v>
      </c>
      <c r="AL1740">
        <v>1</v>
      </c>
      <c r="AM1740">
        <v>100</v>
      </c>
      <c r="AN1740">
        <v>430.81380000000001</v>
      </c>
      <c r="AO1740">
        <v>0</v>
      </c>
      <c r="AP1740" s="13">
        <v>45324</v>
      </c>
      <c r="AQ1740">
        <v>10</v>
      </c>
      <c r="AR1740">
        <v>0</v>
      </c>
    </row>
    <row r="1741" spans="1:44" x14ac:dyDescent="0.35">
      <c r="A1741" s="12" t="s">
        <v>2440</v>
      </c>
      <c r="B1741" s="12" t="s">
        <v>112</v>
      </c>
      <c r="C1741" s="12" t="s">
        <v>113</v>
      </c>
      <c r="D1741" s="12" t="s">
        <v>114</v>
      </c>
      <c r="E1741" s="12" t="s">
        <v>104</v>
      </c>
      <c r="F1741">
        <v>3</v>
      </c>
      <c r="G1741">
        <v>1</v>
      </c>
      <c r="H1741">
        <v>0</v>
      </c>
      <c r="I1741" s="12" t="s">
        <v>227</v>
      </c>
      <c r="J1741" s="12" t="s">
        <v>228</v>
      </c>
      <c r="K1741" s="12" t="s">
        <v>89</v>
      </c>
      <c r="L1741" s="12" t="s">
        <v>96</v>
      </c>
      <c r="M1741">
        <v>9.15</v>
      </c>
      <c r="N1741" s="12" t="s">
        <v>70</v>
      </c>
      <c r="O1741" s="12" t="s">
        <v>71</v>
      </c>
      <c r="P1741" s="12" t="s">
        <v>72</v>
      </c>
      <c r="Q1741" s="13">
        <v>45280</v>
      </c>
      <c r="R1741" s="13">
        <v>45295</v>
      </c>
      <c r="S1741">
        <v>2023</v>
      </c>
      <c r="T1741" s="12" t="s">
        <v>2336</v>
      </c>
      <c r="U1741">
        <v>38</v>
      </c>
      <c r="V1741">
        <v>264.17590000000001</v>
      </c>
      <c r="W1741">
        <v>126.35</v>
      </c>
      <c r="X1741">
        <v>0</v>
      </c>
      <c r="Y1741">
        <v>0</v>
      </c>
      <c r="Z1741">
        <v>10038.68</v>
      </c>
      <c r="AA1741">
        <v>10165.030000000001</v>
      </c>
      <c r="AB1741" s="12" t="s">
        <v>282</v>
      </c>
      <c r="AC1741">
        <v>264.17590000000001</v>
      </c>
      <c r="AD1741">
        <v>1</v>
      </c>
      <c r="AE1741">
        <v>1</v>
      </c>
      <c r="AF1741">
        <v>0</v>
      </c>
      <c r="AG1741">
        <v>10038.68</v>
      </c>
      <c r="AH1741">
        <v>38</v>
      </c>
      <c r="AI1741">
        <v>38</v>
      </c>
      <c r="AJ1741">
        <v>0</v>
      </c>
      <c r="AK1741">
        <v>1</v>
      </c>
      <c r="AL1741">
        <v>1</v>
      </c>
      <c r="AM1741">
        <v>100</v>
      </c>
      <c r="AN1741">
        <v>267.5009</v>
      </c>
      <c r="AO1741">
        <v>0</v>
      </c>
      <c r="AP1741" s="13">
        <v>45292</v>
      </c>
      <c r="AQ1741">
        <v>-3</v>
      </c>
      <c r="AR1741">
        <v>1</v>
      </c>
    </row>
    <row r="1742" spans="1:44" x14ac:dyDescent="0.35">
      <c r="A1742" s="12" t="s">
        <v>2441</v>
      </c>
      <c r="B1742" s="12" t="s">
        <v>416</v>
      </c>
      <c r="C1742" s="12" t="s">
        <v>417</v>
      </c>
      <c r="D1742" s="12" t="s">
        <v>78</v>
      </c>
      <c r="E1742" s="12" t="s">
        <v>65</v>
      </c>
      <c r="F1742">
        <v>3</v>
      </c>
      <c r="G1742">
        <v>5</v>
      </c>
      <c r="H1742">
        <v>0</v>
      </c>
      <c r="I1742" s="12" t="s">
        <v>87</v>
      </c>
      <c r="J1742" s="12" t="s">
        <v>88</v>
      </c>
      <c r="K1742" s="12" t="s">
        <v>89</v>
      </c>
      <c r="L1742" s="12" t="s">
        <v>69</v>
      </c>
      <c r="M1742">
        <v>14.93</v>
      </c>
      <c r="N1742" s="12" t="s">
        <v>97</v>
      </c>
      <c r="O1742" s="12" t="s">
        <v>98</v>
      </c>
      <c r="P1742" s="12" t="s">
        <v>72</v>
      </c>
      <c r="Q1742" s="13">
        <v>45280</v>
      </c>
      <c r="R1742" s="13">
        <v>45307</v>
      </c>
      <c r="S1742">
        <v>2023</v>
      </c>
      <c r="T1742" s="12" t="s">
        <v>2336</v>
      </c>
      <c r="U1742">
        <v>138</v>
      </c>
      <c r="V1742">
        <v>144.15710000000001</v>
      </c>
      <c r="W1742">
        <v>156.47999999999999</v>
      </c>
      <c r="X1742">
        <v>0</v>
      </c>
      <c r="Y1742">
        <v>0</v>
      </c>
      <c r="Z1742">
        <v>19893.68</v>
      </c>
      <c r="AA1742">
        <v>20050.16</v>
      </c>
      <c r="AB1742" s="12" t="s">
        <v>595</v>
      </c>
      <c r="AC1742">
        <v>144.15710000000001</v>
      </c>
      <c r="AD1742">
        <v>1</v>
      </c>
      <c r="AE1742">
        <v>1</v>
      </c>
      <c r="AF1742">
        <v>0</v>
      </c>
      <c r="AG1742">
        <v>19893.68</v>
      </c>
      <c r="AH1742">
        <v>138</v>
      </c>
      <c r="AI1742">
        <v>135</v>
      </c>
      <c r="AJ1742">
        <v>3</v>
      </c>
      <c r="AK1742">
        <v>1</v>
      </c>
      <c r="AL1742">
        <v>1</v>
      </c>
      <c r="AM1742">
        <v>97.83</v>
      </c>
      <c r="AN1742">
        <v>148.5197</v>
      </c>
      <c r="AO1742">
        <v>432.47</v>
      </c>
      <c r="AP1742" s="13">
        <v>45304</v>
      </c>
      <c r="AQ1742">
        <v>-3</v>
      </c>
      <c r="AR1742">
        <v>1</v>
      </c>
    </row>
    <row r="1743" spans="1:44" x14ac:dyDescent="0.35">
      <c r="A1743" s="12" t="s">
        <v>2442</v>
      </c>
      <c r="B1743" s="12" t="s">
        <v>609</v>
      </c>
      <c r="C1743" s="12" t="s">
        <v>610</v>
      </c>
      <c r="D1743" s="12" t="s">
        <v>64</v>
      </c>
      <c r="E1743" s="12" t="s">
        <v>104</v>
      </c>
      <c r="F1743">
        <v>1</v>
      </c>
      <c r="G1743">
        <v>0</v>
      </c>
      <c r="H1743">
        <v>1</v>
      </c>
      <c r="I1743" s="12" t="s">
        <v>227</v>
      </c>
      <c r="J1743" s="12" t="s">
        <v>228</v>
      </c>
      <c r="K1743" s="12" t="s">
        <v>89</v>
      </c>
      <c r="L1743" s="12" t="s">
        <v>96</v>
      </c>
      <c r="M1743">
        <v>9.15</v>
      </c>
      <c r="N1743" s="12" t="s">
        <v>97</v>
      </c>
      <c r="O1743" s="12" t="s">
        <v>98</v>
      </c>
      <c r="P1743" s="12" t="s">
        <v>72</v>
      </c>
      <c r="Q1743" s="13">
        <v>45280</v>
      </c>
      <c r="R1743" s="13">
        <v>45301</v>
      </c>
      <c r="S1743">
        <v>2023</v>
      </c>
      <c r="T1743" s="12" t="s">
        <v>2336</v>
      </c>
      <c r="U1743">
        <v>599</v>
      </c>
      <c r="V1743">
        <v>20.713699999999999</v>
      </c>
      <c r="W1743">
        <v>92.41</v>
      </c>
      <c r="X1743">
        <v>0</v>
      </c>
      <c r="Y1743">
        <v>0</v>
      </c>
      <c r="Z1743">
        <v>12407.51</v>
      </c>
      <c r="AA1743">
        <v>12499.92</v>
      </c>
      <c r="AB1743" s="12" t="s">
        <v>611</v>
      </c>
      <c r="AC1743">
        <v>20.713699999999999</v>
      </c>
      <c r="AD1743">
        <v>1</v>
      </c>
      <c r="AE1743">
        <v>1</v>
      </c>
      <c r="AF1743">
        <v>0</v>
      </c>
      <c r="AG1743">
        <v>12407.51</v>
      </c>
      <c r="AH1743">
        <v>599</v>
      </c>
      <c r="AI1743">
        <v>593</v>
      </c>
      <c r="AJ1743">
        <v>6</v>
      </c>
      <c r="AK1743">
        <v>1</v>
      </c>
      <c r="AL1743">
        <v>1</v>
      </c>
      <c r="AM1743">
        <v>99</v>
      </c>
      <c r="AN1743">
        <v>21.0791</v>
      </c>
      <c r="AO1743">
        <v>124.28</v>
      </c>
      <c r="AP1743" s="13">
        <v>45298</v>
      </c>
      <c r="AQ1743">
        <v>-3</v>
      </c>
      <c r="AR1743">
        <v>1</v>
      </c>
    </row>
    <row r="1744" spans="1:44" x14ac:dyDescent="0.35">
      <c r="A1744" s="12" t="s">
        <v>2443</v>
      </c>
      <c r="B1744" s="12" t="s">
        <v>76</v>
      </c>
      <c r="C1744" s="12" t="s">
        <v>77</v>
      </c>
      <c r="D1744" s="12" t="s">
        <v>78</v>
      </c>
      <c r="E1744" s="12" t="s">
        <v>65</v>
      </c>
      <c r="F1744">
        <v>2</v>
      </c>
      <c r="G1744">
        <v>4</v>
      </c>
      <c r="H1744">
        <v>0</v>
      </c>
      <c r="I1744" s="12" t="s">
        <v>79</v>
      </c>
      <c r="J1744" s="12" t="s">
        <v>80</v>
      </c>
      <c r="K1744" s="12" t="s">
        <v>81</v>
      </c>
      <c r="L1744" s="12" t="s">
        <v>82</v>
      </c>
      <c r="M1744">
        <v>12.07</v>
      </c>
      <c r="N1744" s="12" t="s">
        <v>97</v>
      </c>
      <c r="O1744" s="12" t="s">
        <v>98</v>
      </c>
      <c r="P1744" s="12" t="s">
        <v>72</v>
      </c>
      <c r="Q1744" s="13">
        <v>45280</v>
      </c>
      <c r="R1744" s="13">
        <v>45314</v>
      </c>
      <c r="S1744">
        <v>2023</v>
      </c>
      <c r="T1744" s="12" t="s">
        <v>2336</v>
      </c>
      <c r="U1744">
        <v>230</v>
      </c>
      <c r="V1744">
        <v>45.991</v>
      </c>
      <c r="W1744">
        <v>163.84</v>
      </c>
      <c r="X1744">
        <v>0</v>
      </c>
      <c r="Y1744">
        <v>0</v>
      </c>
      <c r="Z1744">
        <v>10577.93</v>
      </c>
      <c r="AA1744">
        <v>10741.77</v>
      </c>
      <c r="AB1744" s="12" t="s">
        <v>83</v>
      </c>
      <c r="AC1744">
        <v>45.991</v>
      </c>
      <c r="AD1744">
        <v>1</v>
      </c>
      <c r="AE1744">
        <v>1</v>
      </c>
      <c r="AF1744">
        <v>0</v>
      </c>
      <c r="AG1744">
        <v>10577.93</v>
      </c>
      <c r="AH1744">
        <v>230</v>
      </c>
      <c r="AI1744">
        <v>229</v>
      </c>
      <c r="AJ1744">
        <v>1</v>
      </c>
      <c r="AK1744">
        <v>1</v>
      </c>
      <c r="AL1744">
        <v>1</v>
      </c>
      <c r="AM1744">
        <v>99.57</v>
      </c>
      <c r="AN1744">
        <v>46.907299999999999</v>
      </c>
      <c r="AO1744">
        <v>45.99</v>
      </c>
      <c r="AP1744" s="13">
        <v>45318</v>
      </c>
      <c r="AQ1744">
        <v>4</v>
      </c>
      <c r="AR1744">
        <v>0</v>
      </c>
    </row>
    <row r="1745" spans="1:44" x14ac:dyDescent="0.35">
      <c r="A1745" s="12" t="s">
        <v>2444</v>
      </c>
      <c r="B1745" s="12" t="s">
        <v>613</v>
      </c>
      <c r="C1745" s="12" t="s">
        <v>614</v>
      </c>
      <c r="D1745" s="12" t="s">
        <v>130</v>
      </c>
      <c r="E1745" s="12" t="s">
        <v>104</v>
      </c>
      <c r="F1745">
        <v>3</v>
      </c>
      <c r="G1745">
        <v>1</v>
      </c>
      <c r="H1745">
        <v>0</v>
      </c>
      <c r="I1745" s="12" t="s">
        <v>66</v>
      </c>
      <c r="J1745" s="12" t="s">
        <v>67</v>
      </c>
      <c r="K1745" s="12" t="s">
        <v>68</v>
      </c>
      <c r="L1745" s="12" t="s">
        <v>69</v>
      </c>
      <c r="M1745">
        <v>17.66</v>
      </c>
      <c r="N1745" s="12" t="s">
        <v>159</v>
      </c>
      <c r="O1745" s="12" t="s">
        <v>160</v>
      </c>
      <c r="P1745" s="12" t="s">
        <v>137</v>
      </c>
      <c r="Q1745" s="13">
        <v>45280</v>
      </c>
      <c r="R1745" s="13">
        <v>45294</v>
      </c>
      <c r="S1745">
        <v>2023</v>
      </c>
      <c r="T1745" s="12" t="s">
        <v>2336</v>
      </c>
      <c r="U1745">
        <v>29</v>
      </c>
      <c r="V1745">
        <v>206.11080000000001</v>
      </c>
      <c r="W1745">
        <v>97.89</v>
      </c>
      <c r="X1745">
        <v>191.16</v>
      </c>
      <c r="Y1745">
        <v>1</v>
      </c>
      <c r="Z1745">
        <v>5977.21</v>
      </c>
      <c r="AA1745">
        <v>6266.26</v>
      </c>
      <c r="AB1745" s="12" t="s">
        <v>615</v>
      </c>
      <c r="AC1745">
        <v>195.35140000000001</v>
      </c>
      <c r="AD1745">
        <v>1</v>
      </c>
      <c r="AE1745">
        <v>1</v>
      </c>
      <c r="AF1745">
        <v>312.02</v>
      </c>
      <c r="AG1745">
        <v>5665.19</v>
      </c>
      <c r="AH1745">
        <v>29</v>
      </c>
      <c r="AI1745">
        <v>29</v>
      </c>
      <c r="AJ1745">
        <v>0</v>
      </c>
      <c r="AK1745">
        <v>1</v>
      </c>
      <c r="AL1745">
        <v>1</v>
      </c>
      <c r="AM1745">
        <v>100</v>
      </c>
      <c r="AN1745">
        <v>216.078</v>
      </c>
      <c r="AO1745">
        <v>0</v>
      </c>
      <c r="AP1745" s="13">
        <v>45302</v>
      </c>
      <c r="AQ1745">
        <v>8</v>
      </c>
      <c r="AR1745">
        <v>0</v>
      </c>
    </row>
    <row r="1746" spans="1:44" x14ac:dyDescent="0.35">
      <c r="A1746" s="12" t="s">
        <v>2445</v>
      </c>
      <c r="B1746" s="12" t="s">
        <v>598</v>
      </c>
      <c r="C1746" s="12" t="s">
        <v>599</v>
      </c>
      <c r="D1746" s="12" t="s">
        <v>269</v>
      </c>
      <c r="E1746" s="12" t="s">
        <v>65</v>
      </c>
      <c r="F1746">
        <v>1</v>
      </c>
      <c r="G1746">
        <v>2</v>
      </c>
      <c r="H1746">
        <v>1</v>
      </c>
      <c r="I1746" s="12" t="s">
        <v>176</v>
      </c>
      <c r="J1746" s="12" t="s">
        <v>177</v>
      </c>
      <c r="K1746" s="12" t="s">
        <v>125</v>
      </c>
      <c r="L1746" s="12" t="s">
        <v>134</v>
      </c>
      <c r="M1746">
        <v>1.75</v>
      </c>
      <c r="N1746" s="12" t="s">
        <v>135</v>
      </c>
      <c r="O1746" s="12" t="s">
        <v>136</v>
      </c>
      <c r="P1746" s="12" t="s">
        <v>137</v>
      </c>
      <c r="Q1746" s="13">
        <v>45280</v>
      </c>
      <c r="R1746" s="13">
        <v>45309</v>
      </c>
      <c r="S1746">
        <v>2023</v>
      </c>
      <c r="T1746" s="12" t="s">
        <v>2336</v>
      </c>
      <c r="U1746">
        <v>76</v>
      </c>
      <c r="V1746">
        <v>454.90469999999999</v>
      </c>
      <c r="W1746">
        <v>365.66</v>
      </c>
      <c r="X1746">
        <v>0</v>
      </c>
      <c r="Y1746">
        <v>0</v>
      </c>
      <c r="Z1746">
        <v>34572.76</v>
      </c>
      <c r="AA1746">
        <v>34938.42</v>
      </c>
      <c r="AB1746" s="12" t="s">
        <v>600</v>
      </c>
      <c r="AC1746">
        <v>454.90469999999999</v>
      </c>
      <c r="AD1746">
        <v>1</v>
      </c>
      <c r="AE1746">
        <v>1</v>
      </c>
      <c r="AF1746">
        <v>0</v>
      </c>
      <c r="AG1746">
        <v>34572.76</v>
      </c>
      <c r="AH1746">
        <v>76</v>
      </c>
      <c r="AI1746">
        <v>75</v>
      </c>
      <c r="AJ1746">
        <v>1</v>
      </c>
      <c r="AK1746">
        <v>1</v>
      </c>
      <c r="AL1746">
        <v>1</v>
      </c>
      <c r="AM1746">
        <v>98.68</v>
      </c>
      <c r="AN1746">
        <v>465.84559999999999</v>
      </c>
      <c r="AO1746">
        <v>454.9</v>
      </c>
      <c r="AP1746" s="13">
        <v>45309</v>
      </c>
      <c r="AQ1746">
        <v>0</v>
      </c>
      <c r="AR1746">
        <v>1</v>
      </c>
    </row>
    <row r="1747" spans="1:44" x14ac:dyDescent="0.35">
      <c r="A1747" s="12" t="s">
        <v>2446</v>
      </c>
      <c r="B1747" s="12" t="s">
        <v>1075</v>
      </c>
      <c r="C1747" s="12" t="s">
        <v>1076</v>
      </c>
      <c r="D1747" s="12" t="s">
        <v>103</v>
      </c>
      <c r="E1747" s="12" t="s">
        <v>65</v>
      </c>
      <c r="F1747">
        <v>2</v>
      </c>
      <c r="G1747">
        <v>4</v>
      </c>
      <c r="H1747">
        <v>0</v>
      </c>
      <c r="I1747" s="12" t="s">
        <v>176</v>
      </c>
      <c r="J1747" s="12" t="s">
        <v>177</v>
      </c>
      <c r="K1747" s="12" t="s">
        <v>125</v>
      </c>
      <c r="L1747" s="12" t="s">
        <v>134</v>
      </c>
      <c r="M1747">
        <v>1.75</v>
      </c>
      <c r="N1747" s="12" t="s">
        <v>145</v>
      </c>
      <c r="O1747" s="12" t="s">
        <v>146</v>
      </c>
      <c r="P1747" s="12" t="s">
        <v>109</v>
      </c>
      <c r="Q1747" s="13">
        <v>45280</v>
      </c>
      <c r="R1747" s="13">
        <v>45318</v>
      </c>
      <c r="S1747">
        <v>2023</v>
      </c>
      <c r="T1747" s="12" t="s">
        <v>2336</v>
      </c>
      <c r="U1747">
        <v>144</v>
      </c>
      <c r="V1747">
        <v>64.554299999999998</v>
      </c>
      <c r="W1747">
        <v>181.3</v>
      </c>
      <c r="X1747">
        <v>0</v>
      </c>
      <c r="Y1747">
        <v>0</v>
      </c>
      <c r="Z1747">
        <v>9295.82</v>
      </c>
      <c r="AA1747">
        <v>9477.1200000000008</v>
      </c>
      <c r="AB1747" s="12" t="s">
        <v>1077</v>
      </c>
      <c r="AC1747">
        <v>68.470200000000006</v>
      </c>
      <c r="AD1747">
        <v>1</v>
      </c>
      <c r="AE1747">
        <v>1</v>
      </c>
      <c r="AF1747">
        <v>-563.89</v>
      </c>
      <c r="AG1747">
        <v>9859.7099999999991</v>
      </c>
      <c r="AH1747">
        <v>144</v>
      </c>
      <c r="AI1747">
        <v>143</v>
      </c>
      <c r="AJ1747">
        <v>1</v>
      </c>
      <c r="AK1747">
        <v>1</v>
      </c>
      <c r="AL1747">
        <v>1</v>
      </c>
      <c r="AM1747">
        <v>99.31</v>
      </c>
      <c r="AN1747">
        <v>66.273600000000002</v>
      </c>
      <c r="AO1747">
        <v>64.55</v>
      </c>
      <c r="AP1747" s="13">
        <v>45317</v>
      </c>
      <c r="AQ1747">
        <v>-1</v>
      </c>
      <c r="AR1747">
        <v>1</v>
      </c>
    </row>
    <row r="1748" spans="1:44" x14ac:dyDescent="0.35">
      <c r="A1748" s="12" t="s">
        <v>2447</v>
      </c>
      <c r="B1748" s="12" t="s">
        <v>289</v>
      </c>
      <c r="C1748" s="12" t="s">
        <v>290</v>
      </c>
      <c r="D1748" s="12" t="s">
        <v>175</v>
      </c>
      <c r="E1748" s="12" t="s">
        <v>104</v>
      </c>
      <c r="F1748">
        <v>3</v>
      </c>
      <c r="G1748">
        <v>1</v>
      </c>
      <c r="H1748">
        <v>0</v>
      </c>
      <c r="I1748" s="12" t="s">
        <v>157</v>
      </c>
      <c r="J1748" s="12" t="s">
        <v>158</v>
      </c>
      <c r="K1748" s="12" t="s">
        <v>117</v>
      </c>
      <c r="L1748" s="12" t="s">
        <v>96</v>
      </c>
      <c r="M1748">
        <v>4.72</v>
      </c>
      <c r="N1748" s="12" t="s">
        <v>107</v>
      </c>
      <c r="O1748" s="12" t="s">
        <v>108</v>
      </c>
      <c r="P1748" s="12" t="s">
        <v>109</v>
      </c>
      <c r="Q1748" s="13">
        <v>45280</v>
      </c>
      <c r="R1748" s="13">
        <v>45304</v>
      </c>
      <c r="S1748">
        <v>2023</v>
      </c>
      <c r="T1748" s="12" t="s">
        <v>2336</v>
      </c>
      <c r="U1748">
        <v>106</v>
      </c>
      <c r="V1748">
        <v>194.9136</v>
      </c>
      <c r="W1748">
        <v>394.57</v>
      </c>
      <c r="X1748">
        <v>0</v>
      </c>
      <c r="Y1748">
        <v>0</v>
      </c>
      <c r="Z1748">
        <v>20660.84</v>
      </c>
      <c r="AA1748">
        <v>21055.41</v>
      </c>
      <c r="AB1748" s="12" t="s">
        <v>291</v>
      </c>
      <c r="AC1748">
        <v>194.9136</v>
      </c>
      <c r="AD1748">
        <v>1</v>
      </c>
      <c r="AE1748">
        <v>1</v>
      </c>
      <c r="AF1748">
        <v>0</v>
      </c>
      <c r="AG1748">
        <v>20660.84</v>
      </c>
      <c r="AH1748">
        <v>106</v>
      </c>
      <c r="AI1748">
        <v>105</v>
      </c>
      <c r="AJ1748">
        <v>1</v>
      </c>
      <c r="AK1748">
        <v>1</v>
      </c>
      <c r="AL1748">
        <v>1</v>
      </c>
      <c r="AM1748">
        <v>99.06</v>
      </c>
      <c r="AN1748">
        <v>200.52770000000001</v>
      </c>
      <c r="AO1748">
        <v>194.91</v>
      </c>
      <c r="AP1748" s="13">
        <v>45303</v>
      </c>
      <c r="AQ1748">
        <v>-1</v>
      </c>
      <c r="AR1748">
        <v>1</v>
      </c>
    </row>
    <row r="1749" spans="1:44" x14ac:dyDescent="0.35">
      <c r="A1749" s="12" t="s">
        <v>2448</v>
      </c>
      <c r="B1749" s="12" t="s">
        <v>787</v>
      </c>
      <c r="C1749" s="12" t="s">
        <v>788</v>
      </c>
      <c r="D1749" s="12" t="s">
        <v>269</v>
      </c>
      <c r="E1749" s="12" t="s">
        <v>65</v>
      </c>
      <c r="F1749">
        <v>2</v>
      </c>
      <c r="G1749">
        <v>3</v>
      </c>
      <c r="H1749">
        <v>0</v>
      </c>
      <c r="I1749" s="12" t="s">
        <v>143</v>
      </c>
      <c r="J1749" s="12" t="s">
        <v>144</v>
      </c>
      <c r="K1749" s="12" t="s">
        <v>133</v>
      </c>
      <c r="L1749" s="12" t="s">
        <v>96</v>
      </c>
      <c r="M1749">
        <v>5.43</v>
      </c>
      <c r="N1749" s="12" t="s">
        <v>135</v>
      </c>
      <c r="O1749" s="12" t="s">
        <v>136</v>
      </c>
      <c r="P1749" s="12" t="s">
        <v>137</v>
      </c>
      <c r="Q1749" s="13">
        <v>45280</v>
      </c>
      <c r="R1749" s="13">
        <v>45305</v>
      </c>
      <c r="S1749">
        <v>2023</v>
      </c>
      <c r="T1749" s="12" t="s">
        <v>2336</v>
      </c>
      <c r="U1749">
        <v>47</v>
      </c>
      <c r="V1749">
        <v>354.36430000000001</v>
      </c>
      <c r="W1749">
        <v>408.4</v>
      </c>
      <c r="X1749">
        <v>0</v>
      </c>
      <c r="Y1749">
        <v>0</v>
      </c>
      <c r="Z1749">
        <v>16655.12</v>
      </c>
      <c r="AA1749">
        <v>17063.52</v>
      </c>
      <c r="AB1749" s="12" t="s">
        <v>789</v>
      </c>
      <c r="AC1749">
        <v>354.36430000000001</v>
      </c>
      <c r="AD1749">
        <v>1</v>
      </c>
      <c r="AE1749">
        <v>1</v>
      </c>
      <c r="AF1749">
        <v>0</v>
      </c>
      <c r="AG1749">
        <v>16655.12</v>
      </c>
      <c r="AH1749">
        <v>47</v>
      </c>
      <c r="AI1749">
        <v>46</v>
      </c>
      <c r="AJ1749">
        <v>1</v>
      </c>
      <c r="AK1749">
        <v>1</v>
      </c>
      <c r="AL1749">
        <v>1</v>
      </c>
      <c r="AM1749">
        <v>97.87</v>
      </c>
      <c r="AN1749">
        <v>370.9461</v>
      </c>
      <c r="AO1749">
        <v>354.36</v>
      </c>
      <c r="AP1749" s="13">
        <v>45302</v>
      </c>
      <c r="AQ1749">
        <v>-3</v>
      </c>
      <c r="AR1749">
        <v>1</v>
      </c>
    </row>
    <row r="1750" spans="1:44" x14ac:dyDescent="0.35">
      <c r="A1750" s="12" t="s">
        <v>2449</v>
      </c>
      <c r="B1750" s="12" t="s">
        <v>1042</v>
      </c>
      <c r="C1750" s="12" t="s">
        <v>1043</v>
      </c>
      <c r="D1750" s="12" t="s">
        <v>269</v>
      </c>
      <c r="E1750" s="12" t="s">
        <v>104</v>
      </c>
      <c r="F1750">
        <v>2</v>
      </c>
      <c r="G1750">
        <v>0</v>
      </c>
      <c r="H1750">
        <v>0</v>
      </c>
      <c r="I1750" s="12" t="s">
        <v>143</v>
      </c>
      <c r="J1750" s="12" t="s">
        <v>144</v>
      </c>
      <c r="K1750" s="12" t="s">
        <v>133</v>
      </c>
      <c r="L1750" s="12" t="s">
        <v>96</v>
      </c>
      <c r="M1750">
        <v>5.43</v>
      </c>
      <c r="N1750" s="12" t="s">
        <v>135</v>
      </c>
      <c r="O1750" s="12" t="s">
        <v>136</v>
      </c>
      <c r="P1750" s="12" t="s">
        <v>137</v>
      </c>
      <c r="Q1750" s="13">
        <v>45280</v>
      </c>
      <c r="R1750" s="13">
        <v>45296</v>
      </c>
      <c r="S1750">
        <v>2023</v>
      </c>
      <c r="T1750" s="12" t="s">
        <v>2336</v>
      </c>
      <c r="U1750">
        <v>42</v>
      </c>
      <c r="V1750">
        <v>290.76319999999998</v>
      </c>
      <c r="W1750">
        <v>172.73</v>
      </c>
      <c r="X1750">
        <v>0</v>
      </c>
      <c r="Y1750">
        <v>0</v>
      </c>
      <c r="Z1750">
        <v>12212.05</v>
      </c>
      <c r="AA1750">
        <v>12384.78</v>
      </c>
      <c r="AB1750" s="12" t="s">
        <v>1044</v>
      </c>
      <c r="AC1750">
        <v>290.76319999999998</v>
      </c>
      <c r="AD1750">
        <v>1</v>
      </c>
      <c r="AE1750">
        <v>1</v>
      </c>
      <c r="AF1750">
        <v>0</v>
      </c>
      <c r="AG1750">
        <v>12212.05</v>
      </c>
      <c r="AH1750">
        <v>42</v>
      </c>
      <c r="AI1750">
        <v>42</v>
      </c>
      <c r="AJ1750">
        <v>0</v>
      </c>
      <c r="AK1750">
        <v>1</v>
      </c>
      <c r="AL1750">
        <v>1</v>
      </c>
      <c r="AM1750">
        <v>100</v>
      </c>
      <c r="AN1750">
        <v>294.87580000000003</v>
      </c>
      <c r="AO1750">
        <v>0</v>
      </c>
      <c r="AP1750" s="13">
        <v>45296</v>
      </c>
      <c r="AQ1750">
        <v>0</v>
      </c>
      <c r="AR1750">
        <v>1</v>
      </c>
    </row>
    <row r="1751" spans="1:44" x14ac:dyDescent="0.35">
      <c r="A1751" s="12" t="s">
        <v>2450</v>
      </c>
      <c r="B1751" s="12" t="s">
        <v>85</v>
      </c>
      <c r="C1751" s="12" t="s">
        <v>86</v>
      </c>
      <c r="D1751" s="12" t="s">
        <v>78</v>
      </c>
      <c r="E1751" s="12" t="s">
        <v>65</v>
      </c>
      <c r="F1751">
        <v>3</v>
      </c>
      <c r="G1751">
        <v>5</v>
      </c>
      <c r="H1751">
        <v>0</v>
      </c>
      <c r="I1751" s="12" t="s">
        <v>195</v>
      </c>
      <c r="J1751" s="12" t="s">
        <v>196</v>
      </c>
      <c r="K1751" s="12" t="s">
        <v>117</v>
      </c>
      <c r="L1751" s="12" t="s">
        <v>134</v>
      </c>
      <c r="M1751">
        <v>4.7699999999999996</v>
      </c>
      <c r="N1751" s="12" t="s">
        <v>97</v>
      </c>
      <c r="O1751" s="12" t="s">
        <v>98</v>
      </c>
      <c r="P1751" s="12" t="s">
        <v>72</v>
      </c>
      <c r="Q1751" s="13">
        <v>45280</v>
      </c>
      <c r="R1751" s="13">
        <v>45304</v>
      </c>
      <c r="S1751">
        <v>2023</v>
      </c>
      <c r="T1751" s="12" t="s">
        <v>2336</v>
      </c>
      <c r="U1751">
        <v>95</v>
      </c>
      <c r="V1751">
        <v>147.55000000000001</v>
      </c>
      <c r="W1751">
        <v>351.01</v>
      </c>
      <c r="X1751">
        <v>0</v>
      </c>
      <c r="Y1751">
        <v>0</v>
      </c>
      <c r="Z1751">
        <v>14017.25</v>
      </c>
      <c r="AA1751">
        <v>14368.26</v>
      </c>
      <c r="AB1751" s="12" t="s">
        <v>1417</v>
      </c>
      <c r="AC1751">
        <v>147.55000000000001</v>
      </c>
      <c r="AD1751">
        <v>1</v>
      </c>
      <c r="AE1751">
        <v>1</v>
      </c>
      <c r="AF1751">
        <v>0</v>
      </c>
      <c r="AG1751">
        <v>14017.25</v>
      </c>
      <c r="AH1751">
        <v>95</v>
      </c>
      <c r="AI1751">
        <v>95</v>
      </c>
      <c r="AJ1751">
        <v>0</v>
      </c>
      <c r="AK1751">
        <v>1</v>
      </c>
      <c r="AL1751">
        <v>1</v>
      </c>
      <c r="AM1751">
        <v>100</v>
      </c>
      <c r="AN1751">
        <v>151.2448</v>
      </c>
      <c r="AO1751">
        <v>0</v>
      </c>
      <c r="AP1751" s="13">
        <v>45309</v>
      </c>
      <c r="AQ1751">
        <v>5</v>
      </c>
      <c r="AR1751">
        <v>0</v>
      </c>
    </row>
    <row r="1752" spans="1:44" x14ac:dyDescent="0.35">
      <c r="A1752" s="12" t="s">
        <v>2451</v>
      </c>
      <c r="B1752" s="12" t="s">
        <v>428</v>
      </c>
      <c r="C1752" s="12" t="s">
        <v>429</v>
      </c>
      <c r="D1752" s="12" t="s">
        <v>64</v>
      </c>
      <c r="E1752" s="12" t="s">
        <v>65</v>
      </c>
      <c r="F1752">
        <v>3</v>
      </c>
      <c r="G1752">
        <v>4</v>
      </c>
      <c r="H1752">
        <v>0</v>
      </c>
      <c r="I1752" s="12" t="s">
        <v>105</v>
      </c>
      <c r="J1752" s="12" t="s">
        <v>106</v>
      </c>
      <c r="K1752" s="12" t="s">
        <v>81</v>
      </c>
      <c r="L1752" s="12" t="s">
        <v>96</v>
      </c>
      <c r="M1752">
        <v>5.01</v>
      </c>
      <c r="N1752" s="12" t="s">
        <v>97</v>
      </c>
      <c r="O1752" s="12" t="s">
        <v>98</v>
      </c>
      <c r="P1752" s="12" t="s">
        <v>72</v>
      </c>
      <c r="Q1752" s="13">
        <v>45280</v>
      </c>
      <c r="R1752" s="13">
        <v>45304</v>
      </c>
      <c r="S1752">
        <v>2023</v>
      </c>
      <c r="T1752" s="12" t="s">
        <v>2336</v>
      </c>
      <c r="U1752">
        <v>288</v>
      </c>
      <c r="V1752">
        <v>15.0402</v>
      </c>
      <c r="W1752">
        <v>26.03</v>
      </c>
      <c r="X1752">
        <v>0</v>
      </c>
      <c r="Y1752">
        <v>0</v>
      </c>
      <c r="Z1752">
        <v>4331.58</v>
      </c>
      <c r="AA1752">
        <v>4357.6099999999997</v>
      </c>
      <c r="AB1752" s="12" t="s">
        <v>2267</v>
      </c>
      <c r="AC1752">
        <v>15.0402</v>
      </c>
      <c r="AD1752">
        <v>1</v>
      </c>
      <c r="AE1752">
        <v>1</v>
      </c>
      <c r="AF1752">
        <v>0</v>
      </c>
      <c r="AG1752">
        <v>4331.58</v>
      </c>
      <c r="AH1752">
        <v>288</v>
      </c>
      <c r="AI1752">
        <v>287</v>
      </c>
      <c r="AJ1752">
        <v>1</v>
      </c>
      <c r="AK1752">
        <v>1</v>
      </c>
      <c r="AL1752">
        <v>1</v>
      </c>
      <c r="AM1752">
        <v>99.65</v>
      </c>
      <c r="AN1752">
        <v>15.183299999999999</v>
      </c>
      <c r="AO1752">
        <v>15.04</v>
      </c>
      <c r="AP1752" s="13">
        <v>45301</v>
      </c>
      <c r="AQ1752">
        <v>-3</v>
      </c>
      <c r="AR1752">
        <v>1</v>
      </c>
    </row>
    <row r="1753" spans="1:44" x14ac:dyDescent="0.35">
      <c r="A1753" s="12" t="s">
        <v>2452</v>
      </c>
      <c r="B1753" s="12" t="s">
        <v>670</v>
      </c>
      <c r="C1753" s="12" t="s">
        <v>671</v>
      </c>
      <c r="D1753" s="12" t="s">
        <v>175</v>
      </c>
      <c r="E1753" s="12" t="s">
        <v>142</v>
      </c>
      <c r="F1753">
        <v>2</v>
      </c>
      <c r="G1753">
        <v>9</v>
      </c>
      <c r="H1753">
        <v>0</v>
      </c>
      <c r="I1753" s="12" t="s">
        <v>233</v>
      </c>
      <c r="J1753" s="12" t="s">
        <v>234</v>
      </c>
      <c r="K1753" s="12" t="s">
        <v>125</v>
      </c>
      <c r="L1753" s="12" t="s">
        <v>96</v>
      </c>
      <c r="M1753">
        <v>3.73</v>
      </c>
      <c r="N1753" s="12" t="s">
        <v>145</v>
      </c>
      <c r="O1753" s="12" t="s">
        <v>146</v>
      </c>
      <c r="P1753" s="12" t="s">
        <v>109</v>
      </c>
      <c r="Q1753" s="13">
        <v>45280</v>
      </c>
      <c r="R1753" s="13">
        <v>45318</v>
      </c>
      <c r="S1753">
        <v>2023</v>
      </c>
      <c r="T1753" s="12" t="s">
        <v>2336</v>
      </c>
      <c r="U1753">
        <v>35</v>
      </c>
      <c r="V1753">
        <v>151.31620000000001</v>
      </c>
      <c r="W1753">
        <v>48.68</v>
      </c>
      <c r="X1753">
        <v>0</v>
      </c>
      <c r="Y1753">
        <v>0</v>
      </c>
      <c r="Z1753">
        <v>5296.07</v>
      </c>
      <c r="AA1753">
        <v>5344.75</v>
      </c>
      <c r="AB1753" s="12" t="s">
        <v>672</v>
      </c>
      <c r="AC1753">
        <v>151.31620000000001</v>
      </c>
      <c r="AD1753">
        <v>1</v>
      </c>
      <c r="AE1753">
        <v>1</v>
      </c>
      <c r="AF1753">
        <v>0</v>
      </c>
      <c r="AG1753">
        <v>5296.07</v>
      </c>
      <c r="AH1753">
        <v>35</v>
      </c>
      <c r="AI1753">
        <v>35</v>
      </c>
      <c r="AJ1753">
        <v>0</v>
      </c>
      <c r="AK1753">
        <v>1</v>
      </c>
      <c r="AL1753">
        <v>1</v>
      </c>
      <c r="AM1753">
        <v>100</v>
      </c>
      <c r="AN1753">
        <v>152.7071</v>
      </c>
      <c r="AO1753">
        <v>0</v>
      </c>
      <c r="AP1753" s="13">
        <v>45316</v>
      </c>
      <c r="AQ1753">
        <v>-2</v>
      </c>
      <c r="AR1753">
        <v>1</v>
      </c>
    </row>
    <row r="1754" spans="1:44" x14ac:dyDescent="0.35">
      <c r="A1754" s="12" t="s">
        <v>2453</v>
      </c>
      <c r="B1754" s="12" t="s">
        <v>1108</v>
      </c>
      <c r="C1754" s="12" t="s">
        <v>1109</v>
      </c>
      <c r="D1754" s="12" t="s">
        <v>103</v>
      </c>
      <c r="E1754" s="12" t="s">
        <v>65</v>
      </c>
      <c r="F1754">
        <v>3</v>
      </c>
      <c r="G1754">
        <v>4</v>
      </c>
      <c r="H1754">
        <v>0</v>
      </c>
      <c r="I1754" s="12" t="s">
        <v>79</v>
      </c>
      <c r="J1754" s="12" t="s">
        <v>80</v>
      </c>
      <c r="K1754" s="12" t="s">
        <v>81</v>
      </c>
      <c r="L1754" s="12" t="s">
        <v>82</v>
      </c>
      <c r="M1754">
        <v>12.07</v>
      </c>
      <c r="N1754" s="12" t="s">
        <v>107</v>
      </c>
      <c r="O1754" s="12" t="s">
        <v>108</v>
      </c>
      <c r="P1754" s="12" t="s">
        <v>109</v>
      </c>
      <c r="Q1754" s="13">
        <v>45281</v>
      </c>
      <c r="R1754" s="13">
        <v>45303</v>
      </c>
      <c r="S1754">
        <v>2023</v>
      </c>
      <c r="T1754" s="12" t="s">
        <v>2336</v>
      </c>
      <c r="U1754">
        <v>24</v>
      </c>
      <c r="V1754">
        <v>86.615200000000002</v>
      </c>
      <c r="W1754">
        <v>32.22</v>
      </c>
      <c r="X1754">
        <v>0</v>
      </c>
      <c r="Y1754">
        <v>0</v>
      </c>
      <c r="Z1754">
        <v>2078.7600000000002</v>
      </c>
      <c r="AA1754">
        <v>2110.98</v>
      </c>
      <c r="AB1754" s="12" t="s">
        <v>1634</v>
      </c>
      <c r="AC1754">
        <v>86.615200000000002</v>
      </c>
      <c r="AD1754">
        <v>1</v>
      </c>
      <c r="AE1754">
        <v>1</v>
      </c>
      <c r="AF1754">
        <v>0</v>
      </c>
      <c r="AG1754">
        <v>2078.7600000000002</v>
      </c>
      <c r="AH1754">
        <v>24</v>
      </c>
      <c r="AI1754">
        <v>24</v>
      </c>
      <c r="AJ1754">
        <v>0</v>
      </c>
      <c r="AK1754">
        <v>1</v>
      </c>
      <c r="AL1754">
        <v>1</v>
      </c>
      <c r="AM1754">
        <v>100</v>
      </c>
      <c r="AN1754">
        <v>87.957700000000003</v>
      </c>
      <c r="AO1754">
        <v>0</v>
      </c>
      <c r="AP1754" s="13">
        <v>45300</v>
      </c>
      <c r="AQ1754">
        <v>-3</v>
      </c>
      <c r="AR1754">
        <v>1</v>
      </c>
    </row>
    <row r="1755" spans="1:44" x14ac:dyDescent="0.35">
      <c r="A1755" s="12" t="s">
        <v>2454</v>
      </c>
      <c r="B1755" s="12" t="s">
        <v>909</v>
      </c>
      <c r="C1755" s="12" t="s">
        <v>910</v>
      </c>
      <c r="D1755" s="12" t="s">
        <v>269</v>
      </c>
      <c r="E1755" s="12" t="s">
        <v>65</v>
      </c>
      <c r="F1755">
        <v>3</v>
      </c>
      <c r="G1755">
        <v>4</v>
      </c>
      <c r="H1755">
        <v>0</v>
      </c>
      <c r="I1755" s="12" t="s">
        <v>811</v>
      </c>
      <c r="J1755" s="12" t="s">
        <v>812</v>
      </c>
      <c r="K1755" s="12" t="s">
        <v>117</v>
      </c>
      <c r="L1755" s="12" t="s">
        <v>69</v>
      </c>
      <c r="M1755">
        <v>26.4</v>
      </c>
      <c r="N1755" s="12" t="s">
        <v>159</v>
      </c>
      <c r="O1755" s="12" t="s">
        <v>160</v>
      </c>
      <c r="P1755" s="12" t="s">
        <v>137</v>
      </c>
      <c r="Q1755" s="13">
        <v>45281</v>
      </c>
      <c r="R1755" s="13">
        <v>45318</v>
      </c>
      <c r="S1755">
        <v>2023</v>
      </c>
      <c r="T1755" s="12" t="s">
        <v>2336</v>
      </c>
      <c r="U1755">
        <v>136</v>
      </c>
      <c r="V1755">
        <v>114.7308</v>
      </c>
      <c r="W1755">
        <v>219.71</v>
      </c>
      <c r="X1755">
        <v>0</v>
      </c>
      <c r="Y1755">
        <v>0</v>
      </c>
      <c r="Z1755">
        <v>15603.39</v>
      </c>
      <c r="AA1755">
        <v>15823.1</v>
      </c>
      <c r="AB1755" s="12" t="s">
        <v>921</v>
      </c>
      <c r="AC1755">
        <v>108.32040000000001</v>
      </c>
      <c r="AD1755">
        <v>1</v>
      </c>
      <c r="AE1755">
        <v>1</v>
      </c>
      <c r="AF1755">
        <v>871.81</v>
      </c>
      <c r="AG1755">
        <v>14731.57</v>
      </c>
      <c r="AH1755">
        <v>136</v>
      </c>
      <c r="AI1755">
        <v>134</v>
      </c>
      <c r="AJ1755">
        <v>2</v>
      </c>
      <c r="AK1755">
        <v>1</v>
      </c>
      <c r="AL1755">
        <v>1</v>
      </c>
      <c r="AM1755">
        <v>98.53</v>
      </c>
      <c r="AN1755">
        <v>118.08280000000001</v>
      </c>
      <c r="AO1755">
        <v>229.46</v>
      </c>
      <c r="AP1755" s="13">
        <v>45317</v>
      </c>
      <c r="AQ1755">
        <v>-1</v>
      </c>
      <c r="AR1755">
        <v>1</v>
      </c>
    </row>
    <row r="1756" spans="1:44" x14ac:dyDescent="0.35">
      <c r="A1756" s="12" t="s">
        <v>2455</v>
      </c>
      <c r="B1756" s="12" t="s">
        <v>1068</v>
      </c>
      <c r="C1756" s="12" t="s">
        <v>1069</v>
      </c>
      <c r="D1756" s="12" t="s">
        <v>122</v>
      </c>
      <c r="E1756" s="12" t="s">
        <v>65</v>
      </c>
      <c r="F1756">
        <v>2</v>
      </c>
      <c r="G1756">
        <v>2</v>
      </c>
      <c r="H1756">
        <v>0</v>
      </c>
      <c r="I1756" s="12" t="s">
        <v>79</v>
      </c>
      <c r="J1756" s="12" t="s">
        <v>80</v>
      </c>
      <c r="K1756" s="12" t="s">
        <v>81</v>
      </c>
      <c r="L1756" s="12" t="s">
        <v>82</v>
      </c>
      <c r="M1756">
        <v>12.07</v>
      </c>
      <c r="N1756" s="12" t="s">
        <v>70</v>
      </c>
      <c r="O1756" s="12" t="s">
        <v>71</v>
      </c>
      <c r="P1756" s="12" t="s">
        <v>72</v>
      </c>
      <c r="Q1756" s="13">
        <v>45281</v>
      </c>
      <c r="R1756" s="13">
        <v>45304</v>
      </c>
      <c r="S1756">
        <v>2023</v>
      </c>
      <c r="T1756" s="12" t="s">
        <v>2336</v>
      </c>
      <c r="U1756">
        <v>468</v>
      </c>
      <c r="V1756">
        <v>21.667100000000001</v>
      </c>
      <c r="W1756">
        <v>235.87</v>
      </c>
      <c r="X1756">
        <v>0</v>
      </c>
      <c r="Y1756">
        <v>0</v>
      </c>
      <c r="Z1756">
        <v>10140.200000000001</v>
      </c>
      <c r="AA1756">
        <v>10376.07</v>
      </c>
      <c r="AB1756" s="12" t="s">
        <v>1070</v>
      </c>
      <c r="AC1756">
        <v>21.667100000000001</v>
      </c>
      <c r="AD1756">
        <v>1</v>
      </c>
      <c r="AE1756">
        <v>1</v>
      </c>
      <c r="AF1756">
        <v>0</v>
      </c>
      <c r="AG1756">
        <v>10140.200000000001</v>
      </c>
      <c r="AH1756">
        <v>468</v>
      </c>
      <c r="AI1756">
        <v>463</v>
      </c>
      <c r="AJ1756">
        <v>5</v>
      </c>
      <c r="AK1756">
        <v>1</v>
      </c>
      <c r="AL1756">
        <v>1</v>
      </c>
      <c r="AM1756">
        <v>98.93</v>
      </c>
      <c r="AN1756">
        <v>22.410499999999999</v>
      </c>
      <c r="AO1756">
        <v>108.34</v>
      </c>
      <c r="AP1756" s="13">
        <v>45302</v>
      </c>
      <c r="AQ1756">
        <v>-2</v>
      </c>
      <c r="AR1756">
        <v>1</v>
      </c>
    </row>
    <row r="1757" spans="1:44" x14ac:dyDescent="0.35">
      <c r="A1757" s="12" t="s">
        <v>2456</v>
      </c>
      <c r="B1757" s="12" t="s">
        <v>747</v>
      </c>
      <c r="C1757" s="12" t="s">
        <v>748</v>
      </c>
      <c r="D1757" s="12" t="s">
        <v>114</v>
      </c>
      <c r="E1757" s="12" t="s">
        <v>104</v>
      </c>
      <c r="F1757">
        <v>2</v>
      </c>
      <c r="G1757">
        <v>0</v>
      </c>
      <c r="H1757">
        <v>0</v>
      </c>
      <c r="I1757" s="12" t="s">
        <v>380</v>
      </c>
      <c r="J1757" s="12" t="s">
        <v>381</v>
      </c>
      <c r="K1757" s="12" t="s">
        <v>89</v>
      </c>
      <c r="L1757" s="12" t="s">
        <v>96</v>
      </c>
      <c r="M1757">
        <v>10.210000000000001</v>
      </c>
      <c r="N1757" s="12" t="s">
        <v>70</v>
      </c>
      <c r="O1757" s="12" t="s">
        <v>71</v>
      </c>
      <c r="P1757" s="12" t="s">
        <v>72</v>
      </c>
      <c r="Q1757" s="13">
        <v>45281</v>
      </c>
      <c r="R1757" s="13">
        <v>45304</v>
      </c>
      <c r="S1757">
        <v>2023</v>
      </c>
      <c r="T1757" s="12" t="s">
        <v>2336</v>
      </c>
      <c r="U1757">
        <v>102</v>
      </c>
      <c r="V1757">
        <v>245.56890000000001</v>
      </c>
      <c r="W1757">
        <v>267.38</v>
      </c>
      <c r="X1757">
        <v>0</v>
      </c>
      <c r="Y1757">
        <v>0</v>
      </c>
      <c r="Z1757">
        <v>25048.03</v>
      </c>
      <c r="AA1757">
        <v>25315.41</v>
      </c>
      <c r="AB1757" s="12" t="s">
        <v>896</v>
      </c>
      <c r="AC1757">
        <v>245.56890000000001</v>
      </c>
      <c r="AD1757">
        <v>1</v>
      </c>
      <c r="AE1757">
        <v>1</v>
      </c>
      <c r="AF1757">
        <v>0</v>
      </c>
      <c r="AG1757">
        <v>25048.03</v>
      </c>
      <c r="AH1757">
        <v>102</v>
      </c>
      <c r="AI1757">
        <v>99</v>
      </c>
      <c r="AJ1757">
        <v>3</v>
      </c>
      <c r="AK1757">
        <v>1</v>
      </c>
      <c r="AL1757">
        <v>1</v>
      </c>
      <c r="AM1757">
        <v>97.06</v>
      </c>
      <c r="AN1757">
        <v>255.71119999999999</v>
      </c>
      <c r="AO1757">
        <v>736.71</v>
      </c>
      <c r="AP1757" s="13">
        <v>45303</v>
      </c>
      <c r="AQ1757">
        <v>-1</v>
      </c>
      <c r="AR1757">
        <v>1</v>
      </c>
    </row>
    <row r="1758" spans="1:44" x14ac:dyDescent="0.35">
      <c r="A1758" s="12" t="s">
        <v>2457</v>
      </c>
      <c r="B1758" s="12" t="s">
        <v>1075</v>
      </c>
      <c r="C1758" s="12" t="s">
        <v>1076</v>
      </c>
      <c r="D1758" s="12" t="s">
        <v>103</v>
      </c>
      <c r="E1758" s="12" t="s">
        <v>65</v>
      </c>
      <c r="F1758">
        <v>2</v>
      </c>
      <c r="G1758">
        <v>4</v>
      </c>
      <c r="H1758">
        <v>0</v>
      </c>
      <c r="I1758" s="12" t="s">
        <v>183</v>
      </c>
      <c r="J1758" s="12" t="s">
        <v>184</v>
      </c>
      <c r="K1758" s="12" t="s">
        <v>133</v>
      </c>
      <c r="L1758" s="12" t="s">
        <v>82</v>
      </c>
      <c r="M1758">
        <v>8.6199999999999992</v>
      </c>
      <c r="N1758" s="12" t="s">
        <v>107</v>
      </c>
      <c r="O1758" s="12" t="s">
        <v>108</v>
      </c>
      <c r="P1758" s="12" t="s">
        <v>109</v>
      </c>
      <c r="Q1758" s="13">
        <v>45281</v>
      </c>
      <c r="R1758" s="13">
        <v>45308</v>
      </c>
      <c r="S1758">
        <v>2023</v>
      </c>
      <c r="T1758" s="12" t="s">
        <v>2336</v>
      </c>
      <c r="U1758">
        <v>61</v>
      </c>
      <c r="V1758">
        <v>68.470200000000006</v>
      </c>
      <c r="W1758">
        <v>80.67</v>
      </c>
      <c r="X1758">
        <v>0</v>
      </c>
      <c r="Y1758">
        <v>0</v>
      </c>
      <c r="Z1758">
        <v>4176.68</v>
      </c>
      <c r="AA1758">
        <v>4257.3500000000004</v>
      </c>
      <c r="AB1758" s="12" t="s">
        <v>1163</v>
      </c>
      <c r="AC1758">
        <v>68.470200000000006</v>
      </c>
      <c r="AD1758">
        <v>1</v>
      </c>
      <c r="AE1758">
        <v>1</v>
      </c>
      <c r="AF1758">
        <v>0</v>
      </c>
      <c r="AG1758">
        <v>4176.68</v>
      </c>
      <c r="AH1758">
        <v>61</v>
      </c>
      <c r="AI1758">
        <v>61</v>
      </c>
      <c r="AJ1758">
        <v>0</v>
      </c>
      <c r="AK1758">
        <v>1</v>
      </c>
      <c r="AL1758">
        <v>1</v>
      </c>
      <c r="AM1758">
        <v>100</v>
      </c>
      <c r="AN1758">
        <v>69.792699999999996</v>
      </c>
      <c r="AO1758">
        <v>0</v>
      </c>
      <c r="AP1758" s="13">
        <v>45315</v>
      </c>
      <c r="AQ1758">
        <v>7</v>
      </c>
      <c r="AR1758">
        <v>0</v>
      </c>
    </row>
    <row r="1759" spans="1:44" x14ac:dyDescent="0.35">
      <c r="A1759" s="12" t="s">
        <v>2458</v>
      </c>
      <c r="B1759" s="12" t="s">
        <v>173</v>
      </c>
      <c r="C1759" s="12" t="s">
        <v>174</v>
      </c>
      <c r="D1759" s="12" t="s">
        <v>175</v>
      </c>
      <c r="E1759" s="12" t="s">
        <v>104</v>
      </c>
      <c r="F1759">
        <v>3</v>
      </c>
      <c r="G1759">
        <v>1</v>
      </c>
      <c r="H1759">
        <v>0</v>
      </c>
      <c r="I1759" s="12" t="s">
        <v>227</v>
      </c>
      <c r="J1759" s="12" t="s">
        <v>228</v>
      </c>
      <c r="K1759" s="12" t="s">
        <v>89</v>
      </c>
      <c r="L1759" s="12" t="s">
        <v>96</v>
      </c>
      <c r="M1759">
        <v>9.15</v>
      </c>
      <c r="N1759" s="12" t="s">
        <v>145</v>
      </c>
      <c r="O1759" s="12" t="s">
        <v>146</v>
      </c>
      <c r="P1759" s="12" t="s">
        <v>109</v>
      </c>
      <c r="Q1759" s="13">
        <v>45281</v>
      </c>
      <c r="R1759" s="13">
        <v>45305</v>
      </c>
      <c r="S1759">
        <v>2023</v>
      </c>
      <c r="T1759" s="12" t="s">
        <v>2336</v>
      </c>
      <c r="U1759">
        <v>108</v>
      </c>
      <c r="V1759">
        <v>79.9559</v>
      </c>
      <c r="W1759">
        <v>91.39</v>
      </c>
      <c r="X1759">
        <v>0</v>
      </c>
      <c r="Y1759">
        <v>0</v>
      </c>
      <c r="Z1759">
        <v>8635.24</v>
      </c>
      <c r="AA1759">
        <v>8726.6299999999992</v>
      </c>
      <c r="AB1759" s="12" t="s">
        <v>229</v>
      </c>
      <c r="AC1759">
        <v>79.9559</v>
      </c>
      <c r="AD1759">
        <v>1</v>
      </c>
      <c r="AE1759">
        <v>1</v>
      </c>
      <c r="AF1759">
        <v>0</v>
      </c>
      <c r="AG1759">
        <v>8635.24</v>
      </c>
      <c r="AH1759">
        <v>108</v>
      </c>
      <c r="AI1759">
        <v>108</v>
      </c>
      <c r="AJ1759">
        <v>0</v>
      </c>
      <c r="AK1759">
        <v>1</v>
      </c>
      <c r="AL1759">
        <v>1</v>
      </c>
      <c r="AM1759">
        <v>100</v>
      </c>
      <c r="AN1759">
        <v>80.802099999999996</v>
      </c>
      <c r="AO1759">
        <v>0</v>
      </c>
      <c r="AP1759" s="13">
        <v>45302</v>
      </c>
      <c r="AQ1759">
        <v>-3</v>
      </c>
      <c r="AR1759">
        <v>1</v>
      </c>
    </row>
    <row r="1760" spans="1:44" x14ac:dyDescent="0.35">
      <c r="A1760" s="12" t="s">
        <v>2459</v>
      </c>
      <c r="B1760" s="12" t="s">
        <v>990</v>
      </c>
      <c r="C1760" s="12" t="s">
        <v>991</v>
      </c>
      <c r="D1760" s="12" t="s">
        <v>122</v>
      </c>
      <c r="E1760" s="12" t="s">
        <v>142</v>
      </c>
      <c r="F1760">
        <v>1</v>
      </c>
      <c r="G1760">
        <v>6</v>
      </c>
      <c r="H1760">
        <v>1</v>
      </c>
      <c r="I1760" s="12" t="s">
        <v>217</v>
      </c>
      <c r="J1760" s="12" t="s">
        <v>218</v>
      </c>
      <c r="K1760" s="12" t="s">
        <v>68</v>
      </c>
      <c r="L1760" s="12" t="s">
        <v>82</v>
      </c>
      <c r="M1760">
        <v>14.24</v>
      </c>
      <c r="N1760" s="12" t="s">
        <v>70</v>
      </c>
      <c r="O1760" s="12" t="s">
        <v>71</v>
      </c>
      <c r="P1760" s="12" t="s">
        <v>72</v>
      </c>
      <c r="Q1760" s="13">
        <v>45281</v>
      </c>
      <c r="R1760" s="13">
        <v>45320</v>
      </c>
      <c r="S1760">
        <v>2023</v>
      </c>
      <c r="T1760" s="12" t="s">
        <v>2336</v>
      </c>
      <c r="U1760">
        <v>629</v>
      </c>
      <c r="V1760">
        <v>33.697499999999998</v>
      </c>
      <c r="W1760">
        <v>375.76</v>
      </c>
      <c r="X1760">
        <v>0</v>
      </c>
      <c r="Y1760">
        <v>0</v>
      </c>
      <c r="Z1760">
        <v>21195.73</v>
      </c>
      <c r="AA1760">
        <v>21571.49</v>
      </c>
      <c r="AB1760" s="12" t="s">
        <v>992</v>
      </c>
      <c r="AC1760">
        <v>33.697499999999998</v>
      </c>
      <c r="AD1760">
        <v>1</v>
      </c>
      <c r="AE1760">
        <v>1</v>
      </c>
      <c r="AF1760">
        <v>0</v>
      </c>
      <c r="AG1760">
        <v>21195.73</v>
      </c>
      <c r="AH1760">
        <v>629</v>
      </c>
      <c r="AI1760">
        <v>623</v>
      </c>
      <c r="AJ1760">
        <v>6</v>
      </c>
      <c r="AK1760">
        <v>1</v>
      </c>
      <c r="AL1760">
        <v>1</v>
      </c>
      <c r="AM1760">
        <v>99.05</v>
      </c>
      <c r="AN1760">
        <v>34.6252</v>
      </c>
      <c r="AO1760">
        <v>202.19</v>
      </c>
      <c r="AP1760" s="13">
        <v>45320</v>
      </c>
      <c r="AQ1760">
        <v>0</v>
      </c>
      <c r="AR1760">
        <v>1</v>
      </c>
    </row>
    <row r="1761" spans="1:44" x14ac:dyDescent="0.35">
      <c r="A1761" s="12" t="s">
        <v>2460</v>
      </c>
      <c r="B1761" s="12" t="s">
        <v>661</v>
      </c>
      <c r="C1761" s="12" t="s">
        <v>662</v>
      </c>
      <c r="D1761" s="12" t="s">
        <v>175</v>
      </c>
      <c r="E1761" s="12" t="s">
        <v>104</v>
      </c>
      <c r="F1761">
        <v>1</v>
      </c>
      <c r="G1761">
        <v>0</v>
      </c>
      <c r="H1761">
        <v>1</v>
      </c>
      <c r="I1761" s="12" t="s">
        <v>183</v>
      </c>
      <c r="J1761" s="12" t="s">
        <v>184</v>
      </c>
      <c r="K1761" s="12" t="s">
        <v>133</v>
      </c>
      <c r="L1761" s="12" t="s">
        <v>82</v>
      </c>
      <c r="M1761">
        <v>8.6199999999999992</v>
      </c>
      <c r="N1761" s="12" t="s">
        <v>107</v>
      </c>
      <c r="O1761" s="12" t="s">
        <v>108</v>
      </c>
      <c r="P1761" s="12" t="s">
        <v>109</v>
      </c>
      <c r="Q1761" s="13">
        <v>45281</v>
      </c>
      <c r="R1761" s="13">
        <v>45305</v>
      </c>
      <c r="S1761">
        <v>2023</v>
      </c>
      <c r="T1761" s="12" t="s">
        <v>2336</v>
      </c>
      <c r="U1761">
        <v>110</v>
      </c>
      <c r="V1761">
        <v>194.86689999999999</v>
      </c>
      <c r="W1761">
        <v>471.79</v>
      </c>
      <c r="X1761">
        <v>0</v>
      </c>
      <c r="Y1761">
        <v>0</v>
      </c>
      <c r="Z1761">
        <v>21435.360000000001</v>
      </c>
      <c r="AA1761">
        <v>21907.15</v>
      </c>
      <c r="AB1761" s="12" t="s">
        <v>663</v>
      </c>
      <c r="AC1761">
        <v>201.68719999999999</v>
      </c>
      <c r="AD1761">
        <v>2</v>
      </c>
      <c r="AE1761">
        <v>1</v>
      </c>
      <c r="AF1761">
        <v>-750.23</v>
      </c>
      <c r="AG1761">
        <v>22185.59</v>
      </c>
      <c r="AH1761">
        <v>110</v>
      </c>
      <c r="AI1761">
        <v>109</v>
      </c>
      <c r="AJ1761">
        <v>1</v>
      </c>
      <c r="AK1761">
        <v>1</v>
      </c>
      <c r="AL1761">
        <v>1</v>
      </c>
      <c r="AM1761">
        <v>99.09</v>
      </c>
      <c r="AN1761">
        <v>200.983</v>
      </c>
      <c r="AO1761">
        <v>194.87</v>
      </c>
      <c r="AP1761" s="13">
        <v>45303</v>
      </c>
      <c r="AQ1761">
        <v>-2</v>
      </c>
      <c r="AR1761">
        <v>1</v>
      </c>
    </row>
    <row r="1762" spans="1:44" x14ac:dyDescent="0.35">
      <c r="A1762" s="12" t="s">
        <v>2461</v>
      </c>
      <c r="B1762" s="12" t="s">
        <v>1026</v>
      </c>
      <c r="C1762" s="12" t="s">
        <v>1027</v>
      </c>
      <c r="D1762" s="12" t="s">
        <v>122</v>
      </c>
      <c r="E1762" s="12" t="s">
        <v>104</v>
      </c>
      <c r="F1762">
        <v>3</v>
      </c>
      <c r="G1762">
        <v>1</v>
      </c>
      <c r="H1762">
        <v>0</v>
      </c>
      <c r="I1762" s="12" t="s">
        <v>515</v>
      </c>
      <c r="J1762" s="12" t="s">
        <v>516</v>
      </c>
      <c r="K1762" s="12" t="s">
        <v>68</v>
      </c>
      <c r="L1762" s="12" t="s">
        <v>134</v>
      </c>
      <c r="M1762">
        <v>3.69</v>
      </c>
      <c r="N1762" s="12" t="s">
        <v>97</v>
      </c>
      <c r="O1762" s="12" t="s">
        <v>98</v>
      </c>
      <c r="P1762" s="12" t="s">
        <v>72</v>
      </c>
      <c r="Q1762" s="13">
        <v>45281</v>
      </c>
      <c r="R1762" s="13">
        <v>45302</v>
      </c>
      <c r="S1762">
        <v>2023</v>
      </c>
      <c r="T1762" s="12" t="s">
        <v>2336</v>
      </c>
      <c r="U1762">
        <v>1189</v>
      </c>
      <c r="V1762">
        <v>46.8352</v>
      </c>
      <c r="W1762">
        <v>541.12</v>
      </c>
      <c r="X1762">
        <v>0</v>
      </c>
      <c r="Y1762">
        <v>0</v>
      </c>
      <c r="Z1762">
        <v>55687.05</v>
      </c>
      <c r="AA1762">
        <v>56228.17</v>
      </c>
      <c r="AB1762" s="12" t="s">
        <v>201</v>
      </c>
      <c r="AD1762">
        <v>0</v>
      </c>
      <c r="AE1762">
        <v>0</v>
      </c>
      <c r="AH1762">
        <v>1189</v>
      </c>
      <c r="AI1762">
        <v>1185</v>
      </c>
      <c r="AJ1762">
        <v>4</v>
      </c>
      <c r="AK1762">
        <v>1</v>
      </c>
      <c r="AL1762">
        <v>1</v>
      </c>
      <c r="AM1762">
        <v>99.66</v>
      </c>
      <c r="AN1762">
        <v>47.4499</v>
      </c>
      <c r="AO1762">
        <v>187.34</v>
      </c>
      <c r="AP1762" s="13">
        <v>45301</v>
      </c>
      <c r="AQ1762">
        <v>-1</v>
      </c>
      <c r="AR1762">
        <v>1</v>
      </c>
    </row>
    <row r="1763" spans="1:44" x14ac:dyDescent="0.35">
      <c r="A1763" s="12" t="s">
        <v>2462</v>
      </c>
      <c r="B1763" s="12" t="s">
        <v>1042</v>
      </c>
      <c r="C1763" s="12" t="s">
        <v>1043</v>
      </c>
      <c r="D1763" s="12" t="s">
        <v>269</v>
      </c>
      <c r="E1763" s="12" t="s">
        <v>104</v>
      </c>
      <c r="F1763">
        <v>2</v>
      </c>
      <c r="G1763">
        <v>0</v>
      </c>
      <c r="H1763">
        <v>0</v>
      </c>
      <c r="I1763" s="12" t="s">
        <v>143</v>
      </c>
      <c r="J1763" s="12" t="s">
        <v>144</v>
      </c>
      <c r="K1763" s="12" t="s">
        <v>133</v>
      </c>
      <c r="L1763" s="12" t="s">
        <v>96</v>
      </c>
      <c r="M1763">
        <v>5.43</v>
      </c>
      <c r="N1763" s="12" t="s">
        <v>135</v>
      </c>
      <c r="O1763" s="12" t="s">
        <v>136</v>
      </c>
      <c r="P1763" s="12" t="s">
        <v>137</v>
      </c>
      <c r="Q1763" s="13">
        <v>45281</v>
      </c>
      <c r="R1763" s="13">
        <v>45302</v>
      </c>
      <c r="S1763">
        <v>2023</v>
      </c>
      <c r="T1763" s="12" t="s">
        <v>2336</v>
      </c>
      <c r="U1763">
        <v>81</v>
      </c>
      <c r="V1763">
        <v>306.86939999999998</v>
      </c>
      <c r="W1763">
        <v>633.51</v>
      </c>
      <c r="X1763">
        <v>0</v>
      </c>
      <c r="Y1763">
        <v>0</v>
      </c>
      <c r="Z1763">
        <v>24856.42</v>
      </c>
      <c r="AA1763">
        <v>25489.93</v>
      </c>
      <c r="AB1763" s="12" t="s">
        <v>1044</v>
      </c>
      <c r="AC1763">
        <v>290.76319999999998</v>
      </c>
      <c r="AD1763">
        <v>1</v>
      </c>
      <c r="AE1763">
        <v>1</v>
      </c>
      <c r="AF1763">
        <v>1304.5999999999999</v>
      </c>
      <c r="AG1763">
        <v>23551.82</v>
      </c>
      <c r="AH1763">
        <v>81</v>
      </c>
      <c r="AI1763">
        <v>80</v>
      </c>
      <c r="AJ1763">
        <v>1</v>
      </c>
      <c r="AK1763">
        <v>1</v>
      </c>
      <c r="AL1763">
        <v>1</v>
      </c>
      <c r="AM1763">
        <v>98.77</v>
      </c>
      <c r="AN1763">
        <v>318.6241</v>
      </c>
      <c r="AO1763">
        <v>306.87</v>
      </c>
      <c r="AP1763" s="13">
        <v>45304</v>
      </c>
      <c r="AQ1763">
        <v>2</v>
      </c>
      <c r="AR1763">
        <v>0</v>
      </c>
    </row>
    <row r="1764" spans="1:44" x14ac:dyDescent="0.35">
      <c r="A1764" s="12" t="s">
        <v>2463</v>
      </c>
      <c r="B1764" s="12" t="s">
        <v>472</v>
      </c>
      <c r="C1764" s="12" t="s">
        <v>473</v>
      </c>
      <c r="D1764" s="12" t="s">
        <v>122</v>
      </c>
      <c r="E1764" s="12" t="s">
        <v>142</v>
      </c>
      <c r="F1764">
        <v>2</v>
      </c>
      <c r="G1764">
        <v>9</v>
      </c>
      <c r="H1764">
        <v>0</v>
      </c>
      <c r="I1764" s="12" t="s">
        <v>209</v>
      </c>
      <c r="J1764" s="12" t="s">
        <v>210</v>
      </c>
      <c r="K1764" s="12" t="s">
        <v>133</v>
      </c>
      <c r="L1764" s="12" t="s">
        <v>96</v>
      </c>
      <c r="M1764">
        <v>7.82</v>
      </c>
      <c r="N1764" s="12" t="s">
        <v>97</v>
      </c>
      <c r="O1764" s="12" t="s">
        <v>98</v>
      </c>
      <c r="P1764" s="12" t="s">
        <v>72</v>
      </c>
      <c r="Q1764" s="13">
        <v>45282</v>
      </c>
      <c r="R1764" s="13">
        <v>45331</v>
      </c>
      <c r="S1764">
        <v>2023</v>
      </c>
      <c r="T1764" s="12" t="s">
        <v>2336</v>
      </c>
      <c r="U1764">
        <v>1655</v>
      </c>
      <c r="V1764">
        <v>48.7896</v>
      </c>
      <c r="W1764">
        <v>1931.35</v>
      </c>
      <c r="X1764">
        <v>0</v>
      </c>
      <c r="Y1764">
        <v>0</v>
      </c>
      <c r="Z1764">
        <v>80746.789999999994</v>
      </c>
      <c r="AA1764">
        <v>82678.14</v>
      </c>
      <c r="AB1764" s="12" t="s">
        <v>474</v>
      </c>
      <c r="AC1764">
        <v>48.7896</v>
      </c>
      <c r="AD1764">
        <v>1</v>
      </c>
      <c r="AE1764">
        <v>1</v>
      </c>
      <c r="AF1764">
        <v>0</v>
      </c>
      <c r="AG1764">
        <v>80746.789999999994</v>
      </c>
      <c r="AH1764">
        <v>1655</v>
      </c>
      <c r="AI1764">
        <v>1650</v>
      </c>
      <c r="AJ1764">
        <v>5</v>
      </c>
      <c r="AK1764">
        <v>1</v>
      </c>
      <c r="AL1764">
        <v>1</v>
      </c>
      <c r="AM1764">
        <v>99.7</v>
      </c>
      <c r="AN1764">
        <v>50.107999999999997</v>
      </c>
      <c r="AO1764">
        <v>243.95</v>
      </c>
      <c r="AP1764" s="13">
        <v>45328</v>
      </c>
      <c r="AQ1764">
        <v>-3</v>
      </c>
      <c r="AR1764">
        <v>1</v>
      </c>
    </row>
    <row r="1765" spans="1:44" x14ac:dyDescent="0.35">
      <c r="A1765" s="12" t="s">
        <v>2464</v>
      </c>
      <c r="B1765" s="12" t="s">
        <v>1068</v>
      </c>
      <c r="C1765" s="12" t="s">
        <v>1069</v>
      </c>
      <c r="D1765" s="12" t="s">
        <v>122</v>
      </c>
      <c r="E1765" s="12" t="s">
        <v>65</v>
      </c>
      <c r="F1765">
        <v>2</v>
      </c>
      <c r="G1765">
        <v>2</v>
      </c>
      <c r="H1765">
        <v>0</v>
      </c>
      <c r="I1765" s="12" t="s">
        <v>79</v>
      </c>
      <c r="J1765" s="12" t="s">
        <v>80</v>
      </c>
      <c r="K1765" s="12" t="s">
        <v>81</v>
      </c>
      <c r="L1765" s="12" t="s">
        <v>82</v>
      </c>
      <c r="M1765">
        <v>12.07</v>
      </c>
      <c r="N1765" s="12" t="s">
        <v>97</v>
      </c>
      <c r="O1765" s="12" t="s">
        <v>98</v>
      </c>
      <c r="P1765" s="12" t="s">
        <v>72</v>
      </c>
      <c r="Q1765" s="13">
        <v>45282</v>
      </c>
      <c r="R1765" s="13">
        <v>45319</v>
      </c>
      <c r="S1765">
        <v>2023</v>
      </c>
      <c r="T1765" s="12" t="s">
        <v>2336</v>
      </c>
      <c r="U1765">
        <v>1866</v>
      </c>
      <c r="V1765">
        <v>20.424099999999999</v>
      </c>
      <c r="W1765">
        <v>942.9</v>
      </c>
      <c r="X1765">
        <v>0</v>
      </c>
      <c r="Y1765">
        <v>0</v>
      </c>
      <c r="Z1765">
        <v>38111.370000000003</v>
      </c>
      <c r="AA1765">
        <v>39054.269999999997</v>
      </c>
      <c r="AB1765" s="12" t="s">
        <v>1070</v>
      </c>
      <c r="AC1765">
        <v>21.667100000000001</v>
      </c>
      <c r="AD1765">
        <v>1</v>
      </c>
      <c r="AE1765">
        <v>1</v>
      </c>
      <c r="AF1765">
        <v>-2319.44</v>
      </c>
      <c r="AG1765">
        <v>40430.81</v>
      </c>
      <c r="AH1765">
        <v>1866</v>
      </c>
      <c r="AI1765">
        <v>1846</v>
      </c>
      <c r="AJ1765">
        <v>20</v>
      </c>
      <c r="AK1765">
        <v>1</v>
      </c>
      <c r="AL1765">
        <v>1</v>
      </c>
      <c r="AM1765">
        <v>98.93</v>
      </c>
      <c r="AN1765">
        <v>21.156199999999998</v>
      </c>
      <c r="AO1765">
        <v>408.48</v>
      </c>
      <c r="AP1765" s="13">
        <v>45318</v>
      </c>
      <c r="AQ1765">
        <v>-1</v>
      </c>
      <c r="AR1765">
        <v>1</v>
      </c>
    </row>
    <row r="1766" spans="1:44" x14ac:dyDescent="0.35">
      <c r="A1766" s="12" t="s">
        <v>2465</v>
      </c>
      <c r="B1766" s="12" t="s">
        <v>621</v>
      </c>
      <c r="C1766" s="12" t="s">
        <v>622</v>
      </c>
      <c r="D1766" s="12" t="s">
        <v>103</v>
      </c>
      <c r="E1766" s="12" t="s">
        <v>65</v>
      </c>
      <c r="F1766">
        <v>1</v>
      </c>
      <c r="G1766">
        <v>2</v>
      </c>
      <c r="H1766">
        <v>1</v>
      </c>
      <c r="I1766" s="12" t="s">
        <v>486</v>
      </c>
      <c r="J1766" s="12" t="s">
        <v>487</v>
      </c>
      <c r="K1766" s="12" t="s">
        <v>125</v>
      </c>
      <c r="L1766" s="12" t="s">
        <v>69</v>
      </c>
      <c r="M1766">
        <v>36.86</v>
      </c>
      <c r="N1766" s="12" t="s">
        <v>107</v>
      </c>
      <c r="O1766" s="12" t="s">
        <v>108</v>
      </c>
      <c r="P1766" s="12" t="s">
        <v>109</v>
      </c>
      <c r="Q1766" s="13">
        <v>45282</v>
      </c>
      <c r="R1766" s="13">
        <v>45304</v>
      </c>
      <c r="S1766">
        <v>2023</v>
      </c>
      <c r="T1766" s="12" t="s">
        <v>2336</v>
      </c>
      <c r="U1766">
        <v>19</v>
      </c>
      <c r="V1766">
        <v>201.42019999999999</v>
      </c>
      <c r="W1766">
        <v>88.63</v>
      </c>
      <c r="X1766">
        <v>0</v>
      </c>
      <c r="Y1766">
        <v>0</v>
      </c>
      <c r="Z1766">
        <v>3826.98</v>
      </c>
      <c r="AA1766">
        <v>3915.61</v>
      </c>
      <c r="AB1766" s="12" t="s">
        <v>623</v>
      </c>
      <c r="AC1766">
        <v>201.42019999999999</v>
      </c>
      <c r="AD1766">
        <v>1</v>
      </c>
      <c r="AE1766">
        <v>1</v>
      </c>
      <c r="AF1766">
        <v>0</v>
      </c>
      <c r="AG1766">
        <v>3826.98</v>
      </c>
      <c r="AH1766">
        <v>19</v>
      </c>
      <c r="AI1766">
        <v>19</v>
      </c>
      <c r="AJ1766">
        <v>0</v>
      </c>
      <c r="AK1766">
        <v>1</v>
      </c>
      <c r="AL1766">
        <v>1</v>
      </c>
      <c r="AM1766">
        <v>100</v>
      </c>
      <c r="AN1766">
        <v>206.0849</v>
      </c>
      <c r="AO1766">
        <v>0</v>
      </c>
      <c r="AP1766" s="13">
        <v>45304</v>
      </c>
      <c r="AQ1766">
        <v>0</v>
      </c>
      <c r="AR1766">
        <v>1</v>
      </c>
    </row>
    <row r="1767" spans="1:44" x14ac:dyDescent="0.35">
      <c r="A1767" s="12" t="s">
        <v>2466</v>
      </c>
      <c r="B1767" s="12" t="s">
        <v>249</v>
      </c>
      <c r="C1767" s="12" t="s">
        <v>250</v>
      </c>
      <c r="D1767" s="12" t="s">
        <v>64</v>
      </c>
      <c r="E1767" s="12" t="s">
        <v>65</v>
      </c>
      <c r="F1767">
        <v>2</v>
      </c>
      <c r="G1767">
        <v>3</v>
      </c>
      <c r="H1767">
        <v>0</v>
      </c>
      <c r="I1767" s="12" t="s">
        <v>183</v>
      </c>
      <c r="J1767" s="12" t="s">
        <v>184</v>
      </c>
      <c r="K1767" s="12" t="s">
        <v>133</v>
      </c>
      <c r="L1767" s="12" t="s">
        <v>82</v>
      </c>
      <c r="M1767">
        <v>8.6199999999999992</v>
      </c>
      <c r="N1767" s="12" t="s">
        <v>97</v>
      </c>
      <c r="O1767" s="12" t="s">
        <v>98</v>
      </c>
      <c r="P1767" s="12" t="s">
        <v>72</v>
      </c>
      <c r="Q1767" s="13">
        <v>45282</v>
      </c>
      <c r="R1767" s="13">
        <v>45315</v>
      </c>
      <c r="S1767">
        <v>2023</v>
      </c>
      <c r="T1767" s="12" t="s">
        <v>2336</v>
      </c>
      <c r="U1767">
        <v>720</v>
      </c>
      <c r="V1767">
        <v>10.6486</v>
      </c>
      <c r="W1767">
        <v>168.87</v>
      </c>
      <c r="X1767">
        <v>0</v>
      </c>
      <c r="Y1767">
        <v>0</v>
      </c>
      <c r="Z1767">
        <v>7666.99</v>
      </c>
      <c r="AA1767">
        <v>7835.86</v>
      </c>
      <c r="AB1767" s="12" t="s">
        <v>2127</v>
      </c>
      <c r="AC1767">
        <v>10.6486</v>
      </c>
      <c r="AD1767">
        <v>1</v>
      </c>
      <c r="AE1767">
        <v>1</v>
      </c>
      <c r="AF1767">
        <v>0</v>
      </c>
      <c r="AG1767">
        <v>7666.99</v>
      </c>
      <c r="AH1767">
        <v>720</v>
      </c>
      <c r="AI1767">
        <v>715</v>
      </c>
      <c r="AJ1767">
        <v>5</v>
      </c>
      <c r="AK1767">
        <v>1</v>
      </c>
      <c r="AL1767">
        <v>1</v>
      </c>
      <c r="AM1767">
        <v>99.31</v>
      </c>
      <c r="AN1767">
        <v>10.959199999999999</v>
      </c>
      <c r="AO1767">
        <v>53.24</v>
      </c>
      <c r="AP1767" s="13">
        <v>45313</v>
      </c>
      <c r="AQ1767">
        <v>-2</v>
      </c>
      <c r="AR1767">
        <v>1</v>
      </c>
    </row>
    <row r="1768" spans="1:44" x14ac:dyDescent="0.35">
      <c r="A1768" s="12" t="s">
        <v>2467</v>
      </c>
      <c r="B1768" s="12" t="s">
        <v>92</v>
      </c>
      <c r="C1768" s="12" t="s">
        <v>93</v>
      </c>
      <c r="D1768" s="12" t="s">
        <v>64</v>
      </c>
      <c r="E1768" s="12" t="s">
        <v>65</v>
      </c>
      <c r="F1768">
        <v>3</v>
      </c>
      <c r="G1768">
        <v>5</v>
      </c>
      <c r="H1768">
        <v>0</v>
      </c>
      <c r="I1768" s="12" t="s">
        <v>94</v>
      </c>
      <c r="J1768" s="12" t="s">
        <v>95</v>
      </c>
      <c r="K1768" s="12" t="s">
        <v>81</v>
      </c>
      <c r="L1768" s="12" t="s">
        <v>96</v>
      </c>
      <c r="M1768">
        <v>4.8099999999999996</v>
      </c>
      <c r="N1768" s="12" t="s">
        <v>70</v>
      </c>
      <c r="O1768" s="12" t="s">
        <v>71</v>
      </c>
      <c r="P1768" s="12" t="s">
        <v>72</v>
      </c>
      <c r="Q1768" s="13">
        <v>45282</v>
      </c>
      <c r="R1768" s="13">
        <v>45316</v>
      </c>
      <c r="S1768">
        <v>2023</v>
      </c>
      <c r="T1768" s="12" t="s">
        <v>2336</v>
      </c>
      <c r="U1768">
        <v>780</v>
      </c>
      <c r="V1768">
        <v>25.883199999999999</v>
      </c>
      <c r="W1768">
        <v>157.11000000000001</v>
      </c>
      <c r="X1768">
        <v>0</v>
      </c>
      <c r="Y1768">
        <v>0</v>
      </c>
      <c r="Z1768">
        <v>20188.900000000001</v>
      </c>
      <c r="AA1768">
        <v>20346.009999999998</v>
      </c>
      <c r="AB1768" s="12" t="s">
        <v>99</v>
      </c>
      <c r="AC1768">
        <v>24.617899999999999</v>
      </c>
      <c r="AD1768">
        <v>1</v>
      </c>
      <c r="AE1768">
        <v>1</v>
      </c>
      <c r="AF1768">
        <v>986.93</v>
      </c>
      <c r="AG1768">
        <v>19201.96</v>
      </c>
      <c r="AH1768">
        <v>780</v>
      </c>
      <c r="AI1768">
        <v>776</v>
      </c>
      <c r="AJ1768">
        <v>4</v>
      </c>
      <c r="AK1768">
        <v>1</v>
      </c>
      <c r="AL1768">
        <v>1</v>
      </c>
      <c r="AM1768">
        <v>99.49</v>
      </c>
      <c r="AN1768">
        <v>26.219100000000001</v>
      </c>
      <c r="AO1768">
        <v>103.53</v>
      </c>
      <c r="AP1768" s="13">
        <v>45316</v>
      </c>
      <c r="AQ1768">
        <v>0</v>
      </c>
      <c r="AR1768">
        <v>1</v>
      </c>
    </row>
    <row r="1769" spans="1:44" x14ac:dyDescent="0.35">
      <c r="A1769" s="12" t="s">
        <v>2468</v>
      </c>
      <c r="B1769" s="12" t="s">
        <v>289</v>
      </c>
      <c r="C1769" s="12" t="s">
        <v>290</v>
      </c>
      <c r="D1769" s="12" t="s">
        <v>175</v>
      </c>
      <c r="E1769" s="12" t="s">
        <v>104</v>
      </c>
      <c r="F1769">
        <v>3</v>
      </c>
      <c r="G1769">
        <v>1</v>
      </c>
      <c r="H1769">
        <v>0</v>
      </c>
      <c r="I1769" s="12" t="s">
        <v>209</v>
      </c>
      <c r="J1769" s="12" t="s">
        <v>210</v>
      </c>
      <c r="K1769" s="12" t="s">
        <v>133</v>
      </c>
      <c r="L1769" s="12" t="s">
        <v>96</v>
      </c>
      <c r="M1769">
        <v>7.82</v>
      </c>
      <c r="N1769" s="12" t="s">
        <v>145</v>
      </c>
      <c r="O1769" s="12" t="s">
        <v>146</v>
      </c>
      <c r="P1769" s="12" t="s">
        <v>109</v>
      </c>
      <c r="Q1769" s="13">
        <v>45282</v>
      </c>
      <c r="R1769" s="13">
        <v>45310</v>
      </c>
      <c r="S1769">
        <v>2023</v>
      </c>
      <c r="T1769" s="12" t="s">
        <v>2336</v>
      </c>
      <c r="U1769">
        <v>137</v>
      </c>
      <c r="V1769">
        <v>213.71289999999999</v>
      </c>
      <c r="W1769">
        <v>339</v>
      </c>
      <c r="X1769">
        <v>0</v>
      </c>
      <c r="Y1769">
        <v>0</v>
      </c>
      <c r="Z1769">
        <v>29278.67</v>
      </c>
      <c r="AA1769">
        <v>29617.67</v>
      </c>
      <c r="AB1769" s="12" t="s">
        <v>201</v>
      </c>
      <c r="AD1769">
        <v>0</v>
      </c>
      <c r="AE1769">
        <v>0</v>
      </c>
      <c r="AH1769">
        <v>137</v>
      </c>
      <c r="AI1769">
        <v>136</v>
      </c>
      <c r="AJ1769">
        <v>1</v>
      </c>
      <c r="AK1769">
        <v>1</v>
      </c>
      <c r="AL1769">
        <v>1</v>
      </c>
      <c r="AM1769">
        <v>99.27</v>
      </c>
      <c r="AN1769">
        <v>217.77699999999999</v>
      </c>
      <c r="AO1769">
        <v>213.71</v>
      </c>
      <c r="AP1769" s="13">
        <v>45307</v>
      </c>
      <c r="AQ1769">
        <v>-3</v>
      </c>
      <c r="AR1769">
        <v>1</v>
      </c>
    </row>
    <row r="1770" spans="1:44" x14ac:dyDescent="0.35">
      <c r="A1770" s="12" t="s">
        <v>2469</v>
      </c>
      <c r="B1770" s="12" t="s">
        <v>1166</v>
      </c>
      <c r="C1770" s="12" t="s">
        <v>1167</v>
      </c>
      <c r="D1770" s="12" t="s">
        <v>175</v>
      </c>
      <c r="E1770" s="12" t="s">
        <v>65</v>
      </c>
      <c r="F1770">
        <v>3</v>
      </c>
      <c r="G1770">
        <v>5</v>
      </c>
      <c r="H1770">
        <v>0</v>
      </c>
      <c r="I1770" s="12" t="s">
        <v>143</v>
      </c>
      <c r="J1770" s="12" t="s">
        <v>144</v>
      </c>
      <c r="K1770" s="12" t="s">
        <v>133</v>
      </c>
      <c r="L1770" s="12" t="s">
        <v>96</v>
      </c>
      <c r="M1770">
        <v>5.43</v>
      </c>
      <c r="N1770" s="12" t="s">
        <v>107</v>
      </c>
      <c r="O1770" s="12" t="s">
        <v>108</v>
      </c>
      <c r="P1770" s="12" t="s">
        <v>109</v>
      </c>
      <c r="Q1770" s="13">
        <v>45282</v>
      </c>
      <c r="R1770" s="13">
        <v>45320</v>
      </c>
      <c r="S1770">
        <v>2023</v>
      </c>
      <c r="T1770" s="12" t="s">
        <v>2336</v>
      </c>
      <c r="U1770">
        <v>142</v>
      </c>
      <c r="V1770">
        <v>248.16210000000001</v>
      </c>
      <c r="W1770">
        <v>903.14</v>
      </c>
      <c r="X1770">
        <v>0</v>
      </c>
      <c r="Y1770">
        <v>0</v>
      </c>
      <c r="Z1770">
        <v>35239.019999999997</v>
      </c>
      <c r="AA1770">
        <v>36142.160000000003</v>
      </c>
      <c r="AB1770" s="12" t="s">
        <v>1168</v>
      </c>
      <c r="AC1770">
        <v>248.16210000000001</v>
      </c>
      <c r="AD1770">
        <v>1</v>
      </c>
      <c r="AE1770">
        <v>1</v>
      </c>
      <c r="AF1770">
        <v>0</v>
      </c>
      <c r="AG1770">
        <v>35239.019999999997</v>
      </c>
      <c r="AH1770">
        <v>142</v>
      </c>
      <c r="AI1770">
        <v>141</v>
      </c>
      <c r="AJ1770">
        <v>1</v>
      </c>
      <c r="AK1770">
        <v>1</v>
      </c>
      <c r="AL1770">
        <v>1</v>
      </c>
      <c r="AM1770">
        <v>99.3</v>
      </c>
      <c r="AN1770">
        <v>256.32740000000001</v>
      </c>
      <c r="AO1770">
        <v>248.16</v>
      </c>
      <c r="AP1770" s="13">
        <v>45319</v>
      </c>
      <c r="AQ1770">
        <v>-1</v>
      </c>
      <c r="AR1770">
        <v>1</v>
      </c>
    </row>
    <row r="1771" spans="1:44" x14ac:dyDescent="0.35">
      <c r="A1771" s="12" t="s">
        <v>2470</v>
      </c>
      <c r="B1771" s="12" t="s">
        <v>670</v>
      </c>
      <c r="C1771" s="12" t="s">
        <v>671</v>
      </c>
      <c r="D1771" s="12" t="s">
        <v>175</v>
      </c>
      <c r="E1771" s="12" t="s">
        <v>142</v>
      </c>
      <c r="F1771">
        <v>2</v>
      </c>
      <c r="G1771">
        <v>9</v>
      </c>
      <c r="H1771">
        <v>0</v>
      </c>
      <c r="I1771" s="12" t="s">
        <v>105</v>
      </c>
      <c r="J1771" s="12" t="s">
        <v>106</v>
      </c>
      <c r="K1771" s="12" t="s">
        <v>81</v>
      </c>
      <c r="L1771" s="12" t="s">
        <v>96</v>
      </c>
      <c r="M1771">
        <v>5.01</v>
      </c>
      <c r="N1771" s="12" t="s">
        <v>145</v>
      </c>
      <c r="O1771" s="12" t="s">
        <v>146</v>
      </c>
      <c r="P1771" s="12" t="s">
        <v>109</v>
      </c>
      <c r="Q1771" s="13">
        <v>45282</v>
      </c>
      <c r="R1771" s="13">
        <v>45321</v>
      </c>
      <c r="S1771">
        <v>2023</v>
      </c>
      <c r="T1771" s="12" t="s">
        <v>2336</v>
      </c>
      <c r="U1771">
        <v>47</v>
      </c>
      <c r="V1771">
        <v>151.31620000000001</v>
      </c>
      <c r="W1771">
        <v>138.69</v>
      </c>
      <c r="X1771">
        <v>223.11</v>
      </c>
      <c r="Y1771">
        <v>1</v>
      </c>
      <c r="Z1771">
        <v>7111.86</v>
      </c>
      <c r="AA1771">
        <v>7473.66</v>
      </c>
      <c r="AB1771" s="12" t="s">
        <v>1203</v>
      </c>
      <c r="AC1771">
        <v>151.31620000000001</v>
      </c>
      <c r="AD1771">
        <v>1</v>
      </c>
      <c r="AE1771">
        <v>1</v>
      </c>
      <c r="AF1771">
        <v>0</v>
      </c>
      <c r="AG1771">
        <v>7111.86</v>
      </c>
      <c r="AH1771">
        <v>47</v>
      </c>
      <c r="AI1771">
        <v>47</v>
      </c>
      <c r="AJ1771">
        <v>0</v>
      </c>
      <c r="AK1771">
        <v>1</v>
      </c>
      <c r="AL1771">
        <v>1</v>
      </c>
      <c r="AM1771">
        <v>100</v>
      </c>
      <c r="AN1771">
        <v>159.01410000000001</v>
      </c>
      <c r="AO1771">
        <v>0</v>
      </c>
      <c r="AP1771" s="13">
        <v>45329</v>
      </c>
      <c r="AQ1771">
        <v>8</v>
      </c>
      <c r="AR1771">
        <v>0</v>
      </c>
    </row>
    <row r="1772" spans="1:44" x14ac:dyDescent="0.35">
      <c r="A1772" s="12" t="s">
        <v>2471</v>
      </c>
      <c r="B1772" s="12" t="s">
        <v>680</v>
      </c>
      <c r="C1772" s="12" t="s">
        <v>681</v>
      </c>
      <c r="D1772" s="12" t="s">
        <v>122</v>
      </c>
      <c r="E1772" s="12" t="s">
        <v>104</v>
      </c>
      <c r="F1772">
        <v>3</v>
      </c>
      <c r="G1772">
        <v>1</v>
      </c>
      <c r="H1772">
        <v>0</v>
      </c>
      <c r="I1772" s="12" t="s">
        <v>243</v>
      </c>
      <c r="J1772" s="12" t="s">
        <v>244</v>
      </c>
      <c r="K1772" s="12" t="s">
        <v>81</v>
      </c>
      <c r="L1772" s="12" t="s">
        <v>82</v>
      </c>
      <c r="M1772">
        <v>9.2200000000000006</v>
      </c>
      <c r="N1772" s="12" t="s">
        <v>97</v>
      </c>
      <c r="O1772" s="12" t="s">
        <v>98</v>
      </c>
      <c r="P1772" s="12" t="s">
        <v>72</v>
      </c>
      <c r="Q1772" s="13">
        <v>45285</v>
      </c>
      <c r="R1772" s="13">
        <v>45308</v>
      </c>
      <c r="S1772">
        <v>2023</v>
      </c>
      <c r="T1772" s="12" t="s">
        <v>2336</v>
      </c>
      <c r="U1772">
        <v>1351</v>
      </c>
      <c r="V1772">
        <v>21.91</v>
      </c>
      <c r="W1772">
        <v>508.84</v>
      </c>
      <c r="X1772">
        <v>0</v>
      </c>
      <c r="Y1772">
        <v>0</v>
      </c>
      <c r="Z1772">
        <v>29600.41</v>
      </c>
      <c r="AA1772">
        <v>30109.25</v>
      </c>
      <c r="AB1772" s="12" t="s">
        <v>682</v>
      </c>
      <c r="AC1772">
        <v>23.246099999999998</v>
      </c>
      <c r="AD1772">
        <v>1</v>
      </c>
      <c r="AE1772">
        <v>1</v>
      </c>
      <c r="AF1772">
        <v>-1805.07</v>
      </c>
      <c r="AG1772">
        <v>31405.48</v>
      </c>
      <c r="AH1772">
        <v>1351</v>
      </c>
      <c r="AI1772">
        <v>1336</v>
      </c>
      <c r="AJ1772">
        <v>15</v>
      </c>
      <c r="AK1772">
        <v>1</v>
      </c>
      <c r="AL1772">
        <v>1</v>
      </c>
      <c r="AM1772">
        <v>98.89</v>
      </c>
      <c r="AN1772">
        <v>22.536899999999999</v>
      </c>
      <c r="AO1772">
        <v>328.65</v>
      </c>
      <c r="AP1772" s="13">
        <v>45312</v>
      </c>
      <c r="AQ1772">
        <v>4</v>
      </c>
      <c r="AR1772">
        <v>0</v>
      </c>
    </row>
    <row r="1773" spans="1:44" x14ac:dyDescent="0.35">
      <c r="A1773" s="12" t="s">
        <v>2472</v>
      </c>
      <c r="B1773" s="12" t="s">
        <v>537</v>
      </c>
      <c r="C1773" s="12" t="s">
        <v>538</v>
      </c>
      <c r="D1773" s="12" t="s">
        <v>103</v>
      </c>
      <c r="E1773" s="12" t="s">
        <v>104</v>
      </c>
      <c r="F1773">
        <v>3</v>
      </c>
      <c r="G1773">
        <v>0</v>
      </c>
      <c r="H1773">
        <v>0</v>
      </c>
      <c r="I1773" s="12" t="s">
        <v>380</v>
      </c>
      <c r="J1773" s="12" t="s">
        <v>381</v>
      </c>
      <c r="K1773" s="12" t="s">
        <v>89</v>
      </c>
      <c r="L1773" s="12" t="s">
        <v>96</v>
      </c>
      <c r="M1773">
        <v>10.210000000000001</v>
      </c>
      <c r="N1773" s="12" t="s">
        <v>145</v>
      </c>
      <c r="O1773" s="12" t="s">
        <v>146</v>
      </c>
      <c r="P1773" s="12" t="s">
        <v>109</v>
      </c>
      <c r="Q1773" s="13">
        <v>45285</v>
      </c>
      <c r="R1773" s="13">
        <v>45301</v>
      </c>
      <c r="S1773">
        <v>2023</v>
      </c>
      <c r="T1773" s="12" t="s">
        <v>2336</v>
      </c>
      <c r="U1773">
        <v>41</v>
      </c>
      <c r="V1773">
        <v>252.33070000000001</v>
      </c>
      <c r="W1773">
        <v>155.27000000000001</v>
      </c>
      <c r="X1773">
        <v>0</v>
      </c>
      <c r="Y1773">
        <v>0</v>
      </c>
      <c r="Z1773">
        <v>10345.56</v>
      </c>
      <c r="AA1773">
        <v>10500.83</v>
      </c>
      <c r="AB1773" s="12" t="s">
        <v>539</v>
      </c>
      <c r="AC1773">
        <v>242.5684</v>
      </c>
      <c r="AD1773">
        <v>1</v>
      </c>
      <c r="AE1773">
        <v>1</v>
      </c>
      <c r="AF1773">
        <v>400.25</v>
      </c>
      <c r="AG1773">
        <v>9945.2999999999993</v>
      </c>
      <c r="AH1773">
        <v>41</v>
      </c>
      <c r="AI1773">
        <v>41</v>
      </c>
      <c r="AJ1773">
        <v>0</v>
      </c>
      <c r="AK1773">
        <v>1</v>
      </c>
      <c r="AL1773">
        <v>1</v>
      </c>
      <c r="AM1773">
        <v>100</v>
      </c>
      <c r="AN1773">
        <v>256.11779999999999</v>
      </c>
      <c r="AO1773">
        <v>0</v>
      </c>
      <c r="AP1773" s="13">
        <v>45300</v>
      </c>
      <c r="AQ1773">
        <v>-1</v>
      </c>
      <c r="AR1773">
        <v>1</v>
      </c>
    </row>
    <row r="1774" spans="1:44" x14ac:dyDescent="0.35">
      <c r="A1774" s="12" t="s">
        <v>2473</v>
      </c>
      <c r="B1774" s="12" t="s">
        <v>347</v>
      </c>
      <c r="C1774" s="12" t="s">
        <v>348</v>
      </c>
      <c r="D1774" s="12" t="s">
        <v>78</v>
      </c>
      <c r="E1774" s="12" t="s">
        <v>104</v>
      </c>
      <c r="F1774">
        <v>3</v>
      </c>
      <c r="G1774">
        <v>1</v>
      </c>
      <c r="H1774">
        <v>0</v>
      </c>
      <c r="I1774" s="12" t="s">
        <v>105</v>
      </c>
      <c r="J1774" s="12" t="s">
        <v>106</v>
      </c>
      <c r="K1774" s="12" t="s">
        <v>81</v>
      </c>
      <c r="L1774" s="12" t="s">
        <v>96</v>
      </c>
      <c r="M1774">
        <v>5.01</v>
      </c>
      <c r="N1774" s="12" t="s">
        <v>97</v>
      </c>
      <c r="O1774" s="12" t="s">
        <v>98</v>
      </c>
      <c r="P1774" s="12" t="s">
        <v>72</v>
      </c>
      <c r="Q1774" s="13">
        <v>45285</v>
      </c>
      <c r="R1774" s="13">
        <v>45299</v>
      </c>
      <c r="S1774">
        <v>2023</v>
      </c>
      <c r="T1774" s="12" t="s">
        <v>2336</v>
      </c>
      <c r="U1774">
        <v>76</v>
      </c>
      <c r="V1774">
        <v>100.34050000000001</v>
      </c>
      <c r="W1774">
        <v>91.87</v>
      </c>
      <c r="X1774">
        <v>0</v>
      </c>
      <c r="Y1774">
        <v>0</v>
      </c>
      <c r="Z1774">
        <v>7625.88</v>
      </c>
      <c r="AA1774">
        <v>7717.75</v>
      </c>
      <c r="AB1774" s="12" t="s">
        <v>841</v>
      </c>
      <c r="AC1774">
        <v>100.34050000000001</v>
      </c>
      <c r="AD1774">
        <v>1</v>
      </c>
      <c r="AE1774">
        <v>1</v>
      </c>
      <c r="AF1774">
        <v>0</v>
      </c>
      <c r="AG1774">
        <v>7625.88</v>
      </c>
      <c r="AH1774">
        <v>76</v>
      </c>
      <c r="AI1774">
        <v>74</v>
      </c>
      <c r="AJ1774">
        <v>2</v>
      </c>
      <c r="AK1774">
        <v>1</v>
      </c>
      <c r="AL1774">
        <v>1</v>
      </c>
      <c r="AM1774">
        <v>97.37</v>
      </c>
      <c r="AN1774">
        <v>104.29389999999999</v>
      </c>
      <c r="AO1774">
        <v>200.68</v>
      </c>
      <c r="AP1774" s="13">
        <v>45297</v>
      </c>
      <c r="AQ1774">
        <v>-2</v>
      </c>
      <c r="AR1774">
        <v>1</v>
      </c>
    </row>
    <row r="1775" spans="1:44" x14ac:dyDescent="0.35">
      <c r="A1775" s="12" t="s">
        <v>2474</v>
      </c>
      <c r="B1775" s="12" t="s">
        <v>395</v>
      </c>
      <c r="C1775" s="12" t="s">
        <v>396</v>
      </c>
      <c r="D1775" s="12" t="s">
        <v>130</v>
      </c>
      <c r="E1775" s="12" t="s">
        <v>104</v>
      </c>
      <c r="F1775">
        <v>3</v>
      </c>
      <c r="G1775">
        <v>1</v>
      </c>
      <c r="H1775">
        <v>0</v>
      </c>
      <c r="I1775" s="12" t="s">
        <v>341</v>
      </c>
      <c r="J1775" s="12" t="s">
        <v>342</v>
      </c>
      <c r="K1775" s="12" t="s">
        <v>117</v>
      </c>
      <c r="L1775" s="12" t="s">
        <v>82</v>
      </c>
      <c r="M1775">
        <v>18.36</v>
      </c>
      <c r="N1775" s="12" t="s">
        <v>159</v>
      </c>
      <c r="O1775" s="12" t="s">
        <v>160</v>
      </c>
      <c r="P1775" s="12" t="s">
        <v>137</v>
      </c>
      <c r="Q1775" s="13">
        <v>45285</v>
      </c>
      <c r="R1775" s="13">
        <v>45306</v>
      </c>
      <c r="S1775">
        <v>2023</v>
      </c>
      <c r="T1775" s="12" t="s">
        <v>2336</v>
      </c>
      <c r="U1775">
        <v>86</v>
      </c>
      <c r="V1775">
        <v>190.43799999999999</v>
      </c>
      <c r="W1775">
        <v>191.36</v>
      </c>
      <c r="X1775">
        <v>0</v>
      </c>
      <c r="Y1775">
        <v>0</v>
      </c>
      <c r="Z1775">
        <v>16377.67</v>
      </c>
      <c r="AA1775">
        <v>16569.03</v>
      </c>
      <c r="AB1775" s="12" t="s">
        <v>397</v>
      </c>
      <c r="AC1775">
        <v>190.43799999999999</v>
      </c>
      <c r="AD1775">
        <v>1</v>
      </c>
      <c r="AE1775">
        <v>1</v>
      </c>
      <c r="AF1775">
        <v>0</v>
      </c>
      <c r="AG1775">
        <v>16377.67</v>
      </c>
      <c r="AH1775">
        <v>86</v>
      </c>
      <c r="AI1775">
        <v>85</v>
      </c>
      <c r="AJ1775">
        <v>1</v>
      </c>
      <c r="AK1775">
        <v>1</v>
      </c>
      <c r="AL1775">
        <v>1</v>
      </c>
      <c r="AM1775">
        <v>98.84</v>
      </c>
      <c r="AN1775">
        <v>194.9297</v>
      </c>
      <c r="AO1775">
        <v>190.44</v>
      </c>
      <c r="AP1775" s="13">
        <v>45304</v>
      </c>
      <c r="AQ1775">
        <v>-2</v>
      </c>
      <c r="AR1775">
        <v>1</v>
      </c>
    </row>
    <row r="1776" spans="1:44" x14ac:dyDescent="0.35">
      <c r="A1776" s="12" t="s">
        <v>2475</v>
      </c>
      <c r="B1776" s="12" t="s">
        <v>472</v>
      </c>
      <c r="C1776" s="12" t="s">
        <v>473</v>
      </c>
      <c r="D1776" s="12" t="s">
        <v>122</v>
      </c>
      <c r="E1776" s="12" t="s">
        <v>142</v>
      </c>
      <c r="F1776">
        <v>2</v>
      </c>
      <c r="G1776">
        <v>9</v>
      </c>
      <c r="H1776">
        <v>0</v>
      </c>
      <c r="I1776" s="12" t="s">
        <v>209</v>
      </c>
      <c r="J1776" s="12" t="s">
        <v>210</v>
      </c>
      <c r="K1776" s="12" t="s">
        <v>133</v>
      </c>
      <c r="L1776" s="12" t="s">
        <v>96</v>
      </c>
      <c r="M1776">
        <v>7.82</v>
      </c>
      <c r="N1776" s="12" t="s">
        <v>70</v>
      </c>
      <c r="O1776" s="12" t="s">
        <v>71</v>
      </c>
      <c r="P1776" s="12" t="s">
        <v>72</v>
      </c>
      <c r="Q1776" s="13">
        <v>45285</v>
      </c>
      <c r="R1776" s="13">
        <v>45329</v>
      </c>
      <c r="S1776">
        <v>2023</v>
      </c>
      <c r="T1776" s="12" t="s">
        <v>2336</v>
      </c>
      <c r="U1776">
        <v>1133</v>
      </c>
      <c r="V1776">
        <v>50.123899999999999</v>
      </c>
      <c r="W1776">
        <v>435.11</v>
      </c>
      <c r="X1776">
        <v>0</v>
      </c>
      <c r="Y1776">
        <v>0</v>
      </c>
      <c r="Z1776">
        <v>56790.38</v>
      </c>
      <c r="AA1776">
        <v>57225.49</v>
      </c>
      <c r="AB1776" s="12" t="s">
        <v>474</v>
      </c>
      <c r="AC1776">
        <v>48.7896</v>
      </c>
      <c r="AD1776">
        <v>1</v>
      </c>
      <c r="AE1776">
        <v>1</v>
      </c>
      <c r="AF1776">
        <v>1511.76</v>
      </c>
      <c r="AG1776">
        <v>55278.62</v>
      </c>
      <c r="AH1776">
        <v>1133</v>
      </c>
      <c r="AI1776">
        <v>1125</v>
      </c>
      <c r="AJ1776">
        <v>8</v>
      </c>
      <c r="AK1776">
        <v>1</v>
      </c>
      <c r="AL1776">
        <v>1</v>
      </c>
      <c r="AM1776">
        <v>99.29</v>
      </c>
      <c r="AN1776">
        <v>50.867100000000001</v>
      </c>
      <c r="AO1776">
        <v>400.99</v>
      </c>
      <c r="AP1776" s="13">
        <v>45327</v>
      </c>
      <c r="AQ1776">
        <v>-2</v>
      </c>
      <c r="AR1776">
        <v>1</v>
      </c>
    </row>
    <row r="1777" spans="1:44" x14ac:dyDescent="0.35">
      <c r="A1777" s="12" t="s">
        <v>2476</v>
      </c>
      <c r="B1777" s="12" t="s">
        <v>646</v>
      </c>
      <c r="C1777" s="12" t="s">
        <v>647</v>
      </c>
      <c r="D1777" s="12" t="s">
        <v>175</v>
      </c>
      <c r="E1777" s="12" t="s">
        <v>104</v>
      </c>
      <c r="F1777">
        <v>3</v>
      </c>
      <c r="G1777">
        <v>1</v>
      </c>
      <c r="H1777">
        <v>0</v>
      </c>
      <c r="I1777" s="12" t="s">
        <v>227</v>
      </c>
      <c r="J1777" s="12" t="s">
        <v>228</v>
      </c>
      <c r="K1777" s="12" t="s">
        <v>89</v>
      </c>
      <c r="L1777" s="12" t="s">
        <v>96</v>
      </c>
      <c r="M1777">
        <v>9.15</v>
      </c>
      <c r="N1777" s="12" t="s">
        <v>107</v>
      </c>
      <c r="O1777" s="12" t="s">
        <v>108</v>
      </c>
      <c r="P1777" s="12" t="s">
        <v>109</v>
      </c>
      <c r="Q1777" s="13">
        <v>45285</v>
      </c>
      <c r="R1777" s="13">
        <v>45300</v>
      </c>
      <c r="S1777">
        <v>2023</v>
      </c>
      <c r="T1777" s="12" t="s">
        <v>2336</v>
      </c>
      <c r="U1777">
        <v>40</v>
      </c>
      <c r="V1777">
        <v>216.21350000000001</v>
      </c>
      <c r="W1777">
        <v>190.23</v>
      </c>
      <c r="X1777">
        <v>0</v>
      </c>
      <c r="Y1777">
        <v>0</v>
      </c>
      <c r="Z1777">
        <v>8648.5400000000009</v>
      </c>
      <c r="AA1777">
        <v>8838.77</v>
      </c>
      <c r="AB1777" s="12" t="s">
        <v>781</v>
      </c>
      <c r="AC1777">
        <v>216.21350000000001</v>
      </c>
      <c r="AD1777">
        <v>1</v>
      </c>
      <c r="AE1777">
        <v>1</v>
      </c>
      <c r="AF1777">
        <v>0</v>
      </c>
      <c r="AG1777">
        <v>8648.5400000000009</v>
      </c>
      <c r="AH1777">
        <v>40</v>
      </c>
      <c r="AI1777">
        <v>40</v>
      </c>
      <c r="AJ1777">
        <v>0</v>
      </c>
      <c r="AK1777">
        <v>1</v>
      </c>
      <c r="AL1777">
        <v>1</v>
      </c>
      <c r="AM1777">
        <v>100</v>
      </c>
      <c r="AN1777">
        <v>220.9693</v>
      </c>
      <c r="AO1777">
        <v>0</v>
      </c>
      <c r="AP1777" s="13">
        <v>45298</v>
      </c>
      <c r="AQ1777">
        <v>-2</v>
      </c>
      <c r="AR1777">
        <v>1</v>
      </c>
    </row>
    <row r="1778" spans="1:44" x14ac:dyDescent="0.35">
      <c r="A1778" s="12" t="s">
        <v>2477</v>
      </c>
      <c r="B1778" s="12" t="s">
        <v>331</v>
      </c>
      <c r="C1778" s="12" t="s">
        <v>332</v>
      </c>
      <c r="D1778" s="12" t="s">
        <v>122</v>
      </c>
      <c r="E1778" s="12" t="s">
        <v>142</v>
      </c>
      <c r="F1778">
        <v>3</v>
      </c>
      <c r="G1778">
        <v>11</v>
      </c>
      <c r="H1778">
        <v>0</v>
      </c>
      <c r="I1778" s="12" t="s">
        <v>263</v>
      </c>
      <c r="J1778" s="12" t="s">
        <v>264</v>
      </c>
      <c r="K1778" s="12" t="s">
        <v>125</v>
      </c>
      <c r="L1778" s="12" t="s">
        <v>82</v>
      </c>
      <c r="M1778">
        <v>10.210000000000001</v>
      </c>
      <c r="N1778" s="12" t="s">
        <v>70</v>
      </c>
      <c r="O1778" s="12" t="s">
        <v>71</v>
      </c>
      <c r="P1778" s="12" t="s">
        <v>72</v>
      </c>
      <c r="Q1778" s="13">
        <v>45285</v>
      </c>
      <c r="R1778" s="13">
        <v>45322</v>
      </c>
      <c r="S1778">
        <v>2023</v>
      </c>
      <c r="T1778" s="12" t="s">
        <v>2336</v>
      </c>
      <c r="U1778">
        <v>430</v>
      </c>
      <c r="V1778">
        <v>25.052199999999999</v>
      </c>
      <c r="W1778">
        <v>78.63</v>
      </c>
      <c r="X1778">
        <v>346.36</v>
      </c>
      <c r="Y1778">
        <v>1</v>
      </c>
      <c r="Z1778">
        <v>10772.45</v>
      </c>
      <c r="AA1778">
        <v>11197.44</v>
      </c>
      <c r="AB1778" s="12" t="s">
        <v>333</v>
      </c>
      <c r="AC1778">
        <v>25.052199999999999</v>
      </c>
      <c r="AD1778">
        <v>1</v>
      </c>
      <c r="AE1778">
        <v>1</v>
      </c>
      <c r="AF1778">
        <v>0</v>
      </c>
      <c r="AG1778">
        <v>10772.45</v>
      </c>
      <c r="AH1778">
        <v>430</v>
      </c>
      <c r="AI1778">
        <v>425</v>
      </c>
      <c r="AJ1778">
        <v>5</v>
      </c>
      <c r="AK1778">
        <v>1</v>
      </c>
      <c r="AL1778">
        <v>1</v>
      </c>
      <c r="AM1778">
        <v>98.84</v>
      </c>
      <c r="AN1778">
        <v>26.346900000000002</v>
      </c>
      <c r="AO1778">
        <v>125.26</v>
      </c>
      <c r="AP1778" s="13">
        <v>45322</v>
      </c>
      <c r="AQ1778">
        <v>0</v>
      </c>
      <c r="AR1778">
        <v>1</v>
      </c>
    </row>
    <row r="1779" spans="1:44" x14ac:dyDescent="0.35">
      <c r="A1779" s="12" t="s">
        <v>2478</v>
      </c>
      <c r="B1779" s="12" t="s">
        <v>773</v>
      </c>
      <c r="C1779" s="12" t="s">
        <v>774</v>
      </c>
      <c r="D1779" s="12" t="s">
        <v>64</v>
      </c>
      <c r="E1779" s="12" t="s">
        <v>142</v>
      </c>
      <c r="F1779">
        <v>1</v>
      </c>
      <c r="G1779">
        <v>7</v>
      </c>
      <c r="H1779">
        <v>1</v>
      </c>
      <c r="I1779" s="12" t="s">
        <v>251</v>
      </c>
      <c r="J1779" s="12" t="s">
        <v>252</v>
      </c>
      <c r="K1779" s="12" t="s">
        <v>133</v>
      </c>
      <c r="L1779" s="12" t="s">
        <v>69</v>
      </c>
      <c r="M1779">
        <v>34.49</v>
      </c>
      <c r="N1779" s="12" t="s">
        <v>70</v>
      </c>
      <c r="O1779" s="12" t="s">
        <v>71</v>
      </c>
      <c r="P1779" s="12" t="s">
        <v>72</v>
      </c>
      <c r="Q1779" s="13">
        <v>45285</v>
      </c>
      <c r="R1779" s="13">
        <v>45326</v>
      </c>
      <c r="S1779">
        <v>2023</v>
      </c>
      <c r="T1779" s="12" t="s">
        <v>2336</v>
      </c>
      <c r="U1779">
        <v>407</v>
      </c>
      <c r="V1779">
        <v>10.0604</v>
      </c>
      <c r="W1779">
        <v>73.62</v>
      </c>
      <c r="X1779">
        <v>0</v>
      </c>
      <c r="Y1779">
        <v>0</v>
      </c>
      <c r="Z1779">
        <v>4094.58</v>
      </c>
      <c r="AA1779">
        <v>4168.2</v>
      </c>
      <c r="AB1779" s="12" t="s">
        <v>775</v>
      </c>
      <c r="AC1779">
        <v>10.0604</v>
      </c>
      <c r="AD1779">
        <v>1</v>
      </c>
      <c r="AE1779">
        <v>1</v>
      </c>
      <c r="AF1779">
        <v>0</v>
      </c>
      <c r="AG1779">
        <v>4094.58</v>
      </c>
      <c r="AH1779">
        <v>407</v>
      </c>
      <c r="AI1779">
        <v>402</v>
      </c>
      <c r="AJ1779">
        <v>5</v>
      </c>
      <c r="AK1779">
        <v>1</v>
      </c>
      <c r="AL1779">
        <v>1</v>
      </c>
      <c r="AM1779">
        <v>98.77</v>
      </c>
      <c r="AN1779">
        <v>10.3687</v>
      </c>
      <c r="AO1779">
        <v>50.3</v>
      </c>
      <c r="AP1779" s="13">
        <v>45329</v>
      </c>
      <c r="AQ1779">
        <v>3</v>
      </c>
      <c r="AR1779">
        <v>0</v>
      </c>
    </row>
    <row r="1780" spans="1:44" x14ac:dyDescent="0.35">
      <c r="A1780" s="12" t="s">
        <v>2479</v>
      </c>
      <c r="B1780" s="12" t="s">
        <v>207</v>
      </c>
      <c r="C1780" s="12" t="s">
        <v>208</v>
      </c>
      <c r="D1780" s="12" t="s">
        <v>78</v>
      </c>
      <c r="E1780" s="12" t="s">
        <v>65</v>
      </c>
      <c r="F1780">
        <v>2</v>
      </c>
      <c r="G1780">
        <v>3</v>
      </c>
      <c r="H1780">
        <v>0</v>
      </c>
      <c r="I1780" s="12" t="s">
        <v>209</v>
      </c>
      <c r="J1780" s="12" t="s">
        <v>210</v>
      </c>
      <c r="K1780" s="12" t="s">
        <v>133</v>
      </c>
      <c r="L1780" s="12" t="s">
        <v>96</v>
      </c>
      <c r="M1780">
        <v>7.82</v>
      </c>
      <c r="N1780" s="12" t="s">
        <v>97</v>
      </c>
      <c r="O1780" s="12" t="s">
        <v>98</v>
      </c>
      <c r="P1780" s="12" t="s">
        <v>72</v>
      </c>
      <c r="Q1780" s="13">
        <v>45285</v>
      </c>
      <c r="R1780" s="13">
        <v>45322</v>
      </c>
      <c r="S1780">
        <v>2023</v>
      </c>
      <c r="T1780" s="12" t="s">
        <v>2336</v>
      </c>
      <c r="U1780">
        <v>275</v>
      </c>
      <c r="V1780">
        <v>155.54740000000001</v>
      </c>
      <c r="W1780">
        <v>836.45</v>
      </c>
      <c r="X1780">
        <v>0</v>
      </c>
      <c r="Y1780">
        <v>0</v>
      </c>
      <c r="Z1780">
        <v>42775.54</v>
      </c>
      <c r="AA1780">
        <v>43611.99</v>
      </c>
      <c r="AB1780" s="12" t="s">
        <v>211</v>
      </c>
      <c r="AC1780">
        <v>152.13079999999999</v>
      </c>
      <c r="AD1780">
        <v>1</v>
      </c>
      <c r="AE1780">
        <v>1</v>
      </c>
      <c r="AF1780">
        <v>939.57</v>
      </c>
      <c r="AG1780">
        <v>41835.97</v>
      </c>
      <c r="AH1780">
        <v>275</v>
      </c>
      <c r="AI1780">
        <v>272</v>
      </c>
      <c r="AJ1780">
        <v>3</v>
      </c>
      <c r="AK1780">
        <v>1</v>
      </c>
      <c r="AL1780">
        <v>1</v>
      </c>
      <c r="AM1780">
        <v>98.91</v>
      </c>
      <c r="AN1780">
        <v>160.3382</v>
      </c>
      <c r="AO1780">
        <v>466.64</v>
      </c>
      <c r="AP1780" s="13">
        <v>45318</v>
      </c>
      <c r="AQ1780">
        <v>-4</v>
      </c>
      <c r="AR1780">
        <v>1</v>
      </c>
    </row>
    <row r="1781" spans="1:44" x14ac:dyDescent="0.35">
      <c r="A1781" s="12" t="s">
        <v>2480</v>
      </c>
      <c r="B1781" s="12" t="s">
        <v>323</v>
      </c>
      <c r="C1781" s="12" t="s">
        <v>324</v>
      </c>
      <c r="D1781" s="12" t="s">
        <v>64</v>
      </c>
      <c r="E1781" s="12" t="s">
        <v>142</v>
      </c>
      <c r="F1781">
        <v>1</v>
      </c>
      <c r="G1781">
        <v>7</v>
      </c>
      <c r="H1781">
        <v>1</v>
      </c>
      <c r="I1781" s="12" t="s">
        <v>143</v>
      </c>
      <c r="J1781" s="12" t="s">
        <v>144</v>
      </c>
      <c r="K1781" s="12" t="s">
        <v>133</v>
      </c>
      <c r="L1781" s="12" t="s">
        <v>96</v>
      </c>
      <c r="M1781">
        <v>5.43</v>
      </c>
      <c r="N1781" s="12" t="s">
        <v>97</v>
      </c>
      <c r="O1781" s="12" t="s">
        <v>98</v>
      </c>
      <c r="P1781" s="12" t="s">
        <v>72</v>
      </c>
      <c r="Q1781" s="13">
        <v>45285</v>
      </c>
      <c r="R1781" s="13">
        <v>45324</v>
      </c>
      <c r="S1781">
        <v>2023</v>
      </c>
      <c r="T1781" s="12" t="s">
        <v>2336</v>
      </c>
      <c r="U1781">
        <v>344</v>
      </c>
      <c r="V1781">
        <v>39.503399999999999</v>
      </c>
      <c r="W1781">
        <v>224.93</v>
      </c>
      <c r="X1781">
        <v>0</v>
      </c>
      <c r="Y1781">
        <v>0</v>
      </c>
      <c r="Z1781">
        <v>13589.17</v>
      </c>
      <c r="AA1781">
        <v>13814.1</v>
      </c>
      <c r="AB1781" s="12" t="s">
        <v>325</v>
      </c>
      <c r="AC1781">
        <v>39.503399999999999</v>
      </c>
      <c r="AD1781">
        <v>1</v>
      </c>
      <c r="AE1781">
        <v>1</v>
      </c>
      <c r="AF1781">
        <v>0</v>
      </c>
      <c r="AG1781">
        <v>13589.17</v>
      </c>
      <c r="AH1781">
        <v>344</v>
      </c>
      <c r="AI1781">
        <v>340</v>
      </c>
      <c r="AJ1781">
        <v>4</v>
      </c>
      <c r="AK1781">
        <v>1</v>
      </c>
      <c r="AL1781">
        <v>1</v>
      </c>
      <c r="AM1781">
        <v>98.84</v>
      </c>
      <c r="AN1781">
        <v>40.6297</v>
      </c>
      <c r="AO1781">
        <v>158.01</v>
      </c>
      <c r="AP1781" s="13">
        <v>45321</v>
      </c>
      <c r="AQ1781">
        <v>-3</v>
      </c>
      <c r="AR1781">
        <v>1</v>
      </c>
    </row>
    <row r="1782" spans="1:44" x14ac:dyDescent="0.35">
      <c r="A1782" s="12" t="s">
        <v>2481</v>
      </c>
      <c r="B1782" s="12" t="s">
        <v>537</v>
      </c>
      <c r="C1782" s="12" t="s">
        <v>538</v>
      </c>
      <c r="D1782" s="12" t="s">
        <v>103</v>
      </c>
      <c r="E1782" s="12" t="s">
        <v>104</v>
      </c>
      <c r="F1782">
        <v>3</v>
      </c>
      <c r="G1782">
        <v>0</v>
      </c>
      <c r="H1782">
        <v>0</v>
      </c>
      <c r="I1782" s="12" t="s">
        <v>380</v>
      </c>
      <c r="J1782" s="12" t="s">
        <v>381</v>
      </c>
      <c r="K1782" s="12" t="s">
        <v>89</v>
      </c>
      <c r="L1782" s="12" t="s">
        <v>96</v>
      </c>
      <c r="M1782">
        <v>10.210000000000001</v>
      </c>
      <c r="N1782" s="12" t="s">
        <v>145</v>
      </c>
      <c r="O1782" s="12" t="s">
        <v>146</v>
      </c>
      <c r="P1782" s="12" t="s">
        <v>109</v>
      </c>
      <c r="Q1782" s="13">
        <v>45286</v>
      </c>
      <c r="R1782" s="13">
        <v>45306</v>
      </c>
      <c r="S1782">
        <v>2023</v>
      </c>
      <c r="T1782" s="12" t="s">
        <v>2336</v>
      </c>
      <c r="U1782">
        <v>74</v>
      </c>
      <c r="V1782">
        <v>242.5684</v>
      </c>
      <c r="W1782">
        <v>421.03</v>
      </c>
      <c r="X1782">
        <v>0</v>
      </c>
      <c r="Y1782">
        <v>0</v>
      </c>
      <c r="Z1782">
        <v>17950.060000000001</v>
      </c>
      <c r="AA1782">
        <v>18371.09</v>
      </c>
      <c r="AB1782" s="12" t="s">
        <v>539</v>
      </c>
      <c r="AC1782">
        <v>242.5684</v>
      </c>
      <c r="AD1782">
        <v>1</v>
      </c>
      <c r="AE1782">
        <v>1</v>
      </c>
      <c r="AF1782">
        <v>0</v>
      </c>
      <c r="AG1782">
        <v>17950.060000000001</v>
      </c>
      <c r="AH1782">
        <v>74</v>
      </c>
      <c r="AI1782">
        <v>74</v>
      </c>
      <c r="AJ1782">
        <v>0</v>
      </c>
      <c r="AK1782">
        <v>1</v>
      </c>
      <c r="AL1782">
        <v>1</v>
      </c>
      <c r="AM1782">
        <v>100</v>
      </c>
      <c r="AN1782">
        <v>248.25800000000001</v>
      </c>
      <c r="AO1782">
        <v>0</v>
      </c>
      <c r="AP1782" s="13">
        <v>45303</v>
      </c>
      <c r="AQ1782">
        <v>-3</v>
      </c>
      <c r="AR1782">
        <v>1</v>
      </c>
    </row>
    <row r="1783" spans="1:44" x14ac:dyDescent="0.35">
      <c r="A1783" s="12" t="s">
        <v>2482</v>
      </c>
      <c r="B1783" s="12" t="s">
        <v>347</v>
      </c>
      <c r="C1783" s="12" t="s">
        <v>348</v>
      </c>
      <c r="D1783" s="12" t="s">
        <v>78</v>
      </c>
      <c r="E1783" s="12" t="s">
        <v>104</v>
      </c>
      <c r="F1783">
        <v>3</v>
      </c>
      <c r="G1783">
        <v>1</v>
      </c>
      <c r="H1783">
        <v>0</v>
      </c>
      <c r="I1783" s="12" t="s">
        <v>209</v>
      </c>
      <c r="J1783" s="12" t="s">
        <v>210</v>
      </c>
      <c r="K1783" s="12" t="s">
        <v>133</v>
      </c>
      <c r="L1783" s="12" t="s">
        <v>96</v>
      </c>
      <c r="M1783">
        <v>7.82</v>
      </c>
      <c r="N1783" s="12" t="s">
        <v>97</v>
      </c>
      <c r="O1783" s="12" t="s">
        <v>98</v>
      </c>
      <c r="P1783" s="12" t="s">
        <v>72</v>
      </c>
      <c r="Q1783" s="13">
        <v>45286</v>
      </c>
      <c r="R1783" s="13">
        <v>45300</v>
      </c>
      <c r="S1783">
        <v>2023</v>
      </c>
      <c r="T1783" s="12" t="s">
        <v>2336</v>
      </c>
      <c r="U1783">
        <v>79</v>
      </c>
      <c r="V1783">
        <v>100.34050000000001</v>
      </c>
      <c r="W1783">
        <v>63.29</v>
      </c>
      <c r="X1783">
        <v>0</v>
      </c>
      <c r="Y1783">
        <v>0</v>
      </c>
      <c r="Z1783">
        <v>7926.9</v>
      </c>
      <c r="AA1783">
        <v>7990.19</v>
      </c>
      <c r="AB1783" s="12" t="s">
        <v>593</v>
      </c>
      <c r="AC1783">
        <v>100.34050000000001</v>
      </c>
      <c r="AD1783">
        <v>1</v>
      </c>
      <c r="AE1783">
        <v>1</v>
      </c>
      <c r="AF1783">
        <v>0</v>
      </c>
      <c r="AG1783">
        <v>7926.9</v>
      </c>
      <c r="AH1783">
        <v>79</v>
      </c>
      <c r="AI1783">
        <v>78</v>
      </c>
      <c r="AJ1783">
        <v>1</v>
      </c>
      <c r="AK1783">
        <v>1</v>
      </c>
      <c r="AL1783">
        <v>1</v>
      </c>
      <c r="AM1783">
        <v>98.73</v>
      </c>
      <c r="AN1783">
        <v>102.4383</v>
      </c>
      <c r="AO1783">
        <v>100.34</v>
      </c>
      <c r="AP1783" s="13">
        <v>45298</v>
      </c>
      <c r="AQ1783">
        <v>-2</v>
      </c>
      <c r="AR1783">
        <v>1</v>
      </c>
    </row>
    <row r="1784" spans="1:44" x14ac:dyDescent="0.35">
      <c r="A1784" s="12" t="s">
        <v>2483</v>
      </c>
      <c r="B1784" s="12" t="s">
        <v>630</v>
      </c>
      <c r="C1784" s="12" t="s">
        <v>631</v>
      </c>
      <c r="D1784" s="12" t="s">
        <v>130</v>
      </c>
      <c r="E1784" s="12" t="s">
        <v>65</v>
      </c>
      <c r="F1784">
        <v>1</v>
      </c>
      <c r="G1784">
        <v>2</v>
      </c>
      <c r="H1784">
        <v>1</v>
      </c>
      <c r="I1784" s="12" t="s">
        <v>335</v>
      </c>
      <c r="J1784" s="12" t="s">
        <v>336</v>
      </c>
      <c r="K1784" s="12" t="s">
        <v>89</v>
      </c>
      <c r="L1784" s="12" t="s">
        <v>82</v>
      </c>
      <c r="M1784">
        <v>16</v>
      </c>
      <c r="N1784" s="12" t="s">
        <v>159</v>
      </c>
      <c r="O1784" s="12" t="s">
        <v>160</v>
      </c>
      <c r="P1784" s="12" t="s">
        <v>137</v>
      </c>
      <c r="Q1784" s="13">
        <v>45286</v>
      </c>
      <c r="R1784" s="13">
        <v>45315</v>
      </c>
      <c r="S1784">
        <v>2023</v>
      </c>
      <c r="T1784" s="12" t="s">
        <v>2336</v>
      </c>
      <c r="U1784">
        <v>78</v>
      </c>
      <c r="V1784">
        <v>448.44209999999998</v>
      </c>
      <c r="W1784">
        <v>265.7</v>
      </c>
      <c r="X1784">
        <v>0</v>
      </c>
      <c r="Y1784">
        <v>0</v>
      </c>
      <c r="Z1784">
        <v>34978.480000000003</v>
      </c>
      <c r="AA1784">
        <v>35244.18</v>
      </c>
      <c r="AB1784" s="12" t="s">
        <v>632</v>
      </c>
      <c r="AC1784">
        <v>448.44209999999998</v>
      </c>
      <c r="AD1784">
        <v>1</v>
      </c>
      <c r="AE1784">
        <v>1</v>
      </c>
      <c r="AF1784">
        <v>0</v>
      </c>
      <c r="AG1784">
        <v>34978.480000000003</v>
      </c>
      <c r="AH1784">
        <v>78</v>
      </c>
      <c r="AI1784">
        <v>77</v>
      </c>
      <c r="AJ1784">
        <v>1</v>
      </c>
      <c r="AK1784">
        <v>1</v>
      </c>
      <c r="AL1784">
        <v>1</v>
      </c>
      <c r="AM1784">
        <v>98.72</v>
      </c>
      <c r="AN1784">
        <v>457.7167</v>
      </c>
      <c r="AO1784">
        <v>448.44</v>
      </c>
      <c r="AP1784" s="13">
        <v>45312</v>
      </c>
      <c r="AQ1784">
        <v>-3</v>
      </c>
      <c r="AR1784">
        <v>1</v>
      </c>
    </row>
    <row r="1785" spans="1:44" x14ac:dyDescent="0.35">
      <c r="A1785" s="12" t="s">
        <v>2484</v>
      </c>
      <c r="B1785" s="12" t="s">
        <v>1054</v>
      </c>
      <c r="C1785" s="12" t="s">
        <v>1055</v>
      </c>
      <c r="D1785" s="12" t="s">
        <v>122</v>
      </c>
      <c r="E1785" s="12" t="s">
        <v>65</v>
      </c>
      <c r="F1785">
        <v>1</v>
      </c>
      <c r="G1785">
        <v>2</v>
      </c>
      <c r="H1785">
        <v>1</v>
      </c>
      <c r="I1785" s="12" t="s">
        <v>176</v>
      </c>
      <c r="J1785" s="12" t="s">
        <v>177</v>
      </c>
      <c r="K1785" s="12" t="s">
        <v>125</v>
      </c>
      <c r="L1785" s="12" t="s">
        <v>134</v>
      </c>
      <c r="M1785">
        <v>1.75</v>
      </c>
      <c r="N1785" s="12" t="s">
        <v>97</v>
      </c>
      <c r="O1785" s="12" t="s">
        <v>98</v>
      </c>
      <c r="P1785" s="12" t="s">
        <v>72</v>
      </c>
      <c r="Q1785" s="13">
        <v>45286</v>
      </c>
      <c r="R1785" s="13">
        <v>45310</v>
      </c>
      <c r="S1785">
        <v>2023</v>
      </c>
      <c r="T1785" s="12" t="s">
        <v>2336</v>
      </c>
      <c r="U1785">
        <v>521</v>
      </c>
      <c r="V1785">
        <v>46.916699999999999</v>
      </c>
      <c r="W1785">
        <v>340.75</v>
      </c>
      <c r="X1785">
        <v>0</v>
      </c>
      <c r="Y1785">
        <v>0</v>
      </c>
      <c r="Z1785">
        <v>24443.599999999999</v>
      </c>
      <c r="AA1785">
        <v>24784.35</v>
      </c>
      <c r="AB1785" s="12" t="s">
        <v>1056</v>
      </c>
      <c r="AC1785">
        <v>46.916699999999999</v>
      </c>
      <c r="AD1785">
        <v>1</v>
      </c>
      <c r="AE1785">
        <v>1</v>
      </c>
      <c r="AF1785">
        <v>0</v>
      </c>
      <c r="AG1785">
        <v>24443.599999999999</v>
      </c>
      <c r="AH1785">
        <v>521</v>
      </c>
      <c r="AI1785">
        <v>517</v>
      </c>
      <c r="AJ1785">
        <v>4</v>
      </c>
      <c r="AK1785">
        <v>1</v>
      </c>
      <c r="AL1785">
        <v>1</v>
      </c>
      <c r="AM1785">
        <v>99.23</v>
      </c>
      <c r="AN1785">
        <v>47.938800000000001</v>
      </c>
      <c r="AO1785">
        <v>187.67</v>
      </c>
      <c r="AP1785" s="13">
        <v>45308</v>
      </c>
      <c r="AQ1785">
        <v>-2</v>
      </c>
      <c r="AR1785">
        <v>1</v>
      </c>
    </row>
    <row r="1786" spans="1:44" x14ac:dyDescent="0.35">
      <c r="A1786" s="12" t="s">
        <v>2485</v>
      </c>
      <c r="B1786" s="12" t="s">
        <v>395</v>
      </c>
      <c r="C1786" s="12" t="s">
        <v>396</v>
      </c>
      <c r="D1786" s="12" t="s">
        <v>130</v>
      </c>
      <c r="E1786" s="12" t="s">
        <v>104</v>
      </c>
      <c r="F1786">
        <v>3</v>
      </c>
      <c r="G1786">
        <v>1</v>
      </c>
      <c r="H1786">
        <v>0</v>
      </c>
      <c r="I1786" s="12" t="s">
        <v>341</v>
      </c>
      <c r="J1786" s="12" t="s">
        <v>342</v>
      </c>
      <c r="K1786" s="12" t="s">
        <v>117</v>
      </c>
      <c r="L1786" s="12" t="s">
        <v>82</v>
      </c>
      <c r="M1786">
        <v>18.36</v>
      </c>
      <c r="N1786" s="12" t="s">
        <v>135</v>
      </c>
      <c r="O1786" s="12" t="s">
        <v>136</v>
      </c>
      <c r="P1786" s="12" t="s">
        <v>137</v>
      </c>
      <c r="Q1786" s="13">
        <v>45286</v>
      </c>
      <c r="R1786" s="13">
        <v>45301</v>
      </c>
      <c r="S1786">
        <v>2023</v>
      </c>
      <c r="T1786" s="12" t="s">
        <v>2336</v>
      </c>
      <c r="U1786">
        <v>33</v>
      </c>
      <c r="V1786">
        <v>190.43799999999999</v>
      </c>
      <c r="W1786">
        <v>123.87</v>
      </c>
      <c r="X1786">
        <v>0</v>
      </c>
      <c r="Y1786">
        <v>0</v>
      </c>
      <c r="Z1786">
        <v>6284.45</v>
      </c>
      <c r="AA1786">
        <v>6408.32</v>
      </c>
      <c r="AB1786" s="12" t="s">
        <v>397</v>
      </c>
      <c r="AC1786">
        <v>190.43799999999999</v>
      </c>
      <c r="AD1786">
        <v>1</v>
      </c>
      <c r="AE1786">
        <v>1</v>
      </c>
      <c r="AF1786">
        <v>0</v>
      </c>
      <c r="AG1786">
        <v>6284.45</v>
      </c>
      <c r="AH1786">
        <v>33</v>
      </c>
      <c r="AI1786">
        <v>33</v>
      </c>
      <c r="AJ1786">
        <v>0</v>
      </c>
      <c r="AK1786">
        <v>1</v>
      </c>
      <c r="AL1786">
        <v>1</v>
      </c>
      <c r="AM1786">
        <v>100</v>
      </c>
      <c r="AN1786">
        <v>194.19159999999999</v>
      </c>
      <c r="AO1786">
        <v>0</v>
      </c>
      <c r="AP1786" s="13">
        <v>45300</v>
      </c>
      <c r="AQ1786">
        <v>-1</v>
      </c>
      <c r="AR1786">
        <v>1</v>
      </c>
    </row>
    <row r="1787" spans="1:44" x14ac:dyDescent="0.35">
      <c r="A1787" s="12" t="s">
        <v>2486</v>
      </c>
      <c r="B1787" s="12" t="s">
        <v>284</v>
      </c>
      <c r="C1787" s="12" t="s">
        <v>285</v>
      </c>
      <c r="D1787" s="12" t="s">
        <v>269</v>
      </c>
      <c r="E1787" s="12" t="s">
        <v>104</v>
      </c>
      <c r="F1787">
        <v>3</v>
      </c>
      <c r="G1787">
        <v>1</v>
      </c>
      <c r="H1787">
        <v>0</v>
      </c>
      <c r="I1787" s="12" t="s">
        <v>199</v>
      </c>
      <c r="J1787" s="12" t="s">
        <v>200</v>
      </c>
      <c r="K1787" s="12" t="s">
        <v>68</v>
      </c>
      <c r="L1787" s="12" t="s">
        <v>96</v>
      </c>
      <c r="M1787">
        <v>9.4700000000000006</v>
      </c>
      <c r="N1787" s="12" t="s">
        <v>159</v>
      </c>
      <c r="O1787" s="12" t="s">
        <v>160</v>
      </c>
      <c r="P1787" s="12" t="s">
        <v>137</v>
      </c>
      <c r="Q1787" s="13">
        <v>45286</v>
      </c>
      <c r="R1787" s="13">
        <v>45301</v>
      </c>
      <c r="S1787">
        <v>2023</v>
      </c>
      <c r="T1787" s="12" t="s">
        <v>2336</v>
      </c>
      <c r="U1787">
        <v>39</v>
      </c>
      <c r="V1787">
        <v>397.87</v>
      </c>
      <c r="W1787">
        <v>109.67</v>
      </c>
      <c r="X1787">
        <v>0</v>
      </c>
      <c r="Y1787">
        <v>0</v>
      </c>
      <c r="Z1787">
        <v>15516.93</v>
      </c>
      <c r="AA1787">
        <v>15626.6</v>
      </c>
      <c r="AB1787" s="12" t="s">
        <v>286</v>
      </c>
      <c r="AC1787">
        <v>397.87</v>
      </c>
      <c r="AD1787">
        <v>1</v>
      </c>
      <c r="AE1787">
        <v>1</v>
      </c>
      <c r="AF1787">
        <v>0</v>
      </c>
      <c r="AG1787">
        <v>15516.93</v>
      </c>
      <c r="AH1787">
        <v>39</v>
      </c>
      <c r="AI1787">
        <v>39</v>
      </c>
      <c r="AJ1787">
        <v>0</v>
      </c>
      <c r="AK1787">
        <v>1</v>
      </c>
      <c r="AL1787">
        <v>1</v>
      </c>
      <c r="AM1787">
        <v>100</v>
      </c>
      <c r="AN1787">
        <v>400.68209999999999</v>
      </c>
      <c r="AO1787">
        <v>0</v>
      </c>
      <c r="AP1787" s="13">
        <v>45299</v>
      </c>
      <c r="AQ1787">
        <v>-2</v>
      </c>
      <c r="AR1787">
        <v>1</v>
      </c>
    </row>
    <row r="1788" spans="1:44" x14ac:dyDescent="0.35">
      <c r="A1788" s="12" t="s">
        <v>2487</v>
      </c>
      <c r="B1788" s="12" t="s">
        <v>1075</v>
      </c>
      <c r="C1788" s="12" t="s">
        <v>1076</v>
      </c>
      <c r="D1788" s="12" t="s">
        <v>103</v>
      </c>
      <c r="E1788" s="12" t="s">
        <v>65</v>
      </c>
      <c r="F1788">
        <v>2</v>
      </c>
      <c r="G1788">
        <v>4</v>
      </c>
      <c r="H1788">
        <v>0</v>
      </c>
      <c r="I1788" s="12" t="s">
        <v>176</v>
      </c>
      <c r="J1788" s="12" t="s">
        <v>177</v>
      </c>
      <c r="K1788" s="12" t="s">
        <v>125</v>
      </c>
      <c r="L1788" s="12" t="s">
        <v>134</v>
      </c>
      <c r="M1788">
        <v>1.75</v>
      </c>
      <c r="N1788" s="12" t="s">
        <v>145</v>
      </c>
      <c r="O1788" s="12" t="s">
        <v>146</v>
      </c>
      <c r="P1788" s="12" t="s">
        <v>109</v>
      </c>
      <c r="Q1788" s="13">
        <v>45286</v>
      </c>
      <c r="R1788" s="13">
        <v>45317</v>
      </c>
      <c r="S1788">
        <v>2023</v>
      </c>
      <c r="T1788" s="12" t="s">
        <v>2336</v>
      </c>
      <c r="U1788">
        <v>90</v>
      </c>
      <c r="V1788">
        <v>68.470200000000006</v>
      </c>
      <c r="W1788">
        <v>148.78</v>
      </c>
      <c r="X1788">
        <v>0</v>
      </c>
      <c r="Y1788">
        <v>0</v>
      </c>
      <c r="Z1788">
        <v>6162.32</v>
      </c>
      <c r="AA1788">
        <v>6311.1</v>
      </c>
      <c r="AB1788" s="12" t="s">
        <v>1077</v>
      </c>
      <c r="AC1788">
        <v>68.470200000000006</v>
      </c>
      <c r="AD1788">
        <v>1</v>
      </c>
      <c r="AE1788">
        <v>1</v>
      </c>
      <c r="AF1788">
        <v>0</v>
      </c>
      <c r="AG1788">
        <v>6162.32</v>
      </c>
      <c r="AH1788">
        <v>90</v>
      </c>
      <c r="AI1788">
        <v>89</v>
      </c>
      <c r="AJ1788">
        <v>1</v>
      </c>
      <c r="AK1788">
        <v>1</v>
      </c>
      <c r="AL1788">
        <v>1</v>
      </c>
      <c r="AM1788">
        <v>98.89</v>
      </c>
      <c r="AN1788">
        <v>70.911199999999994</v>
      </c>
      <c r="AO1788">
        <v>68.47</v>
      </c>
      <c r="AP1788" s="13">
        <v>45317</v>
      </c>
      <c r="AQ1788">
        <v>0</v>
      </c>
      <c r="AR1788">
        <v>1</v>
      </c>
    </row>
    <row r="1789" spans="1:44" x14ac:dyDescent="0.35">
      <c r="A1789" s="12" t="s">
        <v>2488</v>
      </c>
      <c r="B1789" s="12" t="s">
        <v>339</v>
      </c>
      <c r="C1789" s="12" t="s">
        <v>340</v>
      </c>
      <c r="D1789" s="12" t="s">
        <v>103</v>
      </c>
      <c r="E1789" s="12" t="s">
        <v>142</v>
      </c>
      <c r="F1789">
        <v>2</v>
      </c>
      <c r="G1789">
        <v>9</v>
      </c>
      <c r="H1789">
        <v>0</v>
      </c>
      <c r="I1789" s="12" t="s">
        <v>169</v>
      </c>
      <c r="J1789" s="12" t="s">
        <v>170</v>
      </c>
      <c r="K1789" s="12" t="s">
        <v>89</v>
      </c>
      <c r="L1789" s="12" t="s">
        <v>134</v>
      </c>
      <c r="M1789">
        <v>1.37</v>
      </c>
      <c r="N1789" s="12" t="s">
        <v>107</v>
      </c>
      <c r="O1789" s="12" t="s">
        <v>108</v>
      </c>
      <c r="P1789" s="12" t="s">
        <v>109</v>
      </c>
      <c r="Q1789" s="13">
        <v>45286</v>
      </c>
      <c r="R1789" s="13">
        <v>45322</v>
      </c>
      <c r="S1789">
        <v>2023</v>
      </c>
      <c r="T1789" s="12" t="s">
        <v>2336</v>
      </c>
      <c r="U1789">
        <v>20</v>
      </c>
      <c r="V1789">
        <v>235.16390000000001</v>
      </c>
      <c r="W1789">
        <v>33.659999999999997</v>
      </c>
      <c r="X1789">
        <v>0</v>
      </c>
      <c r="Y1789">
        <v>0</v>
      </c>
      <c r="Z1789">
        <v>4703.28</v>
      </c>
      <c r="AA1789">
        <v>4736.9399999999996</v>
      </c>
      <c r="AB1789" s="12" t="s">
        <v>345</v>
      </c>
      <c r="AC1789">
        <v>249.9879</v>
      </c>
      <c r="AD1789">
        <v>1</v>
      </c>
      <c r="AE1789">
        <v>1</v>
      </c>
      <c r="AF1789">
        <v>-296.48</v>
      </c>
      <c r="AG1789">
        <v>4999.76</v>
      </c>
      <c r="AH1789">
        <v>20</v>
      </c>
      <c r="AI1789">
        <v>20</v>
      </c>
      <c r="AJ1789">
        <v>0</v>
      </c>
      <c r="AK1789">
        <v>1</v>
      </c>
      <c r="AL1789">
        <v>1</v>
      </c>
      <c r="AM1789">
        <v>100</v>
      </c>
      <c r="AN1789">
        <v>236.84690000000001</v>
      </c>
      <c r="AO1789">
        <v>0</v>
      </c>
      <c r="AP1789" s="13">
        <v>45320</v>
      </c>
      <c r="AQ1789">
        <v>-2</v>
      </c>
      <c r="AR1789">
        <v>1</v>
      </c>
    </row>
    <row r="1790" spans="1:44" x14ac:dyDescent="0.35">
      <c r="A1790" s="12" t="s">
        <v>2489</v>
      </c>
      <c r="B1790" s="12" t="s">
        <v>207</v>
      </c>
      <c r="C1790" s="12" t="s">
        <v>208</v>
      </c>
      <c r="D1790" s="12" t="s">
        <v>78</v>
      </c>
      <c r="E1790" s="12" t="s">
        <v>65</v>
      </c>
      <c r="F1790">
        <v>2</v>
      </c>
      <c r="G1790">
        <v>3</v>
      </c>
      <c r="H1790">
        <v>0</v>
      </c>
      <c r="I1790" s="12" t="s">
        <v>209</v>
      </c>
      <c r="J1790" s="12" t="s">
        <v>210</v>
      </c>
      <c r="K1790" s="12" t="s">
        <v>133</v>
      </c>
      <c r="L1790" s="12" t="s">
        <v>96</v>
      </c>
      <c r="M1790">
        <v>7.82</v>
      </c>
      <c r="N1790" s="12" t="s">
        <v>97</v>
      </c>
      <c r="O1790" s="12" t="s">
        <v>98</v>
      </c>
      <c r="P1790" s="12" t="s">
        <v>72</v>
      </c>
      <c r="Q1790" s="13">
        <v>45286</v>
      </c>
      <c r="R1790" s="13">
        <v>45312</v>
      </c>
      <c r="S1790">
        <v>2023</v>
      </c>
      <c r="T1790" s="12" t="s">
        <v>2336</v>
      </c>
      <c r="U1790">
        <v>125</v>
      </c>
      <c r="V1790">
        <v>152.13079999999999</v>
      </c>
      <c r="W1790">
        <v>191.65</v>
      </c>
      <c r="X1790">
        <v>0</v>
      </c>
      <c r="Y1790">
        <v>0</v>
      </c>
      <c r="Z1790">
        <v>19016.349999999999</v>
      </c>
      <c r="AA1790">
        <v>19208</v>
      </c>
      <c r="AB1790" s="12" t="s">
        <v>211</v>
      </c>
      <c r="AC1790">
        <v>152.13079999999999</v>
      </c>
      <c r="AD1790">
        <v>1</v>
      </c>
      <c r="AE1790">
        <v>1</v>
      </c>
      <c r="AF1790">
        <v>0</v>
      </c>
      <c r="AG1790">
        <v>19016.349999999999</v>
      </c>
      <c r="AH1790">
        <v>125</v>
      </c>
      <c r="AI1790">
        <v>122</v>
      </c>
      <c r="AJ1790">
        <v>3</v>
      </c>
      <c r="AK1790">
        <v>1</v>
      </c>
      <c r="AL1790">
        <v>1</v>
      </c>
      <c r="AM1790">
        <v>97.6</v>
      </c>
      <c r="AN1790">
        <v>157.4426</v>
      </c>
      <c r="AO1790">
        <v>456.39</v>
      </c>
      <c r="AP1790" s="13">
        <v>45314</v>
      </c>
      <c r="AQ1790">
        <v>2</v>
      </c>
      <c r="AR1790">
        <v>0</v>
      </c>
    </row>
    <row r="1791" spans="1:44" x14ac:dyDescent="0.35">
      <c r="A1791" s="12" t="s">
        <v>2490</v>
      </c>
      <c r="B1791" s="12" t="s">
        <v>1026</v>
      </c>
      <c r="C1791" s="12" t="s">
        <v>1027</v>
      </c>
      <c r="D1791" s="12" t="s">
        <v>122</v>
      </c>
      <c r="E1791" s="12" t="s">
        <v>104</v>
      </c>
      <c r="F1791">
        <v>3</v>
      </c>
      <c r="G1791">
        <v>1</v>
      </c>
      <c r="H1791">
        <v>0</v>
      </c>
      <c r="I1791" s="12" t="s">
        <v>604</v>
      </c>
      <c r="J1791" s="12" t="s">
        <v>605</v>
      </c>
      <c r="K1791" s="12" t="s">
        <v>68</v>
      </c>
      <c r="L1791" s="12" t="s">
        <v>82</v>
      </c>
      <c r="M1791">
        <v>7.24</v>
      </c>
      <c r="N1791" s="12" t="s">
        <v>97</v>
      </c>
      <c r="O1791" s="12" t="s">
        <v>98</v>
      </c>
      <c r="P1791" s="12" t="s">
        <v>72</v>
      </c>
      <c r="Q1791" s="13">
        <v>45286</v>
      </c>
      <c r="R1791" s="13">
        <v>45298</v>
      </c>
      <c r="S1791">
        <v>2023</v>
      </c>
      <c r="T1791" s="12" t="s">
        <v>2336</v>
      </c>
      <c r="U1791">
        <v>222</v>
      </c>
      <c r="V1791">
        <v>41.886099999999999</v>
      </c>
      <c r="W1791">
        <v>177.41</v>
      </c>
      <c r="X1791">
        <v>0</v>
      </c>
      <c r="Y1791">
        <v>0</v>
      </c>
      <c r="Z1791">
        <v>9298.7099999999991</v>
      </c>
      <c r="AA1791">
        <v>9476.1200000000008</v>
      </c>
      <c r="AB1791" s="12" t="s">
        <v>1028</v>
      </c>
      <c r="AC1791">
        <v>41.886099999999999</v>
      </c>
      <c r="AD1791">
        <v>1</v>
      </c>
      <c r="AE1791">
        <v>1</v>
      </c>
      <c r="AF1791">
        <v>0</v>
      </c>
      <c r="AG1791">
        <v>9298.7099999999991</v>
      </c>
      <c r="AH1791">
        <v>222</v>
      </c>
      <c r="AI1791">
        <v>220</v>
      </c>
      <c r="AJ1791">
        <v>2</v>
      </c>
      <c r="AK1791">
        <v>1</v>
      </c>
      <c r="AL1791">
        <v>1</v>
      </c>
      <c r="AM1791">
        <v>99.1</v>
      </c>
      <c r="AN1791">
        <v>43.073300000000003</v>
      </c>
      <c r="AO1791">
        <v>83.77</v>
      </c>
      <c r="AP1791" s="13">
        <v>45297</v>
      </c>
      <c r="AQ1791">
        <v>-1</v>
      </c>
      <c r="AR1791">
        <v>1</v>
      </c>
    </row>
    <row r="1792" spans="1:44" x14ac:dyDescent="0.35">
      <c r="A1792" s="12" t="s">
        <v>2491</v>
      </c>
      <c r="B1792" s="12" t="s">
        <v>1166</v>
      </c>
      <c r="C1792" s="12" t="s">
        <v>1167</v>
      </c>
      <c r="D1792" s="12" t="s">
        <v>175</v>
      </c>
      <c r="E1792" s="12" t="s">
        <v>65</v>
      </c>
      <c r="F1792">
        <v>3</v>
      </c>
      <c r="G1792">
        <v>5</v>
      </c>
      <c r="H1792">
        <v>0</v>
      </c>
      <c r="I1792" s="12" t="s">
        <v>105</v>
      </c>
      <c r="J1792" s="12" t="s">
        <v>106</v>
      </c>
      <c r="K1792" s="12" t="s">
        <v>81</v>
      </c>
      <c r="L1792" s="12" t="s">
        <v>96</v>
      </c>
      <c r="M1792">
        <v>5.01</v>
      </c>
      <c r="N1792" s="12" t="s">
        <v>145</v>
      </c>
      <c r="O1792" s="12" t="s">
        <v>146</v>
      </c>
      <c r="P1792" s="12" t="s">
        <v>109</v>
      </c>
      <c r="Q1792" s="13">
        <v>45286</v>
      </c>
      <c r="R1792" s="13">
        <v>45324</v>
      </c>
      <c r="S1792">
        <v>2023</v>
      </c>
      <c r="T1792" s="12" t="s">
        <v>2336</v>
      </c>
      <c r="U1792">
        <v>143</v>
      </c>
      <c r="V1792">
        <v>248.16210000000001</v>
      </c>
      <c r="W1792">
        <v>458.04</v>
      </c>
      <c r="X1792">
        <v>0</v>
      </c>
      <c r="Y1792">
        <v>0</v>
      </c>
      <c r="Z1792">
        <v>35487.18</v>
      </c>
      <c r="AA1792">
        <v>35945.22</v>
      </c>
      <c r="AB1792" s="12" t="s">
        <v>2492</v>
      </c>
      <c r="AC1792">
        <v>248.16210000000001</v>
      </c>
      <c r="AD1792">
        <v>1</v>
      </c>
      <c r="AE1792">
        <v>1</v>
      </c>
      <c r="AF1792">
        <v>0</v>
      </c>
      <c r="AG1792">
        <v>35487.18</v>
      </c>
      <c r="AH1792">
        <v>143</v>
      </c>
      <c r="AI1792">
        <v>143</v>
      </c>
      <c r="AJ1792">
        <v>0</v>
      </c>
      <c r="AK1792">
        <v>1</v>
      </c>
      <c r="AL1792">
        <v>1</v>
      </c>
      <c r="AM1792">
        <v>100</v>
      </c>
      <c r="AN1792">
        <v>251.36519999999999</v>
      </c>
      <c r="AO1792">
        <v>0</v>
      </c>
      <c r="AP1792" s="13">
        <v>45323</v>
      </c>
      <c r="AQ1792">
        <v>-1</v>
      </c>
      <c r="AR1792">
        <v>1</v>
      </c>
    </row>
    <row r="1793" spans="1:44" x14ac:dyDescent="0.35">
      <c r="A1793" s="12" t="s">
        <v>2493</v>
      </c>
      <c r="B1793" s="12" t="s">
        <v>215</v>
      </c>
      <c r="C1793" s="12" t="s">
        <v>216</v>
      </c>
      <c r="D1793" s="12" t="s">
        <v>122</v>
      </c>
      <c r="E1793" s="12" t="s">
        <v>142</v>
      </c>
      <c r="F1793">
        <v>3</v>
      </c>
      <c r="G1793">
        <v>11</v>
      </c>
      <c r="H1793">
        <v>0</v>
      </c>
      <c r="I1793" s="12" t="s">
        <v>217</v>
      </c>
      <c r="J1793" s="12" t="s">
        <v>218</v>
      </c>
      <c r="K1793" s="12" t="s">
        <v>68</v>
      </c>
      <c r="L1793" s="12" t="s">
        <v>82</v>
      </c>
      <c r="M1793">
        <v>14.24</v>
      </c>
      <c r="N1793" s="12" t="s">
        <v>70</v>
      </c>
      <c r="O1793" s="12" t="s">
        <v>71</v>
      </c>
      <c r="P1793" s="12" t="s">
        <v>72</v>
      </c>
      <c r="Q1793" s="13">
        <v>45286</v>
      </c>
      <c r="R1793" s="13">
        <v>45324</v>
      </c>
      <c r="S1793">
        <v>2023</v>
      </c>
      <c r="T1793" s="12" t="s">
        <v>2336</v>
      </c>
      <c r="U1793">
        <v>569</v>
      </c>
      <c r="V1793">
        <v>15.462199999999999</v>
      </c>
      <c r="W1793">
        <v>139.97</v>
      </c>
      <c r="X1793">
        <v>0</v>
      </c>
      <c r="Y1793">
        <v>0</v>
      </c>
      <c r="Z1793">
        <v>8797.99</v>
      </c>
      <c r="AA1793">
        <v>8937.9599999999991</v>
      </c>
      <c r="AB1793" s="12" t="s">
        <v>219</v>
      </c>
      <c r="AC1793">
        <v>15.462199999999999</v>
      </c>
      <c r="AD1793">
        <v>1</v>
      </c>
      <c r="AE1793">
        <v>1</v>
      </c>
      <c r="AF1793">
        <v>0</v>
      </c>
      <c r="AG1793">
        <v>8797.99</v>
      </c>
      <c r="AH1793">
        <v>569</v>
      </c>
      <c r="AI1793">
        <v>566</v>
      </c>
      <c r="AJ1793">
        <v>3</v>
      </c>
      <c r="AK1793">
        <v>1</v>
      </c>
      <c r="AL1793">
        <v>1</v>
      </c>
      <c r="AM1793">
        <v>99.47</v>
      </c>
      <c r="AN1793">
        <v>15.791499999999999</v>
      </c>
      <c r="AO1793">
        <v>46.39</v>
      </c>
      <c r="AP1793" s="13">
        <v>45324</v>
      </c>
      <c r="AQ1793">
        <v>0</v>
      </c>
      <c r="AR1793">
        <v>1</v>
      </c>
    </row>
    <row r="1794" spans="1:44" x14ac:dyDescent="0.35">
      <c r="A1794" s="12" t="s">
        <v>2494</v>
      </c>
      <c r="B1794" s="12" t="s">
        <v>221</v>
      </c>
      <c r="C1794" s="12" t="s">
        <v>222</v>
      </c>
      <c r="D1794" s="12" t="s">
        <v>114</v>
      </c>
      <c r="E1794" s="12" t="s">
        <v>142</v>
      </c>
      <c r="F1794">
        <v>3</v>
      </c>
      <c r="G1794">
        <v>11</v>
      </c>
      <c r="H1794">
        <v>0</v>
      </c>
      <c r="I1794" s="12" t="s">
        <v>105</v>
      </c>
      <c r="J1794" s="12" t="s">
        <v>106</v>
      </c>
      <c r="K1794" s="12" t="s">
        <v>81</v>
      </c>
      <c r="L1794" s="12" t="s">
        <v>96</v>
      </c>
      <c r="M1794">
        <v>5.01</v>
      </c>
      <c r="N1794" s="12" t="s">
        <v>70</v>
      </c>
      <c r="O1794" s="12" t="s">
        <v>71</v>
      </c>
      <c r="P1794" s="12" t="s">
        <v>72</v>
      </c>
      <c r="Q1794" s="13">
        <v>45286</v>
      </c>
      <c r="R1794" s="13">
        <v>45330</v>
      </c>
      <c r="S1794">
        <v>2023</v>
      </c>
      <c r="T1794" s="12" t="s">
        <v>2336</v>
      </c>
      <c r="U1794">
        <v>84</v>
      </c>
      <c r="V1794">
        <v>239.12739999999999</v>
      </c>
      <c r="W1794">
        <v>155.68</v>
      </c>
      <c r="X1794">
        <v>0</v>
      </c>
      <c r="Y1794">
        <v>0</v>
      </c>
      <c r="Z1794">
        <v>20086.7</v>
      </c>
      <c r="AA1794">
        <v>20242.38</v>
      </c>
      <c r="AB1794" s="12" t="s">
        <v>1239</v>
      </c>
      <c r="AC1794">
        <v>239.12739999999999</v>
      </c>
      <c r="AD1794">
        <v>1</v>
      </c>
      <c r="AE1794">
        <v>1</v>
      </c>
      <c r="AF1794">
        <v>0</v>
      </c>
      <c r="AG1794">
        <v>20086.7</v>
      </c>
      <c r="AH1794">
        <v>84</v>
      </c>
      <c r="AI1794">
        <v>83</v>
      </c>
      <c r="AJ1794">
        <v>1</v>
      </c>
      <c r="AK1794">
        <v>1</v>
      </c>
      <c r="AL1794">
        <v>1</v>
      </c>
      <c r="AM1794">
        <v>98.81</v>
      </c>
      <c r="AN1794">
        <v>243.88409999999999</v>
      </c>
      <c r="AO1794">
        <v>239.13</v>
      </c>
      <c r="AP1794" s="13">
        <v>45328</v>
      </c>
      <c r="AQ1794">
        <v>-2</v>
      </c>
      <c r="AR1794">
        <v>1</v>
      </c>
    </row>
    <row r="1795" spans="1:44" x14ac:dyDescent="0.35">
      <c r="A1795" s="12" t="s">
        <v>2495</v>
      </c>
      <c r="B1795" s="12" t="s">
        <v>766</v>
      </c>
      <c r="C1795" s="12" t="s">
        <v>767</v>
      </c>
      <c r="D1795" s="12" t="s">
        <v>175</v>
      </c>
      <c r="E1795" s="12" t="s">
        <v>65</v>
      </c>
      <c r="F1795">
        <v>3</v>
      </c>
      <c r="G1795">
        <v>5</v>
      </c>
      <c r="H1795">
        <v>0</v>
      </c>
      <c r="I1795" s="12" t="s">
        <v>87</v>
      </c>
      <c r="J1795" s="12" t="s">
        <v>88</v>
      </c>
      <c r="K1795" s="12" t="s">
        <v>89</v>
      </c>
      <c r="L1795" s="12" t="s">
        <v>69</v>
      </c>
      <c r="M1795">
        <v>14.93</v>
      </c>
      <c r="N1795" s="12" t="s">
        <v>145</v>
      </c>
      <c r="O1795" s="12" t="s">
        <v>146</v>
      </c>
      <c r="P1795" s="12" t="s">
        <v>109</v>
      </c>
      <c r="Q1795" s="13">
        <v>45287</v>
      </c>
      <c r="R1795" s="13">
        <v>45324</v>
      </c>
      <c r="S1795">
        <v>2023</v>
      </c>
      <c r="T1795" s="12" t="s">
        <v>2336</v>
      </c>
      <c r="U1795">
        <v>142</v>
      </c>
      <c r="V1795">
        <v>86.977900000000005</v>
      </c>
      <c r="W1795">
        <v>196.82</v>
      </c>
      <c r="X1795">
        <v>0</v>
      </c>
      <c r="Y1795">
        <v>0</v>
      </c>
      <c r="Z1795">
        <v>12350.86</v>
      </c>
      <c r="AA1795">
        <v>12547.68</v>
      </c>
      <c r="AB1795" s="12" t="s">
        <v>768</v>
      </c>
      <c r="AC1795">
        <v>86.977900000000005</v>
      </c>
      <c r="AD1795">
        <v>1</v>
      </c>
      <c r="AE1795">
        <v>1</v>
      </c>
      <c r="AF1795">
        <v>0</v>
      </c>
      <c r="AG1795">
        <v>12350.86</v>
      </c>
      <c r="AH1795">
        <v>142</v>
      </c>
      <c r="AI1795">
        <v>142</v>
      </c>
      <c r="AJ1795">
        <v>0</v>
      </c>
      <c r="AK1795">
        <v>1</v>
      </c>
      <c r="AL1795">
        <v>1</v>
      </c>
      <c r="AM1795">
        <v>100</v>
      </c>
      <c r="AN1795">
        <v>88.364000000000004</v>
      </c>
      <c r="AO1795">
        <v>0</v>
      </c>
      <c r="AP1795" s="13">
        <v>45321</v>
      </c>
      <c r="AQ1795">
        <v>-3</v>
      </c>
      <c r="AR1795">
        <v>1</v>
      </c>
    </row>
    <row r="1796" spans="1:44" x14ac:dyDescent="0.35">
      <c r="A1796" s="12" t="s">
        <v>2496</v>
      </c>
      <c r="B1796" s="12" t="s">
        <v>477</v>
      </c>
      <c r="C1796" s="12" t="s">
        <v>478</v>
      </c>
      <c r="D1796" s="12" t="s">
        <v>130</v>
      </c>
      <c r="E1796" s="12" t="s">
        <v>104</v>
      </c>
      <c r="F1796">
        <v>3</v>
      </c>
      <c r="G1796">
        <v>1</v>
      </c>
      <c r="H1796">
        <v>0</v>
      </c>
      <c r="I1796" s="12" t="s">
        <v>380</v>
      </c>
      <c r="J1796" s="12" t="s">
        <v>381</v>
      </c>
      <c r="K1796" s="12" t="s">
        <v>89</v>
      </c>
      <c r="L1796" s="12" t="s">
        <v>96</v>
      </c>
      <c r="M1796">
        <v>10.210000000000001</v>
      </c>
      <c r="N1796" s="12" t="s">
        <v>135</v>
      </c>
      <c r="O1796" s="12" t="s">
        <v>136</v>
      </c>
      <c r="P1796" s="12" t="s">
        <v>137</v>
      </c>
      <c r="Q1796" s="13">
        <v>45287</v>
      </c>
      <c r="R1796" s="13">
        <v>45312</v>
      </c>
      <c r="S1796">
        <v>2023</v>
      </c>
      <c r="T1796" s="12" t="s">
        <v>2336</v>
      </c>
      <c r="U1796">
        <v>111</v>
      </c>
      <c r="V1796">
        <v>797.77200000000005</v>
      </c>
      <c r="W1796">
        <v>1493.66</v>
      </c>
      <c r="X1796">
        <v>0</v>
      </c>
      <c r="Y1796">
        <v>0</v>
      </c>
      <c r="Z1796">
        <v>88552.69</v>
      </c>
      <c r="AA1796">
        <v>90046.35</v>
      </c>
      <c r="AB1796" s="12" t="s">
        <v>1094</v>
      </c>
      <c r="AC1796">
        <v>778.59670000000006</v>
      </c>
      <c r="AD1796">
        <v>1</v>
      </c>
      <c r="AE1796">
        <v>1</v>
      </c>
      <c r="AF1796">
        <v>2128.46</v>
      </c>
      <c r="AG1796">
        <v>86424.23</v>
      </c>
      <c r="AH1796">
        <v>111</v>
      </c>
      <c r="AI1796">
        <v>110</v>
      </c>
      <c r="AJ1796">
        <v>1</v>
      </c>
      <c r="AK1796">
        <v>1</v>
      </c>
      <c r="AL1796">
        <v>1</v>
      </c>
      <c r="AM1796">
        <v>99.1</v>
      </c>
      <c r="AN1796">
        <v>818.60320000000002</v>
      </c>
      <c r="AO1796">
        <v>797.77</v>
      </c>
      <c r="AP1796" s="13">
        <v>45310</v>
      </c>
      <c r="AQ1796">
        <v>-2</v>
      </c>
      <c r="AR1796">
        <v>1</v>
      </c>
    </row>
    <row r="1797" spans="1:44" x14ac:dyDescent="0.35">
      <c r="A1797" s="12" t="s">
        <v>2497</v>
      </c>
      <c r="B1797" s="12" t="s">
        <v>809</v>
      </c>
      <c r="C1797" s="12" t="s">
        <v>810</v>
      </c>
      <c r="D1797" s="12" t="s">
        <v>114</v>
      </c>
      <c r="E1797" s="12" t="s">
        <v>65</v>
      </c>
      <c r="F1797">
        <v>3</v>
      </c>
      <c r="G1797">
        <v>5</v>
      </c>
      <c r="H1797">
        <v>0</v>
      </c>
      <c r="I1797" s="12" t="s">
        <v>804</v>
      </c>
      <c r="J1797" s="12" t="s">
        <v>342</v>
      </c>
      <c r="K1797" s="12" t="s">
        <v>117</v>
      </c>
      <c r="L1797" s="12" t="s">
        <v>69</v>
      </c>
      <c r="M1797">
        <v>30.07</v>
      </c>
      <c r="N1797" s="12" t="s">
        <v>97</v>
      </c>
      <c r="O1797" s="12" t="s">
        <v>98</v>
      </c>
      <c r="P1797" s="12" t="s">
        <v>72</v>
      </c>
      <c r="Q1797" s="13">
        <v>45287</v>
      </c>
      <c r="R1797" s="13">
        <v>45323</v>
      </c>
      <c r="S1797">
        <v>2023</v>
      </c>
      <c r="T1797" s="12" t="s">
        <v>2336</v>
      </c>
      <c r="U1797">
        <v>128</v>
      </c>
      <c r="V1797">
        <v>323.22789999999998</v>
      </c>
      <c r="W1797">
        <v>1045.4100000000001</v>
      </c>
      <c r="X1797">
        <v>0</v>
      </c>
      <c r="Y1797">
        <v>0</v>
      </c>
      <c r="Z1797">
        <v>41373.17</v>
      </c>
      <c r="AA1797">
        <v>42418.58</v>
      </c>
      <c r="AB1797" s="12" t="s">
        <v>880</v>
      </c>
      <c r="AC1797">
        <v>323.22789999999998</v>
      </c>
      <c r="AD1797">
        <v>1</v>
      </c>
      <c r="AE1797">
        <v>1</v>
      </c>
      <c r="AF1797">
        <v>0</v>
      </c>
      <c r="AG1797">
        <v>41373.17</v>
      </c>
      <c r="AH1797">
        <v>128</v>
      </c>
      <c r="AI1797">
        <v>126</v>
      </c>
      <c r="AJ1797">
        <v>2</v>
      </c>
      <c r="AK1797">
        <v>1</v>
      </c>
      <c r="AL1797">
        <v>1</v>
      </c>
      <c r="AM1797">
        <v>98.44</v>
      </c>
      <c r="AN1797">
        <v>336.65539999999999</v>
      </c>
      <c r="AO1797">
        <v>646.46</v>
      </c>
      <c r="AP1797" s="13">
        <v>45322</v>
      </c>
      <c r="AQ1797">
        <v>-1</v>
      </c>
      <c r="AR1797">
        <v>1</v>
      </c>
    </row>
    <row r="1798" spans="1:44" x14ac:dyDescent="0.35">
      <c r="A1798" s="12" t="s">
        <v>2498</v>
      </c>
      <c r="B1798" s="12" t="s">
        <v>391</v>
      </c>
      <c r="C1798" s="12" t="s">
        <v>392</v>
      </c>
      <c r="D1798" s="12" t="s">
        <v>114</v>
      </c>
      <c r="E1798" s="12" t="s">
        <v>65</v>
      </c>
      <c r="F1798">
        <v>2</v>
      </c>
      <c r="G1798">
        <v>2</v>
      </c>
      <c r="H1798">
        <v>0</v>
      </c>
      <c r="I1798" s="12" t="s">
        <v>310</v>
      </c>
      <c r="J1798" s="12" t="s">
        <v>311</v>
      </c>
      <c r="K1798" s="12" t="s">
        <v>81</v>
      </c>
      <c r="L1798" s="12" t="s">
        <v>69</v>
      </c>
      <c r="M1798">
        <v>28.3</v>
      </c>
      <c r="N1798" s="12" t="s">
        <v>70</v>
      </c>
      <c r="O1798" s="12" t="s">
        <v>71</v>
      </c>
      <c r="P1798" s="12" t="s">
        <v>72</v>
      </c>
      <c r="Q1798" s="13">
        <v>45287</v>
      </c>
      <c r="R1798" s="13">
        <v>45309</v>
      </c>
      <c r="S1798">
        <v>2023</v>
      </c>
      <c r="T1798" s="12" t="s">
        <v>2336</v>
      </c>
      <c r="U1798">
        <v>21</v>
      </c>
      <c r="V1798">
        <v>223.56530000000001</v>
      </c>
      <c r="W1798">
        <v>119.47</v>
      </c>
      <c r="X1798">
        <v>0</v>
      </c>
      <c r="Y1798">
        <v>0</v>
      </c>
      <c r="Z1798">
        <v>4694.87</v>
      </c>
      <c r="AA1798">
        <v>4814.34</v>
      </c>
      <c r="AB1798" s="12" t="s">
        <v>393</v>
      </c>
      <c r="AC1798">
        <v>223.56530000000001</v>
      </c>
      <c r="AD1798">
        <v>1</v>
      </c>
      <c r="AE1798">
        <v>1</v>
      </c>
      <c r="AF1798">
        <v>0</v>
      </c>
      <c r="AG1798">
        <v>4694.87</v>
      </c>
      <c r="AH1798">
        <v>21</v>
      </c>
      <c r="AI1798">
        <v>21</v>
      </c>
      <c r="AJ1798">
        <v>0</v>
      </c>
      <c r="AK1798">
        <v>1</v>
      </c>
      <c r="AL1798">
        <v>1</v>
      </c>
      <c r="AM1798">
        <v>100</v>
      </c>
      <c r="AN1798">
        <v>229.2543</v>
      </c>
      <c r="AO1798">
        <v>0</v>
      </c>
      <c r="AP1798" s="13">
        <v>45307</v>
      </c>
      <c r="AQ1798">
        <v>-2</v>
      </c>
      <c r="AR1798">
        <v>1</v>
      </c>
    </row>
    <row r="1799" spans="1:44" x14ac:dyDescent="0.35">
      <c r="A1799" s="12" t="s">
        <v>2499</v>
      </c>
      <c r="B1799" s="12" t="s">
        <v>587</v>
      </c>
      <c r="C1799" s="12" t="s">
        <v>588</v>
      </c>
      <c r="D1799" s="12" t="s">
        <v>122</v>
      </c>
      <c r="E1799" s="12" t="s">
        <v>104</v>
      </c>
      <c r="F1799">
        <v>2</v>
      </c>
      <c r="G1799">
        <v>0</v>
      </c>
      <c r="H1799">
        <v>0</v>
      </c>
      <c r="I1799" s="12" t="s">
        <v>486</v>
      </c>
      <c r="J1799" s="12" t="s">
        <v>487</v>
      </c>
      <c r="K1799" s="12" t="s">
        <v>125</v>
      </c>
      <c r="L1799" s="12" t="s">
        <v>69</v>
      </c>
      <c r="M1799">
        <v>36.86</v>
      </c>
      <c r="N1799" s="12" t="s">
        <v>70</v>
      </c>
      <c r="O1799" s="12" t="s">
        <v>71</v>
      </c>
      <c r="P1799" s="12" t="s">
        <v>72</v>
      </c>
      <c r="Q1799" s="13">
        <v>45287</v>
      </c>
      <c r="R1799" s="13">
        <v>45305</v>
      </c>
      <c r="S1799">
        <v>2023</v>
      </c>
      <c r="T1799" s="12" t="s">
        <v>2336</v>
      </c>
      <c r="U1799">
        <v>826</v>
      </c>
      <c r="V1799">
        <v>11.7963</v>
      </c>
      <c r="W1799">
        <v>213.91</v>
      </c>
      <c r="X1799">
        <v>296.83999999999997</v>
      </c>
      <c r="Y1799">
        <v>1</v>
      </c>
      <c r="Z1799">
        <v>9743.74</v>
      </c>
      <c r="AA1799">
        <v>10254.49</v>
      </c>
      <c r="AB1799" s="12" t="s">
        <v>744</v>
      </c>
      <c r="AC1799">
        <v>12.517899999999999</v>
      </c>
      <c r="AD1799">
        <v>1</v>
      </c>
      <c r="AE1799">
        <v>1</v>
      </c>
      <c r="AF1799">
        <v>-596.04</v>
      </c>
      <c r="AG1799">
        <v>10339.790000000001</v>
      </c>
      <c r="AH1799">
        <v>826</v>
      </c>
      <c r="AI1799">
        <v>824</v>
      </c>
      <c r="AJ1799">
        <v>2</v>
      </c>
      <c r="AK1799">
        <v>1</v>
      </c>
      <c r="AL1799">
        <v>1</v>
      </c>
      <c r="AM1799">
        <v>99.76</v>
      </c>
      <c r="AN1799">
        <v>12.444800000000001</v>
      </c>
      <c r="AO1799">
        <v>23.59</v>
      </c>
      <c r="AP1799" s="13">
        <v>45305</v>
      </c>
      <c r="AQ1799">
        <v>0</v>
      </c>
      <c r="AR1799">
        <v>1</v>
      </c>
    </row>
    <row r="1800" spans="1:44" x14ac:dyDescent="0.35">
      <c r="A1800" s="12" t="s">
        <v>2500</v>
      </c>
      <c r="B1800" s="12" t="s">
        <v>755</v>
      </c>
      <c r="C1800" s="12" t="s">
        <v>756</v>
      </c>
      <c r="D1800" s="12" t="s">
        <v>78</v>
      </c>
      <c r="E1800" s="12" t="s">
        <v>65</v>
      </c>
      <c r="F1800">
        <v>2</v>
      </c>
      <c r="G1800">
        <v>2</v>
      </c>
      <c r="H1800">
        <v>0</v>
      </c>
      <c r="I1800" s="12" t="s">
        <v>359</v>
      </c>
      <c r="J1800" s="12" t="s">
        <v>360</v>
      </c>
      <c r="K1800" s="12" t="s">
        <v>133</v>
      </c>
      <c r="L1800" s="12" t="s">
        <v>82</v>
      </c>
      <c r="M1800">
        <v>12.65</v>
      </c>
      <c r="N1800" s="12" t="s">
        <v>70</v>
      </c>
      <c r="O1800" s="12" t="s">
        <v>71</v>
      </c>
      <c r="P1800" s="12" t="s">
        <v>72</v>
      </c>
      <c r="Q1800" s="13">
        <v>45288</v>
      </c>
      <c r="R1800" s="13">
        <v>45325</v>
      </c>
      <c r="S1800">
        <v>2023</v>
      </c>
      <c r="T1800" s="12" t="s">
        <v>2336</v>
      </c>
      <c r="U1800">
        <v>272</v>
      </c>
      <c r="V1800">
        <v>45.472499999999997</v>
      </c>
      <c r="W1800">
        <v>120.11</v>
      </c>
      <c r="X1800">
        <v>0</v>
      </c>
      <c r="Y1800">
        <v>0</v>
      </c>
      <c r="Z1800">
        <v>12368.52</v>
      </c>
      <c r="AA1800">
        <v>12488.63</v>
      </c>
      <c r="AB1800" s="12" t="s">
        <v>759</v>
      </c>
      <c r="AC1800">
        <v>45.472499999999997</v>
      </c>
      <c r="AD1800">
        <v>1</v>
      </c>
      <c r="AE1800">
        <v>1</v>
      </c>
      <c r="AF1800">
        <v>0</v>
      </c>
      <c r="AG1800">
        <v>12368.52</v>
      </c>
      <c r="AH1800">
        <v>272</v>
      </c>
      <c r="AI1800">
        <v>265</v>
      </c>
      <c r="AJ1800">
        <v>7</v>
      </c>
      <c r="AK1800">
        <v>1</v>
      </c>
      <c r="AL1800">
        <v>1</v>
      </c>
      <c r="AM1800">
        <v>97.43</v>
      </c>
      <c r="AN1800">
        <v>47.126899999999999</v>
      </c>
      <c r="AO1800">
        <v>318.31</v>
      </c>
      <c r="AP1800" s="13">
        <v>45328</v>
      </c>
      <c r="AQ1800">
        <v>3</v>
      </c>
      <c r="AR1800">
        <v>0</v>
      </c>
    </row>
    <row r="1801" spans="1:44" x14ac:dyDescent="0.35">
      <c r="A1801" s="12" t="s">
        <v>2501</v>
      </c>
      <c r="B1801" s="12" t="s">
        <v>458</v>
      </c>
      <c r="C1801" s="12" t="s">
        <v>459</v>
      </c>
      <c r="D1801" s="12" t="s">
        <v>64</v>
      </c>
      <c r="E1801" s="12" t="s">
        <v>104</v>
      </c>
      <c r="F1801">
        <v>2</v>
      </c>
      <c r="G1801">
        <v>0</v>
      </c>
      <c r="H1801">
        <v>0</v>
      </c>
      <c r="I1801" s="12" t="s">
        <v>143</v>
      </c>
      <c r="J1801" s="12" t="s">
        <v>144</v>
      </c>
      <c r="K1801" s="12" t="s">
        <v>133</v>
      </c>
      <c r="L1801" s="12" t="s">
        <v>96</v>
      </c>
      <c r="M1801">
        <v>5.43</v>
      </c>
      <c r="N1801" s="12" t="s">
        <v>97</v>
      </c>
      <c r="O1801" s="12" t="s">
        <v>98</v>
      </c>
      <c r="P1801" s="12" t="s">
        <v>72</v>
      </c>
      <c r="Q1801" s="13">
        <v>45288</v>
      </c>
      <c r="R1801" s="13">
        <v>45304</v>
      </c>
      <c r="S1801">
        <v>2023</v>
      </c>
      <c r="T1801" s="12" t="s">
        <v>2336</v>
      </c>
      <c r="U1801">
        <v>301</v>
      </c>
      <c r="V1801">
        <v>24.782299999999999</v>
      </c>
      <c r="W1801">
        <v>65.98</v>
      </c>
      <c r="X1801">
        <v>0</v>
      </c>
      <c r="Y1801">
        <v>0</v>
      </c>
      <c r="Z1801">
        <v>7459.47</v>
      </c>
      <c r="AA1801">
        <v>7525.45</v>
      </c>
      <c r="AB1801" s="12" t="s">
        <v>480</v>
      </c>
      <c r="AC1801">
        <v>24.782299999999999</v>
      </c>
      <c r="AD1801">
        <v>1</v>
      </c>
      <c r="AE1801">
        <v>1</v>
      </c>
      <c r="AF1801">
        <v>0</v>
      </c>
      <c r="AG1801">
        <v>7459.47</v>
      </c>
      <c r="AH1801">
        <v>301</v>
      </c>
      <c r="AI1801">
        <v>300</v>
      </c>
      <c r="AJ1801">
        <v>1</v>
      </c>
      <c r="AK1801">
        <v>1</v>
      </c>
      <c r="AL1801">
        <v>1</v>
      </c>
      <c r="AM1801">
        <v>99.67</v>
      </c>
      <c r="AN1801">
        <v>25.084800000000001</v>
      </c>
      <c r="AO1801">
        <v>24.78</v>
      </c>
      <c r="AP1801" s="13">
        <v>45304</v>
      </c>
      <c r="AQ1801">
        <v>0</v>
      </c>
      <c r="AR1801">
        <v>1</v>
      </c>
    </row>
    <row r="1802" spans="1:44" x14ac:dyDescent="0.35">
      <c r="A1802" s="12" t="s">
        <v>2502</v>
      </c>
      <c r="B1802" s="12" t="s">
        <v>482</v>
      </c>
      <c r="C1802" s="12" t="s">
        <v>483</v>
      </c>
      <c r="D1802" s="12" t="s">
        <v>78</v>
      </c>
      <c r="E1802" s="12" t="s">
        <v>142</v>
      </c>
      <c r="F1802">
        <v>2</v>
      </c>
      <c r="G1802">
        <v>9</v>
      </c>
      <c r="H1802">
        <v>0</v>
      </c>
      <c r="I1802" s="12" t="s">
        <v>87</v>
      </c>
      <c r="J1802" s="12" t="s">
        <v>88</v>
      </c>
      <c r="K1802" s="12" t="s">
        <v>89</v>
      </c>
      <c r="L1802" s="12" t="s">
        <v>69</v>
      </c>
      <c r="M1802">
        <v>14.93</v>
      </c>
      <c r="N1802" s="12" t="s">
        <v>97</v>
      </c>
      <c r="O1802" s="12" t="s">
        <v>98</v>
      </c>
      <c r="P1802" s="12" t="s">
        <v>72</v>
      </c>
      <c r="Q1802" s="13">
        <v>45288</v>
      </c>
      <c r="R1802" s="13">
        <v>45326</v>
      </c>
      <c r="S1802">
        <v>2023</v>
      </c>
      <c r="T1802" s="12" t="s">
        <v>2336</v>
      </c>
      <c r="U1802">
        <v>91</v>
      </c>
      <c r="V1802">
        <v>49.685899999999997</v>
      </c>
      <c r="W1802">
        <v>29.22</v>
      </c>
      <c r="X1802">
        <v>0</v>
      </c>
      <c r="Y1802">
        <v>0</v>
      </c>
      <c r="Z1802">
        <v>4521.42</v>
      </c>
      <c r="AA1802">
        <v>4550.6400000000003</v>
      </c>
      <c r="AB1802" s="12" t="s">
        <v>484</v>
      </c>
      <c r="AC1802">
        <v>49.685899999999997</v>
      </c>
      <c r="AD1802">
        <v>1</v>
      </c>
      <c r="AE1802">
        <v>1</v>
      </c>
      <c r="AF1802">
        <v>0</v>
      </c>
      <c r="AG1802">
        <v>4521.42</v>
      </c>
      <c r="AH1802">
        <v>91</v>
      </c>
      <c r="AI1802">
        <v>89</v>
      </c>
      <c r="AJ1802">
        <v>2</v>
      </c>
      <c r="AK1802">
        <v>1</v>
      </c>
      <c r="AL1802">
        <v>1</v>
      </c>
      <c r="AM1802">
        <v>97.8</v>
      </c>
      <c r="AN1802">
        <v>51.130800000000001</v>
      </c>
      <c r="AO1802">
        <v>99.37</v>
      </c>
      <c r="AP1802" s="13">
        <v>45324</v>
      </c>
      <c r="AQ1802">
        <v>-2</v>
      </c>
      <c r="AR1802">
        <v>1</v>
      </c>
    </row>
    <row r="1803" spans="1:44" x14ac:dyDescent="0.35">
      <c r="A1803" s="12" t="s">
        <v>2503</v>
      </c>
      <c r="B1803" s="12" t="s">
        <v>740</v>
      </c>
      <c r="C1803" s="12" t="s">
        <v>741</v>
      </c>
      <c r="D1803" s="12" t="s">
        <v>64</v>
      </c>
      <c r="E1803" s="12" t="s">
        <v>104</v>
      </c>
      <c r="F1803">
        <v>2</v>
      </c>
      <c r="G1803">
        <v>0</v>
      </c>
      <c r="H1803">
        <v>0</v>
      </c>
      <c r="I1803" s="12" t="s">
        <v>183</v>
      </c>
      <c r="J1803" s="12" t="s">
        <v>184</v>
      </c>
      <c r="K1803" s="12" t="s">
        <v>133</v>
      </c>
      <c r="L1803" s="12" t="s">
        <v>82</v>
      </c>
      <c r="M1803">
        <v>8.6199999999999992</v>
      </c>
      <c r="N1803" s="12" t="s">
        <v>70</v>
      </c>
      <c r="O1803" s="12" t="s">
        <v>71</v>
      </c>
      <c r="P1803" s="12" t="s">
        <v>72</v>
      </c>
      <c r="Q1803" s="13">
        <v>45288</v>
      </c>
      <c r="R1803" s="13">
        <v>45316</v>
      </c>
      <c r="S1803">
        <v>2023</v>
      </c>
      <c r="T1803" s="12" t="s">
        <v>2336</v>
      </c>
      <c r="U1803">
        <v>932</v>
      </c>
      <c r="V1803">
        <v>38.748699999999999</v>
      </c>
      <c r="W1803">
        <v>217.81</v>
      </c>
      <c r="X1803">
        <v>0</v>
      </c>
      <c r="Y1803">
        <v>0</v>
      </c>
      <c r="Z1803">
        <v>36113.79</v>
      </c>
      <c r="AA1803">
        <v>36331.599999999999</v>
      </c>
      <c r="AB1803" s="12" t="s">
        <v>742</v>
      </c>
      <c r="AC1803">
        <v>41.2042</v>
      </c>
      <c r="AD1803">
        <v>1</v>
      </c>
      <c r="AE1803">
        <v>1</v>
      </c>
      <c r="AF1803">
        <v>-2288.5300000000002</v>
      </c>
      <c r="AG1803">
        <v>38402.31</v>
      </c>
      <c r="AH1803">
        <v>932</v>
      </c>
      <c r="AI1803">
        <v>918</v>
      </c>
      <c r="AJ1803">
        <v>14</v>
      </c>
      <c r="AK1803">
        <v>1</v>
      </c>
      <c r="AL1803">
        <v>1</v>
      </c>
      <c r="AM1803">
        <v>98.5</v>
      </c>
      <c r="AN1803">
        <v>39.576900000000002</v>
      </c>
      <c r="AO1803">
        <v>542.48</v>
      </c>
      <c r="AP1803" s="13">
        <v>45316</v>
      </c>
      <c r="AQ1803">
        <v>0</v>
      </c>
      <c r="AR1803">
        <v>1</v>
      </c>
    </row>
    <row r="1804" spans="1:44" x14ac:dyDescent="0.35">
      <c r="A1804" s="12" t="s">
        <v>2504</v>
      </c>
      <c r="B1804" s="12" t="s">
        <v>587</v>
      </c>
      <c r="C1804" s="12" t="s">
        <v>588</v>
      </c>
      <c r="D1804" s="12" t="s">
        <v>122</v>
      </c>
      <c r="E1804" s="12" t="s">
        <v>104</v>
      </c>
      <c r="F1804">
        <v>2</v>
      </c>
      <c r="G1804">
        <v>0</v>
      </c>
      <c r="H1804">
        <v>0</v>
      </c>
      <c r="I1804" s="12" t="s">
        <v>486</v>
      </c>
      <c r="J1804" s="12" t="s">
        <v>487</v>
      </c>
      <c r="K1804" s="12" t="s">
        <v>125</v>
      </c>
      <c r="L1804" s="12" t="s">
        <v>69</v>
      </c>
      <c r="M1804">
        <v>36.86</v>
      </c>
      <c r="N1804" s="12" t="s">
        <v>97</v>
      </c>
      <c r="O1804" s="12" t="s">
        <v>98</v>
      </c>
      <c r="P1804" s="12" t="s">
        <v>72</v>
      </c>
      <c r="Q1804" s="13">
        <v>45288</v>
      </c>
      <c r="R1804" s="13">
        <v>45307</v>
      </c>
      <c r="S1804">
        <v>2023</v>
      </c>
      <c r="T1804" s="12" t="s">
        <v>2336</v>
      </c>
      <c r="U1804">
        <v>903</v>
      </c>
      <c r="V1804">
        <v>13.172599999999999</v>
      </c>
      <c r="W1804">
        <v>272.51</v>
      </c>
      <c r="X1804">
        <v>0</v>
      </c>
      <c r="Y1804">
        <v>0</v>
      </c>
      <c r="Z1804">
        <v>11894.86</v>
      </c>
      <c r="AA1804">
        <v>12167.37</v>
      </c>
      <c r="AB1804" s="12" t="s">
        <v>744</v>
      </c>
      <c r="AC1804">
        <v>12.517899999999999</v>
      </c>
      <c r="AD1804">
        <v>1</v>
      </c>
      <c r="AE1804">
        <v>1</v>
      </c>
      <c r="AF1804">
        <v>591.19000000000005</v>
      </c>
      <c r="AG1804">
        <v>11303.66</v>
      </c>
      <c r="AH1804">
        <v>903</v>
      </c>
      <c r="AI1804">
        <v>894</v>
      </c>
      <c r="AJ1804">
        <v>9</v>
      </c>
      <c r="AK1804">
        <v>1</v>
      </c>
      <c r="AL1804">
        <v>1</v>
      </c>
      <c r="AM1804">
        <v>99</v>
      </c>
      <c r="AN1804">
        <v>13.61</v>
      </c>
      <c r="AO1804">
        <v>118.55</v>
      </c>
      <c r="AP1804" s="13">
        <v>45307</v>
      </c>
      <c r="AQ1804">
        <v>0</v>
      </c>
      <c r="AR1804">
        <v>1</v>
      </c>
    </row>
    <row r="1805" spans="1:44" x14ac:dyDescent="0.35">
      <c r="A1805" s="12" t="s">
        <v>2505</v>
      </c>
      <c r="B1805" s="12" t="s">
        <v>498</v>
      </c>
      <c r="C1805" s="12" t="s">
        <v>499</v>
      </c>
      <c r="D1805" s="12" t="s">
        <v>175</v>
      </c>
      <c r="E1805" s="12" t="s">
        <v>104</v>
      </c>
      <c r="F1805">
        <v>3</v>
      </c>
      <c r="G1805">
        <v>1</v>
      </c>
      <c r="H1805">
        <v>0</v>
      </c>
      <c r="I1805" s="12" t="s">
        <v>233</v>
      </c>
      <c r="J1805" s="12" t="s">
        <v>234</v>
      </c>
      <c r="K1805" s="12" t="s">
        <v>125</v>
      </c>
      <c r="L1805" s="12" t="s">
        <v>96</v>
      </c>
      <c r="M1805">
        <v>3.73</v>
      </c>
      <c r="N1805" s="12" t="s">
        <v>145</v>
      </c>
      <c r="O1805" s="12" t="s">
        <v>146</v>
      </c>
      <c r="P1805" s="12" t="s">
        <v>109</v>
      </c>
      <c r="Q1805" s="13">
        <v>45288</v>
      </c>
      <c r="R1805" s="13">
        <v>45301</v>
      </c>
      <c r="S1805">
        <v>2023</v>
      </c>
      <c r="T1805" s="12" t="s">
        <v>2336</v>
      </c>
      <c r="U1805">
        <v>18</v>
      </c>
      <c r="V1805">
        <v>275.12700000000001</v>
      </c>
      <c r="W1805">
        <v>114</v>
      </c>
      <c r="X1805">
        <v>0</v>
      </c>
      <c r="Y1805">
        <v>0</v>
      </c>
      <c r="Z1805">
        <v>4952.29</v>
      </c>
      <c r="AA1805">
        <v>5066.29</v>
      </c>
      <c r="AB1805" s="12" t="s">
        <v>500</v>
      </c>
      <c r="AC1805">
        <v>284.75639999999999</v>
      </c>
      <c r="AD1805">
        <v>2</v>
      </c>
      <c r="AE1805">
        <v>1</v>
      </c>
      <c r="AF1805">
        <v>-173.33</v>
      </c>
      <c r="AG1805">
        <v>5125.62</v>
      </c>
      <c r="AH1805">
        <v>18</v>
      </c>
      <c r="AI1805">
        <v>18</v>
      </c>
      <c r="AJ1805">
        <v>0</v>
      </c>
      <c r="AK1805">
        <v>1</v>
      </c>
      <c r="AL1805">
        <v>1</v>
      </c>
      <c r="AM1805">
        <v>100</v>
      </c>
      <c r="AN1805">
        <v>281.46030000000002</v>
      </c>
      <c r="AO1805">
        <v>0</v>
      </c>
      <c r="AP1805" s="13">
        <v>45300</v>
      </c>
      <c r="AQ1805">
        <v>-1</v>
      </c>
      <c r="AR1805">
        <v>1</v>
      </c>
    </row>
    <row r="1806" spans="1:44" x14ac:dyDescent="0.35">
      <c r="A1806" s="12" t="s">
        <v>2506</v>
      </c>
      <c r="B1806" s="12" t="s">
        <v>848</v>
      </c>
      <c r="C1806" s="12" t="s">
        <v>849</v>
      </c>
      <c r="D1806" s="12" t="s">
        <v>103</v>
      </c>
      <c r="E1806" s="12" t="s">
        <v>65</v>
      </c>
      <c r="F1806">
        <v>2</v>
      </c>
      <c r="G1806">
        <v>4</v>
      </c>
      <c r="H1806">
        <v>0</v>
      </c>
      <c r="I1806" s="12" t="s">
        <v>169</v>
      </c>
      <c r="J1806" s="12" t="s">
        <v>170</v>
      </c>
      <c r="K1806" s="12" t="s">
        <v>89</v>
      </c>
      <c r="L1806" s="12" t="s">
        <v>134</v>
      </c>
      <c r="M1806">
        <v>1.37</v>
      </c>
      <c r="N1806" s="12" t="s">
        <v>145</v>
      </c>
      <c r="O1806" s="12" t="s">
        <v>146</v>
      </c>
      <c r="P1806" s="12" t="s">
        <v>109</v>
      </c>
      <c r="Q1806" s="13">
        <v>45289</v>
      </c>
      <c r="R1806" s="13">
        <v>45316</v>
      </c>
      <c r="S1806">
        <v>2023</v>
      </c>
      <c r="T1806" s="12" t="s">
        <v>2336</v>
      </c>
      <c r="U1806">
        <v>58</v>
      </c>
      <c r="V1806">
        <v>123.8275</v>
      </c>
      <c r="W1806">
        <v>67.599999999999994</v>
      </c>
      <c r="X1806">
        <v>0</v>
      </c>
      <c r="Y1806">
        <v>0</v>
      </c>
      <c r="Z1806">
        <v>7182</v>
      </c>
      <c r="AA1806">
        <v>7249.6</v>
      </c>
      <c r="AB1806" s="12" t="s">
        <v>1497</v>
      </c>
      <c r="AC1806">
        <v>123.8275</v>
      </c>
      <c r="AD1806">
        <v>1</v>
      </c>
      <c r="AE1806">
        <v>1</v>
      </c>
      <c r="AF1806">
        <v>0</v>
      </c>
      <c r="AG1806">
        <v>7182</v>
      </c>
      <c r="AH1806">
        <v>58</v>
      </c>
      <c r="AI1806">
        <v>57</v>
      </c>
      <c r="AJ1806">
        <v>1</v>
      </c>
      <c r="AK1806">
        <v>1</v>
      </c>
      <c r="AL1806">
        <v>1</v>
      </c>
      <c r="AM1806">
        <v>98.28</v>
      </c>
      <c r="AN1806">
        <v>127.1859</v>
      </c>
      <c r="AO1806">
        <v>123.83</v>
      </c>
      <c r="AP1806" s="13">
        <v>45314</v>
      </c>
      <c r="AQ1806">
        <v>-2</v>
      </c>
      <c r="AR1806">
        <v>1</v>
      </c>
    </row>
    <row r="1807" spans="1:44" x14ac:dyDescent="0.35">
      <c r="A1807" s="12" t="s">
        <v>2507</v>
      </c>
      <c r="B1807" s="12" t="s">
        <v>420</v>
      </c>
      <c r="C1807" s="12" t="s">
        <v>421</v>
      </c>
      <c r="D1807" s="12" t="s">
        <v>269</v>
      </c>
      <c r="E1807" s="12" t="s">
        <v>104</v>
      </c>
      <c r="F1807">
        <v>2</v>
      </c>
      <c r="G1807">
        <v>0</v>
      </c>
      <c r="H1807">
        <v>0</v>
      </c>
      <c r="I1807" s="12" t="s">
        <v>380</v>
      </c>
      <c r="J1807" s="12" t="s">
        <v>381</v>
      </c>
      <c r="K1807" s="12" t="s">
        <v>89</v>
      </c>
      <c r="L1807" s="12" t="s">
        <v>96</v>
      </c>
      <c r="M1807">
        <v>10.210000000000001</v>
      </c>
      <c r="N1807" s="12" t="s">
        <v>135</v>
      </c>
      <c r="O1807" s="12" t="s">
        <v>136</v>
      </c>
      <c r="P1807" s="12" t="s">
        <v>137</v>
      </c>
      <c r="Q1807" s="13">
        <v>45289</v>
      </c>
      <c r="R1807" s="13">
        <v>45304</v>
      </c>
      <c r="S1807">
        <v>2023</v>
      </c>
      <c r="T1807" s="12" t="s">
        <v>2336</v>
      </c>
      <c r="U1807">
        <v>40</v>
      </c>
      <c r="V1807">
        <v>146.53960000000001</v>
      </c>
      <c r="W1807">
        <v>53.69</v>
      </c>
      <c r="X1807">
        <v>0</v>
      </c>
      <c r="Y1807">
        <v>0</v>
      </c>
      <c r="Z1807">
        <v>5861.58</v>
      </c>
      <c r="AA1807">
        <v>5915.27</v>
      </c>
      <c r="AB1807" s="12" t="s">
        <v>422</v>
      </c>
      <c r="AC1807">
        <v>146.53960000000001</v>
      </c>
      <c r="AD1807">
        <v>1</v>
      </c>
      <c r="AE1807">
        <v>1</v>
      </c>
      <c r="AF1807">
        <v>0</v>
      </c>
      <c r="AG1807">
        <v>5861.58</v>
      </c>
      <c r="AH1807">
        <v>40</v>
      </c>
      <c r="AI1807">
        <v>39</v>
      </c>
      <c r="AJ1807">
        <v>1</v>
      </c>
      <c r="AK1807">
        <v>1</v>
      </c>
      <c r="AL1807">
        <v>1</v>
      </c>
      <c r="AM1807">
        <v>97.5</v>
      </c>
      <c r="AN1807">
        <v>151.6737</v>
      </c>
      <c r="AO1807">
        <v>146.54</v>
      </c>
      <c r="AP1807" s="13">
        <v>45304</v>
      </c>
      <c r="AQ1807">
        <v>0</v>
      </c>
      <c r="AR1807">
        <v>1</v>
      </c>
    </row>
    <row r="1808" spans="1:44" x14ac:dyDescent="0.35">
      <c r="A1808" s="12" t="s">
        <v>2508</v>
      </c>
      <c r="B1808" s="12" t="s">
        <v>728</v>
      </c>
      <c r="C1808" s="12" t="s">
        <v>729</v>
      </c>
      <c r="D1808" s="12" t="s">
        <v>269</v>
      </c>
      <c r="E1808" s="12" t="s">
        <v>65</v>
      </c>
      <c r="F1808">
        <v>2</v>
      </c>
      <c r="G1808">
        <v>3</v>
      </c>
      <c r="H1808">
        <v>0</v>
      </c>
      <c r="I1808" s="12" t="s">
        <v>310</v>
      </c>
      <c r="J1808" s="12" t="s">
        <v>311</v>
      </c>
      <c r="K1808" s="12" t="s">
        <v>81</v>
      </c>
      <c r="L1808" s="12" t="s">
        <v>69</v>
      </c>
      <c r="M1808">
        <v>28.3</v>
      </c>
      <c r="N1808" s="12" t="s">
        <v>159</v>
      </c>
      <c r="O1808" s="12" t="s">
        <v>160</v>
      </c>
      <c r="P1808" s="12" t="s">
        <v>137</v>
      </c>
      <c r="Q1808" s="13">
        <v>45289</v>
      </c>
      <c r="R1808" s="13">
        <v>45313</v>
      </c>
      <c r="S1808">
        <v>2023</v>
      </c>
      <c r="T1808" s="12" t="s">
        <v>2336</v>
      </c>
      <c r="U1808">
        <v>38</v>
      </c>
      <c r="V1808">
        <v>374.99740000000003</v>
      </c>
      <c r="W1808">
        <v>158.76</v>
      </c>
      <c r="X1808">
        <v>0</v>
      </c>
      <c r="Y1808">
        <v>0</v>
      </c>
      <c r="Z1808">
        <v>14249.9</v>
      </c>
      <c r="AA1808">
        <v>14408.66</v>
      </c>
      <c r="AB1808" s="12" t="s">
        <v>730</v>
      </c>
      <c r="AC1808">
        <v>374.99740000000003</v>
      </c>
      <c r="AD1808">
        <v>1</v>
      </c>
      <c r="AE1808">
        <v>1</v>
      </c>
      <c r="AF1808">
        <v>0</v>
      </c>
      <c r="AG1808">
        <v>14249.9</v>
      </c>
      <c r="AH1808">
        <v>38</v>
      </c>
      <c r="AI1808">
        <v>38</v>
      </c>
      <c r="AJ1808">
        <v>0</v>
      </c>
      <c r="AK1808">
        <v>1</v>
      </c>
      <c r="AL1808">
        <v>1</v>
      </c>
      <c r="AM1808">
        <v>100</v>
      </c>
      <c r="AN1808">
        <v>379.17529999999999</v>
      </c>
      <c r="AO1808">
        <v>0</v>
      </c>
      <c r="AP1808" s="13">
        <v>45310</v>
      </c>
      <c r="AQ1808">
        <v>-3</v>
      </c>
      <c r="AR1808">
        <v>1</v>
      </c>
    </row>
    <row r="1809" spans="1:44" x14ac:dyDescent="0.35">
      <c r="A1809" s="12" t="s">
        <v>2509</v>
      </c>
      <c r="B1809" s="12" t="s">
        <v>458</v>
      </c>
      <c r="C1809" s="12" t="s">
        <v>459</v>
      </c>
      <c r="D1809" s="12" t="s">
        <v>64</v>
      </c>
      <c r="E1809" s="12" t="s">
        <v>104</v>
      </c>
      <c r="F1809">
        <v>2</v>
      </c>
      <c r="G1809">
        <v>0</v>
      </c>
      <c r="H1809">
        <v>0</v>
      </c>
      <c r="I1809" s="12" t="s">
        <v>199</v>
      </c>
      <c r="J1809" s="12" t="s">
        <v>200</v>
      </c>
      <c r="K1809" s="12" t="s">
        <v>68</v>
      </c>
      <c r="L1809" s="12" t="s">
        <v>96</v>
      </c>
      <c r="M1809">
        <v>9.4700000000000006</v>
      </c>
      <c r="N1809" s="12" t="s">
        <v>97</v>
      </c>
      <c r="O1809" s="12" t="s">
        <v>98</v>
      </c>
      <c r="P1809" s="12" t="s">
        <v>72</v>
      </c>
      <c r="Q1809" s="13">
        <v>45289</v>
      </c>
      <c r="R1809" s="13">
        <v>45318</v>
      </c>
      <c r="S1809">
        <v>2023</v>
      </c>
      <c r="T1809" s="12" t="s">
        <v>2336</v>
      </c>
      <c r="U1809">
        <v>985</v>
      </c>
      <c r="V1809">
        <v>24.782299999999999</v>
      </c>
      <c r="W1809">
        <v>508.87</v>
      </c>
      <c r="X1809">
        <v>0</v>
      </c>
      <c r="Y1809">
        <v>0</v>
      </c>
      <c r="Z1809">
        <v>24410.57</v>
      </c>
      <c r="AA1809">
        <v>24919.439999999999</v>
      </c>
      <c r="AB1809" s="12" t="s">
        <v>460</v>
      </c>
      <c r="AC1809">
        <v>24.782299999999999</v>
      </c>
      <c r="AD1809">
        <v>1</v>
      </c>
      <c r="AE1809">
        <v>1</v>
      </c>
      <c r="AF1809">
        <v>0</v>
      </c>
      <c r="AG1809">
        <v>24410.57</v>
      </c>
      <c r="AH1809">
        <v>985</v>
      </c>
      <c r="AI1809">
        <v>971</v>
      </c>
      <c r="AJ1809">
        <v>14</v>
      </c>
      <c r="AK1809">
        <v>1</v>
      </c>
      <c r="AL1809">
        <v>1</v>
      </c>
      <c r="AM1809">
        <v>98.58</v>
      </c>
      <c r="AN1809">
        <v>25.663699999999999</v>
      </c>
      <c r="AO1809">
        <v>346.95</v>
      </c>
      <c r="AP1809" s="13">
        <v>45315</v>
      </c>
      <c r="AQ1809">
        <v>-3</v>
      </c>
      <c r="AR1809">
        <v>1</v>
      </c>
    </row>
    <row r="1810" spans="1:44" x14ac:dyDescent="0.35">
      <c r="A1810" s="12" t="s">
        <v>2510</v>
      </c>
      <c r="B1810" s="12" t="s">
        <v>1134</v>
      </c>
      <c r="C1810" s="12" t="s">
        <v>1135</v>
      </c>
      <c r="D1810" s="12" t="s">
        <v>269</v>
      </c>
      <c r="E1810" s="12" t="s">
        <v>104</v>
      </c>
      <c r="F1810">
        <v>2</v>
      </c>
      <c r="G1810">
        <v>0</v>
      </c>
      <c r="H1810">
        <v>0</v>
      </c>
      <c r="I1810" s="12" t="s">
        <v>335</v>
      </c>
      <c r="J1810" s="12" t="s">
        <v>336</v>
      </c>
      <c r="K1810" s="12" t="s">
        <v>89</v>
      </c>
      <c r="L1810" s="12" t="s">
        <v>82</v>
      </c>
      <c r="M1810">
        <v>16</v>
      </c>
      <c r="N1810" s="12" t="s">
        <v>159</v>
      </c>
      <c r="O1810" s="12" t="s">
        <v>160</v>
      </c>
      <c r="P1810" s="12" t="s">
        <v>137</v>
      </c>
      <c r="Q1810" s="13">
        <v>45289</v>
      </c>
      <c r="R1810" s="13">
        <v>45305</v>
      </c>
      <c r="S1810">
        <v>2023</v>
      </c>
      <c r="T1810" s="12" t="s">
        <v>2336</v>
      </c>
      <c r="U1810">
        <v>48</v>
      </c>
      <c r="V1810">
        <v>107.5608</v>
      </c>
      <c r="W1810">
        <v>58.69</v>
      </c>
      <c r="X1810">
        <v>0</v>
      </c>
      <c r="Y1810">
        <v>0</v>
      </c>
      <c r="Z1810">
        <v>5162.92</v>
      </c>
      <c r="AA1810">
        <v>5221.6099999999997</v>
      </c>
      <c r="AB1810" s="12" t="s">
        <v>1992</v>
      </c>
      <c r="AC1810">
        <v>107.5608</v>
      </c>
      <c r="AD1810">
        <v>1</v>
      </c>
      <c r="AE1810">
        <v>1</v>
      </c>
      <c r="AF1810">
        <v>0</v>
      </c>
      <c r="AG1810">
        <v>5162.92</v>
      </c>
      <c r="AH1810">
        <v>48</v>
      </c>
      <c r="AI1810">
        <v>48</v>
      </c>
      <c r="AJ1810">
        <v>0</v>
      </c>
      <c r="AK1810">
        <v>1</v>
      </c>
      <c r="AL1810">
        <v>1</v>
      </c>
      <c r="AM1810">
        <v>100</v>
      </c>
      <c r="AN1810">
        <v>108.7835</v>
      </c>
      <c r="AO1810">
        <v>0</v>
      </c>
      <c r="AP1810" s="13">
        <v>45303</v>
      </c>
      <c r="AQ1810">
        <v>-2</v>
      </c>
      <c r="AR1810">
        <v>1</v>
      </c>
    </row>
    <row r="1811" spans="1:44" x14ac:dyDescent="0.35">
      <c r="A1811" s="12" t="s">
        <v>2511</v>
      </c>
      <c r="B1811" s="12" t="s">
        <v>941</v>
      </c>
      <c r="C1811" s="12" t="s">
        <v>942</v>
      </c>
      <c r="D1811" s="12" t="s">
        <v>130</v>
      </c>
      <c r="E1811" s="12" t="s">
        <v>104</v>
      </c>
      <c r="F1811">
        <v>2</v>
      </c>
      <c r="G1811">
        <v>0</v>
      </c>
      <c r="H1811">
        <v>0</v>
      </c>
      <c r="I1811" s="12" t="s">
        <v>151</v>
      </c>
      <c r="J1811" s="12" t="s">
        <v>152</v>
      </c>
      <c r="K1811" s="12" t="s">
        <v>125</v>
      </c>
      <c r="L1811" s="12" t="s">
        <v>69</v>
      </c>
      <c r="M1811">
        <v>36.479999999999997</v>
      </c>
      <c r="N1811" s="12" t="s">
        <v>159</v>
      </c>
      <c r="O1811" s="12" t="s">
        <v>160</v>
      </c>
      <c r="P1811" s="12" t="s">
        <v>137</v>
      </c>
      <c r="Q1811" s="13">
        <v>45289</v>
      </c>
      <c r="R1811" s="13">
        <v>45308</v>
      </c>
      <c r="S1811">
        <v>2023</v>
      </c>
      <c r="T1811" s="12" t="s">
        <v>2336</v>
      </c>
      <c r="U1811">
        <v>65</v>
      </c>
      <c r="V1811">
        <v>990.29020000000003</v>
      </c>
      <c r="W1811">
        <v>1602.97</v>
      </c>
      <c r="X1811">
        <v>0</v>
      </c>
      <c r="Y1811">
        <v>0</v>
      </c>
      <c r="Z1811">
        <v>64368.86</v>
      </c>
      <c r="AA1811">
        <v>65971.83</v>
      </c>
      <c r="AB1811" s="12" t="s">
        <v>1082</v>
      </c>
      <c r="AC1811">
        <v>990.29020000000003</v>
      </c>
      <c r="AD1811">
        <v>1</v>
      </c>
      <c r="AE1811">
        <v>1</v>
      </c>
      <c r="AF1811">
        <v>0</v>
      </c>
      <c r="AG1811">
        <v>64368.86</v>
      </c>
      <c r="AH1811">
        <v>65</v>
      </c>
      <c r="AI1811">
        <v>65</v>
      </c>
      <c r="AJ1811">
        <v>0</v>
      </c>
      <c r="AK1811">
        <v>1</v>
      </c>
      <c r="AL1811">
        <v>1</v>
      </c>
      <c r="AM1811">
        <v>100</v>
      </c>
      <c r="AN1811">
        <v>1014.9512999999999</v>
      </c>
      <c r="AO1811">
        <v>0</v>
      </c>
      <c r="AP1811" s="13">
        <v>45307</v>
      </c>
      <c r="AQ1811">
        <v>-1</v>
      </c>
      <c r="AR1811">
        <v>1</v>
      </c>
    </row>
    <row r="1812" spans="1:44" x14ac:dyDescent="0.35">
      <c r="A1812" s="12" t="s">
        <v>2512</v>
      </c>
      <c r="B1812" s="12" t="s">
        <v>1220</v>
      </c>
      <c r="C1812" s="12" t="s">
        <v>1221</v>
      </c>
      <c r="D1812" s="12" t="s">
        <v>175</v>
      </c>
      <c r="E1812" s="12" t="s">
        <v>104</v>
      </c>
      <c r="F1812">
        <v>3</v>
      </c>
      <c r="G1812">
        <v>1</v>
      </c>
      <c r="H1812">
        <v>0</v>
      </c>
      <c r="I1812" s="12" t="s">
        <v>251</v>
      </c>
      <c r="J1812" s="12" t="s">
        <v>252</v>
      </c>
      <c r="K1812" s="12" t="s">
        <v>133</v>
      </c>
      <c r="L1812" s="12" t="s">
        <v>69</v>
      </c>
      <c r="M1812">
        <v>34.49</v>
      </c>
      <c r="N1812" s="12" t="s">
        <v>107</v>
      </c>
      <c r="O1812" s="12" t="s">
        <v>108</v>
      </c>
      <c r="P1812" s="12" t="s">
        <v>109</v>
      </c>
      <c r="Q1812" s="13">
        <v>45292</v>
      </c>
      <c r="R1812" s="13">
        <v>45321</v>
      </c>
      <c r="S1812">
        <v>2024</v>
      </c>
      <c r="T1812" s="12" t="s">
        <v>2513</v>
      </c>
      <c r="U1812">
        <v>143</v>
      </c>
      <c r="V1812">
        <v>138.98759999999999</v>
      </c>
      <c r="W1812">
        <v>227.08</v>
      </c>
      <c r="X1812">
        <v>0</v>
      </c>
      <c r="Y1812">
        <v>0</v>
      </c>
      <c r="Z1812">
        <v>19875.23</v>
      </c>
      <c r="AA1812">
        <v>20102.310000000001</v>
      </c>
      <c r="AB1812" s="12" t="s">
        <v>1438</v>
      </c>
      <c r="AC1812">
        <v>138.98759999999999</v>
      </c>
      <c r="AD1812">
        <v>1</v>
      </c>
      <c r="AE1812">
        <v>1</v>
      </c>
      <c r="AF1812">
        <v>0</v>
      </c>
      <c r="AG1812">
        <v>19875.23</v>
      </c>
      <c r="AH1812">
        <v>143</v>
      </c>
      <c r="AI1812">
        <v>142</v>
      </c>
      <c r="AJ1812">
        <v>1</v>
      </c>
      <c r="AK1812">
        <v>1</v>
      </c>
      <c r="AL1812">
        <v>1</v>
      </c>
      <c r="AM1812">
        <v>99.3</v>
      </c>
      <c r="AN1812">
        <v>141.56549999999999</v>
      </c>
      <c r="AO1812">
        <v>138.99</v>
      </c>
      <c r="AP1812" s="13">
        <v>45321</v>
      </c>
      <c r="AQ1812">
        <v>0</v>
      </c>
      <c r="AR1812">
        <v>1</v>
      </c>
    </row>
    <row r="1813" spans="1:44" x14ac:dyDescent="0.35">
      <c r="A1813" s="12" t="s">
        <v>2514</v>
      </c>
      <c r="B1813" s="12" t="s">
        <v>519</v>
      </c>
      <c r="C1813" s="12" t="s">
        <v>520</v>
      </c>
      <c r="D1813" s="12" t="s">
        <v>78</v>
      </c>
      <c r="E1813" s="12" t="s">
        <v>65</v>
      </c>
      <c r="F1813">
        <v>2</v>
      </c>
      <c r="G1813">
        <v>3</v>
      </c>
      <c r="H1813">
        <v>0</v>
      </c>
      <c r="I1813" s="12" t="s">
        <v>143</v>
      </c>
      <c r="J1813" s="12" t="s">
        <v>144</v>
      </c>
      <c r="K1813" s="12" t="s">
        <v>133</v>
      </c>
      <c r="L1813" s="12" t="s">
        <v>96</v>
      </c>
      <c r="M1813">
        <v>5.43</v>
      </c>
      <c r="N1813" s="12" t="s">
        <v>70</v>
      </c>
      <c r="O1813" s="12" t="s">
        <v>71</v>
      </c>
      <c r="P1813" s="12" t="s">
        <v>72</v>
      </c>
      <c r="Q1813" s="13">
        <v>45292</v>
      </c>
      <c r="R1813" s="13">
        <v>45325</v>
      </c>
      <c r="S1813">
        <v>2024</v>
      </c>
      <c r="T1813" s="12" t="s">
        <v>2513</v>
      </c>
      <c r="U1813">
        <v>217</v>
      </c>
      <c r="V1813">
        <v>31.7883</v>
      </c>
      <c r="W1813">
        <v>155.69</v>
      </c>
      <c r="X1813">
        <v>0</v>
      </c>
      <c r="Y1813">
        <v>0</v>
      </c>
      <c r="Z1813">
        <v>6898.06</v>
      </c>
      <c r="AA1813">
        <v>7053.75</v>
      </c>
      <c r="AB1813" s="12" t="s">
        <v>1154</v>
      </c>
      <c r="AC1813">
        <v>31.7883</v>
      </c>
      <c r="AD1813">
        <v>1</v>
      </c>
      <c r="AE1813">
        <v>1</v>
      </c>
      <c r="AF1813">
        <v>0</v>
      </c>
      <c r="AG1813">
        <v>6898.06</v>
      </c>
      <c r="AH1813">
        <v>217</v>
      </c>
      <c r="AI1813">
        <v>214</v>
      </c>
      <c r="AJ1813">
        <v>3</v>
      </c>
      <c r="AK1813">
        <v>1</v>
      </c>
      <c r="AL1813">
        <v>1</v>
      </c>
      <c r="AM1813">
        <v>98.62</v>
      </c>
      <c r="AN1813">
        <v>32.961500000000001</v>
      </c>
      <c r="AO1813">
        <v>95.36</v>
      </c>
      <c r="AP1813" s="13">
        <v>45324</v>
      </c>
      <c r="AQ1813">
        <v>-1</v>
      </c>
      <c r="AR1813">
        <v>1</v>
      </c>
    </row>
    <row r="1814" spans="1:44" x14ac:dyDescent="0.35">
      <c r="A1814" s="12" t="s">
        <v>2515</v>
      </c>
      <c r="B1814" s="12" t="s">
        <v>657</v>
      </c>
      <c r="C1814" s="12" t="s">
        <v>658</v>
      </c>
      <c r="D1814" s="12" t="s">
        <v>175</v>
      </c>
      <c r="E1814" s="12" t="s">
        <v>65</v>
      </c>
      <c r="F1814">
        <v>1</v>
      </c>
      <c r="G1814">
        <v>2</v>
      </c>
      <c r="H1814">
        <v>1</v>
      </c>
      <c r="I1814" s="12" t="s">
        <v>183</v>
      </c>
      <c r="J1814" s="12" t="s">
        <v>184</v>
      </c>
      <c r="K1814" s="12" t="s">
        <v>133</v>
      </c>
      <c r="L1814" s="12" t="s">
        <v>82</v>
      </c>
      <c r="M1814">
        <v>8.6199999999999992</v>
      </c>
      <c r="N1814" s="12" t="s">
        <v>145</v>
      </c>
      <c r="O1814" s="12" t="s">
        <v>146</v>
      </c>
      <c r="P1814" s="12" t="s">
        <v>109</v>
      </c>
      <c r="Q1814" s="13">
        <v>45292</v>
      </c>
      <c r="R1814" s="13">
        <v>45315</v>
      </c>
      <c r="S1814">
        <v>2024</v>
      </c>
      <c r="T1814" s="12" t="s">
        <v>2513</v>
      </c>
      <c r="U1814">
        <v>31</v>
      </c>
      <c r="V1814">
        <v>153.8561</v>
      </c>
      <c r="W1814">
        <v>90.49</v>
      </c>
      <c r="X1814">
        <v>0</v>
      </c>
      <c r="Y1814">
        <v>0</v>
      </c>
      <c r="Z1814">
        <v>4769.54</v>
      </c>
      <c r="AA1814">
        <v>4860.03</v>
      </c>
      <c r="AB1814" s="12" t="s">
        <v>659</v>
      </c>
      <c r="AC1814">
        <v>153.8561</v>
      </c>
      <c r="AD1814">
        <v>1</v>
      </c>
      <c r="AE1814">
        <v>1</v>
      </c>
      <c r="AF1814">
        <v>0</v>
      </c>
      <c r="AG1814">
        <v>4769.54</v>
      </c>
      <c r="AH1814">
        <v>31</v>
      </c>
      <c r="AI1814">
        <v>31</v>
      </c>
      <c r="AJ1814">
        <v>0</v>
      </c>
      <c r="AK1814">
        <v>1</v>
      </c>
      <c r="AL1814">
        <v>1</v>
      </c>
      <c r="AM1814">
        <v>100</v>
      </c>
      <c r="AN1814">
        <v>156.77510000000001</v>
      </c>
      <c r="AO1814">
        <v>0</v>
      </c>
      <c r="AP1814" s="13">
        <v>45315</v>
      </c>
      <c r="AQ1814">
        <v>0</v>
      </c>
      <c r="AR1814">
        <v>1</v>
      </c>
    </row>
    <row r="1815" spans="1:44" x14ac:dyDescent="0.35">
      <c r="A1815" s="12" t="s">
        <v>2516</v>
      </c>
      <c r="B1815" s="12" t="s">
        <v>732</v>
      </c>
      <c r="C1815" s="12" t="s">
        <v>733</v>
      </c>
      <c r="D1815" s="12" t="s">
        <v>114</v>
      </c>
      <c r="E1815" s="12" t="s">
        <v>104</v>
      </c>
      <c r="F1815">
        <v>3</v>
      </c>
      <c r="G1815">
        <v>1</v>
      </c>
      <c r="H1815">
        <v>0</v>
      </c>
      <c r="I1815" s="12" t="s">
        <v>251</v>
      </c>
      <c r="J1815" s="12" t="s">
        <v>252</v>
      </c>
      <c r="K1815" s="12" t="s">
        <v>133</v>
      </c>
      <c r="L1815" s="12" t="s">
        <v>69</v>
      </c>
      <c r="M1815">
        <v>34.49</v>
      </c>
      <c r="N1815" s="12" t="s">
        <v>97</v>
      </c>
      <c r="O1815" s="12" t="s">
        <v>98</v>
      </c>
      <c r="P1815" s="12" t="s">
        <v>72</v>
      </c>
      <c r="Q1815" s="13">
        <v>45292</v>
      </c>
      <c r="R1815" s="13">
        <v>45307</v>
      </c>
      <c r="S1815">
        <v>2024</v>
      </c>
      <c r="T1815" s="12" t="s">
        <v>2513</v>
      </c>
      <c r="U1815">
        <v>37</v>
      </c>
      <c r="V1815">
        <v>314.15269999999998</v>
      </c>
      <c r="W1815">
        <v>254.57</v>
      </c>
      <c r="X1815">
        <v>0</v>
      </c>
      <c r="Y1815">
        <v>0</v>
      </c>
      <c r="Z1815">
        <v>11623.65</v>
      </c>
      <c r="AA1815">
        <v>11878.22</v>
      </c>
      <c r="AB1815" s="12" t="s">
        <v>764</v>
      </c>
      <c r="AC1815">
        <v>314.15269999999998</v>
      </c>
      <c r="AD1815">
        <v>1</v>
      </c>
      <c r="AE1815">
        <v>1</v>
      </c>
      <c r="AF1815">
        <v>0</v>
      </c>
      <c r="AG1815">
        <v>11623.65</v>
      </c>
      <c r="AH1815">
        <v>37</v>
      </c>
      <c r="AI1815">
        <v>37</v>
      </c>
      <c r="AJ1815">
        <v>0</v>
      </c>
      <c r="AK1815">
        <v>1</v>
      </c>
      <c r="AL1815">
        <v>1</v>
      </c>
      <c r="AM1815">
        <v>100</v>
      </c>
      <c r="AN1815">
        <v>321.03300000000002</v>
      </c>
      <c r="AO1815">
        <v>0</v>
      </c>
      <c r="AP1815" s="13">
        <v>45305</v>
      </c>
      <c r="AQ1815">
        <v>-2</v>
      </c>
      <c r="AR1815">
        <v>1</v>
      </c>
    </row>
    <row r="1816" spans="1:44" x14ac:dyDescent="0.35">
      <c r="A1816" s="12" t="s">
        <v>2517</v>
      </c>
      <c r="B1816" s="12" t="s">
        <v>869</v>
      </c>
      <c r="C1816" s="12" t="s">
        <v>870</v>
      </c>
      <c r="D1816" s="12" t="s">
        <v>130</v>
      </c>
      <c r="E1816" s="12" t="s">
        <v>104</v>
      </c>
      <c r="F1816">
        <v>2</v>
      </c>
      <c r="G1816">
        <v>0</v>
      </c>
      <c r="H1816">
        <v>0</v>
      </c>
      <c r="I1816" s="12" t="s">
        <v>515</v>
      </c>
      <c r="J1816" s="12" t="s">
        <v>516</v>
      </c>
      <c r="K1816" s="12" t="s">
        <v>68</v>
      </c>
      <c r="L1816" s="12" t="s">
        <v>134</v>
      </c>
      <c r="M1816">
        <v>3.69</v>
      </c>
      <c r="N1816" s="12" t="s">
        <v>159</v>
      </c>
      <c r="O1816" s="12" t="s">
        <v>160</v>
      </c>
      <c r="P1816" s="12" t="s">
        <v>137</v>
      </c>
      <c r="Q1816" s="13">
        <v>45292</v>
      </c>
      <c r="R1816" s="13">
        <v>45311</v>
      </c>
      <c r="S1816">
        <v>2024</v>
      </c>
      <c r="T1816" s="12" t="s">
        <v>2513</v>
      </c>
      <c r="U1816">
        <v>65</v>
      </c>
      <c r="V1816">
        <v>583.34230000000002</v>
      </c>
      <c r="W1816">
        <v>714.2</v>
      </c>
      <c r="X1816">
        <v>0</v>
      </c>
      <c r="Y1816">
        <v>0</v>
      </c>
      <c r="Z1816">
        <v>37917.25</v>
      </c>
      <c r="AA1816">
        <v>38631.449999999997</v>
      </c>
      <c r="AB1816" s="12" t="s">
        <v>871</v>
      </c>
      <c r="AC1816">
        <v>583.34230000000002</v>
      </c>
      <c r="AD1816">
        <v>1</v>
      </c>
      <c r="AE1816">
        <v>1</v>
      </c>
      <c r="AF1816">
        <v>0</v>
      </c>
      <c r="AG1816">
        <v>37917.25</v>
      </c>
      <c r="AH1816">
        <v>65</v>
      </c>
      <c r="AI1816">
        <v>65</v>
      </c>
      <c r="AJ1816">
        <v>0</v>
      </c>
      <c r="AK1816">
        <v>1</v>
      </c>
      <c r="AL1816">
        <v>1</v>
      </c>
      <c r="AM1816">
        <v>100</v>
      </c>
      <c r="AN1816">
        <v>594.33000000000004</v>
      </c>
      <c r="AO1816">
        <v>0</v>
      </c>
      <c r="AP1816" s="13">
        <v>45310</v>
      </c>
      <c r="AQ1816">
        <v>-1</v>
      </c>
      <c r="AR1816">
        <v>1</v>
      </c>
    </row>
    <row r="1817" spans="1:44" x14ac:dyDescent="0.35">
      <c r="A1817" s="12" t="s">
        <v>2518</v>
      </c>
      <c r="B1817" s="12" t="s">
        <v>740</v>
      </c>
      <c r="C1817" s="12" t="s">
        <v>741</v>
      </c>
      <c r="D1817" s="12" t="s">
        <v>64</v>
      </c>
      <c r="E1817" s="12" t="s">
        <v>104</v>
      </c>
      <c r="F1817">
        <v>2</v>
      </c>
      <c r="G1817">
        <v>0</v>
      </c>
      <c r="H1817">
        <v>0</v>
      </c>
      <c r="I1817" s="12" t="s">
        <v>183</v>
      </c>
      <c r="J1817" s="12" t="s">
        <v>184</v>
      </c>
      <c r="K1817" s="12" t="s">
        <v>133</v>
      </c>
      <c r="L1817" s="12" t="s">
        <v>82</v>
      </c>
      <c r="M1817">
        <v>8.6199999999999992</v>
      </c>
      <c r="N1817" s="12" t="s">
        <v>70</v>
      </c>
      <c r="O1817" s="12" t="s">
        <v>71</v>
      </c>
      <c r="P1817" s="12" t="s">
        <v>72</v>
      </c>
      <c r="Q1817" s="13">
        <v>45292</v>
      </c>
      <c r="R1817" s="13">
        <v>45307</v>
      </c>
      <c r="S1817">
        <v>2024</v>
      </c>
      <c r="T1817" s="12" t="s">
        <v>2513</v>
      </c>
      <c r="U1817">
        <v>299</v>
      </c>
      <c r="V1817">
        <v>41.2042</v>
      </c>
      <c r="W1817">
        <v>163.97</v>
      </c>
      <c r="X1817">
        <v>0</v>
      </c>
      <c r="Y1817">
        <v>0</v>
      </c>
      <c r="Z1817">
        <v>12320.06</v>
      </c>
      <c r="AA1817">
        <v>12484.03</v>
      </c>
      <c r="AB1817" s="12" t="s">
        <v>742</v>
      </c>
      <c r="AC1817">
        <v>41.2042</v>
      </c>
      <c r="AD1817">
        <v>1</v>
      </c>
      <c r="AE1817">
        <v>1</v>
      </c>
      <c r="AF1817">
        <v>0</v>
      </c>
      <c r="AG1817">
        <v>12320.06</v>
      </c>
      <c r="AH1817">
        <v>299</v>
      </c>
      <c r="AI1817">
        <v>295</v>
      </c>
      <c r="AJ1817">
        <v>4</v>
      </c>
      <c r="AK1817">
        <v>1</v>
      </c>
      <c r="AL1817">
        <v>1</v>
      </c>
      <c r="AM1817">
        <v>98.66</v>
      </c>
      <c r="AN1817">
        <v>42.3187</v>
      </c>
      <c r="AO1817">
        <v>164.82</v>
      </c>
      <c r="AP1817" s="13">
        <v>45304</v>
      </c>
      <c r="AQ1817">
        <v>-3</v>
      </c>
      <c r="AR1817">
        <v>1</v>
      </c>
    </row>
    <row r="1818" spans="1:44" x14ac:dyDescent="0.35">
      <c r="A1818" s="12" t="s">
        <v>2519</v>
      </c>
      <c r="B1818" s="12" t="s">
        <v>323</v>
      </c>
      <c r="C1818" s="12" t="s">
        <v>324</v>
      </c>
      <c r="D1818" s="12" t="s">
        <v>64</v>
      </c>
      <c r="E1818" s="12" t="s">
        <v>142</v>
      </c>
      <c r="F1818">
        <v>1</v>
      </c>
      <c r="G1818">
        <v>7</v>
      </c>
      <c r="H1818">
        <v>1</v>
      </c>
      <c r="I1818" s="12" t="s">
        <v>143</v>
      </c>
      <c r="J1818" s="12" t="s">
        <v>144</v>
      </c>
      <c r="K1818" s="12" t="s">
        <v>133</v>
      </c>
      <c r="L1818" s="12" t="s">
        <v>96</v>
      </c>
      <c r="M1818">
        <v>5.43</v>
      </c>
      <c r="N1818" s="12" t="s">
        <v>70</v>
      </c>
      <c r="O1818" s="12" t="s">
        <v>71</v>
      </c>
      <c r="P1818" s="12" t="s">
        <v>72</v>
      </c>
      <c r="Q1818" s="13">
        <v>45292</v>
      </c>
      <c r="R1818" s="13">
        <v>45339</v>
      </c>
      <c r="S1818">
        <v>2024</v>
      </c>
      <c r="T1818" s="12" t="s">
        <v>2513</v>
      </c>
      <c r="U1818">
        <v>735</v>
      </c>
      <c r="V1818">
        <v>39.503399999999999</v>
      </c>
      <c r="W1818">
        <v>389.73</v>
      </c>
      <c r="X1818">
        <v>0</v>
      </c>
      <c r="Y1818">
        <v>0</v>
      </c>
      <c r="Z1818">
        <v>29035</v>
      </c>
      <c r="AA1818">
        <v>29424.73</v>
      </c>
      <c r="AB1818" s="12" t="s">
        <v>325</v>
      </c>
      <c r="AC1818">
        <v>39.503399999999999</v>
      </c>
      <c r="AD1818">
        <v>1</v>
      </c>
      <c r="AE1818">
        <v>1</v>
      </c>
      <c r="AF1818">
        <v>0</v>
      </c>
      <c r="AG1818">
        <v>29035</v>
      </c>
      <c r="AH1818">
        <v>735</v>
      </c>
      <c r="AI1818">
        <v>730</v>
      </c>
      <c r="AJ1818">
        <v>5</v>
      </c>
      <c r="AK1818">
        <v>1</v>
      </c>
      <c r="AL1818">
        <v>1</v>
      </c>
      <c r="AM1818">
        <v>99.32</v>
      </c>
      <c r="AN1818">
        <v>40.3078</v>
      </c>
      <c r="AO1818">
        <v>197.52</v>
      </c>
      <c r="AP1818" s="13">
        <v>45339</v>
      </c>
      <c r="AQ1818">
        <v>0</v>
      </c>
      <c r="AR1818">
        <v>1</v>
      </c>
    </row>
    <row r="1819" spans="1:44" x14ac:dyDescent="0.35">
      <c r="A1819" s="12" t="s">
        <v>2520</v>
      </c>
      <c r="B1819" s="12" t="s">
        <v>544</v>
      </c>
      <c r="C1819" s="12" t="s">
        <v>545</v>
      </c>
      <c r="D1819" s="12" t="s">
        <v>175</v>
      </c>
      <c r="E1819" s="12" t="s">
        <v>65</v>
      </c>
      <c r="F1819">
        <v>3</v>
      </c>
      <c r="G1819">
        <v>5</v>
      </c>
      <c r="H1819">
        <v>0</v>
      </c>
      <c r="I1819" s="12" t="s">
        <v>66</v>
      </c>
      <c r="J1819" s="12" t="s">
        <v>67</v>
      </c>
      <c r="K1819" s="12" t="s">
        <v>68</v>
      </c>
      <c r="L1819" s="12" t="s">
        <v>69</v>
      </c>
      <c r="M1819">
        <v>17.66</v>
      </c>
      <c r="N1819" s="12" t="s">
        <v>107</v>
      </c>
      <c r="O1819" s="12" t="s">
        <v>108</v>
      </c>
      <c r="P1819" s="12" t="s">
        <v>109</v>
      </c>
      <c r="Q1819" s="13">
        <v>45293</v>
      </c>
      <c r="R1819" s="13">
        <v>45329</v>
      </c>
      <c r="S1819">
        <v>2024</v>
      </c>
      <c r="T1819" s="12" t="s">
        <v>2513</v>
      </c>
      <c r="U1819">
        <v>130</v>
      </c>
      <c r="V1819">
        <v>155.36940000000001</v>
      </c>
      <c r="W1819">
        <v>296.51</v>
      </c>
      <c r="X1819">
        <v>0</v>
      </c>
      <c r="Y1819">
        <v>0</v>
      </c>
      <c r="Z1819">
        <v>20198.02</v>
      </c>
      <c r="AA1819">
        <v>20494.53</v>
      </c>
      <c r="AB1819" s="12" t="s">
        <v>546</v>
      </c>
      <c r="AC1819">
        <v>155.36940000000001</v>
      </c>
      <c r="AD1819">
        <v>1</v>
      </c>
      <c r="AE1819">
        <v>1</v>
      </c>
      <c r="AF1819">
        <v>0</v>
      </c>
      <c r="AG1819">
        <v>20198.02</v>
      </c>
      <c r="AH1819">
        <v>130</v>
      </c>
      <c r="AI1819">
        <v>129</v>
      </c>
      <c r="AJ1819">
        <v>1</v>
      </c>
      <c r="AK1819">
        <v>1</v>
      </c>
      <c r="AL1819">
        <v>1</v>
      </c>
      <c r="AM1819">
        <v>99.23</v>
      </c>
      <c r="AN1819">
        <v>158.8723</v>
      </c>
      <c r="AO1819">
        <v>155.37</v>
      </c>
      <c r="AP1819" s="13">
        <v>45329</v>
      </c>
      <c r="AQ1819">
        <v>0</v>
      </c>
      <c r="AR1819">
        <v>1</v>
      </c>
    </row>
    <row r="1820" spans="1:44" x14ac:dyDescent="0.35">
      <c r="A1820" s="12" t="s">
        <v>2521</v>
      </c>
      <c r="B1820" s="12" t="s">
        <v>163</v>
      </c>
      <c r="C1820" s="12" t="s">
        <v>164</v>
      </c>
      <c r="D1820" s="12" t="s">
        <v>64</v>
      </c>
      <c r="E1820" s="12" t="s">
        <v>104</v>
      </c>
      <c r="F1820">
        <v>2</v>
      </c>
      <c r="G1820">
        <v>0</v>
      </c>
      <c r="H1820">
        <v>0</v>
      </c>
      <c r="I1820" s="12" t="s">
        <v>79</v>
      </c>
      <c r="J1820" s="12" t="s">
        <v>80</v>
      </c>
      <c r="K1820" s="12" t="s">
        <v>81</v>
      </c>
      <c r="L1820" s="12" t="s">
        <v>82</v>
      </c>
      <c r="M1820">
        <v>12.07</v>
      </c>
      <c r="N1820" s="12" t="s">
        <v>70</v>
      </c>
      <c r="O1820" s="12" t="s">
        <v>71</v>
      </c>
      <c r="P1820" s="12" t="s">
        <v>72</v>
      </c>
      <c r="Q1820" s="13">
        <v>45293</v>
      </c>
      <c r="R1820" s="13">
        <v>45306</v>
      </c>
      <c r="S1820">
        <v>2024</v>
      </c>
      <c r="T1820" s="12" t="s">
        <v>2513</v>
      </c>
      <c r="U1820">
        <v>194</v>
      </c>
      <c r="V1820">
        <v>12.8643</v>
      </c>
      <c r="W1820">
        <v>46.27</v>
      </c>
      <c r="X1820">
        <v>0</v>
      </c>
      <c r="Y1820">
        <v>0</v>
      </c>
      <c r="Z1820">
        <v>2495.67</v>
      </c>
      <c r="AA1820">
        <v>2541.94</v>
      </c>
      <c r="AB1820" s="12" t="s">
        <v>165</v>
      </c>
      <c r="AC1820">
        <v>12.8643</v>
      </c>
      <c r="AD1820">
        <v>1</v>
      </c>
      <c r="AE1820">
        <v>1</v>
      </c>
      <c r="AF1820">
        <v>0</v>
      </c>
      <c r="AG1820">
        <v>2495.67</v>
      </c>
      <c r="AH1820">
        <v>194</v>
      </c>
      <c r="AI1820">
        <v>193</v>
      </c>
      <c r="AJ1820">
        <v>1</v>
      </c>
      <c r="AK1820">
        <v>1</v>
      </c>
      <c r="AL1820">
        <v>1</v>
      </c>
      <c r="AM1820">
        <v>99.48</v>
      </c>
      <c r="AN1820">
        <v>13.1707</v>
      </c>
      <c r="AO1820">
        <v>12.86</v>
      </c>
      <c r="AP1820" s="13">
        <v>45303</v>
      </c>
      <c r="AQ1820">
        <v>-3</v>
      </c>
      <c r="AR1820">
        <v>1</v>
      </c>
    </row>
    <row r="1821" spans="1:44" x14ac:dyDescent="0.35">
      <c r="A1821" s="12" t="s">
        <v>2522</v>
      </c>
      <c r="B1821" s="12" t="s">
        <v>876</v>
      </c>
      <c r="C1821" s="12" t="s">
        <v>877</v>
      </c>
      <c r="D1821" s="12" t="s">
        <v>269</v>
      </c>
      <c r="E1821" s="12" t="s">
        <v>142</v>
      </c>
      <c r="F1821">
        <v>3</v>
      </c>
      <c r="G1821">
        <v>11</v>
      </c>
      <c r="H1821">
        <v>0</v>
      </c>
      <c r="I1821" s="12" t="s">
        <v>515</v>
      </c>
      <c r="J1821" s="12" t="s">
        <v>516</v>
      </c>
      <c r="K1821" s="12" t="s">
        <v>68</v>
      </c>
      <c r="L1821" s="12" t="s">
        <v>134</v>
      </c>
      <c r="M1821">
        <v>3.69</v>
      </c>
      <c r="N1821" s="12" t="s">
        <v>135</v>
      </c>
      <c r="O1821" s="12" t="s">
        <v>136</v>
      </c>
      <c r="P1821" s="12" t="s">
        <v>137</v>
      </c>
      <c r="Q1821" s="13">
        <v>45293</v>
      </c>
      <c r="R1821" s="13">
        <v>45339</v>
      </c>
      <c r="S1821">
        <v>2024</v>
      </c>
      <c r="T1821" s="12" t="s">
        <v>2513</v>
      </c>
      <c r="U1821">
        <v>102</v>
      </c>
      <c r="V1821">
        <v>205.07480000000001</v>
      </c>
      <c r="W1821">
        <v>169.89</v>
      </c>
      <c r="X1821">
        <v>0</v>
      </c>
      <c r="Y1821">
        <v>0</v>
      </c>
      <c r="Z1821">
        <v>20917.63</v>
      </c>
      <c r="AA1821">
        <v>21087.52</v>
      </c>
      <c r="AB1821" s="12" t="s">
        <v>1175</v>
      </c>
      <c r="AC1821">
        <v>205.07480000000001</v>
      </c>
      <c r="AD1821">
        <v>1</v>
      </c>
      <c r="AE1821">
        <v>1</v>
      </c>
      <c r="AF1821">
        <v>0</v>
      </c>
      <c r="AG1821">
        <v>20917.63</v>
      </c>
      <c r="AH1821">
        <v>102</v>
      </c>
      <c r="AI1821">
        <v>100</v>
      </c>
      <c r="AJ1821">
        <v>2</v>
      </c>
      <c r="AK1821">
        <v>1</v>
      </c>
      <c r="AL1821">
        <v>1</v>
      </c>
      <c r="AM1821">
        <v>98.04</v>
      </c>
      <c r="AN1821">
        <v>210.87520000000001</v>
      </c>
      <c r="AO1821">
        <v>410.15</v>
      </c>
      <c r="AP1821" s="13">
        <v>45338</v>
      </c>
      <c r="AQ1821">
        <v>-1</v>
      </c>
      <c r="AR1821">
        <v>1</v>
      </c>
    </row>
    <row r="1822" spans="1:44" x14ac:dyDescent="0.35">
      <c r="A1822" s="12" t="s">
        <v>2523</v>
      </c>
      <c r="B1822" s="12" t="s">
        <v>267</v>
      </c>
      <c r="C1822" s="12" t="s">
        <v>268</v>
      </c>
      <c r="D1822" s="12" t="s">
        <v>269</v>
      </c>
      <c r="E1822" s="12" t="s">
        <v>142</v>
      </c>
      <c r="F1822">
        <v>1</v>
      </c>
      <c r="G1822">
        <v>8</v>
      </c>
      <c r="H1822">
        <v>1</v>
      </c>
      <c r="I1822" s="12" t="s">
        <v>94</v>
      </c>
      <c r="J1822" s="12" t="s">
        <v>95</v>
      </c>
      <c r="K1822" s="12" t="s">
        <v>81</v>
      </c>
      <c r="L1822" s="12" t="s">
        <v>96</v>
      </c>
      <c r="M1822">
        <v>4.8099999999999996</v>
      </c>
      <c r="N1822" s="12" t="s">
        <v>159</v>
      </c>
      <c r="O1822" s="12" t="s">
        <v>160</v>
      </c>
      <c r="P1822" s="12" t="s">
        <v>137</v>
      </c>
      <c r="Q1822" s="13">
        <v>45293</v>
      </c>
      <c r="R1822" s="13">
        <v>45344</v>
      </c>
      <c r="S1822">
        <v>2024</v>
      </c>
      <c r="T1822" s="12" t="s">
        <v>2513</v>
      </c>
      <c r="U1822">
        <v>141</v>
      </c>
      <c r="V1822">
        <v>247.31829999999999</v>
      </c>
      <c r="W1822">
        <v>663.91</v>
      </c>
      <c r="X1822">
        <v>0</v>
      </c>
      <c r="Y1822">
        <v>0</v>
      </c>
      <c r="Z1822">
        <v>34871.879999999997</v>
      </c>
      <c r="AA1822">
        <v>35535.79</v>
      </c>
      <c r="AB1822" s="12" t="s">
        <v>270</v>
      </c>
      <c r="AC1822">
        <v>247.31829999999999</v>
      </c>
      <c r="AD1822">
        <v>1</v>
      </c>
      <c r="AE1822">
        <v>1</v>
      </c>
      <c r="AF1822">
        <v>0</v>
      </c>
      <c r="AG1822">
        <v>34871.879999999997</v>
      </c>
      <c r="AH1822">
        <v>141</v>
      </c>
      <c r="AI1822">
        <v>139</v>
      </c>
      <c r="AJ1822">
        <v>2</v>
      </c>
      <c r="AK1822">
        <v>1</v>
      </c>
      <c r="AL1822">
        <v>1</v>
      </c>
      <c r="AM1822">
        <v>98.58</v>
      </c>
      <c r="AN1822">
        <v>255.6532</v>
      </c>
      <c r="AO1822">
        <v>494.64</v>
      </c>
      <c r="AP1822" s="13">
        <v>45342</v>
      </c>
      <c r="AQ1822">
        <v>-2</v>
      </c>
      <c r="AR1822">
        <v>1</v>
      </c>
    </row>
    <row r="1823" spans="1:44" x14ac:dyDescent="0.35">
      <c r="A1823" s="12" t="s">
        <v>2524</v>
      </c>
      <c r="B1823" s="12" t="s">
        <v>391</v>
      </c>
      <c r="C1823" s="12" t="s">
        <v>392</v>
      </c>
      <c r="D1823" s="12" t="s">
        <v>114</v>
      </c>
      <c r="E1823" s="12" t="s">
        <v>65</v>
      </c>
      <c r="F1823">
        <v>2</v>
      </c>
      <c r="G1823">
        <v>2</v>
      </c>
      <c r="H1823">
        <v>0</v>
      </c>
      <c r="I1823" s="12" t="s">
        <v>310</v>
      </c>
      <c r="J1823" s="12" t="s">
        <v>311</v>
      </c>
      <c r="K1823" s="12" t="s">
        <v>81</v>
      </c>
      <c r="L1823" s="12" t="s">
        <v>69</v>
      </c>
      <c r="M1823">
        <v>28.3</v>
      </c>
      <c r="N1823" s="12" t="s">
        <v>70</v>
      </c>
      <c r="O1823" s="12" t="s">
        <v>71</v>
      </c>
      <c r="P1823" s="12" t="s">
        <v>72</v>
      </c>
      <c r="Q1823" s="13">
        <v>45293</v>
      </c>
      <c r="R1823" s="13">
        <v>45329</v>
      </c>
      <c r="S1823">
        <v>2024</v>
      </c>
      <c r="T1823" s="12" t="s">
        <v>2513</v>
      </c>
      <c r="U1823">
        <v>130</v>
      </c>
      <c r="V1823">
        <v>223.56530000000001</v>
      </c>
      <c r="W1823">
        <v>624.53</v>
      </c>
      <c r="X1823">
        <v>0</v>
      </c>
      <c r="Y1823">
        <v>0</v>
      </c>
      <c r="Z1823">
        <v>29063.49</v>
      </c>
      <c r="AA1823">
        <v>29688.02</v>
      </c>
      <c r="AB1823" s="12" t="s">
        <v>393</v>
      </c>
      <c r="AC1823">
        <v>223.56530000000001</v>
      </c>
      <c r="AD1823">
        <v>1</v>
      </c>
      <c r="AE1823">
        <v>1</v>
      </c>
      <c r="AF1823">
        <v>0</v>
      </c>
      <c r="AG1823">
        <v>29063.49</v>
      </c>
      <c r="AH1823">
        <v>130</v>
      </c>
      <c r="AI1823">
        <v>128</v>
      </c>
      <c r="AJ1823">
        <v>2</v>
      </c>
      <c r="AK1823">
        <v>1</v>
      </c>
      <c r="AL1823">
        <v>1</v>
      </c>
      <c r="AM1823">
        <v>98.46</v>
      </c>
      <c r="AN1823">
        <v>231.9376</v>
      </c>
      <c r="AO1823">
        <v>447.13</v>
      </c>
      <c r="AP1823" s="13">
        <v>45329</v>
      </c>
      <c r="AQ1823">
        <v>0</v>
      </c>
      <c r="AR1823">
        <v>1</v>
      </c>
    </row>
    <row r="1824" spans="1:44" x14ac:dyDescent="0.35">
      <c r="A1824" s="12" t="s">
        <v>2525</v>
      </c>
      <c r="B1824" s="12" t="s">
        <v>494</v>
      </c>
      <c r="C1824" s="12" t="s">
        <v>495</v>
      </c>
      <c r="D1824" s="12" t="s">
        <v>175</v>
      </c>
      <c r="E1824" s="12" t="s">
        <v>65</v>
      </c>
      <c r="F1824">
        <v>2</v>
      </c>
      <c r="G1824">
        <v>3</v>
      </c>
      <c r="H1824">
        <v>0</v>
      </c>
      <c r="I1824" s="12" t="s">
        <v>515</v>
      </c>
      <c r="J1824" s="12" t="s">
        <v>516</v>
      </c>
      <c r="K1824" s="12" t="s">
        <v>68</v>
      </c>
      <c r="L1824" s="12" t="s">
        <v>134</v>
      </c>
      <c r="M1824">
        <v>3.69</v>
      </c>
      <c r="N1824" s="12" t="s">
        <v>107</v>
      </c>
      <c r="O1824" s="12" t="s">
        <v>108</v>
      </c>
      <c r="P1824" s="12" t="s">
        <v>109</v>
      </c>
      <c r="Q1824" s="13">
        <v>45293</v>
      </c>
      <c r="R1824" s="13">
        <v>45322</v>
      </c>
      <c r="S1824">
        <v>2024</v>
      </c>
      <c r="T1824" s="12" t="s">
        <v>2513</v>
      </c>
      <c r="U1824">
        <v>72</v>
      </c>
      <c r="V1824">
        <v>161.94200000000001</v>
      </c>
      <c r="W1824">
        <v>152.91999999999999</v>
      </c>
      <c r="X1824">
        <v>0</v>
      </c>
      <c r="Y1824">
        <v>0</v>
      </c>
      <c r="Z1824">
        <v>11659.82</v>
      </c>
      <c r="AA1824">
        <v>11812.74</v>
      </c>
      <c r="AB1824" s="12" t="s">
        <v>982</v>
      </c>
      <c r="AC1824">
        <v>161.94200000000001</v>
      </c>
      <c r="AD1824">
        <v>1</v>
      </c>
      <c r="AE1824">
        <v>1</v>
      </c>
      <c r="AF1824">
        <v>0</v>
      </c>
      <c r="AG1824">
        <v>11659.82</v>
      </c>
      <c r="AH1824">
        <v>72</v>
      </c>
      <c r="AI1824">
        <v>71</v>
      </c>
      <c r="AJ1824">
        <v>1</v>
      </c>
      <c r="AK1824">
        <v>1</v>
      </c>
      <c r="AL1824">
        <v>1</v>
      </c>
      <c r="AM1824">
        <v>98.61</v>
      </c>
      <c r="AN1824">
        <v>166.3767</v>
      </c>
      <c r="AO1824">
        <v>161.94</v>
      </c>
      <c r="AP1824" s="13">
        <v>45284</v>
      </c>
      <c r="AQ1824">
        <v>-38</v>
      </c>
      <c r="AR1824">
        <v>1</v>
      </c>
    </row>
    <row r="1825" spans="1:44" x14ac:dyDescent="0.35">
      <c r="A1825" s="12" t="s">
        <v>2526</v>
      </c>
      <c r="B1825" s="12" t="s">
        <v>85</v>
      </c>
      <c r="C1825" s="12" t="s">
        <v>86</v>
      </c>
      <c r="D1825" s="12" t="s">
        <v>78</v>
      </c>
      <c r="E1825" s="12" t="s">
        <v>65</v>
      </c>
      <c r="F1825">
        <v>3</v>
      </c>
      <c r="G1825">
        <v>5</v>
      </c>
      <c r="H1825">
        <v>0</v>
      </c>
      <c r="I1825" s="12" t="s">
        <v>87</v>
      </c>
      <c r="J1825" s="12" t="s">
        <v>88</v>
      </c>
      <c r="K1825" s="12" t="s">
        <v>89</v>
      </c>
      <c r="L1825" s="12" t="s">
        <v>69</v>
      </c>
      <c r="M1825">
        <v>14.93</v>
      </c>
      <c r="N1825" s="12" t="s">
        <v>70</v>
      </c>
      <c r="O1825" s="12" t="s">
        <v>71</v>
      </c>
      <c r="P1825" s="12" t="s">
        <v>72</v>
      </c>
      <c r="Q1825" s="13">
        <v>45293</v>
      </c>
      <c r="R1825" s="13">
        <v>45314</v>
      </c>
      <c r="S1825">
        <v>2024</v>
      </c>
      <c r="T1825" s="12" t="s">
        <v>2513</v>
      </c>
      <c r="U1825">
        <v>47</v>
      </c>
      <c r="V1825">
        <v>147.55000000000001</v>
      </c>
      <c r="W1825">
        <v>46.39</v>
      </c>
      <c r="X1825">
        <v>0</v>
      </c>
      <c r="Y1825">
        <v>0</v>
      </c>
      <c r="Z1825">
        <v>6934.85</v>
      </c>
      <c r="AA1825">
        <v>6981.24</v>
      </c>
      <c r="AB1825" s="12" t="s">
        <v>90</v>
      </c>
      <c r="AC1825">
        <v>147.55000000000001</v>
      </c>
      <c r="AD1825">
        <v>1</v>
      </c>
      <c r="AE1825">
        <v>1</v>
      </c>
      <c r="AF1825">
        <v>0</v>
      </c>
      <c r="AG1825">
        <v>6934.85</v>
      </c>
      <c r="AH1825">
        <v>47</v>
      </c>
      <c r="AI1825">
        <v>46</v>
      </c>
      <c r="AJ1825">
        <v>1</v>
      </c>
      <c r="AK1825">
        <v>1</v>
      </c>
      <c r="AL1825">
        <v>1</v>
      </c>
      <c r="AM1825">
        <v>97.87</v>
      </c>
      <c r="AN1825">
        <v>151.76609999999999</v>
      </c>
      <c r="AO1825">
        <v>147.55000000000001</v>
      </c>
      <c r="AP1825" s="13">
        <v>45314</v>
      </c>
      <c r="AQ1825">
        <v>0</v>
      </c>
      <c r="AR1825">
        <v>1</v>
      </c>
    </row>
    <row r="1826" spans="1:44" x14ac:dyDescent="0.35">
      <c r="A1826" s="12" t="s">
        <v>2527</v>
      </c>
      <c r="B1826" s="12" t="s">
        <v>509</v>
      </c>
      <c r="C1826" s="12" t="s">
        <v>510</v>
      </c>
      <c r="D1826" s="12" t="s">
        <v>78</v>
      </c>
      <c r="E1826" s="12" t="s">
        <v>142</v>
      </c>
      <c r="F1826">
        <v>3</v>
      </c>
      <c r="G1826">
        <v>11</v>
      </c>
      <c r="H1826">
        <v>0</v>
      </c>
      <c r="I1826" s="12" t="s">
        <v>176</v>
      </c>
      <c r="J1826" s="12" t="s">
        <v>177</v>
      </c>
      <c r="K1826" s="12" t="s">
        <v>125</v>
      </c>
      <c r="L1826" s="12" t="s">
        <v>134</v>
      </c>
      <c r="M1826">
        <v>1.75</v>
      </c>
      <c r="N1826" s="12" t="s">
        <v>70</v>
      </c>
      <c r="O1826" s="12" t="s">
        <v>71</v>
      </c>
      <c r="P1826" s="12" t="s">
        <v>72</v>
      </c>
      <c r="Q1826" s="13">
        <v>45293</v>
      </c>
      <c r="R1826" s="13">
        <v>45339</v>
      </c>
      <c r="S1826">
        <v>2024</v>
      </c>
      <c r="T1826" s="12" t="s">
        <v>2513</v>
      </c>
      <c r="U1826">
        <v>211</v>
      </c>
      <c r="V1826">
        <v>148.96950000000001</v>
      </c>
      <c r="W1826">
        <v>711.7</v>
      </c>
      <c r="X1826">
        <v>0</v>
      </c>
      <c r="Y1826">
        <v>0</v>
      </c>
      <c r="Z1826">
        <v>31432.560000000001</v>
      </c>
      <c r="AA1826">
        <v>32144.26</v>
      </c>
      <c r="AB1826" s="12" t="s">
        <v>511</v>
      </c>
      <c r="AC1826">
        <v>144.51259999999999</v>
      </c>
      <c r="AD1826">
        <v>1</v>
      </c>
      <c r="AE1826">
        <v>1</v>
      </c>
      <c r="AF1826">
        <v>940.41</v>
      </c>
      <c r="AG1826">
        <v>30492.16</v>
      </c>
      <c r="AH1826">
        <v>211</v>
      </c>
      <c r="AI1826">
        <v>208</v>
      </c>
      <c r="AJ1826">
        <v>3</v>
      </c>
      <c r="AK1826">
        <v>1</v>
      </c>
      <c r="AL1826">
        <v>1</v>
      </c>
      <c r="AM1826">
        <v>98.58</v>
      </c>
      <c r="AN1826">
        <v>154.53970000000001</v>
      </c>
      <c r="AO1826">
        <v>446.91</v>
      </c>
      <c r="AP1826" s="13">
        <v>45337</v>
      </c>
      <c r="AQ1826">
        <v>-2</v>
      </c>
      <c r="AR1826">
        <v>1</v>
      </c>
    </row>
    <row r="1827" spans="1:44" x14ac:dyDescent="0.35">
      <c r="A1827" s="12" t="s">
        <v>2528</v>
      </c>
      <c r="B1827" s="12" t="s">
        <v>891</v>
      </c>
      <c r="C1827" s="12" t="s">
        <v>892</v>
      </c>
      <c r="D1827" s="12" t="s">
        <v>122</v>
      </c>
      <c r="E1827" s="12" t="s">
        <v>65</v>
      </c>
      <c r="F1827">
        <v>3</v>
      </c>
      <c r="G1827">
        <v>5</v>
      </c>
      <c r="H1827">
        <v>0</v>
      </c>
      <c r="I1827" s="12" t="s">
        <v>195</v>
      </c>
      <c r="J1827" s="12" t="s">
        <v>196</v>
      </c>
      <c r="K1827" s="12" t="s">
        <v>117</v>
      </c>
      <c r="L1827" s="12" t="s">
        <v>134</v>
      </c>
      <c r="M1827">
        <v>4.7699999999999996</v>
      </c>
      <c r="N1827" s="12" t="s">
        <v>70</v>
      </c>
      <c r="O1827" s="12" t="s">
        <v>71</v>
      </c>
      <c r="P1827" s="12" t="s">
        <v>72</v>
      </c>
      <c r="Q1827" s="13">
        <v>45294</v>
      </c>
      <c r="R1827" s="13">
        <v>45331</v>
      </c>
      <c r="S1827">
        <v>2024</v>
      </c>
      <c r="T1827" s="12" t="s">
        <v>2513</v>
      </c>
      <c r="U1827">
        <v>1878</v>
      </c>
      <c r="V1827">
        <v>39.456000000000003</v>
      </c>
      <c r="W1827">
        <v>547.01</v>
      </c>
      <c r="X1827">
        <v>0</v>
      </c>
      <c r="Y1827">
        <v>0</v>
      </c>
      <c r="Z1827">
        <v>74098.37</v>
      </c>
      <c r="AA1827">
        <v>74645.38</v>
      </c>
      <c r="AB1827" s="12" t="s">
        <v>893</v>
      </c>
      <c r="AC1827">
        <v>39.456000000000003</v>
      </c>
      <c r="AD1827">
        <v>1</v>
      </c>
      <c r="AE1827">
        <v>1</v>
      </c>
      <c r="AF1827">
        <v>0</v>
      </c>
      <c r="AG1827">
        <v>74098.37</v>
      </c>
      <c r="AH1827">
        <v>1878</v>
      </c>
      <c r="AI1827">
        <v>1860</v>
      </c>
      <c r="AJ1827">
        <v>18</v>
      </c>
      <c r="AK1827">
        <v>1</v>
      </c>
      <c r="AL1827">
        <v>1</v>
      </c>
      <c r="AM1827">
        <v>99.04</v>
      </c>
      <c r="AN1827">
        <v>40.131900000000002</v>
      </c>
      <c r="AO1827">
        <v>710.21</v>
      </c>
      <c r="AP1827" s="13">
        <v>45337</v>
      </c>
      <c r="AQ1827">
        <v>6</v>
      </c>
      <c r="AR1827">
        <v>0</v>
      </c>
    </row>
    <row r="1828" spans="1:44" x14ac:dyDescent="0.35">
      <c r="A1828" s="12" t="s">
        <v>2529</v>
      </c>
      <c r="B1828" s="12" t="s">
        <v>1108</v>
      </c>
      <c r="C1828" s="12" t="s">
        <v>1109</v>
      </c>
      <c r="D1828" s="12" t="s">
        <v>103</v>
      </c>
      <c r="E1828" s="12" t="s">
        <v>65</v>
      </c>
      <c r="F1828">
        <v>3</v>
      </c>
      <c r="G1828">
        <v>4</v>
      </c>
      <c r="H1828">
        <v>0</v>
      </c>
      <c r="I1828" s="12" t="s">
        <v>79</v>
      </c>
      <c r="J1828" s="12" t="s">
        <v>80</v>
      </c>
      <c r="K1828" s="12" t="s">
        <v>81</v>
      </c>
      <c r="L1828" s="12" t="s">
        <v>82</v>
      </c>
      <c r="M1828">
        <v>12.07</v>
      </c>
      <c r="N1828" s="12" t="s">
        <v>107</v>
      </c>
      <c r="O1828" s="12" t="s">
        <v>108</v>
      </c>
      <c r="P1828" s="12" t="s">
        <v>109</v>
      </c>
      <c r="Q1828" s="13">
        <v>45294</v>
      </c>
      <c r="R1828" s="13">
        <v>45323</v>
      </c>
      <c r="S1828">
        <v>2024</v>
      </c>
      <c r="T1828" s="12" t="s">
        <v>2513</v>
      </c>
      <c r="U1828">
        <v>72</v>
      </c>
      <c r="V1828">
        <v>81.531199999999998</v>
      </c>
      <c r="W1828">
        <v>85.74</v>
      </c>
      <c r="X1828">
        <v>0</v>
      </c>
      <c r="Y1828">
        <v>0</v>
      </c>
      <c r="Z1828">
        <v>5870.25</v>
      </c>
      <c r="AA1828">
        <v>5955.99</v>
      </c>
      <c r="AB1828" s="12" t="s">
        <v>1634</v>
      </c>
      <c r="AC1828">
        <v>86.615200000000002</v>
      </c>
      <c r="AD1828">
        <v>1</v>
      </c>
      <c r="AE1828">
        <v>1</v>
      </c>
      <c r="AF1828">
        <v>-366.05</v>
      </c>
      <c r="AG1828">
        <v>6236.29</v>
      </c>
      <c r="AH1828">
        <v>72</v>
      </c>
      <c r="AI1828">
        <v>72</v>
      </c>
      <c r="AJ1828">
        <v>0</v>
      </c>
      <c r="AK1828">
        <v>1</v>
      </c>
      <c r="AL1828">
        <v>1</v>
      </c>
      <c r="AM1828">
        <v>100</v>
      </c>
      <c r="AN1828">
        <v>82.721999999999994</v>
      </c>
      <c r="AO1828">
        <v>0</v>
      </c>
      <c r="AP1828" s="13">
        <v>45320</v>
      </c>
      <c r="AQ1828">
        <v>-3</v>
      </c>
      <c r="AR1828">
        <v>1</v>
      </c>
    </row>
    <row r="1829" spans="1:44" x14ac:dyDescent="0.35">
      <c r="A1829" s="12" t="s">
        <v>2530</v>
      </c>
      <c r="B1829" s="12" t="s">
        <v>630</v>
      </c>
      <c r="C1829" s="12" t="s">
        <v>631</v>
      </c>
      <c r="D1829" s="12" t="s">
        <v>130</v>
      </c>
      <c r="E1829" s="12" t="s">
        <v>65</v>
      </c>
      <c r="F1829">
        <v>1</v>
      </c>
      <c r="G1829">
        <v>2</v>
      </c>
      <c r="H1829">
        <v>1</v>
      </c>
      <c r="I1829" s="12" t="s">
        <v>335</v>
      </c>
      <c r="J1829" s="12" t="s">
        <v>336</v>
      </c>
      <c r="K1829" s="12" t="s">
        <v>89</v>
      </c>
      <c r="L1829" s="12" t="s">
        <v>82</v>
      </c>
      <c r="M1829">
        <v>16</v>
      </c>
      <c r="N1829" s="12" t="s">
        <v>135</v>
      </c>
      <c r="O1829" s="12" t="s">
        <v>136</v>
      </c>
      <c r="P1829" s="12" t="s">
        <v>137</v>
      </c>
      <c r="Q1829" s="13">
        <v>45294</v>
      </c>
      <c r="R1829" s="13">
        <v>45321</v>
      </c>
      <c r="S1829">
        <v>2024</v>
      </c>
      <c r="T1829" s="12" t="s">
        <v>2513</v>
      </c>
      <c r="U1829">
        <v>59</v>
      </c>
      <c r="V1829">
        <v>461.39839999999998</v>
      </c>
      <c r="W1829">
        <v>687.06</v>
      </c>
      <c r="X1829">
        <v>0</v>
      </c>
      <c r="Y1829">
        <v>0</v>
      </c>
      <c r="Z1829">
        <v>27222.51</v>
      </c>
      <c r="AA1829">
        <v>27909.57</v>
      </c>
      <c r="AB1829" s="12" t="s">
        <v>632</v>
      </c>
      <c r="AC1829">
        <v>448.44209999999998</v>
      </c>
      <c r="AD1829">
        <v>1</v>
      </c>
      <c r="AE1829">
        <v>1</v>
      </c>
      <c r="AF1829">
        <v>764.42</v>
      </c>
      <c r="AG1829">
        <v>26458.080000000002</v>
      </c>
      <c r="AH1829">
        <v>59</v>
      </c>
      <c r="AI1829">
        <v>59</v>
      </c>
      <c r="AJ1829">
        <v>0</v>
      </c>
      <c r="AK1829">
        <v>1</v>
      </c>
      <c r="AL1829">
        <v>1</v>
      </c>
      <c r="AM1829">
        <v>100</v>
      </c>
      <c r="AN1829">
        <v>473.04349999999999</v>
      </c>
      <c r="AO1829">
        <v>0</v>
      </c>
      <c r="AP1829" s="13">
        <v>45320</v>
      </c>
      <c r="AQ1829">
        <v>-1</v>
      </c>
      <c r="AR1829">
        <v>1</v>
      </c>
    </row>
    <row r="1830" spans="1:44" x14ac:dyDescent="0.35">
      <c r="A1830" s="12" t="s">
        <v>2531</v>
      </c>
      <c r="B1830" s="12" t="s">
        <v>261</v>
      </c>
      <c r="C1830" s="12" t="s">
        <v>262</v>
      </c>
      <c r="D1830" s="12" t="s">
        <v>114</v>
      </c>
      <c r="E1830" s="12" t="s">
        <v>142</v>
      </c>
      <c r="F1830">
        <v>1</v>
      </c>
      <c r="G1830">
        <v>8</v>
      </c>
      <c r="H1830">
        <v>1</v>
      </c>
      <c r="I1830" s="12" t="s">
        <v>263</v>
      </c>
      <c r="J1830" s="12" t="s">
        <v>264</v>
      </c>
      <c r="K1830" s="12" t="s">
        <v>125</v>
      </c>
      <c r="L1830" s="12" t="s">
        <v>82</v>
      </c>
      <c r="M1830">
        <v>10.210000000000001</v>
      </c>
      <c r="N1830" s="12" t="s">
        <v>70</v>
      </c>
      <c r="O1830" s="12" t="s">
        <v>71</v>
      </c>
      <c r="P1830" s="12" t="s">
        <v>72</v>
      </c>
      <c r="Q1830" s="13">
        <v>45294</v>
      </c>
      <c r="R1830" s="13">
        <v>45346</v>
      </c>
      <c r="S1830">
        <v>2024</v>
      </c>
      <c r="T1830" s="12" t="s">
        <v>2513</v>
      </c>
      <c r="U1830">
        <v>142</v>
      </c>
      <c r="V1830">
        <v>138.256</v>
      </c>
      <c r="W1830">
        <v>418.78</v>
      </c>
      <c r="X1830">
        <v>0</v>
      </c>
      <c r="Y1830">
        <v>0</v>
      </c>
      <c r="Z1830">
        <v>19632.349999999999</v>
      </c>
      <c r="AA1830">
        <v>20051.13</v>
      </c>
      <c r="AB1830" s="12" t="s">
        <v>265</v>
      </c>
      <c r="AC1830">
        <v>138.256</v>
      </c>
      <c r="AD1830">
        <v>1</v>
      </c>
      <c r="AE1830">
        <v>1</v>
      </c>
      <c r="AF1830">
        <v>0</v>
      </c>
      <c r="AG1830">
        <v>19632.349999999999</v>
      </c>
      <c r="AH1830">
        <v>142</v>
      </c>
      <c r="AI1830">
        <v>141</v>
      </c>
      <c r="AJ1830">
        <v>1</v>
      </c>
      <c r="AK1830">
        <v>1</v>
      </c>
      <c r="AL1830">
        <v>1</v>
      </c>
      <c r="AM1830">
        <v>99.3</v>
      </c>
      <c r="AN1830">
        <v>142.20660000000001</v>
      </c>
      <c r="AO1830">
        <v>138.26</v>
      </c>
      <c r="AP1830" s="13">
        <v>45346</v>
      </c>
      <c r="AQ1830">
        <v>0</v>
      </c>
      <c r="AR1830">
        <v>1</v>
      </c>
    </row>
    <row r="1831" spans="1:44" x14ac:dyDescent="0.35">
      <c r="A1831" s="12" t="s">
        <v>2532</v>
      </c>
      <c r="B1831" s="12" t="s">
        <v>331</v>
      </c>
      <c r="C1831" s="12" t="s">
        <v>332</v>
      </c>
      <c r="D1831" s="12" t="s">
        <v>122</v>
      </c>
      <c r="E1831" s="12" t="s">
        <v>142</v>
      </c>
      <c r="F1831">
        <v>3</v>
      </c>
      <c r="G1831">
        <v>11</v>
      </c>
      <c r="H1831">
        <v>0</v>
      </c>
      <c r="I1831" s="12" t="s">
        <v>183</v>
      </c>
      <c r="J1831" s="12" t="s">
        <v>184</v>
      </c>
      <c r="K1831" s="12" t="s">
        <v>133</v>
      </c>
      <c r="L1831" s="12" t="s">
        <v>82</v>
      </c>
      <c r="M1831">
        <v>8.6199999999999992</v>
      </c>
      <c r="N1831" s="12" t="s">
        <v>97</v>
      </c>
      <c r="O1831" s="12" t="s">
        <v>98</v>
      </c>
      <c r="P1831" s="12" t="s">
        <v>72</v>
      </c>
      <c r="Q1831" s="13">
        <v>45294</v>
      </c>
      <c r="R1831" s="13">
        <v>45335</v>
      </c>
      <c r="S1831">
        <v>2024</v>
      </c>
      <c r="T1831" s="12" t="s">
        <v>2513</v>
      </c>
      <c r="U1831">
        <v>873</v>
      </c>
      <c r="V1831">
        <v>25.052199999999999</v>
      </c>
      <c r="W1831">
        <v>303.61</v>
      </c>
      <c r="X1831">
        <v>0</v>
      </c>
      <c r="Y1831">
        <v>0</v>
      </c>
      <c r="Z1831">
        <v>21870.57</v>
      </c>
      <c r="AA1831">
        <v>22174.18</v>
      </c>
      <c r="AB1831" s="12" t="s">
        <v>2357</v>
      </c>
      <c r="AC1831">
        <v>25.052199999999999</v>
      </c>
      <c r="AD1831">
        <v>1</v>
      </c>
      <c r="AE1831">
        <v>1</v>
      </c>
      <c r="AF1831">
        <v>0</v>
      </c>
      <c r="AG1831">
        <v>21870.57</v>
      </c>
      <c r="AH1831">
        <v>873</v>
      </c>
      <c r="AI1831">
        <v>865</v>
      </c>
      <c r="AJ1831">
        <v>8</v>
      </c>
      <c r="AK1831">
        <v>1</v>
      </c>
      <c r="AL1831">
        <v>1</v>
      </c>
      <c r="AM1831">
        <v>99.08</v>
      </c>
      <c r="AN1831">
        <v>25.634899999999998</v>
      </c>
      <c r="AO1831">
        <v>200.42</v>
      </c>
      <c r="AP1831" s="13">
        <v>45332</v>
      </c>
      <c r="AQ1831">
        <v>-3</v>
      </c>
      <c r="AR1831">
        <v>1</v>
      </c>
    </row>
    <row r="1832" spans="1:44" x14ac:dyDescent="0.35">
      <c r="A1832" s="12" t="s">
        <v>2533</v>
      </c>
      <c r="B1832" s="12" t="s">
        <v>207</v>
      </c>
      <c r="C1832" s="12" t="s">
        <v>208</v>
      </c>
      <c r="D1832" s="12" t="s">
        <v>78</v>
      </c>
      <c r="E1832" s="12" t="s">
        <v>65</v>
      </c>
      <c r="F1832">
        <v>2</v>
      </c>
      <c r="G1832">
        <v>3</v>
      </c>
      <c r="H1832">
        <v>0</v>
      </c>
      <c r="I1832" s="12" t="s">
        <v>217</v>
      </c>
      <c r="J1832" s="12" t="s">
        <v>218</v>
      </c>
      <c r="K1832" s="12" t="s">
        <v>68</v>
      </c>
      <c r="L1832" s="12" t="s">
        <v>82</v>
      </c>
      <c r="M1832">
        <v>14.24</v>
      </c>
      <c r="N1832" s="12" t="s">
        <v>97</v>
      </c>
      <c r="O1832" s="12" t="s">
        <v>98</v>
      </c>
      <c r="P1832" s="12" t="s">
        <v>72</v>
      </c>
      <c r="Q1832" s="13">
        <v>45294</v>
      </c>
      <c r="R1832" s="13">
        <v>45331</v>
      </c>
      <c r="S1832">
        <v>2024</v>
      </c>
      <c r="T1832" s="12" t="s">
        <v>2513</v>
      </c>
      <c r="U1832">
        <v>280</v>
      </c>
      <c r="V1832">
        <v>152.13079999999999</v>
      </c>
      <c r="W1832">
        <v>401.81</v>
      </c>
      <c r="X1832">
        <v>0</v>
      </c>
      <c r="Y1832">
        <v>0</v>
      </c>
      <c r="Z1832">
        <v>42596.62</v>
      </c>
      <c r="AA1832">
        <v>42998.43</v>
      </c>
      <c r="AB1832" s="12" t="s">
        <v>815</v>
      </c>
      <c r="AC1832">
        <v>152.13079999999999</v>
      </c>
      <c r="AD1832">
        <v>1</v>
      </c>
      <c r="AE1832">
        <v>1</v>
      </c>
      <c r="AF1832">
        <v>0</v>
      </c>
      <c r="AG1832">
        <v>42596.62</v>
      </c>
      <c r="AH1832">
        <v>280</v>
      </c>
      <c r="AI1832">
        <v>275</v>
      </c>
      <c r="AJ1832">
        <v>5</v>
      </c>
      <c r="AK1832">
        <v>1</v>
      </c>
      <c r="AL1832">
        <v>1</v>
      </c>
      <c r="AM1832">
        <v>98.21</v>
      </c>
      <c r="AN1832">
        <v>156.3579</v>
      </c>
      <c r="AO1832">
        <v>760.65</v>
      </c>
      <c r="AP1832" s="13">
        <v>45330</v>
      </c>
      <c r="AQ1832">
        <v>-1</v>
      </c>
      <c r="AR1832">
        <v>1</v>
      </c>
    </row>
    <row r="1833" spans="1:44" x14ac:dyDescent="0.35">
      <c r="A1833" s="12" t="s">
        <v>2534</v>
      </c>
      <c r="B1833" s="12" t="s">
        <v>416</v>
      </c>
      <c r="C1833" s="12" t="s">
        <v>417</v>
      </c>
      <c r="D1833" s="12" t="s">
        <v>78</v>
      </c>
      <c r="E1833" s="12" t="s">
        <v>65</v>
      </c>
      <c r="F1833">
        <v>3</v>
      </c>
      <c r="G1833">
        <v>5</v>
      </c>
      <c r="H1833">
        <v>0</v>
      </c>
      <c r="I1833" s="12" t="s">
        <v>94</v>
      </c>
      <c r="J1833" s="12" t="s">
        <v>95</v>
      </c>
      <c r="K1833" s="12" t="s">
        <v>81</v>
      </c>
      <c r="L1833" s="12" t="s">
        <v>96</v>
      </c>
      <c r="M1833">
        <v>4.8099999999999996</v>
      </c>
      <c r="N1833" s="12" t="s">
        <v>97</v>
      </c>
      <c r="O1833" s="12" t="s">
        <v>98</v>
      </c>
      <c r="P1833" s="12" t="s">
        <v>72</v>
      </c>
      <c r="Q1833" s="13">
        <v>45295</v>
      </c>
      <c r="R1833" s="13">
        <v>45319</v>
      </c>
      <c r="S1833">
        <v>2024</v>
      </c>
      <c r="T1833" s="12" t="s">
        <v>2513</v>
      </c>
      <c r="U1833">
        <v>90</v>
      </c>
      <c r="V1833">
        <v>151.49520000000001</v>
      </c>
      <c r="W1833">
        <v>256.26</v>
      </c>
      <c r="X1833">
        <v>0</v>
      </c>
      <c r="Y1833">
        <v>0</v>
      </c>
      <c r="Z1833">
        <v>13634.57</v>
      </c>
      <c r="AA1833">
        <v>13890.83</v>
      </c>
      <c r="AB1833" s="12" t="s">
        <v>201</v>
      </c>
      <c r="AD1833">
        <v>0</v>
      </c>
      <c r="AE1833">
        <v>0</v>
      </c>
      <c r="AH1833">
        <v>90</v>
      </c>
      <c r="AI1833">
        <v>89</v>
      </c>
      <c r="AJ1833">
        <v>1</v>
      </c>
      <c r="AK1833">
        <v>1</v>
      </c>
      <c r="AL1833">
        <v>1</v>
      </c>
      <c r="AM1833">
        <v>98.89</v>
      </c>
      <c r="AN1833">
        <v>156.07669999999999</v>
      </c>
      <c r="AO1833">
        <v>151.5</v>
      </c>
      <c r="AP1833" s="13">
        <v>45317</v>
      </c>
      <c r="AQ1833">
        <v>-2</v>
      </c>
      <c r="AR1833">
        <v>1</v>
      </c>
    </row>
    <row r="1834" spans="1:44" x14ac:dyDescent="0.35">
      <c r="A1834" s="12" t="s">
        <v>2535</v>
      </c>
      <c r="B1834" s="12" t="s">
        <v>62</v>
      </c>
      <c r="C1834" s="12" t="s">
        <v>63</v>
      </c>
      <c r="D1834" s="12" t="s">
        <v>64</v>
      </c>
      <c r="E1834" s="12" t="s">
        <v>65</v>
      </c>
      <c r="F1834">
        <v>1</v>
      </c>
      <c r="G1834">
        <v>2</v>
      </c>
      <c r="H1834">
        <v>1</v>
      </c>
      <c r="I1834" s="12" t="s">
        <v>66</v>
      </c>
      <c r="J1834" s="12" t="s">
        <v>67</v>
      </c>
      <c r="K1834" s="12" t="s">
        <v>68</v>
      </c>
      <c r="L1834" s="12" t="s">
        <v>69</v>
      </c>
      <c r="M1834">
        <v>17.66</v>
      </c>
      <c r="N1834" s="12" t="s">
        <v>70</v>
      </c>
      <c r="O1834" s="12" t="s">
        <v>71</v>
      </c>
      <c r="P1834" s="12" t="s">
        <v>72</v>
      </c>
      <c r="Q1834" s="13">
        <v>45295</v>
      </c>
      <c r="R1834" s="13">
        <v>45325</v>
      </c>
      <c r="S1834">
        <v>2024</v>
      </c>
      <c r="T1834" s="12" t="s">
        <v>2513</v>
      </c>
      <c r="U1834">
        <v>565</v>
      </c>
      <c r="V1834">
        <v>24.687000000000001</v>
      </c>
      <c r="W1834">
        <v>344.81</v>
      </c>
      <c r="X1834">
        <v>0</v>
      </c>
      <c r="Y1834">
        <v>0</v>
      </c>
      <c r="Z1834">
        <v>13948.16</v>
      </c>
      <c r="AA1834">
        <v>14292.97</v>
      </c>
      <c r="AB1834" s="12" t="s">
        <v>74</v>
      </c>
      <c r="AC1834">
        <v>24.687000000000001</v>
      </c>
      <c r="AD1834">
        <v>1</v>
      </c>
      <c r="AE1834">
        <v>1</v>
      </c>
      <c r="AF1834">
        <v>0</v>
      </c>
      <c r="AG1834">
        <v>13948.16</v>
      </c>
      <c r="AH1834">
        <v>565</v>
      </c>
      <c r="AI1834">
        <v>564</v>
      </c>
      <c r="AJ1834">
        <v>1</v>
      </c>
      <c r="AK1834">
        <v>1</v>
      </c>
      <c r="AL1834">
        <v>1</v>
      </c>
      <c r="AM1834">
        <v>99.82</v>
      </c>
      <c r="AN1834">
        <v>25.342099999999999</v>
      </c>
      <c r="AO1834">
        <v>24.69</v>
      </c>
      <c r="AP1834" s="13">
        <v>45324</v>
      </c>
      <c r="AQ1834">
        <v>-1</v>
      </c>
      <c r="AR1834">
        <v>1</v>
      </c>
    </row>
    <row r="1835" spans="1:44" x14ac:dyDescent="0.35">
      <c r="A1835" s="12" t="s">
        <v>2536</v>
      </c>
      <c r="B1835" s="12" t="s">
        <v>747</v>
      </c>
      <c r="C1835" s="12" t="s">
        <v>748</v>
      </c>
      <c r="D1835" s="12" t="s">
        <v>114</v>
      </c>
      <c r="E1835" s="12" t="s">
        <v>104</v>
      </c>
      <c r="F1835">
        <v>2</v>
      </c>
      <c r="G1835">
        <v>0</v>
      </c>
      <c r="H1835">
        <v>0</v>
      </c>
      <c r="I1835" s="12" t="s">
        <v>380</v>
      </c>
      <c r="J1835" s="12" t="s">
        <v>381</v>
      </c>
      <c r="K1835" s="12" t="s">
        <v>89</v>
      </c>
      <c r="L1835" s="12" t="s">
        <v>96</v>
      </c>
      <c r="M1835">
        <v>10.210000000000001</v>
      </c>
      <c r="N1835" s="12" t="s">
        <v>97</v>
      </c>
      <c r="O1835" s="12" t="s">
        <v>98</v>
      </c>
      <c r="P1835" s="12" t="s">
        <v>72</v>
      </c>
      <c r="Q1835" s="13">
        <v>45295</v>
      </c>
      <c r="R1835" s="13">
        <v>45307</v>
      </c>
      <c r="S1835">
        <v>2024</v>
      </c>
      <c r="T1835" s="12" t="s">
        <v>2513</v>
      </c>
      <c r="U1835">
        <v>12</v>
      </c>
      <c r="V1835">
        <v>245.56890000000001</v>
      </c>
      <c r="W1835">
        <v>33.69</v>
      </c>
      <c r="X1835">
        <v>0</v>
      </c>
      <c r="Y1835">
        <v>0</v>
      </c>
      <c r="Z1835">
        <v>2946.83</v>
      </c>
      <c r="AA1835">
        <v>2980.52</v>
      </c>
      <c r="AB1835" s="12" t="s">
        <v>896</v>
      </c>
      <c r="AC1835">
        <v>245.56890000000001</v>
      </c>
      <c r="AD1835">
        <v>1</v>
      </c>
      <c r="AE1835">
        <v>1</v>
      </c>
      <c r="AF1835">
        <v>0</v>
      </c>
      <c r="AG1835">
        <v>2946.83</v>
      </c>
      <c r="AH1835">
        <v>12</v>
      </c>
      <c r="AI1835">
        <v>12</v>
      </c>
      <c r="AJ1835">
        <v>0</v>
      </c>
      <c r="AK1835">
        <v>1</v>
      </c>
      <c r="AL1835">
        <v>1</v>
      </c>
      <c r="AM1835">
        <v>100</v>
      </c>
      <c r="AN1835">
        <v>248.37639999999999</v>
      </c>
      <c r="AO1835">
        <v>0</v>
      </c>
      <c r="AP1835" s="13">
        <v>45306</v>
      </c>
      <c r="AQ1835">
        <v>-1</v>
      </c>
      <c r="AR1835">
        <v>1</v>
      </c>
    </row>
    <row r="1836" spans="1:44" x14ac:dyDescent="0.35">
      <c r="A1836" s="12" t="s">
        <v>2537</v>
      </c>
      <c r="B1836" s="12" t="s">
        <v>173</v>
      </c>
      <c r="C1836" s="12" t="s">
        <v>174</v>
      </c>
      <c r="D1836" s="12" t="s">
        <v>175</v>
      </c>
      <c r="E1836" s="12" t="s">
        <v>104</v>
      </c>
      <c r="F1836">
        <v>3</v>
      </c>
      <c r="G1836">
        <v>1</v>
      </c>
      <c r="H1836">
        <v>0</v>
      </c>
      <c r="I1836" s="12" t="s">
        <v>176</v>
      </c>
      <c r="J1836" s="12" t="s">
        <v>177</v>
      </c>
      <c r="K1836" s="12" t="s">
        <v>125</v>
      </c>
      <c r="L1836" s="12" t="s">
        <v>134</v>
      </c>
      <c r="M1836">
        <v>1.75</v>
      </c>
      <c r="N1836" s="12" t="s">
        <v>107</v>
      </c>
      <c r="O1836" s="12" t="s">
        <v>108</v>
      </c>
      <c r="P1836" s="12" t="s">
        <v>109</v>
      </c>
      <c r="Q1836" s="13">
        <v>45295</v>
      </c>
      <c r="R1836" s="13">
        <v>45312</v>
      </c>
      <c r="S1836">
        <v>2024</v>
      </c>
      <c r="T1836" s="12" t="s">
        <v>2513</v>
      </c>
      <c r="U1836">
        <v>53</v>
      </c>
      <c r="V1836">
        <v>79.9559</v>
      </c>
      <c r="W1836">
        <v>56.14</v>
      </c>
      <c r="X1836">
        <v>0</v>
      </c>
      <c r="Y1836">
        <v>0</v>
      </c>
      <c r="Z1836">
        <v>4237.66</v>
      </c>
      <c r="AA1836">
        <v>4293.8</v>
      </c>
      <c r="AB1836" s="12" t="s">
        <v>178</v>
      </c>
      <c r="AC1836">
        <v>79.9559</v>
      </c>
      <c r="AD1836">
        <v>1</v>
      </c>
      <c r="AE1836">
        <v>1</v>
      </c>
      <c r="AF1836">
        <v>0</v>
      </c>
      <c r="AG1836">
        <v>4237.66</v>
      </c>
      <c r="AH1836">
        <v>53</v>
      </c>
      <c r="AI1836">
        <v>53</v>
      </c>
      <c r="AJ1836">
        <v>0</v>
      </c>
      <c r="AK1836">
        <v>1</v>
      </c>
      <c r="AL1836">
        <v>1</v>
      </c>
      <c r="AM1836">
        <v>100</v>
      </c>
      <c r="AN1836">
        <v>81.015100000000004</v>
      </c>
      <c r="AO1836">
        <v>0</v>
      </c>
      <c r="AP1836" s="13">
        <v>45311</v>
      </c>
      <c r="AQ1836">
        <v>-1</v>
      </c>
      <c r="AR1836">
        <v>1</v>
      </c>
    </row>
    <row r="1837" spans="1:44" x14ac:dyDescent="0.35">
      <c r="A1837" s="12" t="s">
        <v>2538</v>
      </c>
      <c r="B1837" s="12" t="s">
        <v>339</v>
      </c>
      <c r="C1837" s="12" t="s">
        <v>340</v>
      </c>
      <c r="D1837" s="12" t="s">
        <v>103</v>
      </c>
      <c r="E1837" s="12" t="s">
        <v>142</v>
      </c>
      <c r="F1837">
        <v>2</v>
      </c>
      <c r="G1837">
        <v>9</v>
      </c>
      <c r="H1837">
        <v>0</v>
      </c>
      <c r="I1837" s="12" t="s">
        <v>341</v>
      </c>
      <c r="J1837" s="12" t="s">
        <v>342</v>
      </c>
      <c r="K1837" s="12" t="s">
        <v>117</v>
      </c>
      <c r="L1837" s="12" t="s">
        <v>82</v>
      </c>
      <c r="M1837">
        <v>18.36</v>
      </c>
      <c r="N1837" s="12" t="s">
        <v>145</v>
      </c>
      <c r="O1837" s="12" t="s">
        <v>146</v>
      </c>
      <c r="P1837" s="12" t="s">
        <v>109</v>
      </c>
      <c r="Q1837" s="13">
        <v>45295</v>
      </c>
      <c r="R1837" s="13">
        <v>45338</v>
      </c>
      <c r="S1837">
        <v>2024</v>
      </c>
      <c r="T1837" s="12" t="s">
        <v>2513</v>
      </c>
      <c r="U1837">
        <v>72</v>
      </c>
      <c r="V1837">
        <v>249.9879</v>
      </c>
      <c r="W1837">
        <v>253.72</v>
      </c>
      <c r="X1837">
        <v>0</v>
      </c>
      <c r="Y1837">
        <v>0</v>
      </c>
      <c r="Z1837">
        <v>17999.13</v>
      </c>
      <c r="AA1837">
        <v>18252.849999999999</v>
      </c>
      <c r="AB1837" s="12" t="s">
        <v>343</v>
      </c>
      <c r="AC1837">
        <v>249.9879</v>
      </c>
      <c r="AD1837">
        <v>1</v>
      </c>
      <c r="AE1837">
        <v>1</v>
      </c>
      <c r="AF1837">
        <v>0</v>
      </c>
      <c r="AG1837">
        <v>17999.13</v>
      </c>
      <c r="AH1837">
        <v>72</v>
      </c>
      <c r="AI1837">
        <v>72</v>
      </c>
      <c r="AJ1837">
        <v>0</v>
      </c>
      <c r="AK1837">
        <v>1</v>
      </c>
      <c r="AL1837">
        <v>1</v>
      </c>
      <c r="AM1837">
        <v>100</v>
      </c>
      <c r="AN1837">
        <v>253.51179999999999</v>
      </c>
      <c r="AO1837">
        <v>0</v>
      </c>
      <c r="AP1837" s="13">
        <v>45338</v>
      </c>
      <c r="AQ1837">
        <v>0</v>
      </c>
      <c r="AR1837">
        <v>1</v>
      </c>
    </row>
    <row r="1838" spans="1:44" x14ac:dyDescent="0.35">
      <c r="A1838" s="12" t="s">
        <v>2539</v>
      </c>
      <c r="B1838" s="12" t="s">
        <v>978</v>
      </c>
      <c r="C1838" s="12" t="s">
        <v>979</v>
      </c>
      <c r="D1838" s="12" t="s">
        <v>122</v>
      </c>
      <c r="E1838" s="12" t="s">
        <v>65</v>
      </c>
      <c r="F1838">
        <v>1</v>
      </c>
      <c r="G1838">
        <v>2</v>
      </c>
      <c r="H1838">
        <v>1</v>
      </c>
      <c r="I1838" s="12" t="s">
        <v>310</v>
      </c>
      <c r="J1838" s="12" t="s">
        <v>311</v>
      </c>
      <c r="K1838" s="12" t="s">
        <v>81</v>
      </c>
      <c r="L1838" s="12" t="s">
        <v>69</v>
      </c>
      <c r="M1838">
        <v>28.3</v>
      </c>
      <c r="N1838" s="12" t="s">
        <v>97</v>
      </c>
      <c r="O1838" s="12" t="s">
        <v>98</v>
      </c>
      <c r="P1838" s="12" t="s">
        <v>72</v>
      </c>
      <c r="Q1838" s="13">
        <v>45295</v>
      </c>
      <c r="R1838" s="13">
        <v>45328</v>
      </c>
      <c r="S1838">
        <v>2024</v>
      </c>
      <c r="T1838" s="12" t="s">
        <v>2513</v>
      </c>
      <c r="U1838">
        <v>1421</v>
      </c>
      <c r="V1838">
        <v>43.709699999999998</v>
      </c>
      <c r="W1838">
        <v>1243.8900000000001</v>
      </c>
      <c r="X1838">
        <v>0</v>
      </c>
      <c r="Y1838">
        <v>0</v>
      </c>
      <c r="Z1838">
        <v>62111.48</v>
      </c>
      <c r="AA1838">
        <v>63355.37</v>
      </c>
      <c r="AB1838" s="12" t="s">
        <v>980</v>
      </c>
      <c r="AC1838">
        <v>43.709699999999998</v>
      </c>
      <c r="AD1838">
        <v>1</v>
      </c>
      <c r="AE1838">
        <v>1</v>
      </c>
      <c r="AF1838">
        <v>0</v>
      </c>
      <c r="AG1838">
        <v>62111.48</v>
      </c>
      <c r="AH1838">
        <v>1421</v>
      </c>
      <c r="AI1838">
        <v>1406</v>
      </c>
      <c r="AJ1838">
        <v>15</v>
      </c>
      <c r="AK1838">
        <v>1</v>
      </c>
      <c r="AL1838">
        <v>1</v>
      </c>
      <c r="AM1838">
        <v>98.94</v>
      </c>
      <c r="AN1838">
        <v>45.060699999999997</v>
      </c>
      <c r="AO1838">
        <v>655.65</v>
      </c>
      <c r="AP1838" s="13">
        <v>45327</v>
      </c>
      <c r="AQ1838">
        <v>-1</v>
      </c>
      <c r="AR1838">
        <v>1</v>
      </c>
    </row>
    <row r="1839" spans="1:44" x14ac:dyDescent="0.35">
      <c r="A1839" s="12" t="s">
        <v>2540</v>
      </c>
      <c r="B1839" s="12" t="s">
        <v>207</v>
      </c>
      <c r="C1839" s="12" t="s">
        <v>208</v>
      </c>
      <c r="D1839" s="12" t="s">
        <v>78</v>
      </c>
      <c r="E1839" s="12" t="s">
        <v>65</v>
      </c>
      <c r="F1839">
        <v>2</v>
      </c>
      <c r="G1839">
        <v>3</v>
      </c>
      <c r="H1839">
        <v>0</v>
      </c>
      <c r="I1839" s="12" t="s">
        <v>209</v>
      </c>
      <c r="J1839" s="12" t="s">
        <v>210</v>
      </c>
      <c r="K1839" s="12" t="s">
        <v>133</v>
      </c>
      <c r="L1839" s="12" t="s">
        <v>96</v>
      </c>
      <c r="M1839">
        <v>7.82</v>
      </c>
      <c r="N1839" s="12" t="s">
        <v>70</v>
      </c>
      <c r="O1839" s="12" t="s">
        <v>71</v>
      </c>
      <c r="P1839" s="12" t="s">
        <v>72</v>
      </c>
      <c r="Q1839" s="13">
        <v>45295</v>
      </c>
      <c r="R1839" s="13">
        <v>45332</v>
      </c>
      <c r="S1839">
        <v>2024</v>
      </c>
      <c r="T1839" s="12" t="s">
        <v>2513</v>
      </c>
      <c r="U1839">
        <v>285</v>
      </c>
      <c r="V1839">
        <v>160.99440000000001</v>
      </c>
      <c r="W1839">
        <v>299.93</v>
      </c>
      <c r="X1839">
        <v>0</v>
      </c>
      <c r="Y1839">
        <v>0</v>
      </c>
      <c r="Z1839">
        <v>45883.4</v>
      </c>
      <c r="AA1839">
        <v>46183.33</v>
      </c>
      <c r="AB1839" s="12" t="s">
        <v>211</v>
      </c>
      <c r="AC1839">
        <v>152.13079999999999</v>
      </c>
      <c r="AD1839">
        <v>1</v>
      </c>
      <c r="AE1839">
        <v>1</v>
      </c>
      <c r="AF1839">
        <v>2526.13</v>
      </c>
      <c r="AG1839">
        <v>43357.279999999999</v>
      </c>
      <c r="AH1839">
        <v>285</v>
      </c>
      <c r="AI1839">
        <v>281</v>
      </c>
      <c r="AJ1839">
        <v>4</v>
      </c>
      <c r="AK1839">
        <v>1</v>
      </c>
      <c r="AL1839">
        <v>1</v>
      </c>
      <c r="AM1839">
        <v>98.6</v>
      </c>
      <c r="AN1839">
        <v>164.3535</v>
      </c>
      <c r="AO1839">
        <v>643.98</v>
      </c>
      <c r="AP1839" s="13">
        <v>45330</v>
      </c>
      <c r="AQ1839">
        <v>-2</v>
      </c>
      <c r="AR1839">
        <v>1</v>
      </c>
    </row>
    <row r="1840" spans="1:44" x14ac:dyDescent="0.35">
      <c r="A1840" s="12" t="s">
        <v>2541</v>
      </c>
      <c r="B1840" s="12" t="s">
        <v>787</v>
      </c>
      <c r="C1840" s="12" t="s">
        <v>788</v>
      </c>
      <c r="D1840" s="12" t="s">
        <v>269</v>
      </c>
      <c r="E1840" s="12" t="s">
        <v>65</v>
      </c>
      <c r="F1840">
        <v>2</v>
      </c>
      <c r="G1840">
        <v>3</v>
      </c>
      <c r="H1840">
        <v>0</v>
      </c>
      <c r="I1840" s="12" t="s">
        <v>143</v>
      </c>
      <c r="J1840" s="12" t="s">
        <v>144</v>
      </c>
      <c r="K1840" s="12" t="s">
        <v>133</v>
      </c>
      <c r="L1840" s="12" t="s">
        <v>96</v>
      </c>
      <c r="M1840">
        <v>5.43</v>
      </c>
      <c r="N1840" s="12" t="s">
        <v>135</v>
      </c>
      <c r="O1840" s="12" t="s">
        <v>136</v>
      </c>
      <c r="P1840" s="12" t="s">
        <v>137</v>
      </c>
      <c r="Q1840" s="13">
        <v>45295</v>
      </c>
      <c r="R1840" s="13">
        <v>45333</v>
      </c>
      <c r="S1840">
        <v>2024</v>
      </c>
      <c r="T1840" s="12" t="s">
        <v>2513</v>
      </c>
      <c r="U1840">
        <v>142</v>
      </c>
      <c r="V1840">
        <v>354.36430000000001</v>
      </c>
      <c r="W1840">
        <v>350.49</v>
      </c>
      <c r="X1840">
        <v>0</v>
      </c>
      <c r="Y1840">
        <v>0</v>
      </c>
      <c r="Z1840">
        <v>50319.73</v>
      </c>
      <c r="AA1840">
        <v>50670.22</v>
      </c>
      <c r="AB1840" s="12" t="s">
        <v>789</v>
      </c>
      <c r="AC1840">
        <v>354.36430000000001</v>
      </c>
      <c r="AD1840">
        <v>1</v>
      </c>
      <c r="AE1840">
        <v>1</v>
      </c>
      <c r="AF1840">
        <v>0</v>
      </c>
      <c r="AG1840">
        <v>50319.73</v>
      </c>
      <c r="AH1840">
        <v>142</v>
      </c>
      <c r="AI1840">
        <v>142</v>
      </c>
      <c r="AJ1840">
        <v>0</v>
      </c>
      <c r="AK1840">
        <v>1</v>
      </c>
      <c r="AL1840">
        <v>1</v>
      </c>
      <c r="AM1840">
        <v>100</v>
      </c>
      <c r="AN1840">
        <v>356.83249999999998</v>
      </c>
      <c r="AO1840">
        <v>0</v>
      </c>
      <c r="AP1840" s="13">
        <v>45333</v>
      </c>
      <c r="AQ1840">
        <v>0</v>
      </c>
      <c r="AR1840">
        <v>1</v>
      </c>
    </row>
    <row r="1841" spans="1:44" x14ac:dyDescent="0.35">
      <c r="A1841" s="12" t="s">
        <v>2542</v>
      </c>
      <c r="B1841" s="12" t="s">
        <v>1042</v>
      </c>
      <c r="C1841" s="12" t="s">
        <v>1043</v>
      </c>
      <c r="D1841" s="12" t="s">
        <v>269</v>
      </c>
      <c r="E1841" s="12" t="s">
        <v>104</v>
      </c>
      <c r="F1841">
        <v>2</v>
      </c>
      <c r="G1841">
        <v>0</v>
      </c>
      <c r="H1841">
        <v>0</v>
      </c>
      <c r="I1841" s="12" t="s">
        <v>143</v>
      </c>
      <c r="J1841" s="12" t="s">
        <v>144</v>
      </c>
      <c r="K1841" s="12" t="s">
        <v>133</v>
      </c>
      <c r="L1841" s="12" t="s">
        <v>96</v>
      </c>
      <c r="M1841">
        <v>5.43</v>
      </c>
      <c r="N1841" s="12" t="s">
        <v>159</v>
      </c>
      <c r="O1841" s="12" t="s">
        <v>160</v>
      </c>
      <c r="P1841" s="12" t="s">
        <v>137</v>
      </c>
      <c r="Q1841" s="13">
        <v>45295</v>
      </c>
      <c r="R1841" s="13">
        <v>45316</v>
      </c>
      <c r="S1841">
        <v>2024</v>
      </c>
      <c r="T1841" s="12" t="s">
        <v>2513</v>
      </c>
      <c r="U1841">
        <v>87</v>
      </c>
      <c r="V1841">
        <v>290.76319999999998</v>
      </c>
      <c r="W1841">
        <v>628.61</v>
      </c>
      <c r="X1841">
        <v>0</v>
      </c>
      <c r="Y1841">
        <v>0</v>
      </c>
      <c r="Z1841">
        <v>25296.400000000001</v>
      </c>
      <c r="AA1841">
        <v>25925.01</v>
      </c>
      <c r="AB1841" s="12" t="s">
        <v>1044</v>
      </c>
      <c r="AC1841">
        <v>290.76319999999998</v>
      </c>
      <c r="AD1841">
        <v>1</v>
      </c>
      <c r="AE1841">
        <v>1</v>
      </c>
      <c r="AF1841">
        <v>0</v>
      </c>
      <c r="AG1841">
        <v>25296.400000000001</v>
      </c>
      <c r="AH1841">
        <v>87</v>
      </c>
      <c r="AI1841">
        <v>86</v>
      </c>
      <c r="AJ1841">
        <v>1</v>
      </c>
      <c r="AK1841">
        <v>1</v>
      </c>
      <c r="AL1841">
        <v>1</v>
      </c>
      <c r="AM1841">
        <v>98.85</v>
      </c>
      <c r="AN1841">
        <v>301.45359999999999</v>
      </c>
      <c r="AO1841">
        <v>290.76</v>
      </c>
      <c r="AP1841" s="13">
        <v>45316</v>
      </c>
      <c r="AQ1841">
        <v>0</v>
      </c>
      <c r="AR1841">
        <v>1</v>
      </c>
    </row>
    <row r="1842" spans="1:44" x14ac:dyDescent="0.35">
      <c r="A1842" s="12" t="s">
        <v>2543</v>
      </c>
      <c r="B1842" s="12" t="s">
        <v>238</v>
      </c>
      <c r="C1842" s="12" t="s">
        <v>239</v>
      </c>
      <c r="D1842" s="12" t="s">
        <v>122</v>
      </c>
      <c r="E1842" s="12" t="s">
        <v>65</v>
      </c>
      <c r="F1842">
        <v>3</v>
      </c>
      <c r="G1842">
        <v>4</v>
      </c>
      <c r="H1842">
        <v>0</v>
      </c>
      <c r="I1842" s="12" t="s">
        <v>243</v>
      </c>
      <c r="J1842" s="12" t="s">
        <v>244</v>
      </c>
      <c r="K1842" s="12" t="s">
        <v>81</v>
      </c>
      <c r="L1842" s="12" t="s">
        <v>82</v>
      </c>
      <c r="M1842">
        <v>9.2200000000000006</v>
      </c>
      <c r="N1842" s="12" t="s">
        <v>97</v>
      </c>
      <c r="O1842" s="12" t="s">
        <v>98</v>
      </c>
      <c r="P1842" s="12" t="s">
        <v>72</v>
      </c>
      <c r="Q1842" s="13">
        <v>45295</v>
      </c>
      <c r="R1842" s="13">
        <v>45329</v>
      </c>
      <c r="S1842">
        <v>2024</v>
      </c>
      <c r="T1842" s="12" t="s">
        <v>2513</v>
      </c>
      <c r="U1842">
        <v>1516</v>
      </c>
      <c r="V1842">
        <v>37.143599999999999</v>
      </c>
      <c r="W1842">
        <v>551.86</v>
      </c>
      <c r="X1842">
        <v>0</v>
      </c>
      <c r="Y1842">
        <v>0</v>
      </c>
      <c r="Z1842">
        <v>56309.7</v>
      </c>
      <c r="AA1842">
        <v>56861.56</v>
      </c>
      <c r="AB1842" s="12" t="s">
        <v>717</v>
      </c>
      <c r="AC1842">
        <v>37.143599999999999</v>
      </c>
      <c r="AD1842">
        <v>1</v>
      </c>
      <c r="AE1842">
        <v>1</v>
      </c>
      <c r="AF1842">
        <v>0</v>
      </c>
      <c r="AG1842">
        <v>56309.7</v>
      </c>
      <c r="AH1842">
        <v>1516</v>
      </c>
      <c r="AI1842">
        <v>1504</v>
      </c>
      <c r="AJ1842">
        <v>12</v>
      </c>
      <c r="AK1842">
        <v>1</v>
      </c>
      <c r="AL1842">
        <v>1</v>
      </c>
      <c r="AM1842">
        <v>99.21</v>
      </c>
      <c r="AN1842">
        <v>37.806899999999999</v>
      </c>
      <c r="AO1842">
        <v>445.72</v>
      </c>
      <c r="AP1842" s="13">
        <v>45328</v>
      </c>
      <c r="AQ1842">
        <v>-1</v>
      </c>
      <c r="AR1842">
        <v>1</v>
      </c>
    </row>
    <row r="1843" spans="1:44" x14ac:dyDescent="0.35">
      <c r="A1843" s="12" t="s">
        <v>2544</v>
      </c>
      <c r="B1843" s="12" t="s">
        <v>207</v>
      </c>
      <c r="C1843" s="12" t="s">
        <v>208</v>
      </c>
      <c r="D1843" s="12" t="s">
        <v>78</v>
      </c>
      <c r="E1843" s="12" t="s">
        <v>65</v>
      </c>
      <c r="F1843">
        <v>2</v>
      </c>
      <c r="G1843">
        <v>3</v>
      </c>
      <c r="H1843">
        <v>0</v>
      </c>
      <c r="I1843" s="12" t="s">
        <v>209</v>
      </c>
      <c r="J1843" s="12" t="s">
        <v>210</v>
      </c>
      <c r="K1843" s="12" t="s">
        <v>133</v>
      </c>
      <c r="L1843" s="12" t="s">
        <v>96</v>
      </c>
      <c r="M1843">
        <v>7.82</v>
      </c>
      <c r="N1843" s="12" t="s">
        <v>70</v>
      </c>
      <c r="O1843" s="12" t="s">
        <v>71</v>
      </c>
      <c r="P1843" s="12" t="s">
        <v>72</v>
      </c>
      <c r="Q1843" s="13">
        <v>45295</v>
      </c>
      <c r="R1843" s="13">
        <v>45332</v>
      </c>
      <c r="S1843">
        <v>2024</v>
      </c>
      <c r="T1843" s="12" t="s">
        <v>2513</v>
      </c>
      <c r="U1843">
        <v>285</v>
      </c>
      <c r="V1843">
        <v>160.99440000000001</v>
      </c>
      <c r="W1843">
        <v>299.93</v>
      </c>
      <c r="X1843">
        <v>0</v>
      </c>
      <c r="Y1843">
        <v>0</v>
      </c>
      <c r="Z1843">
        <v>45883.4</v>
      </c>
      <c r="AA1843">
        <v>46183.33</v>
      </c>
      <c r="AB1843" s="12" t="s">
        <v>211</v>
      </c>
      <c r="AC1843">
        <v>152.13079999999999</v>
      </c>
      <c r="AD1843">
        <v>1</v>
      </c>
      <c r="AE1843">
        <v>1</v>
      </c>
      <c r="AF1843">
        <v>2526.13</v>
      </c>
      <c r="AG1843">
        <v>43357.279999999999</v>
      </c>
      <c r="AK1843">
        <v>0</v>
      </c>
      <c r="AL1843">
        <v>0</v>
      </c>
      <c r="AO1843">
        <v>0</v>
      </c>
      <c r="AP1843" s="13"/>
    </row>
    <row r="1844" spans="1:44" x14ac:dyDescent="0.35">
      <c r="A1844" s="12" t="s">
        <v>2545</v>
      </c>
      <c r="B1844" s="12" t="s">
        <v>149</v>
      </c>
      <c r="C1844" s="12" t="s">
        <v>150</v>
      </c>
      <c r="D1844" s="12" t="s">
        <v>78</v>
      </c>
      <c r="E1844" s="12" t="s">
        <v>65</v>
      </c>
      <c r="F1844">
        <v>2</v>
      </c>
      <c r="G1844">
        <v>2</v>
      </c>
      <c r="H1844">
        <v>0</v>
      </c>
      <c r="I1844" s="12" t="s">
        <v>151</v>
      </c>
      <c r="J1844" s="12" t="s">
        <v>152</v>
      </c>
      <c r="K1844" s="12" t="s">
        <v>125</v>
      </c>
      <c r="L1844" s="12" t="s">
        <v>69</v>
      </c>
      <c r="M1844">
        <v>36.479999999999997</v>
      </c>
      <c r="N1844" s="12" t="s">
        <v>97</v>
      </c>
      <c r="O1844" s="12" t="s">
        <v>98</v>
      </c>
      <c r="P1844" s="12" t="s">
        <v>72</v>
      </c>
      <c r="Q1844" s="13">
        <v>45296</v>
      </c>
      <c r="R1844" s="13">
        <v>45331</v>
      </c>
      <c r="S1844">
        <v>2024</v>
      </c>
      <c r="T1844" s="12" t="s">
        <v>2513</v>
      </c>
      <c r="U1844">
        <v>248</v>
      </c>
      <c r="V1844">
        <v>66.798400000000001</v>
      </c>
      <c r="W1844">
        <v>223.58</v>
      </c>
      <c r="X1844">
        <v>538.23</v>
      </c>
      <c r="Y1844">
        <v>1</v>
      </c>
      <c r="Z1844">
        <v>16566</v>
      </c>
      <c r="AA1844">
        <v>17327.810000000001</v>
      </c>
      <c r="AB1844" s="12" t="s">
        <v>2546</v>
      </c>
      <c r="AC1844">
        <v>70.838700000000003</v>
      </c>
      <c r="AD1844">
        <v>1</v>
      </c>
      <c r="AE1844">
        <v>1</v>
      </c>
      <c r="AF1844">
        <v>-1001.99</v>
      </c>
      <c r="AG1844">
        <v>17568</v>
      </c>
      <c r="AH1844">
        <v>248</v>
      </c>
      <c r="AI1844">
        <v>243</v>
      </c>
      <c r="AJ1844">
        <v>5</v>
      </c>
      <c r="AK1844">
        <v>1</v>
      </c>
      <c r="AL1844">
        <v>1</v>
      </c>
      <c r="AM1844">
        <v>97.98</v>
      </c>
      <c r="AN1844">
        <v>71.307900000000004</v>
      </c>
      <c r="AO1844">
        <v>333.99</v>
      </c>
      <c r="AP1844" s="13">
        <v>45331</v>
      </c>
      <c r="AQ1844">
        <v>0</v>
      </c>
      <c r="AR1844">
        <v>1</v>
      </c>
    </row>
    <row r="1845" spans="1:44" x14ac:dyDescent="0.35">
      <c r="A1845" s="12" t="s">
        <v>2547</v>
      </c>
      <c r="B1845" s="12" t="s">
        <v>706</v>
      </c>
      <c r="C1845" s="12" t="s">
        <v>707</v>
      </c>
      <c r="D1845" s="12" t="s">
        <v>130</v>
      </c>
      <c r="E1845" s="12" t="s">
        <v>142</v>
      </c>
      <c r="F1845">
        <v>1</v>
      </c>
      <c r="G1845">
        <v>8</v>
      </c>
      <c r="H1845">
        <v>1</v>
      </c>
      <c r="I1845" s="12" t="s">
        <v>263</v>
      </c>
      <c r="J1845" s="12" t="s">
        <v>264</v>
      </c>
      <c r="K1845" s="12" t="s">
        <v>125</v>
      </c>
      <c r="L1845" s="12" t="s">
        <v>82</v>
      </c>
      <c r="M1845">
        <v>10.210000000000001</v>
      </c>
      <c r="N1845" s="12" t="s">
        <v>159</v>
      </c>
      <c r="O1845" s="12" t="s">
        <v>160</v>
      </c>
      <c r="P1845" s="12" t="s">
        <v>137</v>
      </c>
      <c r="Q1845" s="13">
        <v>45296</v>
      </c>
      <c r="R1845" s="13">
        <v>45335</v>
      </c>
      <c r="S1845">
        <v>2024</v>
      </c>
      <c r="T1845" s="12" t="s">
        <v>2513</v>
      </c>
      <c r="U1845">
        <v>43</v>
      </c>
      <c r="V1845">
        <v>277.71210000000002</v>
      </c>
      <c r="W1845">
        <v>284.95999999999998</v>
      </c>
      <c r="X1845">
        <v>0</v>
      </c>
      <c r="Y1845">
        <v>0</v>
      </c>
      <c r="Z1845">
        <v>11941.62</v>
      </c>
      <c r="AA1845">
        <v>12226.58</v>
      </c>
      <c r="AB1845" s="12" t="s">
        <v>708</v>
      </c>
      <c r="AC1845">
        <v>277.71210000000002</v>
      </c>
      <c r="AD1845">
        <v>1</v>
      </c>
      <c r="AE1845">
        <v>1</v>
      </c>
      <c r="AF1845">
        <v>0</v>
      </c>
      <c r="AG1845">
        <v>11941.62</v>
      </c>
      <c r="AH1845">
        <v>43</v>
      </c>
      <c r="AI1845">
        <v>43</v>
      </c>
      <c r="AJ1845">
        <v>0</v>
      </c>
      <c r="AK1845">
        <v>1</v>
      </c>
      <c r="AL1845">
        <v>1</v>
      </c>
      <c r="AM1845">
        <v>100</v>
      </c>
      <c r="AN1845">
        <v>284.33909999999997</v>
      </c>
      <c r="AO1845">
        <v>0</v>
      </c>
      <c r="AP1845" s="13">
        <v>45332</v>
      </c>
      <c r="AQ1845">
        <v>-3</v>
      </c>
      <c r="AR1845">
        <v>1</v>
      </c>
    </row>
    <row r="1846" spans="1:44" x14ac:dyDescent="0.35">
      <c r="A1846" s="12" t="s">
        <v>2548</v>
      </c>
      <c r="B1846" s="12" t="s">
        <v>548</v>
      </c>
      <c r="C1846" s="12" t="s">
        <v>549</v>
      </c>
      <c r="D1846" s="12" t="s">
        <v>78</v>
      </c>
      <c r="E1846" s="12" t="s">
        <v>104</v>
      </c>
      <c r="F1846">
        <v>3</v>
      </c>
      <c r="G1846">
        <v>1</v>
      </c>
      <c r="H1846">
        <v>0</v>
      </c>
      <c r="I1846" s="12" t="s">
        <v>199</v>
      </c>
      <c r="J1846" s="12" t="s">
        <v>200</v>
      </c>
      <c r="K1846" s="12" t="s">
        <v>68</v>
      </c>
      <c r="L1846" s="12" t="s">
        <v>96</v>
      </c>
      <c r="M1846">
        <v>9.4700000000000006</v>
      </c>
      <c r="N1846" s="12" t="s">
        <v>97</v>
      </c>
      <c r="O1846" s="12" t="s">
        <v>98</v>
      </c>
      <c r="P1846" s="12" t="s">
        <v>72</v>
      </c>
      <c r="Q1846" s="13">
        <v>45296</v>
      </c>
      <c r="R1846" s="13">
        <v>45311</v>
      </c>
      <c r="S1846">
        <v>2024</v>
      </c>
      <c r="T1846" s="12" t="s">
        <v>2513</v>
      </c>
      <c r="U1846">
        <v>84</v>
      </c>
      <c r="V1846">
        <v>62.471600000000002</v>
      </c>
      <c r="W1846">
        <v>133.72999999999999</v>
      </c>
      <c r="X1846">
        <v>0</v>
      </c>
      <c r="Y1846">
        <v>0</v>
      </c>
      <c r="Z1846">
        <v>5247.61</v>
      </c>
      <c r="AA1846">
        <v>5381.34</v>
      </c>
      <c r="AB1846" s="12" t="s">
        <v>930</v>
      </c>
      <c r="AC1846">
        <v>62.471600000000002</v>
      </c>
      <c r="AD1846">
        <v>1</v>
      </c>
      <c r="AE1846">
        <v>1</v>
      </c>
      <c r="AF1846">
        <v>0</v>
      </c>
      <c r="AG1846">
        <v>5247.61</v>
      </c>
      <c r="AH1846">
        <v>84</v>
      </c>
      <c r="AI1846">
        <v>82</v>
      </c>
      <c r="AJ1846">
        <v>2</v>
      </c>
      <c r="AK1846">
        <v>1</v>
      </c>
      <c r="AL1846">
        <v>1</v>
      </c>
      <c r="AM1846">
        <v>97.62</v>
      </c>
      <c r="AN1846">
        <v>65.626199999999997</v>
      </c>
      <c r="AO1846">
        <v>124.94</v>
      </c>
      <c r="AP1846" s="13">
        <v>45310</v>
      </c>
      <c r="AQ1846">
        <v>-1</v>
      </c>
      <c r="AR1846">
        <v>1</v>
      </c>
    </row>
    <row r="1847" spans="1:44" x14ac:dyDescent="0.35">
      <c r="A1847" s="12" t="s">
        <v>2549</v>
      </c>
      <c r="B1847" s="12" t="s">
        <v>62</v>
      </c>
      <c r="C1847" s="12" t="s">
        <v>63</v>
      </c>
      <c r="D1847" s="12" t="s">
        <v>64</v>
      </c>
      <c r="E1847" s="12" t="s">
        <v>65</v>
      </c>
      <c r="F1847">
        <v>1</v>
      </c>
      <c r="G1847">
        <v>2</v>
      </c>
      <c r="H1847">
        <v>1</v>
      </c>
      <c r="I1847" s="12" t="s">
        <v>66</v>
      </c>
      <c r="J1847" s="12" t="s">
        <v>67</v>
      </c>
      <c r="K1847" s="12" t="s">
        <v>68</v>
      </c>
      <c r="L1847" s="12" t="s">
        <v>69</v>
      </c>
      <c r="M1847">
        <v>17.66</v>
      </c>
      <c r="N1847" s="12" t="s">
        <v>97</v>
      </c>
      <c r="O1847" s="12" t="s">
        <v>98</v>
      </c>
      <c r="P1847" s="12" t="s">
        <v>72</v>
      </c>
      <c r="Q1847" s="13">
        <v>45296</v>
      </c>
      <c r="R1847" s="13">
        <v>45318</v>
      </c>
      <c r="S1847">
        <v>2024</v>
      </c>
      <c r="T1847" s="12" t="s">
        <v>2513</v>
      </c>
      <c r="U1847">
        <v>161</v>
      </c>
      <c r="V1847">
        <v>24.687000000000001</v>
      </c>
      <c r="W1847">
        <v>99.49</v>
      </c>
      <c r="X1847">
        <v>0</v>
      </c>
      <c r="Y1847">
        <v>0</v>
      </c>
      <c r="Z1847">
        <v>3974.61</v>
      </c>
      <c r="AA1847">
        <v>4074.1</v>
      </c>
      <c r="AB1847" s="12" t="s">
        <v>74</v>
      </c>
      <c r="AC1847">
        <v>24.687000000000001</v>
      </c>
      <c r="AD1847">
        <v>1</v>
      </c>
      <c r="AE1847">
        <v>1</v>
      </c>
      <c r="AF1847">
        <v>0</v>
      </c>
      <c r="AG1847">
        <v>3974.61</v>
      </c>
      <c r="AH1847">
        <v>161</v>
      </c>
      <c r="AI1847">
        <v>159</v>
      </c>
      <c r="AJ1847">
        <v>2</v>
      </c>
      <c r="AK1847">
        <v>1</v>
      </c>
      <c r="AL1847">
        <v>1</v>
      </c>
      <c r="AM1847">
        <v>98.76</v>
      </c>
      <c r="AN1847">
        <v>25.6233</v>
      </c>
      <c r="AO1847">
        <v>49.37</v>
      </c>
      <c r="AP1847" s="13">
        <v>45315</v>
      </c>
      <c r="AQ1847">
        <v>-3</v>
      </c>
      <c r="AR1847">
        <v>1</v>
      </c>
    </row>
    <row r="1848" spans="1:44" x14ac:dyDescent="0.35">
      <c r="A1848" s="12" t="s">
        <v>2550</v>
      </c>
      <c r="B1848" s="12" t="s">
        <v>827</v>
      </c>
      <c r="C1848" s="12" t="s">
        <v>828</v>
      </c>
      <c r="D1848" s="12" t="s">
        <v>175</v>
      </c>
      <c r="E1848" s="12" t="s">
        <v>104</v>
      </c>
      <c r="F1848">
        <v>2</v>
      </c>
      <c r="G1848">
        <v>0</v>
      </c>
      <c r="H1848">
        <v>0</v>
      </c>
      <c r="I1848" s="12" t="s">
        <v>183</v>
      </c>
      <c r="J1848" s="12" t="s">
        <v>184</v>
      </c>
      <c r="K1848" s="12" t="s">
        <v>133</v>
      </c>
      <c r="L1848" s="12" t="s">
        <v>82</v>
      </c>
      <c r="M1848">
        <v>8.6199999999999992</v>
      </c>
      <c r="N1848" s="12" t="s">
        <v>107</v>
      </c>
      <c r="O1848" s="12" t="s">
        <v>108</v>
      </c>
      <c r="P1848" s="12" t="s">
        <v>109</v>
      </c>
      <c r="Q1848" s="13">
        <v>45296</v>
      </c>
      <c r="R1848" s="13">
        <v>45314</v>
      </c>
      <c r="S1848">
        <v>2024</v>
      </c>
      <c r="T1848" s="12" t="s">
        <v>2513</v>
      </c>
      <c r="U1848">
        <v>58</v>
      </c>
      <c r="V1848">
        <v>107.794</v>
      </c>
      <c r="W1848">
        <v>143.54</v>
      </c>
      <c r="X1848">
        <v>0</v>
      </c>
      <c r="Y1848">
        <v>0</v>
      </c>
      <c r="Z1848">
        <v>6252.05</v>
      </c>
      <c r="AA1848">
        <v>6395.59</v>
      </c>
      <c r="AB1848" s="12" t="s">
        <v>829</v>
      </c>
      <c r="AC1848">
        <v>107.794</v>
      </c>
      <c r="AD1848">
        <v>1</v>
      </c>
      <c r="AE1848">
        <v>1</v>
      </c>
      <c r="AF1848">
        <v>0</v>
      </c>
      <c r="AG1848">
        <v>6252.05</v>
      </c>
      <c r="AH1848">
        <v>58</v>
      </c>
      <c r="AI1848">
        <v>58</v>
      </c>
      <c r="AJ1848">
        <v>0</v>
      </c>
      <c r="AK1848">
        <v>1</v>
      </c>
      <c r="AL1848">
        <v>1</v>
      </c>
      <c r="AM1848">
        <v>100</v>
      </c>
      <c r="AN1848">
        <v>110.2688</v>
      </c>
      <c r="AO1848">
        <v>0</v>
      </c>
      <c r="AP1848" s="13">
        <v>45312</v>
      </c>
      <c r="AQ1848">
        <v>-2</v>
      </c>
      <c r="AR1848">
        <v>1</v>
      </c>
    </row>
    <row r="1849" spans="1:44" x14ac:dyDescent="0.35">
      <c r="A1849" s="12" t="s">
        <v>2551</v>
      </c>
      <c r="B1849" s="12" t="s">
        <v>661</v>
      </c>
      <c r="C1849" s="12" t="s">
        <v>662</v>
      </c>
      <c r="D1849" s="12" t="s">
        <v>175</v>
      </c>
      <c r="E1849" s="12" t="s">
        <v>104</v>
      </c>
      <c r="F1849">
        <v>1</v>
      </c>
      <c r="G1849">
        <v>0</v>
      </c>
      <c r="H1849">
        <v>1</v>
      </c>
      <c r="I1849" s="12" t="s">
        <v>183</v>
      </c>
      <c r="J1849" s="12" t="s">
        <v>184</v>
      </c>
      <c r="K1849" s="12" t="s">
        <v>133</v>
      </c>
      <c r="L1849" s="12" t="s">
        <v>82</v>
      </c>
      <c r="M1849">
        <v>8.6199999999999992</v>
      </c>
      <c r="N1849" s="12" t="s">
        <v>145</v>
      </c>
      <c r="O1849" s="12" t="s">
        <v>146</v>
      </c>
      <c r="P1849" s="12" t="s">
        <v>109</v>
      </c>
      <c r="Q1849" s="13">
        <v>45296</v>
      </c>
      <c r="R1849" s="13">
        <v>45317</v>
      </c>
      <c r="S1849">
        <v>2024</v>
      </c>
      <c r="T1849" s="12" t="s">
        <v>2513</v>
      </c>
      <c r="U1849">
        <v>87</v>
      </c>
      <c r="V1849">
        <v>194.86689999999999</v>
      </c>
      <c r="W1849">
        <v>136.59</v>
      </c>
      <c r="X1849">
        <v>0</v>
      </c>
      <c r="Y1849">
        <v>0</v>
      </c>
      <c r="Z1849">
        <v>16953.419999999998</v>
      </c>
      <c r="AA1849">
        <v>17090.009999999998</v>
      </c>
      <c r="AB1849" s="12" t="s">
        <v>663</v>
      </c>
      <c r="AC1849">
        <v>201.68719999999999</v>
      </c>
      <c r="AD1849">
        <v>2</v>
      </c>
      <c r="AE1849">
        <v>1</v>
      </c>
      <c r="AF1849">
        <v>-593.37</v>
      </c>
      <c r="AG1849">
        <v>17546.79</v>
      </c>
      <c r="AH1849">
        <v>87</v>
      </c>
      <c r="AI1849">
        <v>87</v>
      </c>
      <c r="AJ1849">
        <v>0</v>
      </c>
      <c r="AK1849">
        <v>1</v>
      </c>
      <c r="AL1849">
        <v>1</v>
      </c>
      <c r="AM1849">
        <v>100</v>
      </c>
      <c r="AN1849">
        <v>196.43690000000001</v>
      </c>
      <c r="AO1849">
        <v>0</v>
      </c>
      <c r="AP1849" s="13">
        <v>45315</v>
      </c>
      <c r="AQ1849">
        <v>-2</v>
      </c>
      <c r="AR1849">
        <v>1</v>
      </c>
    </row>
    <row r="1850" spans="1:44" x14ac:dyDescent="0.35">
      <c r="A1850" s="12" t="s">
        <v>2552</v>
      </c>
      <c r="B1850" s="12" t="s">
        <v>1042</v>
      </c>
      <c r="C1850" s="12" t="s">
        <v>1043</v>
      </c>
      <c r="D1850" s="12" t="s">
        <v>269</v>
      </c>
      <c r="E1850" s="12" t="s">
        <v>104</v>
      </c>
      <c r="F1850">
        <v>2</v>
      </c>
      <c r="G1850">
        <v>0</v>
      </c>
      <c r="H1850">
        <v>0</v>
      </c>
      <c r="I1850" s="12" t="s">
        <v>143</v>
      </c>
      <c r="J1850" s="12" t="s">
        <v>144</v>
      </c>
      <c r="K1850" s="12" t="s">
        <v>133</v>
      </c>
      <c r="L1850" s="12" t="s">
        <v>96</v>
      </c>
      <c r="M1850">
        <v>5.43</v>
      </c>
      <c r="N1850" s="12" t="s">
        <v>159</v>
      </c>
      <c r="O1850" s="12" t="s">
        <v>160</v>
      </c>
      <c r="P1850" s="12" t="s">
        <v>137</v>
      </c>
      <c r="Q1850" s="13">
        <v>45296</v>
      </c>
      <c r="R1850" s="13">
        <v>45311</v>
      </c>
      <c r="S1850">
        <v>2024</v>
      </c>
      <c r="T1850" s="12" t="s">
        <v>2513</v>
      </c>
      <c r="U1850">
        <v>39</v>
      </c>
      <c r="V1850">
        <v>290.76319999999998</v>
      </c>
      <c r="W1850">
        <v>88.05</v>
      </c>
      <c r="X1850">
        <v>0</v>
      </c>
      <c r="Y1850">
        <v>0</v>
      </c>
      <c r="Z1850">
        <v>11339.76</v>
      </c>
      <c r="AA1850">
        <v>11427.81</v>
      </c>
      <c r="AB1850" s="12" t="s">
        <v>1044</v>
      </c>
      <c r="AC1850">
        <v>290.76319999999998</v>
      </c>
      <c r="AD1850">
        <v>1</v>
      </c>
      <c r="AE1850">
        <v>1</v>
      </c>
      <c r="AF1850">
        <v>0</v>
      </c>
      <c r="AG1850">
        <v>11339.76</v>
      </c>
      <c r="AH1850">
        <v>39</v>
      </c>
      <c r="AI1850">
        <v>39</v>
      </c>
      <c r="AJ1850">
        <v>0</v>
      </c>
      <c r="AK1850">
        <v>1</v>
      </c>
      <c r="AL1850">
        <v>1</v>
      </c>
      <c r="AM1850">
        <v>100</v>
      </c>
      <c r="AN1850">
        <v>293.02089999999998</v>
      </c>
      <c r="AO1850">
        <v>0</v>
      </c>
      <c r="AP1850" s="13">
        <v>45309</v>
      </c>
      <c r="AQ1850">
        <v>-2</v>
      </c>
      <c r="AR1850">
        <v>1</v>
      </c>
    </row>
    <row r="1851" spans="1:44" x14ac:dyDescent="0.35">
      <c r="A1851" s="12" t="s">
        <v>2553</v>
      </c>
      <c r="B1851" s="12" t="s">
        <v>163</v>
      </c>
      <c r="C1851" s="12" t="s">
        <v>164</v>
      </c>
      <c r="D1851" s="12" t="s">
        <v>64</v>
      </c>
      <c r="E1851" s="12" t="s">
        <v>104</v>
      </c>
      <c r="F1851">
        <v>2</v>
      </c>
      <c r="G1851">
        <v>0</v>
      </c>
      <c r="H1851">
        <v>0</v>
      </c>
      <c r="I1851" s="12" t="s">
        <v>79</v>
      </c>
      <c r="J1851" s="12" t="s">
        <v>80</v>
      </c>
      <c r="K1851" s="12" t="s">
        <v>81</v>
      </c>
      <c r="L1851" s="12" t="s">
        <v>82</v>
      </c>
      <c r="M1851">
        <v>12.07</v>
      </c>
      <c r="N1851" s="12" t="s">
        <v>97</v>
      </c>
      <c r="O1851" s="12" t="s">
        <v>98</v>
      </c>
      <c r="P1851" s="12" t="s">
        <v>72</v>
      </c>
      <c r="Q1851" s="13">
        <v>45299</v>
      </c>
      <c r="R1851" s="13">
        <v>45328</v>
      </c>
      <c r="S1851">
        <v>2024</v>
      </c>
      <c r="T1851" s="12" t="s">
        <v>2513</v>
      </c>
      <c r="U1851">
        <v>994</v>
      </c>
      <c r="V1851">
        <v>12.8643</v>
      </c>
      <c r="W1851">
        <v>106.72</v>
      </c>
      <c r="X1851">
        <v>0</v>
      </c>
      <c r="Y1851">
        <v>0</v>
      </c>
      <c r="Z1851">
        <v>12787.11</v>
      </c>
      <c r="AA1851">
        <v>12893.83</v>
      </c>
      <c r="AB1851" s="12" t="s">
        <v>165</v>
      </c>
      <c r="AC1851">
        <v>12.8643</v>
      </c>
      <c r="AD1851">
        <v>1</v>
      </c>
      <c r="AE1851">
        <v>1</v>
      </c>
      <c r="AF1851">
        <v>0</v>
      </c>
      <c r="AG1851">
        <v>12787.11</v>
      </c>
      <c r="AH1851">
        <v>994</v>
      </c>
      <c r="AI1851">
        <v>980</v>
      </c>
      <c r="AJ1851">
        <v>14</v>
      </c>
      <c r="AK1851">
        <v>1</v>
      </c>
      <c r="AL1851">
        <v>1</v>
      </c>
      <c r="AM1851">
        <v>98.59</v>
      </c>
      <c r="AN1851">
        <v>13.157</v>
      </c>
      <c r="AO1851">
        <v>180.1</v>
      </c>
      <c r="AP1851" s="13">
        <v>45329</v>
      </c>
      <c r="AQ1851">
        <v>1</v>
      </c>
      <c r="AR1851">
        <v>0</v>
      </c>
    </row>
    <row r="1852" spans="1:44" x14ac:dyDescent="0.35">
      <c r="A1852" s="12" t="s">
        <v>2554</v>
      </c>
      <c r="B1852" s="12" t="s">
        <v>1068</v>
      </c>
      <c r="C1852" s="12" t="s">
        <v>1069</v>
      </c>
      <c r="D1852" s="12" t="s">
        <v>122</v>
      </c>
      <c r="E1852" s="12" t="s">
        <v>65</v>
      </c>
      <c r="F1852">
        <v>2</v>
      </c>
      <c r="G1852">
        <v>2</v>
      </c>
      <c r="H1852">
        <v>0</v>
      </c>
      <c r="I1852" s="12" t="s">
        <v>79</v>
      </c>
      <c r="J1852" s="12" t="s">
        <v>80</v>
      </c>
      <c r="K1852" s="12" t="s">
        <v>81</v>
      </c>
      <c r="L1852" s="12" t="s">
        <v>82</v>
      </c>
      <c r="M1852">
        <v>12.07</v>
      </c>
      <c r="N1852" s="12" t="s">
        <v>70</v>
      </c>
      <c r="O1852" s="12" t="s">
        <v>71</v>
      </c>
      <c r="P1852" s="12" t="s">
        <v>72</v>
      </c>
      <c r="Q1852" s="13">
        <v>45299</v>
      </c>
      <c r="R1852" s="13">
        <v>45332</v>
      </c>
      <c r="S1852">
        <v>2024</v>
      </c>
      <c r="T1852" s="12" t="s">
        <v>2513</v>
      </c>
      <c r="U1852">
        <v>1441</v>
      </c>
      <c r="V1852">
        <v>21.667100000000001</v>
      </c>
      <c r="W1852">
        <v>470.77</v>
      </c>
      <c r="X1852">
        <v>0</v>
      </c>
      <c r="Y1852">
        <v>0</v>
      </c>
      <c r="Z1852">
        <v>31222.29</v>
      </c>
      <c r="AA1852">
        <v>31693.06</v>
      </c>
      <c r="AB1852" s="12" t="s">
        <v>1070</v>
      </c>
      <c r="AC1852">
        <v>21.667100000000001</v>
      </c>
      <c r="AD1852">
        <v>1</v>
      </c>
      <c r="AE1852">
        <v>1</v>
      </c>
      <c r="AF1852">
        <v>0</v>
      </c>
      <c r="AG1852">
        <v>31222.29</v>
      </c>
      <c r="AH1852">
        <v>1441</v>
      </c>
      <c r="AI1852">
        <v>1430</v>
      </c>
      <c r="AJ1852">
        <v>11</v>
      </c>
      <c r="AK1852">
        <v>1</v>
      </c>
      <c r="AL1852">
        <v>1</v>
      </c>
      <c r="AM1852">
        <v>99.24</v>
      </c>
      <c r="AN1852">
        <v>22.163</v>
      </c>
      <c r="AO1852">
        <v>238.34</v>
      </c>
      <c r="AP1852" s="13">
        <v>45330</v>
      </c>
      <c r="AQ1852">
        <v>-2</v>
      </c>
      <c r="AR1852">
        <v>1</v>
      </c>
    </row>
    <row r="1853" spans="1:44" x14ac:dyDescent="0.35">
      <c r="A1853" s="12" t="s">
        <v>2555</v>
      </c>
      <c r="B1853" s="12" t="s">
        <v>555</v>
      </c>
      <c r="C1853" s="12" t="s">
        <v>556</v>
      </c>
      <c r="D1853" s="12" t="s">
        <v>114</v>
      </c>
      <c r="E1853" s="12" t="s">
        <v>142</v>
      </c>
      <c r="F1853">
        <v>1</v>
      </c>
      <c r="G1853">
        <v>6</v>
      </c>
      <c r="H1853">
        <v>1</v>
      </c>
      <c r="I1853" s="12" t="s">
        <v>151</v>
      </c>
      <c r="J1853" s="12" t="s">
        <v>152</v>
      </c>
      <c r="K1853" s="12" t="s">
        <v>125</v>
      </c>
      <c r="L1853" s="12" t="s">
        <v>69</v>
      </c>
      <c r="M1853">
        <v>36.479999999999997</v>
      </c>
      <c r="N1853" s="12" t="s">
        <v>97</v>
      </c>
      <c r="O1853" s="12" t="s">
        <v>98</v>
      </c>
      <c r="P1853" s="12" t="s">
        <v>72</v>
      </c>
      <c r="Q1853" s="13">
        <v>45299</v>
      </c>
      <c r="R1853" s="13">
        <v>45342</v>
      </c>
      <c r="S1853">
        <v>2024</v>
      </c>
      <c r="T1853" s="12" t="s">
        <v>2513</v>
      </c>
      <c r="U1853">
        <v>76</v>
      </c>
      <c r="V1853">
        <v>290.42770000000002</v>
      </c>
      <c r="W1853">
        <v>383.77</v>
      </c>
      <c r="X1853">
        <v>692.25</v>
      </c>
      <c r="Y1853">
        <v>1</v>
      </c>
      <c r="Z1853">
        <v>22072.51</v>
      </c>
      <c r="AA1853">
        <v>23148.53</v>
      </c>
      <c r="AB1853" s="12" t="s">
        <v>557</v>
      </c>
      <c r="AC1853">
        <v>290.42770000000002</v>
      </c>
      <c r="AD1853">
        <v>1</v>
      </c>
      <c r="AE1853">
        <v>1</v>
      </c>
      <c r="AF1853">
        <v>0</v>
      </c>
      <c r="AG1853">
        <v>22072.51</v>
      </c>
      <c r="AH1853">
        <v>76</v>
      </c>
      <c r="AI1853">
        <v>76</v>
      </c>
      <c r="AJ1853">
        <v>0</v>
      </c>
      <c r="AK1853">
        <v>1</v>
      </c>
      <c r="AL1853">
        <v>1</v>
      </c>
      <c r="AM1853">
        <v>100</v>
      </c>
      <c r="AN1853">
        <v>304.58589999999998</v>
      </c>
      <c r="AO1853">
        <v>0</v>
      </c>
      <c r="AP1853" s="13">
        <v>45341</v>
      </c>
      <c r="AQ1853">
        <v>-1</v>
      </c>
      <c r="AR1853">
        <v>1</v>
      </c>
    </row>
    <row r="1854" spans="1:44" x14ac:dyDescent="0.35">
      <c r="A1854" s="12" t="s">
        <v>2556</v>
      </c>
      <c r="B1854" s="12" t="s">
        <v>442</v>
      </c>
      <c r="C1854" s="12" t="s">
        <v>443</v>
      </c>
      <c r="D1854" s="12" t="s">
        <v>130</v>
      </c>
      <c r="E1854" s="12" t="s">
        <v>65</v>
      </c>
      <c r="F1854">
        <v>3</v>
      </c>
      <c r="G1854">
        <v>4</v>
      </c>
      <c r="H1854">
        <v>0</v>
      </c>
      <c r="I1854" s="12" t="s">
        <v>251</v>
      </c>
      <c r="J1854" s="12" t="s">
        <v>252</v>
      </c>
      <c r="K1854" s="12" t="s">
        <v>133</v>
      </c>
      <c r="L1854" s="12" t="s">
        <v>69</v>
      </c>
      <c r="M1854">
        <v>34.49</v>
      </c>
      <c r="N1854" s="12" t="s">
        <v>135</v>
      </c>
      <c r="O1854" s="12" t="s">
        <v>136</v>
      </c>
      <c r="P1854" s="12" t="s">
        <v>137</v>
      </c>
      <c r="Q1854" s="13">
        <v>45299</v>
      </c>
      <c r="R1854" s="13">
        <v>45329</v>
      </c>
      <c r="S1854">
        <v>2024</v>
      </c>
      <c r="T1854" s="12" t="s">
        <v>2513</v>
      </c>
      <c r="U1854">
        <v>84</v>
      </c>
      <c r="V1854">
        <v>610.72789999999998</v>
      </c>
      <c r="W1854">
        <v>759.67</v>
      </c>
      <c r="X1854">
        <v>0</v>
      </c>
      <c r="Y1854">
        <v>0</v>
      </c>
      <c r="Z1854">
        <v>51301.14</v>
      </c>
      <c r="AA1854">
        <v>52060.81</v>
      </c>
      <c r="AB1854" s="12" t="s">
        <v>444</v>
      </c>
      <c r="AC1854">
        <v>610.72789999999998</v>
      </c>
      <c r="AD1854">
        <v>1</v>
      </c>
      <c r="AE1854">
        <v>1</v>
      </c>
      <c r="AF1854">
        <v>0</v>
      </c>
      <c r="AG1854">
        <v>51301.14</v>
      </c>
      <c r="AH1854">
        <v>84</v>
      </c>
      <c r="AI1854">
        <v>83</v>
      </c>
      <c r="AJ1854">
        <v>1</v>
      </c>
      <c r="AK1854">
        <v>1</v>
      </c>
      <c r="AL1854">
        <v>1</v>
      </c>
      <c r="AM1854">
        <v>98.81</v>
      </c>
      <c r="AN1854">
        <v>627.23869999999999</v>
      </c>
      <c r="AO1854">
        <v>610.73</v>
      </c>
      <c r="AP1854" s="13">
        <v>45334</v>
      </c>
      <c r="AQ1854">
        <v>5</v>
      </c>
      <c r="AR1854">
        <v>0</v>
      </c>
    </row>
    <row r="1855" spans="1:44" x14ac:dyDescent="0.35">
      <c r="A1855" s="12" t="s">
        <v>2557</v>
      </c>
      <c r="B1855" s="12" t="s">
        <v>519</v>
      </c>
      <c r="C1855" s="12" t="s">
        <v>520</v>
      </c>
      <c r="D1855" s="12" t="s">
        <v>78</v>
      </c>
      <c r="E1855" s="12" t="s">
        <v>65</v>
      </c>
      <c r="F1855">
        <v>2</v>
      </c>
      <c r="G1855">
        <v>3</v>
      </c>
      <c r="H1855">
        <v>0</v>
      </c>
      <c r="I1855" s="12" t="s">
        <v>143</v>
      </c>
      <c r="J1855" s="12" t="s">
        <v>144</v>
      </c>
      <c r="K1855" s="12" t="s">
        <v>133</v>
      </c>
      <c r="L1855" s="12" t="s">
        <v>96</v>
      </c>
      <c r="M1855">
        <v>5.43</v>
      </c>
      <c r="N1855" s="12" t="s">
        <v>97</v>
      </c>
      <c r="O1855" s="12" t="s">
        <v>98</v>
      </c>
      <c r="P1855" s="12" t="s">
        <v>72</v>
      </c>
      <c r="Q1855" s="13">
        <v>45299</v>
      </c>
      <c r="R1855" s="13">
        <v>45320</v>
      </c>
      <c r="S1855">
        <v>2024</v>
      </c>
      <c r="T1855" s="12" t="s">
        <v>2513</v>
      </c>
      <c r="U1855">
        <v>40</v>
      </c>
      <c r="V1855">
        <v>31.7883</v>
      </c>
      <c r="W1855">
        <v>31.99</v>
      </c>
      <c r="X1855">
        <v>0</v>
      </c>
      <c r="Y1855">
        <v>0</v>
      </c>
      <c r="Z1855">
        <v>1271.53</v>
      </c>
      <c r="AA1855">
        <v>1303.52</v>
      </c>
      <c r="AB1855" s="12" t="s">
        <v>1154</v>
      </c>
      <c r="AC1855">
        <v>31.7883</v>
      </c>
      <c r="AD1855">
        <v>1</v>
      </c>
      <c r="AE1855">
        <v>1</v>
      </c>
      <c r="AF1855">
        <v>0</v>
      </c>
      <c r="AG1855">
        <v>1271.53</v>
      </c>
      <c r="AH1855">
        <v>40</v>
      </c>
      <c r="AI1855">
        <v>40</v>
      </c>
      <c r="AJ1855">
        <v>0</v>
      </c>
      <c r="AK1855">
        <v>1</v>
      </c>
      <c r="AL1855">
        <v>1</v>
      </c>
      <c r="AM1855">
        <v>100</v>
      </c>
      <c r="AN1855">
        <v>32.588099999999997</v>
      </c>
      <c r="AO1855">
        <v>0</v>
      </c>
      <c r="AP1855" s="13">
        <v>45319</v>
      </c>
      <c r="AQ1855">
        <v>-1</v>
      </c>
      <c r="AR1855">
        <v>1</v>
      </c>
    </row>
    <row r="1856" spans="1:44" x14ac:dyDescent="0.35">
      <c r="A1856" s="12" t="s">
        <v>2558</v>
      </c>
      <c r="B1856" s="12" t="s">
        <v>378</v>
      </c>
      <c r="C1856" s="12" t="s">
        <v>379</v>
      </c>
      <c r="D1856" s="12" t="s">
        <v>64</v>
      </c>
      <c r="E1856" s="12" t="s">
        <v>104</v>
      </c>
      <c r="F1856">
        <v>3</v>
      </c>
      <c r="G1856">
        <v>1</v>
      </c>
      <c r="H1856">
        <v>0</v>
      </c>
      <c r="I1856" s="12" t="s">
        <v>380</v>
      </c>
      <c r="J1856" s="12" t="s">
        <v>381</v>
      </c>
      <c r="K1856" s="12" t="s">
        <v>89</v>
      </c>
      <c r="L1856" s="12" t="s">
        <v>96</v>
      </c>
      <c r="M1856">
        <v>10.210000000000001</v>
      </c>
      <c r="N1856" s="12" t="s">
        <v>70</v>
      </c>
      <c r="O1856" s="12" t="s">
        <v>71</v>
      </c>
      <c r="P1856" s="12" t="s">
        <v>72</v>
      </c>
      <c r="Q1856" s="13">
        <v>45299</v>
      </c>
      <c r="R1856" s="13">
        <v>45322</v>
      </c>
      <c r="S1856">
        <v>2024</v>
      </c>
      <c r="T1856" s="12" t="s">
        <v>2513</v>
      </c>
      <c r="U1856">
        <v>659</v>
      </c>
      <c r="V1856">
        <v>16.160900000000002</v>
      </c>
      <c r="W1856">
        <v>275.54000000000002</v>
      </c>
      <c r="X1856">
        <v>0</v>
      </c>
      <c r="Y1856">
        <v>0</v>
      </c>
      <c r="Z1856">
        <v>10650.03</v>
      </c>
      <c r="AA1856">
        <v>10925.57</v>
      </c>
      <c r="AB1856" s="12" t="s">
        <v>382</v>
      </c>
      <c r="AC1856">
        <v>16.160900000000002</v>
      </c>
      <c r="AD1856">
        <v>1</v>
      </c>
      <c r="AE1856">
        <v>1</v>
      </c>
      <c r="AF1856">
        <v>0</v>
      </c>
      <c r="AG1856">
        <v>10650.03</v>
      </c>
      <c r="AH1856">
        <v>659</v>
      </c>
      <c r="AI1856">
        <v>655</v>
      </c>
      <c r="AJ1856">
        <v>4</v>
      </c>
      <c r="AK1856">
        <v>1</v>
      </c>
      <c r="AL1856">
        <v>1</v>
      </c>
      <c r="AM1856">
        <v>99.39</v>
      </c>
      <c r="AN1856">
        <v>16.680299999999999</v>
      </c>
      <c r="AO1856">
        <v>64.64</v>
      </c>
      <c r="AP1856" s="13">
        <v>45320</v>
      </c>
      <c r="AQ1856">
        <v>-2</v>
      </c>
      <c r="AR1856">
        <v>1</v>
      </c>
    </row>
    <row r="1857" spans="1:44" x14ac:dyDescent="0.35">
      <c r="A1857" s="12" t="s">
        <v>2559</v>
      </c>
      <c r="B1857" s="12" t="s">
        <v>357</v>
      </c>
      <c r="C1857" s="12" t="s">
        <v>358</v>
      </c>
      <c r="D1857" s="12" t="s">
        <v>103</v>
      </c>
      <c r="E1857" s="12" t="s">
        <v>104</v>
      </c>
      <c r="F1857">
        <v>3</v>
      </c>
      <c r="G1857">
        <v>1</v>
      </c>
      <c r="H1857">
        <v>0</v>
      </c>
      <c r="I1857" s="12" t="s">
        <v>151</v>
      </c>
      <c r="J1857" s="12" t="s">
        <v>152</v>
      </c>
      <c r="K1857" s="12" t="s">
        <v>125</v>
      </c>
      <c r="L1857" s="12" t="s">
        <v>69</v>
      </c>
      <c r="M1857">
        <v>36.479999999999997</v>
      </c>
      <c r="N1857" s="12" t="s">
        <v>145</v>
      </c>
      <c r="O1857" s="12" t="s">
        <v>146</v>
      </c>
      <c r="P1857" s="12" t="s">
        <v>109</v>
      </c>
      <c r="Q1857" s="13">
        <v>45299</v>
      </c>
      <c r="R1857" s="13">
        <v>45327</v>
      </c>
      <c r="S1857">
        <v>2024</v>
      </c>
      <c r="T1857" s="12" t="s">
        <v>2513</v>
      </c>
      <c r="U1857">
        <v>142</v>
      </c>
      <c r="V1857">
        <v>105.8651</v>
      </c>
      <c r="W1857">
        <v>371.93</v>
      </c>
      <c r="X1857">
        <v>0</v>
      </c>
      <c r="Y1857">
        <v>0</v>
      </c>
      <c r="Z1857">
        <v>15032.84</v>
      </c>
      <c r="AA1857">
        <v>15404.77</v>
      </c>
      <c r="AB1857" s="12" t="s">
        <v>2560</v>
      </c>
      <c r="AC1857">
        <v>105.8651</v>
      </c>
      <c r="AD1857">
        <v>1</v>
      </c>
      <c r="AE1857">
        <v>1</v>
      </c>
      <c r="AF1857">
        <v>0</v>
      </c>
      <c r="AG1857">
        <v>15032.84</v>
      </c>
      <c r="AH1857">
        <v>142</v>
      </c>
      <c r="AI1857">
        <v>140</v>
      </c>
      <c r="AJ1857">
        <v>2</v>
      </c>
      <c r="AK1857">
        <v>1</v>
      </c>
      <c r="AL1857">
        <v>1</v>
      </c>
      <c r="AM1857">
        <v>98.59</v>
      </c>
      <c r="AN1857">
        <v>110.0341</v>
      </c>
      <c r="AO1857">
        <v>211.73</v>
      </c>
      <c r="AP1857" s="13">
        <v>45332</v>
      </c>
      <c r="AQ1857">
        <v>5</v>
      </c>
      <c r="AR1857">
        <v>0</v>
      </c>
    </row>
    <row r="1858" spans="1:44" x14ac:dyDescent="0.35">
      <c r="A1858" s="12" t="s">
        <v>2561</v>
      </c>
      <c r="B1858" s="12" t="s">
        <v>454</v>
      </c>
      <c r="C1858" s="12" t="s">
        <v>455</v>
      </c>
      <c r="D1858" s="12" t="s">
        <v>122</v>
      </c>
      <c r="E1858" s="12" t="s">
        <v>104</v>
      </c>
      <c r="F1858">
        <v>3</v>
      </c>
      <c r="G1858">
        <v>1</v>
      </c>
      <c r="H1858">
        <v>0</v>
      </c>
      <c r="I1858" s="12" t="s">
        <v>87</v>
      </c>
      <c r="J1858" s="12" t="s">
        <v>88</v>
      </c>
      <c r="K1858" s="12" t="s">
        <v>89</v>
      </c>
      <c r="L1858" s="12" t="s">
        <v>69</v>
      </c>
      <c r="M1858">
        <v>14.93</v>
      </c>
      <c r="N1858" s="12" t="s">
        <v>97</v>
      </c>
      <c r="O1858" s="12" t="s">
        <v>98</v>
      </c>
      <c r="P1858" s="12" t="s">
        <v>72</v>
      </c>
      <c r="Q1858" s="13">
        <v>45299</v>
      </c>
      <c r="R1858" s="13">
        <v>45314</v>
      </c>
      <c r="S1858">
        <v>2024</v>
      </c>
      <c r="T1858" s="12" t="s">
        <v>2513</v>
      </c>
      <c r="U1858">
        <v>525</v>
      </c>
      <c r="V1858">
        <v>22.566800000000001</v>
      </c>
      <c r="W1858">
        <v>130.61000000000001</v>
      </c>
      <c r="X1858">
        <v>0</v>
      </c>
      <c r="Y1858">
        <v>0</v>
      </c>
      <c r="Z1858">
        <v>11847.57</v>
      </c>
      <c r="AA1858">
        <v>11978.18</v>
      </c>
      <c r="AB1858" s="12" t="s">
        <v>456</v>
      </c>
      <c r="AC1858">
        <v>21.796199999999999</v>
      </c>
      <c r="AD1858">
        <v>1</v>
      </c>
      <c r="AE1858">
        <v>1</v>
      </c>
      <c r="AF1858">
        <v>404.57</v>
      </c>
      <c r="AG1858">
        <v>11443.01</v>
      </c>
      <c r="AH1858">
        <v>525</v>
      </c>
      <c r="AI1858">
        <v>520</v>
      </c>
      <c r="AJ1858">
        <v>5</v>
      </c>
      <c r="AK1858">
        <v>1</v>
      </c>
      <c r="AL1858">
        <v>1</v>
      </c>
      <c r="AM1858">
        <v>99.05</v>
      </c>
      <c r="AN1858">
        <v>23.035</v>
      </c>
      <c r="AO1858">
        <v>112.83</v>
      </c>
      <c r="AP1858" s="13">
        <v>45312</v>
      </c>
      <c r="AQ1858">
        <v>-2</v>
      </c>
      <c r="AR1858">
        <v>1</v>
      </c>
    </row>
    <row r="1859" spans="1:44" x14ac:dyDescent="0.35">
      <c r="A1859" s="12" t="s">
        <v>2562</v>
      </c>
      <c r="B1859" s="12" t="s">
        <v>532</v>
      </c>
      <c r="C1859" s="12" t="s">
        <v>533</v>
      </c>
      <c r="D1859" s="12" t="s">
        <v>114</v>
      </c>
      <c r="E1859" s="12" t="s">
        <v>65</v>
      </c>
      <c r="F1859">
        <v>2</v>
      </c>
      <c r="G1859">
        <v>3</v>
      </c>
      <c r="H1859">
        <v>0</v>
      </c>
      <c r="I1859" s="12" t="s">
        <v>105</v>
      </c>
      <c r="J1859" s="12" t="s">
        <v>106</v>
      </c>
      <c r="K1859" s="12" t="s">
        <v>81</v>
      </c>
      <c r="L1859" s="12" t="s">
        <v>96</v>
      </c>
      <c r="M1859">
        <v>5.01</v>
      </c>
      <c r="N1859" s="12" t="s">
        <v>70</v>
      </c>
      <c r="O1859" s="12" t="s">
        <v>71</v>
      </c>
      <c r="P1859" s="12" t="s">
        <v>72</v>
      </c>
      <c r="Q1859" s="13">
        <v>45299</v>
      </c>
      <c r="R1859" s="13">
        <v>45326</v>
      </c>
      <c r="S1859">
        <v>2024</v>
      </c>
      <c r="T1859" s="12" t="s">
        <v>2513</v>
      </c>
      <c r="U1859">
        <v>60</v>
      </c>
      <c r="V1859">
        <v>250.00970000000001</v>
      </c>
      <c r="W1859">
        <v>367.97</v>
      </c>
      <c r="X1859">
        <v>0</v>
      </c>
      <c r="Y1859">
        <v>0</v>
      </c>
      <c r="Z1859">
        <v>15000.58</v>
      </c>
      <c r="AA1859">
        <v>15368.55</v>
      </c>
      <c r="AB1859" s="12" t="s">
        <v>534</v>
      </c>
      <c r="AC1859">
        <v>250.00970000000001</v>
      </c>
      <c r="AD1859">
        <v>1</v>
      </c>
      <c r="AE1859">
        <v>1</v>
      </c>
      <c r="AF1859">
        <v>0</v>
      </c>
      <c r="AG1859">
        <v>15000.58</v>
      </c>
      <c r="AH1859">
        <v>60</v>
      </c>
      <c r="AI1859">
        <v>59</v>
      </c>
      <c r="AJ1859">
        <v>1</v>
      </c>
      <c r="AK1859">
        <v>1</v>
      </c>
      <c r="AL1859">
        <v>1</v>
      </c>
      <c r="AM1859">
        <v>98.33</v>
      </c>
      <c r="AN1859">
        <v>260.48390000000001</v>
      </c>
      <c r="AO1859">
        <v>250.01</v>
      </c>
      <c r="AP1859" s="13">
        <v>45326</v>
      </c>
      <c r="AQ1859">
        <v>0</v>
      </c>
      <c r="AR1859">
        <v>1</v>
      </c>
    </row>
    <row r="1860" spans="1:44" x14ac:dyDescent="0.35">
      <c r="A1860" s="12" t="s">
        <v>2563</v>
      </c>
      <c r="B1860" s="12" t="s">
        <v>680</v>
      </c>
      <c r="C1860" s="12" t="s">
        <v>681</v>
      </c>
      <c r="D1860" s="12" t="s">
        <v>122</v>
      </c>
      <c r="E1860" s="12" t="s">
        <v>104</v>
      </c>
      <c r="F1860">
        <v>3</v>
      </c>
      <c r="G1860">
        <v>1</v>
      </c>
      <c r="H1860">
        <v>0</v>
      </c>
      <c r="I1860" s="12" t="s">
        <v>227</v>
      </c>
      <c r="J1860" s="12" t="s">
        <v>228</v>
      </c>
      <c r="K1860" s="12" t="s">
        <v>89</v>
      </c>
      <c r="L1860" s="12" t="s">
        <v>96</v>
      </c>
      <c r="M1860">
        <v>9.15</v>
      </c>
      <c r="N1860" s="12" t="s">
        <v>97</v>
      </c>
      <c r="O1860" s="12" t="s">
        <v>98</v>
      </c>
      <c r="P1860" s="12" t="s">
        <v>72</v>
      </c>
      <c r="Q1860" s="13">
        <v>45300</v>
      </c>
      <c r="R1860" s="13">
        <v>45324</v>
      </c>
      <c r="S1860">
        <v>2024</v>
      </c>
      <c r="T1860" s="12" t="s">
        <v>2513</v>
      </c>
      <c r="U1860">
        <v>1426</v>
      </c>
      <c r="V1860">
        <v>23.246099999999998</v>
      </c>
      <c r="W1860">
        <v>733.59</v>
      </c>
      <c r="X1860">
        <v>0</v>
      </c>
      <c r="Y1860">
        <v>0</v>
      </c>
      <c r="Z1860">
        <v>33148.94</v>
      </c>
      <c r="AA1860">
        <v>33882.53</v>
      </c>
      <c r="AB1860" s="12" t="s">
        <v>861</v>
      </c>
      <c r="AC1860">
        <v>23.246099999999998</v>
      </c>
      <c r="AD1860">
        <v>1</v>
      </c>
      <c r="AE1860">
        <v>1</v>
      </c>
      <c r="AF1860">
        <v>0</v>
      </c>
      <c r="AG1860">
        <v>33148.94</v>
      </c>
      <c r="AH1860">
        <v>1426</v>
      </c>
      <c r="AI1860">
        <v>1420</v>
      </c>
      <c r="AJ1860">
        <v>6</v>
      </c>
      <c r="AK1860">
        <v>1</v>
      </c>
      <c r="AL1860">
        <v>1</v>
      </c>
      <c r="AM1860">
        <v>99.58</v>
      </c>
      <c r="AN1860">
        <v>23.860900000000001</v>
      </c>
      <c r="AO1860">
        <v>139.47999999999999</v>
      </c>
      <c r="AP1860" s="13">
        <v>45321</v>
      </c>
      <c r="AQ1860">
        <v>-3</v>
      </c>
      <c r="AR1860">
        <v>1</v>
      </c>
    </row>
    <row r="1861" spans="1:44" x14ac:dyDescent="0.35">
      <c r="A1861" s="12" t="s">
        <v>2564</v>
      </c>
      <c r="B1861" s="12" t="s">
        <v>565</v>
      </c>
      <c r="C1861" s="12" t="s">
        <v>566</v>
      </c>
      <c r="D1861" s="12" t="s">
        <v>122</v>
      </c>
      <c r="E1861" s="12" t="s">
        <v>104</v>
      </c>
      <c r="F1861">
        <v>3</v>
      </c>
      <c r="G1861">
        <v>1</v>
      </c>
      <c r="H1861">
        <v>0</v>
      </c>
      <c r="I1861" s="12" t="s">
        <v>131</v>
      </c>
      <c r="J1861" s="12" t="s">
        <v>132</v>
      </c>
      <c r="K1861" s="12" t="s">
        <v>133</v>
      </c>
      <c r="L1861" s="12" t="s">
        <v>134</v>
      </c>
      <c r="M1861">
        <v>1.51</v>
      </c>
      <c r="N1861" s="12" t="s">
        <v>97</v>
      </c>
      <c r="O1861" s="12" t="s">
        <v>98</v>
      </c>
      <c r="P1861" s="12" t="s">
        <v>72</v>
      </c>
      <c r="Q1861" s="13">
        <v>45300</v>
      </c>
      <c r="R1861" s="13">
        <v>45329</v>
      </c>
      <c r="S1861">
        <v>2024</v>
      </c>
      <c r="T1861" s="12" t="s">
        <v>2513</v>
      </c>
      <c r="U1861">
        <v>1910</v>
      </c>
      <c r="V1861">
        <v>36.2883</v>
      </c>
      <c r="W1861">
        <v>1775.71</v>
      </c>
      <c r="X1861">
        <v>0</v>
      </c>
      <c r="Y1861">
        <v>0</v>
      </c>
      <c r="Z1861">
        <v>69310.649999999994</v>
      </c>
      <c r="AA1861">
        <v>71086.36</v>
      </c>
      <c r="AB1861" s="12" t="s">
        <v>2103</v>
      </c>
      <c r="AC1861">
        <v>36.2883</v>
      </c>
      <c r="AD1861">
        <v>1</v>
      </c>
      <c r="AE1861">
        <v>1</v>
      </c>
      <c r="AF1861">
        <v>0</v>
      </c>
      <c r="AG1861">
        <v>69310.649999999994</v>
      </c>
      <c r="AH1861">
        <v>1910</v>
      </c>
      <c r="AI1861">
        <v>1901</v>
      </c>
      <c r="AJ1861">
        <v>9</v>
      </c>
      <c r="AK1861">
        <v>1</v>
      </c>
      <c r="AL1861">
        <v>1</v>
      </c>
      <c r="AM1861">
        <v>99.53</v>
      </c>
      <c r="AN1861">
        <v>37.394199999999998</v>
      </c>
      <c r="AO1861">
        <v>326.58999999999997</v>
      </c>
      <c r="AP1861" s="13">
        <v>45329</v>
      </c>
      <c r="AQ1861">
        <v>0</v>
      </c>
      <c r="AR1861">
        <v>1</v>
      </c>
    </row>
    <row r="1862" spans="1:44" x14ac:dyDescent="0.35">
      <c r="A1862" s="12" t="s">
        <v>2565</v>
      </c>
      <c r="B1862" s="12" t="s">
        <v>1034</v>
      </c>
      <c r="C1862" s="12" t="s">
        <v>1035</v>
      </c>
      <c r="D1862" s="12" t="s">
        <v>64</v>
      </c>
      <c r="E1862" s="12" t="s">
        <v>104</v>
      </c>
      <c r="F1862">
        <v>2</v>
      </c>
      <c r="G1862">
        <v>0</v>
      </c>
      <c r="H1862">
        <v>0</v>
      </c>
      <c r="I1862" s="12" t="s">
        <v>157</v>
      </c>
      <c r="J1862" s="12" t="s">
        <v>158</v>
      </c>
      <c r="K1862" s="12" t="s">
        <v>117</v>
      </c>
      <c r="L1862" s="12" t="s">
        <v>96</v>
      </c>
      <c r="M1862">
        <v>4.72</v>
      </c>
      <c r="N1862" s="12" t="s">
        <v>70</v>
      </c>
      <c r="O1862" s="12" t="s">
        <v>71</v>
      </c>
      <c r="P1862" s="12" t="s">
        <v>72</v>
      </c>
      <c r="Q1862" s="13">
        <v>45300</v>
      </c>
      <c r="R1862" s="13">
        <v>45320</v>
      </c>
      <c r="S1862">
        <v>2024</v>
      </c>
      <c r="T1862" s="12" t="s">
        <v>2513</v>
      </c>
      <c r="U1862">
        <v>535</v>
      </c>
      <c r="V1862">
        <v>9.9979999999999993</v>
      </c>
      <c r="W1862">
        <v>44.14</v>
      </c>
      <c r="X1862">
        <v>0</v>
      </c>
      <c r="Y1862">
        <v>0</v>
      </c>
      <c r="Z1862">
        <v>5348.93</v>
      </c>
      <c r="AA1862">
        <v>5393.07</v>
      </c>
      <c r="AB1862" s="12" t="s">
        <v>1036</v>
      </c>
      <c r="AC1862">
        <v>9.9979999999999993</v>
      </c>
      <c r="AD1862">
        <v>1</v>
      </c>
      <c r="AE1862">
        <v>1</v>
      </c>
      <c r="AF1862">
        <v>0</v>
      </c>
      <c r="AG1862">
        <v>5348.93</v>
      </c>
      <c r="AH1862">
        <v>535</v>
      </c>
      <c r="AI1862">
        <v>532</v>
      </c>
      <c r="AJ1862">
        <v>3</v>
      </c>
      <c r="AK1862">
        <v>1</v>
      </c>
      <c r="AL1862">
        <v>1</v>
      </c>
      <c r="AM1862">
        <v>99.44</v>
      </c>
      <c r="AN1862">
        <v>10.1373</v>
      </c>
      <c r="AO1862">
        <v>29.99</v>
      </c>
      <c r="AP1862" s="13">
        <v>45319</v>
      </c>
      <c r="AQ1862">
        <v>-1</v>
      </c>
      <c r="AR1862">
        <v>1</v>
      </c>
    </row>
    <row r="1863" spans="1:44" x14ac:dyDescent="0.35">
      <c r="A1863" s="12" t="s">
        <v>2566</v>
      </c>
      <c r="B1863" s="12" t="s">
        <v>1054</v>
      </c>
      <c r="C1863" s="12" t="s">
        <v>1055</v>
      </c>
      <c r="D1863" s="12" t="s">
        <v>122</v>
      </c>
      <c r="E1863" s="12" t="s">
        <v>65</v>
      </c>
      <c r="F1863">
        <v>1</v>
      </c>
      <c r="G1863">
        <v>2</v>
      </c>
      <c r="H1863">
        <v>1</v>
      </c>
      <c r="I1863" s="12" t="s">
        <v>176</v>
      </c>
      <c r="J1863" s="12" t="s">
        <v>177</v>
      </c>
      <c r="K1863" s="12" t="s">
        <v>125</v>
      </c>
      <c r="L1863" s="12" t="s">
        <v>134</v>
      </c>
      <c r="M1863">
        <v>1.75</v>
      </c>
      <c r="N1863" s="12" t="s">
        <v>97</v>
      </c>
      <c r="O1863" s="12" t="s">
        <v>98</v>
      </c>
      <c r="P1863" s="12" t="s">
        <v>72</v>
      </c>
      <c r="Q1863" s="13">
        <v>45300</v>
      </c>
      <c r="R1863" s="13">
        <v>45329</v>
      </c>
      <c r="S1863">
        <v>2024</v>
      </c>
      <c r="T1863" s="12" t="s">
        <v>2513</v>
      </c>
      <c r="U1863">
        <v>1084</v>
      </c>
      <c r="V1863">
        <v>46.916699999999999</v>
      </c>
      <c r="W1863">
        <v>356.18</v>
      </c>
      <c r="X1863">
        <v>1579.48</v>
      </c>
      <c r="Y1863">
        <v>1</v>
      </c>
      <c r="Z1863">
        <v>50857.7</v>
      </c>
      <c r="AA1863">
        <v>52793.36</v>
      </c>
      <c r="AB1863" s="12" t="s">
        <v>1056</v>
      </c>
      <c r="AC1863">
        <v>46.916699999999999</v>
      </c>
      <c r="AD1863">
        <v>1</v>
      </c>
      <c r="AE1863">
        <v>1</v>
      </c>
      <c r="AF1863">
        <v>0</v>
      </c>
      <c r="AG1863">
        <v>50857.7</v>
      </c>
      <c r="AH1863">
        <v>1084</v>
      </c>
      <c r="AI1863">
        <v>1080</v>
      </c>
      <c r="AJ1863">
        <v>4</v>
      </c>
      <c r="AK1863">
        <v>1</v>
      </c>
      <c r="AL1863">
        <v>1</v>
      </c>
      <c r="AM1863">
        <v>99.63</v>
      </c>
      <c r="AN1863">
        <v>48.8827</v>
      </c>
      <c r="AO1863">
        <v>187.67</v>
      </c>
      <c r="AP1863" s="13">
        <v>45329</v>
      </c>
      <c r="AQ1863">
        <v>0</v>
      </c>
      <c r="AR1863">
        <v>1</v>
      </c>
    </row>
    <row r="1864" spans="1:44" x14ac:dyDescent="0.35">
      <c r="A1864" s="12" t="s">
        <v>2567</v>
      </c>
      <c r="B1864" s="12" t="s">
        <v>513</v>
      </c>
      <c r="C1864" s="12" t="s">
        <v>514</v>
      </c>
      <c r="D1864" s="12" t="s">
        <v>269</v>
      </c>
      <c r="E1864" s="12" t="s">
        <v>65</v>
      </c>
      <c r="F1864">
        <v>1</v>
      </c>
      <c r="G1864">
        <v>2</v>
      </c>
      <c r="H1864">
        <v>1</v>
      </c>
      <c r="I1864" s="12" t="s">
        <v>515</v>
      </c>
      <c r="J1864" s="12" t="s">
        <v>516</v>
      </c>
      <c r="K1864" s="12" t="s">
        <v>68</v>
      </c>
      <c r="L1864" s="12" t="s">
        <v>134</v>
      </c>
      <c r="M1864">
        <v>3.69</v>
      </c>
      <c r="N1864" s="12" t="s">
        <v>135</v>
      </c>
      <c r="O1864" s="12" t="s">
        <v>136</v>
      </c>
      <c r="P1864" s="12" t="s">
        <v>137</v>
      </c>
      <c r="Q1864" s="13">
        <v>45300</v>
      </c>
      <c r="R1864" s="13">
        <v>45335</v>
      </c>
      <c r="S1864">
        <v>2024</v>
      </c>
      <c r="T1864" s="12" t="s">
        <v>2513</v>
      </c>
      <c r="U1864">
        <v>121</v>
      </c>
      <c r="V1864">
        <v>243.31120000000001</v>
      </c>
      <c r="W1864">
        <v>712.01</v>
      </c>
      <c r="X1864">
        <v>0</v>
      </c>
      <c r="Y1864">
        <v>0</v>
      </c>
      <c r="Z1864">
        <v>29440.66</v>
      </c>
      <c r="AA1864">
        <v>30152.67</v>
      </c>
      <c r="AB1864" s="12" t="s">
        <v>517</v>
      </c>
      <c r="AC1864">
        <v>229.3486</v>
      </c>
      <c r="AD1864">
        <v>1</v>
      </c>
      <c r="AE1864">
        <v>1</v>
      </c>
      <c r="AF1864">
        <v>1689.47</v>
      </c>
      <c r="AG1864">
        <v>27751.18</v>
      </c>
      <c r="AH1864">
        <v>121</v>
      </c>
      <c r="AI1864">
        <v>119</v>
      </c>
      <c r="AJ1864">
        <v>2</v>
      </c>
      <c r="AK1864">
        <v>1</v>
      </c>
      <c r="AL1864">
        <v>1</v>
      </c>
      <c r="AM1864">
        <v>98.35</v>
      </c>
      <c r="AN1864">
        <v>253.3837</v>
      </c>
      <c r="AO1864">
        <v>486.62</v>
      </c>
      <c r="AP1864" s="13">
        <v>45341</v>
      </c>
      <c r="AQ1864">
        <v>6</v>
      </c>
      <c r="AR1864">
        <v>0</v>
      </c>
    </row>
    <row r="1865" spans="1:44" x14ac:dyDescent="0.35">
      <c r="A1865" s="12" t="s">
        <v>2568</v>
      </c>
      <c r="B1865" s="12" t="s">
        <v>1134</v>
      </c>
      <c r="C1865" s="12" t="s">
        <v>1135</v>
      </c>
      <c r="D1865" s="12" t="s">
        <v>269</v>
      </c>
      <c r="E1865" s="12" t="s">
        <v>104</v>
      </c>
      <c r="F1865">
        <v>2</v>
      </c>
      <c r="G1865">
        <v>0</v>
      </c>
      <c r="H1865">
        <v>0</v>
      </c>
      <c r="I1865" s="12" t="s">
        <v>380</v>
      </c>
      <c r="J1865" s="12" t="s">
        <v>381</v>
      </c>
      <c r="K1865" s="12" t="s">
        <v>89</v>
      </c>
      <c r="L1865" s="12" t="s">
        <v>96</v>
      </c>
      <c r="M1865">
        <v>10.210000000000001</v>
      </c>
      <c r="N1865" s="12" t="s">
        <v>159</v>
      </c>
      <c r="O1865" s="12" t="s">
        <v>160</v>
      </c>
      <c r="P1865" s="12" t="s">
        <v>137</v>
      </c>
      <c r="Q1865" s="13">
        <v>45300</v>
      </c>
      <c r="R1865" s="13">
        <v>45319</v>
      </c>
      <c r="S1865">
        <v>2024</v>
      </c>
      <c r="T1865" s="12" t="s">
        <v>2513</v>
      </c>
      <c r="U1865">
        <v>71</v>
      </c>
      <c r="V1865">
        <v>107.5608</v>
      </c>
      <c r="W1865">
        <v>177.52</v>
      </c>
      <c r="X1865">
        <v>0</v>
      </c>
      <c r="Y1865">
        <v>0</v>
      </c>
      <c r="Z1865">
        <v>7636.82</v>
      </c>
      <c r="AA1865">
        <v>7814.34</v>
      </c>
      <c r="AB1865" s="12" t="s">
        <v>1136</v>
      </c>
      <c r="AC1865">
        <v>107.5608</v>
      </c>
      <c r="AD1865">
        <v>1</v>
      </c>
      <c r="AE1865">
        <v>1</v>
      </c>
      <c r="AF1865">
        <v>0</v>
      </c>
      <c r="AG1865">
        <v>7636.82</v>
      </c>
      <c r="AH1865">
        <v>71</v>
      </c>
      <c r="AI1865">
        <v>70</v>
      </c>
      <c r="AJ1865">
        <v>1</v>
      </c>
      <c r="AK1865">
        <v>1</v>
      </c>
      <c r="AL1865">
        <v>1</v>
      </c>
      <c r="AM1865">
        <v>98.59</v>
      </c>
      <c r="AN1865">
        <v>111.63339999999999</v>
      </c>
      <c r="AO1865">
        <v>107.56</v>
      </c>
      <c r="AP1865" s="13">
        <v>45316</v>
      </c>
      <c r="AQ1865">
        <v>-3</v>
      </c>
      <c r="AR1865">
        <v>1</v>
      </c>
    </row>
    <row r="1866" spans="1:44" x14ac:dyDescent="0.35">
      <c r="A1866" s="12" t="s">
        <v>2569</v>
      </c>
      <c r="B1866" s="12" t="s">
        <v>787</v>
      </c>
      <c r="C1866" s="12" t="s">
        <v>788</v>
      </c>
      <c r="D1866" s="12" t="s">
        <v>269</v>
      </c>
      <c r="E1866" s="12" t="s">
        <v>65</v>
      </c>
      <c r="F1866">
        <v>2</v>
      </c>
      <c r="G1866">
        <v>3</v>
      </c>
      <c r="H1866">
        <v>0</v>
      </c>
      <c r="I1866" s="12" t="s">
        <v>143</v>
      </c>
      <c r="J1866" s="12" t="s">
        <v>144</v>
      </c>
      <c r="K1866" s="12" t="s">
        <v>133</v>
      </c>
      <c r="L1866" s="12" t="s">
        <v>96</v>
      </c>
      <c r="M1866">
        <v>5.43</v>
      </c>
      <c r="N1866" s="12" t="s">
        <v>159</v>
      </c>
      <c r="O1866" s="12" t="s">
        <v>160</v>
      </c>
      <c r="P1866" s="12" t="s">
        <v>137</v>
      </c>
      <c r="Q1866" s="13">
        <v>45300</v>
      </c>
      <c r="R1866" s="13">
        <v>45324</v>
      </c>
      <c r="S1866">
        <v>2024</v>
      </c>
      <c r="T1866" s="12" t="s">
        <v>2513</v>
      </c>
      <c r="U1866">
        <v>40</v>
      </c>
      <c r="V1866">
        <v>354.36430000000001</v>
      </c>
      <c r="W1866">
        <v>201.12</v>
      </c>
      <c r="X1866">
        <v>0</v>
      </c>
      <c r="Y1866">
        <v>0</v>
      </c>
      <c r="Z1866">
        <v>14174.57</v>
      </c>
      <c r="AA1866">
        <v>14375.69</v>
      </c>
      <c r="AB1866" s="12" t="s">
        <v>789</v>
      </c>
      <c r="AC1866">
        <v>354.36430000000001</v>
      </c>
      <c r="AD1866">
        <v>1</v>
      </c>
      <c r="AE1866">
        <v>1</v>
      </c>
      <c r="AF1866">
        <v>0</v>
      </c>
      <c r="AG1866">
        <v>14174.57</v>
      </c>
      <c r="AH1866">
        <v>40</v>
      </c>
      <c r="AI1866">
        <v>39</v>
      </c>
      <c r="AJ1866">
        <v>1</v>
      </c>
      <c r="AK1866">
        <v>1</v>
      </c>
      <c r="AL1866">
        <v>1</v>
      </c>
      <c r="AM1866">
        <v>97.5</v>
      </c>
      <c r="AN1866">
        <v>368.60750000000002</v>
      </c>
      <c r="AO1866">
        <v>354.36</v>
      </c>
      <c r="AP1866" s="13">
        <v>45322</v>
      </c>
      <c r="AQ1866">
        <v>-2</v>
      </c>
      <c r="AR1866">
        <v>1</v>
      </c>
    </row>
    <row r="1867" spans="1:44" x14ac:dyDescent="0.35">
      <c r="A1867" s="12" t="s">
        <v>2570</v>
      </c>
      <c r="B1867" s="12" t="s">
        <v>482</v>
      </c>
      <c r="C1867" s="12" t="s">
        <v>483</v>
      </c>
      <c r="D1867" s="12" t="s">
        <v>78</v>
      </c>
      <c r="E1867" s="12" t="s">
        <v>142</v>
      </c>
      <c r="F1867">
        <v>2</v>
      </c>
      <c r="G1867">
        <v>9</v>
      </c>
      <c r="H1867">
        <v>0</v>
      </c>
      <c r="I1867" s="12" t="s">
        <v>87</v>
      </c>
      <c r="J1867" s="12" t="s">
        <v>88</v>
      </c>
      <c r="K1867" s="12" t="s">
        <v>89</v>
      </c>
      <c r="L1867" s="12" t="s">
        <v>69</v>
      </c>
      <c r="M1867">
        <v>14.93</v>
      </c>
      <c r="N1867" s="12" t="s">
        <v>70</v>
      </c>
      <c r="O1867" s="12" t="s">
        <v>71</v>
      </c>
      <c r="P1867" s="12" t="s">
        <v>72</v>
      </c>
      <c r="Q1867" s="13">
        <v>45300</v>
      </c>
      <c r="R1867" s="13">
        <v>45347</v>
      </c>
      <c r="S1867">
        <v>2024</v>
      </c>
      <c r="T1867" s="12" t="s">
        <v>2513</v>
      </c>
      <c r="U1867">
        <v>225</v>
      </c>
      <c r="V1867">
        <v>49.685899999999997</v>
      </c>
      <c r="W1867">
        <v>265.8</v>
      </c>
      <c r="X1867">
        <v>0</v>
      </c>
      <c r="Y1867">
        <v>0</v>
      </c>
      <c r="Z1867">
        <v>11179.33</v>
      </c>
      <c r="AA1867">
        <v>11445.13</v>
      </c>
      <c r="AB1867" s="12" t="s">
        <v>484</v>
      </c>
      <c r="AC1867">
        <v>49.685899999999997</v>
      </c>
      <c r="AD1867">
        <v>1</v>
      </c>
      <c r="AE1867">
        <v>1</v>
      </c>
      <c r="AF1867">
        <v>0</v>
      </c>
      <c r="AG1867">
        <v>11179.33</v>
      </c>
      <c r="AH1867">
        <v>225</v>
      </c>
      <c r="AI1867">
        <v>220</v>
      </c>
      <c r="AJ1867">
        <v>5</v>
      </c>
      <c r="AK1867">
        <v>1</v>
      </c>
      <c r="AL1867">
        <v>1</v>
      </c>
      <c r="AM1867">
        <v>97.78</v>
      </c>
      <c r="AN1867">
        <v>52.023299999999999</v>
      </c>
      <c r="AO1867">
        <v>248.43</v>
      </c>
      <c r="AP1867" s="13">
        <v>45345</v>
      </c>
      <c r="AQ1867">
        <v>-2</v>
      </c>
      <c r="AR1867">
        <v>1</v>
      </c>
    </row>
    <row r="1868" spans="1:44" x14ac:dyDescent="0.35">
      <c r="A1868" s="12" t="s">
        <v>2571</v>
      </c>
      <c r="B1868" s="12" t="s">
        <v>317</v>
      </c>
      <c r="C1868" s="12" t="s">
        <v>318</v>
      </c>
      <c r="D1868" s="12" t="s">
        <v>64</v>
      </c>
      <c r="E1868" s="12" t="s">
        <v>104</v>
      </c>
      <c r="F1868">
        <v>2</v>
      </c>
      <c r="G1868">
        <v>0</v>
      </c>
      <c r="H1868">
        <v>0</v>
      </c>
      <c r="I1868" s="12" t="s">
        <v>169</v>
      </c>
      <c r="J1868" s="12" t="s">
        <v>170</v>
      </c>
      <c r="K1868" s="12" t="s">
        <v>89</v>
      </c>
      <c r="L1868" s="12" t="s">
        <v>134</v>
      </c>
      <c r="M1868">
        <v>1.37</v>
      </c>
      <c r="N1868" s="12" t="s">
        <v>70</v>
      </c>
      <c r="O1868" s="12" t="s">
        <v>71</v>
      </c>
      <c r="P1868" s="12" t="s">
        <v>72</v>
      </c>
      <c r="Q1868" s="13">
        <v>45301</v>
      </c>
      <c r="R1868" s="13">
        <v>45325</v>
      </c>
      <c r="S1868">
        <v>2024</v>
      </c>
      <c r="T1868" s="12" t="s">
        <v>2513</v>
      </c>
      <c r="U1868">
        <v>739</v>
      </c>
      <c r="V1868">
        <v>15.848100000000001</v>
      </c>
      <c r="W1868">
        <v>184.87</v>
      </c>
      <c r="X1868">
        <v>0</v>
      </c>
      <c r="Y1868">
        <v>0</v>
      </c>
      <c r="Z1868">
        <v>11711.75</v>
      </c>
      <c r="AA1868">
        <v>11896.62</v>
      </c>
      <c r="AB1868" s="12" t="s">
        <v>319</v>
      </c>
      <c r="AC1868">
        <v>15.848100000000001</v>
      </c>
      <c r="AD1868">
        <v>1</v>
      </c>
      <c r="AE1868">
        <v>1</v>
      </c>
      <c r="AF1868">
        <v>0</v>
      </c>
      <c r="AG1868">
        <v>11711.75</v>
      </c>
      <c r="AH1868">
        <v>739</v>
      </c>
      <c r="AI1868">
        <v>728</v>
      </c>
      <c r="AJ1868">
        <v>11</v>
      </c>
      <c r="AK1868">
        <v>1</v>
      </c>
      <c r="AL1868">
        <v>1</v>
      </c>
      <c r="AM1868">
        <v>98.51</v>
      </c>
      <c r="AN1868">
        <v>16.3415</v>
      </c>
      <c r="AO1868">
        <v>174.33</v>
      </c>
      <c r="AP1868" s="13">
        <v>45325</v>
      </c>
      <c r="AQ1868">
        <v>0</v>
      </c>
      <c r="AR1868">
        <v>1</v>
      </c>
    </row>
    <row r="1869" spans="1:44" x14ac:dyDescent="0.35">
      <c r="A1869" s="12" t="s">
        <v>2572</v>
      </c>
      <c r="B1869" s="12" t="s">
        <v>766</v>
      </c>
      <c r="C1869" s="12" t="s">
        <v>767</v>
      </c>
      <c r="D1869" s="12" t="s">
        <v>175</v>
      </c>
      <c r="E1869" s="12" t="s">
        <v>65</v>
      </c>
      <c r="F1869">
        <v>3</v>
      </c>
      <c r="G1869">
        <v>5</v>
      </c>
      <c r="H1869">
        <v>0</v>
      </c>
      <c r="I1869" s="12" t="s">
        <v>157</v>
      </c>
      <c r="J1869" s="12" t="s">
        <v>158</v>
      </c>
      <c r="K1869" s="12" t="s">
        <v>117</v>
      </c>
      <c r="L1869" s="12" t="s">
        <v>96</v>
      </c>
      <c r="M1869">
        <v>4.72</v>
      </c>
      <c r="N1869" s="12" t="s">
        <v>145</v>
      </c>
      <c r="O1869" s="12" t="s">
        <v>146</v>
      </c>
      <c r="P1869" s="12" t="s">
        <v>109</v>
      </c>
      <c r="Q1869" s="13">
        <v>45301</v>
      </c>
      <c r="R1869" s="13">
        <v>45333</v>
      </c>
      <c r="S1869">
        <v>2024</v>
      </c>
      <c r="T1869" s="12" t="s">
        <v>2513</v>
      </c>
      <c r="U1869">
        <v>102</v>
      </c>
      <c r="V1869">
        <v>86.977900000000005</v>
      </c>
      <c r="W1869">
        <v>203.87</v>
      </c>
      <c r="X1869">
        <v>0</v>
      </c>
      <c r="Y1869">
        <v>0</v>
      </c>
      <c r="Z1869">
        <v>8871.75</v>
      </c>
      <c r="AA1869">
        <v>9075.6200000000008</v>
      </c>
      <c r="AB1869" s="12" t="s">
        <v>1279</v>
      </c>
      <c r="AC1869">
        <v>86.977900000000005</v>
      </c>
      <c r="AD1869">
        <v>1</v>
      </c>
      <c r="AE1869">
        <v>1</v>
      </c>
      <c r="AF1869">
        <v>0</v>
      </c>
      <c r="AG1869">
        <v>8871.75</v>
      </c>
      <c r="AH1869">
        <v>102</v>
      </c>
      <c r="AI1869">
        <v>101</v>
      </c>
      <c r="AJ1869">
        <v>1</v>
      </c>
      <c r="AK1869">
        <v>1</v>
      </c>
      <c r="AL1869">
        <v>1</v>
      </c>
      <c r="AM1869">
        <v>99.02</v>
      </c>
      <c r="AN1869">
        <v>89.857600000000005</v>
      </c>
      <c r="AO1869">
        <v>86.98</v>
      </c>
      <c r="AP1869" s="13">
        <v>45331</v>
      </c>
      <c r="AQ1869">
        <v>-2</v>
      </c>
      <c r="AR1869">
        <v>1</v>
      </c>
    </row>
    <row r="1870" spans="1:44" x14ac:dyDescent="0.35">
      <c r="A1870" s="12" t="s">
        <v>2573</v>
      </c>
      <c r="B1870" s="12" t="s">
        <v>350</v>
      </c>
      <c r="C1870" s="12" t="s">
        <v>351</v>
      </c>
      <c r="D1870" s="12" t="s">
        <v>64</v>
      </c>
      <c r="E1870" s="12" t="s">
        <v>104</v>
      </c>
      <c r="F1870">
        <v>3</v>
      </c>
      <c r="G1870">
        <v>1</v>
      </c>
      <c r="H1870">
        <v>0</v>
      </c>
      <c r="I1870" s="12" t="s">
        <v>223</v>
      </c>
      <c r="J1870" s="12" t="s">
        <v>224</v>
      </c>
      <c r="K1870" s="12" t="s">
        <v>81</v>
      </c>
      <c r="L1870" s="12" t="s">
        <v>134</v>
      </c>
      <c r="M1870">
        <v>2.4900000000000002</v>
      </c>
      <c r="N1870" s="12" t="s">
        <v>97</v>
      </c>
      <c r="O1870" s="12" t="s">
        <v>98</v>
      </c>
      <c r="P1870" s="12" t="s">
        <v>72</v>
      </c>
      <c r="Q1870" s="13">
        <v>45301</v>
      </c>
      <c r="R1870" s="13">
        <v>45326</v>
      </c>
      <c r="S1870">
        <v>2024</v>
      </c>
      <c r="T1870" s="12" t="s">
        <v>2513</v>
      </c>
      <c r="U1870">
        <v>785</v>
      </c>
      <c r="V1870">
        <v>8.8643999999999998</v>
      </c>
      <c r="W1870">
        <v>123.55</v>
      </c>
      <c r="X1870">
        <v>0</v>
      </c>
      <c r="Y1870">
        <v>0</v>
      </c>
      <c r="Z1870">
        <v>6958.55</v>
      </c>
      <c r="AA1870">
        <v>7082.1</v>
      </c>
      <c r="AB1870" s="12" t="s">
        <v>201</v>
      </c>
      <c r="AD1870">
        <v>0</v>
      </c>
      <c r="AE1870">
        <v>0</v>
      </c>
      <c r="AH1870">
        <v>785</v>
      </c>
      <c r="AI1870">
        <v>777</v>
      </c>
      <c r="AJ1870">
        <v>8</v>
      </c>
      <c r="AK1870">
        <v>1</v>
      </c>
      <c r="AL1870">
        <v>1</v>
      </c>
      <c r="AM1870">
        <v>98.98</v>
      </c>
      <c r="AN1870">
        <v>9.1146999999999991</v>
      </c>
      <c r="AO1870">
        <v>70.92</v>
      </c>
      <c r="AP1870" s="13">
        <v>45324</v>
      </c>
      <c r="AQ1870">
        <v>-2</v>
      </c>
      <c r="AR1870">
        <v>1</v>
      </c>
    </row>
    <row r="1871" spans="1:44" x14ac:dyDescent="0.35">
      <c r="A1871" s="12" t="s">
        <v>2574</v>
      </c>
      <c r="B1871" s="12" t="s">
        <v>694</v>
      </c>
      <c r="C1871" s="12" t="s">
        <v>695</v>
      </c>
      <c r="D1871" s="12" t="s">
        <v>103</v>
      </c>
      <c r="E1871" s="12" t="s">
        <v>65</v>
      </c>
      <c r="F1871">
        <v>2</v>
      </c>
      <c r="G1871">
        <v>3</v>
      </c>
      <c r="H1871">
        <v>0</v>
      </c>
      <c r="I1871" s="12" t="s">
        <v>94</v>
      </c>
      <c r="J1871" s="12" t="s">
        <v>95</v>
      </c>
      <c r="K1871" s="12" t="s">
        <v>81</v>
      </c>
      <c r="L1871" s="12" t="s">
        <v>96</v>
      </c>
      <c r="M1871">
        <v>4.8099999999999996</v>
      </c>
      <c r="N1871" s="12" t="s">
        <v>145</v>
      </c>
      <c r="O1871" s="12" t="s">
        <v>146</v>
      </c>
      <c r="P1871" s="12" t="s">
        <v>109</v>
      </c>
      <c r="Q1871" s="13">
        <v>45301</v>
      </c>
      <c r="R1871" s="13">
        <v>45336</v>
      </c>
      <c r="S1871">
        <v>2024</v>
      </c>
      <c r="T1871" s="12" t="s">
        <v>2513</v>
      </c>
      <c r="U1871">
        <v>121</v>
      </c>
      <c r="V1871">
        <v>222.53229999999999</v>
      </c>
      <c r="W1871">
        <v>424.8</v>
      </c>
      <c r="X1871">
        <v>0</v>
      </c>
      <c r="Y1871">
        <v>0</v>
      </c>
      <c r="Z1871">
        <v>26926.41</v>
      </c>
      <c r="AA1871">
        <v>27351.21</v>
      </c>
      <c r="AB1871" s="12" t="s">
        <v>1507</v>
      </c>
      <c r="AC1871">
        <v>215.60980000000001</v>
      </c>
      <c r="AD1871">
        <v>1</v>
      </c>
      <c r="AE1871">
        <v>1</v>
      </c>
      <c r="AF1871">
        <v>837.62</v>
      </c>
      <c r="AG1871">
        <v>26088.79</v>
      </c>
      <c r="AH1871">
        <v>121</v>
      </c>
      <c r="AI1871">
        <v>120</v>
      </c>
      <c r="AJ1871">
        <v>1</v>
      </c>
      <c r="AK1871">
        <v>1</v>
      </c>
      <c r="AL1871">
        <v>1</v>
      </c>
      <c r="AM1871">
        <v>99.17</v>
      </c>
      <c r="AN1871">
        <v>227.92670000000001</v>
      </c>
      <c r="AO1871">
        <v>222.53</v>
      </c>
      <c r="AP1871" s="13">
        <v>45333</v>
      </c>
      <c r="AQ1871">
        <v>-3</v>
      </c>
      <c r="AR1871">
        <v>1</v>
      </c>
    </row>
    <row r="1872" spans="1:44" x14ac:dyDescent="0.35">
      <c r="A1872" s="12" t="s">
        <v>2575</v>
      </c>
      <c r="B1872" s="12" t="s">
        <v>167</v>
      </c>
      <c r="C1872" s="12" t="s">
        <v>168</v>
      </c>
      <c r="D1872" s="12" t="s">
        <v>64</v>
      </c>
      <c r="E1872" s="12" t="s">
        <v>104</v>
      </c>
      <c r="F1872">
        <v>3</v>
      </c>
      <c r="G1872">
        <v>1</v>
      </c>
      <c r="H1872">
        <v>0</v>
      </c>
      <c r="I1872" s="12" t="s">
        <v>243</v>
      </c>
      <c r="J1872" s="12" t="s">
        <v>244</v>
      </c>
      <c r="K1872" s="12" t="s">
        <v>81</v>
      </c>
      <c r="L1872" s="12" t="s">
        <v>82</v>
      </c>
      <c r="M1872">
        <v>9.2200000000000006</v>
      </c>
      <c r="N1872" s="12" t="s">
        <v>97</v>
      </c>
      <c r="O1872" s="12" t="s">
        <v>98</v>
      </c>
      <c r="P1872" s="12" t="s">
        <v>72</v>
      </c>
      <c r="Q1872" s="13">
        <v>45301</v>
      </c>
      <c r="R1872" s="13">
        <v>45328</v>
      </c>
      <c r="S1872">
        <v>2024</v>
      </c>
      <c r="T1872" s="12" t="s">
        <v>2513</v>
      </c>
      <c r="U1872">
        <v>866</v>
      </c>
      <c r="V1872">
        <v>28.7181</v>
      </c>
      <c r="W1872">
        <v>325.79000000000002</v>
      </c>
      <c r="X1872">
        <v>0</v>
      </c>
      <c r="Y1872">
        <v>0</v>
      </c>
      <c r="Z1872">
        <v>24869.87</v>
      </c>
      <c r="AA1872">
        <v>25195.66</v>
      </c>
      <c r="AB1872" s="12" t="s">
        <v>530</v>
      </c>
      <c r="AC1872">
        <v>28.7181</v>
      </c>
      <c r="AD1872">
        <v>1</v>
      </c>
      <c r="AE1872">
        <v>1</v>
      </c>
      <c r="AF1872">
        <v>0</v>
      </c>
      <c r="AG1872">
        <v>24869.87</v>
      </c>
      <c r="AH1872">
        <v>866</v>
      </c>
      <c r="AI1872">
        <v>856</v>
      </c>
      <c r="AJ1872">
        <v>10</v>
      </c>
      <c r="AK1872">
        <v>1</v>
      </c>
      <c r="AL1872">
        <v>1</v>
      </c>
      <c r="AM1872">
        <v>98.85</v>
      </c>
      <c r="AN1872">
        <v>29.434200000000001</v>
      </c>
      <c r="AO1872">
        <v>287.18</v>
      </c>
      <c r="AP1872" s="13">
        <v>45327</v>
      </c>
      <c r="AQ1872">
        <v>-1</v>
      </c>
      <c r="AR1872">
        <v>1</v>
      </c>
    </row>
    <row r="1873" spans="1:44" x14ac:dyDescent="0.35">
      <c r="A1873" s="12" t="s">
        <v>2576</v>
      </c>
      <c r="B1873" s="12" t="s">
        <v>621</v>
      </c>
      <c r="C1873" s="12" t="s">
        <v>622</v>
      </c>
      <c r="D1873" s="12" t="s">
        <v>103</v>
      </c>
      <c r="E1873" s="12" t="s">
        <v>65</v>
      </c>
      <c r="F1873">
        <v>1</v>
      </c>
      <c r="G1873">
        <v>2</v>
      </c>
      <c r="H1873">
        <v>1</v>
      </c>
      <c r="I1873" s="12" t="s">
        <v>486</v>
      </c>
      <c r="J1873" s="12" t="s">
        <v>487</v>
      </c>
      <c r="K1873" s="12" t="s">
        <v>125</v>
      </c>
      <c r="L1873" s="12" t="s">
        <v>69</v>
      </c>
      <c r="M1873">
        <v>36.86</v>
      </c>
      <c r="N1873" s="12" t="s">
        <v>145</v>
      </c>
      <c r="O1873" s="12" t="s">
        <v>146</v>
      </c>
      <c r="P1873" s="12" t="s">
        <v>109</v>
      </c>
      <c r="Q1873" s="13">
        <v>45301</v>
      </c>
      <c r="R1873" s="13">
        <v>45333</v>
      </c>
      <c r="S1873">
        <v>2024</v>
      </c>
      <c r="T1873" s="12" t="s">
        <v>2513</v>
      </c>
      <c r="U1873">
        <v>102</v>
      </c>
      <c r="V1873">
        <v>201.42019999999999</v>
      </c>
      <c r="W1873">
        <v>392.37</v>
      </c>
      <c r="X1873">
        <v>0</v>
      </c>
      <c r="Y1873">
        <v>0</v>
      </c>
      <c r="Z1873">
        <v>20544.86</v>
      </c>
      <c r="AA1873">
        <v>20937.23</v>
      </c>
      <c r="AB1873" s="12" t="s">
        <v>623</v>
      </c>
      <c r="AC1873">
        <v>201.42019999999999</v>
      </c>
      <c r="AD1873">
        <v>1</v>
      </c>
      <c r="AE1873">
        <v>1</v>
      </c>
      <c r="AF1873">
        <v>0</v>
      </c>
      <c r="AG1873">
        <v>20544.86</v>
      </c>
      <c r="AH1873">
        <v>102</v>
      </c>
      <c r="AI1873">
        <v>101</v>
      </c>
      <c r="AJ1873">
        <v>1</v>
      </c>
      <c r="AK1873">
        <v>1</v>
      </c>
      <c r="AL1873">
        <v>1</v>
      </c>
      <c r="AM1873">
        <v>99.02</v>
      </c>
      <c r="AN1873">
        <v>207.29929999999999</v>
      </c>
      <c r="AO1873">
        <v>201.42</v>
      </c>
      <c r="AP1873" s="13">
        <v>45331</v>
      </c>
      <c r="AQ1873">
        <v>-2</v>
      </c>
      <c r="AR1873">
        <v>1</v>
      </c>
    </row>
    <row r="1874" spans="1:44" x14ac:dyDescent="0.35">
      <c r="A1874" s="12" t="s">
        <v>2577</v>
      </c>
      <c r="B1874" s="12" t="s">
        <v>255</v>
      </c>
      <c r="C1874" s="12" t="s">
        <v>256</v>
      </c>
      <c r="D1874" s="12" t="s">
        <v>103</v>
      </c>
      <c r="E1874" s="12" t="s">
        <v>65</v>
      </c>
      <c r="F1874">
        <v>2</v>
      </c>
      <c r="G1874">
        <v>4</v>
      </c>
      <c r="H1874">
        <v>0</v>
      </c>
      <c r="I1874" s="12" t="s">
        <v>143</v>
      </c>
      <c r="J1874" s="12" t="s">
        <v>144</v>
      </c>
      <c r="K1874" s="12" t="s">
        <v>133</v>
      </c>
      <c r="L1874" s="12" t="s">
        <v>96</v>
      </c>
      <c r="M1874">
        <v>5.43</v>
      </c>
      <c r="N1874" s="12" t="s">
        <v>107</v>
      </c>
      <c r="O1874" s="12" t="s">
        <v>108</v>
      </c>
      <c r="P1874" s="12" t="s">
        <v>109</v>
      </c>
      <c r="Q1874" s="13">
        <v>45301</v>
      </c>
      <c r="R1874" s="13">
        <v>45328</v>
      </c>
      <c r="S1874">
        <v>2024</v>
      </c>
      <c r="T1874" s="12" t="s">
        <v>2513</v>
      </c>
      <c r="U1874">
        <v>57</v>
      </c>
      <c r="V1874">
        <v>95.085700000000003</v>
      </c>
      <c r="W1874">
        <v>119.4</v>
      </c>
      <c r="X1874">
        <v>0</v>
      </c>
      <c r="Y1874">
        <v>0</v>
      </c>
      <c r="Z1874">
        <v>5419.88</v>
      </c>
      <c r="AA1874">
        <v>5539.28</v>
      </c>
      <c r="AB1874" s="12" t="s">
        <v>366</v>
      </c>
      <c r="AC1874">
        <v>95.085700000000003</v>
      </c>
      <c r="AD1874">
        <v>1</v>
      </c>
      <c r="AE1874">
        <v>1</v>
      </c>
      <c r="AF1874">
        <v>0</v>
      </c>
      <c r="AG1874">
        <v>5419.88</v>
      </c>
      <c r="AH1874">
        <v>57</v>
      </c>
      <c r="AI1874">
        <v>57</v>
      </c>
      <c r="AJ1874">
        <v>0</v>
      </c>
      <c r="AK1874">
        <v>1</v>
      </c>
      <c r="AL1874">
        <v>1</v>
      </c>
      <c r="AM1874">
        <v>100</v>
      </c>
      <c r="AN1874">
        <v>97.180400000000006</v>
      </c>
      <c r="AO1874">
        <v>0</v>
      </c>
      <c r="AP1874" s="13">
        <v>45325</v>
      </c>
      <c r="AQ1874">
        <v>-3</v>
      </c>
      <c r="AR1874">
        <v>1</v>
      </c>
    </row>
    <row r="1875" spans="1:44" x14ac:dyDescent="0.35">
      <c r="A1875" s="12" t="s">
        <v>2578</v>
      </c>
      <c r="B1875" s="12" t="s">
        <v>255</v>
      </c>
      <c r="C1875" s="12" t="s">
        <v>256</v>
      </c>
      <c r="D1875" s="12" t="s">
        <v>103</v>
      </c>
      <c r="E1875" s="12" t="s">
        <v>65</v>
      </c>
      <c r="F1875">
        <v>2</v>
      </c>
      <c r="G1875">
        <v>4</v>
      </c>
      <c r="H1875">
        <v>0</v>
      </c>
      <c r="I1875" s="12" t="s">
        <v>143</v>
      </c>
      <c r="J1875" s="12" t="s">
        <v>144</v>
      </c>
      <c r="K1875" s="12" t="s">
        <v>133</v>
      </c>
      <c r="L1875" s="12" t="s">
        <v>96</v>
      </c>
      <c r="M1875">
        <v>5.43</v>
      </c>
      <c r="N1875" s="12" t="s">
        <v>107</v>
      </c>
      <c r="O1875" s="12" t="s">
        <v>108</v>
      </c>
      <c r="P1875" s="12" t="s">
        <v>109</v>
      </c>
      <c r="Q1875" s="13">
        <v>45301</v>
      </c>
      <c r="R1875" s="13">
        <v>45339</v>
      </c>
      <c r="S1875">
        <v>2024</v>
      </c>
      <c r="T1875" s="12" t="s">
        <v>2513</v>
      </c>
      <c r="U1875">
        <v>145</v>
      </c>
      <c r="V1875">
        <v>100.73480000000001</v>
      </c>
      <c r="W1875">
        <v>177.34</v>
      </c>
      <c r="X1875">
        <v>0</v>
      </c>
      <c r="Y1875">
        <v>0</v>
      </c>
      <c r="Z1875">
        <v>14606.55</v>
      </c>
      <c r="AA1875">
        <v>14783.89</v>
      </c>
      <c r="AB1875" s="12" t="s">
        <v>366</v>
      </c>
      <c r="AC1875">
        <v>95.085700000000003</v>
      </c>
      <c r="AD1875">
        <v>1</v>
      </c>
      <c r="AE1875">
        <v>1</v>
      </c>
      <c r="AF1875">
        <v>819.12</v>
      </c>
      <c r="AG1875">
        <v>13787.43</v>
      </c>
      <c r="AH1875">
        <v>145</v>
      </c>
      <c r="AI1875">
        <v>144</v>
      </c>
      <c r="AJ1875">
        <v>1</v>
      </c>
      <c r="AK1875">
        <v>1</v>
      </c>
      <c r="AL1875">
        <v>1</v>
      </c>
      <c r="AM1875">
        <v>99.31</v>
      </c>
      <c r="AN1875">
        <v>102.66589999999999</v>
      </c>
      <c r="AO1875">
        <v>100.73</v>
      </c>
      <c r="AP1875" s="13">
        <v>45344</v>
      </c>
      <c r="AQ1875">
        <v>5</v>
      </c>
      <c r="AR1875">
        <v>0</v>
      </c>
    </row>
    <row r="1876" spans="1:44" x14ac:dyDescent="0.35">
      <c r="A1876" s="12" t="s">
        <v>2579</v>
      </c>
      <c r="B1876" s="12" t="s">
        <v>532</v>
      </c>
      <c r="C1876" s="12" t="s">
        <v>533</v>
      </c>
      <c r="D1876" s="12" t="s">
        <v>114</v>
      </c>
      <c r="E1876" s="12" t="s">
        <v>65</v>
      </c>
      <c r="F1876">
        <v>2</v>
      </c>
      <c r="G1876">
        <v>3</v>
      </c>
      <c r="H1876">
        <v>0</v>
      </c>
      <c r="I1876" s="12" t="s">
        <v>105</v>
      </c>
      <c r="J1876" s="12" t="s">
        <v>106</v>
      </c>
      <c r="K1876" s="12" t="s">
        <v>81</v>
      </c>
      <c r="L1876" s="12" t="s">
        <v>96</v>
      </c>
      <c r="M1876">
        <v>5.01</v>
      </c>
      <c r="N1876" s="12" t="s">
        <v>97</v>
      </c>
      <c r="O1876" s="12" t="s">
        <v>98</v>
      </c>
      <c r="P1876" s="12" t="s">
        <v>72</v>
      </c>
      <c r="Q1876" s="13">
        <v>45301</v>
      </c>
      <c r="R1876" s="13">
        <v>45330</v>
      </c>
      <c r="S1876">
        <v>2024</v>
      </c>
      <c r="T1876" s="12" t="s">
        <v>2513</v>
      </c>
      <c r="U1876">
        <v>79</v>
      </c>
      <c r="V1876">
        <v>250.00970000000001</v>
      </c>
      <c r="W1876">
        <v>420.16</v>
      </c>
      <c r="X1876">
        <v>0</v>
      </c>
      <c r="Y1876">
        <v>0</v>
      </c>
      <c r="Z1876">
        <v>19750.77</v>
      </c>
      <c r="AA1876">
        <v>20170.93</v>
      </c>
      <c r="AB1876" s="12" t="s">
        <v>534</v>
      </c>
      <c r="AC1876">
        <v>250.00970000000001</v>
      </c>
      <c r="AD1876">
        <v>1</v>
      </c>
      <c r="AE1876">
        <v>1</v>
      </c>
      <c r="AF1876">
        <v>0</v>
      </c>
      <c r="AG1876">
        <v>19750.77</v>
      </c>
      <c r="AH1876">
        <v>79</v>
      </c>
      <c r="AI1876">
        <v>78</v>
      </c>
      <c r="AJ1876">
        <v>1</v>
      </c>
      <c r="AK1876">
        <v>1</v>
      </c>
      <c r="AL1876">
        <v>1</v>
      </c>
      <c r="AM1876">
        <v>98.73</v>
      </c>
      <c r="AN1876">
        <v>258.60160000000002</v>
      </c>
      <c r="AO1876">
        <v>250.01</v>
      </c>
      <c r="AP1876" s="13">
        <v>45333</v>
      </c>
      <c r="AQ1876">
        <v>3</v>
      </c>
      <c r="AR1876">
        <v>0</v>
      </c>
    </row>
    <row r="1877" spans="1:44" x14ac:dyDescent="0.35">
      <c r="A1877" s="12" t="s">
        <v>2580</v>
      </c>
      <c r="B1877" s="12" t="s">
        <v>924</v>
      </c>
      <c r="C1877" s="12" t="s">
        <v>925</v>
      </c>
      <c r="D1877" s="12" t="s">
        <v>103</v>
      </c>
      <c r="E1877" s="12" t="s">
        <v>104</v>
      </c>
      <c r="F1877">
        <v>2</v>
      </c>
      <c r="G1877">
        <v>0</v>
      </c>
      <c r="H1877">
        <v>0</v>
      </c>
      <c r="I1877" s="12" t="s">
        <v>335</v>
      </c>
      <c r="J1877" s="12" t="s">
        <v>336</v>
      </c>
      <c r="K1877" s="12" t="s">
        <v>89</v>
      </c>
      <c r="L1877" s="12" t="s">
        <v>82</v>
      </c>
      <c r="M1877">
        <v>16</v>
      </c>
      <c r="N1877" s="12" t="s">
        <v>107</v>
      </c>
      <c r="O1877" s="12" t="s">
        <v>108</v>
      </c>
      <c r="P1877" s="12" t="s">
        <v>109</v>
      </c>
      <c r="Q1877" s="13">
        <v>45301</v>
      </c>
      <c r="R1877" s="13">
        <v>45322</v>
      </c>
      <c r="S1877">
        <v>2024</v>
      </c>
      <c r="T1877" s="12" t="s">
        <v>2513</v>
      </c>
      <c r="U1877">
        <v>81</v>
      </c>
      <c r="V1877">
        <v>161.51509999999999</v>
      </c>
      <c r="W1877">
        <v>130.30000000000001</v>
      </c>
      <c r="X1877">
        <v>0</v>
      </c>
      <c r="Y1877">
        <v>0</v>
      </c>
      <c r="Z1877">
        <v>13082.72</v>
      </c>
      <c r="AA1877">
        <v>13213.02</v>
      </c>
      <c r="AB1877" s="12" t="s">
        <v>926</v>
      </c>
      <c r="AC1877">
        <v>161.51509999999999</v>
      </c>
      <c r="AD1877">
        <v>1</v>
      </c>
      <c r="AE1877">
        <v>1</v>
      </c>
      <c r="AF1877">
        <v>0</v>
      </c>
      <c r="AG1877">
        <v>13082.72</v>
      </c>
      <c r="AH1877">
        <v>81</v>
      </c>
      <c r="AI1877">
        <v>81</v>
      </c>
      <c r="AJ1877">
        <v>0</v>
      </c>
      <c r="AK1877">
        <v>1</v>
      </c>
      <c r="AL1877">
        <v>1</v>
      </c>
      <c r="AM1877">
        <v>100</v>
      </c>
      <c r="AN1877">
        <v>163.12370000000001</v>
      </c>
      <c r="AO1877">
        <v>0</v>
      </c>
      <c r="AP1877" s="13">
        <v>45319</v>
      </c>
      <c r="AQ1877">
        <v>-3</v>
      </c>
      <c r="AR1877">
        <v>1</v>
      </c>
    </row>
    <row r="1878" spans="1:44" x14ac:dyDescent="0.35">
      <c r="A1878" s="12" t="s">
        <v>2581</v>
      </c>
      <c r="B1878" s="12" t="s">
        <v>792</v>
      </c>
      <c r="C1878" s="12" t="s">
        <v>793</v>
      </c>
      <c r="D1878" s="12" t="s">
        <v>103</v>
      </c>
      <c r="E1878" s="12" t="s">
        <v>65</v>
      </c>
      <c r="F1878">
        <v>2</v>
      </c>
      <c r="G1878">
        <v>3</v>
      </c>
      <c r="H1878">
        <v>0</v>
      </c>
      <c r="I1878" s="12" t="s">
        <v>115</v>
      </c>
      <c r="J1878" s="12" t="s">
        <v>116</v>
      </c>
      <c r="K1878" s="12" t="s">
        <v>117</v>
      </c>
      <c r="L1878" s="12" t="s">
        <v>82</v>
      </c>
      <c r="M1878">
        <v>17.170000000000002</v>
      </c>
      <c r="N1878" s="12" t="s">
        <v>107</v>
      </c>
      <c r="O1878" s="12" t="s">
        <v>108</v>
      </c>
      <c r="P1878" s="12" t="s">
        <v>109</v>
      </c>
      <c r="Q1878" s="13">
        <v>45301</v>
      </c>
      <c r="R1878" s="13">
        <v>45327</v>
      </c>
      <c r="S1878">
        <v>2024</v>
      </c>
      <c r="T1878" s="12" t="s">
        <v>2513</v>
      </c>
      <c r="U1878">
        <v>55</v>
      </c>
      <c r="V1878">
        <v>99.173299999999998</v>
      </c>
      <c r="W1878">
        <v>102.28</v>
      </c>
      <c r="X1878">
        <v>0</v>
      </c>
      <c r="Y1878">
        <v>0</v>
      </c>
      <c r="Z1878">
        <v>5454.53</v>
      </c>
      <c r="AA1878">
        <v>5556.81</v>
      </c>
      <c r="AB1878" s="12" t="s">
        <v>794</v>
      </c>
      <c r="AC1878">
        <v>99.173299999999998</v>
      </c>
      <c r="AD1878">
        <v>1</v>
      </c>
      <c r="AE1878">
        <v>1</v>
      </c>
      <c r="AF1878">
        <v>0</v>
      </c>
      <c r="AG1878">
        <v>5454.53</v>
      </c>
      <c r="AH1878">
        <v>55</v>
      </c>
      <c r="AI1878">
        <v>55</v>
      </c>
      <c r="AJ1878">
        <v>0</v>
      </c>
      <c r="AK1878">
        <v>1</v>
      </c>
      <c r="AL1878">
        <v>1</v>
      </c>
      <c r="AM1878">
        <v>100</v>
      </c>
      <c r="AN1878">
        <v>101.0329</v>
      </c>
      <c r="AO1878">
        <v>0</v>
      </c>
      <c r="AP1878" s="13">
        <v>45326</v>
      </c>
      <c r="AQ1878">
        <v>-1</v>
      </c>
      <c r="AR1878">
        <v>1</v>
      </c>
    </row>
    <row r="1879" spans="1:44" x14ac:dyDescent="0.35">
      <c r="A1879" s="12" t="s">
        <v>2582</v>
      </c>
      <c r="B1879" s="12" t="s">
        <v>498</v>
      </c>
      <c r="C1879" s="12" t="s">
        <v>499</v>
      </c>
      <c r="D1879" s="12" t="s">
        <v>175</v>
      </c>
      <c r="E1879" s="12" t="s">
        <v>104</v>
      </c>
      <c r="F1879">
        <v>3</v>
      </c>
      <c r="G1879">
        <v>1</v>
      </c>
      <c r="H1879">
        <v>0</v>
      </c>
      <c r="I1879" s="12" t="s">
        <v>233</v>
      </c>
      <c r="J1879" s="12" t="s">
        <v>234</v>
      </c>
      <c r="K1879" s="12" t="s">
        <v>125</v>
      </c>
      <c r="L1879" s="12" t="s">
        <v>96</v>
      </c>
      <c r="M1879">
        <v>3.73</v>
      </c>
      <c r="N1879" s="12" t="s">
        <v>145</v>
      </c>
      <c r="O1879" s="12" t="s">
        <v>146</v>
      </c>
      <c r="P1879" s="12" t="s">
        <v>109</v>
      </c>
      <c r="Q1879" s="13">
        <v>45301</v>
      </c>
      <c r="R1879" s="13">
        <v>45320</v>
      </c>
      <c r="S1879">
        <v>2024</v>
      </c>
      <c r="T1879" s="12" t="s">
        <v>2513</v>
      </c>
      <c r="U1879">
        <v>67</v>
      </c>
      <c r="V1879">
        <v>275.12700000000001</v>
      </c>
      <c r="W1879">
        <v>144.08000000000001</v>
      </c>
      <c r="X1879">
        <v>0</v>
      </c>
      <c r="Y1879">
        <v>0</v>
      </c>
      <c r="Z1879">
        <v>18433.509999999998</v>
      </c>
      <c r="AA1879">
        <v>18577.59</v>
      </c>
      <c r="AB1879" s="12" t="s">
        <v>500</v>
      </c>
      <c r="AC1879">
        <v>284.75639999999999</v>
      </c>
      <c r="AD1879">
        <v>2</v>
      </c>
      <c r="AE1879">
        <v>1</v>
      </c>
      <c r="AF1879">
        <v>-645.16999999999996</v>
      </c>
      <c r="AG1879">
        <v>19078.68</v>
      </c>
      <c r="AH1879">
        <v>67</v>
      </c>
      <c r="AI1879">
        <v>67</v>
      </c>
      <c r="AJ1879">
        <v>0</v>
      </c>
      <c r="AK1879">
        <v>1</v>
      </c>
      <c r="AL1879">
        <v>1</v>
      </c>
      <c r="AM1879">
        <v>100</v>
      </c>
      <c r="AN1879">
        <v>277.2774</v>
      </c>
      <c r="AO1879">
        <v>0</v>
      </c>
      <c r="AP1879" s="13">
        <v>45322</v>
      </c>
      <c r="AQ1879">
        <v>2</v>
      </c>
      <c r="AR1879">
        <v>0</v>
      </c>
    </row>
    <row r="1880" spans="1:44" x14ac:dyDescent="0.35">
      <c r="A1880" s="12" t="s">
        <v>2583</v>
      </c>
      <c r="B1880" s="12" t="s">
        <v>602</v>
      </c>
      <c r="C1880" s="12" t="s">
        <v>603</v>
      </c>
      <c r="D1880" s="12" t="s">
        <v>114</v>
      </c>
      <c r="E1880" s="12" t="s">
        <v>142</v>
      </c>
      <c r="F1880">
        <v>2</v>
      </c>
      <c r="G1880">
        <v>10</v>
      </c>
      <c r="H1880">
        <v>0</v>
      </c>
      <c r="I1880" s="12" t="s">
        <v>263</v>
      </c>
      <c r="J1880" s="12" t="s">
        <v>264</v>
      </c>
      <c r="K1880" s="12" t="s">
        <v>125</v>
      </c>
      <c r="L1880" s="12" t="s">
        <v>82</v>
      </c>
      <c r="M1880">
        <v>10.210000000000001</v>
      </c>
      <c r="N1880" s="12" t="s">
        <v>70</v>
      </c>
      <c r="O1880" s="12" t="s">
        <v>71</v>
      </c>
      <c r="P1880" s="12" t="s">
        <v>72</v>
      </c>
      <c r="Q1880" s="13">
        <v>45301</v>
      </c>
      <c r="R1880" s="13">
        <v>45341</v>
      </c>
      <c r="S1880">
        <v>2024</v>
      </c>
      <c r="T1880" s="12" t="s">
        <v>2513</v>
      </c>
      <c r="U1880">
        <v>53</v>
      </c>
      <c r="V1880">
        <v>213.4624</v>
      </c>
      <c r="W1880">
        <v>220.43</v>
      </c>
      <c r="X1880">
        <v>0</v>
      </c>
      <c r="Y1880">
        <v>0</v>
      </c>
      <c r="Z1880">
        <v>11313.51</v>
      </c>
      <c r="AA1880">
        <v>11533.94</v>
      </c>
      <c r="AB1880" s="12" t="s">
        <v>691</v>
      </c>
      <c r="AC1880">
        <v>213.4624</v>
      </c>
      <c r="AD1880">
        <v>1</v>
      </c>
      <c r="AE1880">
        <v>1</v>
      </c>
      <c r="AF1880">
        <v>0</v>
      </c>
      <c r="AG1880">
        <v>11313.51</v>
      </c>
      <c r="AH1880">
        <v>53</v>
      </c>
      <c r="AI1880">
        <v>52</v>
      </c>
      <c r="AJ1880">
        <v>1</v>
      </c>
      <c r="AK1880">
        <v>1</v>
      </c>
      <c r="AL1880">
        <v>1</v>
      </c>
      <c r="AM1880">
        <v>98.11</v>
      </c>
      <c r="AN1880">
        <v>221.8065</v>
      </c>
      <c r="AO1880">
        <v>213.46</v>
      </c>
      <c r="AP1880" s="13">
        <v>45351</v>
      </c>
      <c r="AQ1880">
        <v>10</v>
      </c>
      <c r="AR1880">
        <v>0</v>
      </c>
    </row>
    <row r="1881" spans="1:44" x14ac:dyDescent="0.35">
      <c r="A1881" s="12" t="s">
        <v>2584</v>
      </c>
      <c r="B1881" s="12" t="s">
        <v>1034</v>
      </c>
      <c r="C1881" s="12" t="s">
        <v>1035</v>
      </c>
      <c r="D1881" s="12" t="s">
        <v>64</v>
      </c>
      <c r="E1881" s="12" t="s">
        <v>104</v>
      </c>
      <c r="F1881">
        <v>2</v>
      </c>
      <c r="G1881">
        <v>0</v>
      </c>
      <c r="H1881">
        <v>0</v>
      </c>
      <c r="I1881" s="12" t="s">
        <v>157</v>
      </c>
      <c r="J1881" s="12" t="s">
        <v>158</v>
      </c>
      <c r="K1881" s="12" t="s">
        <v>117</v>
      </c>
      <c r="L1881" s="12" t="s">
        <v>96</v>
      </c>
      <c r="M1881">
        <v>4.72</v>
      </c>
      <c r="N1881" s="12" t="s">
        <v>70</v>
      </c>
      <c r="O1881" s="12" t="s">
        <v>71</v>
      </c>
      <c r="P1881" s="12" t="s">
        <v>72</v>
      </c>
      <c r="Q1881" s="13">
        <v>45302</v>
      </c>
      <c r="R1881" s="13">
        <v>45330</v>
      </c>
      <c r="S1881">
        <v>2024</v>
      </c>
      <c r="T1881" s="12" t="s">
        <v>2513</v>
      </c>
      <c r="U1881">
        <v>920</v>
      </c>
      <c r="V1881">
        <v>9.9979999999999993</v>
      </c>
      <c r="W1881">
        <v>201.78</v>
      </c>
      <c r="X1881">
        <v>0</v>
      </c>
      <c r="Y1881">
        <v>0</v>
      </c>
      <c r="Z1881">
        <v>9198.16</v>
      </c>
      <c r="AA1881">
        <v>9399.94</v>
      </c>
      <c r="AB1881" s="12" t="s">
        <v>1036</v>
      </c>
      <c r="AC1881">
        <v>9.9979999999999993</v>
      </c>
      <c r="AD1881">
        <v>1</v>
      </c>
      <c r="AE1881">
        <v>1</v>
      </c>
      <c r="AF1881">
        <v>0</v>
      </c>
      <c r="AG1881">
        <v>9198.16</v>
      </c>
      <c r="AH1881">
        <v>920</v>
      </c>
      <c r="AI1881">
        <v>917</v>
      </c>
      <c r="AJ1881">
        <v>3</v>
      </c>
      <c r="AK1881">
        <v>1</v>
      </c>
      <c r="AL1881">
        <v>1</v>
      </c>
      <c r="AM1881">
        <v>99.67</v>
      </c>
      <c r="AN1881">
        <v>10.2508</v>
      </c>
      <c r="AO1881">
        <v>29.99</v>
      </c>
      <c r="AP1881" s="13">
        <v>45328</v>
      </c>
      <c r="AQ1881">
        <v>-2</v>
      </c>
      <c r="AR1881">
        <v>1</v>
      </c>
    </row>
    <row r="1882" spans="1:44" x14ac:dyDescent="0.35">
      <c r="A1882" s="12" t="s">
        <v>2585</v>
      </c>
      <c r="B1882" s="12" t="s">
        <v>609</v>
      </c>
      <c r="C1882" s="12" t="s">
        <v>610</v>
      </c>
      <c r="D1882" s="12" t="s">
        <v>64</v>
      </c>
      <c r="E1882" s="12" t="s">
        <v>104</v>
      </c>
      <c r="F1882">
        <v>1</v>
      </c>
      <c r="G1882">
        <v>0</v>
      </c>
      <c r="H1882">
        <v>1</v>
      </c>
      <c r="I1882" s="12" t="s">
        <v>227</v>
      </c>
      <c r="J1882" s="12" t="s">
        <v>228</v>
      </c>
      <c r="K1882" s="12" t="s">
        <v>89</v>
      </c>
      <c r="L1882" s="12" t="s">
        <v>96</v>
      </c>
      <c r="M1882">
        <v>9.15</v>
      </c>
      <c r="N1882" s="12" t="s">
        <v>97</v>
      </c>
      <c r="O1882" s="12" t="s">
        <v>98</v>
      </c>
      <c r="P1882" s="12" t="s">
        <v>72</v>
      </c>
      <c r="Q1882" s="13">
        <v>45302</v>
      </c>
      <c r="R1882" s="13">
        <v>45322</v>
      </c>
      <c r="S1882">
        <v>2024</v>
      </c>
      <c r="T1882" s="12" t="s">
        <v>2513</v>
      </c>
      <c r="U1882">
        <v>508</v>
      </c>
      <c r="V1882">
        <v>20.713699999999999</v>
      </c>
      <c r="W1882">
        <v>224.04</v>
      </c>
      <c r="X1882">
        <v>0</v>
      </c>
      <c r="Y1882">
        <v>0</v>
      </c>
      <c r="Z1882">
        <v>10522.56</v>
      </c>
      <c r="AA1882">
        <v>10746.6</v>
      </c>
      <c r="AB1882" s="12" t="s">
        <v>611</v>
      </c>
      <c r="AC1882">
        <v>20.713699999999999</v>
      </c>
      <c r="AD1882">
        <v>1</v>
      </c>
      <c r="AE1882">
        <v>1</v>
      </c>
      <c r="AF1882">
        <v>0</v>
      </c>
      <c r="AG1882">
        <v>10522.56</v>
      </c>
      <c r="AH1882">
        <v>508</v>
      </c>
      <c r="AI1882">
        <v>506</v>
      </c>
      <c r="AJ1882">
        <v>2</v>
      </c>
      <c r="AK1882">
        <v>1</v>
      </c>
      <c r="AL1882">
        <v>1</v>
      </c>
      <c r="AM1882">
        <v>99.61</v>
      </c>
      <c r="AN1882">
        <v>21.238299999999999</v>
      </c>
      <c r="AO1882">
        <v>41.43</v>
      </c>
      <c r="AP1882" s="13">
        <v>45321</v>
      </c>
      <c r="AQ1882">
        <v>-1</v>
      </c>
      <c r="AR1882">
        <v>1</v>
      </c>
    </row>
    <row r="1883" spans="1:44" x14ac:dyDescent="0.35">
      <c r="A1883" s="12" t="s">
        <v>2586</v>
      </c>
      <c r="B1883" s="12" t="s">
        <v>646</v>
      </c>
      <c r="C1883" s="12" t="s">
        <v>647</v>
      </c>
      <c r="D1883" s="12" t="s">
        <v>175</v>
      </c>
      <c r="E1883" s="12" t="s">
        <v>104</v>
      </c>
      <c r="F1883">
        <v>3</v>
      </c>
      <c r="G1883">
        <v>1</v>
      </c>
      <c r="H1883">
        <v>0</v>
      </c>
      <c r="I1883" s="12" t="s">
        <v>227</v>
      </c>
      <c r="J1883" s="12" t="s">
        <v>228</v>
      </c>
      <c r="K1883" s="12" t="s">
        <v>89</v>
      </c>
      <c r="L1883" s="12" t="s">
        <v>96</v>
      </c>
      <c r="M1883">
        <v>9.15</v>
      </c>
      <c r="N1883" s="12" t="s">
        <v>107</v>
      </c>
      <c r="O1883" s="12" t="s">
        <v>108</v>
      </c>
      <c r="P1883" s="12" t="s">
        <v>109</v>
      </c>
      <c r="Q1883" s="13">
        <v>45302</v>
      </c>
      <c r="R1883" s="13">
        <v>45321</v>
      </c>
      <c r="S1883">
        <v>2024</v>
      </c>
      <c r="T1883" s="12" t="s">
        <v>2513</v>
      </c>
      <c r="U1883">
        <v>65</v>
      </c>
      <c r="V1883">
        <v>216.21350000000001</v>
      </c>
      <c r="W1883">
        <v>115.75</v>
      </c>
      <c r="X1883">
        <v>0</v>
      </c>
      <c r="Y1883">
        <v>0</v>
      </c>
      <c r="Z1883">
        <v>14053.88</v>
      </c>
      <c r="AA1883">
        <v>14169.63</v>
      </c>
      <c r="AB1883" s="12" t="s">
        <v>781</v>
      </c>
      <c r="AC1883">
        <v>216.21350000000001</v>
      </c>
      <c r="AD1883">
        <v>1</v>
      </c>
      <c r="AE1883">
        <v>1</v>
      </c>
      <c r="AF1883">
        <v>0</v>
      </c>
      <c r="AG1883">
        <v>14053.88</v>
      </c>
      <c r="AH1883">
        <v>65</v>
      </c>
      <c r="AI1883">
        <v>65</v>
      </c>
      <c r="AJ1883">
        <v>0</v>
      </c>
      <c r="AK1883">
        <v>1</v>
      </c>
      <c r="AL1883">
        <v>1</v>
      </c>
      <c r="AM1883">
        <v>100</v>
      </c>
      <c r="AN1883">
        <v>217.99430000000001</v>
      </c>
      <c r="AO1883">
        <v>0</v>
      </c>
      <c r="AP1883" s="13">
        <v>45319</v>
      </c>
      <c r="AQ1883">
        <v>-2</v>
      </c>
      <c r="AR1883">
        <v>1</v>
      </c>
    </row>
    <row r="1884" spans="1:44" x14ac:dyDescent="0.35">
      <c r="A1884" s="12" t="s">
        <v>2587</v>
      </c>
      <c r="B1884" s="12" t="s">
        <v>284</v>
      </c>
      <c r="C1884" s="12" t="s">
        <v>285</v>
      </c>
      <c r="D1884" s="12" t="s">
        <v>269</v>
      </c>
      <c r="E1884" s="12" t="s">
        <v>104</v>
      </c>
      <c r="F1884">
        <v>3</v>
      </c>
      <c r="G1884">
        <v>1</v>
      </c>
      <c r="H1884">
        <v>0</v>
      </c>
      <c r="I1884" s="12" t="s">
        <v>199</v>
      </c>
      <c r="J1884" s="12" t="s">
        <v>200</v>
      </c>
      <c r="K1884" s="12" t="s">
        <v>68</v>
      </c>
      <c r="L1884" s="12" t="s">
        <v>96</v>
      </c>
      <c r="M1884">
        <v>9.4700000000000006</v>
      </c>
      <c r="N1884" s="12" t="s">
        <v>159</v>
      </c>
      <c r="O1884" s="12" t="s">
        <v>160</v>
      </c>
      <c r="P1884" s="12" t="s">
        <v>137</v>
      </c>
      <c r="Q1884" s="13">
        <v>45302</v>
      </c>
      <c r="R1884" s="13">
        <v>45318</v>
      </c>
      <c r="S1884">
        <v>2024</v>
      </c>
      <c r="T1884" s="12" t="s">
        <v>2513</v>
      </c>
      <c r="U1884">
        <v>46</v>
      </c>
      <c r="V1884">
        <v>397.87</v>
      </c>
      <c r="W1884">
        <v>448.51</v>
      </c>
      <c r="X1884">
        <v>0</v>
      </c>
      <c r="Y1884">
        <v>0</v>
      </c>
      <c r="Z1884">
        <v>18302.02</v>
      </c>
      <c r="AA1884">
        <v>18750.53</v>
      </c>
      <c r="AB1884" s="12" t="s">
        <v>286</v>
      </c>
      <c r="AC1884">
        <v>397.87</v>
      </c>
      <c r="AD1884">
        <v>1</v>
      </c>
      <c r="AE1884">
        <v>1</v>
      </c>
      <c r="AF1884">
        <v>0</v>
      </c>
      <c r="AG1884">
        <v>18302.02</v>
      </c>
      <c r="AH1884">
        <v>46</v>
      </c>
      <c r="AI1884">
        <v>45</v>
      </c>
      <c r="AJ1884">
        <v>1</v>
      </c>
      <c r="AK1884">
        <v>1</v>
      </c>
      <c r="AL1884">
        <v>1</v>
      </c>
      <c r="AM1884">
        <v>97.83</v>
      </c>
      <c r="AN1884">
        <v>416.67840000000001</v>
      </c>
      <c r="AO1884">
        <v>397.87</v>
      </c>
      <c r="AP1884" s="13">
        <v>45322</v>
      </c>
      <c r="AQ1884">
        <v>4</v>
      </c>
      <c r="AR1884">
        <v>0</v>
      </c>
    </row>
    <row r="1885" spans="1:44" x14ac:dyDescent="0.35">
      <c r="A1885" s="12" t="s">
        <v>2588</v>
      </c>
      <c r="B1885" s="12" t="s">
        <v>755</v>
      </c>
      <c r="C1885" s="12" t="s">
        <v>756</v>
      </c>
      <c r="D1885" s="12" t="s">
        <v>78</v>
      </c>
      <c r="E1885" s="12" t="s">
        <v>65</v>
      </c>
      <c r="F1885">
        <v>2</v>
      </c>
      <c r="G1885">
        <v>2</v>
      </c>
      <c r="H1885">
        <v>0</v>
      </c>
      <c r="I1885" s="12" t="s">
        <v>359</v>
      </c>
      <c r="J1885" s="12" t="s">
        <v>360</v>
      </c>
      <c r="K1885" s="12" t="s">
        <v>133</v>
      </c>
      <c r="L1885" s="12" t="s">
        <v>82</v>
      </c>
      <c r="M1885">
        <v>12.65</v>
      </c>
      <c r="N1885" s="12" t="s">
        <v>97</v>
      </c>
      <c r="O1885" s="12" t="s">
        <v>98</v>
      </c>
      <c r="P1885" s="12" t="s">
        <v>72</v>
      </c>
      <c r="Q1885" s="13">
        <v>45302</v>
      </c>
      <c r="R1885" s="13">
        <v>45338</v>
      </c>
      <c r="S1885">
        <v>2024</v>
      </c>
      <c r="T1885" s="12" t="s">
        <v>2513</v>
      </c>
      <c r="U1885">
        <v>263</v>
      </c>
      <c r="V1885">
        <v>45.472499999999997</v>
      </c>
      <c r="W1885">
        <v>138.68</v>
      </c>
      <c r="X1885">
        <v>361.28</v>
      </c>
      <c r="Y1885">
        <v>1</v>
      </c>
      <c r="Z1885">
        <v>11959.27</v>
      </c>
      <c r="AA1885">
        <v>12459.23</v>
      </c>
      <c r="AB1885" s="12" t="s">
        <v>759</v>
      </c>
      <c r="AC1885">
        <v>45.472499999999997</v>
      </c>
      <c r="AD1885">
        <v>1</v>
      </c>
      <c r="AE1885">
        <v>1</v>
      </c>
      <c r="AF1885">
        <v>0</v>
      </c>
      <c r="AG1885">
        <v>11959.27</v>
      </c>
      <c r="AH1885">
        <v>263</v>
      </c>
      <c r="AI1885">
        <v>261</v>
      </c>
      <c r="AJ1885">
        <v>2</v>
      </c>
      <c r="AK1885">
        <v>1</v>
      </c>
      <c r="AL1885">
        <v>1</v>
      </c>
      <c r="AM1885">
        <v>99.24</v>
      </c>
      <c r="AN1885">
        <v>47.736499999999999</v>
      </c>
      <c r="AO1885">
        <v>90.95</v>
      </c>
      <c r="AP1885" s="13">
        <v>45337</v>
      </c>
      <c r="AQ1885">
        <v>-1</v>
      </c>
      <c r="AR1885">
        <v>1</v>
      </c>
    </row>
    <row r="1886" spans="1:44" x14ac:dyDescent="0.35">
      <c r="A1886" s="12" t="s">
        <v>2589</v>
      </c>
      <c r="B1886" s="12" t="s">
        <v>207</v>
      </c>
      <c r="C1886" s="12" t="s">
        <v>208</v>
      </c>
      <c r="D1886" s="12" t="s">
        <v>78</v>
      </c>
      <c r="E1886" s="12" t="s">
        <v>65</v>
      </c>
      <c r="F1886">
        <v>2</v>
      </c>
      <c r="G1886">
        <v>3</v>
      </c>
      <c r="H1886">
        <v>0</v>
      </c>
      <c r="I1886" s="12" t="s">
        <v>209</v>
      </c>
      <c r="J1886" s="12" t="s">
        <v>210</v>
      </c>
      <c r="K1886" s="12" t="s">
        <v>133</v>
      </c>
      <c r="L1886" s="12" t="s">
        <v>96</v>
      </c>
      <c r="M1886">
        <v>7.82</v>
      </c>
      <c r="N1886" s="12" t="s">
        <v>70</v>
      </c>
      <c r="O1886" s="12" t="s">
        <v>71</v>
      </c>
      <c r="P1886" s="12" t="s">
        <v>72</v>
      </c>
      <c r="Q1886" s="13">
        <v>45302</v>
      </c>
      <c r="R1886" s="13">
        <v>45340</v>
      </c>
      <c r="S1886">
        <v>2024</v>
      </c>
      <c r="T1886" s="12" t="s">
        <v>2513</v>
      </c>
      <c r="U1886">
        <v>293</v>
      </c>
      <c r="V1886">
        <v>152.13079999999999</v>
      </c>
      <c r="W1886">
        <v>851.94</v>
      </c>
      <c r="X1886">
        <v>0</v>
      </c>
      <c r="Y1886">
        <v>0</v>
      </c>
      <c r="Z1886">
        <v>44574.32</v>
      </c>
      <c r="AA1886">
        <v>45426.26</v>
      </c>
      <c r="AB1886" s="12" t="s">
        <v>211</v>
      </c>
      <c r="AC1886">
        <v>152.13079999999999</v>
      </c>
      <c r="AD1886">
        <v>1</v>
      </c>
      <c r="AE1886">
        <v>1</v>
      </c>
      <c r="AF1886">
        <v>0</v>
      </c>
      <c r="AG1886">
        <v>44574.32</v>
      </c>
      <c r="AH1886">
        <v>293</v>
      </c>
      <c r="AI1886">
        <v>289</v>
      </c>
      <c r="AJ1886">
        <v>4</v>
      </c>
      <c r="AK1886">
        <v>1</v>
      </c>
      <c r="AL1886">
        <v>1</v>
      </c>
      <c r="AM1886">
        <v>98.63</v>
      </c>
      <c r="AN1886">
        <v>157.18430000000001</v>
      </c>
      <c r="AO1886">
        <v>608.52</v>
      </c>
      <c r="AP1886" s="13">
        <v>45340</v>
      </c>
      <c r="AQ1886">
        <v>0</v>
      </c>
      <c r="AR1886">
        <v>1</v>
      </c>
    </row>
    <row r="1887" spans="1:44" x14ac:dyDescent="0.35">
      <c r="A1887" s="12" t="s">
        <v>2590</v>
      </c>
      <c r="B1887" s="12" t="s">
        <v>357</v>
      </c>
      <c r="C1887" s="12" t="s">
        <v>358</v>
      </c>
      <c r="D1887" s="12" t="s">
        <v>103</v>
      </c>
      <c r="E1887" s="12" t="s">
        <v>104</v>
      </c>
      <c r="F1887">
        <v>3</v>
      </c>
      <c r="G1887">
        <v>1</v>
      </c>
      <c r="H1887">
        <v>0</v>
      </c>
      <c r="I1887" s="12" t="s">
        <v>105</v>
      </c>
      <c r="J1887" s="12" t="s">
        <v>106</v>
      </c>
      <c r="K1887" s="12" t="s">
        <v>81</v>
      </c>
      <c r="L1887" s="12" t="s">
        <v>96</v>
      </c>
      <c r="M1887">
        <v>5.01</v>
      </c>
      <c r="N1887" s="12" t="s">
        <v>107</v>
      </c>
      <c r="O1887" s="12" t="s">
        <v>108</v>
      </c>
      <c r="P1887" s="12" t="s">
        <v>109</v>
      </c>
      <c r="Q1887" s="13">
        <v>45302</v>
      </c>
      <c r="R1887" s="13">
        <v>45323</v>
      </c>
      <c r="S1887">
        <v>2024</v>
      </c>
      <c r="T1887" s="12" t="s">
        <v>2513</v>
      </c>
      <c r="U1887">
        <v>82</v>
      </c>
      <c r="V1887">
        <v>106.6647</v>
      </c>
      <c r="W1887">
        <v>79.760000000000005</v>
      </c>
      <c r="X1887">
        <v>0</v>
      </c>
      <c r="Y1887">
        <v>0</v>
      </c>
      <c r="Z1887">
        <v>8746.51</v>
      </c>
      <c r="AA1887">
        <v>8826.27</v>
      </c>
      <c r="AB1887" s="12" t="s">
        <v>2591</v>
      </c>
      <c r="AC1887">
        <v>106.6647</v>
      </c>
      <c r="AD1887">
        <v>1</v>
      </c>
      <c r="AE1887">
        <v>1</v>
      </c>
      <c r="AF1887">
        <v>0</v>
      </c>
      <c r="AG1887">
        <v>8746.51</v>
      </c>
      <c r="AH1887">
        <v>82</v>
      </c>
      <c r="AI1887">
        <v>81</v>
      </c>
      <c r="AJ1887">
        <v>1</v>
      </c>
      <c r="AK1887">
        <v>1</v>
      </c>
      <c r="AL1887">
        <v>1</v>
      </c>
      <c r="AM1887">
        <v>98.78</v>
      </c>
      <c r="AN1887">
        <v>108.9662</v>
      </c>
      <c r="AO1887">
        <v>106.66</v>
      </c>
      <c r="AP1887" s="13">
        <v>45323</v>
      </c>
      <c r="AQ1887">
        <v>0</v>
      </c>
      <c r="AR1887">
        <v>1</v>
      </c>
    </row>
    <row r="1888" spans="1:44" x14ac:dyDescent="0.35">
      <c r="A1888" s="12" t="s">
        <v>2592</v>
      </c>
      <c r="B1888" s="12" t="s">
        <v>661</v>
      </c>
      <c r="C1888" s="12" t="s">
        <v>662</v>
      </c>
      <c r="D1888" s="12" t="s">
        <v>175</v>
      </c>
      <c r="E1888" s="12" t="s">
        <v>104</v>
      </c>
      <c r="F1888">
        <v>1</v>
      </c>
      <c r="G1888">
        <v>0</v>
      </c>
      <c r="H1888">
        <v>1</v>
      </c>
      <c r="I1888" s="12" t="s">
        <v>183</v>
      </c>
      <c r="J1888" s="12" t="s">
        <v>184</v>
      </c>
      <c r="K1888" s="12" t="s">
        <v>133</v>
      </c>
      <c r="L1888" s="12" t="s">
        <v>82</v>
      </c>
      <c r="M1888">
        <v>8.6199999999999992</v>
      </c>
      <c r="N1888" s="12" t="s">
        <v>107</v>
      </c>
      <c r="O1888" s="12" t="s">
        <v>108</v>
      </c>
      <c r="P1888" s="12" t="s">
        <v>109</v>
      </c>
      <c r="Q1888" s="13">
        <v>45302</v>
      </c>
      <c r="R1888" s="13">
        <v>45327</v>
      </c>
      <c r="S1888">
        <v>2024</v>
      </c>
      <c r="T1888" s="12" t="s">
        <v>2513</v>
      </c>
      <c r="U1888">
        <v>118</v>
      </c>
      <c r="V1888">
        <v>194.86689999999999</v>
      </c>
      <c r="W1888">
        <v>376.09</v>
      </c>
      <c r="X1888">
        <v>0</v>
      </c>
      <c r="Y1888">
        <v>0</v>
      </c>
      <c r="Z1888">
        <v>22994.29</v>
      </c>
      <c r="AA1888">
        <v>23370.38</v>
      </c>
      <c r="AB1888" s="12" t="s">
        <v>663</v>
      </c>
      <c r="AC1888">
        <v>201.68719999999999</v>
      </c>
      <c r="AD1888">
        <v>2</v>
      </c>
      <c r="AE1888">
        <v>1</v>
      </c>
      <c r="AF1888">
        <v>-804.8</v>
      </c>
      <c r="AG1888">
        <v>23799.09</v>
      </c>
      <c r="AH1888">
        <v>118</v>
      </c>
      <c r="AI1888">
        <v>116</v>
      </c>
      <c r="AJ1888">
        <v>2</v>
      </c>
      <c r="AK1888">
        <v>1</v>
      </c>
      <c r="AL1888">
        <v>1</v>
      </c>
      <c r="AM1888">
        <v>98.31</v>
      </c>
      <c r="AN1888">
        <v>201.46879999999999</v>
      </c>
      <c r="AO1888">
        <v>389.73</v>
      </c>
      <c r="AP1888" s="13">
        <v>45327</v>
      </c>
      <c r="AQ1888">
        <v>0</v>
      </c>
      <c r="AR1888">
        <v>1</v>
      </c>
    </row>
    <row r="1889" spans="1:44" x14ac:dyDescent="0.35">
      <c r="A1889" s="12" t="s">
        <v>2593</v>
      </c>
      <c r="B1889" s="12" t="s">
        <v>193</v>
      </c>
      <c r="C1889" s="12" t="s">
        <v>194</v>
      </c>
      <c r="D1889" s="12" t="s">
        <v>114</v>
      </c>
      <c r="E1889" s="12" t="s">
        <v>65</v>
      </c>
      <c r="F1889">
        <v>3</v>
      </c>
      <c r="G1889">
        <v>4</v>
      </c>
      <c r="H1889">
        <v>0</v>
      </c>
      <c r="I1889" s="12" t="s">
        <v>195</v>
      </c>
      <c r="J1889" s="12" t="s">
        <v>196</v>
      </c>
      <c r="K1889" s="12" t="s">
        <v>117</v>
      </c>
      <c r="L1889" s="12" t="s">
        <v>134</v>
      </c>
      <c r="M1889">
        <v>4.7699999999999996</v>
      </c>
      <c r="N1889" s="12" t="s">
        <v>70</v>
      </c>
      <c r="O1889" s="12" t="s">
        <v>71</v>
      </c>
      <c r="P1889" s="12" t="s">
        <v>72</v>
      </c>
      <c r="Q1889" s="13">
        <v>45302</v>
      </c>
      <c r="R1889" s="13">
        <v>45325</v>
      </c>
      <c r="S1889">
        <v>2024</v>
      </c>
      <c r="T1889" s="12" t="s">
        <v>2513</v>
      </c>
      <c r="U1889">
        <v>31</v>
      </c>
      <c r="V1889">
        <v>107.28270000000001</v>
      </c>
      <c r="W1889">
        <v>63.73</v>
      </c>
      <c r="X1889">
        <v>0</v>
      </c>
      <c r="Y1889">
        <v>0</v>
      </c>
      <c r="Z1889">
        <v>3325.76</v>
      </c>
      <c r="AA1889">
        <v>3389.49</v>
      </c>
      <c r="AB1889" s="12" t="s">
        <v>197</v>
      </c>
      <c r="AC1889">
        <v>107.28270000000001</v>
      </c>
      <c r="AD1889">
        <v>1</v>
      </c>
      <c r="AE1889">
        <v>1</v>
      </c>
      <c r="AF1889">
        <v>0</v>
      </c>
      <c r="AG1889">
        <v>3325.76</v>
      </c>
      <c r="AH1889">
        <v>31</v>
      </c>
      <c r="AI1889">
        <v>31</v>
      </c>
      <c r="AJ1889">
        <v>0</v>
      </c>
      <c r="AK1889">
        <v>1</v>
      </c>
      <c r="AL1889">
        <v>1</v>
      </c>
      <c r="AM1889">
        <v>100</v>
      </c>
      <c r="AN1889">
        <v>109.3385</v>
      </c>
      <c r="AO1889">
        <v>0</v>
      </c>
      <c r="AP1889" s="13">
        <v>45325</v>
      </c>
      <c r="AQ1889">
        <v>0</v>
      </c>
      <c r="AR1889">
        <v>1</v>
      </c>
    </row>
    <row r="1890" spans="1:44" x14ac:dyDescent="0.35">
      <c r="A1890" s="12" t="s">
        <v>2594</v>
      </c>
      <c r="B1890" s="12" t="s">
        <v>740</v>
      </c>
      <c r="C1890" s="12" t="s">
        <v>741</v>
      </c>
      <c r="D1890" s="12" t="s">
        <v>64</v>
      </c>
      <c r="E1890" s="12" t="s">
        <v>104</v>
      </c>
      <c r="F1890">
        <v>2</v>
      </c>
      <c r="G1890">
        <v>0</v>
      </c>
      <c r="H1890">
        <v>0</v>
      </c>
      <c r="I1890" s="12" t="s">
        <v>183</v>
      </c>
      <c r="J1890" s="12" t="s">
        <v>184</v>
      </c>
      <c r="K1890" s="12" t="s">
        <v>133</v>
      </c>
      <c r="L1890" s="12" t="s">
        <v>82</v>
      </c>
      <c r="M1890">
        <v>8.6199999999999992</v>
      </c>
      <c r="N1890" s="12" t="s">
        <v>70</v>
      </c>
      <c r="O1890" s="12" t="s">
        <v>71</v>
      </c>
      <c r="P1890" s="12" t="s">
        <v>72</v>
      </c>
      <c r="Q1890" s="13">
        <v>45302</v>
      </c>
      <c r="R1890" s="13">
        <v>45318</v>
      </c>
      <c r="S1890">
        <v>2024</v>
      </c>
      <c r="T1890" s="12" t="s">
        <v>2513</v>
      </c>
      <c r="U1890">
        <v>323</v>
      </c>
      <c r="V1890">
        <v>41.2042</v>
      </c>
      <c r="W1890">
        <v>315.77999999999997</v>
      </c>
      <c r="X1890">
        <v>0</v>
      </c>
      <c r="Y1890">
        <v>0</v>
      </c>
      <c r="Z1890">
        <v>13308.96</v>
      </c>
      <c r="AA1890">
        <v>13624.74</v>
      </c>
      <c r="AB1890" s="12" t="s">
        <v>742</v>
      </c>
      <c r="AC1890">
        <v>41.2042</v>
      </c>
      <c r="AD1890">
        <v>1</v>
      </c>
      <c r="AE1890">
        <v>1</v>
      </c>
      <c r="AF1890">
        <v>0</v>
      </c>
      <c r="AG1890">
        <v>13308.96</v>
      </c>
      <c r="AH1890">
        <v>323</v>
      </c>
      <c r="AI1890">
        <v>321</v>
      </c>
      <c r="AJ1890">
        <v>2</v>
      </c>
      <c r="AK1890">
        <v>1</v>
      </c>
      <c r="AL1890">
        <v>1</v>
      </c>
      <c r="AM1890">
        <v>99.38</v>
      </c>
      <c r="AN1890">
        <v>42.444699999999997</v>
      </c>
      <c r="AO1890">
        <v>82.41</v>
      </c>
      <c r="AP1890" s="13">
        <v>45325</v>
      </c>
      <c r="AQ1890">
        <v>7</v>
      </c>
      <c r="AR1890">
        <v>0</v>
      </c>
    </row>
    <row r="1891" spans="1:44" x14ac:dyDescent="0.35">
      <c r="A1891" s="12" t="s">
        <v>2595</v>
      </c>
      <c r="B1891" s="12" t="s">
        <v>163</v>
      </c>
      <c r="C1891" s="12" t="s">
        <v>164</v>
      </c>
      <c r="D1891" s="12" t="s">
        <v>64</v>
      </c>
      <c r="E1891" s="12" t="s">
        <v>104</v>
      </c>
      <c r="F1891">
        <v>2</v>
      </c>
      <c r="G1891">
        <v>0</v>
      </c>
      <c r="H1891">
        <v>0</v>
      </c>
      <c r="I1891" s="12" t="s">
        <v>79</v>
      </c>
      <c r="J1891" s="12" t="s">
        <v>80</v>
      </c>
      <c r="K1891" s="12" t="s">
        <v>81</v>
      </c>
      <c r="L1891" s="12" t="s">
        <v>82</v>
      </c>
      <c r="M1891">
        <v>12.07</v>
      </c>
      <c r="N1891" s="12" t="s">
        <v>97</v>
      </c>
      <c r="O1891" s="12" t="s">
        <v>98</v>
      </c>
      <c r="P1891" s="12" t="s">
        <v>72</v>
      </c>
      <c r="Q1891" s="13">
        <v>45303</v>
      </c>
      <c r="R1891" s="13">
        <v>45325</v>
      </c>
      <c r="S1891">
        <v>2024</v>
      </c>
      <c r="T1891" s="12" t="s">
        <v>2513</v>
      </c>
      <c r="U1891">
        <v>644</v>
      </c>
      <c r="V1891">
        <v>12.8643</v>
      </c>
      <c r="W1891">
        <v>158.19</v>
      </c>
      <c r="X1891">
        <v>0</v>
      </c>
      <c r="Y1891">
        <v>0</v>
      </c>
      <c r="Z1891">
        <v>8284.61</v>
      </c>
      <c r="AA1891">
        <v>8442.7999999999993</v>
      </c>
      <c r="AB1891" s="12" t="s">
        <v>165</v>
      </c>
      <c r="AC1891">
        <v>12.8643</v>
      </c>
      <c r="AD1891">
        <v>1</v>
      </c>
      <c r="AE1891">
        <v>1</v>
      </c>
      <c r="AF1891">
        <v>0</v>
      </c>
      <c r="AG1891">
        <v>8284.61</v>
      </c>
      <c r="AH1891">
        <v>644</v>
      </c>
      <c r="AI1891">
        <v>640</v>
      </c>
      <c r="AJ1891">
        <v>4</v>
      </c>
      <c r="AK1891">
        <v>1</v>
      </c>
      <c r="AL1891">
        <v>1</v>
      </c>
      <c r="AM1891">
        <v>99.38</v>
      </c>
      <c r="AN1891">
        <v>13.1919</v>
      </c>
      <c r="AO1891">
        <v>51.46</v>
      </c>
      <c r="AP1891" s="13">
        <v>45323</v>
      </c>
      <c r="AQ1891">
        <v>-2</v>
      </c>
      <c r="AR1891">
        <v>1</v>
      </c>
    </row>
    <row r="1892" spans="1:44" x14ac:dyDescent="0.35">
      <c r="A1892" s="12" t="s">
        <v>2596</v>
      </c>
      <c r="B1892" s="12" t="s">
        <v>412</v>
      </c>
      <c r="C1892" s="12" t="s">
        <v>413</v>
      </c>
      <c r="D1892" s="12" t="s">
        <v>269</v>
      </c>
      <c r="E1892" s="12" t="s">
        <v>65</v>
      </c>
      <c r="F1892">
        <v>1</v>
      </c>
      <c r="G1892">
        <v>2</v>
      </c>
      <c r="H1892">
        <v>1</v>
      </c>
      <c r="I1892" s="12" t="s">
        <v>233</v>
      </c>
      <c r="J1892" s="12" t="s">
        <v>234</v>
      </c>
      <c r="K1892" s="12" t="s">
        <v>125</v>
      </c>
      <c r="L1892" s="12" t="s">
        <v>96</v>
      </c>
      <c r="M1892">
        <v>3.73</v>
      </c>
      <c r="N1892" s="12" t="s">
        <v>159</v>
      </c>
      <c r="O1892" s="12" t="s">
        <v>160</v>
      </c>
      <c r="P1892" s="12" t="s">
        <v>137</v>
      </c>
      <c r="Q1892" s="13">
        <v>45303</v>
      </c>
      <c r="R1892" s="13">
        <v>45334</v>
      </c>
      <c r="S1892">
        <v>2024</v>
      </c>
      <c r="T1892" s="12" t="s">
        <v>2513</v>
      </c>
      <c r="U1892">
        <v>88</v>
      </c>
      <c r="V1892">
        <v>104.4832</v>
      </c>
      <c r="W1892">
        <v>92.33</v>
      </c>
      <c r="X1892">
        <v>0</v>
      </c>
      <c r="Y1892">
        <v>0</v>
      </c>
      <c r="Z1892">
        <v>9194.52</v>
      </c>
      <c r="AA1892">
        <v>9286.85</v>
      </c>
      <c r="AB1892" s="12" t="s">
        <v>414</v>
      </c>
      <c r="AC1892">
        <v>104.4832</v>
      </c>
      <c r="AD1892">
        <v>1</v>
      </c>
      <c r="AE1892">
        <v>1</v>
      </c>
      <c r="AF1892">
        <v>0</v>
      </c>
      <c r="AG1892">
        <v>9194.52</v>
      </c>
      <c r="AH1892">
        <v>88</v>
      </c>
      <c r="AI1892">
        <v>87</v>
      </c>
      <c r="AJ1892">
        <v>1</v>
      </c>
      <c r="AK1892">
        <v>1</v>
      </c>
      <c r="AL1892">
        <v>1</v>
      </c>
      <c r="AM1892">
        <v>98.86</v>
      </c>
      <c r="AN1892">
        <v>106.7454</v>
      </c>
      <c r="AO1892">
        <v>104.48</v>
      </c>
      <c r="AP1892" s="13">
        <v>45334</v>
      </c>
      <c r="AQ1892">
        <v>0</v>
      </c>
      <c r="AR1892">
        <v>1</v>
      </c>
    </row>
    <row r="1893" spans="1:44" x14ac:dyDescent="0.35">
      <c r="A1893" s="12" t="s">
        <v>2597</v>
      </c>
      <c r="B1893" s="12" t="s">
        <v>613</v>
      </c>
      <c r="C1893" s="12" t="s">
        <v>614</v>
      </c>
      <c r="D1893" s="12" t="s">
        <v>130</v>
      </c>
      <c r="E1893" s="12" t="s">
        <v>104</v>
      </c>
      <c r="F1893">
        <v>3</v>
      </c>
      <c r="G1893">
        <v>1</v>
      </c>
      <c r="H1893">
        <v>0</v>
      </c>
      <c r="I1893" s="12" t="s">
        <v>66</v>
      </c>
      <c r="J1893" s="12" t="s">
        <v>67</v>
      </c>
      <c r="K1893" s="12" t="s">
        <v>68</v>
      </c>
      <c r="L1893" s="12" t="s">
        <v>69</v>
      </c>
      <c r="M1893">
        <v>17.66</v>
      </c>
      <c r="N1893" s="12" t="s">
        <v>159</v>
      </c>
      <c r="O1893" s="12" t="s">
        <v>160</v>
      </c>
      <c r="P1893" s="12" t="s">
        <v>137</v>
      </c>
      <c r="Q1893" s="13">
        <v>45303</v>
      </c>
      <c r="R1893" s="13">
        <v>45320</v>
      </c>
      <c r="S1893">
        <v>2024</v>
      </c>
      <c r="T1893" s="12" t="s">
        <v>2513</v>
      </c>
      <c r="U1893">
        <v>53</v>
      </c>
      <c r="V1893">
        <v>195.35140000000001</v>
      </c>
      <c r="W1893">
        <v>120.08</v>
      </c>
      <c r="X1893">
        <v>0</v>
      </c>
      <c r="Y1893">
        <v>0</v>
      </c>
      <c r="Z1893">
        <v>10353.620000000001</v>
      </c>
      <c r="AA1893">
        <v>10473.700000000001</v>
      </c>
      <c r="AB1893" s="12" t="s">
        <v>615</v>
      </c>
      <c r="AC1893">
        <v>195.35140000000001</v>
      </c>
      <c r="AD1893">
        <v>1</v>
      </c>
      <c r="AE1893">
        <v>1</v>
      </c>
      <c r="AF1893">
        <v>0</v>
      </c>
      <c r="AG1893">
        <v>10353.620000000001</v>
      </c>
      <c r="AH1893">
        <v>53</v>
      </c>
      <c r="AI1893">
        <v>53</v>
      </c>
      <c r="AJ1893">
        <v>0</v>
      </c>
      <c r="AK1893">
        <v>1</v>
      </c>
      <c r="AL1893">
        <v>1</v>
      </c>
      <c r="AM1893">
        <v>100</v>
      </c>
      <c r="AN1893">
        <v>197.61709999999999</v>
      </c>
      <c r="AO1893">
        <v>0</v>
      </c>
      <c r="AP1893" s="13">
        <v>45319</v>
      </c>
      <c r="AQ1893">
        <v>-1</v>
      </c>
      <c r="AR1893">
        <v>1</v>
      </c>
    </row>
    <row r="1894" spans="1:44" x14ac:dyDescent="0.35">
      <c r="A1894" s="12" t="s">
        <v>2598</v>
      </c>
      <c r="B1894" s="12" t="s">
        <v>909</v>
      </c>
      <c r="C1894" s="12" t="s">
        <v>910</v>
      </c>
      <c r="D1894" s="12" t="s">
        <v>269</v>
      </c>
      <c r="E1894" s="12" t="s">
        <v>65</v>
      </c>
      <c r="F1894">
        <v>3</v>
      </c>
      <c r="G1894">
        <v>4</v>
      </c>
      <c r="H1894">
        <v>0</v>
      </c>
      <c r="I1894" s="12" t="s">
        <v>123</v>
      </c>
      <c r="J1894" s="12" t="s">
        <v>124</v>
      </c>
      <c r="K1894" s="12" t="s">
        <v>125</v>
      </c>
      <c r="L1894" s="12" t="s">
        <v>82</v>
      </c>
      <c r="M1894">
        <v>6.75</v>
      </c>
      <c r="N1894" s="12" t="s">
        <v>159</v>
      </c>
      <c r="O1894" s="12" t="s">
        <v>160</v>
      </c>
      <c r="P1894" s="12" t="s">
        <v>137</v>
      </c>
      <c r="Q1894" s="13">
        <v>45303</v>
      </c>
      <c r="R1894" s="13">
        <v>45333</v>
      </c>
      <c r="S1894">
        <v>2024</v>
      </c>
      <c r="T1894" s="12" t="s">
        <v>2513</v>
      </c>
      <c r="U1894">
        <v>83</v>
      </c>
      <c r="V1894">
        <v>117.54649999999999</v>
      </c>
      <c r="W1894">
        <v>199.54</v>
      </c>
      <c r="X1894">
        <v>0</v>
      </c>
      <c r="Y1894">
        <v>0</v>
      </c>
      <c r="Z1894">
        <v>9756.36</v>
      </c>
      <c r="AA1894">
        <v>9955.9</v>
      </c>
      <c r="AB1894" s="12" t="s">
        <v>201</v>
      </c>
      <c r="AD1894">
        <v>0</v>
      </c>
      <c r="AE1894">
        <v>0</v>
      </c>
      <c r="AH1894">
        <v>83</v>
      </c>
      <c r="AI1894">
        <v>82</v>
      </c>
      <c r="AJ1894">
        <v>1</v>
      </c>
      <c r="AK1894">
        <v>1</v>
      </c>
      <c r="AL1894">
        <v>1</v>
      </c>
      <c r="AM1894">
        <v>98.8</v>
      </c>
      <c r="AN1894">
        <v>121.4134</v>
      </c>
      <c r="AO1894">
        <v>117.55</v>
      </c>
      <c r="AP1894" s="13">
        <v>45331</v>
      </c>
      <c r="AQ1894">
        <v>-2</v>
      </c>
      <c r="AR1894">
        <v>1</v>
      </c>
    </row>
    <row r="1895" spans="1:44" x14ac:dyDescent="0.35">
      <c r="A1895" s="12" t="s">
        <v>2599</v>
      </c>
      <c r="B1895" s="12" t="s">
        <v>120</v>
      </c>
      <c r="C1895" s="12" t="s">
        <v>121</v>
      </c>
      <c r="D1895" s="12" t="s">
        <v>122</v>
      </c>
      <c r="E1895" s="12" t="s">
        <v>65</v>
      </c>
      <c r="F1895">
        <v>3</v>
      </c>
      <c r="G1895">
        <v>4</v>
      </c>
      <c r="H1895">
        <v>0</v>
      </c>
      <c r="I1895" s="12" t="s">
        <v>123</v>
      </c>
      <c r="J1895" s="12" t="s">
        <v>124</v>
      </c>
      <c r="K1895" s="12" t="s">
        <v>125</v>
      </c>
      <c r="L1895" s="12" t="s">
        <v>82</v>
      </c>
      <c r="M1895">
        <v>6.75</v>
      </c>
      <c r="N1895" s="12" t="s">
        <v>70</v>
      </c>
      <c r="O1895" s="12" t="s">
        <v>71</v>
      </c>
      <c r="P1895" s="12" t="s">
        <v>72</v>
      </c>
      <c r="Q1895" s="13">
        <v>45303</v>
      </c>
      <c r="R1895" s="13">
        <v>45336</v>
      </c>
      <c r="S1895">
        <v>2024</v>
      </c>
      <c r="T1895" s="12" t="s">
        <v>2513</v>
      </c>
      <c r="U1895">
        <v>1462</v>
      </c>
      <c r="V1895">
        <v>55.544699999999999</v>
      </c>
      <c r="W1895">
        <v>1340.65</v>
      </c>
      <c r="X1895">
        <v>0</v>
      </c>
      <c r="Y1895">
        <v>0</v>
      </c>
      <c r="Z1895">
        <v>81206.350000000006</v>
      </c>
      <c r="AA1895">
        <v>82547</v>
      </c>
      <c r="AB1895" s="12" t="s">
        <v>126</v>
      </c>
      <c r="AC1895">
        <v>55.544699999999999</v>
      </c>
      <c r="AD1895">
        <v>1</v>
      </c>
      <c r="AE1895">
        <v>1</v>
      </c>
      <c r="AF1895">
        <v>0</v>
      </c>
      <c r="AG1895">
        <v>81206.350000000006</v>
      </c>
      <c r="AH1895">
        <v>1462</v>
      </c>
      <c r="AI1895">
        <v>1457</v>
      </c>
      <c r="AJ1895">
        <v>5</v>
      </c>
      <c r="AK1895">
        <v>1</v>
      </c>
      <c r="AL1895">
        <v>1</v>
      </c>
      <c r="AM1895">
        <v>99.66</v>
      </c>
      <c r="AN1895">
        <v>56.655500000000004</v>
      </c>
      <c r="AO1895">
        <v>277.72000000000003</v>
      </c>
      <c r="AP1895" s="13">
        <v>45334</v>
      </c>
      <c r="AQ1895">
        <v>-2</v>
      </c>
      <c r="AR1895">
        <v>1</v>
      </c>
    </row>
    <row r="1896" spans="1:44" x14ac:dyDescent="0.35">
      <c r="A1896" s="12" t="s">
        <v>2600</v>
      </c>
      <c r="B1896" s="12" t="s">
        <v>855</v>
      </c>
      <c r="C1896" s="12" t="s">
        <v>856</v>
      </c>
      <c r="D1896" s="12" t="s">
        <v>269</v>
      </c>
      <c r="E1896" s="12" t="s">
        <v>65</v>
      </c>
      <c r="F1896">
        <v>3</v>
      </c>
      <c r="G1896">
        <v>5</v>
      </c>
      <c r="H1896">
        <v>0</v>
      </c>
      <c r="I1896" s="12" t="s">
        <v>94</v>
      </c>
      <c r="J1896" s="12" t="s">
        <v>95</v>
      </c>
      <c r="K1896" s="12" t="s">
        <v>81</v>
      </c>
      <c r="L1896" s="12" t="s">
        <v>96</v>
      </c>
      <c r="M1896">
        <v>4.8099999999999996</v>
      </c>
      <c r="N1896" s="12" t="s">
        <v>135</v>
      </c>
      <c r="O1896" s="12" t="s">
        <v>136</v>
      </c>
      <c r="P1896" s="12" t="s">
        <v>137</v>
      </c>
      <c r="Q1896" s="13">
        <v>45303</v>
      </c>
      <c r="R1896" s="13">
        <v>45333</v>
      </c>
      <c r="S1896">
        <v>2024</v>
      </c>
      <c r="T1896" s="12" t="s">
        <v>2513</v>
      </c>
      <c r="U1896">
        <v>81</v>
      </c>
      <c r="V1896">
        <v>493.6902</v>
      </c>
      <c r="W1896">
        <v>501.26</v>
      </c>
      <c r="X1896">
        <v>0</v>
      </c>
      <c r="Y1896">
        <v>0</v>
      </c>
      <c r="Z1896">
        <v>39988.910000000003</v>
      </c>
      <c r="AA1896">
        <v>40490.17</v>
      </c>
      <c r="AB1896" s="12" t="s">
        <v>857</v>
      </c>
      <c r="AC1896">
        <v>493.6902</v>
      </c>
      <c r="AD1896">
        <v>1</v>
      </c>
      <c r="AE1896">
        <v>1</v>
      </c>
      <c r="AF1896">
        <v>0</v>
      </c>
      <c r="AG1896">
        <v>39988.910000000003</v>
      </c>
      <c r="AH1896">
        <v>81</v>
      </c>
      <c r="AI1896">
        <v>80</v>
      </c>
      <c r="AJ1896">
        <v>1</v>
      </c>
      <c r="AK1896">
        <v>1</v>
      </c>
      <c r="AL1896">
        <v>1</v>
      </c>
      <c r="AM1896">
        <v>98.77</v>
      </c>
      <c r="AN1896">
        <v>506.12709999999998</v>
      </c>
      <c r="AO1896">
        <v>493.69</v>
      </c>
      <c r="AP1896" s="13">
        <v>45337</v>
      </c>
      <c r="AQ1896">
        <v>4</v>
      </c>
      <c r="AR1896">
        <v>0</v>
      </c>
    </row>
    <row r="1897" spans="1:44" x14ac:dyDescent="0.35">
      <c r="A1897" s="12" t="s">
        <v>2601</v>
      </c>
      <c r="B1897" s="12" t="s">
        <v>1166</v>
      </c>
      <c r="C1897" s="12" t="s">
        <v>1167</v>
      </c>
      <c r="D1897" s="12" t="s">
        <v>175</v>
      </c>
      <c r="E1897" s="12" t="s">
        <v>65</v>
      </c>
      <c r="F1897">
        <v>3</v>
      </c>
      <c r="G1897">
        <v>5</v>
      </c>
      <c r="H1897">
        <v>0</v>
      </c>
      <c r="I1897" s="12" t="s">
        <v>105</v>
      </c>
      <c r="J1897" s="12" t="s">
        <v>106</v>
      </c>
      <c r="K1897" s="12" t="s">
        <v>81</v>
      </c>
      <c r="L1897" s="12" t="s">
        <v>96</v>
      </c>
      <c r="M1897">
        <v>5.01</v>
      </c>
      <c r="N1897" s="12" t="s">
        <v>145</v>
      </c>
      <c r="O1897" s="12" t="s">
        <v>146</v>
      </c>
      <c r="P1897" s="12" t="s">
        <v>109</v>
      </c>
      <c r="Q1897" s="13">
        <v>45303</v>
      </c>
      <c r="R1897" s="13">
        <v>45327</v>
      </c>
      <c r="S1897">
        <v>2024</v>
      </c>
      <c r="T1897" s="12" t="s">
        <v>2513</v>
      </c>
      <c r="U1897">
        <v>33</v>
      </c>
      <c r="V1897">
        <v>248.16210000000001</v>
      </c>
      <c r="W1897">
        <v>71.61</v>
      </c>
      <c r="X1897">
        <v>0</v>
      </c>
      <c r="Y1897">
        <v>0</v>
      </c>
      <c r="Z1897">
        <v>8189.35</v>
      </c>
      <c r="AA1897">
        <v>8260.9599999999991</v>
      </c>
      <c r="AB1897" s="12" t="s">
        <v>2492</v>
      </c>
      <c r="AC1897">
        <v>248.16210000000001</v>
      </c>
      <c r="AD1897">
        <v>1</v>
      </c>
      <c r="AE1897">
        <v>1</v>
      </c>
      <c r="AF1897">
        <v>0</v>
      </c>
      <c r="AG1897">
        <v>8189.35</v>
      </c>
      <c r="AH1897">
        <v>33</v>
      </c>
      <c r="AI1897">
        <v>33</v>
      </c>
      <c r="AJ1897">
        <v>0</v>
      </c>
      <c r="AK1897">
        <v>1</v>
      </c>
      <c r="AL1897">
        <v>1</v>
      </c>
      <c r="AM1897">
        <v>100</v>
      </c>
      <c r="AN1897">
        <v>250.3321</v>
      </c>
      <c r="AO1897">
        <v>0</v>
      </c>
      <c r="AP1897" s="13">
        <v>45336</v>
      </c>
      <c r="AQ1897">
        <v>9</v>
      </c>
      <c r="AR1897">
        <v>0</v>
      </c>
    </row>
    <row r="1898" spans="1:44" x14ac:dyDescent="0.35">
      <c r="A1898" s="12" t="s">
        <v>2602</v>
      </c>
      <c r="B1898" s="12" t="s">
        <v>509</v>
      </c>
      <c r="C1898" s="12" t="s">
        <v>510</v>
      </c>
      <c r="D1898" s="12" t="s">
        <v>78</v>
      </c>
      <c r="E1898" s="12" t="s">
        <v>142</v>
      </c>
      <c r="F1898">
        <v>3</v>
      </c>
      <c r="G1898">
        <v>11</v>
      </c>
      <c r="H1898">
        <v>0</v>
      </c>
      <c r="I1898" s="12" t="s">
        <v>176</v>
      </c>
      <c r="J1898" s="12" t="s">
        <v>177</v>
      </c>
      <c r="K1898" s="12" t="s">
        <v>125</v>
      </c>
      <c r="L1898" s="12" t="s">
        <v>134</v>
      </c>
      <c r="M1898">
        <v>1.75</v>
      </c>
      <c r="N1898" s="12" t="s">
        <v>70</v>
      </c>
      <c r="O1898" s="12" t="s">
        <v>71</v>
      </c>
      <c r="P1898" s="12" t="s">
        <v>72</v>
      </c>
      <c r="Q1898" s="13">
        <v>45303</v>
      </c>
      <c r="R1898" s="13">
        <v>45344</v>
      </c>
      <c r="S1898">
        <v>2024</v>
      </c>
      <c r="T1898" s="12" t="s">
        <v>2513</v>
      </c>
      <c r="U1898">
        <v>128</v>
      </c>
      <c r="V1898">
        <v>144.51259999999999</v>
      </c>
      <c r="W1898">
        <v>226.86</v>
      </c>
      <c r="X1898">
        <v>0</v>
      </c>
      <c r="Y1898">
        <v>0</v>
      </c>
      <c r="Z1898">
        <v>18497.61</v>
      </c>
      <c r="AA1898">
        <v>18724.47</v>
      </c>
      <c r="AB1898" s="12" t="s">
        <v>511</v>
      </c>
      <c r="AC1898">
        <v>144.51259999999999</v>
      </c>
      <c r="AD1898">
        <v>1</v>
      </c>
      <c r="AE1898">
        <v>1</v>
      </c>
      <c r="AF1898">
        <v>0</v>
      </c>
      <c r="AG1898">
        <v>18497.61</v>
      </c>
      <c r="AH1898">
        <v>128</v>
      </c>
      <c r="AI1898">
        <v>127</v>
      </c>
      <c r="AJ1898">
        <v>1</v>
      </c>
      <c r="AK1898">
        <v>1</v>
      </c>
      <c r="AL1898">
        <v>1</v>
      </c>
      <c r="AM1898">
        <v>99.22</v>
      </c>
      <c r="AN1898">
        <v>147.43680000000001</v>
      </c>
      <c r="AO1898">
        <v>144.51</v>
      </c>
      <c r="AP1898" s="13">
        <v>45343</v>
      </c>
      <c r="AQ1898">
        <v>-1</v>
      </c>
      <c r="AR1898">
        <v>1</v>
      </c>
    </row>
    <row r="1899" spans="1:44" x14ac:dyDescent="0.35">
      <c r="A1899" s="12" t="s">
        <v>2603</v>
      </c>
      <c r="B1899" s="12" t="s">
        <v>317</v>
      </c>
      <c r="C1899" s="12" t="s">
        <v>318</v>
      </c>
      <c r="D1899" s="12" t="s">
        <v>64</v>
      </c>
      <c r="E1899" s="12" t="s">
        <v>104</v>
      </c>
      <c r="F1899">
        <v>2</v>
      </c>
      <c r="G1899">
        <v>0</v>
      </c>
      <c r="H1899">
        <v>0</v>
      </c>
      <c r="I1899" s="12" t="s">
        <v>183</v>
      </c>
      <c r="J1899" s="12" t="s">
        <v>184</v>
      </c>
      <c r="K1899" s="12" t="s">
        <v>133</v>
      </c>
      <c r="L1899" s="12" t="s">
        <v>82</v>
      </c>
      <c r="M1899">
        <v>8.6199999999999992</v>
      </c>
      <c r="N1899" s="12" t="s">
        <v>97</v>
      </c>
      <c r="O1899" s="12" t="s">
        <v>98</v>
      </c>
      <c r="P1899" s="12" t="s">
        <v>72</v>
      </c>
      <c r="Q1899" s="13">
        <v>45306</v>
      </c>
      <c r="R1899" s="13">
        <v>45319</v>
      </c>
      <c r="S1899">
        <v>2024</v>
      </c>
      <c r="T1899" s="12" t="s">
        <v>2513</v>
      </c>
      <c r="U1899">
        <v>176</v>
      </c>
      <c r="V1899">
        <v>15.848100000000001</v>
      </c>
      <c r="W1899">
        <v>29.92</v>
      </c>
      <c r="X1899">
        <v>0</v>
      </c>
      <c r="Y1899">
        <v>0</v>
      </c>
      <c r="Z1899">
        <v>2789.27</v>
      </c>
      <c r="AA1899">
        <v>2819.19</v>
      </c>
      <c r="AB1899" s="12" t="s">
        <v>1504</v>
      </c>
      <c r="AC1899">
        <v>15.848100000000001</v>
      </c>
      <c r="AD1899">
        <v>1</v>
      </c>
      <c r="AE1899">
        <v>1</v>
      </c>
      <c r="AF1899">
        <v>0</v>
      </c>
      <c r="AG1899">
        <v>2789.27</v>
      </c>
      <c r="AH1899">
        <v>176</v>
      </c>
      <c r="AI1899">
        <v>173</v>
      </c>
      <c r="AJ1899">
        <v>3</v>
      </c>
      <c r="AK1899">
        <v>1</v>
      </c>
      <c r="AL1899">
        <v>1</v>
      </c>
      <c r="AM1899">
        <v>98.3</v>
      </c>
      <c r="AN1899">
        <v>16.2959</v>
      </c>
      <c r="AO1899">
        <v>47.54</v>
      </c>
      <c r="AP1899" s="13">
        <v>45324</v>
      </c>
      <c r="AQ1899">
        <v>5</v>
      </c>
      <c r="AR1899">
        <v>0</v>
      </c>
    </row>
    <row r="1900" spans="1:44" x14ac:dyDescent="0.35">
      <c r="A1900" s="12" t="s">
        <v>2604</v>
      </c>
      <c r="B1900" s="12" t="s">
        <v>163</v>
      </c>
      <c r="C1900" s="12" t="s">
        <v>164</v>
      </c>
      <c r="D1900" s="12" t="s">
        <v>64</v>
      </c>
      <c r="E1900" s="12" t="s">
        <v>104</v>
      </c>
      <c r="F1900">
        <v>2</v>
      </c>
      <c r="G1900">
        <v>0</v>
      </c>
      <c r="H1900">
        <v>0</v>
      </c>
      <c r="I1900" s="12" t="s">
        <v>79</v>
      </c>
      <c r="J1900" s="12" t="s">
        <v>80</v>
      </c>
      <c r="K1900" s="12" t="s">
        <v>81</v>
      </c>
      <c r="L1900" s="12" t="s">
        <v>82</v>
      </c>
      <c r="M1900">
        <v>12.07</v>
      </c>
      <c r="N1900" s="12" t="s">
        <v>70</v>
      </c>
      <c r="O1900" s="12" t="s">
        <v>71</v>
      </c>
      <c r="P1900" s="12" t="s">
        <v>72</v>
      </c>
      <c r="Q1900" s="13">
        <v>45306</v>
      </c>
      <c r="R1900" s="13">
        <v>45326</v>
      </c>
      <c r="S1900">
        <v>2024</v>
      </c>
      <c r="T1900" s="12" t="s">
        <v>2513</v>
      </c>
      <c r="U1900">
        <v>519</v>
      </c>
      <c r="V1900">
        <v>13.227</v>
      </c>
      <c r="W1900">
        <v>68.62</v>
      </c>
      <c r="X1900">
        <v>0</v>
      </c>
      <c r="Y1900">
        <v>0</v>
      </c>
      <c r="Z1900">
        <v>6864.81</v>
      </c>
      <c r="AA1900">
        <v>6933.43</v>
      </c>
      <c r="AB1900" s="12" t="s">
        <v>165</v>
      </c>
      <c r="AC1900">
        <v>12.8643</v>
      </c>
      <c r="AD1900">
        <v>1</v>
      </c>
      <c r="AE1900">
        <v>1</v>
      </c>
      <c r="AF1900">
        <v>188.24</v>
      </c>
      <c r="AG1900">
        <v>6676.57</v>
      </c>
      <c r="AH1900">
        <v>519</v>
      </c>
      <c r="AI1900">
        <v>517</v>
      </c>
      <c r="AJ1900">
        <v>2</v>
      </c>
      <c r="AK1900">
        <v>1</v>
      </c>
      <c r="AL1900">
        <v>1</v>
      </c>
      <c r="AM1900">
        <v>99.61</v>
      </c>
      <c r="AN1900">
        <v>13.4109</v>
      </c>
      <c r="AO1900">
        <v>26.45</v>
      </c>
      <c r="AP1900" s="13">
        <v>45325</v>
      </c>
      <c r="AQ1900">
        <v>-1</v>
      </c>
      <c r="AR1900">
        <v>1</v>
      </c>
    </row>
    <row r="1901" spans="1:44" x14ac:dyDescent="0.35">
      <c r="A1901" s="12" t="s">
        <v>2605</v>
      </c>
      <c r="B1901" s="12" t="s">
        <v>503</v>
      </c>
      <c r="C1901" s="12" t="s">
        <v>504</v>
      </c>
      <c r="D1901" s="12" t="s">
        <v>103</v>
      </c>
      <c r="E1901" s="12" t="s">
        <v>104</v>
      </c>
      <c r="F1901">
        <v>3</v>
      </c>
      <c r="G1901">
        <v>1</v>
      </c>
      <c r="H1901">
        <v>0</v>
      </c>
      <c r="I1901" s="12" t="s">
        <v>209</v>
      </c>
      <c r="J1901" s="12" t="s">
        <v>210</v>
      </c>
      <c r="K1901" s="12" t="s">
        <v>133</v>
      </c>
      <c r="L1901" s="12" t="s">
        <v>96</v>
      </c>
      <c r="M1901">
        <v>7.82</v>
      </c>
      <c r="N1901" s="12" t="s">
        <v>107</v>
      </c>
      <c r="O1901" s="12" t="s">
        <v>108</v>
      </c>
      <c r="P1901" s="12" t="s">
        <v>109</v>
      </c>
      <c r="Q1901" s="13">
        <v>45306</v>
      </c>
      <c r="R1901" s="13">
        <v>45326</v>
      </c>
      <c r="S1901">
        <v>2024</v>
      </c>
      <c r="T1901" s="12" t="s">
        <v>2513</v>
      </c>
      <c r="U1901">
        <v>75</v>
      </c>
      <c r="V1901">
        <v>158.00909999999999</v>
      </c>
      <c r="W1901">
        <v>119.41</v>
      </c>
      <c r="X1901">
        <v>0</v>
      </c>
      <c r="Y1901">
        <v>0</v>
      </c>
      <c r="Z1901">
        <v>11850.68</v>
      </c>
      <c r="AA1901">
        <v>11970.09</v>
      </c>
      <c r="AB1901" s="12" t="s">
        <v>505</v>
      </c>
      <c r="AC1901">
        <v>158.00909999999999</v>
      </c>
      <c r="AD1901">
        <v>1</v>
      </c>
      <c r="AE1901">
        <v>1</v>
      </c>
      <c r="AF1901">
        <v>0</v>
      </c>
      <c r="AG1901">
        <v>11850.68</v>
      </c>
      <c r="AH1901">
        <v>75</v>
      </c>
      <c r="AI1901">
        <v>75</v>
      </c>
      <c r="AJ1901">
        <v>0</v>
      </c>
      <c r="AK1901">
        <v>1</v>
      </c>
      <c r="AL1901">
        <v>1</v>
      </c>
      <c r="AM1901">
        <v>100</v>
      </c>
      <c r="AN1901">
        <v>159.60120000000001</v>
      </c>
      <c r="AO1901">
        <v>0</v>
      </c>
      <c r="AP1901" s="13">
        <v>45323</v>
      </c>
      <c r="AQ1901">
        <v>-3</v>
      </c>
      <c r="AR1901">
        <v>1</v>
      </c>
    </row>
    <row r="1902" spans="1:44" x14ac:dyDescent="0.35">
      <c r="A1902" s="12" t="s">
        <v>2606</v>
      </c>
      <c r="B1902" s="12" t="s">
        <v>261</v>
      </c>
      <c r="C1902" s="12" t="s">
        <v>262</v>
      </c>
      <c r="D1902" s="12" t="s">
        <v>114</v>
      </c>
      <c r="E1902" s="12" t="s">
        <v>142</v>
      </c>
      <c r="F1902">
        <v>1</v>
      </c>
      <c r="G1902">
        <v>8</v>
      </c>
      <c r="H1902">
        <v>1</v>
      </c>
      <c r="I1902" s="12" t="s">
        <v>263</v>
      </c>
      <c r="J1902" s="12" t="s">
        <v>264</v>
      </c>
      <c r="K1902" s="12" t="s">
        <v>125</v>
      </c>
      <c r="L1902" s="12" t="s">
        <v>82</v>
      </c>
      <c r="M1902">
        <v>10.210000000000001</v>
      </c>
      <c r="N1902" s="12" t="s">
        <v>97</v>
      </c>
      <c r="O1902" s="12" t="s">
        <v>98</v>
      </c>
      <c r="P1902" s="12" t="s">
        <v>72</v>
      </c>
      <c r="Q1902" s="13">
        <v>45306</v>
      </c>
      <c r="R1902" s="13">
        <v>45353</v>
      </c>
      <c r="S1902">
        <v>2024</v>
      </c>
      <c r="T1902" s="12" t="s">
        <v>2513</v>
      </c>
      <c r="U1902">
        <v>103</v>
      </c>
      <c r="V1902">
        <v>138.256</v>
      </c>
      <c r="W1902">
        <v>285.16000000000003</v>
      </c>
      <c r="X1902">
        <v>0</v>
      </c>
      <c r="Y1902">
        <v>0</v>
      </c>
      <c r="Z1902">
        <v>14240.37</v>
      </c>
      <c r="AA1902">
        <v>14525.53</v>
      </c>
      <c r="AB1902" s="12" t="s">
        <v>265</v>
      </c>
      <c r="AC1902">
        <v>138.256</v>
      </c>
      <c r="AD1902">
        <v>1</v>
      </c>
      <c r="AE1902">
        <v>1</v>
      </c>
      <c r="AF1902">
        <v>0</v>
      </c>
      <c r="AG1902">
        <v>14240.37</v>
      </c>
      <c r="AH1902">
        <v>103</v>
      </c>
      <c r="AI1902">
        <v>103</v>
      </c>
      <c r="AJ1902">
        <v>0</v>
      </c>
      <c r="AK1902">
        <v>1</v>
      </c>
      <c r="AL1902">
        <v>1</v>
      </c>
      <c r="AM1902">
        <v>100</v>
      </c>
      <c r="AN1902">
        <v>141.02449999999999</v>
      </c>
      <c r="AO1902">
        <v>0</v>
      </c>
      <c r="AP1902" s="13">
        <v>45363</v>
      </c>
      <c r="AQ1902">
        <v>10</v>
      </c>
      <c r="AR1902">
        <v>0</v>
      </c>
    </row>
    <row r="1903" spans="1:44" x14ac:dyDescent="0.35">
      <c r="A1903" s="12" t="s">
        <v>2607</v>
      </c>
      <c r="B1903" s="12" t="s">
        <v>350</v>
      </c>
      <c r="C1903" s="12" t="s">
        <v>351</v>
      </c>
      <c r="D1903" s="12" t="s">
        <v>64</v>
      </c>
      <c r="E1903" s="12" t="s">
        <v>104</v>
      </c>
      <c r="F1903">
        <v>3</v>
      </c>
      <c r="G1903">
        <v>1</v>
      </c>
      <c r="H1903">
        <v>0</v>
      </c>
      <c r="I1903" s="12" t="s">
        <v>227</v>
      </c>
      <c r="J1903" s="12" t="s">
        <v>228</v>
      </c>
      <c r="K1903" s="12" t="s">
        <v>89</v>
      </c>
      <c r="L1903" s="12" t="s">
        <v>96</v>
      </c>
      <c r="M1903">
        <v>9.15</v>
      </c>
      <c r="N1903" s="12" t="s">
        <v>97</v>
      </c>
      <c r="O1903" s="12" t="s">
        <v>98</v>
      </c>
      <c r="P1903" s="12" t="s">
        <v>72</v>
      </c>
      <c r="Q1903" s="13">
        <v>45306</v>
      </c>
      <c r="R1903" s="13">
        <v>45320</v>
      </c>
      <c r="S1903">
        <v>2024</v>
      </c>
      <c r="T1903" s="12" t="s">
        <v>2513</v>
      </c>
      <c r="U1903">
        <v>214</v>
      </c>
      <c r="V1903">
        <v>8.7273999999999994</v>
      </c>
      <c r="W1903">
        <v>24.19</v>
      </c>
      <c r="X1903">
        <v>0</v>
      </c>
      <c r="Y1903">
        <v>0</v>
      </c>
      <c r="Z1903">
        <v>1867.66</v>
      </c>
      <c r="AA1903">
        <v>1891.85</v>
      </c>
      <c r="AB1903" s="12" t="s">
        <v>352</v>
      </c>
      <c r="AC1903">
        <v>8.7273999999999994</v>
      </c>
      <c r="AD1903">
        <v>1</v>
      </c>
      <c r="AE1903">
        <v>1</v>
      </c>
      <c r="AF1903">
        <v>0</v>
      </c>
      <c r="AG1903">
        <v>1867.66</v>
      </c>
      <c r="AH1903">
        <v>214</v>
      </c>
      <c r="AI1903">
        <v>211</v>
      </c>
      <c r="AJ1903">
        <v>3</v>
      </c>
      <c r="AK1903">
        <v>1</v>
      </c>
      <c r="AL1903">
        <v>1</v>
      </c>
      <c r="AM1903">
        <v>98.6</v>
      </c>
      <c r="AN1903">
        <v>8.9661000000000008</v>
      </c>
      <c r="AO1903">
        <v>26.18</v>
      </c>
      <c r="AP1903" s="13">
        <v>45321</v>
      </c>
      <c r="AQ1903">
        <v>1</v>
      </c>
      <c r="AR1903">
        <v>0</v>
      </c>
    </row>
    <row r="1904" spans="1:44" x14ac:dyDescent="0.35">
      <c r="A1904" s="12" t="s">
        <v>2608</v>
      </c>
      <c r="B1904" s="12" t="s">
        <v>284</v>
      </c>
      <c r="C1904" s="12" t="s">
        <v>285</v>
      </c>
      <c r="D1904" s="12" t="s">
        <v>269</v>
      </c>
      <c r="E1904" s="12" t="s">
        <v>104</v>
      </c>
      <c r="F1904">
        <v>3</v>
      </c>
      <c r="G1904">
        <v>1</v>
      </c>
      <c r="H1904">
        <v>0</v>
      </c>
      <c r="I1904" s="12" t="s">
        <v>199</v>
      </c>
      <c r="J1904" s="12" t="s">
        <v>200</v>
      </c>
      <c r="K1904" s="12" t="s">
        <v>68</v>
      </c>
      <c r="L1904" s="12" t="s">
        <v>96</v>
      </c>
      <c r="M1904">
        <v>9.4700000000000006</v>
      </c>
      <c r="N1904" s="12" t="s">
        <v>135</v>
      </c>
      <c r="O1904" s="12" t="s">
        <v>136</v>
      </c>
      <c r="P1904" s="12" t="s">
        <v>137</v>
      </c>
      <c r="Q1904" s="13">
        <v>45306</v>
      </c>
      <c r="R1904" s="13">
        <v>45333</v>
      </c>
      <c r="S1904">
        <v>2024</v>
      </c>
      <c r="T1904" s="12" t="s">
        <v>2513</v>
      </c>
      <c r="U1904">
        <v>130</v>
      </c>
      <c r="V1904">
        <v>397.87</v>
      </c>
      <c r="W1904">
        <v>1023.28</v>
      </c>
      <c r="X1904">
        <v>0</v>
      </c>
      <c r="Y1904">
        <v>0</v>
      </c>
      <c r="Z1904">
        <v>51723.1</v>
      </c>
      <c r="AA1904">
        <v>52746.38</v>
      </c>
      <c r="AB1904" s="12" t="s">
        <v>286</v>
      </c>
      <c r="AC1904">
        <v>397.87</v>
      </c>
      <c r="AD1904">
        <v>1</v>
      </c>
      <c r="AE1904">
        <v>1</v>
      </c>
      <c r="AF1904">
        <v>0</v>
      </c>
      <c r="AG1904">
        <v>51723.1</v>
      </c>
      <c r="AH1904">
        <v>130</v>
      </c>
      <c r="AI1904">
        <v>130</v>
      </c>
      <c r="AJ1904">
        <v>0</v>
      </c>
      <c r="AK1904">
        <v>1</v>
      </c>
      <c r="AL1904">
        <v>1</v>
      </c>
      <c r="AM1904">
        <v>100</v>
      </c>
      <c r="AN1904">
        <v>405.7414</v>
      </c>
      <c r="AO1904">
        <v>0</v>
      </c>
      <c r="AP1904" s="13">
        <v>45330</v>
      </c>
      <c r="AQ1904">
        <v>-3</v>
      </c>
      <c r="AR1904">
        <v>1</v>
      </c>
    </row>
    <row r="1905" spans="1:44" x14ac:dyDescent="0.35">
      <c r="A1905" s="12" t="s">
        <v>2609</v>
      </c>
      <c r="B1905" s="12" t="s">
        <v>617</v>
      </c>
      <c r="C1905" s="12" t="s">
        <v>618</v>
      </c>
      <c r="D1905" s="12" t="s">
        <v>78</v>
      </c>
      <c r="E1905" s="12" t="s">
        <v>65</v>
      </c>
      <c r="F1905">
        <v>2</v>
      </c>
      <c r="G1905">
        <v>4</v>
      </c>
      <c r="H1905">
        <v>0</v>
      </c>
      <c r="I1905" s="12" t="s">
        <v>209</v>
      </c>
      <c r="J1905" s="12" t="s">
        <v>210</v>
      </c>
      <c r="K1905" s="12" t="s">
        <v>133</v>
      </c>
      <c r="L1905" s="12" t="s">
        <v>96</v>
      </c>
      <c r="M1905">
        <v>7.82</v>
      </c>
      <c r="N1905" s="12" t="s">
        <v>97</v>
      </c>
      <c r="O1905" s="12" t="s">
        <v>98</v>
      </c>
      <c r="P1905" s="12" t="s">
        <v>72</v>
      </c>
      <c r="Q1905" s="13">
        <v>45306</v>
      </c>
      <c r="R1905" s="13">
        <v>45333</v>
      </c>
      <c r="S1905">
        <v>2024</v>
      </c>
      <c r="T1905" s="12" t="s">
        <v>2513</v>
      </c>
      <c r="U1905">
        <v>140</v>
      </c>
      <c r="V1905">
        <v>111.053</v>
      </c>
      <c r="W1905">
        <v>326.51</v>
      </c>
      <c r="X1905">
        <v>0</v>
      </c>
      <c r="Y1905">
        <v>0</v>
      </c>
      <c r="Z1905">
        <v>15547.42</v>
      </c>
      <c r="AA1905">
        <v>15873.93</v>
      </c>
      <c r="AB1905" s="12" t="s">
        <v>1523</v>
      </c>
      <c r="AC1905">
        <v>108.2711</v>
      </c>
      <c r="AD1905">
        <v>1</v>
      </c>
      <c r="AE1905">
        <v>1</v>
      </c>
      <c r="AF1905">
        <v>389.47</v>
      </c>
      <c r="AG1905">
        <v>15157.95</v>
      </c>
      <c r="AH1905">
        <v>140</v>
      </c>
      <c r="AI1905">
        <v>137</v>
      </c>
      <c r="AJ1905">
        <v>3</v>
      </c>
      <c r="AK1905">
        <v>1</v>
      </c>
      <c r="AL1905">
        <v>1</v>
      </c>
      <c r="AM1905">
        <v>97.86</v>
      </c>
      <c r="AN1905">
        <v>115.8681</v>
      </c>
      <c r="AO1905">
        <v>333.16</v>
      </c>
      <c r="AP1905" s="13">
        <v>45330</v>
      </c>
      <c r="AQ1905">
        <v>-3</v>
      </c>
      <c r="AR1905">
        <v>1</v>
      </c>
    </row>
    <row r="1906" spans="1:44" x14ac:dyDescent="0.35">
      <c r="A1906" s="12" t="s">
        <v>2610</v>
      </c>
      <c r="B1906" s="12" t="s">
        <v>167</v>
      </c>
      <c r="C1906" s="12" t="s">
        <v>168</v>
      </c>
      <c r="D1906" s="12" t="s">
        <v>64</v>
      </c>
      <c r="E1906" s="12" t="s">
        <v>104</v>
      </c>
      <c r="F1906">
        <v>3</v>
      </c>
      <c r="G1906">
        <v>1</v>
      </c>
      <c r="H1906">
        <v>0</v>
      </c>
      <c r="I1906" s="12" t="s">
        <v>243</v>
      </c>
      <c r="J1906" s="12" t="s">
        <v>244</v>
      </c>
      <c r="K1906" s="12" t="s">
        <v>81</v>
      </c>
      <c r="L1906" s="12" t="s">
        <v>82</v>
      </c>
      <c r="M1906">
        <v>9.2200000000000006</v>
      </c>
      <c r="N1906" s="12" t="s">
        <v>97</v>
      </c>
      <c r="O1906" s="12" t="s">
        <v>98</v>
      </c>
      <c r="P1906" s="12" t="s">
        <v>72</v>
      </c>
      <c r="Q1906" s="13">
        <v>45306</v>
      </c>
      <c r="R1906" s="13">
        <v>45327</v>
      </c>
      <c r="S1906">
        <v>2024</v>
      </c>
      <c r="T1906" s="12" t="s">
        <v>2513</v>
      </c>
      <c r="U1906">
        <v>579</v>
      </c>
      <c r="V1906">
        <v>28.7181</v>
      </c>
      <c r="W1906">
        <v>356.62</v>
      </c>
      <c r="X1906">
        <v>0</v>
      </c>
      <c r="Y1906">
        <v>0</v>
      </c>
      <c r="Z1906">
        <v>16627.78</v>
      </c>
      <c r="AA1906">
        <v>16984.400000000001</v>
      </c>
      <c r="AB1906" s="12" t="s">
        <v>530</v>
      </c>
      <c r="AC1906">
        <v>28.7181</v>
      </c>
      <c r="AD1906">
        <v>1</v>
      </c>
      <c r="AE1906">
        <v>1</v>
      </c>
      <c r="AF1906">
        <v>0</v>
      </c>
      <c r="AG1906">
        <v>16627.78</v>
      </c>
      <c r="AH1906">
        <v>579</v>
      </c>
      <c r="AI1906">
        <v>575</v>
      </c>
      <c r="AJ1906">
        <v>4</v>
      </c>
      <c r="AK1906">
        <v>1</v>
      </c>
      <c r="AL1906">
        <v>1</v>
      </c>
      <c r="AM1906">
        <v>99.31</v>
      </c>
      <c r="AN1906">
        <v>29.5381</v>
      </c>
      <c r="AO1906">
        <v>114.87</v>
      </c>
      <c r="AP1906" s="13">
        <v>45326</v>
      </c>
      <c r="AQ1906">
        <v>-1</v>
      </c>
      <c r="AR1906">
        <v>1</v>
      </c>
    </row>
    <row r="1907" spans="1:44" x14ac:dyDescent="0.35">
      <c r="A1907" s="12" t="s">
        <v>2611</v>
      </c>
      <c r="B1907" s="12" t="s">
        <v>598</v>
      </c>
      <c r="C1907" s="12" t="s">
        <v>599</v>
      </c>
      <c r="D1907" s="12" t="s">
        <v>269</v>
      </c>
      <c r="E1907" s="12" t="s">
        <v>65</v>
      </c>
      <c r="F1907">
        <v>1</v>
      </c>
      <c r="G1907">
        <v>2</v>
      </c>
      <c r="H1907">
        <v>1</v>
      </c>
      <c r="I1907" s="12" t="s">
        <v>176</v>
      </c>
      <c r="J1907" s="12" t="s">
        <v>177</v>
      </c>
      <c r="K1907" s="12" t="s">
        <v>125</v>
      </c>
      <c r="L1907" s="12" t="s">
        <v>134</v>
      </c>
      <c r="M1907">
        <v>1.75</v>
      </c>
      <c r="N1907" s="12" t="s">
        <v>159</v>
      </c>
      <c r="O1907" s="12" t="s">
        <v>160</v>
      </c>
      <c r="P1907" s="12" t="s">
        <v>137</v>
      </c>
      <c r="Q1907" s="13">
        <v>45306</v>
      </c>
      <c r="R1907" s="13">
        <v>45333</v>
      </c>
      <c r="S1907">
        <v>2024</v>
      </c>
      <c r="T1907" s="12" t="s">
        <v>2513</v>
      </c>
      <c r="U1907">
        <v>64</v>
      </c>
      <c r="V1907">
        <v>454.90469999999999</v>
      </c>
      <c r="W1907">
        <v>658.34</v>
      </c>
      <c r="X1907">
        <v>0</v>
      </c>
      <c r="Y1907">
        <v>0</v>
      </c>
      <c r="Z1907">
        <v>29113.9</v>
      </c>
      <c r="AA1907">
        <v>29772.240000000002</v>
      </c>
      <c r="AB1907" s="12" t="s">
        <v>600</v>
      </c>
      <c r="AC1907">
        <v>454.90469999999999</v>
      </c>
      <c r="AD1907">
        <v>1</v>
      </c>
      <c r="AE1907">
        <v>1</v>
      </c>
      <c r="AF1907">
        <v>0</v>
      </c>
      <c r="AG1907">
        <v>29113.9</v>
      </c>
      <c r="AH1907">
        <v>64</v>
      </c>
      <c r="AI1907">
        <v>63</v>
      </c>
      <c r="AJ1907">
        <v>1</v>
      </c>
      <c r="AK1907">
        <v>1</v>
      </c>
      <c r="AL1907">
        <v>1</v>
      </c>
      <c r="AM1907">
        <v>98.44</v>
      </c>
      <c r="AN1907">
        <v>472.57530000000003</v>
      </c>
      <c r="AO1907">
        <v>454.9</v>
      </c>
      <c r="AP1907" s="13">
        <v>45332</v>
      </c>
      <c r="AQ1907">
        <v>-1</v>
      </c>
      <c r="AR1907">
        <v>1</v>
      </c>
    </row>
    <row r="1908" spans="1:44" x14ac:dyDescent="0.35">
      <c r="A1908" s="12" t="s">
        <v>2612</v>
      </c>
      <c r="B1908" s="12" t="s">
        <v>1666</v>
      </c>
      <c r="C1908" s="12" t="s">
        <v>1667</v>
      </c>
      <c r="D1908" s="12" t="s">
        <v>78</v>
      </c>
      <c r="E1908" s="12" t="s">
        <v>65</v>
      </c>
      <c r="F1908">
        <v>2</v>
      </c>
      <c r="G1908">
        <v>3</v>
      </c>
      <c r="H1908">
        <v>0</v>
      </c>
      <c r="I1908" s="12" t="s">
        <v>310</v>
      </c>
      <c r="J1908" s="12" t="s">
        <v>311</v>
      </c>
      <c r="K1908" s="12" t="s">
        <v>81</v>
      </c>
      <c r="L1908" s="12" t="s">
        <v>69</v>
      </c>
      <c r="M1908">
        <v>28.3</v>
      </c>
      <c r="N1908" s="12" t="s">
        <v>97</v>
      </c>
      <c r="O1908" s="12" t="s">
        <v>98</v>
      </c>
      <c r="P1908" s="12" t="s">
        <v>72</v>
      </c>
      <c r="Q1908" s="13">
        <v>45306</v>
      </c>
      <c r="R1908" s="13">
        <v>45327</v>
      </c>
      <c r="S1908">
        <v>2024</v>
      </c>
      <c r="T1908" s="12" t="s">
        <v>2513</v>
      </c>
      <c r="U1908">
        <v>50</v>
      </c>
      <c r="V1908">
        <v>75.122299999999996</v>
      </c>
      <c r="W1908">
        <v>32.85</v>
      </c>
      <c r="X1908">
        <v>0</v>
      </c>
      <c r="Y1908">
        <v>0</v>
      </c>
      <c r="Z1908">
        <v>3756.12</v>
      </c>
      <c r="AA1908">
        <v>3788.97</v>
      </c>
      <c r="AB1908" s="12" t="s">
        <v>1668</v>
      </c>
      <c r="AC1908">
        <v>75.122299999999996</v>
      </c>
      <c r="AD1908">
        <v>1</v>
      </c>
      <c r="AE1908">
        <v>1</v>
      </c>
      <c r="AF1908">
        <v>0</v>
      </c>
      <c r="AG1908">
        <v>3756.12</v>
      </c>
      <c r="AH1908">
        <v>50</v>
      </c>
      <c r="AI1908">
        <v>49</v>
      </c>
      <c r="AJ1908">
        <v>1</v>
      </c>
      <c r="AK1908">
        <v>1</v>
      </c>
      <c r="AL1908">
        <v>1</v>
      </c>
      <c r="AM1908">
        <v>98</v>
      </c>
      <c r="AN1908">
        <v>77.325800000000001</v>
      </c>
      <c r="AO1908">
        <v>75.12</v>
      </c>
      <c r="AP1908" s="13">
        <v>45326</v>
      </c>
      <c r="AQ1908">
        <v>-1</v>
      </c>
      <c r="AR1908">
        <v>1</v>
      </c>
    </row>
    <row r="1909" spans="1:44" x14ac:dyDescent="0.35">
      <c r="A1909" s="12" t="s">
        <v>2613</v>
      </c>
      <c r="B1909" s="12" t="s">
        <v>978</v>
      </c>
      <c r="C1909" s="12" t="s">
        <v>979</v>
      </c>
      <c r="D1909" s="12" t="s">
        <v>122</v>
      </c>
      <c r="E1909" s="12" t="s">
        <v>65</v>
      </c>
      <c r="F1909">
        <v>1</v>
      </c>
      <c r="G1909">
        <v>2</v>
      </c>
      <c r="H1909">
        <v>1</v>
      </c>
      <c r="I1909" s="12" t="s">
        <v>310</v>
      </c>
      <c r="J1909" s="12" t="s">
        <v>311</v>
      </c>
      <c r="K1909" s="12" t="s">
        <v>81</v>
      </c>
      <c r="L1909" s="12" t="s">
        <v>69</v>
      </c>
      <c r="M1909">
        <v>28.3</v>
      </c>
      <c r="N1909" s="12" t="s">
        <v>97</v>
      </c>
      <c r="O1909" s="12" t="s">
        <v>98</v>
      </c>
      <c r="P1909" s="12" t="s">
        <v>72</v>
      </c>
      <c r="Q1909" s="13">
        <v>45306</v>
      </c>
      <c r="R1909" s="13">
        <v>45332</v>
      </c>
      <c r="S1909">
        <v>2024</v>
      </c>
      <c r="T1909" s="12" t="s">
        <v>2513</v>
      </c>
      <c r="U1909">
        <v>788</v>
      </c>
      <c r="V1909">
        <v>43.709699999999998</v>
      </c>
      <c r="W1909">
        <v>511.71</v>
      </c>
      <c r="X1909">
        <v>0</v>
      </c>
      <c r="Y1909">
        <v>0</v>
      </c>
      <c r="Z1909">
        <v>34443.24</v>
      </c>
      <c r="AA1909">
        <v>34954.949999999997</v>
      </c>
      <c r="AB1909" s="12" t="s">
        <v>980</v>
      </c>
      <c r="AC1909">
        <v>43.709699999999998</v>
      </c>
      <c r="AD1909">
        <v>1</v>
      </c>
      <c r="AE1909">
        <v>1</v>
      </c>
      <c r="AF1909">
        <v>0</v>
      </c>
      <c r="AG1909">
        <v>34443.24</v>
      </c>
      <c r="AH1909">
        <v>788</v>
      </c>
      <c r="AI1909">
        <v>781</v>
      </c>
      <c r="AJ1909">
        <v>7</v>
      </c>
      <c r="AK1909">
        <v>1</v>
      </c>
      <c r="AL1909">
        <v>1</v>
      </c>
      <c r="AM1909">
        <v>99.11</v>
      </c>
      <c r="AN1909">
        <v>44.756700000000002</v>
      </c>
      <c r="AO1909">
        <v>305.97000000000003</v>
      </c>
      <c r="AP1909" s="13">
        <v>45332</v>
      </c>
      <c r="AQ1909">
        <v>0</v>
      </c>
      <c r="AR1909">
        <v>1</v>
      </c>
    </row>
    <row r="1910" spans="1:44" x14ac:dyDescent="0.35">
      <c r="A1910" s="12" t="s">
        <v>2614</v>
      </c>
      <c r="B1910" s="12" t="s">
        <v>823</v>
      </c>
      <c r="C1910" s="12" t="s">
        <v>824</v>
      </c>
      <c r="D1910" s="12" t="s">
        <v>114</v>
      </c>
      <c r="E1910" s="12" t="s">
        <v>142</v>
      </c>
      <c r="F1910">
        <v>1</v>
      </c>
      <c r="G1910">
        <v>8</v>
      </c>
      <c r="H1910">
        <v>1</v>
      </c>
      <c r="I1910" s="12" t="s">
        <v>515</v>
      </c>
      <c r="J1910" s="12" t="s">
        <v>516</v>
      </c>
      <c r="K1910" s="12" t="s">
        <v>68</v>
      </c>
      <c r="L1910" s="12" t="s">
        <v>134</v>
      </c>
      <c r="M1910">
        <v>3.69</v>
      </c>
      <c r="N1910" s="12" t="s">
        <v>97</v>
      </c>
      <c r="O1910" s="12" t="s">
        <v>98</v>
      </c>
      <c r="P1910" s="12" t="s">
        <v>72</v>
      </c>
      <c r="Q1910" s="13">
        <v>45306</v>
      </c>
      <c r="R1910" s="13">
        <v>45356</v>
      </c>
      <c r="S1910">
        <v>2024</v>
      </c>
      <c r="T1910" s="12" t="s">
        <v>2513</v>
      </c>
      <c r="U1910">
        <v>134</v>
      </c>
      <c r="V1910">
        <v>361.73399999999998</v>
      </c>
      <c r="W1910">
        <v>801.32</v>
      </c>
      <c r="X1910">
        <v>0</v>
      </c>
      <c r="Y1910">
        <v>0</v>
      </c>
      <c r="Z1910">
        <v>48472.36</v>
      </c>
      <c r="AA1910">
        <v>49273.68</v>
      </c>
      <c r="AB1910" s="12" t="s">
        <v>825</v>
      </c>
      <c r="AC1910">
        <v>361.73399999999998</v>
      </c>
      <c r="AD1910">
        <v>1</v>
      </c>
      <c r="AE1910">
        <v>1</v>
      </c>
      <c r="AF1910">
        <v>0</v>
      </c>
      <c r="AG1910">
        <v>48472.36</v>
      </c>
      <c r="AH1910">
        <v>134</v>
      </c>
      <c r="AI1910">
        <v>133</v>
      </c>
      <c r="AJ1910">
        <v>1</v>
      </c>
      <c r="AK1910">
        <v>1</v>
      </c>
      <c r="AL1910">
        <v>1</v>
      </c>
      <c r="AM1910">
        <v>99.25</v>
      </c>
      <c r="AN1910">
        <v>370.47879999999998</v>
      </c>
      <c r="AO1910">
        <v>361.73</v>
      </c>
      <c r="AP1910" s="13">
        <v>45356</v>
      </c>
      <c r="AQ1910">
        <v>0</v>
      </c>
      <c r="AR1910">
        <v>1</v>
      </c>
    </row>
    <row r="1911" spans="1:44" x14ac:dyDescent="0.35">
      <c r="A1911" s="12" t="s">
        <v>2615</v>
      </c>
      <c r="B1911" s="12" t="s">
        <v>255</v>
      </c>
      <c r="C1911" s="12" t="s">
        <v>256</v>
      </c>
      <c r="D1911" s="12" t="s">
        <v>103</v>
      </c>
      <c r="E1911" s="12" t="s">
        <v>65</v>
      </c>
      <c r="F1911">
        <v>2</v>
      </c>
      <c r="G1911">
        <v>4</v>
      </c>
      <c r="H1911">
        <v>0</v>
      </c>
      <c r="I1911" s="12" t="s">
        <v>143</v>
      </c>
      <c r="J1911" s="12" t="s">
        <v>144</v>
      </c>
      <c r="K1911" s="12" t="s">
        <v>133</v>
      </c>
      <c r="L1911" s="12" t="s">
        <v>96</v>
      </c>
      <c r="M1911">
        <v>5.43</v>
      </c>
      <c r="N1911" s="12" t="s">
        <v>145</v>
      </c>
      <c r="O1911" s="12" t="s">
        <v>146</v>
      </c>
      <c r="P1911" s="12" t="s">
        <v>109</v>
      </c>
      <c r="Q1911" s="13">
        <v>45306</v>
      </c>
      <c r="R1911" s="13">
        <v>45342</v>
      </c>
      <c r="S1911">
        <v>2024</v>
      </c>
      <c r="T1911" s="12" t="s">
        <v>2513</v>
      </c>
      <c r="U1911">
        <v>129</v>
      </c>
      <c r="V1911">
        <v>95.073300000000003</v>
      </c>
      <c r="W1911">
        <v>113.67</v>
      </c>
      <c r="X1911">
        <v>0</v>
      </c>
      <c r="Y1911">
        <v>0</v>
      </c>
      <c r="Z1911">
        <v>12264.46</v>
      </c>
      <c r="AA1911">
        <v>12378.13</v>
      </c>
      <c r="AB1911" s="12" t="s">
        <v>2616</v>
      </c>
      <c r="AC1911">
        <v>95.073300000000003</v>
      </c>
      <c r="AD1911">
        <v>1</v>
      </c>
      <c r="AE1911">
        <v>1</v>
      </c>
      <c r="AF1911">
        <v>0</v>
      </c>
      <c r="AG1911">
        <v>12264.46</v>
      </c>
      <c r="AH1911">
        <v>129</v>
      </c>
      <c r="AI1911">
        <v>128</v>
      </c>
      <c r="AJ1911">
        <v>1</v>
      </c>
      <c r="AK1911">
        <v>1</v>
      </c>
      <c r="AL1911">
        <v>1</v>
      </c>
      <c r="AM1911">
        <v>99.22</v>
      </c>
      <c r="AN1911">
        <v>96.704099999999997</v>
      </c>
      <c r="AO1911">
        <v>95.07</v>
      </c>
      <c r="AP1911" s="13">
        <v>45297</v>
      </c>
      <c r="AQ1911">
        <v>-45</v>
      </c>
      <c r="AR1911">
        <v>1</v>
      </c>
    </row>
    <row r="1912" spans="1:44" x14ac:dyDescent="0.35">
      <c r="A1912" s="12" t="s">
        <v>2617</v>
      </c>
      <c r="B1912" s="12" t="s">
        <v>661</v>
      </c>
      <c r="C1912" s="12" t="s">
        <v>662</v>
      </c>
      <c r="D1912" s="12" t="s">
        <v>175</v>
      </c>
      <c r="E1912" s="12" t="s">
        <v>104</v>
      </c>
      <c r="F1912">
        <v>1</v>
      </c>
      <c r="G1912">
        <v>0</v>
      </c>
      <c r="H1912">
        <v>1</v>
      </c>
      <c r="I1912" s="12" t="s">
        <v>183</v>
      </c>
      <c r="J1912" s="12" t="s">
        <v>184</v>
      </c>
      <c r="K1912" s="12" t="s">
        <v>133</v>
      </c>
      <c r="L1912" s="12" t="s">
        <v>82</v>
      </c>
      <c r="M1912">
        <v>8.6199999999999992</v>
      </c>
      <c r="N1912" s="12" t="s">
        <v>145</v>
      </c>
      <c r="O1912" s="12" t="s">
        <v>146</v>
      </c>
      <c r="P1912" s="12" t="s">
        <v>109</v>
      </c>
      <c r="Q1912" s="13">
        <v>45306</v>
      </c>
      <c r="R1912" s="13">
        <v>45331</v>
      </c>
      <c r="S1912">
        <v>2024</v>
      </c>
      <c r="T1912" s="12" t="s">
        <v>2513</v>
      </c>
      <c r="U1912">
        <v>114</v>
      </c>
      <c r="V1912">
        <v>200.58459999999999</v>
      </c>
      <c r="W1912">
        <v>588.88</v>
      </c>
      <c r="X1912">
        <v>0</v>
      </c>
      <c r="Y1912">
        <v>0</v>
      </c>
      <c r="Z1912">
        <v>22866.639999999999</v>
      </c>
      <c r="AA1912">
        <v>23455.52</v>
      </c>
      <c r="AB1912" s="12" t="s">
        <v>663</v>
      </c>
      <c r="AC1912">
        <v>201.68719999999999</v>
      </c>
      <c r="AD1912">
        <v>2</v>
      </c>
      <c r="AE1912">
        <v>1</v>
      </c>
      <c r="AF1912">
        <v>-125.7</v>
      </c>
      <c r="AG1912">
        <v>22992.34</v>
      </c>
      <c r="AH1912">
        <v>114</v>
      </c>
      <c r="AI1912">
        <v>112</v>
      </c>
      <c r="AJ1912">
        <v>2</v>
      </c>
      <c r="AK1912">
        <v>1</v>
      </c>
      <c r="AL1912">
        <v>1</v>
      </c>
      <c r="AM1912">
        <v>98.25</v>
      </c>
      <c r="AN1912">
        <v>209.42429999999999</v>
      </c>
      <c r="AO1912">
        <v>401.17</v>
      </c>
      <c r="AP1912" s="13">
        <v>45331</v>
      </c>
      <c r="AQ1912">
        <v>0</v>
      </c>
      <c r="AR1912">
        <v>1</v>
      </c>
    </row>
    <row r="1913" spans="1:44" x14ac:dyDescent="0.35">
      <c r="A1913" s="12" t="s">
        <v>2618</v>
      </c>
      <c r="B1913" s="12" t="s">
        <v>855</v>
      </c>
      <c r="C1913" s="12" t="s">
        <v>856</v>
      </c>
      <c r="D1913" s="12" t="s">
        <v>269</v>
      </c>
      <c r="E1913" s="12" t="s">
        <v>65</v>
      </c>
      <c r="F1913">
        <v>3</v>
      </c>
      <c r="G1913">
        <v>5</v>
      </c>
      <c r="H1913">
        <v>0</v>
      </c>
      <c r="I1913" s="12" t="s">
        <v>66</v>
      </c>
      <c r="J1913" s="12" t="s">
        <v>67</v>
      </c>
      <c r="K1913" s="12" t="s">
        <v>68</v>
      </c>
      <c r="L1913" s="12" t="s">
        <v>69</v>
      </c>
      <c r="M1913">
        <v>17.66</v>
      </c>
      <c r="N1913" s="12" t="s">
        <v>159</v>
      </c>
      <c r="O1913" s="12" t="s">
        <v>160</v>
      </c>
      <c r="P1913" s="12" t="s">
        <v>137</v>
      </c>
      <c r="Q1913" s="13">
        <v>45306</v>
      </c>
      <c r="R1913" s="13">
        <v>45335</v>
      </c>
      <c r="S1913">
        <v>2024</v>
      </c>
      <c r="T1913" s="12" t="s">
        <v>2513</v>
      </c>
      <c r="U1913">
        <v>78</v>
      </c>
      <c r="V1913">
        <v>493.6902</v>
      </c>
      <c r="W1913">
        <v>986.71</v>
      </c>
      <c r="X1913">
        <v>0</v>
      </c>
      <c r="Y1913">
        <v>0</v>
      </c>
      <c r="Z1913">
        <v>38507.839999999997</v>
      </c>
      <c r="AA1913">
        <v>39494.550000000003</v>
      </c>
      <c r="AB1913" s="12" t="s">
        <v>1817</v>
      </c>
      <c r="AC1913">
        <v>493.6902</v>
      </c>
      <c r="AD1913">
        <v>1</v>
      </c>
      <c r="AE1913">
        <v>1</v>
      </c>
      <c r="AF1913">
        <v>0</v>
      </c>
      <c r="AG1913">
        <v>38507.839999999997</v>
      </c>
      <c r="AH1913">
        <v>78</v>
      </c>
      <c r="AI1913">
        <v>77</v>
      </c>
      <c r="AJ1913">
        <v>1</v>
      </c>
      <c r="AK1913">
        <v>1</v>
      </c>
      <c r="AL1913">
        <v>1</v>
      </c>
      <c r="AM1913">
        <v>98.72</v>
      </c>
      <c r="AN1913">
        <v>512.9162</v>
      </c>
      <c r="AO1913">
        <v>493.69</v>
      </c>
      <c r="AP1913" s="13">
        <v>45332</v>
      </c>
      <c r="AQ1913">
        <v>-3</v>
      </c>
      <c r="AR1913">
        <v>1</v>
      </c>
    </row>
    <row r="1914" spans="1:44" x14ac:dyDescent="0.35">
      <c r="A1914" s="12" t="s">
        <v>2619</v>
      </c>
      <c r="B1914" s="12" t="s">
        <v>221</v>
      </c>
      <c r="C1914" s="12" t="s">
        <v>222</v>
      </c>
      <c r="D1914" s="12" t="s">
        <v>114</v>
      </c>
      <c r="E1914" s="12" t="s">
        <v>142</v>
      </c>
      <c r="F1914">
        <v>3</v>
      </c>
      <c r="G1914">
        <v>11</v>
      </c>
      <c r="H1914">
        <v>0</v>
      </c>
      <c r="I1914" s="12" t="s">
        <v>105</v>
      </c>
      <c r="J1914" s="12" t="s">
        <v>106</v>
      </c>
      <c r="K1914" s="12" t="s">
        <v>81</v>
      </c>
      <c r="L1914" s="12" t="s">
        <v>96</v>
      </c>
      <c r="M1914">
        <v>5.01</v>
      </c>
      <c r="N1914" s="12" t="s">
        <v>70</v>
      </c>
      <c r="O1914" s="12" t="s">
        <v>71</v>
      </c>
      <c r="P1914" s="12" t="s">
        <v>72</v>
      </c>
      <c r="Q1914" s="13">
        <v>45306</v>
      </c>
      <c r="R1914" s="13">
        <v>45344</v>
      </c>
      <c r="S1914">
        <v>2024</v>
      </c>
      <c r="T1914" s="12" t="s">
        <v>2513</v>
      </c>
      <c r="U1914">
        <v>39</v>
      </c>
      <c r="V1914">
        <v>247.8732</v>
      </c>
      <c r="W1914">
        <v>94.48</v>
      </c>
      <c r="X1914">
        <v>0</v>
      </c>
      <c r="Y1914">
        <v>0</v>
      </c>
      <c r="Z1914">
        <v>9667.0499999999993</v>
      </c>
      <c r="AA1914">
        <v>9761.5300000000007</v>
      </c>
      <c r="AB1914" s="12" t="s">
        <v>1239</v>
      </c>
      <c r="AC1914">
        <v>239.12739999999999</v>
      </c>
      <c r="AD1914">
        <v>1</v>
      </c>
      <c r="AE1914">
        <v>1</v>
      </c>
      <c r="AF1914">
        <v>341.09</v>
      </c>
      <c r="AG1914">
        <v>9325.9699999999993</v>
      </c>
      <c r="AH1914">
        <v>39</v>
      </c>
      <c r="AI1914">
        <v>38</v>
      </c>
      <c r="AJ1914">
        <v>1</v>
      </c>
      <c r="AK1914">
        <v>1</v>
      </c>
      <c r="AL1914">
        <v>1</v>
      </c>
      <c r="AM1914">
        <v>97.44</v>
      </c>
      <c r="AN1914">
        <v>256.88249999999999</v>
      </c>
      <c r="AO1914">
        <v>247.87</v>
      </c>
      <c r="AP1914" s="13">
        <v>45354</v>
      </c>
      <c r="AQ1914">
        <v>10</v>
      </c>
      <c r="AR1914">
        <v>0</v>
      </c>
    </row>
    <row r="1915" spans="1:44" x14ac:dyDescent="0.35">
      <c r="A1915" s="12" t="s">
        <v>2620</v>
      </c>
      <c r="B1915" s="12" t="s">
        <v>85</v>
      </c>
      <c r="C1915" s="12" t="s">
        <v>86</v>
      </c>
      <c r="D1915" s="12" t="s">
        <v>78</v>
      </c>
      <c r="E1915" s="12" t="s">
        <v>65</v>
      </c>
      <c r="F1915">
        <v>3</v>
      </c>
      <c r="G1915">
        <v>5</v>
      </c>
      <c r="H1915">
        <v>0</v>
      </c>
      <c r="I1915" s="12" t="s">
        <v>87</v>
      </c>
      <c r="J1915" s="12" t="s">
        <v>88</v>
      </c>
      <c r="K1915" s="12" t="s">
        <v>89</v>
      </c>
      <c r="L1915" s="12" t="s">
        <v>69</v>
      </c>
      <c r="M1915">
        <v>14.93</v>
      </c>
      <c r="N1915" s="12" t="s">
        <v>70</v>
      </c>
      <c r="O1915" s="12" t="s">
        <v>71</v>
      </c>
      <c r="P1915" s="12" t="s">
        <v>72</v>
      </c>
      <c r="Q1915" s="13">
        <v>45306</v>
      </c>
      <c r="R1915" s="13">
        <v>45344</v>
      </c>
      <c r="S1915">
        <v>2024</v>
      </c>
      <c r="T1915" s="12" t="s">
        <v>2513</v>
      </c>
      <c r="U1915">
        <v>295</v>
      </c>
      <c r="V1915">
        <v>139.59649999999999</v>
      </c>
      <c r="W1915">
        <v>262.98</v>
      </c>
      <c r="X1915">
        <v>0</v>
      </c>
      <c r="Y1915">
        <v>0</v>
      </c>
      <c r="Z1915">
        <v>41180.97</v>
      </c>
      <c r="AA1915">
        <v>41443.949999999997</v>
      </c>
      <c r="AB1915" s="12" t="s">
        <v>2621</v>
      </c>
      <c r="AC1915">
        <v>139.59649999999999</v>
      </c>
      <c r="AD1915">
        <v>1</v>
      </c>
      <c r="AE1915">
        <v>1</v>
      </c>
      <c r="AF1915">
        <v>0</v>
      </c>
      <c r="AG1915">
        <v>41180.97</v>
      </c>
      <c r="AH1915">
        <v>295</v>
      </c>
      <c r="AI1915">
        <v>291</v>
      </c>
      <c r="AJ1915">
        <v>4</v>
      </c>
      <c r="AK1915">
        <v>1</v>
      </c>
      <c r="AL1915">
        <v>1</v>
      </c>
      <c r="AM1915">
        <v>98.64</v>
      </c>
      <c r="AN1915">
        <v>142.41909999999999</v>
      </c>
      <c r="AO1915">
        <v>558.39</v>
      </c>
      <c r="AP1915" s="13">
        <v>45343</v>
      </c>
      <c r="AQ1915">
        <v>-1</v>
      </c>
      <c r="AR1915">
        <v>1</v>
      </c>
    </row>
    <row r="1916" spans="1:44" x14ac:dyDescent="0.35">
      <c r="A1916" s="12" t="s">
        <v>2622</v>
      </c>
      <c r="B1916" s="12" t="s">
        <v>293</v>
      </c>
      <c r="C1916" s="12" t="s">
        <v>294</v>
      </c>
      <c r="D1916" s="12" t="s">
        <v>114</v>
      </c>
      <c r="E1916" s="12" t="s">
        <v>142</v>
      </c>
      <c r="F1916">
        <v>1</v>
      </c>
      <c r="G1916">
        <v>6</v>
      </c>
      <c r="H1916">
        <v>1</v>
      </c>
      <c r="I1916" s="12" t="s">
        <v>195</v>
      </c>
      <c r="J1916" s="12" t="s">
        <v>196</v>
      </c>
      <c r="K1916" s="12" t="s">
        <v>117</v>
      </c>
      <c r="L1916" s="12" t="s">
        <v>134</v>
      </c>
      <c r="M1916">
        <v>4.7699999999999996</v>
      </c>
      <c r="N1916" s="12" t="s">
        <v>70</v>
      </c>
      <c r="O1916" s="12" t="s">
        <v>71</v>
      </c>
      <c r="P1916" s="12" t="s">
        <v>72</v>
      </c>
      <c r="Q1916" s="13">
        <v>45306</v>
      </c>
      <c r="R1916" s="13">
        <v>45348</v>
      </c>
      <c r="S1916">
        <v>2024</v>
      </c>
      <c r="T1916" s="12" t="s">
        <v>2513</v>
      </c>
      <c r="U1916">
        <v>64</v>
      </c>
      <c r="V1916">
        <v>206.0489</v>
      </c>
      <c r="W1916">
        <v>165.63</v>
      </c>
      <c r="X1916">
        <v>0</v>
      </c>
      <c r="Y1916">
        <v>0</v>
      </c>
      <c r="Z1916">
        <v>13187.13</v>
      </c>
      <c r="AA1916">
        <v>13352.76</v>
      </c>
      <c r="AB1916" s="12" t="s">
        <v>295</v>
      </c>
      <c r="AC1916">
        <v>206.0489</v>
      </c>
      <c r="AD1916">
        <v>1</v>
      </c>
      <c r="AE1916">
        <v>1</v>
      </c>
      <c r="AF1916">
        <v>0</v>
      </c>
      <c r="AG1916">
        <v>13187.13</v>
      </c>
      <c r="AH1916">
        <v>64</v>
      </c>
      <c r="AI1916">
        <v>63</v>
      </c>
      <c r="AJ1916">
        <v>1</v>
      </c>
      <c r="AK1916">
        <v>1</v>
      </c>
      <c r="AL1916">
        <v>1</v>
      </c>
      <c r="AM1916">
        <v>98.44</v>
      </c>
      <c r="AN1916">
        <v>211.9486</v>
      </c>
      <c r="AO1916">
        <v>206.05</v>
      </c>
      <c r="AP1916" s="13">
        <v>45348</v>
      </c>
      <c r="AQ1916">
        <v>0</v>
      </c>
      <c r="AR1916">
        <v>1</v>
      </c>
    </row>
    <row r="1917" spans="1:44" x14ac:dyDescent="0.35">
      <c r="A1917" s="12" t="s">
        <v>2623</v>
      </c>
      <c r="B1917" s="12" t="s">
        <v>792</v>
      </c>
      <c r="C1917" s="12" t="s">
        <v>793</v>
      </c>
      <c r="D1917" s="12" t="s">
        <v>103</v>
      </c>
      <c r="E1917" s="12" t="s">
        <v>65</v>
      </c>
      <c r="F1917">
        <v>2</v>
      </c>
      <c r="G1917">
        <v>3</v>
      </c>
      <c r="H1917">
        <v>0</v>
      </c>
      <c r="I1917" s="12" t="s">
        <v>115</v>
      </c>
      <c r="J1917" s="12" t="s">
        <v>116</v>
      </c>
      <c r="K1917" s="12" t="s">
        <v>117</v>
      </c>
      <c r="L1917" s="12" t="s">
        <v>82</v>
      </c>
      <c r="M1917">
        <v>17.170000000000002</v>
      </c>
      <c r="N1917" s="12" t="s">
        <v>145</v>
      </c>
      <c r="O1917" s="12" t="s">
        <v>146</v>
      </c>
      <c r="P1917" s="12" t="s">
        <v>109</v>
      </c>
      <c r="Q1917" s="13">
        <v>45306</v>
      </c>
      <c r="R1917" s="13">
        <v>45343</v>
      </c>
      <c r="S1917">
        <v>2024</v>
      </c>
      <c r="T1917" s="12" t="s">
        <v>2513</v>
      </c>
      <c r="U1917">
        <v>136</v>
      </c>
      <c r="V1917">
        <v>103.1609</v>
      </c>
      <c r="W1917">
        <v>323.19</v>
      </c>
      <c r="X1917">
        <v>0</v>
      </c>
      <c r="Y1917">
        <v>0</v>
      </c>
      <c r="Z1917">
        <v>14029.88</v>
      </c>
      <c r="AA1917">
        <v>14353.07</v>
      </c>
      <c r="AB1917" s="12" t="s">
        <v>794</v>
      </c>
      <c r="AC1917">
        <v>99.173299999999998</v>
      </c>
      <c r="AD1917">
        <v>1</v>
      </c>
      <c r="AE1917">
        <v>1</v>
      </c>
      <c r="AF1917">
        <v>542.30999999999995</v>
      </c>
      <c r="AG1917">
        <v>13487.57</v>
      </c>
      <c r="AH1917">
        <v>136</v>
      </c>
      <c r="AI1917">
        <v>136</v>
      </c>
      <c r="AJ1917">
        <v>0</v>
      </c>
      <c r="AK1917">
        <v>1</v>
      </c>
      <c r="AL1917">
        <v>1</v>
      </c>
      <c r="AM1917">
        <v>100</v>
      </c>
      <c r="AN1917">
        <v>105.5373</v>
      </c>
      <c r="AO1917">
        <v>0</v>
      </c>
      <c r="AP1917" s="13">
        <v>45342</v>
      </c>
      <c r="AQ1917">
        <v>-1</v>
      </c>
      <c r="AR1917">
        <v>1</v>
      </c>
    </row>
    <row r="1918" spans="1:44" x14ac:dyDescent="0.35">
      <c r="A1918" s="12" t="s">
        <v>2624</v>
      </c>
      <c r="B1918" s="12" t="s">
        <v>1054</v>
      </c>
      <c r="C1918" s="12" t="s">
        <v>1055</v>
      </c>
      <c r="D1918" s="12" t="s">
        <v>122</v>
      </c>
      <c r="E1918" s="12" t="s">
        <v>65</v>
      </c>
      <c r="F1918">
        <v>1</v>
      </c>
      <c r="G1918">
        <v>2</v>
      </c>
      <c r="H1918">
        <v>1</v>
      </c>
      <c r="I1918" s="12" t="s">
        <v>176</v>
      </c>
      <c r="J1918" s="12" t="s">
        <v>177</v>
      </c>
      <c r="K1918" s="12" t="s">
        <v>125</v>
      </c>
      <c r="L1918" s="12" t="s">
        <v>134</v>
      </c>
      <c r="M1918">
        <v>1.75</v>
      </c>
      <c r="N1918" s="12" t="s">
        <v>97</v>
      </c>
      <c r="O1918" s="12" t="s">
        <v>98</v>
      </c>
      <c r="P1918" s="12" t="s">
        <v>72</v>
      </c>
      <c r="Q1918" s="13">
        <v>45307</v>
      </c>
      <c r="R1918" s="13">
        <v>45342</v>
      </c>
      <c r="S1918">
        <v>2024</v>
      </c>
      <c r="T1918" s="12" t="s">
        <v>2513</v>
      </c>
      <c r="U1918">
        <v>1617</v>
      </c>
      <c r="V1918">
        <v>46.916699999999999</v>
      </c>
      <c r="W1918">
        <v>1699.01</v>
      </c>
      <c r="X1918">
        <v>0</v>
      </c>
      <c r="Y1918">
        <v>0</v>
      </c>
      <c r="Z1918">
        <v>75864.3</v>
      </c>
      <c r="AA1918">
        <v>77563.31</v>
      </c>
      <c r="AB1918" s="12" t="s">
        <v>1056</v>
      </c>
      <c r="AC1918">
        <v>46.916699999999999</v>
      </c>
      <c r="AD1918">
        <v>1</v>
      </c>
      <c r="AE1918">
        <v>1</v>
      </c>
      <c r="AF1918">
        <v>0</v>
      </c>
      <c r="AG1918">
        <v>75864.3</v>
      </c>
      <c r="AH1918">
        <v>1617</v>
      </c>
      <c r="AI1918">
        <v>1608</v>
      </c>
      <c r="AJ1918">
        <v>9</v>
      </c>
      <c r="AK1918">
        <v>1</v>
      </c>
      <c r="AL1918">
        <v>1</v>
      </c>
      <c r="AM1918">
        <v>99.44</v>
      </c>
      <c r="AN1918">
        <v>48.235900000000001</v>
      </c>
      <c r="AO1918">
        <v>422.25</v>
      </c>
      <c r="AP1918" s="13">
        <v>45338</v>
      </c>
      <c r="AQ1918">
        <v>-4</v>
      </c>
      <c r="AR1918">
        <v>1</v>
      </c>
    </row>
    <row r="1919" spans="1:44" x14ac:dyDescent="0.35">
      <c r="A1919" s="12" t="s">
        <v>2625</v>
      </c>
      <c r="B1919" s="12" t="s">
        <v>308</v>
      </c>
      <c r="C1919" s="12" t="s">
        <v>309</v>
      </c>
      <c r="D1919" s="12" t="s">
        <v>122</v>
      </c>
      <c r="E1919" s="12" t="s">
        <v>142</v>
      </c>
      <c r="F1919">
        <v>1</v>
      </c>
      <c r="G1919">
        <v>6</v>
      </c>
      <c r="H1919">
        <v>1</v>
      </c>
      <c r="I1919" s="12" t="s">
        <v>310</v>
      </c>
      <c r="J1919" s="12" t="s">
        <v>311</v>
      </c>
      <c r="K1919" s="12" t="s">
        <v>81</v>
      </c>
      <c r="L1919" s="12" t="s">
        <v>69</v>
      </c>
      <c r="M1919">
        <v>28.3</v>
      </c>
      <c r="N1919" s="12" t="s">
        <v>70</v>
      </c>
      <c r="O1919" s="12" t="s">
        <v>71</v>
      </c>
      <c r="P1919" s="12" t="s">
        <v>72</v>
      </c>
      <c r="Q1919" s="13">
        <v>45307</v>
      </c>
      <c r="R1919" s="13">
        <v>45357</v>
      </c>
      <c r="S1919">
        <v>2024</v>
      </c>
      <c r="T1919" s="12" t="s">
        <v>2513</v>
      </c>
      <c r="U1919">
        <v>1760</v>
      </c>
      <c r="V1919">
        <v>59.409700000000001</v>
      </c>
      <c r="W1919">
        <v>2061.11</v>
      </c>
      <c r="X1919">
        <v>0</v>
      </c>
      <c r="Y1919">
        <v>0</v>
      </c>
      <c r="Z1919">
        <v>104561.07</v>
      </c>
      <c r="AA1919">
        <v>106622.18</v>
      </c>
      <c r="AB1919" s="12" t="s">
        <v>312</v>
      </c>
      <c r="AC1919">
        <v>59.409700000000001</v>
      </c>
      <c r="AD1919">
        <v>1</v>
      </c>
      <c r="AE1919">
        <v>1</v>
      </c>
      <c r="AF1919">
        <v>0</v>
      </c>
      <c r="AG1919">
        <v>104561.07</v>
      </c>
      <c r="AH1919">
        <v>1760</v>
      </c>
      <c r="AI1919">
        <v>1749</v>
      </c>
      <c r="AJ1919">
        <v>11</v>
      </c>
      <c r="AK1919">
        <v>1</v>
      </c>
      <c r="AL1919">
        <v>1</v>
      </c>
      <c r="AM1919">
        <v>99.38</v>
      </c>
      <c r="AN1919">
        <v>60.961799999999997</v>
      </c>
      <c r="AO1919">
        <v>653.51</v>
      </c>
      <c r="AP1919" s="13">
        <v>45354</v>
      </c>
      <c r="AQ1919">
        <v>-3</v>
      </c>
      <c r="AR1919">
        <v>1</v>
      </c>
    </row>
    <row r="1920" spans="1:44" x14ac:dyDescent="0.35">
      <c r="A1920" s="12" t="s">
        <v>2626</v>
      </c>
      <c r="B1920" s="12" t="s">
        <v>308</v>
      </c>
      <c r="C1920" s="12" t="s">
        <v>309</v>
      </c>
      <c r="D1920" s="12" t="s">
        <v>122</v>
      </c>
      <c r="E1920" s="12" t="s">
        <v>142</v>
      </c>
      <c r="F1920">
        <v>1</v>
      </c>
      <c r="G1920">
        <v>6</v>
      </c>
      <c r="H1920">
        <v>1</v>
      </c>
      <c r="I1920" s="12" t="s">
        <v>310</v>
      </c>
      <c r="J1920" s="12" t="s">
        <v>311</v>
      </c>
      <c r="K1920" s="12" t="s">
        <v>81</v>
      </c>
      <c r="L1920" s="12" t="s">
        <v>69</v>
      </c>
      <c r="M1920">
        <v>28.3</v>
      </c>
      <c r="N1920" s="12" t="s">
        <v>97</v>
      </c>
      <c r="O1920" s="12" t="s">
        <v>98</v>
      </c>
      <c r="P1920" s="12" t="s">
        <v>72</v>
      </c>
      <c r="Q1920" s="13">
        <v>45307</v>
      </c>
      <c r="R1920" s="13">
        <v>45355</v>
      </c>
      <c r="S1920">
        <v>2024</v>
      </c>
      <c r="T1920" s="12" t="s">
        <v>2513</v>
      </c>
      <c r="U1920">
        <v>1520</v>
      </c>
      <c r="V1920">
        <v>59.409700000000001</v>
      </c>
      <c r="W1920">
        <v>1169.76</v>
      </c>
      <c r="X1920">
        <v>0</v>
      </c>
      <c r="Y1920">
        <v>0</v>
      </c>
      <c r="Z1920">
        <v>90302.74</v>
      </c>
      <c r="AA1920">
        <v>91472.5</v>
      </c>
      <c r="AB1920" s="12" t="s">
        <v>312</v>
      </c>
      <c r="AC1920">
        <v>59.409700000000001</v>
      </c>
      <c r="AD1920">
        <v>1</v>
      </c>
      <c r="AE1920">
        <v>1</v>
      </c>
      <c r="AF1920">
        <v>0</v>
      </c>
      <c r="AG1920">
        <v>90302.74</v>
      </c>
      <c r="AH1920">
        <v>1520</v>
      </c>
      <c r="AI1920">
        <v>1515</v>
      </c>
      <c r="AJ1920">
        <v>5</v>
      </c>
      <c r="AK1920">
        <v>1</v>
      </c>
      <c r="AL1920">
        <v>1</v>
      </c>
      <c r="AM1920">
        <v>99.67</v>
      </c>
      <c r="AN1920">
        <v>60.377899999999997</v>
      </c>
      <c r="AO1920">
        <v>297.05</v>
      </c>
      <c r="AP1920" s="13">
        <v>45358</v>
      </c>
      <c r="AQ1920">
        <v>3</v>
      </c>
      <c r="AR1920">
        <v>0</v>
      </c>
    </row>
    <row r="1921" spans="1:44" x14ac:dyDescent="0.35">
      <c r="A1921" s="12" t="s">
        <v>2627</v>
      </c>
      <c r="B1921" s="12" t="s">
        <v>207</v>
      </c>
      <c r="C1921" s="12" t="s">
        <v>208</v>
      </c>
      <c r="D1921" s="12" t="s">
        <v>78</v>
      </c>
      <c r="E1921" s="12" t="s">
        <v>65</v>
      </c>
      <c r="F1921">
        <v>2</v>
      </c>
      <c r="G1921">
        <v>3</v>
      </c>
      <c r="H1921">
        <v>0</v>
      </c>
      <c r="I1921" s="12" t="s">
        <v>209</v>
      </c>
      <c r="J1921" s="12" t="s">
        <v>210</v>
      </c>
      <c r="K1921" s="12" t="s">
        <v>133</v>
      </c>
      <c r="L1921" s="12" t="s">
        <v>96</v>
      </c>
      <c r="M1921">
        <v>7.82</v>
      </c>
      <c r="N1921" s="12" t="s">
        <v>70</v>
      </c>
      <c r="O1921" s="12" t="s">
        <v>71</v>
      </c>
      <c r="P1921" s="12" t="s">
        <v>72</v>
      </c>
      <c r="Q1921" s="13">
        <v>45307</v>
      </c>
      <c r="R1921" s="13">
        <v>45345</v>
      </c>
      <c r="S1921">
        <v>2024</v>
      </c>
      <c r="T1921" s="12" t="s">
        <v>2513</v>
      </c>
      <c r="U1921">
        <v>291</v>
      </c>
      <c r="V1921">
        <v>152.13079999999999</v>
      </c>
      <c r="W1921">
        <v>879.82</v>
      </c>
      <c r="X1921">
        <v>0</v>
      </c>
      <c r="Y1921">
        <v>0</v>
      </c>
      <c r="Z1921">
        <v>44270.06</v>
      </c>
      <c r="AA1921">
        <v>45149.88</v>
      </c>
      <c r="AB1921" s="12" t="s">
        <v>211</v>
      </c>
      <c r="AC1921">
        <v>152.13079999999999</v>
      </c>
      <c r="AD1921">
        <v>1</v>
      </c>
      <c r="AE1921">
        <v>1</v>
      </c>
      <c r="AF1921">
        <v>0</v>
      </c>
      <c r="AG1921">
        <v>44270.06</v>
      </c>
      <c r="AH1921">
        <v>291</v>
      </c>
      <c r="AI1921">
        <v>289</v>
      </c>
      <c r="AJ1921">
        <v>2</v>
      </c>
      <c r="AK1921">
        <v>1</v>
      </c>
      <c r="AL1921">
        <v>1</v>
      </c>
      <c r="AM1921">
        <v>99.31</v>
      </c>
      <c r="AN1921">
        <v>156.22800000000001</v>
      </c>
      <c r="AO1921">
        <v>304.26</v>
      </c>
      <c r="AP1921" s="13">
        <v>45342</v>
      </c>
      <c r="AQ1921">
        <v>-3</v>
      </c>
      <c r="AR1921">
        <v>1</v>
      </c>
    </row>
    <row r="1922" spans="1:44" x14ac:dyDescent="0.35">
      <c r="A1922" s="12" t="s">
        <v>2628</v>
      </c>
      <c r="B1922" s="12" t="s">
        <v>490</v>
      </c>
      <c r="C1922" s="12" t="s">
        <v>491</v>
      </c>
      <c r="D1922" s="12" t="s">
        <v>130</v>
      </c>
      <c r="E1922" s="12" t="s">
        <v>104</v>
      </c>
      <c r="F1922">
        <v>3</v>
      </c>
      <c r="G1922">
        <v>1</v>
      </c>
      <c r="H1922">
        <v>0</v>
      </c>
      <c r="I1922" s="12" t="s">
        <v>176</v>
      </c>
      <c r="J1922" s="12" t="s">
        <v>177</v>
      </c>
      <c r="K1922" s="12" t="s">
        <v>125</v>
      </c>
      <c r="L1922" s="12" t="s">
        <v>134</v>
      </c>
      <c r="M1922">
        <v>1.75</v>
      </c>
      <c r="N1922" s="12" t="s">
        <v>135</v>
      </c>
      <c r="O1922" s="12" t="s">
        <v>136</v>
      </c>
      <c r="P1922" s="12" t="s">
        <v>137</v>
      </c>
      <c r="Q1922" s="13">
        <v>45307</v>
      </c>
      <c r="R1922" s="13">
        <v>45333</v>
      </c>
      <c r="S1922">
        <v>2024</v>
      </c>
      <c r="T1922" s="12" t="s">
        <v>2513</v>
      </c>
      <c r="U1922">
        <v>123</v>
      </c>
      <c r="V1922">
        <v>310.99439999999998</v>
      </c>
      <c r="W1922">
        <v>894.95</v>
      </c>
      <c r="X1922">
        <v>0</v>
      </c>
      <c r="Y1922">
        <v>0</v>
      </c>
      <c r="Z1922">
        <v>38252.31</v>
      </c>
      <c r="AA1922">
        <v>39147.26</v>
      </c>
      <c r="AB1922" s="12" t="s">
        <v>492</v>
      </c>
      <c r="AC1922">
        <v>297.19900000000001</v>
      </c>
      <c r="AD1922">
        <v>1</v>
      </c>
      <c r="AE1922">
        <v>1</v>
      </c>
      <c r="AF1922">
        <v>1696.83</v>
      </c>
      <c r="AG1922">
        <v>36555.480000000003</v>
      </c>
      <c r="AH1922">
        <v>123</v>
      </c>
      <c r="AI1922">
        <v>121</v>
      </c>
      <c r="AJ1922">
        <v>2</v>
      </c>
      <c r="AK1922">
        <v>1</v>
      </c>
      <c r="AL1922">
        <v>1</v>
      </c>
      <c r="AM1922">
        <v>98.37</v>
      </c>
      <c r="AN1922">
        <v>323.53109999999998</v>
      </c>
      <c r="AO1922">
        <v>621.99</v>
      </c>
      <c r="AP1922" s="13">
        <v>45330</v>
      </c>
      <c r="AQ1922">
        <v>-3</v>
      </c>
      <c r="AR1922">
        <v>1</v>
      </c>
    </row>
    <row r="1923" spans="1:44" x14ac:dyDescent="0.35">
      <c r="A1923" s="12" t="s">
        <v>2629</v>
      </c>
      <c r="B1923" s="12" t="s">
        <v>869</v>
      </c>
      <c r="C1923" s="12" t="s">
        <v>870</v>
      </c>
      <c r="D1923" s="12" t="s">
        <v>130</v>
      </c>
      <c r="E1923" s="12" t="s">
        <v>104</v>
      </c>
      <c r="F1923">
        <v>2</v>
      </c>
      <c r="G1923">
        <v>0</v>
      </c>
      <c r="H1923">
        <v>0</v>
      </c>
      <c r="I1923" s="12" t="s">
        <v>515</v>
      </c>
      <c r="J1923" s="12" t="s">
        <v>516</v>
      </c>
      <c r="K1923" s="12" t="s">
        <v>68</v>
      </c>
      <c r="L1923" s="12" t="s">
        <v>134</v>
      </c>
      <c r="M1923">
        <v>3.69</v>
      </c>
      <c r="N1923" s="12" t="s">
        <v>135</v>
      </c>
      <c r="O1923" s="12" t="s">
        <v>136</v>
      </c>
      <c r="P1923" s="12" t="s">
        <v>137</v>
      </c>
      <c r="Q1923" s="13">
        <v>45307</v>
      </c>
      <c r="R1923" s="13">
        <v>45323</v>
      </c>
      <c r="S1923">
        <v>2024</v>
      </c>
      <c r="T1923" s="12" t="s">
        <v>2513</v>
      </c>
      <c r="U1923">
        <v>43</v>
      </c>
      <c r="V1923">
        <v>583.34230000000002</v>
      </c>
      <c r="W1923">
        <v>355.6</v>
      </c>
      <c r="X1923">
        <v>0</v>
      </c>
      <c r="Y1923">
        <v>0</v>
      </c>
      <c r="Z1923">
        <v>25083.72</v>
      </c>
      <c r="AA1923">
        <v>25439.32</v>
      </c>
      <c r="AB1923" s="12" t="s">
        <v>871</v>
      </c>
      <c r="AC1923">
        <v>583.34230000000002</v>
      </c>
      <c r="AD1923">
        <v>1</v>
      </c>
      <c r="AE1923">
        <v>1</v>
      </c>
      <c r="AF1923">
        <v>0</v>
      </c>
      <c r="AG1923">
        <v>25083.72</v>
      </c>
      <c r="AH1923">
        <v>43</v>
      </c>
      <c r="AI1923">
        <v>43</v>
      </c>
      <c r="AJ1923">
        <v>0</v>
      </c>
      <c r="AK1923">
        <v>1</v>
      </c>
      <c r="AL1923">
        <v>1</v>
      </c>
      <c r="AM1923">
        <v>100</v>
      </c>
      <c r="AN1923">
        <v>591.61210000000005</v>
      </c>
      <c r="AO1923">
        <v>0</v>
      </c>
      <c r="AP1923" s="13">
        <v>45322</v>
      </c>
      <c r="AQ1923">
        <v>-1</v>
      </c>
      <c r="AR1923">
        <v>1</v>
      </c>
    </row>
    <row r="1924" spans="1:44" x14ac:dyDescent="0.35">
      <c r="A1924" s="12" t="s">
        <v>2630</v>
      </c>
      <c r="B1924" s="12" t="s">
        <v>712</v>
      </c>
      <c r="C1924" s="12" t="s">
        <v>713</v>
      </c>
      <c r="D1924" s="12" t="s">
        <v>103</v>
      </c>
      <c r="E1924" s="12" t="s">
        <v>104</v>
      </c>
      <c r="F1924">
        <v>2</v>
      </c>
      <c r="G1924">
        <v>0</v>
      </c>
      <c r="H1924">
        <v>0</v>
      </c>
      <c r="I1924" s="12" t="s">
        <v>105</v>
      </c>
      <c r="J1924" s="12" t="s">
        <v>106</v>
      </c>
      <c r="K1924" s="12" t="s">
        <v>81</v>
      </c>
      <c r="L1924" s="12" t="s">
        <v>96</v>
      </c>
      <c r="M1924">
        <v>5.01</v>
      </c>
      <c r="N1924" s="12" t="s">
        <v>145</v>
      </c>
      <c r="O1924" s="12" t="s">
        <v>146</v>
      </c>
      <c r="P1924" s="12" t="s">
        <v>109</v>
      </c>
      <c r="Q1924" s="13">
        <v>45307</v>
      </c>
      <c r="R1924" s="13">
        <v>45327</v>
      </c>
      <c r="S1924">
        <v>2024</v>
      </c>
      <c r="T1924" s="12" t="s">
        <v>2513</v>
      </c>
      <c r="U1924">
        <v>76</v>
      </c>
      <c r="V1924">
        <v>202.47229999999999</v>
      </c>
      <c r="W1924">
        <v>182.24</v>
      </c>
      <c r="X1924">
        <v>0</v>
      </c>
      <c r="Y1924">
        <v>0</v>
      </c>
      <c r="Z1924">
        <v>15387.89</v>
      </c>
      <c r="AA1924">
        <v>15570.13</v>
      </c>
      <c r="AB1924" s="12" t="s">
        <v>1451</v>
      </c>
      <c r="AC1924">
        <v>202.47229999999999</v>
      </c>
      <c r="AD1924">
        <v>1</v>
      </c>
      <c r="AE1924">
        <v>1</v>
      </c>
      <c r="AF1924">
        <v>0</v>
      </c>
      <c r="AG1924">
        <v>15387.89</v>
      </c>
      <c r="AH1924">
        <v>76</v>
      </c>
      <c r="AI1924">
        <v>76</v>
      </c>
      <c r="AJ1924">
        <v>0</v>
      </c>
      <c r="AK1924">
        <v>1</v>
      </c>
      <c r="AL1924">
        <v>1</v>
      </c>
      <c r="AM1924">
        <v>100</v>
      </c>
      <c r="AN1924">
        <v>204.87020000000001</v>
      </c>
      <c r="AO1924">
        <v>0</v>
      </c>
      <c r="AP1924" s="13">
        <v>45335</v>
      </c>
      <c r="AQ1924">
        <v>8</v>
      </c>
      <c r="AR1924">
        <v>0</v>
      </c>
    </row>
    <row r="1925" spans="1:44" x14ac:dyDescent="0.35">
      <c r="A1925" s="12" t="s">
        <v>2631</v>
      </c>
      <c r="B1925" s="12" t="s">
        <v>972</v>
      </c>
      <c r="C1925" s="12" t="s">
        <v>973</v>
      </c>
      <c r="D1925" s="12" t="s">
        <v>130</v>
      </c>
      <c r="E1925" s="12" t="s">
        <v>142</v>
      </c>
      <c r="F1925">
        <v>2</v>
      </c>
      <c r="G1925">
        <v>9</v>
      </c>
      <c r="H1925">
        <v>0</v>
      </c>
      <c r="I1925" s="12" t="s">
        <v>676</v>
      </c>
      <c r="J1925" s="12" t="s">
        <v>677</v>
      </c>
      <c r="K1925" s="12" t="s">
        <v>68</v>
      </c>
      <c r="L1925" s="12" t="s">
        <v>96</v>
      </c>
      <c r="M1925">
        <v>3.57</v>
      </c>
      <c r="N1925" s="12" t="s">
        <v>135</v>
      </c>
      <c r="O1925" s="12" t="s">
        <v>136</v>
      </c>
      <c r="P1925" s="12" t="s">
        <v>137</v>
      </c>
      <c r="Q1925" s="13">
        <v>45307</v>
      </c>
      <c r="R1925" s="13">
        <v>45358</v>
      </c>
      <c r="S1925">
        <v>2024</v>
      </c>
      <c r="T1925" s="12" t="s">
        <v>2513</v>
      </c>
      <c r="U1925">
        <v>141</v>
      </c>
      <c r="V1925">
        <v>842.69190000000003</v>
      </c>
      <c r="W1925">
        <v>2487.91</v>
      </c>
      <c r="X1925">
        <v>0</v>
      </c>
      <c r="Y1925">
        <v>0</v>
      </c>
      <c r="Z1925">
        <v>118819.56</v>
      </c>
      <c r="AA1925">
        <v>121307.47</v>
      </c>
      <c r="AB1925" s="12" t="s">
        <v>974</v>
      </c>
      <c r="AC1925">
        <v>842.69190000000003</v>
      </c>
      <c r="AD1925">
        <v>1</v>
      </c>
      <c r="AE1925">
        <v>1</v>
      </c>
      <c r="AF1925">
        <v>0</v>
      </c>
      <c r="AG1925">
        <v>118819.56</v>
      </c>
      <c r="AH1925">
        <v>141</v>
      </c>
      <c r="AI1925">
        <v>139</v>
      </c>
      <c r="AJ1925">
        <v>2</v>
      </c>
      <c r="AK1925">
        <v>1</v>
      </c>
      <c r="AL1925">
        <v>1</v>
      </c>
      <c r="AM1925">
        <v>98.58</v>
      </c>
      <c r="AN1925">
        <v>872.71559999999999</v>
      </c>
      <c r="AO1925">
        <v>1685.38</v>
      </c>
      <c r="AP1925" s="13">
        <v>45357</v>
      </c>
      <c r="AQ1925">
        <v>-1</v>
      </c>
      <c r="AR1925">
        <v>1</v>
      </c>
    </row>
    <row r="1926" spans="1:44" x14ac:dyDescent="0.35">
      <c r="A1926" s="12" t="s">
        <v>2632</v>
      </c>
      <c r="B1926" s="12" t="s">
        <v>766</v>
      </c>
      <c r="C1926" s="12" t="s">
        <v>767</v>
      </c>
      <c r="D1926" s="12" t="s">
        <v>175</v>
      </c>
      <c r="E1926" s="12" t="s">
        <v>65</v>
      </c>
      <c r="F1926">
        <v>3</v>
      </c>
      <c r="G1926">
        <v>5</v>
      </c>
      <c r="H1926">
        <v>0</v>
      </c>
      <c r="I1926" s="12" t="s">
        <v>143</v>
      </c>
      <c r="J1926" s="12" t="s">
        <v>144</v>
      </c>
      <c r="K1926" s="12" t="s">
        <v>133</v>
      </c>
      <c r="L1926" s="12" t="s">
        <v>96</v>
      </c>
      <c r="M1926">
        <v>5.43</v>
      </c>
      <c r="N1926" s="12" t="s">
        <v>145</v>
      </c>
      <c r="O1926" s="12" t="s">
        <v>146</v>
      </c>
      <c r="P1926" s="12" t="s">
        <v>109</v>
      </c>
      <c r="Q1926" s="13">
        <v>45308</v>
      </c>
      <c r="R1926" s="13">
        <v>45343</v>
      </c>
      <c r="S1926">
        <v>2024</v>
      </c>
      <c r="T1926" s="12" t="s">
        <v>2513</v>
      </c>
      <c r="U1926">
        <v>122</v>
      </c>
      <c r="V1926">
        <v>89.831400000000002</v>
      </c>
      <c r="W1926">
        <v>131.91999999999999</v>
      </c>
      <c r="X1926">
        <v>0</v>
      </c>
      <c r="Y1926">
        <v>0</v>
      </c>
      <c r="Z1926">
        <v>10959.43</v>
      </c>
      <c r="AA1926">
        <v>11091.35</v>
      </c>
      <c r="AB1926" s="12" t="s">
        <v>201</v>
      </c>
      <c r="AD1926">
        <v>0</v>
      </c>
      <c r="AE1926">
        <v>0</v>
      </c>
      <c r="AH1926">
        <v>122</v>
      </c>
      <c r="AI1926">
        <v>122</v>
      </c>
      <c r="AJ1926">
        <v>0</v>
      </c>
      <c r="AK1926">
        <v>1</v>
      </c>
      <c r="AL1926">
        <v>1</v>
      </c>
      <c r="AM1926">
        <v>100</v>
      </c>
      <c r="AN1926">
        <v>90.912700000000001</v>
      </c>
      <c r="AO1926">
        <v>0</v>
      </c>
      <c r="AP1926" s="13">
        <v>45341</v>
      </c>
      <c r="AQ1926">
        <v>-2</v>
      </c>
      <c r="AR1926">
        <v>1</v>
      </c>
    </row>
    <row r="1927" spans="1:44" x14ac:dyDescent="0.35">
      <c r="A1927" s="12" t="s">
        <v>2633</v>
      </c>
      <c r="B1927" s="12" t="s">
        <v>513</v>
      </c>
      <c r="C1927" s="12" t="s">
        <v>514</v>
      </c>
      <c r="D1927" s="12" t="s">
        <v>269</v>
      </c>
      <c r="E1927" s="12" t="s">
        <v>65</v>
      </c>
      <c r="F1927">
        <v>1</v>
      </c>
      <c r="G1927">
        <v>2</v>
      </c>
      <c r="H1927">
        <v>1</v>
      </c>
      <c r="I1927" s="12" t="s">
        <v>515</v>
      </c>
      <c r="J1927" s="12" t="s">
        <v>516</v>
      </c>
      <c r="K1927" s="12" t="s">
        <v>68</v>
      </c>
      <c r="L1927" s="12" t="s">
        <v>134</v>
      </c>
      <c r="M1927">
        <v>3.69</v>
      </c>
      <c r="N1927" s="12" t="s">
        <v>135</v>
      </c>
      <c r="O1927" s="12" t="s">
        <v>136</v>
      </c>
      <c r="P1927" s="12" t="s">
        <v>137</v>
      </c>
      <c r="Q1927" s="13">
        <v>45308</v>
      </c>
      <c r="R1927" s="13">
        <v>45345</v>
      </c>
      <c r="S1927">
        <v>2024</v>
      </c>
      <c r="T1927" s="12" t="s">
        <v>2513</v>
      </c>
      <c r="U1927">
        <v>140</v>
      </c>
      <c r="V1927">
        <v>229.3486</v>
      </c>
      <c r="W1927">
        <v>426.07</v>
      </c>
      <c r="X1927">
        <v>0</v>
      </c>
      <c r="Y1927">
        <v>0</v>
      </c>
      <c r="Z1927">
        <v>32108.799999999999</v>
      </c>
      <c r="AA1927">
        <v>32534.87</v>
      </c>
      <c r="AB1927" s="12" t="s">
        <v>517</v>
      </c>
      <c r="AC1927">
        <v>229.3486</v>
      </c>
      <c r="AD1927">
        <v>1</v>
      </c>
      <c r="AE1927">
        <v>1</v>
      </c>
      <c r="AF1927">
        <v>0</v>
      </c>
      <c r="AG1927">
        <v>32108.799999999999</v>
      </c>
      <c r="AH1927">
        <v>140</v>
      </c>
      <c r="AI1927">
        <v>138</v>
      </c>
      <c r="AJ1927">
        <v>2</v>
      </c>
      <c r="AK1927">
        <v>1</v>
      </c>
      <c r="AL1927">
        <v>1</v>
      </c>
      <c r="AM1927">
        <v>98.57</v>
      </c>
      <c r="AN1927">
        <v>235.76</v>
      </c>
      <c r="AO1927">
        <v>458.7</v>
      </c>
      <c r="AP1927" s="13">
        <v>45342</v>
      </c>
      <c r="AQ1927">
        <v>-3</v>
      </c>
      <c r="AR1927">
        <v>1</v>
      </c>
    </row>
    <row r="1928" spans="1:44" x14ac:dyDescent="0.35">
      <c r="A1928" s="12" t="s">
        <v>2634</v>
      </c>
      <c r="B1928" s="12" t="s">
        <v>284</v>
      </c>
      <c r="C1928" s="12" t="s">
        <v>285</v>
      </c>
      <c r="D1928" s="12" t="s">
        <v>269</v>
      </c>
      <c r="E1928" s="12" t="s">
        <v>104</v>
      </c>
      <c r="F1928">
        <v>3</v>
      </c>
      <c r="G1928">
        <v>1</v>
      </c>
      <c r="H1928">
        <v>0</v>
      </c>
      <c r="I1928" s="12" t="s">
        <v>243</v>
      </c>
      <c r="J1928" s="12" t="s">
        <v>244</v>
      </c>
      <c r="K1928" s="12" t="s">
        <v>81</v>
      </c>
      <c r="L1928" s="12" t="s">
        <v>82</v>
      </c>
      <c r="M1928">
        <v>9.2200000000000006</v>
      </c>
      <c r="N1928" s="12" t="s">
        <v>159</v>
      </c>
      <c r="O1928" s="12" t="s">
        <v>160</v>
      </c>
      <c r="P1928" s="12" t="s">
        <v>137</v>
      </c>
      <c r="Q1928" s="13">
        <v>45308</v>
      </c>
      <c r="R1928" s="13">
        <v>45337</v>
      </c>
      <c r="S1928">
        <v>2024</v>
      </c>
      <c r="T1928" s="12" t="s">
        <v>2513</v>
      </c>
      <c r="U1928">
        <v>149</v>
      </c>
      <c r="V1928">
        <v>397.87</v>
      </c>
      <c r="W1928">
        <v>777.71</v>
      </c>
      <c r="X1928">
        <v>0</v>
      </c>
      <c r="Y1928">
        <v>0</v>
      </c>
      <c r="Z1928">
        <v>59282.63</v>
      </c>
      <c r="AA1928">
        <v>60060.34</v>
      </c>
      <c r="AB1928" s="12" t="s">
        <v>1251</v>
      </c>
      <c r="AC1928">
        <v>397.87</v>
      </c>
      <c r="AD1928">
        <v>1</v>
      </c>
      <c r="AE1928">
        <v>1</v>
      </c>
      <c r="AF1928">
        <v>0</v>
      </c>
      <c r="AG1928">
        <v>59282.63</v>
      </c>
      <c r="AH1928">
        <v>149</v>
      </c>
      <c r="AI1928">
        <v>147</v>
      </c>
      <c r="AJ1928">
        <v>2</v>
      </c>
      <c r="AK1928">
        <v>1</v>
      </c>
      <c r="AL1928">
        <v>1</v>
      </c>
      <c r="AM1928">
        <v>98.66</v>
      </c>
      <c r="AN1928">
        <v>408.57369999999997</v>
      </c>
      <c r="AO1928">
        <v>795.74</v>
      </c>
      <c r="AP1928" s="13">
        <v>45337</v>
      </c>
      <c r="AQ1928">
        <v>0</v>
      </c>
      <c r="AR1928">
        <v>1</v>
      </c>
    </row>
    <row r="1929" spans="1:44" x14ac:dyDescent="0.35">
      <c r="A1929" s="12" t="s">
        <v>2635</v>
      </c>
      <c r="B1929" s="12" t="s">
        <v>1026</v>
      </c>
      <c r="C1929" s="12" t="s">
        <v>1027</v>
      </c>
      <c r="D1929" s="12" t="s">
        <v>122</v>
      </c>
      <c r="E1929" s="12" t="s">
        <v>104</v>
      </c>
      <c r="F1929">
        <v>3</v>
      </c>
      <c r="G1929">
        <v>1</v>
      </c>
      <c r="H1929">
        <v>0</v>
      </c>
      <c r="I1929" s="12" t="s">
        <v>604</v>
      </c>
      <c r="J1929" s="12" t="s">
        <v>605</v>
      </c>
      <c r="K1929" s="12" t="s">
        <v>68</v>
      </c>
      <c r="L1929" s="12" t="s">
        <v>82</v>
      </c>
      <c r="M1929">
        <v>7.24</v>
      </c>
      <c r="N1929" s="12" t="s">
        <v>97</v>
      </c>
      <c r="O1929" s="12" t="s">
        <v>98</v>
      </c>
      <c r="P1929" s="12" t="s">
        <v>72</v>
      </c>
      <c r="Q1929" s="13">
        <v>45308</v>
      </c>
      <c r="R1929" s="13">
        <v>45320</v>
      </c>
      <c r="S1929">
        <v>2024</v>
      </c>
      <c r="T1929" s="12" t="s">
        <v>2513</v>
      </c>
      <c r="U1929">
        <v>251</v>
      </c>
      <c r="V1929">
        <v>41.886099999999999</v>
      </c>
      <c r="W1929">
        <v>113.14</v>
      </c>
      <c r="X1929">
        <v>0</v>
      </c>
      <c r="Y1929">
        <v>0</v>
      </c>
      <c r="Z1929">
        <v>10513.41</v>
      </c>
      <c r="AA1929">
        <v>10626.55</v>
      </c>
      <c r="AB1929" s="12" t="s">
        <v>1028</v>
      </c>
      <c r="AC1929">
        <v>41.886099999999999</v>
      </c>
      <c r="AD1929">
        <v>1</v>
      </c>
      <c r="AE1929">
        <v>1</v>
      </c>
      <c r="AF1929">
        <v>0</v>
      </c>
      <c r="AG1929">
        <v>10513.41</v>
      </c>
      <c r="AH1929">
        <v>251</v>
      </c>
      <c r="AI1929">
        <v>249</v>
      </c>
      <c r="AJ1929">
        <v>2</v>
      </c>
      <c r="AK1929">
        <v>1</v>
      </c>
      <c r="AL1929">
        <v>1</v>
      </c>
      <c r="AM1929">
        <v>99.2</v>
      </c>
      <c r="AN1929">
        <v>42.676900000000003</v>
      </c>
      <c r="AO1929">
        <v>83.77</v>
      </c>
      <c r="AP1929" s="13">
        <v>45320</v>
      </c>
      <c r="AQ1929">
        <v>0</v>
      </c>
      <c r="AR1929">
        <v>1</v>
      </c>
    </row>
    <row r="1930" spans="1:44" x14ac:dyDescent="0.35">
      <c r="A1930" s="12" t="s">
        <v>2636</v>
      </c>
      <c r="B1930" s="12" t="s">
        <v>1179</v>
      </c>
      <c r="C1930" s="12" t="s">
        <v>1180</v>
      </c>
      <c r="D1930" s="12" t="s">
        <v>122</v>
      </c>
      <c r="E1930" s="12" t="s">
        <v>142</v>
      </c>
      <c r="F1930">
        <v>1</v>
      </c>
      <c r="G1930">
        <v>8</v>
      </c>
      <c r="H1930">
        <v>1</v>
      </c>
      <c r="I1930" s="12" t="s">
        <v>143</v>
      </c>
      <c r="J1930" s="12" t="s">
        <v>144</v>
      </c>
      <c r="K1930" s="12" t="s">
        <v>133</v>
      </c>
      <c r="L1930" s="12" t="s">
        <v>96</v>
      </c>
      <c r="M1930">
        <v>5.43</v>
      </c>
      <c r="N1930" s="12" t="s">
        <v>70</v>
      </c>
      <c r="O1930" s="12" t="s">
        <v>71</v>
      </c>
      <c r="P1930" s="12" t="s">
        <v>72</v>
      </c>
      <c r="Q1930" s="13">
        <v>45308</v>
      </c>
      <c r="R1930" s="13">
        <v>45350</v>
      </c>
      <c r="S1930">
        <v>2024</v>
      </c>
      <c r="T1930" s="12" t="s">
        <v>2513</v>
      </c>
      <c r="U1930">
        <v>933</v>
      </c>
      <c r="V1930">
        <v>52.674799999999998</v>
      </c>
      <c r="W1930">
        <v>307.3</v>
      </c>
      <c r="X1930">
        <v>0</v>
      </c>
      <c r="Y1930">
        <v>0</v>
      </c>
      <c r="Z1930">
        <v>49145.59</v>
      </c>
      <c r="AA1930">
        <v>49452.89</v>
      </c>
      <c r="AB1930" s="12" t="s">
        <v>1181</v>
      </c>
      <c r="AC1930">
        <v>52.674799999999998</v>
      </c>
      <c r="AD1930">
        <v>1</v>
      </c>
      <c r="AE1930">
        <v>1</v>
      </c>
      <c r="AF1930">
        <v>0</v>
      </c>
      <c r="AG1930">
        <v>49145.59</v>
      </c>
      <c r="AH1930">
        <v>933</v>
      </c>
      <c r="AI1930">
        <v>924</v>
      </c>
      <c r="AJ1930">
        <v>9</v>
      </c>
      <c r="AK1930">
        <v>1</v>
      </c>
      <c r="AL1930">
        <v>1</v>
      </c>
      <c r="AM1930">
        <v>99.04</v>
      </c>
      <c r="AN1930">
        <v>53.520400000000002</v>
      </c>
      <c r="AO1930">
        <v>474.07</v>
      </c>
      <c r="AP1930" s="13">
        <v>45350</v>
      </c>
      <c r="AQ1930">
        <v>0</v>
      </c>
      <c r="AR1930">
        <v>1</v>
      </c>
    </row>
    <row r="1931" spans="1:44" x14ac:dyDescent="0.35">
      <c r="A1931" s="12" t="s">
        <v>2637</v>
      </c>
      <c r="B1931" s="12" t="s">
        <v>736</v>
      </c>
      <c r="C1931" s="12" t="s">
        <v>737</v>
      </c>
      <c r="D1931" s="12" t="s">
        <v>64</v>
      </c>
      <c r="E1931" s="12" t="s">
        <v>104</v>
      </c>
      <c r="F1931">
        <v>3</v>
      </c>
      <c r="G1931">
        <v>1</v>
      </c>
      <c r="H1931">
        <v>0</v>
      </c>
      <c r="I1931" s="12" t="s">
        <v>131</v>
      </c>
      <c r="J1931" s="12" t="s">
        <v>132</v>
      </c>
      <c r="K1931" s="12" t="s">
        <v>133</v>
      </c>
      <c r="L1931" s="12" t="s">
        <v>134</v>
      </c>
      <c r="M1931">
        <v>1.51</v>
      </c>
      <c r="N1931" s="12" t="s">
        <v>97</v>
      </c>
      <c r="O1931" s="12" t="s">
        <v>98</v>
      </c>
      <c r="P1931" s="12" t="s">
        <v>72</v>
      </c>
      <c r="Q1931" s="13">
        <v>45308</v>
      </c>
      <c r="R1931" s="13">
        <v>45322</v>
      </c>
      <c r="S1931">
        <v>2024</v>
      </c>
      <c r="T1931" s="12" t="s">
        <v>2513</v>
      </c>
      <c r="U1931">
        <v>229</v>
      </c>
      <c r="V1931">
        <v>27.642199999999999</v>
      </c>
      <c r="W1931">
        <v>157.37</v>
      </c>
      <c r="X1931">
        <v>0</v>
      </c>
      <c r="Y1931">
        <v>0</v>
      </c>
      <c r="Z1931">
        <v>6330.06</v>
      </c>
      <c r="AA1931">
        <v>6487.43</v>
      </c>
      <c r="AB1931" s="12" t="s">
        <v>201</v>
      </c>
      <c r="AD1931">
        <v>0</v>
      </c>
      <c r="AE1931">
        <v>0</v>
      </c>
      <c r="AH1931">
        <v>229</v>
      </c>
      <c r="AI1931">
        <v>227</v>
      </c>
      <c r="AJ1931">
        <v>2</v>
      </c>
      <c r="AK1931">
        <v>1</v>
      </c>
      <c r="AL1931">
        <v>1</v>
      </c>
      <c r="AM1931">
        <v>99.13</v>
      </c>
      <c r="AN1931">
        <v>28.579000000000001</v>
      </c>
      <c r="AO1931">
        <v>55.28</v>
      </c>
      <c r="AP1931" s="13">
        <v>45320</v>
      </c>
      <c r="AQ1931">
        <v>-2</v>
      </c>
      <c r="AR1931">
        <v>1</v>
      </c>
    </row>
    <row r="1932" spans="1:44" x14ac:dyDescent="0.35">
      <c r="A1932" s="12" t="s">
        <v>2638</v>
      </c>
      <c r="B1932" s="12" t="s">
        <v>941</v>
      </c>
      <c r="C1932" s="12" t="s">
        <v>942</v>
      </c>
      <c r="D1932" s="12" t="s">
        <v>130</v>
      </c>
      <c r="E1932" s="12" t="s">
        <v>104</v>
      </c>
      <c r="F1932">
        <v>2</v>
      </c>
      <c r="G1932">
        <v>0</v>
      </c>
      <c r="H1932">
        <v>0</v>
      </c>
      <c r="I1932" s="12" t="s">
        <v>151</v>
      </c>
      <c r="J1932" s="12" t="s">
        <v>152</v>
      </c>
      <c r="K1932" s="12" t="s">
        <v>125</v>
      </c>
      <c r="L1932" s="12" t="s">
        <v>69</v>
      </c>
      <c r="M1932">
        <v>36.479999999999997</v>
      </c>
      <c r="N1932" s="12" t="s">
        <v>159</v>
      </c>
      <c r="O1932" s="12" t="s">
        <v>160</v>
      </c>
      <c r="P1932" s="12" t="s">
        <v>137</v>
      </c>
      <c r="Q1932" s="13">
        <v>45308</v>
      </c>
      <c r="R1932" s="13">
        <v>45324</v>
      </c>
      <c r="S1932">
        <v>2024</v>
      </c>
      <c r="T1932" s="12" t="s">
        <v>2513</v>
      </c>
      <c r="U1932">
        <v>44</v>
      </c>
      <c r="V1932">
        <v>1023.6174999999999</v>
      </c>
      <c r="W1932">
        <v>410.51</v>
      </c>
      <c r="X1932">
        <v>0</v>
      </c>
      <c r="Y1932">
        <v>0</v>
      </c>
      <c r="Z1932">
        <v>45039.17</v>
      </c>
      <c r="AA1932">
        <v>45449.68</v>
      </c>
      <c r="AB1932" s="12" t="s">
        <v>1082</v>
      </c>
      <c r="AC1932">
        <v>990.29020000000003</v>
      </c>
      <c r="AD1932">
        <v>1</v>
      </c>
      <c r="AE1932">
        <v>1</v>
      </c>
      <c r="AF1932">
        <v>1466.4</v>
      </c>
      <c r="AG1932">
        <v>43572.77</v>
      </c>
      <c r="AH1932">
        <v>44</v>
      </c>
      <c r="AI1932">
        <v>44</v>
      </c>
      <c r="AJ1932">
        <v>0</v>
      </c>
      <c r="AK1932">
        <v>1</v>
      </c>
      <c r="AL1932">
        <v>1</v>
      </c>
      <c r="AM1932">
        <v>100</v>
      </c>
      <c r="AN1932">
        <v>1032.9473</v>
      </c>
      <c r="AO1932">
        <v>0</v>
      </c>
      <c r="AP1932" s="13">
        <v>45322</v>
      </c>
      <c r="AQ1932">
        <v>-2</v>
      </c>
      <c r="AR1932">
        <v>1</v>
      </c>
    </row>
    <row r="1933" spans="1:44" x14ac:dyDescent="0.35">
      <c r="A1933" s="12" t="s">
        <v>2639</v>
      </c>
      <c r="B1933" s="12" t="s">
        <v>837</v>
      </c>
      <c r="C1933" s="12" t="s">
        <v>838</v>
      </c>
      <c r="D1933" s="12" t="s">
        <v>114</v>
      </c>
      <c r="E1933" s="12" t="s">
        <v>104</v>
      </c>
      <c r="F1933">
        <v>2</v>
      </c>
      <c r="G1933">
        <v>0</v>
      </c>
      <c r="H1933">
        <v>0</v>
      </c>
      <c r="I1933" s="12" t="s">
        <v>199</v>
      </c>
      <c r="J1933" s="12" t="s">
        <v>200</v>
      </c>
      <c r="K1933" s="12" t="s">
        <v>68</v>
      </c>
      <c r="L1933" s="12" t="s">
        <v>96</v>
      </c>
      <c r="M1933">
        <v>9.4700000000000006</v>
      </c>
      <c r="N1933" s="12" t="s">
        <v>70</v>
      </c>
      <c r="O1933" s="12" t="s">
        <v>71</v>
      </c>
      <c r="P1933" s="12" t="s">
        <v>72</v>
      </c>
      <c r="Q1933" s="13">
        <v>45309</v>
      </c>
      <c r="R1933" s="13">
        <v>45322</v>
      </c>
      <c r="S1933">
        <v>2024</v>
      </c>
      <c r="T1933" s="12" t="s">
        <v>2513</v>
      </c>
      <c r="U1933">
        <v>18</v>
      </c>
      <c r="V1933">
        <v>71.121200000000002</v>
      </c>
      <c r="W1933">
        <v>13.82</v>
      </c>
      <c r="X1933">
        <v>0</v>
      </c>
      <c r="Y1933">
        <v>0</v>
      </c>
      <c r="Z1933">
        <v>1280.18</v>
      </c>
      <c r="AA1933">
        <v>1294</v>
      </c>
      <c r="AB1933" s="12" t="s">
        <v>839</v>
      </c>
      <c r="AC1933">
        <v>71.121200000000002</v>
      </c>
      <c r="AD1933">
        <v>1</v>
      </c>
      <c r="AE1933">
        <v>1</v>
      </c>
      <c r="AF1933">
        <v>0</v>
      </c>
      <c r="AG1933">
        <v>1280.18</v>
      </c>
      <c r="AH1933">
        <v>18</v>
      </c>
      <c r="AI1933">
        <v>18</v>
      </c>
      <c r="AJ1933">
        <v>0</v>
      </c>
      <c r="AK1933">
        <v>1</v>
      </c>
      <c r="AL1933">
        <v>1</v>
      </c>
      <c r="AM1933">
        <v>100</v>
      </c>
      <c r="AN1933">
        <v>71.888999999999996</v>
      </c>
      <c r="AO1933">
        <v>0</v>
      </c>
      <c r="AP1933" s="13">
        <v>45326</v>
      </c>
      <c r="AQ1933">
        <v>4</v>
      </c>
      <c r="AR1933">
        <v>0</v>
      </c>
    </row>
    <row r="1934" spans="1:44" x14ac:dyDescent="0.35">
      <c r="A1934" s="12" t="s">
        <v>2640</v>
      </c>
      <c r="B1934" s="12" t="s">
        <v>1108</v>
      </c>
      <c r="C1934" s="12" t="s">
        <v>1109</v>
      </c>
      <c r="D1934" s="12" t="s">
        <v>103</v>
      </c>
      <c r="E1934" s="12" t="s">
        <v>65</v>
      </c>
      <c r="F1934">
        <v>3</v>
      </c>
      <c r="G1934">
        <v>4</v>
      </c>
      <c r="H1934">
        <v>0</v>
      </c>
      <c r="I1934" s="12" t="s">
        <v>79</v>
      </c>
      <c r="J1934" s="12" t="s">
        <v>80</v>
      </c>
      <c r="K1934" s="12" t="s">
        <v>81</v>
      </c>
      <c r="L1934" s="12" t="s">
        <v>82</v>
      </c>
      <c r="M1934">
        <v>12.07</v>
      </c>
      <c r="N1934" s="12" t="s">
        <v>107</v>
      </c>
      <c r="O1934" s="12" t="s">
        <v>108</v>
      </c>
      <c r="P1934" s="12" t="s">
        <v>109</v>
      </c>
      <c r="Q1934" s="13">
        <v>45309</v>
      </c>
      <c r="R1934" s="13">
        <v>45340</v>
      </c>
      <c r="S1934">
        <v>2024</v>
      </c>
      <c r="T1934" s="12" t="s">
        <v>2513</v>
      </c>
      <c r="U1934">
        <v>94</v>
      </c>
      <c r="V1934">
        <v>89.495000000000005</v>
      </c>
      <c r="W1934">
        <v>133.69</v>
      </c>
      <c r="X1934">
        <v>0</v>
      </c>
      <c r="Y1934">
        <v>0</v>
      </c>
      <c r="Z1934">
        <v>8412.5300000000007</v>
      </c>
      <c r="AA1934">
        <v>8546.2199999999993</v>
      </c>
      <c r="AB1934" s="12" t="s">
        <v>1634</v>
      </c>
      <c r="AC1934">
        <v>86.615200000000002</v>
      </c>
      <c r="AD1934">
        <v>1</v>
      </c>
      <c r="AE1934">
        <v>1</v>
      </c>
      <c r="AF1934">
        <v>270.7</v>
      </c>
      <c r="AG1934">
        <v>8141.83</v>
      </c>
      <c r="AH1934">
        <v>94</v>
      </c>
      <c r="AI1934">
        <v>94</v>
      </c>
      <c r="AJ1934">
        <v>0</v>
      </c>
      <c r="AK1934">
        <v>1</v>
      </c>
      <c r="AL1934">
        <v>1</v>
      </c>
      <c r="AM1934">
        <v>100</v>
      </c>
      <c r="AN1934">
        <v>90.917199999999994</v>
      </c>
      <c r="AO1934">
        <v>0</v>
      </c>
      <c r="AP1934" s="13">
        <v>45337</v>
      </c>
      <c r="AQ1934">
        <v>-3</v>
      </c>
      <c r="AR1934">
        <v>1</v>
      </c>
    </row>
    <row r="1935" spans="1:44" x14ac:dyDescent="0.35">
      <c r="A1935" s="12" t="s">
        <v>2641</v>
      </c>
      <c r="B1935" s="12" t="s">
        <v>1054</v>
      </c>
      <c r="C1935" s="12" t="s">
        <v>1055</v>
      </c>
      <c r="D1935" s="12" t="s">
        <v>122</v>
      </c>
      <c r="E1935" s="12" t="s">
        <v>65</v>
      </c>
      <c r="F1935">
        <v>1</v>
      </c>
      <c r="G1935">
        <v>2</v>
      </c>
      <c r="H1935">
        <v>1</v>
      </c>
      <c r="I1935" s="12" t="s">
        <v>176</v>
      </c>
      <c r="J1935" s="12" t="s">
        <v>177</v>
      </c>
      <c r="K1935" s="12" t="s">
        <v>125</v>
      </c>
      <c r="L1935" s="12" t="s">
        <v>134</v>
      </c>
      <c r="M1935">
        <v>1.75</v>
      </c>
      <c r="N1935" s="12" t="s">
        <v>97</v>
      </c>
      <c r="O1935" s="12" t="s">
        <v>98</v>
      </c>
      <c r="P1935" s="12" t="s">
        <v>72</v>
      </c>
      <c r="Q1935" s="13">
        <v>45309</v>
      </c>
      <c r="R1935" s="13">
        <v>45336</v>
      </c>
      <c r="S1935">
        <v>2024</v>
      </c>
      <c r="T1935" s="12" t="s">
        <v>2513</v>
      </c>
      <c r="U1935">
        <v>821</v>
      </c>
      <c r="V1935">
        <v>47.976300000000002</v>
      </c>
      <c r="W1935">
        <v>403.32</v>
      </c>
      <c r="X1935">
        <v>0</v>
      </c>
      <c r="Y1935">
        <v>0</v>
      </c>
      <c r="Z1935">
        <v>39388.54</v>
      </c>
      <c r="AA1935">
        <v>39791.86</v>
      </c>
      <c r="AB1935" s="12" t="s">
        <v>1056</v>
      </c>
      <c r="AC1935">
        <v>46.916699999999999</v>
      </c>
      <c r="AD1935">
        <v>1</v>
      </c>
      <c r="AE1935">
        <v>1</v>
      </c>
      <c r="AF1935">
        <v>869.93</v>
      </c>
      <c r="AG1935">
        <v>38518.61</v>
      </c>
      <c r="AH1935">
        <v>821</v>
      </c>
      <c r="AI1935">
        <v>817</v>
      </c>
      <c r="AJ1935">
        <v>4</v>
      </c>
      <c r="AK1935">
        <v>1</v>
      </c>
      <c r="AL1935">
        <v>1</v>
      </c>
      <c r="AM1935">
        <v>99.51</v>
      </c>
      <c r="AN1935">
        <v>48.704799999999999</v>
      </c>
      <c r="AO1935">
        <v>191.91</v>
      </c>
      <c r="AP1935" s="13">
        <v>45334</v>
      </c>
      <c r="AQ1935">
        <v>-2</v>
      </c>
      <c r="AR1935">
        <v>1</v>
      </c>
    </row>
    <row r="1936" spans="1:44" x14ac:dyDescent="0.35">
      <c r="A1936" s="12" t="s">
        <v>2642</v>
      </c>
      <c r="B1936" s="12" t="s">
        <v>503</v>
      </c>
      <c r="C1936" s="12" t="s">
        <v>504</v>
      </c>
      <c r="D1936" s="12" t="s">
        <v>103</v>
      </c>
      <c r="E1936" s="12" t="s">
        <v>104</v>
      </c>
      <c r="F1936">
        <v>3</v>
      </c>
      <c r="G1936">
        <v>1</v>
      </c>
      <c r="H1936">
        <v>0</v>
      </c>
      <c r="I1936" s="12" t="s">
        <v>209</v>
      </c>
      <c r="J1936" s="12" t="s">
        <v>210</v>
      </c>
      <c r="K1936" s="12" t="s">
        <v>133</v>
      </c>
      <c r="L1936" s="12" t="s">
        <v>96</v>
      </c>
      <c r="M1936">
        <v>7.82</v>
      </c>
      <c r="N1936" s="12" t="s">
        <v>145</v>
      </c>
      <c r="O1936" s="12" t="s">
        <v>146</v>
      </c>
      <c r="P1936" s="12" t="s">
        <v>109</v>
      </c>
      <c r="Q1936" s="13">
        <v>45309</v>
      </c>
      <c r="R1936" s="13">
        <v>45338</v>
      </c>
      <c r="S1936">
        <v>2024</v>
      </c>
      <c r="T1936" s="12" t="s">
        <v>2513</v>
      </c>
      <c r="U1936">
        <v>142</v>
      </c>
      <c r="V1936">
        <v>158.00909999999999</v>
      </c>
      <c r="W1936">
        <v>148.63</v>
      </c>
      <c r="X1936">
        <v>0</v>
      </c>
      <c r="Y1936">
        <v>0</v>
      </c>
      <c r="Z1936">
        <v>22437.29</v>
      </c>
      <c r="AA1936">
        <v>22585.919999999998</v>
      </c>
      <c r="AB1936" s="12" t="s">
        <v>505</v>
      </c>
      <c r="AC1936">
        <v>158.00909999999999</v>
      </c>
      <c r="AD1936">
        <v>1</v>
      </c>
      <c r="AE1936">
        <v>1</v>
      </c>
      <c r="AF1936">
        <v>0</v>
      </c>
      <c r="AG1936">
        <v>22437.29</v>
      </c>
      <c r="AH1936">
        <v>142</v>
      </c>
      <c r="AI1936">
        <v>140</v>
      </c>
      <c r="AJ1936">
        <v>2</v>
      </c>
      <c r="AK1936">
        <v>1</v>
      </c>
      <c r="AL1936">
        <v>1</v>
      </c>
      <c r="AM1936">
        <v>98.59</v>
      </c>
      <c r="AN1936">
        <v>161.328</v>
      </c>
      <c r="AO1936">
        <v>316.02</v>
      </c>
      <c r="AP1936" s="13">
        <v>45337</v>
      </c>
      <c r="AQ1936">
        <v>-1</v>
      </c>
      <c r="AR1936">
        <v>1</v>
      </c>
    </row>
    <row r="1937" spans="1:44" x14ac:dyDescent="0.35">
      <c r="A1937" s="12" t="s">
        <v>2643</v>
      </c>
      <c r="B1937" s="12" t="s">
        <v>617</v>
      </c>
      <c r="C1937" s="12" t="s">
        <v>618</v>
      </c>
      <c r="D1937" s="12" t="s">
        <v>78</v>
      </c>
      <c r="E1937" s="12" t="s">
        <v>65</v>
      </c>
      <c r="F1937">
        <v>2</v>
      </c>
      <c r="G1937">
        <v>4</v>
      </c>
      <c r="H1937">
        <v>0</v>
      </c>
      <c r="I1937" s="12" t="s">
        <v>209</v>
      </c>
      <c r="J1937" s="12" t="s">
        <v>210</v>
      </c>
      <c r="K1937" s="12" t="s">
        <v>133</v>
      </c>
      <c r="L1937" s="12" t="s">
        <v>96</v>
      </c>
      <c r="M1937">
        <v>7.82</v>
      </c>
      <c r="N1937" s="12" t="s">
        <v>97</v>
      </c>
      <c r="O1937" s="12" t="s">
        <v>98</v>
      </c>
      <c r="P1937" s="12" t="s">
        <v>72</v>
      </c>
      <c r="Q1937" s="13">
        <v>45309</v>
      </c>
      <c r="R1937" s="13">
        <v>45339</v>
      </c>
      <c r="S1937">
        <v>2024</v>
      </c>
      <c r="T1937" s="12" t="s">
        <v>2513</v>
      </c>
      <c r="U1937">
        <v>173</v>
      </c>
      <c r="V1937">
        <v>108.2711</v>
      </c>
      <c r="W1937">
        <v>358.26</v>
      </c>
      <c r="X1937">
        <v>0</v>
      </c>
      <c r="Y1937">
        <v>0</v>
      </c>
      <c r="Z1937">
        <v>18730.900000000001</v>
      </c>
      <c r="AA1937">
        <v>19089.16</v>
      </c>
      <c r="AB1937" s="12" t="s">
        <v>1523</v>
      </c>
      <c r="AC1937">
        <v>108.2711</v>
      </c>
      <c r="AD1937">
        <v>1</v>
      </c>
      <c r="AE1937">
        <v>1</v>
      </c>
      <c r="AF1937">
        <v>0</v>
      </c>
      <c r="AG1937">
        <v>18730.900000000001</v>
      </c>
      <c r="AH1937">
        <v>173</v>
      </c>
      <c r="AI1937">
        <v>171</v>
      </c>
      <c r="AJ1937">
        <v>2</v>
      </c>
      <c r="AK1937">
        <v>1</v>
      </c>
      <c r="AL1937">
        <v>1</v>
      </c>
      <c r="AM1937">
        <v>98.84</v>
      </c>
      <c r="AN1937">
        <v>111.63249999999999</v>
      </c>
      <c r="AO1937">
        <v>216.54</v>
      </c>
      <c r="AP1937" s="13">
        <v>45346</v>
      </c>
      <c r="AQ1937">
        <v>7</v>
      </c>
      <c r="AR1937">
        <v>0</v>
      </c>
    </row>
    <row r="1938" spans="1:44" x14ac:dyDescent="0.35">
      <c r="A1938" s="12" t="s">
        <v>2644</v>
      </c>
      <c r="B1938" s="12" t="s">
        <v>477</v>
      </c>
      <c r="C1938" s="12" t="s">
        <v>478</v>
      </c>
      <c r="D1938" s="12" t="s">
        <v>130</v>
      </c>
      <c r="E1938" s="12" t="s">
        <v>104</v>
      </c>
      <c r="F1938">
        <v>3</v>
      </c>
      <c r="G1938">
        <v>1</v>
      </c>
      <c r="H1938">
        <v>0</v>
      </c>
      <c r="I1938" s="12" t="s">
        <v>87</v>
      </c>
      <c r="J1938" s="12" t="s">
        <v>88</v>
      </c>
      <c r="K1938" s="12" t="s">
        <v>89</v>
      </c>
      <c r="L1938" s="12" t="s">
        <v>69</v>
      </c>
      <c r="M1938">
        <v>14.93</v>
      </c>
      <c r="N1938" s="12" t="s">
        <v>159</v>
      </c>
      <c r="O1938" s="12" t="s">
        <v>160</v>
      </c>
      <c r="P1938" s="12" t="s">
        <v>137</v>
      </c>
      <c r="Q1938" s="13">
        <v>45309</v>
      </c>
      <c r="R1938" s="13">
        <v>45338</v>
      </c>
      <c r="S1938">
        <v>2024</v>
      </c>
      <c r="T1938" s="12" t="s">
        <v>2513</v>
      </c>
      <c r="U1938">
        <v>148</v>
      </c>
      <c r="V1938">
        <v>783.67759999999998</v>
      </c>
      <c r="W1938">
        <v>1149.0999999999999</v>
      </c>
      <c r="X1938">
        <v>0</v>
      </c>
      <c r="Y1938">
        <v>0</v>
      </c>
      <c r="Z1938">
        <v>115984.28</v>
      </c>
      <c r="AA1938">
        <v>117133.38</v>
      </c>
      <c r="AB1938" s="12" t="s">
        <v>201</v>
      </c>
      <c r="AD1938">
        <v>0</v>
      </c>
      <c r="AE1938">
        <v>0</v>
      </c>
      <c r="AH1938">
        <v>148</v>
      </c>
      <c r="AI1938">
        <v>147</v>
      </c>
      <c r="AJ1938">
        <v>1</v>
      </c>
      <c r="AK1938">
        <v>1</v>
      </c>
      <c r="AL1938">
        <v>1</v>
      </c>
      <c r="AM1938">
        <v>99.32</v>
      </c>
      <c r="AN1938">
        <v>796.82569999999998</v>
      </c>
      <c r="AO1938">
        <v>783.68</v>
      </c>
      <c r="AP1938" s="13">
        <v>45335</v>
      </c>
      <c r="AQ1938">
        <v>-3</v>
      </c>
      <c r="AR1938">
        <v>1</v>
      </c>
    </row>
    <row r="1939" spans="1:44" x14ac:dyDescent="0.35">
      <c r="A1939" s="12" t="s">
        <v>2645</v>
      </c>
      <c r="B1939" s="12" t="s">
        <v>952</v>
      </c>
      <c r="C1939" s="12" t="s">
        <v>953</v>
      </c>
      <c r="D1939" s="12" t="s">
        <v>64</v>
      </c>
      <c r="E1939" s="12" t="s">
        <v>142</v>
      </c>
      <c r="F1939">
        <v>1</v>
      </c>
      <c r="G1939">
        <v>8</v>
      </c>
      <c r="H1939">
        <v>1</v>
      </c>
      <c r="I1939" s="12" t="s">
        <v>131</v>
      </c>
      <c r="J1939" s="12" t="s">
        <v>132</v>
      </c>
      <c r="K1939" s="12" t="s">
        <v>133</v>
      </c>
      <c r="L1939" s="12" t="s">
        <v>134</v>
      </c>
      <c r="M1939">
        <v>1.51</v>
      </c>
      <c r="N1939" s="12" t="s">
        <v>70</v>
      </c>
      <c r="O1939" s="12" t="s">
        <v>71</v>
      </c>
      <c r="P1939" s="12" t="s">
        <v>72</v>
      </c>
      <c r="Q1939" s="13">
        <v>45309</v>
      </c>
      <c r="R1939" s="13">
        <v>45352</v>
      </c>
      <c r="S1939">
        <v>2024</v>
      </c>
      <c r="T1939" s="12" t="s">
        <v>2513</v>
      </c>
      <c r="U1939">
        <v>549</v>
      </c>
      <c r="V1939">
        <v>31.146599999999999</v>
      </c>
      <c r="W1939">
        <v>393.82</v>
      </c>
      <c r="X1939">
        <v>0</v>
      </c>
      <c r="Y1939">
        <v>0</v>
      </c>
      <c r="Z1939">
        <v>17099.48</v>
      </c>
      <c r="AA1939">
        <v>17493.3</v>
      </c>
      <c r="AB1939" s="12" t="s">
        <v>954</v>
      </c>
      <c r="AC1939">
        <v>31.146599999999999</v>
      </c>
      <c r="AD1939">
        <v>1</v>
      </c>
      <c r="AE1939">
        <v>1</v>
      </c>
      <c r="AF1939">
        <v>0</v>
      </c>
      <c r="AG1939">
        <v>17099.48</v>
      </c>
      <c r="AH1939">
        <v>549</v>
      </c>
      <c r="AI1939">
        <v>540</v>
      </c>
      <c r="AJ1939">
        <v>9</v>
      </c>
      <c r="AK1939">
        <v>1</v>
      </c>
      <c r="AL1939">
        <v>1</v>
      </c>
      <c r="AM1939">
        <v>98.36</v>
      </c>
      <c r="AN1939">
        <v>32.395000000000003</v>
      </c>
      <c r="AO1939">
        <v>280.32</v>
      </c>
      <c r="AP1939" s="13">
        <v>45352</v>
      </c>
      <c r="AQ1939">
        <v>0</v>
      </c>
      <c r="AR1939">
        <v>1</v>
      </c>
    </row>
    <row r="1940" spans="1:44" x14ac:dyDescent="0.35">
      <c r="A1940" s="12" t="s">
        <v>2646</v>
      </c>
      <c r="B1940" s="12" t="s">
        <v>1013</v>
      </c>
      <c r="C1940" s="12" t="s">
        <v>1014</v>
      </c>
      <c r="D1940" s="12" t="s">
        <v>78</v>
      </c>
      <c r="E1940" s="12" t="s">
        <v>65</v>
      </c>
      <c r="F1940">
        <v>2</v>
      </c>
      <c r="G1940">
        <v>3</v>
      </c>
      <c r="H1940">
        <v>0</v>
      </c>
      <c r="I1940" s="12" t="s">
        <v>123</v>
      </c>
      <c r="J1940" s="12" t="s">
        <v>124</v>
      </c>
      <c r="K1940" s="12" t="s">
        <v>125</v>
      </c>
      <c r="L1940" s="12" t="s">
        <v>82</v>
      </c>
      <c r="M1940">
        <v>6.75</v>
      </c>
      <c r="N1940" s="12" t="s">
        <v>70</v>
      </c>
      <c r="O1940" s="12" t="s">
        <v>71</v>
      </c>
      <c r="P1940" s="12" t="s">
        <v>72</v>
      </c>
      <c r="Q1940" s="13">
        <v>45309</v>
      </c>
      <c r="R1940" s="13">
        <v>45337</v>
      </c>
      <c r="S1940">
        <v>2024</v>
      </c>
      <c r="T1940" s="12" t="s">
        <v>2513</v>
      </c>
      <c r="U1940">
        <v>145</v>
      </c>
      <c r="V1940">
        <v>125.2653</v>
      </c>
      <c r="W1940">
        <v>323.95999999999998</v>
      </c>
      <c r="X1940">
        <v>0</v>
      </c>
      <c r="Y1940">
        <v>0</v>
      </c>
      <c r="Z1940">
        <v>18163.47</v>
      </c>
      <c r="AA1940">
        <v>18487.43</v>
      </c>
      <c r="AB1940" s="12" t="s">
        <v>1015</v>
      </c>
      <c r="AC1940">
        <v>125.2653</v>
      </c>
      <c r="AD1940">
        <v>1</v>
      </c>
      <c r="AE1940">
        <v>1</v>
      </c>
      <c r="AF1940">
        <v>0</v>
      </c>
      <c r="AG1940">
        <v>18163.47</v>
      </c>
      <c r="AH1940">
        <v>145</v>
      </c>
      <c r="AI1940">
        <v>142</v>
      </c>
      <c r="AJ1940">
        <v>3</v>
      </c>
      <c r="AK1940">
        <v>1</v>
      </c>
      <c r="AL1940">
        <v>1</v>
      </c>
      <c r="AM1940">
        <v>97.93</v>
      </c>
      <c r="AN1940">
        <v>130.19319999999999</v>
      </c>
      <c r="AO1940">
        <v>375.8</v>
      </c>
      <c r="AP1940" s="13">
        <v>45346</v>
      </c>
      <c r="AQ1940">
        <v>9</v>
      </c>
      <c r="AR1940">
        <v>0</v>
      </c>
    </row>
    <row r="1941" spans="1:44" x14ac:dyDescent="0.35">
      <c r="A1941" s="12" t="s">
        <v>2647</v>
      </c>
      <c r="B1941" s="12" t="s">
        <v>391</v>
      </c>
      <c r="C1941" s="12" t="s">
        <v>392</v>
      </c>
      <c r="D1941" s="12" t="s">
        <v>114</v>
      </c>
      <c r="E1941" s="12" t="s">
        <v>65</v>
      </c>
      <c r="F1941">
        <v>2</v>
      </c>
      <c r="G1941">
        <v>2</v>
      </c>
      <c r="H1941">
        <v>0</v>
      </c>
      <c r="I1941" s="12" t="s">
        <v>310</v>
      </c>
      <c r="J1941" s="12" t="s">
        <v>311</v>
      </c>
      <c r="K1941" s="12" t="s">
        <v>81</v>
      </c>
      <c r="L1941" s="12" t="s">
        <v>69</v>
      </c>
      <c r="M1941">
        <v>28.3</v>
      </c>
      <c r="N1941" s="12" t="s">
        <v>70</v>
      </c>
      <c r="O1941" s="12" t="s">
        <v>71</v>
      </c>
      <c r="P1941" s="12" t="s">
        <v>72</v>
      </c>
      <c r="Q1941" s="13">
        <v>45309</v>
      </c>
      <c r="R1941" s="13">
        <v>45339</v>
      </c>
      <c r="S1941">
        <v>2024</v>
      </c>
      <c r="T1941" s="12" t="s">
        <v>2513</v>
      </c>
      <c r="U1941">
        <v>85</v>
      </c>
      <c r="V1941">
        <v>223.56530000000001</v>
      </c>
      <c r="W1941">
        <v>438.7</v>
      </c>
      <c r="X1941">
        <v>0</v>
      </c>
      <c r="Y1941">
        <v>0</v>
      </c>
      <c r="Z1941">
        <v>19003.05</v>
      </c>
      <c r="AA1941">
        <v>19441.75</v>
      </c>
      <c r="AB1941" s="12" t="s">
        <v>393</v>
      </c>
      <c r="AC1941">
        <v>223.56530000000001</v>
      </c>
      <c r="AD1941">
        <v>1</v>
      </c>
      <c r="AE1941">
        <v>1</v>
      </c>
      <c r="AF1941">
        <v>0</v>
      </c>
      <c r="AG1941">
        <v>19003.05</v>
      </c>
      <c r="AH1941">
        <v>85</v>
      </c>
      <c r="AI1941">
        <v>83</v>
      </c>
      <c r="AJ1941">
        <v>2</v>
      </c>
      <c r="AK1941">
        <v>1</v>
      </c>
      <c r="AL1941">
        <v>1</v>
      </c>
      <c r="AM1941">
        <v>97.65</v>
      </c>
      <c r="AN1941">
        <v>234.238</v>
      </c>
      <c r="AO1941">
        <v>447.13</v>
      </c>
      <c r="AP1941" s="13">
        <v>45336</v>
      </c>
      <c r="AQ1941">
        <v>-3</v>
      </c>
      <c r="AR1941">
        <v>1</v>
      </c>
    </row>
    <row r="1942" spans="1:44" x14ac:dyDescent="0.35">
      <c r="A1942" s="12" t="s">
        <v>2648</v>
      </c>
      <c r="B1942" s="12" t="s">
        <v>587</v>
      </c>
      <c r="C1942" s="12" t="s">
        <v>588</v>
      </c>
      <c r="D1942" s="12" t="s">
        <v>122</v>
      </c>
      <c r="E1942" s="12" t="s">
        <v>104</v>
      </c>
      <c r="F1942">
        <v>2</v>
      </c>
      <c r="G1942">
        <v>0</v>
      </c>
      <c r="H1942">
        <v>0</v>
      </c>
      <c r="I1942" s="12" t="s">
        <v>486</v>
      </c>
      <c r="J1942" s="12" t="s">
        <v>487</v>
      </c>
      <c r="K1942" s="12" t="s">
        <v>125</v>
      </c>
      <c r="L1942" s="12" t="s">
        <v>69</v>
      </c>
      <c r="M1942">
        <v>36.86</v>
      </c>
      <c r="N1942" s="12" t="s">
        <v>70</v>
      </c>
      <c r="O1942" s="12" t="s">
        <v>71</v>
      </c>
      <c r="P1942" s="12" t="s">
        <v>72</v>
      </c>
      <c r="Q1942" s="13">
        <v>45309</v>
      </c>
      <c r="R1942" s="13">
        <v>45328</v>
      </c>
      <c r="S1942">
        <v>2024</v>
      </c>
      <c r="T1942" s="12" t="s">
        <v>2513</v>
      </c>
      <c r="U1942">
        <v>969</v>
      </c>
      <c r="V1942">
        <v>12.517899999999999</v>
      </c>
      <c r="W1942">
        <v>203.25</v>
      </c>
      <c r="X1942">
        <v>0</v>
      </c>
      <c r="Y1942">
        <v>0</v>
      </c>
      <c r="Z1942">
        <v>12129.85</v>
      </c>
      <c r="AA1942">
        <v>12333.1</v>
      </c>
      <c r="AB1942" s="12" t="s">
        <v>744</v>
      </c>
      <c r="AC1942">
        <v>12.517899999999999</v>
      </c>
      <c r="AD1942">
        <v>1</v>
      </c>
      <c r="AE1942">
        <v>1</v>
      </c>
      <c r="AF1942">
        <v>0</v>
      </c>
      <c r="AG1942">
        <v>12129.85</v>
      </c>
      <c r="AH1942">
        <v>969</v>
      </c>
      <c r="AI1942">
        <v>962</v>
      </c>
      <c r="AJ1942">
        <v>7</v>
      </c>
      <c r="AK1942">
        <v>1</v>
      </c>
      <c r="AL1942">
        <v>1</v>
      </c>
      <c r="AM1942">
        <v>99.28</v>
      </c>
      <c r="AN1942">
        <v>12.8203</v>
      </c>
      <c r="AO1942">
        <v>87.63</v>
      </c>
      <c r="AP1942" s="13">
        <v>45325</v>
      </c>
      <c r="AQ1942">
        <v>-3</v>
      </c>
      <c r="AR1942">
        <v>1</v>
      </c>
    </row>
    <row r="1943" spans="1:44" x14ac:dyDescent="0.35">
      <c r="A1943" s="12" t="s">
        <v>2649</v>
      </c>
      <c r="B1943" s="12" t="s">
        <v>891</v>
      </c>
      <c r="C1943" s="12" t="s">
        <v>892</v>
      </c>
      <c r="D1943" s="12" t="s">
        <v>122</v>
      </c>
      <c r="E1943" s="12" t="s">
        <v>65</v>
      </c>
      <c r="F1943">
        <v>3</v>
      </c>
      <c r="G1943">
        <v>5</v>
      </c>
      <c r="H1943">
        <v>0</v>
      </c>
      <c r="I1943" s="12" t="s">
        <v>195</v>
      </c>
      <c r="J1943" s="12" t="s">
        <v>196</v>
      </c>
      <c r="K1943" s="12" t="s">
        <v>117</v>
      </c>
      <c r="L1943" s="12" t="s">
        <v>134</v>
      </c>
      <c r="M1943">
        <v>4.7699999999999996</v>
      </c>
      <c r="N1943" s="12" t="s">
        <v>70</v>
      </c>
      <c r="O1943" s="12" t="s">
        <v>71</v>
      </c>
      <c r="P1943" s="12" t="s">
        <v>72</v>
      </c>
      <c r="Q1943" s="13">
        <v>45310</v>
      </c>
      <c r="R1943" s="13">
        <v>45337</v>
      </c>
      <c r="S1943">
        <v>2024</v>
      </c>
      <c r="T1943" s="12" t="s">
        <v>2513</v>
      </c>
      <c r="U1943">
        <v>850</v>
      </c>
      <c r="V1943">
        <v>39.456000000000003</v>
      </c>
      <c r="W1943">
        <v>613.25</v>
      </c>
      <c r="X1943">
        <v>0</v>
      </c>
      <c r="Y1943">
        <v>0</v>
      </c>
      <c r="Z1943">
        <v>33537.599999999999</v>
      </c>
      <c r="AA1943">
        <v>34150.85</v>
      </c>
      <c r="AB1943" s="12" t="s">
        <v>893</v>
      </c>
      <c r="AC1943">
        <v>39.456000000000003</v>
      </c>
      <c r="AD1943">
        <v>1</v>
      </c>
      <c r="AE1943">
        <v>1</v>
      </c>
      <c r="AF1943">
        <v>0</v>
      </c>
      <c r="AG1943">
        <v>33537.599999999999</v>
      </c>
      <c r="AH1943">
        <v>850</v>
      </c>
      <c r="AI1943">
        <v>846</v>
      </c>
      <c r="AJ1943">
        <v>4</v>
      </c>
      <c r="AK1943">
        <v>1</v>
      </c>
      <c r="AL1943">
        <v>1</v>
      </c>
      <c r="AM1943">
        <v>99.53</v>
      </c>
      <c r="AN1943">
        <v>40.367400000000004</v>
      </c>
      <c r="AO1943">
        <v>157.82</v>
      </c>
      <c r="AP1943" s="13">
        <v>45334</v>
      </c>
      <c r="AQ1943">
        <v>-3</v>
      </c>
      <c r="AR1943">
        <v>1</v>
      </c>
    </row>
    <row r="1944" spans="1:44" x14ac:dyDescent="0.35">
      <c r="A1944" s="12" t="s">
        <v>2650</v>
      </c>
      <c r="B1944" s="12" t="s">
        <v>706</v>
      </c>
      <c r="C1944" s="12" t="s">
        <v>707</v>
      </c>
      <c r="D1944" s="12" t="s">
        <v>130</v>
      </c>
      <c r="E1944" s="12" t="s">
        <v>142</v>
      </c>
      <c r="F1944">
        <v>1</v>
      </c>
      <c r="G1944">
        <v>8</v>
      </c>
      <c r="H1944">
        <v>1</v>
      </c>
      <c r="I1944" s="12" t="s">
        <v>263</v>
      </c>
      <c r="J1944" s="12" t="s">
        <v>264</v>
      </c>
      <c r="K1944" s="12" t="s">
        <v>125</v>
      </c>
      <c r="L1944" s="12" t="s">
        <v>82</v>
      </c>
      <c r="M1944">
        <v>10.210000000000001</v>
      </c>
      <c r="N1944" s="12" t="s">
        <v>159</v>
      </c>
      <c r="O1944" s="12" t="s">
        <v>160</v>
      </c>
      <c r="P1944" s="12" t="s">
        <v>137</v>
      </c>
      <c r="Q1944" s="13">
        <v>45310</v>
      </c>
      <c r="R1944" s="13">
        <v>45358</v>
      </c>
      <c r="S1944">
        <v>2024</v>
      </c>
      <c r="T1944" s="12" t="s">
        <v>2513</v>
      </c>
      <c r="U1944">
        <v>118</v>
      </c>
      <c r="V1944">
        <v>277.71210000000002</v>
      </c>
      <c r="W1944">
        <v>824.33</v>
      </c>
      <c r="X1944">
        <v>0</v>
      </c>
      <c r="Y1944">
        <v>0</v>
      </c>
      <c r="Z1944">
        <v>32770.03</v>
      </c>
      <c r="AA1944">
        <v>33594.36</v>
      </c>
      <c r="AB1944" s="12" t="s">
        <v>708</v>
      </c>
      <c r="AC1944">
        <v>277.71210000000002</v>
      </c>
      <c r="AD1944">
        <v>1</v>
      </c>
      <c r="AE1944">
        <v>1</v>
      </c>
      <c r="AF1944">
        <v>0</v>
      </c>
      <c r="AG1944">
        <v>32770.03</v>
      </c>
      <c r="AH1944">
        <v>118</v>
      </c>
      <c r="AI1944">
        <v>116</v>
      </c>
      <c r="AJ1944">
        <v>2</v>
      </c>
      <c r="AK1944">
        <v>1</v>
      </c>
      <c r="AL1944">
        <v>1</v>
      </c>
      <c r="AM1944">
        <v>98.31</v>
      </c>
      <c r="AN1944">
        <v>289.60649999999998</v>
      </c>
      <c r="AO1944">
        <v>555.41999999999996</v>
      </c>
      <c r="AP1944" s="13">
        <v>45357</v>
      </c>
      <c r="AQ1944">
        <v>-1</v>
      </c>
      <c r="AR1944">
        <v>1</v>
      </c>
    </row>
    <row r="1945" spans="1:44" x14ac:dyDescent="0.35">
      <c r="A1945" s="12" t="s">
        <v>2651</v>
      </c>
      <c r="B1945" s="12" t="s">
        <v>1108</v>
      </c>
      <c r="C1945" s="12" t="s">
        <v>1109</v>
      </c>
      <c r="D1945" s="12" t="s">
        <v>103</v>
      </c>
      <c r="E1945" s="12" t="s">
        <v>65</v>
      </c>
      <c r="F1945">
        <v>3</v>
      </c>
      <c r="G1945">
        <v>4</v>
      </c>
      <c r="H1945">
        <v>0</v>
      </c>
      <c r="I1945" s="12" t="s">
        <v>176</v>
      </c>
      <c r="J1945" s="12" t="s">
        <v>177</v>
      </c>
      <c r="K1945" s="12" t="s">
        <v>125</v>
      </c>
      <c r="L1945" s="12" t="s">
        <v>134</v>
      </c>
      <c r="M1945">
        <v>1.75</v>
      </c>
      <c r="N1945" s="12" t="s">
        <v>145</v>
      </c>
      <c r="O1945" s="12" t="s">
        <v>146</v>
      </c>
      <c r="P1945" s="12" t="s">
        <v>109</v>
      </c>
      <c r="Q1945" s="13">
        <v>45310</v>
      </c>
      <c r="R1945" s="13">
        <v>45343</v>
      </c>
      <c r="S1945">
        <v>2024</v>
      </c>
      <c r="T1945" s="12" t="s">
        <v>2513</v>
      </c>
      <c r="U1945">
        <v>110</v>
      </c>
      <c r="V1945">
        <v>86.615200000000002</v>
      </c>
      <c r="W1945">
        <v>174.67</v>
      </c>
      <c r="X1945">
        <v>0</v>
      </c>
      <c r="Y1945">
        <v>0</v>
      </c>
      <c r="Z1945">
        <v>9527.67</v>
      </c>
      <c r="AA1945">
        <v>9702.34</v>
      </c>
      <c r="AB1945" s="12" t="s">
        <v>1110</v>
      </c>
      <c r="AC1945">
        <v>86.615200000000002</v>
      </c>
      <c r="AD1945">
        <v>1</v>
      </c>
      <c r="AE1945">
        <v>1</v>
      </c>
      <c r="AF1945">
        <v>0</v>
      </c>
      <c r="AG1945">
        <v>9527.67</v>
      </c>
      <c r="AH1945">
        <v>110</v>
      </c>
      <c r="AI1945">
        <v>108</v>
      </c>
      <c r="AJ1945">
        <v>2</v>
      </c>
      <c r="AK1945">
        <v>1</v>
      </c>
      <c r="AL1945">
        <v>1</v>
      </c>
      <c r="AM1945">
        <v>98.18</v>
      </c>
      <c r="AN1945">
        <v>89.836500000000001</v>
      </c>
      <c r="AO1945">
        <v>173.23</v>
      </c>
      <c r="AP1945" s="13">
        <v>45343</v>
      </c>
      <c r="AQ1945">
        <v>0</v>
      </c>
      <c r="AR1945">
        <v>1</v>
      </c>
    </row>
    <row r="1946" spans="1:44" x14ac:dyDescent="0.35">
      <c r="A1946" s="12" t="s">
        <v>2652</v>
      </c>
      <c r="B1946" s="12" t="s">
        <v>1034</v>
      </c>
      <c r="C1946" s="12" t="s">
        <v>1035</v>
      </c>
      <c r="D1946" s="12" t="s">
        <v>64</v>
      </c>
      <c r="E1946" s="12" t="s">
        <v>104</v>
      </c>
      <c r="F1946">
        <v>2</v>
      </c>
      <c r="G1946">
        <v>0</v>
      </c>
      <c r="H1946">
        <v>0</v>
      </c>
      <c r="I1946" s="12" t="s">
        <v>157</v>
      </c>
      <c r="J1946" s="12" t="s">
        <v>158</v>
      </c>
      <c r="K1946" s="12" t="s">
        <v>117</v>
      </c>
      <c r="L1946" s="12" t="s">
        <v>96</v>
      </c>
      <c r="M1946">
        <v>4.72</v>
      </c>
      <c r="N1946" s="12" t="s">
        <v>70</v>
      </c>
      <c r="O1946" s="12" t="s">
        <v>71</v>
      </c>
      <c r="P1946" s="12" t="s">
        <v>72</v>
      </c>
      <c r="Q1946" s="13">
        <v>45310</v>
      </c>
      <c r="R1946" s="13">
        <v>45330</v>
      </c>
      <c r="S1946">
        <v>2024</v>
      </c>
      <c r="T1946" s="12" t="s">
        <v>2513</v>
      </c>
      <c r="U1946">
        <v>524</v>
      </c>
      <c r="V1946">
        <v>9.9979999999999993</v>
      </c>
      <c r="W1946">
        <v>36.729999999999997</v>
      </c>
      <c r="X1946">
        <v>0</v>
      </c>
      <c r="Y1946">
        <v>0</v>
      </c>
      <c r="Z1946">
        <v>5238.95</v>
      </c>
      <c r="AA1946">
        <v>5275.68</v>
      </c>
      <c r="AB1946" s="12" t="s">
        <v>1036</v>
      </c>
      <c r="AC1946">
        <v>9.9979999999999993</v>
      </c>
      <c r="AD1946">
        <v>1</v>
      </c>
      <c r="AE1946">
        <v>1</v>
      </c>
      <c r="AF1946">
        <v>0</v>
      </c>
      <c r="AG1946">
        <v>5238.95</v>
      </c>
      <c r="AH1946">
        <v>524</v>
      </c>
      <c r="AI1946">
        <v>517</v>
      </c>
      <c r="AJ1946">
        <v>7</v>
      </c>
      <c r="AK1946">
        <v>1</v>
      </c>
      <c r="AL1946">
        <v>1</v>
      </c>
      <c r="AM1946">
        <v>98.66</v>
      </c>
      <c r="AN1946">
        <v>10.2044</v>
      </c>
      <c r="AO1946">
        <v>69.989999999999995</v>
      </c>
      <c r="AP1946" s="13">
        <v>45330</v>
      </c>
      <c r="AQ1946">
        <v>0</v>
      </c>
      <c r="AR1946">
        <v>1</v>
      </c>
    </row>
    <row r="1947" spans="1:44" x14ac:dyDescent="0.35">
      <c r="A1947" s="12" t="s">
        <v>2653</v>
      </c>
      <c r="B1947" s="12" t="s">
        <v>513</v>
      </c>
      <c r="C1947" s="12" t="s">
        <v>514</v>
      </c>
      <c r="D1947" s="12" t="s">
        <v>269</v>
      </c>
      <c r="E1947" s="12" t="s">
        <v>65</v>
      </c>
      <c r="F1947">
        <v>1</v>
      </c>
      <c r="G1947">
        <v>2</v>
      </c>
      <c r="H1947">
        <v>1</v>
      </c>
      <c r="I1947" s="12" t="s">
        <v>515</v>
      </c>
      <c r="J1947" s="12" t="s">
        <v>516</v>
      </c>
      <c r="K1947" s="12" t="s">
        <v>68</v>
      </c>
      <c r="L1947" s="12" t="s">
        <v>134</v>
      </c>
      <c r="M1947">
        <v>3.69</v>
      </c>
      <c r="N1947" s="12" t="s">
        <v>159</v>
      </c>
      <c r="O1947" s="12" t="s">
        <v>160</v>
      </c>
      <c r="P1947" s="12" t="s">
        <v>137</v>
      </c>
      <c r="Q1947" s="13">
        <v>45310</v>
      </c>
      <c r="R1947" s="13">
        <v>45336</v>
      </c>
      <c r="S1947">
        <v>2024</v>
      </c>
      <c r="T1947" s="12" t="s">
        <v>2513</v>
      </c>
      <c r="U1947">
        <v>52</v>
      </c>
      <c r="V1947">
        <v>229.3486</v>
      </c>
      <c r="W1947">
        <v>294.07</v>
      </c>
      <c r="X1947">
        <v>0</v>
      </c>
      <c r="Y1947">
        <v>0</v>
      </c>
      <c r="Z1947">
        <v>11926.13</v>
      </c>
      <c r="AA1947">
        <v>12220.2</v>
      </c>
      <c r="AB1947" s="12" t="s">
        <v>517</v>
      </c>
      <c r="AC1947">
        <v>229.3486</v>
      </c>
      <c r="AD1947">
        <v>1</v>
      </c>
      <c r="AE1947">
        <v>1</v>
      </c>
      <c r="AF1947">
        <v>0</v>
      </c>
      <c r="AG1947">
        <v>11926.13</v>
      </c>
      <c r="AH1947">
        <v>52</v>
      </c>
      <c r="AI1947">
        <v>52</v>
      </c>
      <c r="AJ1947">
        <v>0</v>
      </c>
      <c r="AK1947">
        <v>1</v>
      </c>
      <c r="AL1947">
        <v>1</v>
      </c>
      <c r="AM1947">
        <v>100</v>
      </c>
      <c r="AN1947">
        <v>235.00380000000001</v>
      </c>
      <c r="AO1947">
        <v>0</v>
      </c>
      <c r="AP1947" s="13">
        <v>45333</v>
      </c>
      <c r="AQ1947">
        <v>-3</v>
      </c>
      <c r="AR1947">
        <v>1</v>
      </c>
    </row>
    <row r="1948" spans="1:44" x14ac:dyDescent="0.35">
      <c r="A1948" s="12" t="s">
        <v>2654</v>
      </c>
      <c r="B1948" s="12" t="s">
        <v>261</v>
      </c>
      <c r="C1948" s="12" t="s">
        <v>262</v>
      </c>
      <c r="D1948" s="12" t="s">
        <v>114</v>
      </c>
      <c r="E1948" s="12" t="s">
        <v>142</v>
      </c>
      <c r="F1948">
        <v>1</v>
      </c>
      <c r="G1948">
        <v>8</v>
      </c>
      <c r="H1948">
        <v>1</v>
      </c>
      <c r="I1948" s="12" t="s">
        <v>263</v>
      </c>
      <c r="J1948" s="12" t="s">
        <v>264</v>
      </c>
      <c r="K1948" s="12" t="s">
        <v>125</v>
      </c>
      <c r="L1948" s="12" t="s">
        <v>82</v>
      </c>
      <c r="M1948">
        <v>10.210000000000001</v>
      </c>
      <c r="N1948" s="12" t="s">
        <v>70</v>
      </c>
      <c r="O1948" s="12" t="s">
        <v>71</v>
      </c>
      <c r="P1948" s="12" t="s">
        <v>72</v>
      </c>
      <c r="Q1948" s="13">
        <v>45310</v>
      </c>
      <c r="R1948" s="13">
        <v>45356</v>
      </c>
      <c r="S1948">
        <v>2024</v>
      </c>
      <c r="T1948" s="12" t="s">
        <v>2513</v>
      </c>
      <c r="U1948">
        <v>95</v>
      </c>
      <c r="V1948">
        <v>141.5377</v>
      </c>
      <c r="W1948">
        <v>87.18</v>
      </c>
      <c r="X1948">
        <v>0</v>
      </c>
      <c r="Y1948">
        <v>0</v>
      </c>
      <c r="Z1948">
        <v>13446.08</v>
      </c>
      <c r="AA1948">
        <v>13533.26</v>
      </c>
      <c r="AB1948" s="12" t="s">
        <v>2655</v>
      </c>
      <c r="AC1948">
        <v>137.84569999999999</v>
      </c>
      <c r="AD1948">
        <v>1</v>
      </c>
      <c r="AE1948">
        <v>1</v>
      </c>
      <c r="AF1948">
        <v>350.74</v>
      </c>
      <c r="AG1948">
        <v>13095.34</v>
      </c>
      <c r="AH1948">
        <v>95</v>
      </c>
      <c r="AI1948">
        <v>93</v>
      </c>
      <c r="AJ1948">
        <v>2</v>
      </c>
      <c r="AK1948">
        <v>1</v>
      </c>
      <c r="AL1948">
        <v>1</v>
      </c>
      <c r="AM1948">
        <v>97.89</v>
      </c>
      <c r="AN1948">
        <v>145.5189</v>
      </c>
      <c r="AO1948">
        <v>283.08</v>
      </c>
      <c r="AP1948" s="13">
        <v>45361</v>
      </c>
      <c r="AQ1948">
        <v>5</v>
      </c>
      <c r="AR1948">
        <v>0</v>
      </c>
    </row>
    <row r="1949" spans="1:44" x14ac:dyDescent="0.35">
      <c r="A1949" s="12" t="s">
        <v>2656</v>
      </c>
      <c r="B1949" s="12" t="s">
        <v>241</v>
      </c>
      <c r="C1949" s="12" t="s">
        <v>242</v>
      </c>
      <c r="D1949" s="12" t="s">
        <v>103</v>
      </c>
      <c r="E1949" s="12" t="s">
        <v>142</v>
      </c>
      <c r="F1949">
        <v>3</v>
      </c>
      <c r="G1949">
        <v>11</v>
      </c>
      <c r="H1949">
        <v>0</v>
      </c>
      <c r="I1949" s="12" t="s">
        <v>157</v>
      </c>
      <c r="J1949" s="12" t="s">
        <v>158</v>
      </c>
      <c r="K1949" s="12" t="s">
        <v>117</v>
      </c>
      <c r="L1949" s="12" t="s">
        <v>96</v>
      </c>
      <c r="M1949">
        <v>4.72</v>
      </c>
      <c r="N1949" s="12" t="s">
        <v>145</v>
      </c>
      <c r="O1949" s="12" t="s">
        <v>146</v>
      </c>
      <c r="P1949" s="12" t="s">
        <v>109</v>
      </c>
      <c r="Q1949" s="13">
        <v>45310</v>
      </c>
      <c r="R1949" s="13">
        <v>45357</v>
      </c>
      <c r="S1949">
        <v>2024</v>
      </c>
      <c r="T1949" s="12" t="s">
        <v>2513</v>
      </c>
      <c r="U1949">
        <v>104</v>
      </c>
      <c r="V1949">
        <v>164.8845</v>
      </c>
      <c r="W1949">
        <v>335.02</v>
      </c>
      <c r="X1949">
        <v>0</v>
      </c>
      <c r="Y1949">
        <v>0</v>
      </c>
      <c r="Z1949">
        <v>17147.990000000002</v>
      </c>
      <c r="AA1949">
        <v>17483.009999999998</v>
      </c>
      <c r="AB1949" s="12" t="s">
        <v>2352</v>
      </c>
      <c r="AC1949">
        <v>164.8845</v>
      </c>
      <c r="AD1949">
        <v>1</v>
      </c>
      <c r="AE1949">
        <v>1</v>
      </c>
      <c r="AF1949">
        <v>0</v>
      </c>
      <c r="AG1949">
        <v>17147.990000000002</v>
      </c>
      <c r="AH1949">
        <v>104</v>
      </c>
      <c r="AI1949">
        <v>103</v>
      </c>
      <c r="AJ1949">
        <v>1</v>
      </c>
      <c r="AK1949">
        <v>1</v>
      </c>
      <c r="AL1949">
        <v>1</v>
      </c>
      <c r="AM1949">
        <v>99.04</v>
      </c>
      <c r="AN1949">
        <v>169.7379</v>
      </c>
      <c r="AO1949">
        <v>164.88</v>
      </c>
      <c r="AP1949" s="13">
        <v>45354</v>
      </c>
      <c r="AQ1949">
        <v>-3</v>
      </c>
      <c r="AR1949">
        <v>1</v>
      </c>
    </row>
    <row r="1950" spans="1:44" x14ac:dyDescent="0.35">
      <c r="A1950" s="12" t="s">
        <v>2657</v>
      </c>
      <c r="B1950" s="12" t="s">
        <v>621</v>
      </c>
      <c r="C1950" s="12" t="s">
        <v>622</v>
      </c>
      <c r="D1950" s="12" t="s">
        <v>103</v>
      </c>
      <c r="E1950" s="12" t="s">
        <v>65</v>
      </c>
      <c r="F1950">
        <v>1</v>
      </c>
      <c r="G1950">
        <v>2</v>
      </c>
      <c r="H1950">
        <v>1</v>
      </c>
      <c r="I1950" s="12" t="s">
        <v>486</v>
      </c>
      <c r="J1950" s="12" t="s">
        <v>487</v>
      </c>
      <c r="K1950" s="12" t="s">
        <v>125</v>
      </c>
      <c r="L1950" s="12" t="s">
        <v>69</v>
      </c>
      <c r="M1950">
        <v>36.86</v>
      </c>
      <c r="N1950" s="12" t="s">
        <v>107</v>
      </c>
      <c r="O1950" s="12" t="s">
        <v>108</v>
      </c>
      <c r="P1950" s="12" t="s">
        <v>109</v>
      </c>
      <c r="Q1950" s="13">
        <v>45310</v>
      </c>
      <c r="R1950" s="13">
        <v>45334</v>
      </c>
      <c r="S1950">
        <v>2024</v>
      </c>
      <c r="T1950" s="12" t="s">
        <v>2513</v>
      </c>
      <c r="U1950">
        <v>38</v>
      </c>
      <c r="V1950">
        <v>201.08609999999999</v>
      </c>
      <c r="W1950">
        <v>160.46</v>
      </c>
      <c r="X1950">
        <v>0</v>
      </c>
      <c r="Y1950">
        <v>0</v>
      </c>
      <c r="Z1950">
        <v>7641.27</v>
      </c>
      <c r="AA1950">
        <v>7801.73</v>
      </c>
      <c r="AB1950" s="12" t="s">
        <v>2658</v>
      </c>
      <c r="AC1950">
        <v>201.08609999999999</v>
      </c>
      <c r="AD1950">
        <v>1</v>
      </c>
      <c r="AE1950">
        <v>1</v>
      </c>
      <c r="AF1950">
        <v>0</v>
      </c>
      <c r="AG1950">
        <v>7641.27</v>
      </c>
      <c r="AH1950">
        <v>38</v>
      </c>
      <c r="AI1950">
        <v>38</v>
      </c>
      <c r="AJ1950">
        <v>0</v>
      </c>
      <c r="AK1950">
        <v>1</v>
      </c>
      <c r="AL1950">
        <v>1</v>
      </c>
      <c r="AM1950">
        <v>100</v>
      </c>
      <c r="AN1950">
        <v>205.30869999999999</v>
      </c>
      <c r="AO1950">
        <v>0</v>
      </c>
      <c r="AP1950" s="13">
        <v>45334</v>
      </c>
      <c r="AQ1950">
        <v>0</v>
      </c>
      <c r="AR1950">
        <v>1</v>
      </c>
    </row>
    <row r="1951" spans="1:44" x14ac:dyDescent="0.35">
      <c r="A1951" s="12" t="s">
        <v>2659</v>
      </c>
      <c r="B1951" s="12" t="s">
        <v>978</v>
      </c>
      <c r="C1951" s="12" t="s">
        <v>979</v>
      </c>
      <c r="D1951" s="12" t="s">
        <v>122</v>
      </c>
      <c r="E1951" s="12" t="s">
        <v>65</v>
      </c>
      <c r="F1951">
        <v>1</v>
      </c>
      <c r="G1951">
        <v>2</v>
      </c>
      <c r="H1951">
        <v>1</v>
      </c>
      <c r="I1951" s="12" t="s">
        <v>310</v>
      </c>
      <c r="J1951" s="12" t="s">
        <v>311</v>
      </c>
      <c r="K1951" s="12" t="s">
        <v>81</v>
      </c>
      <c r="L1951" s="12" t="s">
        <v>69</v>
      </c>
      <c r="M1951">
        <v>28.3</v>
      </c>
      <c r="N1951" s="12" t="s">
        <v>97</v>
      </c>
      <c r="O1951" s="12" t="s">
        <v>98</v>
      </c>
      <c r="P1951" s="12" t="s">
        <v>72</v>
      </c>
      <c r="Q1951" s="13">
        <v>45310</v>
      </c>
      <c r="R1951" s="13">
        <v>45348</v>
      </c>
      <c r="S1951">
        <v>2024</v>
      </c>
      <c r="T1951" s="12" t="s">
        <v>2513</v>
      </c>
      <c r="U1951">
        <v>1978</v>
      </c>
      <c r="V1951">
        <v>43.709699999999998</v>
      </c>
      <c r="W1951">
        <v>818.4</v>
      </c>
      <c r="X1951">
        <v>0</v>
      </c>
      <c r="Y1951">
        <v>0</v>
      </c>
      <c r="Z1951">
        <v>86457.79</v>
      </c>
      <c r="AA1951">
        <v>87276.19</v>
      </c>
      <c r="AB1951" s="12" t="s">
        <v>980</v>
      </c>
      <c r="AC1951">
        <v>43.709699999999998</v>
      </c>
      <c r="AD1951">
        <v>1</v>
      </c>
      <c r="AE1951">
        <v>1</v>
      </c>
      <c r="AF1951">
        <v>0</v>
      </c>
      <c r="AG1951">
        <v>86457.79</v>
      </c>
      <c r="AH1951">
        <v>1978</v>
      </c>
      <c r="AI1951">
        <v>1969</v>
      </c>
      <c r="AJ1951">
        <v>9</v>
      </c>
      <c r="AK1951">
        <v>1</v>
      </c>
      <c r="AL1951">
        <v>1</v>
      </c>
      <c r="AM1951">
        <v>99.54</v>
      </c>
      <c r="AN1951">
        <v>44.325099999999999</v>
      </c>
      <c r="AO1951">
        <v>393.39</v>
      </c>
      <c r="AP1951" s="13">
        <v>45345</v>
      </c>
      <c r="AQ1951">
        <v>-3</v>
      </c>
      <c r="AR1951">
        <v>1</v>
      </c>
    </row>
    <row r="1952" spans="1:44" x14ac:dyDescent="0.35">
      <c r="A1952" s="12" t="s">
        <v>2660</v>
      </c>
      <c r="B1952" s="12" t="s">
        <v>454</v>
      </c>
      <c r="C1952" s="12" t="s">
        <v>455</v>
      </c>
      <c r="D1952" s="12" t="s">
        <v>122</v>
      </c>
      <c r="E1952" s="12" t="s">
        <v>104</v>
      </c>
      <c r="F1952">
        <v>3</v>
      </c>
      <c r="G1952">
        <v>1</v>
      </c>
      <c r="H1952">
        <v>0</v>
      </c>
      <c r="I1952" s="12" t="s">
        <v>123</v>
      </c>
      <c r="J1952" s="12" t="s">
        <v>124</v>
      </c>
      <c r="K1952" s="12" t="s">
        <v>125</v>
      </c>
      <c r="L1952" s="12" t="s">
        <v>82</v>
      </c>
      <c r="M1952">
        <v>6.75</v>
      </c>
      <c r="N1952" s="12" t="s">
        <v>97</v>
      </c>
      <c r="O1952" s="12" t="s">
        <v>98</v>
      </c>
      <c r="P1952" s="12" t="s">
        <v>72</v>
      </c>
      <c r="Q1952" s="13">
        <v>45310</v>
      </c>
      <c r="R1952" s="13">
        <v>45326</v>
      </c>
      <c r="S1952">
        <v>2024</v>
      </c>
      <c r="T1952" s="12" t="s">
        <v>2513</v>
      </c>
      <c r="U1952">
        <v>609</v>
      </c>
      <c r="V1952">
        <v>23.225899999999999</v>
      </c>
      <c r="W1952">
        <v>263.12</v>
      </c>
      <c r="X1952">
        <v>0</v>
      </c>
      <c r="Y1952">
        <v>0</v>
      </c>
      <c r="Z1952">
        <v>14144.57</v>
      </c>
      <c r="AA1952">
        <v>14407.69</v>
      </c>
      <c r="AB1952" s="12" t="s">
        <v>201</v>
      </c>
      <c r="AD1952">
        <v>0</v>
      </c>
      <c r="AE1952">
        <v>0</v>
      </c>
      <c r="AH1952">
        <v>609</v>
      </c>
      <c r="AI1952">
        <v>604</v>
      </c>
      <c r="AJ1952">
        <v>5</v>
      </c>
      <c r="AK1952">
        <v>1</v>
      </c>
      <c r="AL1952">
        <v>1</v>
      </c>
      <c r="AM1952">
        <v>99.18</v>
      </c>
      <c r="AN1952">
        <v>23.8538</v>
      </c>
      <c r="AO1952">
        <v>116.13</v>
      </c>
      <c r="AP1952" s="13">
        <v>45324</v>
      </c>
      <c r="AQ1952">
        <v>-2</v>
      </c>
      <c r="AR1952">
        <v>1</v>
      </c>
    </row>
    <row r="1953" spans="1:44" x14ac:dyDescent="0.35">
      <c r="A1953" s="12" t="s">
        <v>2661</v>
      </c>
      <c r="B1953" s="12" t="s">
        <v>231</v>
      </c>
      <c r="C1953" s="12" t="s">
        <v>232</v>
      </c>
      <c r="D1953" s="12" t="s">
        <v>130</v>
      </c>
      <c r="E1953" s="12" t="s">
        <v>65</v>
      </c>
      <c r="F1953">
        <v>1</v>
      </c>
      <c r="G1953">
        <v>2</v>
      </c>
      <c r="H1953">
        <v>1</v>
      </c>
      <c r="I1953" s="12" t="s">
        <v>233</v>
      </c>
      <c r="J1953" s="12" t="s">
        <v>234</v>
      </c>
      <c r="K1953" s="12" t="s">
        <v>125</v>
      </c>
      <c r="L1953" s="12" t="s">
        <v>96</v>
      </c>
      <c r="M1953">
        <v>3.73</v>
      </c>
      <c r="N1953" s="12" t="s">
        <v>135</v>
      </c>
      <c r="O1953" s="12" t="s">
        <v>136</v>
      </c>
      <c r="P1953" s="12" t="s">
        <v>137</v>
      </c>
      <c r="Q1953" s="13">
        <v>45310</v>
      </c>
      <c r="R1953" s="13">
        <v>45336</v>
      </c>
      <c r="S1953">
        <v>2024</v>
      </c>
      <c r="T1953" s="12" t="s">
        <v>2513</v>
      </c>
      <c r="U1953">
        <v>53</v>
      </c>
      <c r="V1953">
        <v>459.78210000000001</v>
      </c>
      <c r="W1953">
        <v>406.25</v>
      </c>
      <c r="X1953">
        <v>0</v>
      </c>
      <c r="Y1953">
        <v>0</v>
      </c>
      <c r="Z1953">
        <v>24368.45</v>
      </c>
      <c r="AA1953">
        <v>24774.7</v>
      </c>
      <c r="AB1953" s="12" t="s">
        <v>201</v>
      </c>
      <c r="AD1953">
        <v>0</v>
      </c>
      <c r="AE1953">
        <v>0</v>
      </c>
      <c r="AH1953">
        <v>53</v>
      </c>
      <c r="AI1953">
        <v>52</v>
      </c>
      <c r="AJ1953">
        <v>1</v>
      </c>
      <c r="AK1953">
        <v>1</v>
      </c>
      <c r="AL1953">
        <v>1</v>
      </c>
      <c r="AM1953">
        <v>98.11</v>
      </c>
      <c r="AN1953">
        <v>476.4366</v>
      </c>
      <c r="AO1953">
        <v>459.78</v>
      </c>
      <c r="AP1953" s="13">
        <v>45336</v>
      </c>
      <c r="AQ1953">
        <v>0</v>
      </c>
      <c r="AR1953">
        <v>1</v>
      </c>
    </row>
    <row r="1954" spans="1:44" x14ac:dyDescent="0.35">
      <c r="A1954" s="12" t="s">
        <v>2662</v>
      </c>
      <c r="B1954" s="12" t="s">
        <v>640</v>
      </c>
      <c r="C1954" s="12" t="s">
        <v>641</v>
      </c>
      <c r="D1954" s="12" t="s">
        <v>130</v>
      </c>
      <c r="E1954" s="12" t="s">
        <v>104</v>
      </c>
      <c r="F1954">
        <v>3</v>
      </c>
      <c r="G1954">
        <v>0</v>
      </c>
      <c r="H1954">
        <v>0</v>
      </c>
      <c r="I1954" s="12" t="s">
        <v>209</v>
      </c>
      <c r="J1954" s="12" t="s">
        <v>210</v>
      </c>
      <c r="K1954" s="12" t="s">
        <v>133</v>
      </c>
      <c r="L1954" s="12" t="s">
        <v>96</v>
      </c>
      <c r="M1954">
        <v>7.82</v>
      </c>
      <c r="N1954" s="12" t="s">
        <v>135</v>
      </c>
      <c r="O1954" s="12" t="s">
        <v>136</v>
      </c>
      <c r="P1954" s="12" t="s">
        <v>137</v>
      </c>
      <c r="Q1954" s="13">
        <v>45310</v>
      </c>
      <c r="R1954" s="13">
        <v>45338</v>
      </c>
      <c r="S1954">
        <v>2024</v>
      </c>
      <c r="T1954" s="12" t="s">
        <v>2513</v>
      </c>
      <c r="U1954">
        <v>134</v>
      </c>
      <c r="V1954">
        <v>1008.4116</v>
      </c>
      <c r="W1954">
        <v>2898.27</v>
      </c>
      <c r="X1954">
        <v>0</v>
      </c>
      <c r="Y1954">
        <v>0</v>
      </c>
      <c r="Z1954">
        <v>135127.15</v>
      </c>
      <c r="AA1954">
        <v>138025.42000000001</v>
      </c>
      <c r="AB1954" s="12" t="s">
        <v>642</v>
      </c>
      <c r="AC1954">
        <v>1008.4116</v>
      </c>
      <c r="AD1954">
        <v>1</v>
      </c>
      <c r="AE1954">
        <v>1</v>
      </c>
      <c r="AF1954">
        <v>0</v>
      </c>
      <c r="AG1954">
        <v>135127.15</v>
      </c>
      <c r="AH1954">
        <v>134</v>
      </c>
      <c r="AI1954">
        <v>132</v>
      </c>
      <c r="AJ1954">
        <v>2</v>
      </c>
      <c r="AK1954">
        <v>1</v>
      </c>
      <c r="AL1954">
        <v>1</v>
      </c>
      <c r="AM1954">
        <v>98.51</v>
      </c>
      <c r="AN1954">
        <v>1045.6472000000001</v>
      </c>
      <c r="AO1954">
        <v>2016.82</v>
      </c>
      <c r="AP1954" s="13">
        <v>45336</v>
      </c>
      <c r="AQ1954">
        <v>-2</v>
      </c>
      <c r="AR1954">
        <v>1</v>
      </c>
    </row>
    <row r="1955" spans="1:44" x14ac:dyDescent="0.35">
      <c r="A1955" s="12" t="s">
        <v>2663</v>
      </c>
      <c r="B1955" s="12" t="s">
        <v>561</v>
      </c>
      <c r="C1955" s="12" t="s">
        <v>562</v>
      </c>
      <c r="D1955" s="12" t="s">
        <v>130</v>
      </c>
      <c r="E1955" s="12" t="s">
        <v>142</v>
      </c>
      <c r="F1955">
        <v>1</v>
      </c>
      <c r="G1955">
        <v>9</v>
      </c>
      <c r="H1955">
        <v>1</v>
      </c>
      <c r="I1955" s="12" t="s">
        <v>223</v>
      </c>
      <c r="J1955" s="12" t="s">
        <v>224</v>
      </c>
      <c r="K1955" s="12" t="s">
        <v>81</v>
      </c>
      <c r="L1955" s="12" t="s">
        <v>134</v>
      </c>
      <c r="M1955">
        <v>2.4900000000000002</v>
      </c>
      <c r="N1955" s="12" t="s">
        <v>135</v>
      </c>
      <c r="O1955" s="12" t="s">
        <v>136</v>
      </c>
      <c r="P1955" s="12" t="s">
        <v>137</v>
      </c>
      <c r="Q1955" s="13">
        <v>45310</v>
      </c>
      <c r="R1955" s="13">
        <v>45350</v>
      </c>
      <c r="S1955">
        <v>2024</v>
      </c>
      <c r="T1955" s="12" t="s">
        <v>2513</v>
      </c>
      <c r="U1955">
        <v>53</v>
      </c>
      <c r="V1955">
        <v>603.56020000000001</v>
      </c>
      <c r="W1955">
        <v>270.97000000000003</v>
      </c>
      <c r="X1955">
        <v>0</v>
      </c>
      <c r="Y1955">
        <v>0</v>
      </c>
      <c r="Z1955">
        <v>31988.69</v>
      </c>
      <c r="AA1955">
        <v>32259.66</v>
      </c>
      <c r="AB1955" s="12" t="s">
        <v>563</v>
      </c>
      <c r="AC1955">
        <v>603.56020000000001</v>
      </c>
      <c r="AD1955">
        <v>1</v>
      </c>
      <c r="AE1955">
        <v>1</v>
      </c>
      <c r="AF1955">
        <v>0</v>
      </c>
      <c r="AG1955">
        <v>31988.69</v>
      </c>
      <c r="AH1955">
        <v>53</v>
      </c>
      <c r="AI1955">
        <v>52</v>
      </c>
      <c r="AJ1955">
        <v>1</v>
      </c>
      <c r="AK1955">
        <v>1</v>
      </c>
      <c r="AL1955">
        <v>1</v>
      </c>
      <c r="AM1955">
        <v>98.11</v>
      </c>
      <c r="AN1955">
        <v>620.37810000000002</v>
      </c>
      <c r="AO1955">
        <v>603.55999999999995</v>
      </c>
      <c r="AP1955" s="13">
        <v>45348</v>
      </c>
      <c r="AQ1955">
        <v>-2</v>
      </c>
      <c r="AR1955">
        <v>1</v>
      </c>
    </row>
    <row r="1956" spans="1:44" x14ac:dyDescent="0.35">
      <c r="A1956" s="12" t="s">
        <v>2664</v>
      </c>
      <c r="B1956" s="12" t="s">
        <v>238</v>
      </c>
      <c r="C1956" s="12" t="s">
        <v>239</v>
      </c>
      <c r="D1956" s="12" t="s">
        <v>122</v>
      </c>
      <c r="E1956" s="12" t="s">
        <v>65</v>
      </c>
      <c r="F1956">
        <v>3</v>
      </c>
      <c r="G1956">
        <v>4</v>
      </c>
      <c r="H1956">
        <v>0</v>
      </c>
      <c r="I1956" s="12" t="s">
        <v>79</v>
      </c>
      <c r="J1956" s="12" t="s">
        <v>80</v>
      </c>
      <c r="K1956" s="12" t="s">
        <v>81</v>
      </c>
      <c r="L1956" s="12" t="s">
        <v>82</v>
      </c>
      <c r="M1956">
        <v>12.07</v>
      </c>
      <c r="N1956" s="12" t="s">
        <v>70</v>
      </c>
      <c r="O1956" s="12" t="s">
        <v>71</v>
      </c>
      <c r="P1956" s="12" t="s">
        <v>72</v>
      </c>
      <c r="Q1956" s="13">
        <v>45310</v>
      </c>
      <c r="R1956" s="13">
        <v>45343</v>
      </c>
      <c r="S1956">
        <v>2024</v>
      </c>
      <c r="T1956" s="12" t="s">
        <v>2513</v>
      </c>
      <c r="U1956">
        <v>1476</v>
      </c>
      <c r="V1956">
        <v>37.143599999999999</v>
      </c>
      <c r="W1956">
        <v>1073.6300000000001</v>
      </c>
      <c r="X1956">
        <v>0</v>
      </c>
      <c r="Y1956">
        <v>0</v>
      </c>
      <c r="Z1956">
        <v>54823.95</v>
      </c>
      <c r="AA1956">
        <v>55897.58</v>
      </c>
      <c r="AB1956" s="12" t="s">
        <v>297</v>
      </c>
      <c r="AC1956">
        <v>37.143599999999999</v>
      </c>
      <c r="AD1956">
        <v>1</v>
      </c>
      <c r="AE1956">
        <v>1</v>
      </c>
      <c r="AF1956">
        <v>0</v>
      </c>
      <c r="AG1956">
        <v>54823.95</v>
      </c>
      <c r="AH1956">
        <v>1476</v>
      </c>
      <c r="AI1956">
        <v>1466</v>
      </c>
      <c r="AJ1956">
        <v>10</v>
      </c>
      <c r="AK1956">
        <v>1</v>
      </c>
      <c r="AL1956">
        <v>1</v>
      </c>
      <c r="AM1956">
        <v>99.32</v>
      </c>
      <c r="AN1956">
        <v>38.129300000000001</v>
      </c>
      <c r="AO1956">
        <v>371.44</v>
      </c>
      <c r="AP1956" s="13">
        <v>45352</v>
      </c>
      <c r="AQ1956">
        <v>9</v>
      </c>
      <c r="AR1956">
        <v>0</v>
      </c>
    </row>
    <row r="1957" spans="1:44" x14ac:dyDescent="0.35">
      <c r="A1957" s="12" t="s">
        <v>2665</v>
      </c>
      <c r="B1957" s="12" t="s">
        <v>433</v>
      </c>
      <c r="C1957" s="12" t="s">
        <v>434</v>
      </c>
      <c r="D1957" s="12" t="s">
        <v>78</v>
      </c>
      <c r="E1957" s="12" t="s">
        <v>65</v>
      </c>
      <c r="F1957">
        <v>2</v>
      </c>
      <c r="G1957">
        <v>4</v>
      </c>
      <c r="H1957">
        <v>0</v>
      </c>
      <c r="I1957" s="12" t="s">
        <v>105</v>
      </c>
      <c r="J1957" s="12" t="s">
        <v>106</v>
      </c>
      <c r="K1957" s="12" t="s">
        <v>81</v>
      </c>
      <c r="L1957" s="12" t="s">
        <v>96</v>
      </c>
      <c r="M1957">
        <v>5.01</v>
      </c>
      <c r="N1957" s="12" t="s">
        <v>70</v>
      </c>
      <c r="O1957" s="12" t="s">
        <v>71</v>
      </c>
      <c r="P1957" s="12" t="s">
        <v>72</v>
      </c>
      <c r="Q1957" s="13">
        <v>45310</v>
      </c>
      <c r="R1957" s="13">
        <v>45343</v>
      </c>
      <c r="S1957">
        <v>2024</v>
      </c>
      <c r="T1957" s="12" t="s">
        <v>2513</v>
      </c>
      <c r="U1957">
        <v>220</v>
      </c>
      <c r="V1957">
        <v>76.331100000000006</v>
      </c>
      <c r="W1957">
        <v>325.95999999999998</v>
      </c>
      <c r="X1957">
        <v>0</v>
      </c>
      <c r="Y1957">
        <v>0</v>
      </c>
      <c r="Z1957">
        <v>16792.84</v>
      </c>
      <c r="AA1957">
        <v>17118.8</v>
      </c>
      <c r="AB1957" s="12" t="s">
        <v>463</v>
      </c>
      <c r="AC1957">
        <v>76.331100000000006</v>
      </c>
      <c r="AD1957">
        <v>1</v>
      </c>
      <c r="AE1957">
        <v>1</v>
      </c>
      <c r="AF1957">
        <v>0</v>
      </c>
      <c r="AG1957">
        <v>16792.84</v>
      </c>
      <c r="AH1957">
        <v>220</v>
      </c>
      <c r="AI1957">
        <v>217</v>
      </c>
      <c r="AJ1957">
        <v>3</v>
      </c>
      <c r="AK1957">
        <v>1</v>
      </c>
      <c r="AL1957">
        <v>1</v>
      </c>
      <c r="AM1957">
        <v>98.64</v>
      </c>
      <c r="AN1957">
        <v>78.888499999999993</v>
      </c>
      <c r="AO1957">
        <v>228.99</v>
      </c>
      <c r="AP1957" s="13">
        <v>45340</v>
      </c>
      <c r="AQ1957">
        <v>-3</v>
      </c>
      <c r="AR1957">
        <v>1</v>
      </c>
    </row>
    <row r="1958" spans="1:44" x14ac:dyDescent="0.35">
      <c r="A1958" s="12" t="s">
        <v>2666</v>
      </c>
      <c r="B1958" s="12" t="s">
        <v>347</v>
      </c>
      <c r="C1958" s="12" t="s">
        <v>348</v>
      </c>
      <c r="D1958" s="12" t="s">
        <v>78</v>
      </c>
      <c r="E1958" s="12" t="s">
        <v>104</v>
      </c>
      <c r="F1958">
        <v>3</v>
      </c>
      <c r="G1958">
        <v>1</v>
      </c>
      <c r="H1958">
        <v>0</v>
      </c>
      <c r="I1958" s="12" t="s">
        <v>105</v>
      </c>
      <c r="J1958" s="12" t="s">
        <v>106</v>
      </c>
      <c r="K1958" s="12" t="s">
        <v>81</v>
      </c>
      <c r="L1958" s="12" t="s">
        <v>96</v>
      </c>
      <c r="M1958">
        <v>5.01</v>
      </c>
      <c r="N1958" s="12" t="s">
        <v>70</v>
      </c>
      <c r="O1958" s="12" t="s">
        <v>71</v>
      </c>
      <c r="P1958" s="12" t="s">
        <v>72</v>
      </c>
      <c r="Q1958" s="13">
        <v>45313</v>
      </c>
      <c r="R1958" s="13">
        <v>45326</v>
      </c>
      <c r="S1958">
        <v>2024</v>
      </c>
      <c r="T1958" s="12" t="s">
        <v>2513</v>
      </c>
      <c r="U1958">
        <v>54</v>
      </c>
      <c r="V1958">
        <v>94.5535</v>
      </c>
      <c r="W1958">
        <v>48.44</v>
      </c>
      <c r="X1958">
        <v>0</v>
      </c>
      <c r="Y1958">
        <v>0</v>
      </c>
      <c r="Z1958">
        <v>5105.8900000000003</v>
      </c>
      <c r="AA1958">
        <v>5154.33</v>
      </c>
      <c r="AB1958" s="12" t="s">
        <v>841</v>
      </c>
      <c r="AC1958">
        <v>100.34050000000001</v>
      </c>
      <c r="AD1958">
        <v>1</v>
      </c>
      <c r="AE1958">
        <v>1</v>
      </c>
      <c r="AF1958">
        <v>-312.5</v>
      </c>
      <c r="AG1958">
        <v>5418.39</v>
      </c>
      <c r="AH1958">
        <v>54</v>
      </c>
      <c r="AI1958">
        <v>53</v>
      </c>
      <c r="AJ1958">
        <v>1</v>
      </c>
      <c r="AK1958">
        <v>1</v>
      </c>
      <c r="AL1958">
        <v>1</v>
      </c>
      <c r="AM1958">
        <v>98.15</v>
      </c>
      <c r="AN1958">
        <v>97.251499999999993</v>
      </c>
      <c r="AO1958">
        <v>94.55</v>
      </c>
      <c r="AP1958" s="13">
        <v>45325</v>
      </c>
      <c r="AQ1958">
        <v>-1</v>
      </c>
      <c r="AR1958">
        <v>1</v>
      </c>
    </row>
    <row r="1959" spans="1:44" x14ac:dyDescent="0.35">
      <c r="A1959" s="12" t="s">
        <v>2667</v>
      </c>
      <c r="B1959" s="12" t="s">
        <v>630</v>
      </c>
      <c r="C1959" s="12" t="s">
        <v>631</v>
      </c>
      <c r="D1959" s="12" t="s">
        <v>130</v>
      </c>
      <c r="E1959" s="12" t="s">
        <v>65</v>
      </c>
      <c r="F1959">
        <v>1</v>
      </c>
      <c r="G1959">
        <v>2</v>
      </c>
      <c r="H1959">
        <v>1</v>
      </c>
      <c r="I1959" s="12" t="s">
        <v>335</v>
      </c>
      <c r="J1959" s="12" t="s">
        <v>336</v>
      </c>
      <c r="K1959" s="12" t="s">
        <v>89</v>
      </c>
      <c r="L1959" s="12" t="s">
        <v>82</v>
      </c>
      <c r="M1959">
        <v>16</v>
      </c>
      <c r="N1959" s="12" t="s">
        <v>135</v>
      </c>
      <c r="O1959" s="12" t="s">
        <v>136</v>
      </c>
      <c r="P1959" s="12" t="s">
        <v>137</v>
      </c>
      <c r="Q1959" s="13">
        <v>45313</v>
      </c>
      <c r="R1959" s="13">
        <v>45334</v>
      </c>
      <c r="S1959">
        <v>2024</v>
      </c>
      <c r="T1959" s="12" t="s">
        <v>2513</v>
      </c>
      <c r="U1959">
        <v>14</v>
      </c>
      <c r="V1959">
        <v>448.44209999999998</v>
      </c>
      <c r="W1959">
        <v>66.78</v>
      </c>
      <c r="X1959">
        <v>0</v>
      </c>
      <c r="Y1959">
        <v>0</v>
      </c>
      <c r="Z1959">
        <v>6278.19</v>
      </c>
      <c r="AA1959">
        <v>6344.97</v>
      </c>
      <c r="AB1959" s="12" t="s">
        <v>632</v>
      </c>
      <c r="AC1959">
        <v>448.44209999999998</v>
      </c>
      <c r="AD1959">
        <v>1</v>
      </c>
      <c r="AE1959">
        <v>1</v>
      </c>
      <c r="AF1959">
        <v>0</v>
      </c>
      <c r="AG1959">
        <v>6278.19</v>
      </c>
      <c r="AH1959">
        <v>14</v>
      </c>
      <c r="AI1959">
        <v>14</v>
      </c>
      <c r="AJ1959">
        <v>0</v>
      </c>
      <c r="AK1959">
        <v>1</v>
      </c>
      <c r="AL1959">
        <v>1</v>
      </c>
      <c r="AM1959">
        <v>100</v>
      </c>
      <c r="AN1959">
        <v>453.21210000000002</v>
      </c>
      <c r="AO1959">
        <v>0</v>
      </c>
      <c r="AP1959" s="13">
        <v>45344</v>
      </c>
      <c r="AQ1959">
        <v>10</v>
      </c>
      <c r="AR1959">
        <v>0</v>
      </c>
    </row>
    <row r="1960" spans="1:44" x14ac:dyDescent="0.35">
      <c r="A1960" s="12" t="s">
        <v>2668</v>
      </c>
      <c r="B1960" s="12" t="s">
        <v>378</v>
      </c>
      <c r="C1960" s="12" t="s">
        <v>379</v>
      </c>
      <c r="D1960" s="12" t="s">
        <v>64</v>
      </c>
      <c r="E1960" s="12" t="s">
        <v>104</v>
      </c>
      <c r="F1960">
        <v>3</v>
      </c>
      <c r="G1960">
        <v>1</v>
      </c>
      <c r="H1960">
        <v>0</v>
      </c>
      <c r="I1960" s="12" t="s">
        <v>380</v>
      </c>
      <c r="J1960" s="12" t="s">
        <v>381</v>
      </c>
      <c r="K1960" s="12" t="s">
        <v>89</v>
      </c>
      <c r="L1960" s="12" t="s">
        <v>96</v>
      </c>
      <c r="M1960">
        <v>10.210000000000001</v>
      </c>
      <c r="N1960" s="12" t="s">
        <v>70</v>
      </c>
      <c r="O1960" s="12" t="s">
        <v>71</v>
      </c>
      <c r="P1960" s="12" t="s">
        <v>72</v>
      </c>
      <c r="Q1960" s="13">
        <v>45313</v>
      </c>
      <c r="R1960" s="13">
        <v>45338</v>
      </c>
      <c r="S1960">
        <v>2024</v>
      </c>
      <c r="T1960" s="12" t="s">
        <v>2513</v>
      </c>
      <c r="U1960">
        <v>765</v>
      </c>
      <c r="V1960">
        <v>16.160900000000002</v>
      </c>
      <c r="W1960">
        <v>238.44</v>
      </c>
      <c r="X1960">
        <v>0</v>
      </c>
      <c r="Y1960">
        <v>0</v>
      </c>
      <c r="Z1960">
        <v>12363.09</v>
      </c>
      <c r="AA1960">
        <v>12601.53</v>
      </c>
      <c r="AB1960" s="12" t="s">
        <v>382</v>
      </c>
      <c r="AC1960">
        <v>16.160900000000002</v>
      </c>
      <c r="AD1960">
        <v>1</v>
      </c>
      <c r="AE1960">
        <v>1</v>
      </c>
      <c r="AF1960">
        <v>0</v>
      </c>
      <c r="AG1960">
        <v>12363.09</v>
      </c>
      <c r="AH1960">
        <v>765</v>
      </c>
      <c r="AI1960">
        <v>760</v>
      </c>
      <c r="AJ1960">
        <v>5</v>
      </c>
      <c r="AK1960">
        <v>1</v>
      </c>
      <c r="AL1960">
        <v>1</v>
      </c>
      <c r="AM1960">
        <v>99.35</v>
      </c>
      <c r="AN1960">
        <v>16.581</v>
      </c>
      <c r="AO1960">
        <v>80.8</v>
      </c>
      <c r="AP1960" s="13">
        <v>45343</v>
      </c>
      <c r="AQ1960">
        <v>5</v>
      </c>
      <c r="AR1960">
        <v>0</v>
      </c>
    </row>
    <row r="1961" spans="1:44" x14ac:dyDescent="0.35">
      <c r="A1961" s="12" t="s">
        <v>2669</v>
      </c>
      <c r="B1961" s="12" t="s">
        <v>437</v>
      </c>
      <c r="C1961" s="12" t="s">
        <v>438</v>
      </c>
      <c r="D1961" s="12" t="s">
        <v>269</v>
      </c>
      <c r="E1961" s="12" t="s">
        <v>65</v>
      </c>
      <c r="F1961">
        <v>2</v>
      </c>
      <c r="G1961">
        <v>4</v>
      </c>
      <c r="H1961">
        <v>0</v>
      </c>
      <c r="I1961" s="12" t="s">
        <v>115</v>
      </c>
      <c r="J1961" s="12" t="s">
        <v>116</v>
      </c>
      <c r="K1961" s="12" t="s">
        <v>117</v>
      </c>
      <c r="L1961" s="12" t="s">
        <v>82</v>
      </c>
      <c r="M1961">
        <v>17.170000000000002</v>
      </c>
      <c r="N1961" s="12" t="s">
        <v>135</v>
      </c>
      <c r="O1961" s="12" t="s">
        <v>136</v>
      </c>
      <c r="P1961" s="12" t="s">
        <v>137</v>
      </c>
      <c r="Q1961" s="13">
        <v>45314</v>
      </c>
      <c r="R1961" s="13">
        <v>45349</v>
      </c>
      <c r="S1961">
        <v>2024</v>
      </c>
      <c r="T1961" s="12" t="s">
        <v>2513</v>
      </c>
      <c r="U1961">
        <v>119</v>
      </c>
      <c r="V1961">
        <v>440.05549999999999</v>
      </c>
      <c r="W1961">
        <v>984.97</v>
      </c>
      <c r="X1961">
        <v>0</v>
      </c>
      <c r="Y1961">
        <v>0</v>
      </c>
      <c r="Z1961">
        <v>52366.6</v>
      </c>
      <c r="AA1961">
        <v>53351.57</v>
      </c>
      <c r="AB1961" s="12" t="s">
        <v>2670</v>
      </c>
      <c r="AC1961">
        <v>440.05549999999999</v>
      </c>
      <c r="AD1961">
        <v>1</v>
      </c>
      <c r="AE1961">
        <v>1</v>
      </c>
      <c r="AF1961">
        <v>0</v>
      </c>
      <c r="AG1961">
        <v>52366.6</v>
      </c>
      <c r="AH1961">
        <v>119</v>
      </c>
      <c r="AI1961">
        <v>117</v>
      </c>
      <c r="AJ1961">
        <v>2</v>
      </c>
      <c r="AK1961">
        <v>1</v>
      </c>
      <c r="AL1961">
        <v>1</v>
      </c>
      <c r="AM1961">
        <v>98.32</v>
      </c>
      <c r="AN1961">
        <v>455.99639999999999</v>
      </c>
      <c r="AO1961">
        <v>880.11</v>
      </c>
      <c r="AP1961" s="13">
        <v>45351</v>
      </c>
      <c r="AQ1961">
        <v>2</v>
      </c>
      <c r="AR1961">
        <v>0</v>
      </c>
    </row>
    <row r="1962" spans="1:44" x14ac:dyDescent="0.35">
      <c r="A1962" s="12" t="s">
        <v>2671</v>
      </c>
      <c r="B1962" s="12" t="s">
        <v>76</v>
      </c>
      <c r="C1962" s="12" t="s">
        <v>77</v>
      </c>
      <c r="D1962" s="12" t="s">
        <v>78</v>
      </c>
      <c r="E1962" s="12" t="s">
        <v>65</v>
      </c>
      <c r="F1962">
        <v>2</v>
      </c>
      <c r="G1962">
        <v>4</v>
      </c>
      <c r="H1962">
        <v>0</v>
      </c>
      <c r="I1962" s="12" t="s">
        <v>79</v>
      </c>
      <c r="J1962" s="12" t="s">
        <v>80</v>
      </c>
      <c r="K1962" s="12" t="s">
        <v>81</v>
      </c>
      <c r="L1962" s="12" t="s">
        <v>82</v>
      </c>
      <c r="M1962">
        <v>12.07</v>
      </c>
      <c r="N1962" s="12" t="s">
        <v>97</v>
      </c>
      <c r="O1962" s="12" t="s">
        <v>98</v>
      </c>
      <c r="P1962" s="12" t="s">
        <v>72</v>
      </c>
      <c r="Q1962" s="13">
        <v>45314</v>
      </c>
      <c r="R1962" s="13">
        <v>45339</v>
      </c>
      <c r="S1962">
        <v>2024</v>
      </c>
      <c r="T1962" s="12" t="s">
        <v>2513</v>
      </c>
      <c r="U1962">
        <v>106</v>
      </c>
      <c r="V1962">
        <v>45.034100000000002</v>
      </c>
      <c r="W1962">
        <v>44.33</v>
      </c>
      <c r="X1962">
        <v>0</v>
      </c>
      <c r="Y1962">
        <v>0</v>
      </c>
      <c r="Z1962">
        <v>4773.6099999999997</v>
      </c>
      <c r="AA1962">
        <v>4817.9399999999996</v>
      </c>
      <c r="AB1962" s="12" t="s">
        <v>2672</v>
      </c>
      <c r="AC1962">
        <v>45.034100000000002</v>
      </c>
      <c r="AD1962">
        <v>1</v>
      </c>
      <c r="AE1962">
        <v>1</v>
      </c>
      <c r="AF1962">
        <v>0</v>
      </c>
      <c r="AG1962">
        <v>4773.6099999999997</v>
      </c>
      <c r="AH1962">
        <v>106</v>
      </c>
      <c r="AI1962">
        <v>103</v>
      </c>
      <c r="AJ1962">
        <v>3</v>
      </c>
      <c r="AK1962">
        <v>1</v>
      </c>
      <c r="AL1962">
        <v>1</v>
      </c>
      <c r="AM1962">
        <v>97.17</v>
      </c>
      <c r="AN1962">
        <v>46.776200000000003</v>
      </c>
      <c r="AO1962">
        <v>135.1</v>
      </c>
      <c r="AP1962" s="13">
        <v>45336</v>
      </c>
      <c r="AQ1962">
        <v>-3</v>
      </c>
      <c r="AR1962">
        <v>1</v>
      </c>
    </row>
    <row r="1963" spans="1:44" x14ac:dyDescent="0.35">
      <c r="A1963" s="12" t="s">
        <v>2673</v>
      </c>
      <c r="B1963" s="12" t="s">
        <v>569</v>
      </c>
      <c r="C1963" s="12" t="s">
        <v>570</v>
      </c>
      <c r="D1963" s="12" t="s">
        <v>114</v>
      </c>
      <c r="E1963" s="12" t="s">
        <v>142</v>
      </c>
      <c r="F1963">
        <v>1</v>
      </c>
      <c r="G1963">
        <v>6</v>
      </c>
      <c r="H1963">
        <v>1</v>
      </c>
      <c r="I1963" s="12" t="s">
        <v>123</v>
      </c>
      <c r="J1963" s="12" t="s">
        <v>124</v>
      </c>
      <c r="K1963" s="12" t="s">
        <v>125</v>
      </c>
      <c r="L1963" s="12" t="s">
        <v>82</v>
      </c>
      <c r="M1963">
        <v>6.75</v>
      </c>
      <c r="N1963" s="12" t="s">
        <v>97</v>
      </c>
      <c r="O1963" s="12" t="s">
        <v>98</v>
      </c>
      <c r="P1963" s="12" t="s">
        <v>72</v>
      </c>
      <c r="Q1963" s="13">
        <v>45314</v>
      </c>
      <c r="R1963" s="13">
        <v>45358</v>
      </c>
      <c r="S1963">
        <v>2024</v>
      </c>
      <c r="T1963" s="12" t="s">
        <v>2513</v>
      </c>
      <c r="U1963">
        <v>80</v>
      </c>
      <c r="V1963">
        <v>365.14609999999999</v>
      </c>
      <c r="W1963">
        <v>259.47000000000003</v>
      </c>
      <c r="X1963">
        <v>0</v>
      </c>
      <c r="Y1963">
        <v>0</v>
      </c>
      <c r="Z1963">
        <v>29211.69</v>
      </c>
      <c r="AA1963">
        <v>29471.16</v>
      </c>
      <c r="AB1963" s="12" t="s">
        <v>571</v>
      </c>
      <c r="AC1963">
        <v>349.9393</v>
      </c>
      <c r="AD1963">
        <v>1</v>
      </c>
      <c r="AE1963">
        <v>1</v>
      </c>
      <c r="AF1963">
        <v>1216.54</v>
      </c>
      <c r="AG1963">
        <v>27995.14</v>
      </c>
      <c r="AH1963">
        <v>80</v>
      </c>
      <c r="AI1963">
        <v>80</v>
      </c>
      <c r="AJ1963">
        <v>0</v>
      </c>
      <c r="AK1963">
        <v>1</v>
      </c>
      <c r="AL1963">
        <v>1</v>
      </c>
      <c r="AM1963">
        <v>100</v>
      </c>
      <c r="AN1963">
        <v>368.3895</v>
      </c>
      <c r="AO1963">
        <v>0</v>
      </c>
      <c r="AP1963" s="13">
        <v>45356</v>
      </c>
      <c r="AQ1963">
        <v>-2</v>
      </c>
      <c r="AR1963">
        <v>1</v>
      </c>
    </row>
    <row r="1964" spans="1:44" x14ac:dyDescent="0.35">
      <c r="A1964" s="12" t="s">
        <v>2674</v>
      </c>
      <c r="B1964" s="12" t="s">
        <v>1075</v>
      </c>
      <c r="C1964" s="12" t="s">
        <v>1076</v>
      </c>
      <c r="D1964" s="12" t="s">
        <v>103</v>
      </c>
      <c r="E1964" s="12" t="s">
        <v>65</v>
      </c>
      <c r="F1964">
        <v>2</v>
      </c>
      <c r="G1964">
        <v>4</v>
      </c>
      <c r="H1964">
        <v>0</v>
      </c>
      <c r="I1964" s="12" t="s">
        <v>183</v>
      </c>
      <c r="J1964" s="12" t="s">
        <v>184</v>
      </c>
      <c r="K1964" s="12" t="s">
        <v>133</v>
      </c>
      <c r="L1964" s="12" t="s">
        <v>82</v>
      </c>
      <c r="M1964">
        <v>8.6199999999999992</v>
      </c>
      <c r="N1964" s="12" t="s">
        <v>107</v>
      </c>
      <c r="O1964" s="12" t="s">
        <v>108</v>
      </c>
      <c r="P1964" s="12" t="s">
        <v>109</v>
      </c>
      <c r="Q1964" s="13">
        <v>45314</v>
      </c>
      <c r="R1964" s="13">
        <v>45336</v>
      </c>
      <c r="S1964">
        <v>2024</v>
      </c>
      <c r="T1964" s="12" t="s">
        <v>2513</v>
      </c>
      <c r="U1964">
        <v>21</v>
      </c>
      <c r="V1964">
        <v>68.470200000000006</v>
      </c>
      <c r="W1964">
        <v>13.54</v>
      </c>
      <c r="X1964">
        <v>0</v>
      </c>
      <c r="Y1964">
        <v>0</v>
      </c>
      <c r="Z1964">
        <v>1437.87</v>
      </c>
      <c r="AA1964">
        <v>1451.41</v>
      </c>
      <c r="AB1964" s="12" t="s">
        <v>1163</v>
      </c>
      <c r="AC1964">
        <v>68.470200000000006</v>
      </c>
      <c r="AD1964">
        <v>1</v>
      </c>
      <c r="AE1964">
        <v>1</v>
      </c>
      <c r="AF1964">
        <v>0</v>
      </c>
      <c r="AG1964">
        <v>1437.87</v>
      </c>
      <c r="AH1964">
        <v>21</v>
      </c>
      <c r="AI1964">
        <v>21</v>
      </c>
      <c r="AJ1964">
        <v>0</v>
      </c>
      <c r="AK1964">
        <v>1</v>
      </c>
      <c r="AL1964">
        <v>1</v>
      </c>
      <c r="AM1964">
        <v>100</v>
      </c>
      <c r="AN1964">
        <v>69.114999999999995</v>
      </c>
      <c r="AO1964">
        <v>0</v>
      </c>
      <c r="AP1964" s="13">
        <v>45342</v>
      </c>
      <c r="AQ1964">
        <v>6</v>
      </c>
      <c r="AR1964">
        <v>0</v>
      </c>
    </row>
    <row r="1965" spans="1:44" x14ac:dyDescent="0.35">
      <c r="A1965" s="12" t="s">
        <v>2675</v>
      </c>
      <c r="B1965" s="12" t="s">
        <v>289</v>
      </c>
      <c r="C1965" s="12" t="s">
        <v>290</v>
      </c>
      <c r="D1965" s="12" t="s">
        <v>175</v>
      </c>
      <c r="E1965" s="12" t="s">
        <v>104</v>
      </c>
      <c r="F1965">
        <v>3</v>
      </c>
      <c r="G1965">
        <v>1</v>
      </c>
      <c r="H1965">
        <v>0</v>
      </c>
      <c r="I1965" s="12" t="s">
        <v>157</v>
      </c>
      <c r="J1965" s="12" t="s">
        <v>158</v>
      </c>
      <c r="K1965" s="12" t="s">
        <v>117</v>
      </c>
      <c r="L1965" s="12" t="s">
        <v>96</v>
      </c>
      <c r="M1965">
        <v>4.72</v>
      </c>
      <c r="N1965" s="12" t="s">
        <v>145</v>
      </c>
      <c r="O1965" s="12" t="s">
        <v>146</v>
      </c>
      <c r="P1965" s="12" t="s">
        <v>109</v>
      </c>
      <c r="Q1965" s="13">
        <v>45314</v>
      </c>
      <c r="R1965" s="13">
        <v>45339</v>
      </c>
      <c r="S1965">
        <v>2024</v>
      </c>
      <c r="T1965" s="12" t="s">
        <v>2513</v>
      </c>
      <c r="U1965">
        <v>114</v>
      </c>
      <c r="V1965">
        <v>184.24529999999999</v>
      </c>
      <c r="W1965">
        <v>526.24</v>
      </c>
      <c r="X1965">
        <v>0</v>
      </c>
      <c r="Y1965">
        <v>0</v>
      </c>
      <c r="Z1965">
        <v>21003.96</v>
      </c>
      <c r="AA1965">
        <v>21530.2</v>
      </c>
      <c r="AB1965" s="12" t="s">
        <v>2676</v>
      </c>
      <c r="AC1965">
        <v>184.24529999999999</v>
      </c>
      <c r="AD1965">
        <v>1</v>
      </c>
      <c r="AE1965">
        <v>1</v>
      </c>
      <c r="AF1965">
        <v>0</v>
      </c>
      <c r="AG1965">
        <v>21003.96</v>
      </c>
      <c r="AH1965">
        <v>114</v>
      </c>
      <c r="AI1965">
        <v>113</v>
      </c>
      <c r="AJ1965">
        <v>1</v>
      </c>
      <c r="AK1965">
        <v>1</v>
      </c>
      <c r="AL1965">
        <v>1</v>
      </c>
      <c r="AM1965">
        <v>99.12</v>
      </c>
      <c r="AN1965">
        <v>190.53280000000001</v>
      </c>
      <c r="AO1965">
        <v>184.25</v>
      </c>
      <c r="AP1965" s="13">
        <v>45337</v>
      </c>
      <c r="AQ1965">
        <v>-2</v>
      </c>
      <c r="AR1965">
        <v>1</v>
      </c>
    </row>
    <row r="1966" spans="1:44" x14ac:dyDescent="0.35">
      <c r="A1966" s="12" t="s">
        <v>2677</v>
      </c>
      <c r="B1966" s="12" t="s">
        <v>869</v>
      </c>
      <c r="C1966" s="12" t="s">
        <v>870</v>
      </c>
      <c r="D1966" s="12" t="s">
        <v>130</v>
      </c>
      <c r="E1966" s="12" t="s">
        <v>104</v>
      </c>
      <c r="F1966">
        <v>2</v>
      </c>
      <c r="G1966">
        <v>0</v>
      </c>
      <c r="H1966">
        <v>0</v>
      </c>
      <c r="I1966" s="12" t="s">
        <v>515</v>
      </c>
      <c r="J1966" s="12" t="s">
        <v>516</v>
      </c>
      <c r="K1966" s="12" t="s">
        <v>68</v>
      </c>
      <c r="L1966" s="12" t="s">
        <v>134</v>
      </c>
      <c r="M1966">
        <v>3.69</v>
      </c>
      <c r="N1966" s="12" t="s">
        <v>159</v>
      </c>
      <c r="O1966" s="12" t="s">
        <v>160</v>
      </c>
      <c r="P1966" s="12" t="s">
        <v>137</v>
      </c>
      <c r="Q1966" s="13">
        <v>45314</v>
      </c>
      <c r="R1966" s="13">
        <v>45330</v>
      </c>
      <c r="S1966">
        <v>2024</v>
      </c>
      <c r="T1966" s="12" t="s">
        <v>2513</v>
      </c>
      <c r="U1966">
        <v>42</v>
      </c>
      <c r="V1966">
        <v>583.34230000000002</v>
      </c>
      <c r="W1966">
        <v>376.94</v>
      </c>
      <c r="X1966">
        <v>0</v>
      </c>
      <c r="Y1966">
        <v>0</v>
      </c>
      <c r="Z1966">
        <v>24500.38</v>
      </c>
      <c r="AA1966">
        <v>24877.32</v>
      </c>
      <c r="AB1966" s="12" t="s">
        <v>871</v>
      </c>
      <c r="AC1966">
        <v>583.34230000000002</v>
      </c>
      <c r="AD1966">
        <v>1</v>
      </c>
      <c r="AE1966">
        <v>1</v>
      </c>
      <c r="AF1966">
        <v>0</v>
      </c>
      <c r="AG1966">
        <v>24500.38</v>
      </c>
      <c r="AH1966">
        <v>42</v>
      </c>
      <c r="AI1966">
        <v>42</v>
      </c>
      <c r="AJ1966">
        <v>0</v>
      </c>
      <c r="AK1966">
        <v>1</v>
      </c>
      <c r="AL1966">
        <v>1</v>
      </c>
      <c r="AM1966">
        <v>100</v>
      </c>
      <c r="AN1966">
        <v>592.31709999999998</v>
      </c>
      <c r="AO1966">
        <v>0</v>
      </c>
      <c r="AP1966" s="13">
        <v>45329</v>
      </c>
      <c r="AQ1966">
        <v>-1</v>
      </c>
      <c r="AR1966">
        <v>1</v>
      </c>
    </row>
    <row r="1967" spans="1:44" x14ac:dyDescent="0.35">
      <c r="A1967" s="12" t="s">
        <v>2678</v>
      </c>
      <c r="B1967" s="12" t="s">
        <v>736</v>
      </c>
      <c r="C1967" s="12" t="s">
        <v>737</v>
      </c>
      <c r="D1967" s="12" t="s">
        <v>64</v>
      </c>
      <c r="E1967" s="12" t="s">
        <v>104</v>
      </c>
      <c r="F1967">
        <v>3</v>
      </c>
      <c r="G1967">
        <v>1</v>
      </c>
      <c r="H1967">
        <v>0</v>
      </c>
      <c r="I1967" s="12" t="s">
        <v>115</v>
      </c>
      <c r="J1967" s="12" t="s">
        <v>116</v>
      </c>
      <c r="K1967" s="12" t="s">
        <v>117</v>
      </c>
      <c r="L1967" s="12" t="s">
        <v>82</v>
      </c>
      <c r="M1967">
        <v>17.170000000000002</v>
      </c>
      <c r="N1967" s="12" t="s">
        <v>97</v>
      </c>
      <c r="O1967" s="12" t="s">
        <v>98</v>
      </c>
      <c r="P1967" s="12" t="s">
        <v>72</v>
      </c>
      <c r="Q1967" s="13">
        <v>45314</v>
      </c>
      <c r="R1967" s="13">
        <v>45337</v>
      </c>
      <c r="S1967">
        <v>2024</v>
      </c>
      <c r="T1967" s="12" t="s">
        <v>2513</v>
      </c>
      <c r="U1967">
        <v>689</v>
      </c>
      <c r="V1967">
        <v>24.696300000000001</v>
      </c>
      <c r="W1967">
        <v>371.01</v>
      </c>
      <c r="X1967">
        <v>0</v>
      </c>
      <c r="Y1967">
        <v>0</v>
      </c>
      <c r="Z1967">
        <v>17015.75</v>
      </c>
      <c r="AA1967">
        <v>17386.759999999998</v>
      </c>
      <c r="AB1967" s="12" t="s">
        <v>2423</v>
      </c>
      <c r="AC1967">
        <v>24.696300000000001</v>
      </c>
      <c r="AD1967">
        <v>1</v>
      </c>
      <c r="AE1967">
        <v>1</v>
      </c>
      <c r="AF1967">
        <v>0</v>
      </c>
      <c r="AG1967">
        <v>17015.75</v>
      </c>
      <c r="AH1967">
        <v>689</v>
      </c>
      <c r="AI1967">
        <v>684</v>
      </c>
      <c r="AJ1967">
        <v>5</v>
      </c>
      <c r="AK1967">
        <v>1</v>
      </c>
      <c r="AL1967">
        <v>1</v>
      </c>
      <c r="AM1967">
        <v>99.27</v>
      </c>
      <c r="AN1967">
        <v>25.4192</v>
      </c>
      <c r="AO1967">
        <v>123.48</v>
      </c>
      <c r="AP1967" s="13">
        <v>45335</v>
      </c>
      <c r="AQ1967">
        <v>-2</v>
      </c>
      <c r="AR1967">
        <v>1</v>
      </c>
    </row>
    <row r="1968" spans="1:44" x14ac:dyDescent="0.35">
      <c r="A1968" s="12" t="s">
        <v>2679</v>
      </c>
      <c r="B1968" s="12" t="s">
        <v>787</v>
      </c>
      <c r="C1968" s="12" t="s">
        <v>788</v>
      </c>
      <c r="D1968" s="12" t="s">
        <v>269</v>
      </c>
      <c r="E1968" s="12" t="s">
        <v>65</v>
      </c>
      <c r="F1968">
        <v>2</v>
      </c>
      <c r="G1968">
        <v>3</v>
      </c>
      <c r="H1968">
        <v>0</v>
      </c>
      <c r="I1968" s="12" t="s">
        <v>143</v>
      </c>
      <c r="J1968" s="12" t="s">
        <v>144</v>
      </c>
      <c r="K1968" s="12" t="s">
        <v>133</v>
      </c>
      <c r="L1968" s="12" t="s">
        <v>96</v>
      </c>
      <c r="M1968">
        <v>5.43</v>
      </c>
      <c r="N1968" s="12" t="s">
        <v>159</v>
      </c>
      <c r="O1968" s="12" t="s">
        <v>160</v>
      </c>
      <c r="P1968" s="12" t="s">
        <v>137</v>
      </c>
      <c r="Q1968" s="13">
        <v>45314</v>
      </c>
      <c r="R1968" s="13">
        <v>45341</v>
      </c>
      <c r="S1968">
        <v>2024</v>
      </c>
      <c r="T1968" s="12" t="s">
        <v>2513</v>
      </c>
      <c r="U1968">
        <v>57</v>
      </c>
      <c r="V1968">
        <v>354.36430000000001</v>
      </c>
      <c r="W1968">
        <v>500.79</v>
      </c>
      <c r="X1968">
        <v>0</v>
      </c>
      <c r="Y1968">
        <v>0</v>
      </c>
      <c r="Z1968">
        <v>20198.77</v>
      </c>
      <c r="AA1968">
        <v>20699.560000000001</v>
      </c>
      <c r="AB1968" s="12" t="s">
        <v>789</v>
      </c>
      <c r="AC1968">
        <v>354.36430000000001</v>
      </c>
      <c r="AD1968">
        <v>1</v>
      </c>
      <c r="AE1968">
        <v>1</v>
      </c>
      <c r="AF1968">
        <v>0</v>
      </c>
      <c r="AG1968">
        <v>20198.77</v>
      </c>
      <c r="AH1968">
        <v>57</v>
      </c>
      <c r="AI1968">
        <v>56</v>
      </c>
      <c r="AJ1968">
        <v>1</v>
      </c>
      <c r="AK1968">
        <v>1</v>
      </c>
      <c r="AL1968">
        <v>1</v>
      </c>
      <c r="AM1968">
        <v>98.25</v>
      </c>
      <c r="AN1968">
        <v>369.63490000000002</v>
      </c>
      <c r="AO1968">
        <v>354.36</v>
      </c>
      <c r="AP1968" s="13">
        <v>45338</v>
      </c>
      <c r="AQ1968">
        <v>-3</v>
      </c>
      <c r="AR1968">
        <v>1</v>
      </c>
    </row>
    <row r="1969" spans="1:44" x14ac:dyDescent="0.35">
      <c r="A1969" s="12" t="s">
        <v>2680</v>
      </c>
      <c r="B1969" s="12" t="s">
        <v>740</v>
      </c>
      <c r="C1969" s="12" t="s">
        <v>741</v>
      </c>
      <c r="D1969" s="12" t="s">
        <v>64</v>
      </c>
      <c r="E1969" s="12" t="s">
        <v>104</v>
      </c>
      <c r="F1969">
        <v>2</v>
      </c>
      <c r="G1969">
        <v>0</v>
      </c>
      <c r="H1969">
        <v>0</v>
      </c>
      <c r="I1969" s="12" t="s">
        <v>151</v>
      </c>
      <c r="J1969" s="12" t="s">
        <v>152</v>
      </c>
      <c r="K1969" s="12" t="s">
        <v>125</v>
      </c>
      <c r="L1969" s="12" t="s">
        <v>69</v>
      </c>
      <c r="M1969">
        <v>36.479999999999997</v>
      </c>
      <c r="N1969" s="12" t="s">
        <v>97</v>
      </c>
      <c r="O1969" s="12" t="s">
        <v>98</v>
      </c>
      <c r="P1969" s="12" t="s">
        <v>72</v>
      </c>
      <c r="Q1969" s="13">
        <v>45314</v>
      </c>
      <c r="R1969" s="13">
        <v>45343</v>
      </c>
      <c r="S1969">
        <v>2024</v>
      </c>
      <c r="T1969" s="12" t="s">
        <v>2513</v>
      </c>
      <c r="U1969">
        <v>992</v>
      </c>
      <c r="V1969">
        <v>41.2042</v>
      </c>
      <c r="W1969">
        <v>280.24</v>
      </c>
      <c r="X1969">
        <v>0</v>
      </c>
      <c r="Y1969">
        <v>0</v>
      </c>
      <c r="Z1969">
        <v>40874.57</v>
      </c>
      <c r="AA1969">
        <v>41154.81</v>
      </c>
      <c r="AB1969" s="12" t="s">
        <v>2363</v>
      </c>
      <c r="AC1969">
        <v>41.2042</v>
      </c>
      <c r="AD1969">
        <v>1</v>
      </c>
      <c r="AE1969">
        <v>1</v>
      </c>
      <c r="AF1969">
        <v>0</v>
      </c>
      <c r="AG1969">
        <v>40874.57</v>
      </c>
      <c r="AH1969">
        <v>992</v>
      </c>
      <c r="AI1969">
        <v>987</v>
      </c>
      <c r="AJ1969">
        <v>5</v>
      </c>
      <c r="AK1969">
        <v>1</v>
      </c>
      <c r="AL1969">
        <v>1</v>
      </c>
      <c r="AM1969">
        <v>99.5</v>
      </c>
      <c r="AN1969">
        <v>41.696899999999999</v>
      </c>
      <c r="AO1969">
        <v>206.02</v>
      </c>
      <c r="AP1969" s="13">
        <v>45342</v>
      </c>
      <c r="AQ1969">
        <v>-1</v>
      </c>
      <c r="AR1969">
        <v>1</v>
      </c>
    </row>
    <row r="1970" spans="1:44" x14ac:dyDescent="0.35">
      <c r="A1970" s="12" t="s">
        <v>2681</v>
      </c>
      <c r="B1970" s="12" t="s">
        <v>602</v>
      </c>
      <c r="C1970" s="12" t="s">
        <v>603</v>
      </c>
      <c r="D1970" s="12" t="s">
        <v>114</v>
      </c>
      <c r="E1970" s="12" t="s">
        <v>142</v>
      </c>
      <c r="F1970">
        <v>2</v>
      </c>
      <c r="G1970">
        <v>10</v>
      </c>
      <c r="H1970">
        <v>0</v>
      </c>
      <c r="I1970" s="12" t="s">
        <v>263</v>
      </c>
      <c r="J1970" s="12" t="s">
        <v>264</v>
      </c>
      <c r="K1970" s="12" t="s">
        <v>125</v>
      </c>
      <c r="L1970" s="12" t="s">
        <v>82</v>
      </c>
      <c r="M1970">
        <v>10.210000000000001</v>
      </c>
      <c r="N1970" s="12" t="s">
        <v>97</v>
      </c>
      <c r="O1970" s="12" t="s">
        <v>98</v>
      </c>
      <c r="P1970" s="12" t="s">
        <v>72</v>
      </c>
      <c r="Q1970" s="13">
        <v>45314</v>
      </c>
      <c r="R1970" s="13">
        <v>45355</v>
      </c>
      <c r="S1970">
        <v>2024</v>
      </c>
      <c r="T1970" s="12" t="s">
        <v>2513</v>
      </c>
      <c r="U1970">
        <v>57</v>
      </c>
      <c r="V1970">
        <v>201.14429999999999</v>
      </c>
      <c r="W1970">
        <v>182.41</v>
      </c>
      <c r="X1970">
        <v>0</v>
      </c>
      <c r="Y1970">
        <v>0</v>
      </c>
      <c r="Z1970">
        <v>11465.23</v>
      </c>
      <c r="AA1970">
        <v>11647.64</v>
      </c>
      <c r="AB1970" s="12" t="s">
        <v>691</v>
      </c>
      <c r="AC1970">
        <v>213.4624</v>
      </c>
      <c r="AD1970">
        <v>1</v>
      </c>
      <c r="AE1970">
        <v>1</v>
      </c>
      <c r="AF1970">
        <v>-702.13</v>
      </c>
      <c r="AG1970">
        <v>12167.36</v>
      </c>
      <c r="AH1970">
        <v>57</v>
      </c>
      <c r="AI1970">
        <v>56</v>
      </c>
      <c r="AJ1970">
        <v>1</v>
      </c>
      <c r="AK1970">
        <v>1</v>
      </c>
      <c r="AL1970">
        <v>1</v>
      </c>
      <c r="AM1970">
        <v>98.25</v>
      </c>
      <c r="AN1970">
        <v>207.99350000000001</v>
      </c>
      <c r="AO1970">
        <v>201.14</v>
      </c>
      <c r="AP1970" s="13">
        <v>45353</v>
      </c>
      <c r="AQ1970">
        <v>-2</v>
      </c>
      <c r="AR1970">
        <v>1</v>
      </c>
    </row>
    <row r="1971" spans="1:44" x14ac:dyDescent="0.35">
      <c r="A1971" s="12" t="s">
        <v>2682</v>
      </c>
      <c r="B1971" s="12" t="s">
        <v>617</v>
      </c>
      <c r="C1971" s="12" t="s">
        <v>618</v>
      </c>
      <c r="D1971" s="12" t="s">
        <v>78</v>
      </c>
      <c r="E1971" s="12" t="s">
        <v>65</v>
      </c>
      <c r="F1971">
        <v>2</v>
      </c>
      <c r="G1971">
        <v>4</v>
      </c>
      <c r="H1971">
        <v>0</v>
      </c>
      <c r="I1971" s="12" t="s">
        <v>341</v>
      </c>
      <c r="J1971" s="12" t="s">
        <v>342</v>
      </c>
      <c r="K1971" s="12" t="s">
        <v>117</v>
      </c>
      <c r="L1971" s="12" t="s">
        <v>82</v>
      </c>
      <c r="M1971">
        <v>18.36</v>
      </c>
      <c r="N1971" s="12" t="s">
        <v>70</v>
      </c>
      <c r="O1971" s="12" t="s">
        <v>71</v>
      </c>
      <c r="P1971" s="12" t="s">
        <v>72</v>
      </c>
      <c r="Q1971" s="13">
        <v>45315</v>
      </c>
      <c r="R1971" s="13">
        <v>45348</v>
      </c>
      <c r="S1971">
        <v>2024</v>
      </c>
      <c r="T1971" s="12" t="s">
        <v>2513</v>
      </c>
      <c r="U1971">
        <v>216</v>
      </c>
      <c r="V1971">
        <v>108.2711</v>
      </c>
      <c r="W1971">
        <v>311.95</v>
      </c>
      <c r="X1971">
        <v>0</v>
      </c>
      <c r="Y1971">
        <v>0</v>
      </c>
      <c r="Z1971">
        <v>23386.560000000001</v>
      </c>
      <c r="AA1971">
        <v>23698.51</v>
      </c>
      <c r="AB1971" s="12" t="s">
        <v>619</v>
      </c>
      <c r="AC1971">
        <v>108.2711</v>
      </c>
      <c r="AD1971">
        <v>1</v>
      </c>
      <c r="AE1971">
        <v>1</v>
      </c>
      <c r="AF1971">
        <v>0</v>
      </c>
      <c r="AG1971">
        <v>23386.560000000001</v>
      </c>
      <c r="AH1971">
        <v>216</v>
      </c>
      <c r="AI1971">
        <v>213</v>
      </c>
      <c r="AJ1971">
        <v>3</v>
      </c>
      <c r="AK1971">
        <v>1</v>
      </c>
      <c r="AL1971">
        <v>1</v>
      </c>
      <c r="AM1971">
        <v>98.61</v>
      </c>
      <c r="AN1971">
        <v>111.2606</v>
      </c>
      <c r="AO1971">
        <v>324.81</v>
      </c>
      <c r="AP1971" s="13">
        <v>45347</v>
      </c>
      <c r="AQ1971">
        <v>-1</v>
      </c>
      <c r="AR1971">
        <v>1</v>
      </c>
    </row>
    <row r="1972" spans="1:44" x14ac:dyDescent="0.35">
      <c r="A1972" s="12" t="s">
        <v>2683</v>
      </c>
      <c r="B1972" s="12" t="s">
        <v>273</v>
      </c>
      <c r="C1972" s="12" t="s">
        <v>274</v>
      </c>
      <c r="D1972" s="12" t="s">
        <v>175</v>
      </c>
      <c r="E1972" s="12" t="s">
        <v>104</v>
      </c>
      <c r="F1972">
        <v>3</v>
      </c>
      <c r="G1972">
        <v>1</v>
      </c>
      <c r="H1972">
        <v>0</v>
      </c>
      <c r="I1972" s="12" t="s">
        <v>275</v>
      </c>
      <c r="J1972" s="12" t="s">
        <v>276</v>
      </c>
      <c r="K1972" s="12" t="s">
        <v>89</v>
      </c>
      <c r="L1972" s="12" t="s">
        <v>82</v>
      </c>
      <c r="M1972">
        <v>14.26</v>
      </c>
      <c r="N1972" s="12" t="s">
        <v>145</v>
      </c>
      <c r="O1972" s="12" t="s">
        <v>146</v>
      </c>
      <c r="P1972" s="12" t="s">
        <v>109</v>
      </c>
      <c r="Q1972" s="13">
        <v>45315</v>
      </c>
      <c r="R1972" s="13">
        <v>45344</v>
      </c>
      <c r="S1972">
        <v>2024</v>
      </c>
      <c r="T1972" s="12" t="s">
        <v>2513</v>
      </c>
      <c r="U1972">
        <v>147</v>
      </c>
      <c r="V1972">
        <v>113.5119</v>
      </c>
      <c r="W1972">
        <v>203.72</v>
      </c>
      <c r="X1972">
        <v>0</v>
      </c>
      <c r="Y1972">
        <v>0</v>
      </c>
      <c r="Z1972">
        <v>16686.25</v>
      </c>
      <c r="AA1972">
        <v>16889.97</v>
      </c>
      <c r="AB1972" s="12" t="s">
        <v>277</v>
      </c>
      <c r="AC1972">
        <v>117.48480000000001</v>
      </c>
      <c r="AD1972">
        <v>2</v>
      </c>
      <c r="AE1972">
        <v>1</v>
      </c>
      <c r="AF1972">
        <v>-584.02</v>
      </c>
      <c r="AG1972">
        <v>17270.27</v>
      </c>
      <c r="AH1972">
        <v>147</v>
      </c>
      <c r="AI1972">
        <v>145</v>
      </c>
      <c r="AJ1972">
        <v>2</v>
      </c>
      <c r="AK1972">
        <v>1</v>
      </c>
      <c r="AL1972">
        <v>1</v>
      </c>
      <c r="AM1972">
        <v>98.64</v>
      </c>
      <c r="AN1972">
        <v>116.4825</v>
      </c>
      <c r="AO1972">
        <v>227.02</v>
      </c>
      <c r="AP1972" s="13">
        <v>45344</v>
      </c>
      <c r="AQ1972">
        <v>0</v>
      </c>
      <c r="AR1972">
        <v>1</v>
      </c>
    </row>
    <row r="1973" spans="1:44" x14ac:dyDescent="0.35">
      <c r="A1973" s="12" t="s">
        <v>2684</v>
      </c>
      <c r="B1973" s="12" t="s">
        <v>952</v>
      </c>
      <c r="C1973" s="12" t="s">
        <v>953</v>
      </c>
      <c r="D1973" s="12" t="s">
        <v>64</v>
      </c>
      <c r="E1973" s="12" t="s">
        <v>142</v>
      </c>
      <c r="F1973">
        <v>1</v>
      </c>
      <c r="G1973">
        <v>8</v>
      </c>
      <c r="H1973">
        <v>1</v>
      </c>
      <c r="I1973" s="12" t="s">
        <v>131</v>
      </c>
      <c r="J1973" s="12" t="s">
        <v>132</v>
      </c>
      <c r="K1973" s="12" t="s">
        <v>133</v>
      </c>
      <c r="L1973" s="12" t="s">
        <v>134</v>
      </c>
      <c r="M1973">
        <v>1.51</v>
      </c>
      <c r="N1973" s="12" t="s">
        <v>70</v>
      </c>
      <c r="O1973" s="12" t="s">
        <v>71</v>
      </c>
      <c r="P1973" s="12" t="s">
        <v>72</v>
      </c>
      <c r="Q1973" s="13">
        <v>45315</v>
      </c>
      <c r="R1973" s="13">
        <v>45365</v>
      </c>
      <c r="S1973">
        <v>2024</v>
      </c>
      <c r="T1973" s="12" t="s">
        <v>2513</v>
      </c>
      <c r="U1973">
        <v>851</v>
      </c>
      <c r="V1973">
        <v>31.146599999999999</v>
      </c>
      <c r="W1973">
        <v>279.13</v>
      </c>
      <c r="X1973">
        <v>0</v>
      </c>
      <c r="Y1973">
        <v>0</v>
      </c>
      <c r="Z1973">
        <v>26505.759999999998</v>
      </c>
      <c r="AA1973">
        <v>26784.89</v>
      </c>
      <c r="AB1973" s="12" t="s">
        <v>954</v>
      </c>
      <c r="AC1973">
        <v>31.146599999999999</v>
      </c>
      <c r="AD1973">
        <v>1</v>
      </c>
      <c r="AE1973">
        <v>1</v>
      </c>
      <c r="AF1973">
        <v>0</v>
      </c>
      <c r="AG1973">
        <v>26505.759999999998</v>
      </c>
      <c r="AH1973">
        <v>851</v>
      </c>
      <c r="AI1973">
        <v>838</v>
      </c>
      <c r="AJ1973">
        <v>13</v>
      </c>
      <c r="AK1973">
        <v>1</v>
      </c>
      <c r="AL1973">
        <v>1</v>
      </c>
      <c r="AM1973">
        <v>98.47</v>
      </c>
      <c r="AN1973">
        <v>31.962900000000001</v>
      </c>
      <c r="AO1973">
        <v>404.91</v>
      </c>
      <c r="AP1973" s="13">
        <v>45368</v>
      </c>
      <c r="AQ1973">
        <v>3</v>
      </c>
      <c r="AR1973">
        <v>0</v>
      </c>
    </row>
    <row r="1974" spans="1:44" x14ac:dyDescent="0.35">
      <c r="A1974" s="12" t="s">
        <v>2685</v>
      </c>
      <c r="B1974" s="12" t="s">
        <v>267</v>
      </c>
      <c r="C1974" s="12" t="s">
        <v>268</v>
      </c>
      <c r="D1974" s="12" t="s">
        <v>269</v>
      </c>
      <c r="E1974" s="12" t="s">
        <v>142</v>
      </c>
      <c r="F1974">
        <v>1</v>
      </c>
      <c r="G1974">
        <v>8</v>
      </c>
      <c r="H1974">
        <v>1</v>
      </c>
      <c r="I1974" s="12" t="s">
        <v>94</v>
      </c>
      <c r="J1974" s="12" t="s">
        <v>95</v>
      </c>
      <c r="K1974" s="12" t="s">
        <v>81</v>
      </c>
      <c r="L1974" s="12" t="s">
        <v>96</v>
      </c>
      <c r="M1974">
        <v>4.8099999999999996</v>
      </c>
      <c r="N1974" s="12" t="s">
        <v>135</v>
      </c>
      <c r="O1974" s="12" t="s">
        <v>136</v>
      </c>
      <c r="P1974" s="12" t="s">
        <v>137</v>
      </c>
      <c r="Q1974" s="13">
        <v>45315</v>
      </c>
      <c r="R1974" s="13">
        <v>45361</v>
      </c>
      <c r="S1974">
        <v>2024</v>
      </c>
      <c r="T1974" s="12" t="s">
        <v>2513</v>
      </c>
      <c r="U1974">
        <v>97</v>
      </c>
      <c r="V1974">
        <v>247.31829999999999</v>
      </c>
      <c r="W1974">
        <v>196.32</v>
      </c>
      <c r="X1974">
        <v>0</v>
      </c>
      <c r="Y1974">
        <v>0</v>
      </c>
      <c r="Z1974">
        <v>23989.88</v>
      </c>
      <c r="AA1974">
        <v>24186.2</v>
      </c>
      <c r="AB1974" s="12" t="s">
        <v>270</v>
      </c>
      <c r="AC1974">
        <v>247.31829999999999</v>
      </c>
      <c r="AD1974">
        <v>1</v>
      </c>
      <c r="AE1974">
        <v>1</v>
      </c>
      <c r="AF1974">
        <v>0</v>
      </c>
      <c r="AG1974">
        <v>23989.88</v>
      </c>
      <c r="AH1974">
        <v>97</v>
      </c>
      <c r="AI1974">
        <v>96</v>
      </c>
      <c r="AJ1974">
        <v>1</v>
      </c>
      <c r="AK1974">
        <v>1</v>
      </c>
      <c r="AL1974">
        <v>1</v>
      </c>
      <c r="AM1974">
        <v>98.97</v>
      </c>
      <c r="AN1974">
        <v>251.93950000000001</v>
      </c>
      <c r="AO1974">
        <v>247.32</v>
      </c>
      <c r="AP1974" s="13">
        <v>45361</v>
      </c>
      <c r="AQ1974">
        <v>0</v>
      </c>
      <c r="AR1974">
        <v>1</v>
      </c>
    </row>
    <row r="1975" spans="1:44" x14ac:dyDescent="0.35">
      <c r="A1975" s="12" t="s">
        <v>2686</v>
      </c>
      <c r="B1975" s="12" t="s">
        <v>458</v>
      </c>
      <c r="C1975" s="12" t="s">
        <v>459</v>
      </c>
      <c r="D1975" s="12" t="s">
        <v>64</v>
      </c>
      <c r="E1975" s="12" t="s">
        <v>104</v>
      </c>
      <c r="F1975">
        <v>2</v>
      </c>
      <c r="G1975">
        <v>0</v>
      </c>
      <c r="H1975">
        <v>0</v>
      </c>
      <c r="I1975" s="12" t="s">
        <v>143</v>
      </c>
      <c r="J1975" s="12" t="s">
        <v>144</v>
      </c>
      <c r="K1975" s="12" t="s">
        <v>133</v>
      </c>
      <c r="L1975" s="12" t="s">
        <v>96</v>
      </c>
      <c r="M1975">
        <v>5.43</v>
      </c>
      <c r="N1975" s="12" t="s">
        <v>97</v>
      </c>
      <c r="O1975" s="12" t="s">
        <v>98</v>
      </c>
      <c r="P1975" s="12" t="s">
        <v>72</v>
      </c>
      <c r="Q1975" s="13">
        <v>45315</v>
      </c>
      <c r="R1975" s="13">
        <v>45340</v>
      </c>
      <c r="S1975">
        <v>2024</v>
      </c>
      <c r="T1975" s="12" t="s">
        <v>2513</v>
      </c>
      <c r="U1975">
        <v>774</v>
      </c>
      <c r="V1975">
        <v>24.782299999999999</v>
      </c>
      <c r="W1975">
        <v>316.04000000000002</v>
      </c>
      <c r="X1975">
        <v>0</v>
      </c>
      <c r="Y1975">
        <v>0</v>
      </c>
      <c r="Z1975">
        <v>19181.5</v>
      </c>
      <c r="AA1975">
        <v>19497.54</v>
      </c>
      <c r="AB1975" s="12" t="s">
        <v>480</v>
      </c>
      <c r="AC1975">
        <v>24.782299999999999</v>
      </c>
      <c r="AD1975">
        <v>1</v>
      </c>
      <c r="AE1975">
        <v>1</v>
      </c>
      <c r="AF1975">
        <v>0</v>
      </c>
      <c r="AG1975">
        <v>19181.5</v>
      </c>
      <c r="AH1975">
        <v>774</v>
      </c>
      <c r="AI1975">
        <v>768</v>
      </c>
      <c r="AJ1975">
        <v>6</v>
      </c>
      <c r="AK1975">
        <v>1</v>
      </c>
      <c r="AL1975">
        <v>1</v>
      </c>
      <c r="AM1975">
        <v>99.22</v>
      </c>
      <c r="AN1975">
        <v>25.3874</v>
      </c>
      <c r="AO1975">
        <v>148.69</v>
      </c>
      <c r="AP1975" s="13">
        <v>45348</v>
      </c>
      <c r="AQ1975">
        <v>8</v>
      </c>
      <c r="AR1975">
        <v>0</v>
      </c>
    </row>
    <row r="1976" spans="1:44" x14ac:dyDescent="0.35">
      <c r="A1976" s="12" t="s">
        <v>2687</v>
      </c>
      <c r="B1976" s="12" t="s">
        <v>238</v>
      </c>
      <c r="C1976" s="12" t="s">
        <v>239</v>
      </c>
      <c r="D1976" s="12" t="s">
        <v>122</v>
      </c>
      <c r="E1976" s="12" t="s">
        <v>65</v>
      </c>
      <c r="F1976">
        <v>3</v>
      </c>
      <c r="G1976">
        <v>4</v>
      </c>
      <c r="H1976">
        <v>0</v>
      </c>
      <c r="I1976" s="12" t="s">
        <v>79</v>
      </c>
      <c r="J1976" s="12" t="s">
        <v>80</v>
      </c>
      <c r="K1976" s="12" t="s">
        <v>81</v>
      </c>
      <c r="L1976" s="12" t="s">
        <v>82</v>
      </c>
      <c r="M1976">
        <v>12.07</v>
      </c>
      <c r="N1976" s="12" t="s">
        <v>70</v>
      </c>
      <c r="O1976" s="12" t="s">
        <v>71</v>
      </c>
      <c r="P1976" s="12" t="s">
        <v>72</v>
      </c>
      <c r="Q1976" s="13">
        <v>45315</v>
      </c>
      <c r="R1976" s="13">
        <v>45336</v>
      </c>
      <c r="S1976">
        <v>2024</v>
      </c>
      <c r="T1976" s="12" t="s">
        <v>2513</v>
      </c>
      <c r="U1976">
        <v>288</v>
      </c>
      <c r="V1976">
        <v>35.6462</v>
      </c>
      <c r="W1976">
        <v>151.97999999999999</v>
      </c>
      <c r="X1976">
        <v>0</v>
      </c>
      <c r="Y1976">
        <v>0</v>
      </c>
      <c r="Z1976">
        <v>10266.11</v>
      </c>
      <c r="AA1976">
        <v>10418.09</v>
      </c>
      <c r="AB1976" s="12" t="s">
        <v>2688</v>
      </c>
      <c r="AC1976">
        <v>35.6462</v>
      </c>
      <c r="AD1976">
        <v>1</v>
      </c>
      <c r="AE1976">
        <v>1</v>
      </c>
      <c r="AF1976">
        <v>0</v>
      </c>
      <c r="AG1976">
        <v>10266.11</v>
      </c>
      <c r="AH1976">
        <v>288</v>
      </c>
      <c r="AI1976">
        <v>287</v>
      </c>
      <c r="AJ1976">
        <v>1</v>
      </c>
      <c r="AK1976">
        <v>1</v>
      </c>
      <c r="AL1976">
        <v>1</v>
      </c>
      <c r="AM1976">
        <v>99.65</v>
      </c>
      <c r="AN1976">
        <v>36.299900000000001</v>
      </c>
      <c r="AO1976">
        <v>35.65</v>
      </c>
      <c r="AP1976" s="13">
        <v>45334</v>
      </c>
      <c r="AQ1976">
        <v>-2</v>
      </c>
      <c r="AR1976">
        <v>1</v>
      </c>
    </row>
    <row r="1977" spans="1:44" x14ac:dyDescent="0.35">
      <c r="A1977" s="12" t="s">
        <v>2689</v>
      </c>
      <c r="B1977" s="12" t="s">
        <v>544</v>
      </c>
      <c r="C1977" s="12" t="s">
        <v>545</v>
      </c>
      <c r="D1977" s="12" t="s">
        <v>175</v>
      </c>
      <c r="E1977" s="12" t="s">
        <v>65</v>
      </c>
      <c r="F1977">
        <v>3</v>
      </c>
      <c r="G1977">
        <v>5</v>
      </c>
      <c r="H1977">
        <v>0</v>
      </c>
      <c r="I1977" s="12" t="s">
        <v>66</v>
      </c>
      <c r="J1977" s="12" t="s">
        <v>67</v>
      </c>
      <c r="K1977" s="12" t="s">
        <v>68</v>
      </c>
      <c r="L1977" s="12" t="s">
        <v>69</v>
      </c>
      <c r="M1977">
        <v>17.66</v>
      </c>
      <c r="N1977" s="12" t="s">
        <v>145</v>
      </c>
      <c r="O1977" s="12" t="s">
        <v>146</v>
      </c>
      <c r="P1977" s="12" t="s">
        <v>109</v>
      </c>
      <c r="Q1977" s="13">
        <v>45316</v>
      </c>
      <c r="R1977" s="13">
        <v>45345</v>
      </c>
      <c r="S1977">
        <v>2024</v>
      </c>
      <c r="T1977" s="12" t="s">
        <v>2513</v>
      </c>
      <c r="U1977">
        <v>76</v>
      </c>
      <c r="V1977">
        <v>155.36940000000001</v>
      </c>
      <c r="W1977">
        <v>219.57</v>
      </c>
      <c r="X1977">
        <v>0</v>
      </c>
      <c r="Y1977">
        <v>0</v>
      </c>
      <c r="Z1977">
        <v>11808.07</v>
      </c>
      <c r="AA1977">
        <v>12027.64</v>
      </c>
      <c r="AB1977" s="12" t="s">
        <v>546</v>
      </c>
      <c r="AC1977">
        <v>155.36940000000001</v>
      </c>
      <c r="AD1977">
        <v>1</v>
      </c>
      <c r="AE1977">
        <v>1</v>
      </c>
      <c r="AF1977">
        <v>0</v>
      </c>
      <c r="AG1977">
        <v>11808.07</v>
      </c>
      <c r="AH1977">
        <v>76</v>
      </c>
      <c r="AI1977">
        <v>75</v>
      </c>
      <c r="AJ1977">
        <v>1</v>
      </c>
      <c r="AK1977">
        <v>1</v>
      </c>
      <c r="AL1977">
        <v>1</v>
      </c>
      <c r="AM1977">
        <v>98.68</v>
      </c>
      <c r="AN1977">
        <v>160.36859999999999</v>
      </c>
      <c r="AO1977">
        <v>155.37</v>
      </c>
      <c r="AP1977" s="13">
        <v>45345</v>
      </c>
      <c r="AQ1977">
        <v>0</v>
      </c>
      <c r="AR1977">
        <v>1</v>
      </c>
    </row>
    <row r="1978" spans="1:44" x14ac:dyDescent="0.35">
      <c r="A1978" s="12" t="s">
        <v>2690</v>
      </c>
      <c r="B1978" s="12" t="s">
        <v>848</v>
      </c>
      <c r="C1978" s="12" t="s">
        <v>849</v>
      </c>
      <c r="D1978" s="12" t="s">
        <v>103</v>
      </c>
      <c r="E1978" s="12" t="s">
        <v>65</v>
      </c>
      <c r="F1978">
        <v>2</v>
      </c>
      <c r="G1978">
        <v>4</v>
      </c>
      <c r="H1978">
        <v>0</v>
      </c>
      <c r="I1978" s="12" t="s">
        <v>87</v>
      </c>
      <c r="J1978" s="12" t="s">
        <v>88</v>
      </c>
      <c r="K1978" s="12" t="s">
        <v>89</v>
      </c>
      <c r="L1978" s="12" t="s">
        <v>69</v>
      </c>
      <c r="M1978">
        <v>14.93</v>
      </c>
      <c r="N1978" s="12" t="s">
        <v>107</v>
      </c>
      <c r="O1978" s="12" t="s">
        <v>108</v>
      </c>
      <c r="P1978" s="12" t="s">
        <v>109</v>
      </c>
      <c r="Q1978" s="13">
        <v>45316</v>
      </c>
      <c r="R1978" s="13">
        <v>45349</v>
      </c>
      <c r="S1978">
        <v>2024</v>
      </c>
      <c r="T1978" s="12" t="s">
        <v>2513</v>
      </c>
      <c r="U1978">
        <v>108</v>
      </c>
      <c r="V1978">
        <v>123.8275</v>
      </c>
      <c r="W1978">
        <v>196.15</v>
      </c>
      <c r="X1978">
        <v>0</v>
      </c>
      <c r="Y1978">
        <v>0</v>
      </c>
      <c r="Z1978">
        <v>13373.37</v>
      </c>
      <c r="AA1978">
        <v>13569.52</v>
      </c>
      <c r="AB1978" s="12" t="s">
        <v>850</v>
      </c>
      <c r="AC1978">
        <v>123.8275</v>
      </c>
      <c r="AD1978">
        <v>1</v>
      </c>
      <c r="AE1978">
        <v>1</v>
      </c>
      <c r="AF1978">
        <v>0</v>
      </c>
      <c r="AG1978">
        <v>13373.37</v>
      </c>
      <c r="AH1978">
        <v>108</v>
      </c>
      <c r="AI1978">
        <v>108</v>
      </c>
      <c r="AJ1978">
        <v>0</v>
      </c>
      <c r="AK1978">
        <v>1</v>
      </c>
      <c r="AL1978">
        <v>1</v>
      </c>
      <c r="AM1978">
        <v>100</v>
      </c>
      <c r="AN1978">
        <v>125.6437</v>
      </c>
      <c r="AO1978">
        <v>0</v>
      </c>
      <c r="AP1978" s="13">
        <v>45346</v>
      </c>
      <c r="AQ1978">
        <v>-3</v>
      </c>
      <c r="AR1978">
        <v>1</v>
      </c>
    </row>
    <row r="1979" spans="1:44" x14ac:dyDescent="0.35">
      <c r="A1979" s="12" t="s">
        <v>2691</v>
      </c>
      <c r="B1979" s="12" t="s">
        <v>613</v>
      </c>
      <c r="C1979" s="12" t="s">
        <v>614</v>
      </c>
      <c r="D1979" s="12" t="s">
        <v>130</v>
      </c>
      <c r="E1979" s="12" t="s">
        <v>104</v>
      </c>
      <c r="F1979">
        <v>3</v>
      </c>
      <c r="G1979">
        <v>1</v>
      </c>
      <c r="H1979">
        <v>0</v>
      </c>
      <c r="I1979" s="12" t="s">
        <v>676</v>
      </c>
      <c r="J1979" s="12" t="s">
        <v>677</v>
      </c>
      <c r="K1979" s="12" t="s">
        <v>68</v>
      </c>
      <c r="L1979" s="12" t="s">
        <v>96</v>
      </c>
      <c r="M1979">
        <v>3.57</v>
      </c>
      <c r="N1979" s="12" t="s">
        <v>159</v>
      </c>
      <c r="O1979" s="12" t="s">
        <v>160</v>
      </c>
      <c r="P1979" s="12" t="s">
        <v>137</v>
      </c>
      <c r="Q1979" s="13">
        <v>45316</v>
      </c>
      <c r="R1979" s="13">
        <v>45335</v>
      </c>
      <c r="S1979">
        <v>2024</v>
      </c>
      <c r="T1979" s="12" t="s">
        <v>2513</v>
      </c>
      <c r="U1979">
        <v>65</v>
      </c>
      <c r="V1979">
        <v>195.35140000000001</v>
      </c>
      <c r="W1979">
        <v>228.51</v>
      </c>
      <c r="X1979">
        <v>0</v>
      </c>
      <c r="Y1979">
        <v>0</v>
      </c>
      <c r="Z1979">
        <v>12697.84</v>
      </c>
      <c r="AA1979">
        <v>12926.35</v>
      </c>
      <c r="AB1979" s="12" t="s">
        <v>724</v>
      </c>
      <c r="AC1979">
        <v>195.35140000000001</v>
      </c>
      <c r="AD1979">
        <v>1</v>
      </c>
      <c r="AE1979">
        <v>1</v>
      </c>
      <c r="AF1979">
        <v>0</v>
      </c>
      <c r="AG1979">
        <v>12697.84</v>
      </c>
      <c r="AH1979">
        <v>65</v>
      </c>
      <c r="AI1979">
        <v>64</v>
      </c>
      <c r="AJ1979">
        <v>1</v>
      </c>
      <c r="AK1979">
        <v>1</v>
      </c>
      <c r="AL1979">
        <v>1</v>
      </c>
      <c r="AM1979">
        <v>98.46</v>
      </c>
      <c r="AN1979">
        <v>201.9742</v>
      </c>
      <c r="AO1979">
        <v>195.35</v>
      </c>
      <c r="AP1979" s="13">
        <v>45335</v>
      </c>
      <c r="AQ1979">
        <v>0</v>
      </c>
      <c r="AR1979">
        <v>1</v>
      </c>
    </row>
    <row r="1980" spans="1:44" x14ac:dyDescent="0.35">
      <c r="A1980" s="12" t="s">
        <v>2692</v>
      </c>
      <c r="B1980" s="12" t="s">
        <v>909</v>
      </c>
      <c r="C1980" s="12" t="s">
        <v>910</v>
      </c>
      <c r="D1980" s="12" t="s">
        <v>269</v>
      </c>
      <c r="E1980" s="12" t="s">
        <v>65</v>
      </c>
      <c r="F1980">
        <v>3</v>
      </c>
      <c r="G1980">
        <v>4</v>
      </c>
      <c r="H1980">
        <v>0</v>
      </c>
      <c r="I1980" s="12" t="s">
        <v>199</v>
      </c>
      <c r="J1980" s="12" t="s">
        <v>200</v>
      </c>
      <c r="K1980" s="12" t="s">
        <v>68</v>
      </c>
      <c r="L1980" s="12" t="s">
        <v>96</v>
      </c>
      <c r="M1980">
        <v>9.4700000000000006</v>
      </c>
      <c r="N1980" s="12" t="s">
        <v>135</v>
      </c>
      <c r="O1980" s="12" t="s">
        <v>136</v>
      </c>
      <c r="P1980" s="12" t="s">
        <v>137</v>
      </c>
      <c r="Q1980" s="13">
        <v>45316</v>
      </c>
      <c r="R1980" s="13">
        <v>45352</v>
      </c>
      <c r="S1980">
        <v>2024</v>
      </c>
      <c r="T1980" s="12" t="s">
        <v>2513</v>
      </c>
      <c r="U1980">
        <v>127</v>
      </c>
      <c r="V1980">
        <v>113.4663</v>
      </c>
      <c r="W1980">
        <v>235.94</v>
      </c>
      <c r="X1980">
        <v>0</v>
      </c>
      <c r="Y1980">
        <v>0</v>
      </c>
      <c r="Z1980">
        <v>14410.22</v>
      </c>
      <c r="AA1980">
        <v>14646.16</v>
      </c>
      <c r="AB1980" s="12" t="s">
        <v>911</v>
      </c>
      <c r="AC1980">
        <v>108.32040000000001</v>
      </c>
      <c r="AD1980">
        <v>1</v>
      </c>
      <c r="AE1980">
        <v>1</v>
      </c>
      <c r="AF1980">
        <v>653.53</v>
      </c>
      <c r="AG1980">
        <v>13756.69</v>
      </c>
      <c r="AH1980">
        <v>127</v>
      </c>
      <c r="AI1980">
        <v>125</v>
      </c>
      <c r="AJ1980">
        <v>2</v>
      </c>
      <c r="AK1980">
        <v>1</v>
      </c>
      <c r="AL1980">
        <v>1</v>
      </c>
      <c r="AM1980">
        <v>98.43</v>
      </c>
      <c r="AN1980">
        <v>117.16930000000001</v>
      </c>
      <c r="AO1980">
        <v>226.93</v>
      </c>
      <c r="AP1980" s="13">
        <v>45350</v>
      </c>
      <c r="AQ1980">
        <v>-2</v>
      </c>
      <c r="AR1980">
        <v>1</v>
      </c>
    </row>
    <row r="1981" spans="1:44" x14ac:dyDescent="0.35">
      <c r="A1981" s="12" t="s">
        <v>2693</v>
      </c>
      <c r="B1981" s="12" t="s">
        <v>1075</v>
      </c>
      <c r="C1981" s="12" t="s">
        <v>1076</v>
      </c>
      <c r="D1981" s="12" t="s">
        <v>103</v>
      </c>
      <c r="E1981" s="12" t="s">
        <v>65</v>
      </c>
      <c r="F1981">
        <v>2</v>
      </c>
      <c r="G1981">
        <v>4</v>
      </c>
      <c r="H1981">
        <v>0</v>
      </c>
      <c r="I1981" s="12" t="s">
        <v>183</v>
      </c>
      <c r="J1981" s="12" t="s">
        <v>184</v>
      </c>
      <c r="K1981" s="12" t="s">
        <v>133</v>
      </c>
      <c r="L1981" s="12" t="s">
        <v>82</v>
      </c>
      <c r="M1981">
        <v>8.6199999999999992</v>
      </c>
      <c r="N1981" s="12" t="s">
        <v>145</v>
      </c>
      <c r="O1981" s="12" t="s">
        <v>146</v>
      </c>
      <c r="P1981" s="12" t="s">
        <v>109</v>
      </c>
      <c r="Q1981" s="13">
        <v>45316</v>
      </c>
      <c r="R1981" s="13">
        <v>45353</v>
      </c>
      <c r="S1981">
        <v>2024</v>
      </c>
      <c r="T1981" s="12" t="s">
        <v>2513</v>
      </c>
      <c r="U1981">
        <v>140</v>
      </c>
      <c r="V1981">
        <v>68.470200000000006</v>
      </c>
      <c r="W1981">
        <v>94.14</v>
      </c>
      <c r="X1981">
        <v>0</v>
      </c>
      <c r="Y1981">
        <v>0</v>
      </c>
      <c r="Z1981">
        <v>9585.83</v>
      </c>
      <c r="AA1981">
        <v>9679.9699999999993</v>
      </c>
      <c r="AB1981" s="12" t="s">
        <v>1163</v>
      </c>
      <c r="AC1981">
        <v>68.470200000000006</v>
      </c>
      <c r="AD1981">
        <v>1</v>
      </c>
      <c r="AE1981">
        <v>1</v>
      </c>
      <c r="AF1981">
        <v>0</v>
      </c>
      <c r="AG1981">
        <v>9585.83</v>
      </c>
      <c r="AH1981">
        <v>140</v>
      </c>
      <c r="AI1981">
        <v>139</v>
      </c>
      <c r="AJ1981">
        <v>1</v>
      </c>
      <c r="AK1981">
        <v>1</v>
      </c>
      <c r="AL1981">
        <v>1</v>
      </c>
      <c r="AM1981">
        <v>99.29</v>
      </c>
      <c r="AN1981">
        <v>69.640100000000004</v>
      </c>
      <c r="AO1981">
        <v>68.47</v>
      </c>
      <c r="AP1981" s="13">
        <v>45360</v>
      </c>
      <c r="AQ1981">
        <v>7</v>
      </c>
      <c r="AR1981">
        <v>0</v>
      </c>
    </row>
    <row r="1982" spans="1:44" x14ac:dyDescent="0.35">
      <c r="A1982" s="12" t="s">
        <v>2694</v>
      </c>
      <c r="B1982" s="12" t="s">
        <v>1026</v>
      </c>
      <c r="C1982" s="12" t="s">
        <v>1027</v>
      </c>
      <c r="D1982" s="12" t="s">
        <v>122</v>
      </c>
      <c r="E1982" s="12" t="s">
        <v>104</v>
      </c>
      <c r="F1982">
        <v>3</v>
      </c>
      <c r="G1982">
        <v>1</v>
      </c>
      <c r="H1982">
        <v>0</v>
      </c>
      <c r="I1982" s="12" t="s">
        <v>183</v>
      </c>
      <c r="J1982" s="12" t="s">
        <v>184</v>
      </c>
      <c r="K1982" s="12" t="s">
        <v>133</v>
      </c>
      <c r="L1982" s="12" t="s">
        <v>82</v>
      </c>
      <c r="M1982">
        <v>8.6199999999999992</v>
      </c>
      <c r="N1982" s="12" t="s">
        <v>70</v>
      </c>
      <c r="O1982" s="12" t="s">
        <v>71</v>
      </c>
      <c r="P1982" s="12" t="s">
        <v>72</v>
      </c>
      <c r="Q1982" s="13">
        <v>45316</v>
      </c>
      <c r="R1982" s="13">
        <v>45329</v>
      </c>
      <c r="S1982">
        <v>2024</v>
      </c>
      <c r="T1982" s="12" t="s">
        <v>2513</v>
      </c>
      <c r="U1982">
        <v>324</v>
      </c>
      <c r="V1982">
        <v>41.886099999999999</v>
      </c>
      <c r="W1982">
        <v>293.26</v>
      </c>
      <c r="X1982">
        <v>0</v>
      </c>
      <c r="Y1982">
        <v>0</v>
      </c>
      <c r="Z1982">
        <v>13571.1</v>
      </c>
      <c r="AA1982">
        <v>13864.36</v>
      </c>
      <c r="AB1982" s="12" t="s">
        <v>1116</v>
      </c>
      <c r="AC1982">
        <v>41.886099999999999</v>
      </c>
      <c r="AD1982">
        <v>1</v>
      </c>
      <c r="AE1982">
        <v>1</v>
      </c>
      <c r="AF1982">
        <v>0</v>
      </c>
      <c r="AG1982">
        <v>13571.1</v>
      </c>
      <c r="AH1982">
        <v>324</v>
      </c>
      <c r="AI1982">
        <v>321</v>
      </c>
      <c r="AJ1982">
        <v>3</v>
      </c>
      <c r="AK1982">
        <v>1</v>
      </c>
      <c r="AL1982">
        <v>1</v>
      </c>
      <c r="AM1982">
        <v>99.07</v>
      </c>
      <c r="AN1982">
        <v>43.191099999999999</v>
      </c>
      <c r="AO1982">
        <v>125.66</v>
      </c>
      <c r="AP1982" s="13">
        <v>45327</v>
      </c>
      <c r="AQ1982">
        <v>-2</v>
      </c>
      <c r="AR1982">
        <v>1</v>
      </c>
    </row>
    <row r="1983" spans="1:44" x14ac:dyDescent="0.35">
      <c r="A1983" s="12" t="s">
        <v>2695</v>
      </c>
      <c r="B1983" s="12" t="s">
        <v>215</v>
      </c>
      <c r="C1983" s="12" t="s">
        <v>216</v>
      </c>
      <c r="D1983" s="12" t="s">
        <v>122</v>
      </c>
      <c r="E1983" s="12" t="s">
        <v>142</v>
      </c>
      <c r="F1983">
        <v>3</v>
      </c>
      <c r="G1983">
        <v>11</v>
      </c>
      <c r="H1983">
        <v>0</v>
      </c>
      <c r="I1983" s="12" t="s">
        <v>217</v>
      </c>
      <c r="J1983" s="12" t="s">
        <v>218</v>
      </c>
      <c r="K1983" s="12" t="s">
        <v>68</v>
      </c>
      <c r="L1983" s="12" t="s">
        <v>82</v>
      </c>
      <c r="M1983">
        <v>14.24</v>
      </c>
      <c r="N1983" s="12" t="s">
        <v>70</v>
      </c>
      <c r="O1983" s="12" t="s">
        <v>71</v>
      </c>
      <c r="P1983" s="12" t="s">
        <v>72</v>
      </c>
      <c r="Q1983" s="13">
        <v>45316</v>
      </c>
      <c r="R1983" s="13">
        <v>45353</v>
      </c>
      <c r="S1983">
        <v>2024</v>
      </c>
      <c r="T1983" s="12" t="s">
        <v>2513</v>
      </c>
      <c r="U1983">
        <v>487</v>
      </c>
      <c r="V1983">
        <v>14.797000000000001</v>
      </c>
      <c r="W1983">
        <v>114.74</v>
      </c>
      <c r="X1983">
        <v>0</v>
      </c>
      <c r="Y1983">
        <v>0</v>
      </c>
      <c r="Z1983">
        <v>7206.14</v>
      </c>
      <c r="AA1983">
        <v>7320.88</v>
      </c>
      <c r="AB1983" s="12" t="s">
        <v>2696</v>
      </c>
      <c r="AC1983">
        <v>14.797000000000001</v>
      </c>
      <c r="AD1983">
        <v>1</v>
      </c>
      <c r="AE1983">
        <v>1</v>
      </c>
      <c r="AF1983">
        <v>0</v>
      </c>
      <c r="AG1983">
        <v>7206.14</v>
      </c>
      <c r="AH1983">
        <v>487</v>
      </c>
      <c r="AI1983">
        <v>484</v>
      </c>
      <c r="AJ1983">
        <v>3</v>
      </c>
      <c r="AK1983">
        <v>1</v>
      </c>
      <c r="AL1983">
        <v>1</v>
      </c>
      <c r="AM1983">
        <v>99.38</v>
      </c>
      <c r="AN1983">
        <v>15.1258</v>
      </c>
      <c r="AO1983">
        <v>44.39</v>
      </c>
      <c r="AP1983" s="13">
        <v>45351</v>
      </c>
      <c r="AQ1983">
        <v>-2</v>
      </c>
      <c r="AR1983">
        <v>1</v>
      </c>
    </row>
    <row r="1984" spans="1:44" x14ac:dyDescent="0.35">
      <c r="A1984" s="12" t="s">
        <v>2697</v>
      </c>
      <c r="B1984" s="12" t="s">
        <v>1042</v>
      </c>
      <c r="C1984" s="12" t="s">
        <v>1043</v>
      </c>
      <c r="D1984" s="12" t="s">
        <v>269</v>
      </c>
      <c r="E1984" s="12" t="s">
        <v>104</v>
      </c>
      <c r="F1984">
        <v>2</v>
      </c>
      <c r="G1984">
        <v>0</v>
      </c>
      <c r="H1984">
        <v>0</v>
      </c>
      <c r="I1984" s="12" t="s">
        <v>143</v>
      </c>
      <c r="J1984" s="12" t="s">
        <v>144</v>
      </c>
      <c r="K1984" s="12" t="s">
        <v>133</v>
      </c>
      <c r="L1984" s="12" t="s">
        <v>96</v>
      </c>
      <c r="M1984">
        <v>5.43</v>
      </c>
      <c r="N1984" s="12" t="s">
        <v>159</v>
      </c>
      <c r="O1984" s="12" t="s">
        <v>160</v>
      </c>
      <c r="P1984" s="12" t="s">
        <v>137</v>
      </c>
      <c r="Q1984" s="13">
        <v>45316</v>
      </c>
      <c r="R1984" s="13">
        <v>45328</v>
      </c>
      <c r="S1984">
        <v>2024</v>
      </c>
      <c r="T1984" s="12" t="s">
        <v>2513</v>
      </c>
      <c r="U1984">
        <v>15</v>
      </c>
      <c r="V1984">
        <v>301.60410000000002</v>
      </c>
      <c r="W1984">
        <v>76.81</v>
      </c>
      <c r="X1984">
        <v>0</v>
      </c>
      <c r="Y1984">
        <v>0</v>
      </c>
      <c r="Z1984">
        <v>4524.0600000000004</v>
      </c>
      <c r="AA1984">
        <v>4600.87</v>
      </c>
      <c r="AB1984" s="12" t="s">
        <v>1044</v>
      </c>
      <c r="AC1984">
        <v>290.76319999999998</v>
      </c>
      <c r="AD1984">
        <v>1</v>
      </c>
      <c r="AE1984">
        <v>1</v>
      </c>
      <c r="AF1984">
        <v>162.61000000000001</v>
      </c>
      <c r="AG1984">
        <v>4361.45</v>
      </c>
      <c r="AH1984">
        <v>15</v>
      </c>
      <c r="AI1984">
        <v>15</v>
      </c>
      <c r="AJ1984">
        <v>0</v>
      </c>
      <c r="AK1984">
        <v>1</v>
      </c>
      <c r="AL1984">
        <v>1</v>
      </c>
      <c r="AM1984">
        <v>100</v>
      </c>
      <c r="AN1984">
        <v>306.72480000000002</v>
      </c>
      <c r="AO1984">
        <v>0</v>
      </c>
      <c r="AP1984" s="13">
        <v>45330</v>
      </c>
      <c r="AQ1984">
        <v>2</v>
      </c>
      <c r="AR1984">
        <v>0</v>
      </c>
    </row>
    <row r="1985" spans="1:44" x14ac:dyDescent="0.35">
      <c r="A1985" s="12" t="s">
        <v>2698</v>
      </c>
      <c r="B1985" s="12" t="s">
        <v>802</v>
      </c>
      <c r="C1985" s="12" t="s">
        <v>803</v>
      </c>
      <c r="D1985" s="12" t="s">
        <v>114</v>
      </c>
      <c r="E1985" s="12" t="s">
        <v>65</v>
      </c>
      <c r="F1985">
        <v>3</v>
      </c>
      <c r="G1985">
        <v>5</v>
      </c>
      <c r="H1985">
        <v>0</v>
      </c>
      <c r="I1985" s="12" t="s">
        <v>804</v>
      </c>
      <c r="J1985" s="12" t="s">
        <v>342</v>
      </c>
      <c r="K1985" s="12" t="s">
        <v>117</v>
      </c>
      <c r="L1985" s="12" t="s">
        <v>69</v>
      </c>
      <c r="M1985">
        <v>30.07</v>
      </c>
      <c r="N1985" s="12" t="s">
        <v>70</v>
      </c>
      <c r="O1985" s="12" t="s">
        <v>71</v>
      </c>
      <c r="P1985" s="12" t="s">
        <v>72</v>
      </c>
      <c r="Q1985" s="13">
        <v>45317</v>
      </c>
      <c r="R1985" s="13">
        <v>45345</v>
      </c>
      <c r="S1985">
        <v>2024</v>
      </c>
      <c r="T1985" s="12" t="s">
        <v>2513</v>
      </c>
      <c r="U1985">
        <v>65</v>
      </c>
      <c r="V1985">
        <v>350.71699999999998</v>
      </c>
      <c r="W1985">
        <v>402.94</v>
      </c>
      <c r="X1985">
        <v>0</v>
      </c>
      <c r="Y1985">
        <v>0</v>
      </c>
      <c r="Z1985">
        <v>22796.61</v>
      </c>
      <c r="AA1985">
        <v>23199.55</v>
      </c>
      <c r="AB1985" s="12" t="s">
        <v>805</v>
      </c>
      <c r="AC1985">
        <v>362.99209999999999</v>
      </c>
      <c r="AD1985">
        <v>2</v>
      </c>
      <c r="AE1985">
        <v>1</v>
      </c>
      <c r="AF1985">
        <v>-797.88</v>
      </c>
      <c r="AG1985">
        <v>23594.49</v>
      </c>
      <c r="AH1985">
        <v>65</v>
      </c>
      <c r="AI1985">
        <v>63</v>
      </c>
      <c r="AJ1985">
        <v>2</v>
      </c>
      <c r="AK1985">
        <v>1</v>
      </c>
      <c r="AL1985">
        <v>1</v>
      </c>
      <c r="AM1985">
        <v>96.92</v>
      </c>
      <c r="AN1985">
        <v>368.24669999999998</v>
      </c>
      <c r="AO1985">
        <v>701.43</v>
      </c>
      <c r="AP1985" s="13">
        <v>45342</v>
      </c>
      <c r="AQ1985">
        <v>-3</v>
      </c>
      <c r="AR1985">
        <v>1</v>
      </c>
    </row>
    <row r="1986" spans="1:44" x14ac:dyDescent="0.35">
      <c r="A1986" s="12" t="s">
        <v>2699</v>
      </c>
      <c r="B1986" s="12" t="s">
        <v>766</v>
      </c>
      <c r="C1986" s="12" t="s">
        <v>767</v>
      </c>
      <c r="D1986" s="12" t="s">
        <v>175</v>
      </c>
      <c r="E1986" s="12" t="s">
        <v>65</v>
      </c>
      <c r="F1986">
        <v>3</v>
      </c>
      <c r="G1986">
        <v>5</v>
      </c>
      <c r="H1986">
        <v>0</v>
      </c>
      <c r="I1986" s="12" t="s">
        <v>87</v>
      </c>
      <c r="J1986" s="12" t="s">
        <v>88</v>
      </c>
      <c r="K1986" s="12" t="s">
        <v>89</v>
      </c>
      <c r="L1986" s="12" t="s">
        <v>69</v>
      </c>
      <c r="M1986">
        <v>14.93</v>
      </c>
      <c r="N1986" s="12" t="s">
        <v>145</v>
      </c>
      <c r="O1986" s="12" t="s">
        <v>146</v>
      </c>
      <c r="P1986" s="12" t="s">
        <v>109</v>
      </c>
      <c r="Q1986" s="13">
        <v>45317</v>
      </c>
      <c r="R1986" s="13">
        <v>45338</v>
      </c>
      <c r="S1986">
        <v>2024</v>
      </c>
      <c r="T1986" s="12" t="s">
        <v>2513</v>
      </c>
      <c r="U1986">
        <v>17</v>
      </c>
      <c r="V1986">
        <v>86.977900000000005</v>
      </c>
      <c r="W1986">
        <v>31.64</v>
      </c>
      <c r="X1986">
        <v>0</v>
      </c>
      <c r="Y1986">
        <v>0</v>
      </c>
      <c r="Z1986">
        <v>1478.62</v>
      </c>
      <c r="AA1986">
        <v>1510.26</v>
      </c>
      <c r="AB1986" s="12" t="s">
        <v>768</v>
      </c>
      <c r="AC1986">
        <v>86.977900000000005</v>
      </c>
      <c r="AD1986">
        <v>1</v>
      </c>
      <c r="AE1986">
        <v>1</v>
      </c>
      <c r="AF1986">
        <v>0</v>
      </c>
      <c r="AG1986">
        <v>1478.62</v>
      </c>
      <c r="AH1986">
        <v>17</v>
      </c>
      <c r="AI1986">
        <v>17</v>
      </c>
      <c r="AJ1986">
        <v>0</v>
      </c>
      <c r="AK1986">
        <v>1</v>
      </c>
      <c r="AL1986">
        <v>1</v>
      </c>
      <c r="AM1986">
        <v>100</v>
      </c>
      <c r="AN1986">
        <v>88.839100000000002</v>
      </c>
      <c r="AO1986">
        <v>0</v>
      </c>
      <c r="AP1986" s="13">
        <v>45337</v>
      </c>
      <c r="AQ1986">
        <v>-1</v>
      </c>
      <c r="AR1986">
        <v>1</v>
      </c>
    </row>
    <row r="1987" spans="1:44" x14ac:dyDescent="0.35">
      <c r="A1987" s="12" t="s">
        <v>2700</v>
      </c>
      <c r="B1987" s="12" t="s">
        <v>503</v>
      </c>
      <c r="C1987" s="12" t="s">
        <v>504</v>
      </c>
      <c r="D1987" s="12" t="s">
        <v>103</v>
      </c>
      <c r="E1987" s="12" t="s">
        <v>104</v>
      </c>
      <c r="F1987">
        <v>3</v>
      </c>
      <c r="G1987">
        <v>1</v>
      </c>
      <c r="H1987">
        <v>0</v>
      </c>
      <c r="I1987" s="12" t="s">
        <v>251</v>
      </c>
      <c r="J1987" s="12" t="s">
        <v>252</v>
      </c>
      <c r="K1987" s="12" t="s">
        <v>133</v>
      </c>
      <c r="L1987" s="12" t="s">
        <v>69</v>
      </c>
      <c r="M1987">
        <v>34.49</v>
      </c>
      <c r="N1987" s="12" t="s">
        <v>145</v>
      </c>
      <c r="O1987" s="12" t="s">
        <v>146</v>
      </c>
      <c r="P1987" s="12" t="s">
        <v>109</v>
      </c>
      <c r="Q1987" s="13">
        <v>45317</v>
      </c>
      <c r="R1987" s="13">
        <v>45332</v>
      </c>
      <c r="S1987">
        <v>2024</v>
      </c>
      <c r="T1987" s="12" t="s">
        <v>2513</v>
      </c>
      <c r="U1987">
        <v>35</v>
      </c>
      <c r="V1987">
        <v>158.00909999999999</v>
      </c>
      <c r="W1987">
        <v>131.72</v>
      </c>
      <c r="X1987">
        <v>0</v>
      </c>
      <c r="Y1987">
        <v>0</v>
      </c>
      <c r="Z1987">
        <v>5530.32</v>
      </c>
      <c r="AA1987">
        <v>5662.04</v>
      </c>
      <c r="AB1987" s="12" t="s">
        <v>1358</v>
      </c>
      <c r="AC1987">
        <v>158.00909999999999</v>
      </c>
      <c r="AD1987">
        <v>1</v>
      </c>
      <c r="AE1987">
        <v>1</v>
      </c>
      <c r="AF1987">
        <v>0</v>
      </c>
      <c r="AG1987">
        <v>5530.32</v>
      </c>
      <c r="AH1987">
        <v>35</v>
      </c>
      <c r="AI1987">
        <v>35</v>
      </c>
      <c r="AJ1987">
        <v>0</v>
      </c>
      <c r="AK1987">
        <v>1</v>
      </c>
      <c r="AL1987">
        <v>1</v>
      </c>
      <c r="AM1987">
        <v>100</v>
      </c>
      <c r="AN1987">
        <v>161.77250000000001</v>
      </c>
      <c r="AO1987">
        <v>0</v>
      </c>
      <c r="AP1987" s="13">
        <v>45330</v>
      </c>
      <c r="AQ1987">
        <v>-2</v>
      </c>
      <c r="AR1987">
        <v>1</v>
      </c>
    </row>
    <row r="1988" spans="1:44" x14ac:dyDescent="0.35">
      <c r="A1988" s="12" t="s">
        <v>2701</v>
      </c>
      <c r="B1988" s="12" t="s">
        <v>472</v>
      </c>
      <c r="C1988" s="12" t="s">
        <v>473</v>
      </c>
      <c r="D1988" s="12" t="s">
        <v>122</v>
      </c>
      <c r="E1988" s="12" t="s">
        <v>142</v>
      </c>
      <c r="F1988">
        <v>2</v>
      </c>
      <c r="G1988">
        <v>9</v>
      </c>
      <c r="H1988">
        <v>0</v>
      </c>
      <c r="I1988" s="12" t="s">
        <v>87</v>
      </c>
      <c r="J1988" s="12" t="s">
        <v>88</v>
      </c>
      <c r="K1988" s="12" t="s">
        <v>89</v>
      </c>
      <c r="L1988" s="12" t="s">
        <v>69</v>
      </c>
      <c r="M1988">
        <v>14.93</v>
      </c>
      <c r="N1988" s="12" t="s">
        <v>97</v>
      </c>
      <c r="O1988" s="12" t="s">
        <v>98</v>
      </c>
      <c r="P1988" s="12" t="s">
        <v>72</v>
      </c>
      <c r="Q1988" s="13">
        <v>45317</v>
      </c>
      <c r="R1988" s="13">
        <v>45361</v>
      </c>
      <c r="S1988">
        <v>2024</v>
      </c>
      <c r="T1988" s="12" t="s">
        <v>2513</v>
      </c>
      <c r="U1988">
        <v>1100</v>
      </c>
      <c r="V1988">
        <v>48.7896</v>
      </c>
      <c r="W1988">
        <v>695.87</v>
      </c>
      <c r="X1988">
        <v>0</v>
      </c>
      <c r="Y1988">
        <v>0</v>
      </c>
      <c r="Z1988">
        <v>53668.56</v>
      </c>
      <c r="AA1988">
        <v>54364.43</v>
      </c>
      <c r="AB1988" s="12" t="s">
        <v>1187</v>
      </c>
      <c r="AC1988">
        <v>48.7896</v>
      </c>
      <c r="AD1988">
        <v>1</v>
      </c>
      <c r="AE1988">
        <v>1</v>
      </c>
      <c r="AF1988">
        <v>0</v>
      </c>
      <c r="AG1988">
        <v>53668.56</v>
      </c>
      <c r="AH1988">
        <v>1100</v>
      </c>
      <c r="AI1988">
        <v>1090</v>
      </c>
      <c r="AJ1988">
        <v>10</v>
      </c>
      <c r="AK1988">
        <v>1</v>
      </c>
      <c r="AL1988">
        <v>1</v>
      </c>
      <c r="AM1988">
        <v>99.09</v>
      </c>
      <c r="AN1988">
        <v>49.875599999999999</v>
      </c>
      <c r="AO1988">
        <v>487.9</v>
      </c>
      <c r="AP1988" s="13">
        <v>45358</v>
      </c>
      <c r="AQ1988">
        <v>-3</v>
      </c>
      <c r="AR1988">
        <v>1</v>
      </c>
    </row>
    <row r="1989" spans="1:44" x14ac:dyDescent="0.35">
      <c r="A1989" s="12" t="s">
        <v>2702</v>
      </c>
      <c r="B1989" s="12" t="s">
        <v>273</v>
      </c>
      <c r="C1989" s="12" t="s">
        <v>274</v>
      </c>
      <c r="D1989" s="12" t="s">
        <v>175</v>
      </c>
      <c r="E1989" s="12" t="s">
        <v>104</v>
      </c>
      <c r="F1989">
        <v>3</v>
      </c>
      <c r="G1989">
        <v>1</v>
      </c>
      <c r="H1989">
        <v>0</v>
      </c>
      <c r="I1989" s="12" t="s">
        <v>275</v>
      </c>
      <c r="J1989" s="12" t="s">
        <v>276</v>
      </c>
      <c r="K1989" s="12" t="s">
        <v>89</v>
      </c>
      <c r="L1989" s="12" t="s">
        <v>82</v>
      </c>
      <c r="M1989">
        <v>14.26</v>
      </c>
      <c r="N1989" s="12" t="s">
        <v>145</v>
      </c>
      <c r="O1989" s="12" t="s">
        <v>146</v>
      </c>
      <c r="P1989" s="12" t="s">
        <v>109</v>
      </c>
      <c r="Q1989" s="13">
        <v>45317</v>
      </c>
      <c r="R1989" s="13">
        <v>45336</v>
      </c>
      <c r="S1989">
        <v>2024</v>
      </c>
      <c r="T1989" s="12" t="s">
        <v>2513</v>
      </c>
      <c r="U1989">
        <v>69</v>
      </c>
      <c r="V1989">
        <v>113.5119</v>
      </c>
      <c r="W1989">
        <v>174.6</v>
      </c>
      <c r="X1989">
        <v>0</v>
      </c>
      <c r="Y1989">
        <v>0</v>
      </c>
      <c r="Z1989">
        <v>7832.32</v>
      </c>
      <c r="AA1989">
        <v>8006.92</v>
      </c>
      <c r="AB1989" s="12" t="s">
        <v>277</v>
      </c>
      <c r="AC1989">
        <v>117.48480000000001</v>
      </c>
      <c r="AD1989">
        <v>2</v>
      </c>
      <c r="AE1989">
        <v>1</v>
      </c>
      <c r="AF1989">
        <v>-274.13</v>
      </c>
      <c r="AG1989">
        <v>8106.45</v>
      </c>
      <c r="AH1989">
        <v>69</v>
      </c>
      <c r="AI1989">
        <v>69</v>
      </c>
      <c r="AJ1989">
        <v>0</v>
      </c>
      <c r="AK1989">
        <v>1</v>
      </c>
      <c r="AL1989">
        <v>1</v>
      </c>
      <c r="AM1989">
        <v>100</v>
      </c>
      <c r="AN1989">
        <v>116.0423</v>
      </c>
      <c r="AO1989">
        <v>0</v>
      </c>
      <c r="AP1989" s="13">
        <v>45335</v>
      </c>
      <c r="AQ1989">
        <v>-1</v>
      </c>
      <c r="AR1989">
        <v>1</v>
      </c>
    </row>
    <row r="1990" spans="1:44" x14ac:dyDescent="0.35">
      <c r="A1990" s="12" t="s">
        <v>2703</v>
      </c>
      <c r="B1990" s="12" t="s">
        <v>128</v>
      </c>
      <c r="C1990" s="12" t="s">
        <v>129</v>
      </c>
      <c r="D1990" s="12" t="s">
        <v>130</v>
      </c>
      <c r="E1990" s="12" t="s">
        <v>65</v>
      </c>
      <c r="F1990">
        <v>3</v>
      </c>
      <c r="G1990">
        <v>5</v>
      </c>
      <c r="H1990">
        <v>0</v>
      </c>
      <c r="I1990" s="12" t="s">
        <v>131</v>
      </c>
      <c r="J1990" s="12" t="s">
        <v>132</v>
      </c>
      <c r="K1990" s="12" t="s">
        <v>133</v>
      </c>
      <c r="L1990" s="12" t="s">
        <v>134</v>
      </c>
      <c r="M1990">
        <v>1.51</v>
      </c>
      <c r="N1990" s="12" t="s">
        <v>159</v>
      </c>
      <c r="O1990" s="12" t="s">
        <v>160</v>
      </c>
      <c r="P1990" s="12" t="s">
        <v>137</v>
      </c>
      <c r="Q1990" s="13">
        <v>45317</v>
      </c>
      <c r="R1990" s="13">
        <v>45339</v>
      </c>
      <c r="S1990">
        <v>2024</v>
      </c>
      <c r="T1990" s="12" t="s">
        <v>2513</v>
      </c>
      <c r="U1990">
        <v>23</v>
      </c>
      <c r="V1990">
        <v>475.92759999999998</v>
      </c>
      <c r="W1990">
        <v>228.77</v>
      </c>
      <c r="X1990">
        <v>0</v>
      </c>
      <c r="Y1990">
        <v>0</v>
      </c>
      <c r="Z1990">
        <v>10946.33</v>
      </c>
      <c r="AA1990">
        <v>11175.1</v>
      </c>
      <c r="AB1990" s="12" t="s">
        <v>201</v>
      </c>
      <c r="AD1990">
        <v>0</v>
      </c>
      <c r="AE1990">
        <v>0</v>
      </c>
      <c r="AH1990">
        <v>23</v>
      </c>
      <c r="AI1990">
        <v>21</v>
      </c>
      <c r="AJ1990">
        <v>2</v>
      </c>
      <c r="AK1990">
        <v>1</v>
      </c>
      <c r="AL1990">
        <v>1</v>
      </c>
      <c r="AM1990">
        <v>91.3</v>
      </c>
      <c r="AN1990">
        <v>532.14779999999996</v>
      </c>
      <c r="AO1990">
        <v>951.86</v>
      </c>
      <c r="AP1990" s="13">
        <v>45339</v>
      </c>
      <c r="AQ1990">
        <v>0</v>
      </c>
      <c r="AR1990">
        <v>1</v>
      </c>
    </row>
    <row r="1991" spans="1:44" x14ac:dyDescent="0.35">
      <c r="A1991" s="12" t="s">
        <v>2704</v>
      </c>
      <c r="B1991" s="12" t="s">
        <v>1179</v>
      </c>
      <c r="C1991" s="12" t="s">
        <v>1180</v>
      </c>
      <c r="D1991" s="12" t="s">
        <v>122</v>
      </c>
      <c r="E1991" s="12" t="s">
        <v>142</v>
      </c>
      <c r="F1991">
        <v>1</v>
      </c>
      <c r="G1991">
        <v>8</v>
      </c>
      <c r="H1991">
        <v>1</v>
      </c>
      <c r="I1991" s="12" t="s">
        <v>143</v>
      </c>
      <c r="J1991" s="12" t="s">
        <v>144</v>
      </c>
      <c r="K1991" s="12" t="s">
        <v>133</v>
      </c>
      <c r="L1991" s="12" t="s">
        <v>96</v>
      </c>
      <c r="M1991">
        <v>5.43</v>
      </c>
      <c r="N1991" s="12" t="s">
        <v>97</v>
      </c>
      <c r="O1991" s="12" t="s">
        <v>98</v>
      </c>
      <c r="P1991" s="12" t="s">
        <v>72</v>
      </c>
      <c r="Q1991" s="13">
        <v>45317</v>
      </c>
      <c r="R1991" s="13">
        <v>45361</v>
      </c>
      <c r="S1991">
        <v>2024</v>
      </c>
      <c r="T1991" s="12" t="s">
        <v>2513</v>
      </c>
      <c r="U1991">
        <v>1104</v>
      </c>
      <c r="V1991">
        <v>52.674799999999998</v>
      </c>
      <c r="W1991">
        <v>1452.3</v>
      </c>
      <c r="X1991">
        <v>0</v>
      </c>
      <c r="Y1991">
        <v>0</v>
      </c>
      <c r="Z1991">
        <v>58152.98</v>
      </c>
      <c r="AA1991">
        <v>59605.279999999999</v>
      </c>
      <c r="AB1991" s="12" t="s">
        <v>1181</v>
      </c>
      <c r="AC1991">
        <v>52.674799999999998</v>
      </c>
      <c r="AD1991">
        <v>1</v>
      </c>
      <c r="AE1991">
        <v>1</v>
      </c>
      <c r="AF1991">
        <v>0</v>
      </c>
      <c r="AG1991">
        <v>58152.98</v>
      </c>
      <c r="AH1991">
        <v>1104</v>
      </c>
      <c r="AI1991">
        <v>1099</v>
      </c>
      <c r="AJ1991">
        <v>5</v>
      </c>
      <c r="AK1991">
        <v>1</v>
      </c>
      <c r="AL1991">
        <v>1</v>
      </c>
      <c r="AM1991">
        <v>99.55</v>
      </c>
      <c r="AN1991">
        <v>54.235900000000001</v>
      </c>
      <c r="AO1991">
        <v>263.37</v>
      </c>
      <c r="AP1991" s="13">
        <v>45358</v>
      </c>
      <c r="AQ1991">
        <v>-3</v>
      </c>
      <c r="AR1991">
        <v>1</v>
      </c>
    </row>
    <row r="1992" spans="1:44" x14ac:dyDescent="0.35">
      <c r="A1992" s="12" t="s">
        <v>2705</v>
      </c>
      <c r="B1992" s="12" t="s">
        <v>1013</v>
      </c>
      <c r="C1992" s="12" t="s">
        <v>1014</v>
      </c>
      <c r="D1992" s="12" t="s">
        <v>78</v>
      </c>
      <c r="E1992" s="12" t="s">
        <v>65</v>
      </c>
      <c r="F1992">
        <v>2</v>
      </c>
      <c r="G1992">
        <v>3</v>
      </c>
      <c r="H1992">
        <v>0</v>
      </c>
      <c r="I1992" s="12" t="s">
        <v>359</v>
      </c>
      <c r="J1992" s="12" t="s">
        <v>360</v>
      </c>
      <c r="K1992" s="12" t="s">
        <v>133</v>
      </c>
      <c r="L1992" s="12" t="s">
        <v>82</v>
      </c>
      <c r="M1992">
        <v>12.65</v>
      </c>
      <c r="N1992" s="12" t="s">
        <v>97</v>
      </c>
      <c r="O1992" s="12" t="s">
        <v>98</v>
      </c>
      <c r="P1992" s="12" t="s">
        <v>72</v>
      </c>
      <c r="Q1992" s="13">
        <v>45317</v>
      </c>
      <c r="R1992" s="13">
        <v>45345</v>
      </c>
      <c r="S1992">
        <v>2024</v>
      </c>
      <c r="T1992" s="12" t="s">
        <v>2513</v>
      </c>
      <c r="U1992">
        <v>154</v>
      </c>
      <c r="V1992">
        <v>125.2653</v>
      </c>
      <c r="W1992">
        <v>428.22</v>
      </c>
      <c r="X1992">
        <v>0</v>
      </c>
      <c r="Y1992">
        <v>0</v>
      </c>
      <c r="Z1992">
        <v>19290.86</v>
      </c>
      <c r="AA1992">
        <v>19719.080000000002</v>
      </c>
      <c r="AB1992" s="12" t="s">
        <v>2113</v>
      </c>
      <c r="AC1992">
        <v>125.2653</v>
      </c>
      <c r="AD1992">
        <v>1</v>
      </c>
      <c r="AE1992">
        <v>1</v>
      </c>
      <c r="AF1992">
        <v>0</v>
      </c>
      <c r="AG1992">
        <v>19290.86</v>
      </c>
      <c r="AH1992">
        <v>154</v>
      </c>
      <c r="AI1992">
        <v>153</v>
      </c>
      <c r="AJ1992">
        <v>1</v>
      </c>
      <c r="AK1992">
        <v>1</v>
      </c>
      <c r="AL1992">
        <v>1</v>
      </c>
      <c r="AM1992">
        <v>99.35</v>
      </c>
      <c r="AN1992">
        <v>128.88290000000001</v>
      </c>
      <c r="AO1992">
        <v>125.27</v>
      </c>
      <c r="AP1992" s="13">
        <v>45345</v>
      </c>
      <c r="AQ1992">
        <v>0</v>
      </c>
      <c r="AR1992">
        <v>1</v>
      </c>
    </row>
    <row r="1993" spans="1:44" x14ac:dyDescent="0.35">
      <c r="A1993" s="12" t="s">
        <v>2706</v>
      </c>
      <c r="B1993" s="12" t="s">
        <v>602</v>
      </c>
      <c r="C1993" s="12" t="s">
        <v>603</v>
      </c>
      <c r="D1993" s="12" t="s">
        <v>114</v>
      </c>
      <c r="E1993" s="12" t="s">
        <v>142</v>
      </c>
      <c r="F1993">
        <v>2</v>
      </c>
      <c r="G1993">
        <v>10</v>
      </c>
      <c r="H1993">
        <v>0</v>
      </c>
      <c r="I1993" s="12" t="s">
        <v>263</v>
      </c>
      <c r="J1993" s="12" t="s">
        <v>264</v>
      </c>
      <c r="K1993" s="12" t="s">
        <v>125</v>
      </c>
      <c r="L1993" s="12" t="s">
        <v>82</v>
      </c>
      <c r="M1993">
        <v>10.210000000000001</v>
      </c>
      <c r="N1993" s="12" t="s">
        <v>97</v>
      </c>
      <c r="O1993" s="12" t="s">
        <v>98</v>
      </c>
      <c r="P1993" s="12" t="s">
        <v>72</v>
      </c>
      <c r="Q1993" s="13">
        <v>45317</v>
      </c>
      <c r="R1993" s="13">
        <v>45364</v>
      </c>
      <c r="S1993">
        <v>2024</v>
      </c>
      <c r="T1993" s="12" t="s">
        <v>2513</v>
      </c>
      <c r="U1993">
        <v>105</v>
      </c>
      <c r="V1993">
        <v>213.4624</v>
      </c>
      <c r="W1993">
        <v>139.63</v>
      </c>
      <c r="X1993">
        <v>0</v>
      </c>
      <c r="Y1993">
        <v>0</v>
      </c>
      <c r="Z1993">
        <v>22413.55</v>
      </c>
      <c r="AA1993">
        <v>22553.18</v>
      </c>
      <c r="AB1993" s="12" t="s">
        <v>691</v>
      </c>
      <c r="AC1993">
        <v>213.4624</v>
      </c>
      <c r="AD1993">
        <v>1</v>
      </c>
      <c r="AE1993">
        <v>1</v>
      </c>
      <c r="AF1993">
        <v>0</v>
      </c>
      <c r="AG1993">
        <v>22413.55</v>
      </c>
      <c r="AH1993">
        <v>105</v>
      </c>
      <c r="AI1993">
        <v>103</v>
      </c>
      <c r="AJ1993">
        <v>2</v>
      </c>
      <c r="AK1993">
        <v>1</v>
      </c>
      <c r="AL1993">
        <v>1</v>
      </c>
      <c r="AM1993">
        <v>98.1</v>
      </c>
      <c r="AN1993">
        <v>218.96289999999999</v>
      </c>
      <c r="AO1993">
        <v>426.92</v>
      </c>
      <c r="AP1993" s="13">
        <v>45361</v>
      </c>
      <c r="AQ1993">
        <v>-3</v>
      </c>
      <c r="AR1993">
        <v>1</v>
      </c>
    </row>
    <row r="1994" spans="1:44" x14ac:dyDescent="0.35">
      <c r="A1994" s="12" t="s">
        <v>2707</v>
      </c>
      <c r="B1994" s="12" t="s">
        <v>1054</v>
      </c>
      <c r="C1994" s="12" t="s">
        <v>1055</v>
      </c>
      <c r="D1994" s="12" t="s">
        <v>122</v>
      </c>
      <c r="E1994" s="12" t="s">
        <v>65</v>
      </c>
      <c r="F1994">
        <v>1</v>
      </c>
      <c r="G1994">
        <v>2</v>
      </c>
      <c r="H1994">
        <v>1</v>
      </c>
      <c r="I1994" s="12" t="s">
        <v>176</v>
      </c>
      <c r="J1994" s="12" t="s">
        <v>177</v>
      </c>
      <c r="K1994" s="12" t="s">
        <v>125</v>
      </c>
      <c r="L1994" s="12" t="s">
        <v>134</v>
      </c>
      <c r="M1994">
        <v>1.75</v>
      </c>
      <c r="N1994" s="12" t="s">
        <v>70</v>
      </c>
      <c r="O1994" s="12" t="s">
        <v>71</v>
      </c>
      <c r="P1994" s="12" t="s">
        <v>72</v>
      </c>
      <c r="Q1994" s="13">
        <v>45320</v>
      </c>
      <c r="R1994" s="13">
        <v>45350</v>
      </c>
      <c r="S1994">
        <v>2024</v>
      </c>
      <c r="T1994" s="12" t="s">
        <v>2513</v>
      </c>
      <c r="U1994">
        <v>1161</v>
      </c>
      <c r="V1994">
        <v>46.916699999999999</v>
      </c>
      <c r="W1994">
        <v>451.74</v>
      </c>
      <c r="X1994">
        <v>0</v>
      </c>
      <c r="Y1994">
        <v>0</v>
      </c>
      <c r="Z1994">
        <v>54470.29</v>
      </c>
      <c r="AA1994">
        <v>54922.03</v>
      </c>
      <c r="AB1994" s="12" t="s">
        <v>1056</v>
      </c>
      <c r="AC1994">
        <v>46.916699999999999</v>
      </c>
      <c r="AD1994">
        <v>1</v>
      </c>
      <c r="AE1994">
        <v>1</v>
      </c>
      <c r="AF1994">
        <v>0</v>
      </c>
      <c r="AG1994">
        <v>54470.29</v>
      </c>
      <c r="AH1994">
        <v>1161</v>
      </c>
      <c r="AI1994">
        <v>1157</v>
      </c>
      <c r="AJ1994">
        <v>4</v>
      </c>
      <c r="AK1994">
        <v>1</v>
      </c>
      <c r="AL1994">
        <v>1</v>
      </c>
      <c r="AM1994">
        <v>99.66</v>
      </c>
      <c r="AN1994">
        <v>47.469299999999997</v>
      </c>
      <c r="AO1994">
        <v>187.67</v>
      </c>
      <c r="AP1994" s="13">
        <v>45350</v>
      </c>
      <c r="AQ1994">
        <v>0</v>
      </c>
      <c r="AR1994">
        <v>1</v>
      </c>
    </row>
    <row r="1995" spans="1:44" x14ac:dyDescent="0.35">
      <c r="A1995" s="12" t="s">
        <v>2708</v>
      </c>
      <c r="B1995" s="12" t="s">
        <v>472</v>
      </c>
      <c r="C1995" s="12" t="s">
        <v>473</v>
      </c>
      <c r="D1995" s="12" t="s">
        <v>122</v>
      </c>
      <c r="E1995" s="12" t="s">
        <v>142</v>
      </c>
      <c r="F1995">
        <v>2</v>
      </c>
      <c r="G1995">
        <v>9</v>
      </c>
      <c r="H1995">
        <v>0</v>
      </c>
      <c r="I1995" s="12" t="s">
        <v>209</v>
      </c>
      <c r="J1995" s="12" t="s">
        <v>210</v>
      </c>
      <c r="K1995" s="12" t="s">
        <v>133</v>
      </c>
      <c r="L1995" s="12" t="s">
        <v>96</v>
      </c>
      <c r="M1995">
        <v>7.82</v>
      </c>
      <c r="N1995" s="12" t="s">
        <v>70</v>
      </c>
      <c r="O1995" s="12" t="s">
        <v>71</v>
      </c>
      <c r="P1995" s="12" t="s">
        <v>72</v>
      </c>
      <c r="Q1995" s="13">
        <v>45320</v>
      </c>
      <c r="R1995" s="13">
        <v>45362</v>
      </c>
      <c r="S1995">
        <v>2024</v>
      </c>
      <c r="T1995" s="12" t="s">
        <v>2513</v>
      </c>
      <c r="U1995">
        <v>918</v>
      </c>
      <c r="V1995">
        <v>48.7896</v>
      </c>
      <c r="W1995">
        <v>853.11</v>
      </c>
      <c r="X1995">
        <v>0</v>
      </c>
      <c r="Y1995">
        <v>0</v>
      </c>
      <c r="Z1995">
        <v>44788.85</v>
      </c>
      <c r="AA1995">
        <v>45641.96</v>
      </c>
      <c r="AB1995" s="12" t="s">
        <v>474</v>
      </c>
      <c r="AC1995">
        <v>48.7896</v>
      </c>
      <c r="AD1995">
        <v>1</v>
      </c>
      <c r="AE1995">
        <v>1</v>
      </c>
      <c r="AF1995">
        <v>0</v>
      </c>
      <c r="AG1995">
        <v>44788.85</v>
      </c>
      <c r="AH1995">
        <v>918</v>
      </c>
      <c r="AI1995">
        <v>907</v>
      </c>
      <c r="AJ1995">
        <v>11</v>
      </c>
      <c r="AK1995">
        <v>1</v>
      </c>
      <c r="AL1995">
        <v>1</v>
      </c>
      <c r="AM1995">
        <v>98.8</v>
      </c>
      <c r="AN1995">
        <v>50.321899999999999</v>
      </c>
      <c r="AO1995">
        <v>536.69000000000005</v>
      </c>
      <c r="AP1995" s="13">
        <v>45360</v>
      </c>
      <c r="AQ1995">
        <v>-2</v>
      </c>
      <c r="AR1995">
        <v>1</v>
      </c>
    </row>
    <row r="1996" spans="1:44" x14ac:dyDescent="0.35">
      <c r="A1996" s="12" t="s">
        <v>2709</v>
      </c>
      <c r="B1996" s="12" t="s">
        <v>990</v>
      </c>
      <c r="C1996" s="12" t="s">
        <v>991</v>
      </c>
      <c r="D1996" s="12" t="s">
        <v>122</v>
      </c>
      <c r="E1996" s="12" t="s">
        <v>142</v>
      </c>
      <c r="F1996">
        <v>1</v>
      </c>
      <c r="G1996">
        <v>6</v>
      </c>
      <c r="H1996">
        <v>1</v>
      </c>
      <c r="I1996" s="12" t="s">
        <v>217</v>
      </c>
      <c r="J1996" s="12" t="s">
        <v>218</v>
      </c>
      <c r="K1996" s="12" t="s">
        <v>68</v>
      </c>
      <c r="L1996" s="12" t="s">
        <v>82</v>
      </c>
      <c r="M1996">
        <v>14.24</v>
      </c>
      <c r="N1996" s="12" t="s">
        <v>97</v>
      </c>
      <c r="O1996" s="12" t="s">
        <v>98</v>
      </c>
      <c r="P1996" s="12" t="s">
        <v>72</v>
      </c>
      <c r="Q1996" s="13">
        <v>45320</v>
      </c>
      <c r="R1996" s="13">
        <v>45359</v>
      </c>
      <c r="S1996">
        <v>2024</v>
      </c>
      <c r="T1996" s="12" t="s">
        <v>2513</v>
      </c>
      <c r="U1996">
        <v>648</v>
      </c>
      <c r="V1996">
        <v>33.697499999999998</v>
      </c>
      <c r="W1996">
        <v>184.69</v>
      </c>
      <c r="X1996">
        <v>0</v>
      </c>
      <c r="Y1996">
        <v>0</v>
      </c>
      <c r="Z1996">
        <v>21835.98</v>
      </c>
      <c r="AA1996">
        <v>22020.67</v>
      </c>
      <c r="AB1996" s="12" t="s">
        <v>992</v>
      </c>
      <c r="AC1996">
        <v>33.697499999999998</v>
      </c>
      <c r="AD1996">
        <v>1</v>
      </c>
      <c r="AE1996">
        <v>1</v>
      </c>
      <c r="AF1996">
        <v>0</v>
      </c>
      <c r="AG1996">
        <v>21835.98</v>
      </c>
      <c r="AH1996">
        <v>648</v>
      </c>
      <c r="AI1996">
        <v>643</v>
      </c>
      <c r="AJ1996">
        <v>5</v>
      </c>
      <c r="AK1996">
        <v>1</v>
      </c>
      <c r="AL1996">
        <v>1</v>
      </c>
      <c r="AM1996">
        <v>99.23</v>
      </c>
      <c r="AN1996">
        <v>34.2468</v>
      </c>
      <c r="AO1996">
        <v>168.49</v>
      </c>
      <c r="AP1996" s="13">
        <v>45356</v>
      </c>
      <c r="AQ1996">
        <v>-3</v>
      </c>
      <c r="AR1996">
        <v>1</v>
      </c>
    </row>
    <row r="1997" spans="1:44" x14ac:dyDescent="0.35">
      <c r="A1997" s="12" t="s">
        <v>2710</v>
      </c>
      <c r="B1997" s="12" t="s">
        <v>773</v>
      </c>
      <c r="C1997" s="12" t="s">
        <v>774</v>
      </c>
      <c r="D1997" s="12" t="s">
        <v>64</v>
      </c>
      <c r="E1997" s="12" t="s">
        <v>142</v>
      </c>
      <c r="F1997">
        <v>1</v>
      </c>
      <c r="G1997">
        <v>7</v>
      </c>
      <c r="H1997">
        <v>1</v>
      </c>
      <c r="I1997" s="12" t="s">
        <v>251</v>
      </c>
      <c r="J1997" s="12" t="s">
        <v>252</v>
      </c>
      <c r="K1997" s="12" t="s">
        <v>133</v>
      </c>
      <c r="L1997" s="12" t="s">
        <v>69</v>
      </c>
      <c r="M1997">
        <v>34.49</v>
      </c>
      <c r="N1997" s="12" t="s">
        <v>70</v>
      </c>
      <c r="O1997" s="12" t="s">
        <v>71</v>
      </c>
      <c r="P1997" s="12" t="s">
        <v>72</v>
      </c>
      <c r="Q1997" s="13">
        <v>45320</v>
      </c>
      <c r="R1997" s="13">
        <v>45364</v>
      </c>
      <c r="S1997">
        <v>2024</v>
      </c>
      <c r="T1997" s="12" t="s">
        <v>2513</v>
      </c>
      <c r="U1997">
        <v>566</v>
      </c>
      <c r="V1997">
        <v>10.0604</v>
      </c>
      <c r="W1997">
        <v>46.69</v>
      </c>
      <c r="X1997">
        <v>0</v>
      </c>
      <c r="Y1997">
        <v>0</v>
      </c>
      <c r="Z1997">
        <v>5694.19</v>
      </c>
      <c r="AA1997">
        <v>5740.88</v>
      </c>
      <c r="AB1997" s="12" t="s">
        <v>775</v>
      </c>
      <c r="AC1997">
        <v>10.0604</v>
      </c>
      <c r="AD1997">
        <v>1</v>
      </c>
      <c r="AE1997">
        <v>1</v>
      </c>
      <c r="AF1997">
        <v>0</v>
      </c>
      <c r="AG1997">
        <v>5694.19</v>
      </c>
      <c r="AH1997">
        <v>566</v>
      </c>
      <c r="AI1997">
        <v>562</v>
      </c>
      <c r="AJ1997">
        <v>4</v>
      </c>
      <c r="AK1997">
        <v>1</v>
      </c>
      <c r="AL1997">
        <v>1</v>
      </c>
      <c r="AM1997">
        <v>99.29</v>
      </c>
      <c r="AN1997">
        <v>10.2151</v>
      </c>
      <c r="AO1997">
        <v>40.24</v>
      </c>
      <c r="AP1997" s="13">
        <v>45362</v>
      </c>
      <c r="AQ1997">
        <v>-2</v>
      </c>
      <c r="AR1997">
        <v>1</v>
      </c>
    </row>
    <row r="1998" spans="1:44" x14ac:dyDescent="0.35">
      <c r="A1998" s="12" t="s">
        <v>2711</v>
      </c>
      <c r="B1998" s="12" t="s">
        <v>302</v>
      </c>
      <c r="C1998" s="12" t="s">
        <v>303</v>
      </c>
      <c r="D1998" s="12" t="s">
        <v>78</v>
      </c>
      <c r="E1998" s="12" t="s">
        <v>65</v>
      </c>
      <c r="F1998">
        <v>2</v>
      </c>
      <c r="G1998">
        <v>3</v>
      </c>
      <c r="H1998">
        <v>0</v>
      </c>
      <c r="I1998" s="12" t="s">
        <v>335</v>
      </c>
      <c r="J1998" s="12" t="s">
        <v>336</v>
      </c>
      <c r="K1998" s="12" t="s">
        <v>89</v>
      </c>
      <c r="L1998" s="12" t="s">
        <v>82</v>
      </c>
      <c r="M1998">
        <v>16</v>
      </c>
      <c r="N1998" s="12" t="s">
        <v>97</v>
      </c>
      <c r="O1998" s="12" t="s">
        <v>98</v>
      </c>
      <c r="P1998" s="12" t="s">
        <v>72</v>
      </c>
      <c r="Q1998" s="13">
        <v>45320</v>
      </c>
      <c r="R1998" s="13">
        <v>45347</v>
      </c>
      <c r="S1998">
        <v>2024</v>
      </c>
      <c r="T1998" s="12" t="s">
        <v>2513</v>
      </c>
      <c r="U1998">
        <v>136</v>
      </c>
      <c r="V1998">
        <v>144.41300000000001</v>
      </c>
      <c r="W1998">
        <v>122.53</v>
      </c>
      <c r="X1998">
        <v>0</v>
      </c>
      <c r="Y1998">
        <v>0</v>
      </c>
      <c r="Z1998">
        <v>19640.169999999998</v>
      </c>
      <c r="AA1998">
        <v>19762.7</v>
      </c>
      <c r="AB1998" s="12" t="s">
        <v>337</v>
      </c>
      <c r="AC1998">
        <v>144.41300000000001</v>
      </c>
      <c r="AD1998">
        <v>1</v>
      </c>
      <c r="AE1998">
        <v>1</v>
      </c>
      <c r="AF1998">
        <v>0</v>
      </c>
      <c r="AG1998">
        <v>19640.169999999998</v>
      </c>
      <c r="AH1998">
        <v>136</v>
      </c>
      <c r="AI1998">
        <v>135</v>
      </c>
      <c r="AJ1998">
        <v>1</v>
      </c>
      <c r="AK1998">
        <v>1</v>
      </c>
      <c r="AL1998">
        <v>1</v>
      </c>
      <c r="AM1998">
        <v>99.26</v>
      </c>
      <c r="AN1998">
        <v>146.3904</v>
      </c>
      <c r="AO1998">
        <v>144.41</v>
      </c>
      <c r="AP1998" s="13">
        <v>45347</v>
      </c>
      <c r="AQ1998">
        <v>0</v>
      </c>
      <c r="AR1998">
        <v>1</v>
      </c>
    </row>
    <row r="1999" spans="1:44" x14ac:dyDescent="0.35">
      <c r="A1999" s="12" t="s">
        <v>2712</v>
      </c>
      <c r="B1999" s="12" t="s">
        <v>972</v>
      </c>
      <c r="C1999" s="12" t="s">
        <v>973</v>
      </c>
      <c r="D1999" s="12" t="s">
        <v>130</v>
      </c>
      <c r="E1999" s="12" t="s">
        <v>142</v>
      </c>
      <c r="F1999">
        <v>2</v>
      </c>
      <c r="G1999">
        <v>9</v>
      </c>
      <c r="H1999">
        <v>0</v>
      </c>
      <c r="I1999" s="12" t="s">
        <v>676</v>
      </c>
      <c r="J1999" s="12" t="s">
        <v>677</v>
      </c>
      <c r="K1999" s="12" t="s">
        <v>68</v>
      </c>
      <c r="L1999" s="12" t="s">
        <v>96</v>
      </c>
      <c r="M1999">
        <v>3.57</v>
      </c>
      <c r="N1999" s="12" t="s">
        <v>135</v>
      </c>
      <c r="O1999" s="12" t="s">
        <v>136</v>
      </c>
      <c r="P1999" s="12" t="s">
        <v>137</v>
      </c>
      <c r="Q1999" s="13">
        <v>45320</v>
      </c>
      <c r="R1999" s="13">
        <v>45357</v>
      </c>
      <c r="S1999">
        <v>2024</v>
      </c>
      <c r="T1999" s="12" t="s">
        <v>2513</v>
      </c>
      <c r="U1999">
        <v>27</v>
      </c>
      <c r="V1999">
        <v>842.69190000000003</v>
      </c>
      <c r="W1999">
        <v>145.54</v>
      </c>
      <c r="X1999">
        <v>689.52</v>
      </c>
      <c r="Y1999">
        <v>1</v>
      </c>
      <c r="Z1999">
        <v>22752.68</v>
      </c>
      <c r="AA1999">
        <v>23587.74</v>
      </c>
      <c r="AB1999" s="12" t="s">
        <v>974</v>
      </c>
      <c r="AC1999">
        <v>842.69190000000003</v>
      </c>
      <c r="AD1999">
        <v>1</v>
      </c>
      <c r="AE1999">
        <v>1</v>
      </c>
      <c r="AF1999">
        <v>0</v>
      </c>
      <c r="AG1999">
        <v>22752.68</v>
      </c>
      <c r="AH1999">
        <v>27</v>
      </c>
      <c r="AI1999">
        <v>27</v>
      </c>
      <c r="AJ1999">
        <v>0</v>
      </c>
      <c r="AK1999">
        <v>1</v>
      </c>
      <c r="AL1999">
        <v>1</v>
      </c>
      <c r="AM1999">
        <v>100</v>
      </c>
      <c r="AN1999">
        <v>873.62</v>
      </c>
      <c r="AO1999">
        <v>0</v>
      </c>
      <c r="AP1999" s="13">
        <v>45354</v>
      </c>
      <c r="AQ1999">
        <v>-3</v>
      </c>
      <c r="AR1999">
        <v>1</v>
      </c>
    </row>
    <row r="2000" spans="1:44" x14ac:dyDescent="0.35">
      <c r="A2000" s="12" t="s">
        <v>2713</v>
      </c>
      <c r="B2000" s="12" t="s">
        <v>902</v>
      </c>
      <c r="C2000" s="12" t="s">
        <v>903</v>
      </c>
      <c r="D2000" s="12" t="s">
        <v>122</v>
      </c>
      <c r="E2000" s="12" t="s">
        <v>142</v>
      </c>
      <c r="F2000">
        <v>1</v>
      </c>
      <c r="G2000">
        <v>6</v>
      </c>
      <c r="H2000">
        <v>1</v>
      </c>
      <c r="I2000" s="12" t="s">
        <v>105</v>
      </c>
      <c r="J2000" s="12" t="s">
        <v>106</v>
      </c>
      <c r="K2000" s="12" t="s">
        <v>81</v>
      </c>
      <c r="L2000" s="12" t="s">
        <v>96</v>
      </c>
      <c r="M2000">
        <v>5.01</v>
      </c>
      <c r="N2000" s="12" t="s">
        <v>97</v>
      </c>
      <c r="O2000" s="12" t="s">
        <v>98</v>
      </c>
      <c r="P2000" s="12" t="s">
        <v>72</v>
      </c>
      <c r="Q2000" s="13">
        <v>45320</v>
      </c>
      <c r="R2000" s="13">
        <v>45356</v>
      </c>
      <c r="S2000">
        <v>2024</v>
      </c>
      <c r="T2000" s="12" t="s">
        <v>2513</v>
      </c>
      <c r="U2000">
        <v>309</v>
      </c>
      <c r="V2000">
        <v>44.053800000000003</v>
      </c>
      <c r="W2000">
        <v>277.7</v>
      </c>
      <c r="X2000">
        <v>0</v>
      </c>
      <c r="Y2000">
        <v>0</v>
      </c>
      <c r="Z2000">
        <v>13612.62</v>
      </c>
      <c r="AA2000">
        <v>13890.32</v>
      </c>
      <c r="AB2000" s="12" t="s">
        <v>904</v>
      </c>
      <c r="AC2000">
        <v>41.861199999999997</v>
      </c>
      <c r="AD2000">
        <v>1</v>
      </c>
      <c r="AE2000">
        <v>1</v>
      </c>
      <c r="AF2000">
        <v>677.51</v>
      </c>
      <c r="AG2000">
        <v>12935.11</v>
      </c>
      <c r="AH2000">
        <v>309</v>
      </c>
      <c r="AI2000">
        <v>307</v>
      </c>
      <c r="AJ2000">
        <v>2</v>
      </c>
      <c r="AK2000">
        <v>1</v>
      </c>
      <c r="AL2000">
        <v>1</v>
      </c>
      <c r="AM2000">
        <v>99.35</v>
      </c>
      <c r="AN2000">
        <v>45.245399999999997</v>
      </c>
      <c r="AO2000">
        <v>88.11</v>
      </c>
      <c r="AP2000" s="13">
        <v>45356</v>
      </c>
      <c r="AQ2000">
        <v>0</v>
      </c>
      <c r="AR2000">
        <v>1</v>
      </c>
    </row>
    <row r="2001" spans="1:44" x14ac:dyDescent="0.35">
      <c r="A2001" s="12" t="s">
        <v>2714</v>
      </c>
      <c r="B2001" s="12" t="s">
        <v>498</v>
      </c>
      <c r="C2001" s="12" t="s">
        <v>499</v>
      </c>
      <c r="D2001" s="12" t="s">
        <v>175</v>
      </c>
      <c r="E2001" s="12" t="s">
        <v>104</v>
      </c>
      <c r="F2001">
        <v>3</v>
      </c>
      <c r="G2001">
        <v>1</v>
      </c>
      <c r="H2001">
        <v>0</v>
      </c>
      <c r="I2001" s="12" t="s">
        <v>233</v>
      </c>
      <c r="J2001" s="12" t="s">
        <v>234</v>
      </c>
      <c r="K2001" s="12" t="s">
        <v>125</v>
      </c>
      <c r="L2001" s="12" t="s">
        <v>96</v>
      </c>
      <c r="M2001">
        <v>3.73</v>
      </c>
      <c r="N2001" s="12" t="s">
        <v>107</v>
      </c>
      <c r="O2001" s="12" t="s">
        <v>108</v>
      </c>
      <c r="P2001" s="12" t="s">
        <v>109</v>
      </c>
      <c r="Q2001" s="13">
        <v>45320</v>
      </c>
      <c r="R2001" s="13">
        <v>45347</v>
      </c>
      <c r="S2001">
        <v>2024</v>
      </c>
      <c r="T2001" s="12" t="s">
        <v>2513</v>
      </c>
      <c r="U2001">
        <v>130</v>
      </c>
      <c r="V2001">
        <v>259.35789999999997</v>
      </c>
      <c r="W2001">
        <v>618.16999999999996</v>
      </c>
      <c r="X2001">
        <v>0</v>
      </c>
      <c r="Y2001">
        <v>0</v>
      </c>
      <c r="Z2001">
        <v>33716.53</v>
      </c>
      <c r="AA2001">
        <v>34334.699999999997</v>
      </c>
      <c r="AB2001" s="12" t="s">
        <v>500</v>
      </c>
      <c r="AC2001">
        <v>284.75639999999999</v>
      </c>
      <c r="AD2001">
        <v>2</v>
      </c>
      <c r="AE2001">
        <v>1</v>
      </c>
      <c r="AF2001">
        <v>-3301.81</v>
      </c>
      <c r="AG2001">
        <v>37018.33</v>
      </c>
      <c r="AH2001">
        <v>130</v>
      </c>
      <c r="AI2001">
        <v>129</v>
      </c>
      <c r="AJ2001">
        <v>1</v>
      </c>
      <c r="AK2001">
        <v>1</v>
      </c>
      <c r="AL2001">
        <v>1</v>
      </c>
      <c r="AM2001">
        <v>99.23</v>
      </c>
      <c r="AN2001">
        <v>266.16039999999998</v>
      </c>
      <c r="AO2001">
        <v>259.36</v>
      </c>
      <c r="AP2001" s="13">
        <v>45356</v>
      </c>
      <c r="AQ2001">
        <v>9</v>
      </c>
      <c r="AR2001">
        <v>0</v>
      </c>
    </row>
    <row r="2002" spans="1:44" x14ac:dyDescent="0.35">
      <c r="A2002" s="12" t="s">
        <v>2715</v>
      </c>
      <c r="B2002" s="12" t="s">
        <v>747</v>
      </c>
      <c r="C2002" s="12" t="s">
        <v>748</v>
      </c>
      <c r="D2002" s="12" t="s">
        <v>114</v>
      </c>
      <c r="E2002" s="12" t="s">
        <v>104</v>
      </c>
      <c r="F2002">
        <v>2</v>
      </c>
      <c r="G2002">
        <v>0</v>
      </c>
      <c r="H2002">
        <v>0</v>
      </c>
      <c r="I2002" s="12" t="s">
        <v>251</v>
      </c>
      <c r="J2002" s="12" t="s">
        <v>252</v>
      </c>
      <c r="K2002" s="12" t="s">
        <v>133</v>
      </c>
      <c r="L2002" s="12" t="s">
        <v>69</v>
      </c>
      <c r="M2002">
        <v>34.49</v>
      </c>
      <c r="N2002" s="12" t="s">
        <v>97</v>
      </c>
      <c r="O2002" s="12" t="s">
        <v>98</v>
      </c>
      <c r="P2002" s="12" t="s">
        <v>72</v>
      </c>
      <c r="Q2002" s="13">
        <v>45321</v>
      </c>
      <c r="R2002" s="13">
        <v>45338</v>
      </c>
      <c r="S2002">
        <v>2024</v>
      </c>
      <c r="T2002" s="12" t="s">
        <v>2513</v>
      </c>
      <c r="U2002">
        <v>55</v>
      </c>
      <c r="V2002">
        <v>245.56890000000001</v>
      </c>
      <c r="W2002">
        <v>341.42</v>
      </c>
      <c r="X2002">
        <v>0</v>
      </c>
      <c r="Y2002">
        <v>0</v>
      </c>
      <c r="Z2002">
        <v>13506.29</v>
      </c>
      <c r="AA2002">
        <v>13847.71</v>
      </c>
      <c r="AB2002" s="12" t="s">
        <v>749</v>
      </c>
      <c r="AC2002">
        <v>245.56890000000001</v>
      </c>
      <c r="AD2002">
        <v>1</v>
      </c>
      <c r="AE2002">
        <v>1</v>
      </c>
      <c r="AF2002">
        <v>0</v>
      </c>
      <c r="AG2002">
        <v>13506.29</v>
      </c>
      <c r="AH2002">
        <v>55</v>
      </c>
      <c r="AI2002">
        <v>54</v>
      </c>
      <c r="AJ2002">
        <v>1</v>
      </c>
      <c r="AK2002">
        <v>1</v>
      </c>
      <c r="AL2002">
        <v>1</v>
      </c>
      <c r="AM2002">
        <v>98.18</v>
      </c>
      <c r="AN2002">
        <v>256.4391</v>
      </c>
      <c r="AO2002">
        <v>245.57</v>
      </c>
      <c r="AP2002" s="13">
        <v>45335</v>
      </c>
      <c r="AQ2002">
        <v>-3</v>
      </c>
      <c r="AR2002">
        <v>1</v>
      </c>
    </row>
    <row r="2003" spans="1:44" x14ac:dyDescent="0.35">
      <c r="A2003" s="12" t="s">
        <v>2716</v>
      </c>
      <c r="B2003" s="12" t="s">
        <v>173</v>
      </c>
      <c r="C2003" s="12" t="s">
        <v>174</v>
      </c>
      <c r="D2003" s="12" t="s">
        <v>175</v>
      </c>
      <c r="E2003" s="12" t="s">
        <v>104</v>
      </c>
      <c r="F2003">
        <v>3</v>
      </c>
      <c r="G2003">
        <v>1</v>
      </c>
      <c r="H2003">
        <v>0</v>
      </c>
      <c r="I2003" s="12" t="s">
        <v>176</v>
      </c>
      <c r="J2003" s="12" t="s">
        <v>177</v>
      </c>
      <c r="K2003" s="12" t="s">
        <v>125</v>
      </c>
      <c r="L2003" s="12" t="s">
        <v>134</v>
      </c>
      <c r="M2003">
        <v>1.75</v>
      </c>
      <c r="N2003" s="12" t="s">
        <v>107</v>
      </c>
      <c r="O2003" s="12" t="s">
        <v>108</v>
      </c>
      <c r="P2003" s="12" t="s">
        <v>109</v>
      </c>
      <c r="Q2003" s="13">
        <v>45321</v>
      </c>
      <c r="R2003" s="13">
        <v>45347</v>
      </c>
      <c r="S2003">
        <v>2024</v>
      </c>
      <c r="T2003" s="12" t="s">
        <v>2513</v>
      </c>
      <c r="U2003">
        <v>124</v>
      </c>
      <c r="V2003">
        <v>75.626000000000005</v>
      </c>
      <c r="W2003">
        <v>143.72</v>
      </c>
      <c r="X2003">
        <v>0</v>
      </c>
      <c r="Y2003">
        <v>0</v>
      </c>
      <c r="Z2003">
        <v>9377.6200000000008</v>
      </c>
      <c r="AA2003">
        <v>9521.34</v>
      </c>
      <c r="AB2003" s="12" t="s">
        <v>2717</v>
      </c>
      <c r="AC2003">
        <v>75.626000000000005</v>
      </c>
      <c r="AD2003">
        <v>1</v>
      </c>
      <c r="AE2003">
        <v>1</v>
      </c>
      <c r="AF2003">
        <v>0</v>
      </c>
      <c r="AG2003">
        <v>9377.6200000000008</v>
      </c>
      <c r="AH2003">
        <v>124</v>
      </c>
      <c r="AI2003">
        <v>122</v>
      </c>
      <c r="AJ2003">
        <v>2</v>
      </c>
      <c r="AK2003">
        <v>1</v>
      </c>
      <c r="AL2003">
        <v>1</v>
      </c>
      <c r="AM2003">
        <v>98.39</v>
      </c>
      <c r="AN2003">
        <v>78.043800000000005</v>
      </c>
      <c r="AO2003">
        <v>151.25</v>
      </c>
      <c r="AP2003" s="13">
        <v>45346</v>
      </c>
      <c r="AQ2003">
        <v>-1</v>
      </c>
      <c r="AR2003">
        <v>1</v>
      </c>
    </row>
    <row r="2004" spans="1:44" x14ac:dyDescent="0.35">
      <c r="A2004" s="12" t="s">
        <v>2718</v>
      </c>
      <c r="B2004" s="12" t="s">
        <v>823</v>
      </c>
      <c r="C2004" s="12" t="s">
        <v>824</v>
      </c>
      <c r="D2004" s="12" t="s">
        <v>114</v>
      </c>
      <c r="E2004" s="12" t="s">
        <v>142</v>
      </c>
      <c r="F2004">
        <v>1</v>
      </c>
      <c r="G2004">
        <v>8</v>
      </c>
      <c r="H2004">
        <v>1</v>
      </c>
      <c r="I2004" s="12" t="s">
        <v>515</v>
      </c>
      <c r="J2004" s="12" t="s">
        <v>516</v>
      </c>
      <c r="K2004" s="12" t="s">
        <v>68</v>
      </c>
      <c r="L2004" s="12" t="s">
        <v>134</v>
      </c>
      <c r="M2004">
        <v>3.69</v>
      </c>
      <c r="N2004" s="12" t="s">
        <v>70</v>
      </c>
      <c r="O2004" s="12" t="s">
        <v>71</v>
      </c>
      <c r="P2004" s="12" t="s">
        <v>72</v>
      </c>
      <c r="Q2004" s="13">
        <v>45321</v>
      </c>
      <c r="R2004" s="13">
        <v>45371</v>
      </c>
      <c r="S2004">
        <v>2024</v>
      </c>
      <c r="T2004" s="12" t="s">
        <v>2513</v>
      </c>
      <c r="U2004">
        <v>131</v>
      </c>
      <c r="V2004">
        <v>361.73399999999998</v>
      </c>
      <c r="W2004">
        <v>498.61</v>
      </c>
      <c r="X2004">
        <v>0</v>
      </c>
      <c r="Y2004">
        <v>0</v>
      </c>
      <c r="Z2004">
        <v>47387.15</v>
      </c>
      <c r="AA2004">
        <v>47885.760000000002</v>
      </c>
      <c r="AB2004" s="12" t="s">
        <v>825</v>
      </c>
      <c r="AC2004">
        <v>361.73399999999998</v>
      </c>
      <c r="AD2004">
        <v>1</v>
      </c>
      <c r="AE2004">
        <v>1</v>
      </c>
      <c r="AF2004">
        <v>0</v>
      </c>
      <c r="AG2004">
        <v>47387.15</v>
      </c>
      <c r="AH2004">
        <v>131</v>
      </c>
      <c r="AI2004">
        <v>128</v>
      </c>
      <c r="AJ2004">
        <v>3</v>
      </c>
      <c r="AK2004">
        <v>1</v>
      </c>
      <c r="AL2004">
        <v>1</v>
      </c>
      <c r="AM2004">
        <v>97.71</v>
      </c>
      <c r="AN2004">
        <v>374.10750000000002</v>
      </c>
      <c r="AO2004">
        <v>1085.2</v>
      </c>
      <c r="AP2004" s="13">
        <v>45378</v>
      </c>
      <c r="AQ2004">
        <v>7</v>
      </c>
      <c r="AR2004">
        <v>0</v>
      </c>
    </row>
    <row r="2005" spans="1:44" x14ac:dyDescent="0.35">
      <c r="A2005" s="12" t="s">
        <v>2719</v>
      </c>
      <c r="B2005" s="12" t="s">
        <v>952</v>
      </c>
      <c r="C2005" s="12" t="s">
        <v>953</v>
      </c>
      <c r="D2005" s="12" t="s">
        <v>64</v>
      </c>
      <c r="E2005" s="12" t="s">
        <v>142</v>
      </c>
      <c r="F2005">
        <v>1</v>
      </c>
      <c r="G2005">
        <v>8</v>
      </c>
      <c r="H2005">
        <v>1</v>
      </c>
      <c r="I2005" s="12" t="s">
        <v>131</v>
      </c>
      <c r="J2005" s="12" t="s">
        <v>132</v>
      </c>
      <c r="K2005" s="12" t="s">
        <v>133</v>
      </c>
      <c r="L2005" s="12" t="s">
        <v>134</v>
      </c>
      <c r="M2005">
        <v>1.51</v>
      </c>
      <c r="N2005" s="12" t="s">
        <v>70</v>
      </c>
      <c r="O2005" s="12" t="s">
        <v>71</v>
      </c>
      <c r="P2005" s="12" t="s">
        <v>72</v>
      </c>
      <c r="Q2005" s="13">
        <v>45321</v>
      </c>
      <c r="R2005" s="13">
        <v>45358</v>
      </c>
      <c r="S2005">
        <v>2024</v>
      </c>
      <c r="T2005" s="12" t="s">
        <v>2513</v>
      </c>
      <c r="U2005">
        <v>233</v>
      </c>
      <c r="V2005">
        <v>31.146599999999999</v>
      </c>
      <c r="W2005">
        <v>109.44</v>
      </c>
      <c r="X2005">
        <v>0</v>
      </c>
      <c r="Y2005">
        <v>0</v>
      </c>
      <c r="Z2005">
        <v>7257.16</v>
      </c>
      <c r="AA2005">
        <v>7366.6</v>
      </c>
      <c r="AB2005" s="12" t="s">
        <v>954</v>
      </c>
      <c r="AC2005">
        <v>31.146599999999999</v>
      </c>
      <c r="AD2005">
        <v>1</v>
      </c>
      <c r="AE2005">
        <v>1</v>
      </c>
      <c r="AF2005">
        <v>0</v>
      </c>
      <c r="AG2005">
        <v>7257.16</v>
      </c>
      <c r="AH2005">
        <v>233</v>
      </c>
      <c r="AI2005">
        <v>230</v>
      </c>
      <c r="AJ2005">
        <v>3</v>
      </c>
      <c r="AK2005">
        <v>1</v>
      </c>
      <c r="AL2005">
        <v>1</v>
      </c>
      <c r="AM2005">
        <v>98.71</v>
      </c>
      <c r="AN2005">
        <v>32.028700000000001</v>
      </c>
      <c r="AO2005">
        <v>93.44</v>
      </c>
      <c r="AP2005" s="13">
        <v>45365</v>
      </c>
      <c r="AQ2005">
        <v>7</v>
      </c>
      <c r="AR2005">
        <v>0</v>
      </c>
    </row>
    <row r="2006" spans="1:44" x14ac:dyDescent="0.35">
      <c r="A2006" s="12" t="s">
        <v>2720</v>
      </c>
      <c r="B2006" s="12" t="s">
        <v>267</v>
      </c>
      <c r="C2006" s="12" t="s">
        <v>268</v>
      </c>
      <c r="D2006" s="12" t="s">
        <v>269</v>
      </c>
      <c r="E2006" s="12" t="s">
        <v>142</v>
      </c>
      <c r="F2006">
        <v>1</v>
      </c>
      <c r="G2006">
        <v>8</v>
      </c>
      <c r="H2006">
        <v>1</v>
      </c>
      <c r="I2006" s="12" t="s">
        <v>94</v>
      </c>
      <c r="J2006" s="12" t="s">
        <v>95</v>
      </c>
      <c r="K2006" s="12" t="s">
        <v>81</v>
      </c>
      <c r="L2006" s="12" t="s">
        <v>96</v>
      </c>
      <c r="M2006">
        <v>4.8099999999999996</v>
      </c>
      <c r="N2006" s="12" t="s">
        <v>135</v>
      </c>
      <c r="O2006" s="12" t="s">
        <v>136</v>
      </c>
      <c r="P2006" s="12" t="s">
        <v>137</v>
      </c>
      <c r="Q2006" s="13">
        <v>45321</v>
      </c>
      <c r="R2006" s="13">
        <v>45362</v>
      </c>
      <c r="S2006">
        <v>2024</v>
      </c>
      <c r="T2006" s="12" t="s">
        <v>2513</v>
      </c>
      <c r="U2006">
        <v>63</v>
      </c>
      <c r="V2006">
        <v>232.60140000000001</v>
      </c>
      <c r="W2006">
        <v>196.68</v>
      </c>
      <c r="X2006">
        <v>0</v>
      </c>
      <c r="Y2006">
        <v>0</v>
      </c>
      <c r="Z2006">
        <v>14653.89</v>
      </c>
      <c r="AA2006">
        <v>14850.57</v>
      </c>
      <c r="AB2006" s="12" t="s">
        <v>270</v>
      </c>
      <c r="AC2006">
        <v>247.31829999999999</v>
      </c>
      <c r="AD2006">
        <v>1</v>
      </c>
      <c r="AE2006">
        <v>1</v>
      </c>
      <c r="AF2006">
        <v>-927.16</v>
      </c>
      <c r="AG2006">
        <v>15581.05</v>
      </c>
      <c r="AH2006">
        <v>63</v>
      </c>
      <c r="AI2006">
        <v>62</v>
      </c>
      <c r="AJ2006">
        <v>1</v>
      </c>
      <c r="AK2006">
        <v>1</v>
      </c>
      <c r="AL2006">
        <v>1</v>
      </c>
      <c r="AM2006">
        <v>98.41</v>
      </c>
      <c r="AN2006">
        <v>239.52529999999999</v>
      </c>
      <c r="AO2006">
        <v>232.6</v>
      </c>
      <c r="AP2006" s="13">
        <v>45359</v>
      </c>
      <c r="AQ2006">
        <v>-3</v>
      </c>
      <c r="AR2006">
        <v>1</v>
      </c>
    </row>
    <row r="2007" spans="1:44" x14ac:dyDescent="0.35">
      <c r="A2007" s="12" t="s">
        <v>2721</v>
      </c>
      <c r="B2007" s="12" t="s">
        <v>1026</v>
      </c>
      <c r="C2007" s="12" t="s">
        <v>1027</v>
      </c>
      <c r="D2007" s="12" t="s">
        <v>122</v>
      </c>
      <c r="E2007" s="12" t="s">
        <v>104</v>
      </c>
      <c r="F2007">
        <v>3</v>
      </c>
      <c r="G2007">
        <v>1</v>
      </c>
      <c r="H2007">
        <v>0</v>
      </c>
      <c r="I2007" s="12" t="s">
        <v>604</v>
      </c>
      <c r="J2007" s="12" t="s">
        <v>605</v>
      </c>
      <c r="K2007" s="12" t="s">
        <v>68</v>
      </c>
      <c r="L2007" s="12" t="s">
        <v>82</v>
      </c>
      <c r="M2007">
        <v>7.24</v>
      </c>
      <c r="N2007" s="12" t="s">
        <v>97</v>
      </c>
      <c r="O2007" s="12" t="s">
        <v>98</v>
      </c>
      <c r="P2007" s="12" t="s">
        <v>72</v>
      </c>
      <c r="Q2007" s="13">
        <v>45321</v>
      </c>
      <c r="R2007" s="13">
        <v>45335</v>
      </c>
      <c r="S2007">
        <v>2024</v>
      </c>
      <c r="T2007" s="12" t="s">
        <v>2513</v>
      </c>
      <c r="U2007">
        <v>454</v>
      </c>
      <c r="V2007">
        <v>41.886099999999999</v>
      </c>
      <c r="W2007">
        <v>330.94</v>
      </c>
      <c r="X2007">
        <v>0</v>
      </c>
      <c r="Y2007">
        <v>0</v>
      </c>
      <c r="Z2007">
        <v>19016.29</v>
      </c>
      <c r="AA2007">
        <v>19347.23</v>
      </c>
      <c r="AB2007" s="12" t="s">
        <v>1028</v>
      </c>
      <c r="AC2007">
        <v>41.886099999999999</v>
      </c>
      <c r="AD2007">
        <v>1</v>
      </c>
      <c r="AE2007">
        <v>1</v>
      </c>
      <c r="AF2007">
        <v>0</v>
      </c>
      <c r="AG2007">
        <v>19016.29</v>
      </c>
      <c r="AH2007">
        <v>454</v>
      </c>
      <c r="AI2007">
        <v>453</v>
      </c>
      <c r="AJ2007">
        <v>1</v>
      </c>
      <c r="AK2007">
        <v>1</v>
      </c>
      <c r="AL2007">
        <v>1</v>
      </c>
      <c r="AM2007">
        <v>99.78</v>
      </c>
      <c r="AN2007">
        <v>42.709099999999999</v>
      </c>
      <c r="AO2007">
        <v>41.89</v>
      </c>
      <c r="AP2007" s="13">
        <v>45333</v>
      </c>
      <c r="AQ2007">
        <v>-2</v>
      </c>
      <c r="AR2007">
        <v>1</v>
      </c>
    </row>
    <row r="2008" spans="1:44" x14ac:dyDescent="0.35">
      <c r="A2008" s="12" t="s">
        <v>2722</v>
      </c>
      <c r="B2008" s="12" t="s">
        <v>289</v>
      </c>
      <c r="C2008" s="12" t="s">
        <v>290</v>
      </c>
      <c r="D2008" s="12" t="s">
        <v>175</v>
      </c>
      <c r="E2008" s="12" t="s">
        <v>104</v>
      </c>
      <c r="F2008">
        <v>3</v>
      </c>
      <c r="G2008">
        <v>1</v>
      </c>
      <c r="H2008">
        <v>0</v>
      </c>
      <c r="I2008" s="12" t="s">
        <v>359</v>
      </c>
      <c r="J2008" s="12" t="s">
        <v>360</v>
      </c>
      <c r="K2008" s="12" t="s">
        <v>133</v>
      </c>
      <c r="L2008" s="12" t="s">
        <v>82</v>
      </c>
      <c r="M2008">
        <v>12.65</v>
      </c>
      <c r="N2008" s="12" t="s">
        <v>145</v>
      </c>
      <c r="O2008" s="12" t="s">
        <v>146</v>
      </c>
      <c r="P2008" s="12" t="s">
        <v>109</v>
      </c>
      <c r="Q2008" s="13">
        <v>45321</v>
      </c>
      <c r="R2008" s="13">
        <v>45335</v>
      </c>
      <c r="S2008">
        <v>2024</v>
      </c>
      <c r="T2008" s="12" t="s">
        <v>2513</v>
      </c>
      <c r="U2008">
        <v>28</v>
      </c>
      <c r="V2008">
        <v>202.0669</v>
      </c>
      <c r="W2008">
        <v>61.4</v>
      </c>
      <c r="X2008">
        <v>0</v>
      </c>
      <c r="Y2008">
        <v>0</v>
      </c>
      <c r="Z2008">
        <v>5657.87</v>
      </c>
      <c r="AA2008">
        <v>5719.27</v>
      </c>
      <c r="AB2008" s="12" t="s">
        <v>2723</v>
      </c>
      <c r="AC2008">
        <v>190.43559999999999</v>
      </c>
      <c r="AD2008">
        <v>1</v>
      </c>
      <c r="AE2008">
        <v>1</v>
      </c>
      <c r="AF2008">
        <v>325.68</v>
      </c>
      <c r="AG2008">
        <v>5332.2</v>
      </c>
      <c r="AH2008">
        <v>28</v>
      </c>
      <c r="AI2008">
        <v>28</v>
      </c>
      <c r="AJ2008">
        <v>0</v>
      </c>
      <c r="AK2008">
        <v>1</v>
      </c>
      <c r="AL2008">
        <v>1</v>
      </c>
      <c r="AM2008">
        <v>100</v>
      </c>
      <c r="AN2008">
        <v>204.25980000000001</v>
      </c>
      <c r="AO2008">
        <v>0</v>
      </c>
      <c r="AP2008" s="13">
        <v>45332</v>
      </c>
      <c r="AQ2008">
        <v>-3</v>
      </c>
      <c r="AR2008">
        <v>1</v>
      </c>
    </row>
    <row r="2009" spans="1:44" x14ac:dyDescent="0.35">
      <c r="A2009" s="12" t="s">
        <v>2724</v>
      </c>
      <c r="B2009" s="12" t="s">
        <v>613</v>
      </c>
      <c r="C2009" s="12" t="s">
        <v>614</v>
      </c>
      <c r="D2009" s="12" t="s">
        <v>130</v>
      </c>
      <c r="E2009" s="12" t="s">
        <v>104</v>
      </c>
      <c r="F2009">
        <v>3</v>
      </c>
      <c r="G2009">
        <v>1</v>
      </c>
      <c r="H2009">
        <v>0</v>
      </c>
      <c r="I2009" s="12" t="s">
        <v>66</v>
      </c>
      <c r="J2009" s="12" t="s">
        <v>67</v>
      </c>
      <c r="K2009" s="12" t="s">
        <v>68</v>
      </c>
      <c r="L2009" s="12" t="s">
        <v>69</v>
      </c>
      <c r="M2009">
        <v>17.66</v>
      </c>
      <c r="N2009" s="12" t="s">
        <v>159</v>
      </c>
      <c r="O2009" s="12" t="s">
        <v>160</v>
      </c>
      <c r="P2009" s="12" t="s">
        <v>137</v>
      </c>
      <c r="Q2009" s="13">
        <v>45322</v>
      </c>
      <c r="R2009" s="13">
        <v>45339</v>
      </c>
      <c r="S2009">
        <v>2024</v>
      </c>
      <c r="T2009" s="12" t="s">
        <v>2513</v>
      </c>
      <c r="U2009">
        <v>56</v>
      </c>
      <c r="V2009">
        <v>195.35140000000001</v>
      </c>
      <c r="W2009">
        <v>230.86</v>
      </c>
      <c r="X2009">
        <v>0</v>
      </c>
      <c r="Y2009">
        <v>0</v>
      </c>
      <c r="Z2009">
        <v>10939.68</v>
      </c>
      <c r="AA2009">
        <v>11170.54</v>
      </c>
      <c r="AB2009" s="12" t="s">
        <v>615</v>
      </c>
      <c r="AC2009">
        <v>195.35140000000001</v>
      </c>
      <c r="AD2009">
        <v>1</v>
      </c>
      <c r="AE2009">
        <v>1</v>
      </c>
      <c r="AF2009">
        <v>0</v>
      </c>
      <c r="AG2009">
        <v>10939.68</v>
      </c>
      <c r="AH2009">
        <v>56</v>
      </c>
      <c r="AI2009">
        <v>55</v>
      </c>
      <c r="AJ2009">
        <v>1</v>
      </c>
      <c r="AK2009">
        <v>1</v>
      </c>
      <c r="AL2009">
        <v>1</v>
      </c>
      <c r="AM2009">
        <v>98.21</v>
      </c>
      <c r="AN2009">
        <v>203.10069999999999</v>
      </c>
      <c r="AO2009">
        <v>195.35</v>
      </c>
      <c r="AP2009" s="13">
        <v>45336</v>
      </c>
      <c r="AQ2009">
        <v>-3</v>
      </c>
      <c r="AR2009">
        <v>1</v>
      </c>
    </row>
    <row r="2010" spans="1:44" x14ac:dyDescent="0.35">
      <c r="A2010" s="12" t="s">
        <v>2725</v>
      </c>
      <c r="B2010" s="12" t="s">
        <v>308</v>
      </c>
      <c r="C2010" s="12" t="s">
        <v>309</v>
      </c>
      <c r="D2010" s="12" t="s">
        <v>122</v>
      </c>
      <c r="E2010" s="12" t="s">
        <v>142</v>
      </c>
      <c r="F2010">
        <v>1</v>
      </c>
      <c r="G2010">
        <v>6</v>
      </c>
      <c r="H2010">
        <v>1</v>
      </c>
      <c r="I2010" s="12" t="s">
        <v>310</v>
      </c>
      <c r="J2010" s="12" t="s">
        <v>311</v>
      </c>
      <c r="K2010" s="12" t="s">
        <v>81</v>
      </c>
      <c r="L2010" s="12" t="s">
        <v>69</v>
      </c>
      <c r="M2010">
        <v>28.3</v>
      </c>
      <c r="N2010" s="12" t="s">
        <v>97</v>
      </c>
      <c r="O2010" s="12" t="s">
        <v>98</v>
      </c>
      <c r="P2010" s="12" t="s">
        <v>72</v>
      </c>
      <c r="Q2010" s="13">
        <v>45322</v>
      </c>
      <c r="R2010" s="13">
        <v>45358</v>
      </c>
      <c r="S2010">
        <v>2024</v>
      </c>
      <c r="T2010" s="12" t="s">
        <v>2513</v>
      </c>
      <c r="U2010">
        <v>330</v>
      </c>
      <c r="V2010">
        <v>58.086399999999998</v>
      </c>
      <c r="W2010">
        <v>131.16</v>
      </c>
      <c r="X2010">
        <v>0</v>
      </c>
      <c r="Y2010">
        <v>0</v>
      </c>
      <c r="Z2010">
        <v>19168.509999999998</v>
      </c>
      <c r="AA2010">
        <v>19299.669999999998</v>
      </c>
      <c r="AB2010" s="12" t="s">
        <v>2726</v>
      </c>
      <c r="AC2010">
        <v>58.086399999999998</v>
      </c>
      <c r="AD2010">
        <v>1</v>
      </c>
      <c r="AE2010">
        <v>1</v>
      </c>
      <c r="AF2010">
        <v>0</v>
      </c>
      <c r="AG2010">
        <v>19168.509999999998</v>
      </c>
      <c r="AH2010">
        <v>330</v>
      </c>
      <c r="AI2010">
        <v>328</v>
      </c>
      <c r="AJ2010">
        <v>2</v>
      </c>
      <c r="AK2010">
        <v>1</v>
      </c>
      <c r="AL2010">
        <v>1</v>
      </c>
      <c r="AM2010">
        <v>99.39</v>
      </c>
      <c r="AN2010">
        <v>58.840499999999999</v>
      </c>
      <c r="AO2010">
        <v>116.17</v>
      </c>
      <c r="AP2010" s="13">
        <v>45358</v>
      </c>
      <c r="AQ2010">
        <v>0</v>
      </c>
      <c r="AR2010">
        <v>1</v>
      </c>
    </row>
    <row r="2011" spans="1:44" x14ac:dyDescent="0.35">
      <c r="A2011" s="12" t="s">
        <v>2727</v>
      </c>
      <c r="B2011" s="12" t="s">
        <v>120</v>
      </c>
      <c r="C2011" s="12" t="s">
        <v>121</v>
      </c>
      <c r="D2011" s="12" t="s">
        <v>122</v>
      </c>
      <c r="E2011" s="12" t="s">
        <v>65</v>
      </c>
      <c r="F2011">
        <v>3</v>
      </c>
      <c r="G2011">
        <v>4</v>
      </c>
      <c r="H2011">
        <v>0</v>
      </c>
      <c r="I2011" s="12" t="s">
        <v>123</v>
      </c>
      <c r="J2011" s="12" t="s">
        <v>124</v>
      </c>
      <c r="K2011" s="12" t="s">
        <v>125</v>
      </c>
      <c r="L2011" s="12" t="s">
        <v>82</v>
      </c>
      <c r="M2011">
        <v>6.75</v>
      </c>
      <c r="N2011" s="12" t="s">
        <v>97</v>
      </c>
      <c r="O2011" s="12" t="s">
        <v>98</v>
      </c>
      <c r="P2011" s="12" t="s">
        <v>72</v>
      </c>
      <c r="Q2011" s="13">
        <v>45322</v>
      </c>
      <c r="R2011" s="13">
        <v>45356</v>
      </c>
      <c r="S2011">
        <v>2024</v>
      </c>
      <c r="T2011" s="12" t="s">
        <v>2513</v>
      </c>
      <c r="U2011">
        <v>1560</v>
      </c>
      <c r="V2011">
        <v>53.214500000000001</v>
      </c>
      <c r="W2011">
        <v>1295.4100000000001</v>
      </c>
      <c r="X2011">
        <v>0</v>
      </c>
      <c r="Y2011">
        <v>0</v>
      </c>
      <c r="Z2011">
        <v>83014.62</v>
      </c>
      <c r="AA2011">
        <v>84310.03</v>
      </c>
      <c r="AB2011" s="12" t="s">
        <v>2728</v>
      </c>
      <c r="AC2011">
        <v>53.214500000000001</v>
      </c>
      <c r="AD2011">
        <v>1</v>
      </c>
      <c r="AE2011">
        <v>1</v>
      </c>
      <c r="AF2011">
        <v>0</v>
      </c>
      <c r="AG2011">
        <v>83014.62</v>
      </c>
      <c r="AH2011">
        <v>1560</v>
      </c>
      <c r="AI2011">
        <v>1557</v>
      </c>
      <c r="AJ2011">
        <v>3</v>
      </c>
      <c r="AK2011">
        <v>1</v>
      </c>
      <c r="AL2011">
        <v>1</v>
      </c>
      <c r="AM2011">
        <v>99.81</v>
      </c>
      <c r="AN2011">
        <v>54.149000000000001</v>
      </c>
      <c r="AO2011">
        <v>159.63999999999999</v>
      </c>
      <c r="AP2011" s="13">
        <v>45353</v>
      </c>
      <c r="AQ2011">
        <v>-3</v>
      </c>
      <c r="AR2011">
        <v>1</v>
      </c>
    </row>
    <row r="2012" spans="1:44" x14ac:dyDescent="0.35">
      <c r="A2012" s="12" t="s">
        <v>2729</v>
      </c>
      <c r="B2012" s="12" t="s">
        <v>519</v>
      </c>
      <c r="C2012" s="12" t="s">
        <v>520</v>
      </c>
      <c r="D2012" s="12" t="s">
        <v>78</v>
      </c>
      <c r="E2012" s="12" t="s">
        <v>65</v>
      </c>
      <c r="F2012">
        <v>2</v>
      </c>
      <c r="G2012">
        <v>3</v>
      </c>
      <c r="H2012">
        <v>0</v>
      </c>
      <c r="I2012" s="12" t="s">
        <v>143</v>
      </c>
      <c r="J2012" s="12" t="s">
        <v>144</v>
      </c>
      <c r="K2012" s="12" t="s">
        <v>133</v>
      </c>
      <c r="L2012" s="12" t="s">
        <v>96</v>
      </c>
      <c r="M2012">
        <v>5.43</v>
      </c>
      <c r="N2012" s="12" t="s">
        <v>70</v>
      </c>
      <c r="O2012" s="12" t="s">
        <v>71</v>
      </c>
      <c r="P2012" s="12" t="s">
        <v>72</v>
      </c>
      <c r="Q2012" s="13">
        <v>45322</v>
      </c>
      <c r="R2012" s="13">
        <v>45354</v>
      </c>
      <c r="S2012">
        <v>2024</v>
      </c>
      <c r="T2012" s="12" t="s">
        <v>2513</v>
      </c>
      <c r="U2012">
        <v>210</v>
      </c>
      <c r="V2012">
        <v>31.7883</v>
      </c>
      <c r="W2012">
        <v>71.53</v>
      </c>
      <c r="X2012">
        <v>0</v>
      </c>
      <c r="Y2012">
        <v>0</v>
      </c>
      <c r="Z2012">
        <v>6675.54</v>
      </c>
      <c r="AA2012">
        <v>6747.07</v>
      </c>
      <c r="AB2012" s="12" t="s">
        <v>1154</v>
      </c>
      <c r="AC2012">
        <v>31.7883</v>
      </c>
      <c r="AD2012">
        <v>1</v>
      </c>
      <c r="AE2012">
        <v>1</v>
      </c>
      <c r="AF2012">
        <v>0</v>
      </c>
      <c r="AG2012">
        <v>6675.54</v>
      </c>
      <c r="AH2012">
        <v>210</v>
      </c>
      <c r="AI2012">
        <v>209</v>
      </c>
      <c r="AJ2012">
        <v>1</v>
      </c>
      <c r="AK2012">
        <v>1</v>
      </c>
      <c r="AL2012">
        <v>1</v>
      </c>
      <c r="AM2012">
        <v>99.52</v>
      </c>
      <c r="AN2012">
        <v>32.282600000000002</v>
      </c>
      <c r="AO2012">
        <v>31.79</v>
      </c>
      <c r="AP2012" s="13">
        <v>45354</v>
      </c>
      <c r="AQ2012">
        <v>0</v>
      </c>
      <c r="AR2012">
        <v>1</v>
      </c>
    </row>
    <row r="2013" spans="1:44" x14ac:dyDescent="0.35">
      <c r="A2013" s="12" t="s">
        <v>2730</v>
      </c>
      <c r="B2013" s="12" t="s">
        <v>621</v>
      </c>
      <c r="C2013" s="12" t="s">
        <v>622</v>
      </c>
      <c r="D2013" s="12" t="s">
        <v>103</v>
      </c>
      <c r="E2013" s="12" t="s">
        <v>65</v>
      </c>
      <c r="F2013">
        <v>1</v>
      </c>
      <c r="G2013">
        <v>2</v>
      </c>
      <c r="H2013">
        <v>1</v>
      </c>
      <c r="I2013" s="12" t="s">
        <v>486</v>
      </c>
      <c r="J2013" s="12" t="s">
        <v>487</v>
      </c>
      <c r="K2013" s="12" t="s">
        <v>125</v>
      </c>
      <c r="L2013" s="12" t="s">
        <v>69</v>
      </c>
      <c r="M2013">
        <v>36.86</v>
      </c>
      <c r="N2013" s="12" t="s">
        <v>107</v>
      </c>
      <c r="O2013" s="12" t="s">
        <v>108</v>
      </c>
      <c r="P2013" s="12" t="s">
        <v>109</v>
      </c>
      <c r="Q2013" s="13">
        <v>45322</v>
      </c>
      <c r="R2013" s="13">
        <v>45344</v>
      </c>
      <c r="S2013">
        <v>2024</v>
      </c>
      <c r="T2013" s="12" t="s">
        <v>2513</v>
      </c>
      <c r="U2013">
        <v>23</v>
      </c>
      <c r="V2013">
        <v>201.08609999999999</v>
      </c>
      <c r="W2013">
        <v>77.900000000000006</v>
      </c>
      <c r="X2013">
        <v>0</v>
      </c>
      <c r="Y2013">
        <v>0</v>
      </c>
      <c r="Z2013">
        <v>4624.9799999999996</v>
      </c>
      <c r="AA2013">
        <v>4702.88</v>
      </c>
      <c r="AB2013" s="12" t="s">
        <v>2658</v>
      </c>
      <c r="AC2013">
        <v>201.08609999999999</v>
      </c>
      <c r="AD2013">
        <v>1</v>
      </c>
      <c r="AE2013">
        <v>1</v>
      </c>
      <c r="AF2013">
        <v>0</v>
      </c>
      <c r="AG2013">
        <v>4624.9799999999996</v>
      </c>
      <c r="AH2013">
        <v>23</v>
      </c>
      <c r="AI2013">
        <v>23</v>
      </c>
      <c r="AJ2013">
        <v>0</v>
      </c>
      <c r="AK2013">
        <v>1</v>
      </c>
      <c r="AL2013">
        <v>1</v>
      </c>
      <c r="AM2013">
        <v>100</v>
      </c>
      <c r="AN2013">
        <v>204.47309999999999</v>
      </c>
      <c r="AO2013">
        <v>0</v>
      </c>
      <c r="AP2013" s="13">
        <v>45343</v>
      </c>
      <c r="AQ2013">
        <v>-1</v>
      </c>
      <c r="AR2013">
        <v>1</v>
      </c>
    </row>
    <row r="2014" spans="1:44" x14ac:dyDescent="0.35">
      <c r="A2014" s="12" t="s">
        <v>2731</v>
      </c>
      <c r="B2014" s="12" t="s">
        <v>331</v>
      </c>
      <c r="C2014" s="12" t="s">
        <v>332</v>
      </c>
      <c r="D2014" s="12" t="s">
        <v>122</v>
      </c>
      <c r="E2014" s="12" t="s">
        <v>142</v>
      </c>
      <c r="F2014">
        <v>3</v>
      </c>
      <c r="G2014">
        <v>11</v>
      </c>
      <c r="H2014">
        <v>0</v>
      </c>
      <c r="I2014" s="12" t="s">
        <v>263</v>
      </c>
      <c r="J2014" s="12" t="s">
        <v>264</v>
      </c>
      <c r="K2014" s="12" t="s">
        <v>125</v>
      </c>
      <c r="L2014" s="12" t="s">
        <v>82</v>
      </c>
      <c r="M2014">
        <v>10.210000000000001</v>
      </c>
      <c r="N2014" s="12" t="s">
        <v>97</v>
      </c>
      <c r="O2014" s="12" t="s">
        <v>98</v>
      </c>
      <c r="P2014" s="12" t="s">
        <v>72</v>
      </c>
      <c r="Q2014" s="13">
        <v>45322</v>
      </c>
      <c r="R2014" s="13">
        <v>45371</v>
      </c>
      <c r="S2014">
        <v>2024</v>
      </c>
      <c r="T2014" s="12" t="s">
        <v>2513</v>
      </c>
      <c r="U2014">
        <v>1638</v>
      </c>
      <c r="V2014">
        <v>24.008700000000001</v>
      </c>
      <c r="W2014">
        <v>250.16</v>
      </c>
      <c r="X2014">
        <v>0</v>
      </c>
      <c r="Y2014">
        <v>0</v>
      </c>
      <c r="Z2014">
        <v>39326.25</v>
      </c>
      <c r="AA2014">
        <v>39576.410000000003</v>
      </c>
      <c r="AB2014" s="12" t="s">
        <v>2732</v>
      </c>
      <c r="AC2014">
        <v>24.008700000000001</v>
      </c>
      <c r="AD2014">
        <v>1</v>
      </c>
      <c r="AE2014">
        <v>1</v>
      </c>
      <c r="AF2014">
        <v>0</v>
      </c>
      <c r="AG2014">
        <v>39326.25</v>
      </c>
      <c r="AH2014">
        <v>1638</v>
      </c>
      <c r="AI2014">
        <v>1625</v>
      </c>
      <c r="AJ2014">
        <v>13</v>
      </c>
      <c r="AK2014">
        <v>1</v>
      </c>
      <c r="AL2014">
        <v>1</v>
      </c>
      <c r="AM2014">
        <v>99.21</v>
      </c>
      <c r="AN2014">
        <v>24.354700000000001</v>
      </c>
      <c r="AO2014">
        <v>312.11</v>
      </c>
      <c r="AP2014" s="13">
        <v>45375</v>
      </c>
      <c r="AQ2014">
        <v>4</v>
      </c>
      <c r="AR2014">
        <v>0</v>
      </c>
    </row>
    <row r="2015" spans="1:44" x14ac:dyDescent="0.35">
      <c r="A2015" s="12" t="s">
        <v>2733</v>
      </c>
      <c r="B2015" s="12" t="s">
        <v>1666</v>
      </c>
      <c r="C2015" s="12" t="s">
        <v>1667</v>
      </c>
      <c r="D2015" s="12" t="s">
        <v>78</v>
      </c>
      <c r="E2015" s="12" t="s">
        <v>65</v>
      </c>
      <c r="F2015">
        <v>2</v>
      </c>
      <c r="G2015">
        <v>3</v>
      </c>
      <c r="H2015">
        <v>0</v>
      </c>
      <c r="I2015" s="12" t="s">
        <v>310</v>
      </c>
      <c r="J2015" s="12" t="s">
        <v>311</v>
      </c>
      <c r="K2015" s="12" t="s">
        <v>81</v>
      </c>
      <c r="L2015" s="12" t="s">
        <v>69</v>
      </c>
      <c r="M2015">
        <v>28.3</v>
      </c>
      <c r="N2015" s="12" t="s">
        <v>70</v>
      </c>
      <c r="O2015" s="12" t="s">
        <v>71</v>
      </c>
      <c r="P2015" s="12" t="s">
        <v>72</v>
      </c>
      <c r="Q2015" s="13">
        <v>45322</v>
      </c>
      <c r="R2015" s="13">
        <v>45358</v>
      </c>
      <c r="S2015">
        <v>2024</v>
      </c>
      <c r="T2015" s="12" t="s">
        <v>2513</v>
      </c>
      <c r="U2015">
        <v>258</v>
      </c>
      <c r="V2015">
        <v>75.122299999999996</v>
      </c>
      <c r="W2015">
        <v>232.81</v>
      </c>
      <c r="X2015">
        <v>0</v>
      </c>
      <c r="Y2015">
        <v>0</v>
      </c>
      <c r="Z2015">
        <v>19381.55</v>
      </c>
      <c r="AA2015">
        <v>19614.36</v>
      </c>
      <c r="AB2015" s="12" t="s">
        <v>1668</v>
      </c>
      <c r="AC2015">
        <v>75.122299999999996</v>
      </c>
      <c r="AD2015">
        <v>1</v>
      </c>
      <c r="AE2015">
        <v>1</v>
      </c>
      <c r="AF2015">
        <v>0</v>
      </c>
      <c r="AG2015">
        <v>19381.55</v>
      </c>
      <c r="AH2015">
        <v>258</v>
      </c>
      <c r="AI2015">
        <v>255</v>
      </c>
      <c r="AJ2015">
        <v>3</v>
      </c>
      <c r="AK2015">
        <v>1</v>
      </c>
      <c r="AL2015">
        <v>1</v>
      </c>
      <c r="AM2015">
        <v>98.84</v>
      </c>
      <c r="AN2015">
        <v>76.9191</v>
      </c>
      <c r="AO2015">
        <v>225.37</v>
      </c>
      <c r="AP2015" s="13">
        <v>45355</v>
      </c>
      <c r="AQ2015">
        <v>-3</v>
      </c>
      <c r="AR2015">
        <v>1</v>
      </c>
    </row>
    <row r="2016" spans="1:44" x14ac:dyDescent="0.35">
      <c r="A2016" s="12" t="s">
        <v>2734</v>
      </c>
      <c r="B2016" s="12" t="s">
        <v>732</v>
      </c>
      <c r="C2016" s="12" t="s">
        <v>733</v>
      </c>
      <c r="D2016" s="12" t="s">
        <v>114</v>
      </c>
      <c r="E2016" s="12" t="s">
        <v>104</v>
      </c>
      <c r="F2016">
        <v>3</v>
      </c>
      <c r="G2016">
        <v>1</v>
      </c>
      <c r="H2016">
        <v>0</v>
      </c>
      <c r="I2016" s="12" t="s">
        <v>199</v>
      </c>
      <c r="J2016" s="12" t="s">
        <v>200</v>
      </c>
      <c r="K2016" s="12" t="s">
        <v>68</v>
      </c>
      <c r="L2016" s="12" t="s">
        <v>96</v>
      </c>
      <c r="M2016">
        <v>9.4700000000000006</v>
      </c>
      <c r="N2016" s="12" t="s">
        <v>70</v>
      </c>
      <c r="O2016" s="12" t="s">
        <v>71</v>
      </c>
      <c r="P2016" s="12" t="s">
        <v>72</v>
      </c>
      <c r="Q2016" s="13">
        <v>45322</v>
      </c>
      <c r="R2016" s="13">
        <v>45349</v>
      </c>
      <c r="S2016">
        <v>2024</v>
      </c>
      <c r="T2016" s="12" t="s">
        <v>2513</v>
      </c>
      <c r="U2016">
        <v>128</v>
      </c>
      <c r="V2016">
        <v>314.15269999999998</v>
      </c>
      <c r="W2016">
        <v>368.15</v>
      </c>
      <c r="X2016">
        <v>0</v>
      </c>
      <c r="Y2016">
        <v>0</v>
      </c>
      <c r="Z2016">
        <v>40211.550000000003</v>
      </c>
      <c r="AA2016">
        <v>40579.699999999997</v>
      </c>
      <c r="AB2016" s="12" t="s">
        <v>734</v>
      </c>
      <c r="AC2016">
        <v>314.15269999999998</v>
      </c>
      <c r="AD2016">
        <v>1</v>
      </c>
      <c r="AE2016">
        <v>1</v>
      </c>
      <c r="AF2016">
        <v>0</v>
      </c>
      <c r="AG2016">
        <v>40211.550000000003</v>
      </c>
      <c r="AH2016">
        <v>128</v>
      </c>
      <c r="AI2016">
        <v>127</v>
      </c>
      <c r="AJ2016">
        <v>1</v>
      </c>
      <c r="AK2016">
        <v>1</v>
      </c>
      <c r="AL2016">
        <v>1</v>
      </c>
      <c r="AM2016">
        <v>99.22</v>
      </c>
      <c r="AN2016">
        <v>319.52519999999998</v>
      </c>
      <c r="AO2016">
        <v>314.14999999999998</v>
      </c>
      <c r="AP2016" s="13">
        <v>45346</v>
      </c>
      <c r="AQ2016">
        <v>-3</v>
      </c>
      <c r="AR2016">
        <v>1</v>
      </c>
    </row>
    <row r="2017" spans="1:44" x14ac:dyDescent="0.35">
      <c r="A2017" s="12" t="s">
        <v>2735</v>
      </c>
      <c r="B2017" s="12" t="s">
        <v>661</v>
      </c>
      <c r="C2017" s="12" t="s">
        <v>662</v>
      </c>
      <c r="D2017" s="12" t="s">
        <v>175</v>
      </c>
      <c r="E2017" s="12" t="s">
        <v>104</v>
      </c>
      <c r="F2017">
        <v>1</v>
      </c>
      <c r="G2017">
        <v>0</v>
      </c>
      <c r="H2017">
        <v>1</v>
      </c>
      <c r="I2017" s="12" t="s">
        <v>183</v>
      </c>
      <c r="J2017" s="12" t="s">
        <v>184</v>
      </c>
      <c r="K2017" s="12" t="s">
        <v>133</v>
      </c>
      <c r="L2017" s="12" t="s">
        <v>82</v>
      </c>
      <c r="M2017">
        <v>8.6199999999999992</v>
      </c>
      <c r="N2017" s="12" t="s">
        <v>107</v>
      </c>
      <c r="O2017" s="12" t="s">
        <v>108</v>
      </c>
      <c r="P2017" s="12" t="s">
        <v>109</v>
      </c>
      <c r="Q2017" s="13">
        <v>45322</v>
      </c>
      <c r="R2017" s="13">
        <v>45334</v>
      </c>
      <c r="S2017">
        <v>2024</v>
      </c>
      <c r="T2017" s="12" t="s">
        <v>2513</v>
      </c>
      <c r="U2017">
        <v>11</v>
      </c>
      <c r="V2017">
        <v>194.86689999999999</v>
      </c>
      <c r="W2017">
        <v>53.29</v>
      </c>
      <c r="X2017">
        <v>0</v>
      </c>
      <c r="Y2017">
        <v>0</v>
      </c>
      <c r="Z2017">
        <v>2143.54</v>
      </c>
      <c r="AA2017">
        <v>2196.83</v>
      </c>
      <c r="AB2017" s="12" t="s">
        <v>663</v>
      </c>
      <c r="AC2017">
        <v>201.68719999999999</v>
      </c>
      <c r="AD2017">
        <v>2</v>
      </c>
      <c r="AE2017">
        <v>1</v>
      </c>
      <c r="AF2017">
        <v>-75.02</v>
      </c>
      <c r="AG2017">
        <v>2218.56</v>
      </c>
      <c r="AH2017">
        <v>11</v>
      </c>
      <c r="AI2017">
        <v>11</v>
      </c>
      <c r="AJ2017">
        <v>0</v>
      </c>
      <c r="AK2017">
        <v>1</v>
      </c>
      <c r="AL2017">
        <v>1</v>
      </c>
      <c r="AM2017">
        <v>100</v>
      </c>
      <c r="AN2017">
        <v>199.7114</v>
      </c>
      <c r="AO2017">
        <v>0</v>
      </c>
      <c r="AP2017" s="13">
        <v>45336</v>
      </c>
      <c r="AQ2017">
        <v>2</v>
      </c>
      <c r="AR2017">
        <v>0</v>
      </c>
    </row>
    <row r="2018" spans="1:44" x14ac:dyDescent="0.35">
      <c r="A2018" s="12" t="s">
        <v>2736</v>
      </c>
      <c r="B2018" s="12" t="s">
        <v>458</v>
      </c>
      <c r="C2018" s="12" t="s">
        <v>459</v>
      </c>
      <c r="D2018" s="12" t="s">
        <v>64</v>
      </c>
      <c r="E2018" s="12" t="s">
        <v>104</v>
      </c>
      <c r="F2018">
        <v>2</v>
      </c>
      <c r="G2018">
        <v>0</v>
      </c>
      <c r="H2018">
        <v>0</v>
      </c>
      <c r="I2018" s="12" t="s">
        <v>199</v>
      </c>
      <c r="J2018" s="12" t="s">
        <v>200</v>
      </c>
      <c r="K2018" s="12" t="s">
        <v>68</v>
      </c>
      <c r="L2018" s="12" t="s">
        <v>96</v>
      </c>
      <c r="M2018">
        <v>9.4700000000000006</v>
      </c>
      <c r="N2018" s="12" t="s">
        <v>97</v>
      </c>
      <c r="O2018" s="12" t="s">
        <v>98</v>
      </c>
      <c r="P2018" s="12" t="s">
        <v>72</v>
      </c>
      <c r="Q2018" s="13">
        <v>45322</v>
      </c>
      <c r="R2018" s="13">
        <v>45335</v>
      </c>
      <c r="S2018">
        <v>2024</v>
      </c>
      <c r="T2018" s="12" t="s">
        <v>2513</v>
      </c>
      <c r="U2018">
        <v>176</v>
      </c>
      <c r="V2018">
        <v>24.782299999999999</v>
      </c>
      <c r="W2018">
        <v>37.1</v>
      </c>
      <c r="X2018">
        <v>0</v>
      </c>
      <c r="Y2018">
        <v>0</v>
      </c>
      <c r="Z2018">
        <v>4361.68</v>
      </c>
      <c r="AA2018">
        <v>4398.78</v>
      </c>
      <c r="AB2018" s="12" t="s">
        <v>460</v>
      </c>
      <c r="AC2018">
        <v>24.782299999999999</v>
      </c>
      <c r="AD2018">
        <v>1</v>
      </c>
      <c r="AE2018">
        <v>1</v>
      </c>
      <c r="AF2018">
        <v>0</v>
      </c>
      <c r="AG2018">
        <v>4361.68</v>
      </c>
      <c r="AH2018">
        <v>176</v>
      </c>
      <c r="AI2018">
        <v>173</v>
      </c>
      <c r="AJ2018">
        <v>3</v>
      </c>
      <c r="AK2018">
        <v>1</v>
      </c>
      <c r="AL2018">
        <v>1</v>
      </c>
      <c r="AM2018">
        <v>98.3</v>
      </c>
      <c r="AN2018">
        <v>25.426500000000001</v>
      </c>
      <c r="AO2018">
        <v>74.349999999999994</v>
      </c>
      <c r="AP2018" s="13">
        <v>45335</v>
      </c>
      <c r="AQ2018">
        <v>0</v>
      </c>
      <c r="AR2018">
        <v>1</v>
      </c>
    </row>
    <row r="2019" spans="1:44" x14ac:dyDescent="0.35">
      <c r="A2019" s="12" t="s">
        <v>2737</v>
      </c>
      <c r="B2019" s="12" t="s">
        <v>289</v>
      </c>
      <c r="C2019" s="12" t="s">
        <v>290</v>
      </c>
      <c r="D2019" s="12" t="s">
        <v>175</v>
      </c>
      <c r="E2019" s="12" t="s">
        <v>104</v>
      </c>
      <c r="F2019">
        <v>3</v>
      </c>
      <c r="G2019">
        <v>1</v>
      </c>
      <c r="H2019">
        <v>0</v>
      </c>
      <c r="I2019" s="12" t="s">
        <v>157</v>
      </c>
      <c r="J2019" s="12" t="s">
        <v>158</v>
      </c>
      <c r="K2019" s="12" t="s">
        <v>117</v>
      </c>
      <c r="L2019" s="12" t="s">
        <v>96</v>
      </c>
      <c r="M2019">
        <v>4.72</v>
      </c>
      <c r="N2019" s="12" t="s">
        <v>145</v>
      </c>
      <c r="O2019" s="12" t="s">
        <v>146</v>
      </c>
      <c r="P2019" s="12" t="s">
        <v>109</v>
      </c>
      <c r="Q2019" s="13">
        <v>45322</v>
      </c>
      <c r="R2019" s="13">
        <v>45346</v>
      </c>
      <c r="S2019">
        <v>2024</v>
      </c>
      <c r="T2019" s="12" t="s">
        <v>2513</v>
      </c>
      <c r="U2019">
        <v>105</v>
      </c>
      <c r="V2019">
        <v>184.24529999999999</v>
      </c>
      <c r="W2019">
        <v>419.11</v>
      </c>
      <c r="X2019">
        <v>0</v>
      </c>
      <c r="Y2019">
        <v>0</v>
      </c>
      <c r="Z2019">
        <v>19345.759999999998</v>
      </c>
      <c r="AA2019">
        <v>19764.87</v>
      </c>
      <c r="AB2019" s="12" t="s">
        <v>2676</v>
      </c>
      <c r="AC2019">
        <v>184.24529999999999</v>
      </c>
      <c r="AD2019">
        <v>1</v>
      </c>
      <c r="AE2019">
        <v>1</v>
      </c>
      <c r="AF2019">
        <v>0</v>
      </c>
      <c r="AG2019">
        <v>19345.759999999998</v>
      </c>
      <c r="AH2019">
        <v>105</v>
      </c>
      <c r="AI2019">
        <v>104</v>
      </c>
      <c r="AJ2019">
        <v>1</v>
      </c>
      <c r="AK2019">
        <v>1</v>
      </c>
      <c r="AL2019">
        <v>1</v>
      </c>
      <c r="AM2019">
        <v>99.05</v>
      </c>
      <c r="AN2019">
        <v>190.04679999999999</v>
      </c>
      <c r="AO2019">
        <v>184.25</v>
      </c>
      <c r="AP2019" s="13">
        <v>45343</v>
      </c>
      <c r="AQ2019">
        <v>-3</v>
      </c>
      <c r="AR2019">
        <v>1</v>
      </c>
    </row>
    <row r="2020" spans="1:44" x14ac:dyDescent="0.35">
      <c r="A2020" s="12" t="s">
        <v>2738</v>
      </c>
      <c r="B2020" s="12" t="s">
        <v>736</v>
      </c>
      <c r="C2020" s="12" t="s">
        <v>737</v>
      </c>
      <c r="D2020" s="12" t="s">
        <v>64</v>
      </c>
      <c r="E2020" s="12" t="s">
        <v>104</v>
      </c>
      <c r="F2020">
        <v>3</v>
      </c>
      <c r="G2020">
        <v>1</v>
      </c>
      <c r="H2020">
        <v>0</v>
      </c>
      <c r="I2020" s="12" t="s">
        <v>115</v>
      </c>
      <c r="J2020" s="12" t="s">
        <v>116</v>
      </c>
      <c r="K2020" s="12" t="s">
        <v>117</v>
      </c>
      <c r="L2020" s="12" t="s">
        <v>82</v>
      </c>
      <c r="M2020">
        <v>17.170000000000002</v>
      </c>
      <c r="N2020" s="12" t="s">
        <v>97</v>
      </c>
      <c r="O2020" s="12" t="s">
        <v>98</v>
      </c>
      <c r="P2020" s="12" t="s">
        <v>72</v>
      </c>
      <c r="Q2020" s="13">
        <v>45322</v>
      </c>
      <c r="R2020" s="13">
        <v>45350</v>
      </c>
      <c r="S2020">
        <v>2024</v>
      </c>
      <c r="T2020" s="12" t="s">
        <v>2513</v>
      </c>
      <c r="U2020">
        <v>908</v>
      </c>
      <c r="V2020">
        <v>24.696300000000001</v>
      </c>
      <c r="W2020">
        <v>406.34</v>
      </c>
      <c r="X2020">
        <v>0</v>
      </c>
      <c r="Y2020">
        <v>0</v>
      </c>
      <c r="Z2020">
        <v>22424.240000000002</v>
      </c>
      <c r="AA2020">
        <v>22830.58</v>
      </c>
      <c r="AB2020" s="12" t="s">
        <v>2423</v>
      </c>
      <c r="AC2020">
        <v>24.696300000000001</v>
      </c>
      <c r="AD2020">
        <v>1</v>
      </c>
      <c r="AE2020">
        <v>1</v>
      </c>
      <c r="AF2020">
        <v>0</v>
      </c>
      <c r="AG2020">
        <v>22424.240000000002</v>
      </c>
      <c r="AH2020">
        <v>908</v>
      </c>
      <c r="AI2020">
        <v>898</v>
      </c>
      <c r="AJ2020">
        <v>10</v>
      </c>
      <c r="AK2020">
        <v>1</v>
      </c>
      <c r="AL2020">
        <v>1</v>
      </c>
      <c r="AM2020">
        <v>98.9</v>
      </c>
      <c r="AN2020">
        <v>25.4238</v>
      </c>
      <c r="AO2020">
        <v>246.96</v>
      </c>
      <c r="AP2020" s="13">
        <v>45349</v>
      </c>
      <c r="AQ2020">
        <v>-1</v>
      </c>
      <c r="AR2020">
        <v>1</v>
      </c>
    </row>
    <row r="2021" spans="1:44" x14ac:dyDescent="0.35">
      <c r="A2021" s="12" t="s">
        <v>2739</v>
      </c>
      <c r="B2021" s="12" t="s">
        <v>837</v>
      </c>
      <c r="C2021" s="12" t="s">
        <v>838</v>
      </c>
      <c r="D2021" s="12" t="s">
        <v>114</v>
      </c>
      <c r="E2021" s="12" t="s">
        <v>104</v>
      </c>
      <c r="F2021">
        <v>2</v>
      </c>
      <c r="G2021">
        <v>0</v>
      </c>
      <c r="H2021">
        <v>0</v>
      </c>
      <c r="I2021" s="12" t="s">
        <v>199</v>
      </c>
      <c r="J2021" s="12" t="s">
        <v>200</v>
      </c>
      <c r="K2021" s="12" t="s">
        <v>68</v>
      </c>
      <c r="L2021" s="12" t="s">
        <v>96</v>
      </c>
      <c r="M2021">
        <v>9.4700000000000006</v>
      </c>
      <c r="N2021" s="12" t="s">
        <v>70</v>
      </c>
      <c r="O2021" s="12" t="s">
        <v>71</v>
      </c>
      <c r="P2021" s="12" t="s">
        <v>72</v>
      </c>
      <c r="Q2021" s="13">
        <v>45323</v>
      </c>
      <c r="R2021" s="13">
        <v>45336</v>
      </c>
      <c r="S2021">
        <v>2024</v>
      </c>
      <c r="T2021" s="12" t="s">
        <v>2740</v>
      </c>
      <c r="U2021">
        <v>25</v>
      </c>
      <c r="V2021">
        <v>66.924400000000006</v>
      </c>
      <c r="W2021">
        <v>26.64</v>
      </c>
      <c r="X2021">
        <v>0</v>
      </c>
      <c r="Y2021">
        <v>0</v>
      </c>
      <c r="Z2021">
        <v>1673.11</v>
      </c>
      <c r="AA2021">
        <v>1699.75</v>
      </c>
      <c r="AB2021" s="12" t="s">
        <v>839</v>
      </c>
      <c r="AC2021">
        <v>71.121200000000002</v>
      </c>
      <c r="AD2021">
        <v>1</v>
      </c>
      <c r="AE2021">
        <v>1</v>
      </c>
      <c r="AF2021">
        <v>-104.92</v>
      </c>
      <c r="AG2021">
        <v>1778.03</v>
      </c>
      <c r="AH2021">
        <v>25</v>
      </c>
      <c r="AI2021">
        <v>25</v>
      </c>
      <c r="AJ2021">
        <v>0</v>
      </c>
      <c r="AK2021">
        <v>1</v>
      </c>
      <c r="AL2021">
        <v>1</v>
      </c>
      <c r="AM2021">
        <v>100</v>
      </c>
      <c r="AN2021">
        <v>67.989999999999995</v>
      </c>
      <c r="AO2021">
        <v>0</v>
      </c>
      <c r="AP2021" s="13">
        <v>45333</v>
      </c>
      <c r="AQ2021">
        <v>-3</v>
      </c>
      <c r="AR2021">
        <v>1</v>
      </c>
    </row>
    <row r="2022" spans="1:44" x14ac:dyDescent="0.35">
      <c r="A2022" s="12" t="s">
        <v>2741</v>
      </c>
      <c r="B2022" s="12" t="s">
        <v>395</v>
      </c>
      <c r="C2022" s="12" t="s">
        <v>396</v>
      </c>
      <c r="D2022" s="12" t="s">
        <v>130</v>
      </c>
      <c r="E2022" s="12" t="s">
        <v>104</v>
      </c>
      <c r="F2022">
        <v>3</v>
      </c>
      <c r="G2022">
        <v>1</v>
      </c>
      <c r="H2022">
        <v>0</v>
      </c>
      <c r="I2022" s="12" t="s">
        <v>341</v>
      </c>
      <c r="J2022" s="12" t="s">
        <v>342</v>
      </c>
      <c r="K2022" s="12" t="s">
        <v>117</v>
      </c>
      <c r="L2022" s="12" t="s">
        <v>82</v>
      </c>
      <c r="M2022">
        <v>18.36</v>
      </c>
      <c r="N2022" s="12" t="s">
        <v>135</v>
      </c>
      <c r="O2022" s="12" t="s">
        <v>136</v>
      </c>
      <c r="P2022" s="12" t="s">
        <v>137</v>
      </c>
      <c r="Q2022" s="13">
        <v>45323</v>
      </c>
      <c r="R2022" s="13">
        <v>45338</v>
      </c>
      <c r="S2022">
        <v>2024</v>
      </c>
      <c r="T2022" s="12" t="s">
        <v>2740</v>
      </c>
      <c r="U2022">
        <v>36</v>
      </c>
      <c r="V2022">
        <v>174.20429999999999</v>
      </c>
      <c r="W2022">
        <v>66.349999999999994</v>
      </c>
      <c r="X2022">
        <v>0</v>
      </c>
      <c r="Y2022">
        <v>0</v>
      </c>
      <c r="Z2022">
        <v>6271.35</v>
      </c>
      <c r="AA2022">
        <v>6337.7</v>
      </c>
      <c r="AB2022" s="12" t="s">
        <v>2742</v>
      </c>
      <c r="AC2022">
        <v>174.20429999999999</v>
      </c>
      <c r="AD2022">
        <v>1</v>
      </c>
      <c r="AE2022">
        <v>1</v>
      </c>
      <c r="AF2022">
        <v>0</v>
      </c>
      <c r="AG2022">
        <v>6271.35</v>
      </c>
      <c r="AH2022">
        <v>36</v>
      </c>
      <c r="AI2022">
        <v>36</v>
      </c>
      <c r="AJ2022">
        <v>0</v>
      </c>
      <c r="AK2022">
        <v>1</v>
      </c>
      <c r="AL2022">
        <v>1</v>
      </c>
      <c r="AM2022">
        <v>100</v>
      </c>
      <c r="AN2022">
        <v>176.04740000000001</v>
      </c>
      <c r="AO2022">
        <v>0</v>
      </c>
      <c r="AP2022" s="13">
        <v>45336</v>
      </c>
      <c r="AQ2022">
        <v>-2</v>
      </c>
      <c r="AR2022">
        <v>1</v>
      </c>
    </row>
    <row r="2023" spans="1:44" x14ac:dyDescent="0.35">
      <c r="A2023" s="12" t="s">
        <v>2743</v>
      </c>
      <c r="B2023" s="12" t="s">
        <v>694</v>
      </c>
      <c r="C2023" s="12" t="s">
        <v>695</v>
      </c>
      <c r="D2023" s="12" t="s">
        <v>103</v>
      </c>
      <c r="E2023" s="12" t="s">
        <v>65</v>
      </c>
      <c r="F2023">
        <v>2</v>
      </c>
      <c r="G2023">
        <v>3</v>
      </c>
      <c r="H2023">
        <v>0</v>
      </c>
      <c r="I2023" s="12" t="s">
        <v>263</v>
      </c>
      <c r="J2023" s="12" t="s">
        <v>264</v>
      </c>
      <c r="K2023" s="12" t="s">
        <v>125</v>
      </c>
      <c r="L2023" s="12" t="s">
        <v>82</v>
      </c>
      <c r="M2023">
        <v>10.210000000000001</v>
      </c>
      <c r="N2023" s="12" t="s">
        <v>107</v>
      </c>
      <c r="O2023" s="12" t="s">
        <v>108</v>
      </c>
      <c r="P2023" s="12" t="s">
        <v>109</v>
      </c>
      <c r="Q2023" s="13">
        <v>45323</v>
      </c>
      <c r="R2023" s="13">
        <v>45352</v>
      </c>
      <c r="S2023">
        <v>2024</v>
      </c>
      <c r="T2023" s="12" t="s">
        <v>2740</v>
      </c>
      <c r="U2023">
        <v>73</v>
      </c>
      <c r="V2023">
        <v>222.62729999999999</v>
      </c>
      <c r="W2023">
        <v>174.12</v>
      </c>
      <c r="X2023">
        <v>0</v>
      </c>
      <c r="Y2023">
        <v>0</v>
      </c>
      <c r="Z2023">
        <v>16251.79</v>
      </c>
      <c r="AA2023">
        <v>16425.91</v>
      </c>
      <c r="AB2023" s="12" t="s">
        <v>696</v>
      </c>
      <c r="AC2023">
        <v>215.60980000000001</v>
      </c>
      <c r="AD2023">
        <v>1</v>
      </c>
      <c r="AE2023">
        <v>1</v>
      </c>
      <c r="AF2023">
        <v>512.28</v>
      </c>
      <c r="AG2023">
        <v>15739.52</v>
      </c>
      <c r="AH2023">
        <v>73</v>
      </c>
      <c r="AI2023">
        <v>73</v>
      </c>
      <c r="AJ2023">
        <v>0</v>
      </c>
      <c r="AK2023">
        <v>1</v>
      </c>
      <c r="AL2023">
        <v>1</v>
      </c>
      <c r="AM2023">
        <v>100</v>
      </c>
      <c r="AN2023">
        <v>225.01249999999999</v>
      </c>
      <c r="AO2023">
        <v>0</v>
      </c>
      <c r="AP2023" s="13">
        <v>45351</v>
      </c>
      <c r="AQ2023">
        <v>-1</v>
      </c>
      <c r="AR2023">
        <v>1</v>
      </c>
    </row>
    <row r="2024" spans="1:44" x14ac:dyDescent="0.35">
      <c r="A2024" s="12" t="s">
        <v>2744</v>
      </c>
      <c r="B2024" s="12" t="s">
        <v>62</v>
      </c>
      <c r="C2024" s="12" t="s">
        <v>63</v>
      </c>
      <c r="D2024" s="12" t="s">
        <v>64</v>
      </c>
      <c r="E2024" s="12" t="s">
        <v>65</v>
      </c>
      <c r="F2024">
        <v>1</v>
      </c>
      <c r="G2024">
        <v>2</v>
      </c>
      <c r="H2024">
        <v>1</v>
      </c>
      <c r="I2024" s="12" t="s">
        <v>66</v>
      </c>
      <c r="J2024" s="12" t="s">
        <v>67</v>
      </c>
      <c r="K2024" s="12" t="s">
        <v>68</v>
      </c>
      <c r="L2024" s="12" t="s">
        <v>69</v>
      </c>
      <c r="M2024">
        <v>17.66</v>
      </c>
      <c r="N2024" s="12" t="s">
        <v>97</v>
      </c>
      <c r="O2024" s="12" t="s">
        <v>98</v>
      </c>
      <c r="P2024" s="12" t="s">
        <v>72</v>
      </c>
      <c r="Q2024" s="13">
        <v>45323</v>
      </c>
      <c r="R2024" s="13">
        <v>45349</v>
      </c>
      <c r="S2024">
        <v>2024</v>
      </c>
      <c r="T2024" s="12" t="s">
        <v>2740</v>
      </c>
      <c r="U2024">
        <v>364</v>
      </c>
      <c r="V2024">
        <v>25.907399999999999</v>
      </c>
      <c r="W2024">
        <v>232.62</v>
      </c>
      <c r="X2024">
        <v>0</v>
      </c>
      <c r="Y2024">
        <v>0</v>
      </c>
      <c r="Z2024">
        <v>9430.2900000000009</v>
      </c>
      <c r="AA2024">
        <v>9662.91</v>
      </c>
      <c r="AB2024" s="12" t="s">
        <v>201</v>
      </c>
      <c r="AD2024">
        <v>0</v>
      </c>
      <c r="AE2024">
        <v>0</v>
      </c>
      <c r="AH2024">
        <v>364</v>
      </c>
      <c r="AI2024">
        <v>361</v>
      </c>
      <c r="AJ2024">
        <v>3</v>
      </c>
      <c r="AK2024">
        <v>1</v>
      </c>
      <c r="AL2024">
        <v>1</v>
      </c>
      <c r="AM2024">
        <v>99.18</v>
      </c>
      <c r="AN2024">
        <v>26.767099999999999</v>
      </c>
      <c r="AO2024">
        <v>77.72</v>
      </c>
      <c r="AP2024" s="13">
        <v>45349</v>
      </c>
      <c r="AQ2024">
        <v>0</v>
      </c>
      <c r="AR2024">
        <v>1</v>
      </c>
    </row>
    <row r="2025" spans="1:44" x14ac:dyDescent="0.35">
      <c r="A2025" s="12" t="s">
        <v>2745</v>
      </c>
      <c r="B2025" s="12" t="s">
        <v>408</v>
      </c>
      <c r="C2025" s="12" t="s">
        <v>409</v>
      </c>
      <c r="D2025" s="12" t="s">
        <v>130</v>
      </c>
      <c r="E2025" s="12" t="s">
        <v>65</v>
      </c>
      <c r="F2025">
        <v>3</v>
      </c>
      <c r="G2025">
        <v>5</v>
      </c>
      <c r="H2025">
        <v>0</v>
      </c>
      <c r="I2025" s="12" t="s">
        <v>105</v>
      </c>
      <c r="J2025" s="12" t="s">
        <v>106</v>
      </c>
      <c r="K2025" s="12" t="s">
        <v>81</v>
      </c>
      <c r="L2025" s="12" t="s">
        <v>96</v>
      </c>
      <c r="M2025">
        <v>5.01</v>
      </c>
      <c r="N2025" s="12" t="s">
        <v>135</v>
      </c>
      <c r="O2025" s="12" t="s">
        <v>136</v>
      </c>
      <c r="P2025" s="12" t="s">
        <v>137</v>
      </c>
      <c r="Q2025" s="13">
        <v>45323</v>
      </c>
      <c r="R2025" s="13">
        <v>45359</v>
      </c>
      <c r="S2025">
        <v>2024</v>
      </c>
      <c r="T2025" s="12" t="s">
        <v>2740</v>
      </c>
      <c r="U2025">
        <v>133</v>
      </c>
      <c r="V2025">
        <v>770.47230000000002</v>
      </c>
      <c r="W2025">
        <v>1302.49</v>
      </c>
      <c r="X2025">
        <v>0</v>
      </c>
      <c r="Y2025">
        <v>0</v>
      </c>
      <c r="Z2025">
        <v>102472.82</v>
      </c>
      <c r="AA2025">
        <v>103775.31</v>
      </c>
      <c r="AB2025" s="12" t="s">
        <v>410</v>
      </c>
      <c r="AC2025">
        <v>770.47230000000002</v>
      </c>
      <c r="AD2025">
        <v>1</v>
      </c>
      <c r="AE2025">
        <v>1</v>
      </c>
      <c r="AF2025">
        <v>0</v>
      </c>
      <c r="AG2025">
        <v>102472.82</v>
      </c>
      <c r="AH2025">
        <v>133</v>
      </c>
      <c r="AI2025">
        <v>131</v>
      </c>
      <c r="AJ2025">
        <v>2</v>
      </c>
      <c r="AK2025">
        <v>1</v>
      </c>
      <c r="AL2025">
        <v>1</v>
      </c>
      <c r="AM2025">
        <v>98.5</v>
      </c>
      <c r="AN2025">
        <v>792.17790000000002</v>
      </c>
      <c r="AO2025">
        <v>1540.94</v>
      </c>
      <c r="AP2025" s="13">
        <v>45359</v>
      </c>
      <c r="AQ2025">
        <v>0</v>
      </c>
      <c r="AR2025">
        <v>1</v>
      </c>
    </row>
    <row r="2026" spans="1:44" x14ac:dyDescent="0.35">
      <c r="A2026" s="12" t="s">
        <v>2746</v>
      </c>
      <c r="B2026" s="12" t="s">
        <v>249</v>
      </c>
      <c r="C2026" s="12" t="s">
        <v>250</v>
      </c>
      <c r="D2026" s="12" t="s">
        <v>64</v>
      </c>
      <c r="E2026" s="12" t="s">
        <v>65</v>
      </c>
      <c r="F2026">
        <v>2</v>
      </c>
      <c r="G2026">
        <v>3</v>
      </c>
      <c r="H2026">
        <v>0</v>
      </c>
      <c r="I2026" s="12" t="s">
        <v>251</v>
      </c>
      <c r="J2026" s="12" t="s">
        <v>252</v>
      </c>
      <c r="K2026" s="12" t="s">
        <v>133</v>
      </c>
      <c r="L2026" s="12" t="s">
        <v>69</v>
      </c>
      <c r="M2026">
        <v>34.49</v>
      </c>
      <c r="N2026" s="12" t="s">
        <v>97</v>
      </c>
      <c r="O2026" s="12" t="s">
        <v>98</v>
      </c>
      <c r="P2026" s="12" t="s">
        <v>72</v>
      </c>
      <c r="Q2026" s="13">
        <v>45323</v>
      </c>
      <c r="R2026" s="13">
        <v>45351</v>
      </c>
      <c r="S2026">
        <v>2024</v>
      </c>
      <c r="T2026" s="12" t="s">
        <v>2740</v>
      </c>
      <c r="U2026">
        <v>482</v>
      </c>
      <c r="V2026">
        <v>9.6818000000000008</v>
      </c>
      <c r="W2026">
        <v>81.73</v>
      </c>
      <c r="X2026">
        <v>0</v>
      </c>
      <c r="Y2026">
        <v>0</v>
      </c>
      <c r="Z2026">
        <v>4666.63</v>
      </c>
      <c r="AA2026">
        <v>4748.3599999999997</v>
      </c>
      <c r="AB2026" s="12" t="s">
        <v>2747</v>
      </c>
      <c r="AC2026">
        <v>10.292</v>
      </c>
      <c r="AD2026">
        <v>1</v>
      </c>
      <c r="AE2026">
        <v>1</v>
      </c>
      <c r="AF2026">
        <v>-294.12</v>
      </c>
      <c r="AG2026">
        <v>4960.74</v>
      </c>
      <c r="AH2026">
        <v>482</v>
      </c>
      <c r="AI2026">
        <v>476</v>
      </c>
      <c r="AJ2026">
        <v>6</v>
      </c>
      <c r="AK2026">
        <v>1</v>
      </c>
      <c r="AL2026">
        <v>1</v>
      </c>
      <c r="AM2026">
        <v>98.76</v>
      </c>
      <c r="AN2026">
        <v>9.9755000000000003</v>
      </c>
      <c r="AO2026">
        <v>58.09</v>
      </c>
      <c r="AP2026" s="13">
        <v>45358</v>
      </c>
      <c r="AQ2026">
        <v>7</v>
      </c>
      <c r="AR2026">
        <v>0</v>
      </c>
    </row>
    <row r="2027" spans="1:44" x14ac:dyDescent="0.35">
      <c r="A2027" s="12" t="s">
        <v>2748</v>
      </c>
      <c r="B2027" s="12" t="s">
        <v>451</v>
      </c>
      <c r="C2027" s="12" t="s">
        <v>452</v>
      </c>
      <c r="D2027" s="12" t="s">
        <v>175</v>
      </c>
      <c r="E2027" s="12" t="s">
        <v>104</v>
      </c>
      <c r="F2027">
        <v>3</v>
      </c>
      <c r="G2027">
        <v>1</v>
      </c>
      <c r="H2027">
        <v>0</v>
      </c>
      <c r="I2027" s="12" t="s">
        <v>176</v>
      </c>
      <c r="J2027" s="12" t="s">
        <v>177</v>
      </c>
      <c r="K2027" s="12" t="s">
        <v>125</v>
      </c>
      <c r="L2027" s="12" t="s">
        <v>134</v>
      </c>
      <c r="M2027">
        <v>1.75</v>
      </c>
      <c r="N2027" s="12" t="s">
        <v>145</v>
      </c>
      <c r="O2027" s="12" t="s">
        <v>146</v>
      </c>
      <c r="P2027" s="12" t="s">
        <v>109</v>
      </c>
      <c r="Q2027" s="13">
        <v>45323</v>
      </c>
      <c r="R2027" s="13">
        <v>45336</v>
      </c>
      <c r="S2027">
        <v>2024</v>
      </c>
      <c r="T2027" s="12" t="s">
        <v>2740</v>
      </c>
      <c r="U2027">
        <v>18</v>
      </c>
      <c r="V2027">
        <v>254.14510000000001</v>
      </c>
      <c r="W2027">
        <v>105.18</v>
      </c>
      <c r="X2027">
        <v>146.1</v>
      </c>
      <c r="Y2027">
        <v>1</v>
      </c>
      <c r="Z2027">
        <v>4574.6099999999997</v>
      </c>
      <c r="AA2027">
        <v>4825.8900000000003</v>
      </c>
      <c r="AB2027" s="12" t="s">
        <v>2749</v>
      </c>
      <c r="AC2027">
        <v>254.14510000000001</v>
      </c>
      <c r="AD2027">
        <v>1</v>
      </c>
      <c r="AE2027">
        <v>1</v>
      </c>
      <c r="AF2027">
        <v>0</v>
      </c>
      <c r="AG2027">
        <v>4574.6099999999997</v>
      </c>
      <c r="AH2027">
        <v>18</v>
      </c>
      <c r="AI2027">
        <v>18</v>
      </c>
      <c r="AJ2027">
        <v>0</v>
      </c>
      <c r="AK2027">
        <v>1</v>
      </c>
      <c r="AL2027">
        <v>1</v>
      </c>
      <c r="AM2027">
        <v>100</v>
      </c>
      <c r="AN2027">
        <v>268.10509999999999</v>
      </c>
      <c r="AO2027">
        <v>0</v>
      </c>
      <c r="AP2027" s="13">
        <v>45344</v>
      </c>
      <c r="AQ2027">
        <v>8</v>
      </c>
      <c r="AR2027">
        <v>0</v>
      </c>
    </row>
    <row r="2028" spans="1:44" x14ac:dyDescent="0.35">
      <c r="A2028" s="12" t="s">
        <v>2750</v>
      </c>
      <c r="B2028" s="12" t="s">
        <v>302</v>
      </c>
      <c r="C2028" s="12" t="s">
        <v>303</v>
      </c>
      <c r="D2028" s="12" t="s">
        <v>78</v>
      </c>
      <c r="E2028" s="12" t="s">
        <v>65</v>
      </c>
      <c r="F2028">
        <v>2</v>
      </c>
      <c r="G2028">
        <v>3</v>
      </c>
      <c r="H2028">
        <v>0</v>
      </c>
      <c r="I2028" s="12" t="s">
        <v>335</v>
      </c>
      <c r="J2028" s="12" t="s">
        <v>336</v>
      </c>
      <c r="K2028" s="12" t="s">
        <v>89</v>
      </c>
      <c r="L2028" s="12" t="s">
        <v>82</v>
      </c>
      <c r="M2028">
        <v>16</v>
      </c>
      <c r="N2028" s="12" t="s">
        <v>97</v>
      </c>
      <c r="O2028" s="12" t="s">
        <v>98</v>
      </c>
      <c r="P2028" s="12" t="s">
        <v>72</v>
      </c>
      <c r="Q2028" s="13">
        <v>45323</v>
      </c>
      <c r="R2028" s="13">
        <v>45361</v>
      </c>
      <c r="S2028">
        <v>2024</v>
      </c>
      <c r="T2028" s="12" t="s">
        <v>2740</v>
      </c>
      <c r="U2028">
        <v>290</v>
      </c>
      <c r="V2028">
        <v>144.41300000000001</v>
      </c>
      <c r="W2028">
        <v>412.65</v>
      </c>
      <c r="X2028">
        <v>0</v>
      </c>
      <c r="Y2028">
        <v>0</v>
      </c>
      <c r="Z2028">
        <v>41879.769999999997</v>
      </c>
      <c r="AA2028">
        <v>42292.42</v>
      </c>
      <c r="AB2028" s="12" t="s">
        <v>337</v>
      </c>
      <c r="AC2028">
        <v>144.41300000000001</v>
      </c>
      <c r="AD2028">
        <v>1</v>
      </c>
      <c r="AE2028">
        <v>1</v>
      </c>
      <c r="AF2028">
        <v>0</v>
      </c>
      <c r="AG2028">
        <v>41879.769999999997</v>
      </c>
      <c r="AH2028">
        <v>290</v>
      </c>
      <c r="AI2028">
        <v>285</v>
      </c>
      <c r="AJ2028">
        <v>5</v>
      </c>
      <c r="AK2028">
        <v>1</v>
      </c>
      <c r="AL2028">
        <v>1</v>
      </c>
      <c r="AM2028">
        <v>98.28</v>
      </c>
      <c r="AN2028">
        <v>148.39449999999999</v>
      </c>
      <c r="AO2028">
        <v>722.07</v>
      </c>
      <c r="AP2028" s="13">
        <v>45361</v>
      </c>
      <c r="AQ2028">
        <v>0</v>
      </c>
      <c r="AR2028">
        <v>1</v>
      </c>
    </row>
    <row r="2029" spans="1:44" x14ac:dyDescent="0.35">
      <c r="A2029" s="12" t="s">
        <v>2751</v>
      </c>
      <c r="B2029" s="12" t="s">
        <v>1042</v>
      </c>
      <c r="C2029" s="12" t="s">
        <v>1043</v>
      </c>
      <c r="D2029" s="12" t="s">
        <v>269</v>
      </c>
      <c r="E2029" s="12" t="s">
        <v>104</v>
      </c>
      <c r="F2029">
        <v>2</v>
      </c>
      <c r="G2029">
        <v>0</v>
      </c>
      <c r="H2029">
        <v>0</v>
      </c>
      <c r="I2029" s="12" t="s">
        <v>143</v>
      </c>
      <c r="J2029" s="12" t="s">
        <v>144</v>
      </c>
      <c r="K2029" s="12" t="s">
        <v>133</v>
      </c>
      <c r="L2029" s="12" t="s">
        <v>96</v>
      </c>
      <c r="M2029">
        <v>5.43</v>
      </c>
      <c r="N2029" s="12" t="s">
        <v>159</v>
      </c>
      <c r="O2029" s="12" t="s">
        <v>160</v>
      </c>
      <c r="P2029" s="12" t="s">
        <v>137</v>
      </c>
      <c r="Q2029" s="13">
        <v>45323</v>
      </c>
      <c r="R2029" s="13">
        <v>45339</v>
      </c>
      <c r="S2029">
        <v>2024</v>
      </c>
      <c r="T2029" s="12" t="s">
        <v>2740</v>
      </c>
      <c r="U2029">
        <v>46</v>
      </c>
      <c r="V2029">
        <v>290.76319999999998</v>
      </c>
      <c r="W2029">
        <v>238.94</v>
      </c>
      <c r="X2029">
        <v>0</v>
      </c>
      <c r="Y2029">
        <v>0</v>
      </c>
      <c r="Z2029">
        <v>13375.11</v>
      </c>
      <c r="AA2029">
        <v>13614.05</v>
      </c>
      <c r="AB2029" s="12" t="s">
        <v>1044</v>
      </c>
      <c r="AC2029">
        <v>290.76319999999998</v>
      </c>
      <c r="AD2029">
        <v>1</v>
      </c>
      <c r="AE2029">
        <v>1</v>
      </c>
      <c r="AF2029">
        <v>0</v>
      </c>
      <c r="AG2029">
        <v>13375.11</v>
      </c>
      <c r="AH2029">
        <v>46</v>
      </c>
      <c r="AI2029">
        <v>46</v>
      </c>
      <c r="AJ2029">
        <v>0</v>
      </c>
      <c r="AK2029">
        <v>1</v>
      </c>
      <c r="AL2029">
        <v>1</v>
      </c>
      <c r="AM2029">
        <v>100</v>
      </c>
      <c r="AN2029">
        <v>295.95749999999998</v>
      </c>
      <c r="AO2029">
        <v>0</v>
      </c>
      <c r="AP2029" s="13">
        <v>45342</v>
      </c>
      <c r="AQ2029">
        <v>3</v>
      </c>
      <c r="AR2029">
        <v>0</v>
      </c>
    </row>
    <row r="2030" spans="1:44" x14ac:dyDescent="0.35">
      <c r="A2030" s="12" t="s">
        <v>2752</v>
      </c>
      <c r="B2030" s="12" t="s">
        <v>602</v>
      </c>
      <c r="C2030" s="12" t="s">
        <v>603</v>
      </c>
      <c r="D2030" s="12" t="s">
        <v>114</v>
      </c>
      <c r="E2030" s="12" t="s">
        <v>142</v>
      </c>
      <c r="F2030">
        <v>2</v>
      </c>
      <c r="G2030">
        <v>10</v>
      </c>
      <c r="H2030">
        <v>0</v>
      </c>
      <c r="I2030" s="12" t="s">
        <v>263</v>
      </c>
      <c r="J2030" s="12" t="s">
        <v>264</v>
      </c>
      <c r="K2030" s="12" t="s">
        <v>125</v>
      </c>
      <c r="L2030" s="12" t="s">
        <v>82</v>
      </c>
      <c r="M2030">
        <v>10.210000000000001</v>
      </c>
      <c r="N2030" s="12" t="s">
        <v>70</v>
      </c>
      <c r="O2030" s="12" t="s">
        <v>71</v>
      </c>
      <c r="P2030" s="12" t="s">
        <v>72</v>
      </c>
      <c r="Q2030" s="13">
        <v>45323</v>
      </c>
      <c r="R2030" s="13">
        <v>45374</v>
      </c>
      <c r="S2030">
        <v>2024</v>
      </c>
      <c r="T2030" s="12" t="s">
        <v>2740</v>
      </c>
      <c r="U2030">
        <v>139</v>
      </c>
      <c r="V2030">
        <v>213.4624</v>
      </c>
      <c r="W2030">
        <v>262.77</v>
      </c>
      <c r="X2030">
        <v>0</v>
      </c>
      <c r="Y2030">
        <v>0</v>
      </c>
      <c r="Z2030">
        <v>29671.27</v>
      </c>
      <c r="AA2030">
        <v>29934.04</v>
      </c>
      <c r="AB2030" s="12" t="s">
        <v>691</v>
      </c>
      <c r="AC2030">
        <v>213.4624</v>
      </c>
      <c r="AD2030">
        <v>1</v>
      </c>
      <c r="AE2030">
        <v>1</v>
      </c>
      <c r="AF2030">
        <v>0</v>
      </c>
      <c r="AG2030">
        <v>29671.27</v>
      </c>
      <c r="AH2030">
        <v>139</v>
      </c>
      <c r="AI2030">
        <v>138</v>
      </c>
      <c r="AJ2030">
        <v>1</v>
      </c>
      <c r="AK2030">
        <v>1</v>
      </c>
      <c r="AL2030">
        <v>1</v>
      </c>
      <c r="AM2030">
        <v>99.28</v>
      </c>
      <c r="AN2030">
        <v>216.9134</v>
      </c>
      <c r="AO2030">
        <v>213.46</v>
      </c>
      <c r="AP2030" s="13">
        <v>45373</v>
      </c>
      <c r="AQ2030">
        <v>-1</v>
      </c>
      <c r="AR2030">
        <v>1</v>
      </c>
    </row>
    <row r="2031" spans="1:44" x14ac:dyDescent="0.35">
      <c r="A2031" s="12" t="s">
        <v>2753</v>
      </c>
      <c r="B2031" s="12" t="s">
        <v>766</v>
      </c>
      <c r="C2031" s="12" t="s">
        <v>767</v>
      </c>
      <c r="D2031" s="12" t="s">
        <v>175</v>
      </c>
      <c r="E2031" s="12" t="s">
        <v>65</v>
      </c>
      <c r="F2031">
        <v>3</v>
      </c>
      <c r="G2031">
        <v>5</v>
      </c>
      <c r="H2031">
        <v>0</v>
      </c>
      <c r="I2031" s="12" t="s">
        <v>87</v>
      </c>
      <c r="J2031" s="12" t="s">
        <v>88</v>
      </c>
      <c r="K2031" s="12" t="s">
        <v>89</v>
      </c>
      <c r="L2031" s="12" t="s">
        <v>69</v>
      </c>
      <c r="M2031">
        <v>14.93</v>
      </c>
      <c r="N2031" s="12" t="s">
        <v>107</v>
      </c>
      <c r="O2031" s="12" t="s">
        <v>108</v>
      </c>
      <c r="P2031" s="12" t="s">
        <v>109</v>
      </c>
      <c r="Q2031" s="13">
        <v>45324</v>
      </c>
      <c r="R2031" s="13">
        <v>45350</v>
      </c>
      <c r="S2031">
        <v>2024</v>
      </c>
      <c r="T2031" s="12" t="s">
        <v>2740</v>
      </c>
      <c r="U2031">
        <v>56</v>
      </c>
      <c r="V2031">
        <v>86.977900000000005</v>
      </c>
      <c r="W2031">
        <v>79.17</v>
      </c>
      <c r="X2031">
        <v>0</v>
      </c>
      <c r="Y2031">
        <v>0</v>
      </c>
      <c r="Z2031">
        <v>4870.76</v>
      </c>
      <c r="AA2031">
        <v>4949.93</v>
      </c>
      <c r="AB2031" s="12" t="s">
        <v>768</v>
      </c>
      <c r="AC2031">
        <v>86.977900000000005</v>
      </c>
      <c r="AD2031">
        <v>1</v>
      </c>
      <c r="AE2031">
        <v>1</v>
      </c>
      <c r="AF2031">
        <v>0</v>
      </c>
      <c r="AG2031">
        <v>4870.76</v>
      </c>
      <c r="AH2031">
        <v>56</v>
      </c>
      <c r="AI2031">
        <v>55</v>
      </c>
      <c r="AJ2031">
        <v>1</v>
      </c>
      <c r="AK2031">
        <v>1</v>
      </c>
      <c r="AL2031">
        <v>1</v>
      </c>
      <c r="AM2031">
        <v>98.21</v>
      </c>
      <c r="AN2031">
        <v>89.998800000000003</v>
      </c>
      <c r="AO2031">
        <v>86.98</v>
      </c>
      <c r="AP2031" s="13">
        <v>45350</v>
      </c>
      <c r="AQ2031">
        <v>0</v>
      </c>
      <c r="AR2031">
        <v>1</v>
      </c>
    </row>
    <row r="2032" spans="1:44" x14ac:dyDescent="0.35">
      <c r="A2032" s="12" t="s">
        <v>2754</v>
      </c>
      <c r="B2032" s="12" t="s">
        <v>399</v>
      </c>
      <c r="C2032" s="12" t="s">
        <v>400</v>
      </c>
      <c r="D2032" s="12" t="s">
        <v>114</v>
      </c>
      <c r="E2032" s="12" t="s">
        <v>65</v>
      </c>
      <c r="F2032">
        <v>1</v>
      </c>
      <c r="G2032">
        <v>2</v>
      </c>
      <c r="H2032">
        <v>1</v>
      </c>
      <c r="I2032" s="12" t="s">
        <v>151</v>
      </c>
      <c r="J2032" s="12" t="s">
        <v>152</v>
      </c>
      <c r="K2032" s="12" t="s">
        <v>125</v>
      </c>
      <c r="L2032" s="12" t="s">
        <v>69</v>
      </c>
      <c r="M2032">
        <v>36.479999999999997</v>
      </c>
      <c r="N2032" s="12" t="s">
        <v>70</v>
      </c>
      <c r="O2032" s="12" t="s">
        <v>71</v>
      </c>
      <c r="P2032" s="12" t="s">
        <v>72</v>
      </c>
      <c r="Q2032" s="13">
        <v>45324</v>
      </c>
      <c r="R2032" s="13">
        <v>45357</v>
      </c>
      <c r="S2032">
        <v>2024</v>
      </c>
      <c r="T2032" s="12" t="s">
        <v>2740</v>
      </c>
      <c r="U2032">
        <v>110</v>
      </c>
      <c r="V2032">
        <v>296.81490000000002</v>
      </c>
      <c r="W2032">
        <v>831.8</v>
      </c>
      <c r="X2032">
        <v>0</v>
      </c>
      <c r="Y2032">
        <v>0</v>
      </c>
      <c r="Z2032">
        <v>32649.64</v>
      </c>
      <c r="AA2032">
        <v>33481.440000000002</v>
      </c>
      <c r="AB2032" s="12" t="s">
        <v>401</v>
      </c>
      <c r="AC2032">
        <v>296.81490000000002</v>
      </c>
      <c r="AD2032">
        <v>1</v>
      </c>
      <c r="AE2032">
        <v>1</v>
      </c>
      <c r="AF2032">
        <v>0</v>
      </c>
      <c r="AG2032">
        <v>32649.64</v>
      </c>
      <c r="AH2032">
        <v>110</v>
      </c>
      <c r="AI2032">
        <v>109</v>
      </c>
      <c r="AJ2032">
        <v>1</v>
      </c>
      <c r="AK2032">
        <v>1</v>
      </c>
      <c r="AL2032">
        <v>1</v>
      </c>
      <c r="AM2032">
        <v>99.09</v>
      </c>
      <c r="AN2032">
        <v>307.16919999999999</v>
      </c>
      <c r="AO2032">
        <v>296.81</v>
      </c>
      <c r="AP2032" s="13">
        <v>45356</v>
      </c>
      <c r="AQ2032">
        <v>-1</v>
      </c>
      <c r="AR2032">
        <v>1</v>
      </c>
    </row>
    <row r="2033" spans="1:44" x14ac:dyDescent="0.35">
      <c r="A2033" s="12" t="s">
        <v>2755</v>
      </c>
      <c r="B2033" s="12" t="s">
        <v>855</v>
      </c>
      <c r="C2033" s="12" t="s">
        <v>856</v>
      </c>
      <c r="D2033" s="12" t="s">
        <v>269</v>
      </c>
      <c r="E2033" s="12" t="s">
        <v>65</v>
      </c>
      <c r="F2033">
        <v>3</v>
      </c>
      <c r="G2033">
        <v>5</v>
      </c>
      <c r="H2033">
        <v>0</v>
      </c>
      <c r="I2033" s="12" t="s">
        <v>94</v>
      </c>
      <c r="J2033" s="12" t="s">
        <v>95</v>
      </c>
      <c r="K2033" s="12" t="s">
        <v>81</v>
      </c>
      <c r="L2033" s="12" t="s">
        <v>96</v>
      </c>
      <c r="M2033">
        <v>4.8099999999999996</v>
      </c>
      <c r="N2033" s="12" t="s">
        <v>135</v>
      </c>
      <c r="O2033" s="12" t="s">
        <v>136</v>
      </c>
      <c r="P2033" s="12" t="s">
        <v>137</v>
      </c>
      <c r="Q2033" s="13">
        <v>45324</v>
      </c>
      <c r="R2033" s="13">
        <v>45346</v>
      </c>
      <c r="S2033">
        <v>2024</v>
      </c>
      <c r="T2033" s="12" t="s">
        <v>2740</v>
      </c>
      <c r="U2033">
        <v>21</v>
      </c>
      <c r="V2033">
        <v>493.6902</v>
      </c>
      <c r="W2033">
        <v>192.11</v>
      </c>
      <c r="X2033">
        <v>0</v>
      </c>
      <c r="Y2033">
        <v>0</v>
      </c>
      <c r="Z2033">
        <v>10367.49</v>
      </c>
      <c r="AA2033">
        <v>10559.6</v>
      </c>
      <c r="AB2033" s="12" t="s">
        <v>857</v>
      </c>
      <c r="AC2033">
        <v>493.6902</v>
      </c>
      <c r="AD2033">
        <v>1</v>
      </c>
      <c r="AE2033">
        <v>1</v>
      </c>
      <c r="AF2033">
        <v>0</v>
      </c>
      <c r="AG2033">
        <v>10367.49</v>
      </c>
      <c r="AH2033">
        <v>21</v>
      </c>
      <c r="AI2033">
        <v>21</v>
      </c>
      <c r="AJ2033">
        <v>0</v>
      </c>
      <c r="AK2033">
        <v>1</v>
      </c>
      <c r="AL2033">
        <v>1</v>
      </c>
      <c r="AM2033">
        <v>100</v>
      </c>
      <c r="AN2033">
        <v>502.8383</v>
      </c>
      <c r="AO2033">
        <v>0</v>
      </c>
      <c r="AP2033" s="13">
        <v>45351</v>
      </c>
      <c r="AQ2033">
        <v>5</v>
      </c>
      <c r="AR2033">
        <v>0</v>
      </c>
    </row>
    <row r="2034" spans="1:44" x14ac:dyDescent="0.35">
      <c r="A2034" s="12" t="s">
        <v>2756</v>
      </c>
      <c r="B2034" s="12" t="s">
        <v>1026</v>
      </c>
      <c r="C2034" s="12" t="s">
        <v>1027</v>
      </c>
      <c r="D2034" s="12" t="s">
        <v>122</v>
      </c>
      <c r="E2034" s="12" t="s">
        <v>104</v>
      </c>
      <c r="F2034">
        <v>3</v>
      </c>
      <c r="G2034">
        <v>1</v>
      </c>
      <c r="H2034">
        <v>0</v>
      </c>
      <c r="I2034" s="12" t="s">
        <v>183</v>
      </c>
      <c r="J2034" s="12" t="s">
        <v>184</v>
      </c>
      <c r="K2034" s="12" t="s">
        <v>133</v>
      </c>
      <c r="L2034" s="12" t="s">
        <v>82</v>
      </c>
      <c r="M2034">
        <v>8.6199999999999992</v>
      </c>
      <c r="N2034" s="12" t="s">
        <v>97</v>
      </c>
      <c r="O2034" s="12" t="s">
        <v>98</v>
      </c>
      <c r="P2034" s="12" t="s">
        <v>72</v>
      </c>
      <c r="Q2034" s="13">
        <v>45324</v>
      </c>
      <c r="R2034" s="13">
        <v>45341</v>
      </c>
      <c r="S2034">
        <v>2024</v>
      </c>
      <c r="T2034" s="12" t="s">
        <v>2740</v>
      </c>
      <c r="U2034">
        <v>777</v>
      </c>
      <c r="V2034">
        <v>41.886099999999999</v>
      </c>
      <c r="W2034">
        <v>833.9</v>
      </c>
      <c r="X2034">
        <v>0</v>
      </c>
      <c r="Y2034">
        <v>0</v>
      </c>
      <c r="Z2034">
        <v>32545.5</v>
      </c>
      <c r="AA2034">
        <v>33379.4</v>
      </c>
      <c r="AB2034" s="12" t="s">
        <v>1116</v>
      </c>
      <c r="AC2034">
        <v>41.886099999999999</v>
      </c>
      <c r="AD2034">
        <v>1</v>
      </c>
      <c r="AE2034">
        <v>1</v>
      </c>
      <c r="AF2034">
        <v>0</v>
      </c>
      <c r="AG2034">
        <v>32545.5</v>
      </c>
      <c r="AH2034">
        <v>777</v>
      </c>
      <c r="AI2034">
        <v>775</v>
      </c>
      <c r="AJ2034">
        <v>2</v>
      </c>
      <c r="AK2034">
        <v>1</v>
      </c>
      <c r="AL2034">
        <v>1</v>
      </c>
      <c r="AM2034">
        <v>99.74</v>
      </c>
      <c r="AN2034">
        <v>43.0702</v>
      </c>
      <c r="AO2034">
        <v>83.77</v>
      </c>
      <c r="AP2034" s="13">
        <v>45340</v>
      </c>
      <c r="AQ2034">
        <v>-1</v>
      </c>
      <c r="AR2034">
        <v>1</v>
      </c>
    </row>
    <row r="2035" spans="1:44" x14ac:dyDescent="0.35">
      <c r="A2035" s="12" t="s">
        <v>2757</v>
      </c>
      <c r="B2035" s="12" t="s">
        <v>395</v>
      </c>
      <c r="C2035" s="12" t="s">
        <v>396</v>
      </c>
      <c r="D2035" s="12" t="s">
        <v>130</v>
      </c>
      <c r="E2035" s="12" t="s">
        <v>104</v>
      </c>
      <c r="F2035">
        <v>3</v>
      </c>
      <c r="G2035">
        <v>1</v>
      </c>
      <c r="H2035">
        <v>0</v>
      </c>
      <c r="I2035" s="12" t="s">
        <v>341</v>
      </c>
      <c r="J2035" s="12" t="s">
        <v>342</v>
      </c>
      <c r="K2035" s="12" t="s">
        <v>117</v>
      </c>
      <c r="L2035" s="12" t="s">
        <v>82</v>
      </c>
      <c r="M2035">
        <v>18.36</v>
      </c>
      <c r="N2035" s="12" t="s">
        <v>159</v>
      </c>
      <c r="O2035" s="12" t="s">
        <v>160</v>
      </c>
      <c r="P2035" s="12" t="s">
        <v>137</v>
      </c>
      <c r="Q2035" s="13">
        <v>45327</v>
      </c>
      <c r="R2035" s="13">
        <v>45346</v>
      </c>
      <c r="S2035">
        <v>2024</v>
      </c>
      <c r="T2035" s="12" t="s">
        <v>2740</v>
      </c>
      <c r="U2035">
        <v>70</v>
      </c>
      <c r="V2035">
        <v>174.20429999999999</v>
      </c>
      <c r="W2035">
        <v>293.89</v>
      </c>
      <c r="X2035">
        <v>0</v>
      </c>
      <c r="Y2035">
        <v>0</v>
      </c>
      <c r="Z2035">
        <v>12194.3</v>
      </c>
      <c r="AA2035">
        <v>12488.19</v>
      </c>
      <c r="AB2035" s="12" t="s">
        <v>2742</v>
      </c>
      <c r="AC2035">
        <v>174.20429999999999</v>
      </c>
      <c r="AD2035">
        <v>1</v>
      </c>
      <c r="AE2035">
        <v>1</v>
      </c>
      <c r="AF2035">
        <v>0</v>
      </c>
      <c r="AG2035">
        <v>12194.3</v>
      </c>
      <c r="AH2035">
        <v>70</v>
      </c>
      <c r="AI2035">
        <v>69</v>
      </c>
      <c r="AJ2035">
        <v>1</v>
      </c>
      <c r="AK2035">
        <v>1</v>
      </c>
      <c r="AL2035">
        <v>1</v>
      </c>
      <c r="AM2035">
        <v>98.57</v>
      </c>
      <c r="AN2035">
        <v>180.98830000000001</v>
      </c>
      <c r="AO2035">
        <v>174.2</v>
      </c>
      <c r="AP2035" s="13">
        <v>45344</v>
      </c>
      <c r="AQ2035">
        <v>-2</v>
      </c>
      <c r="AR2035">
        <v>1</v>
      </c>
    </row>
    <row r="2036" spans="1:44" x14ac:dyDescent="0.35">
      <c r="A2036" s="12" t="s">
        <v>2758</v>
      </c>
      <c r="B2036" s="12" t="s">
        <v>308</v>
      </c>
      <c r="C2036" s="12" t="s">
        <v>309</v>
      </c>
      <c r="D2036" s="12" t="s">
        <v>122</v>
      </c>
      <c r="E2036" s="12" t="s">
        <v>142</v>
      </c>
      <c r="F2036">
        <v>1</v>
      </c>
      <c r="G2036">
        <v>6</v>
      </c>
      <c r="H2036">
        <v>1</v>
      </c>
      <c r="I2036" s="12" t="s">
        <v>310</v>
      </c>
      <c r="J2036" s="12" t="s">
        <v>311</v>
      </c>
      <c r="K2036" s="12" t="s">
        <v>81</v>
      </c>
      <c r="L2036" s="12" t="s">
        <v>69</v>
      </c>
      <c r="M2036">
        <v>28.3</v>
      </c>
      <c r="N2036" s="12" t="s">
        <v>70</v>
      </c>
      <c r="O2036" s="12" t="s">
        <v>71</v>
      </c>
      <c r="P2036" s="12" t="s">
        <v>72</v>
      </c>
      <c r="Q2036" s="13">
        <v>45327</v>
      </c>
      <c r="R2036" s="13">
        <v>45372</v>
      </c>
      <c r="S2036">
        <v>2024</v>
      </c>
      <c r="T2036" s="12" t="s">
        <v>2740</v>
      </c>
      <c r="U2036">
        <v>1225</v>
      </c>
      <c r="V2036">
        <v>58.086399999999998</v>
      </c>
      <c r="W2036">
        <v>507.39</v>
      </c>
      <c r="X2036">
        <v>0</v>
      </c>
      <c r="Y2036">
        <v>0</v>
      </c>
      <c r="Z2036">
        <v>71155.839999999997</v>
      </c>
      <c r="AA2036">
        <v>71663.23</v>
      </c>
      <c r="AB2036" s="12" t="s">
        <v>2726</v>
      </c>
      <c r="AC2036">
        <v>58.086399999999998</v>
      </c>
      <c r="AD2036">
        <v>1</v>
      </c>
      <c r="AE2036">
        <v>1</v>
      </c>
      <c r="AF2036">
        <v>0</v>
      </c>
      <c r="AG2036">
        <v>71155.839999999997</v>
      </c>
      <c r="AH2036">
        <v>1225</v>
      </c>
      <c r="AI2036">
        <v>1212</v>
      </c>
      <c r="AJ2036">
        <v>13</v>
      </c>
      <c r="AK2036">
        <v>1</v>
      </c>
      <c r="AL2036">
        <v>1</v>
      </c>
      <c r="AM2036">
        <v>98.94</v>
      </c>
      <c r="AN2036">
        <v>59.128100000000003</v>
      </c>
      <c r="AO2036">
        <v>755.12</v>
      </c>
      <c r="AP2036" s="13">
        <v>45371</v>
      </c>
      <c r="AQ2036">
        <v>-1</v>
      </c>
      <c r="AR2036">
        <v>1</v>
      </c>
    </row>
    <row r="2037" spans="1:44" x14ac:dyDescent="0.35">
      <c r="A2037" s="12" t="s">
        <v>2759</v>
      </c>
      <c r="B2037" s="12" t="s">
        <v>990</v>
      </c>
      <c r="C2037" s="12" t="s">
        <v>991</v>
      </c>
      <c r="D2037" s="12" t="s">
        <v>122</v>
      </c>
      <c r="E2037" s="12" t="s">
        <v>142</v>
      </c>
      <c r="F2037">
        <v>1</v>
      </c>
      <c r="G2037">
        <v>6</v>
      </c>
      <c r="H2037">
        <v>1</v>
      </c>
      <c r="I2037" s="12" t="s">
        <v>217</v>
      </c>
      <c r="J2037" s="12" t="s">
        <v>218</v>
      </c>
      <c r="K2037" s="12" t="s">
        <v>68</v>
      </c>
      <c r="L2037" s="12" t="s">
        <v>82</v>
      </c>
      <c r="M2037">
        <v>14.24</v>
      </c>
      <c r="N2037" s="12" t="s">
        <v>70</v>
      </c>
      <c r="O2037" s="12" t="s">
        <v>71</v>
      </c>
      <c r="P2037" s="12" t="s">
        <v>72</v>
      </c>
      <c r="Q2037" s="13">
        <v>45327</v>
      </c>
      <c r="R2037" s="13">
        <v>45371</v>
      </c>
      <c r="S2037">
        <v>2024</v>
      </c>
      <c r="T2037" s="12" t="s">
        <v>2740</v>
      </c>
      <c r="U2037">
        <v>1192</v>
      </c>
      <c r="V2037">
        <v>33.697499999999998</v>
      </c>
      <c r="W2037">
        <v>822.36</v>
      </c>
      <c r="X2037">
        <v>0</v>
      </c>
      <c r="Y2037">
        <v>0</v>
      </c>
      <c r="Z2037">
        <v>40167.42</v>
      </c>
      <c r="AA2037">
        <v>40989.78</v>
      </c>
      <c r="AB2037" s="12" t="s">
        <v>992</v>
      </c>
      <c r="AC2037">
        <v>33.697499999999998</v>
      </c>
      <c r="AD2037">
        <v>1</v>
      </c>
      <c r="AE2037">
        <v>1</v>
      </c>
      <c r="AF2037">
        <v>0</v>
      </c>
      <c r="AG2037">
        <v>40167.42</v>
      </c>
      <c r="AH2037">
        <v>1192</v>
      </c>
      <c r="AI2037">
        <v>1186</v>
      </c>
      <c r="AJ2037">
        <v>6</v>
      </c>
      <c r="AK2037">
        <v>1</v>
      </c>
      <c r="AL2037">
        <v>1</v>
      </c>
      <c r="AM2037">
        <v>99.5</v>
      </c>
      <c r="AN2037">
        <v>34.561399999999999</v>
      </c>
      <c r="AO2037">
        <v>202.19</v>
      </c>
      <c r="AP2037" s="13">
        <v>45371</v>
      </c>
      <c r="AQ2037">
        <v>0</v>
      </c>
      <c r="AR2037">
        <v>1</v>
      </c>
    </row>
    <row r="2038" spans="1:44" x14ac:dyDescent="0.35">
      <c r="A2038" s="12" t="s">
        <v>2760</v>
      </c>
      <c r="B2038" s="12" t="s">
        <v>952</v>
      </c>
      <c r="C2038" s="12" t="s">
        <v>953</v>
      </c>
      <c r="D2038" s="12" t="s">
        <v>64</v>
      </c>
      <c r="E2038" s="12" t="s">
        <v>142</v>
      </c>
      <c r="F2038">
        <v>1</v>
      </c>
      <c r="G2038">
        <v>8</v>
      </c>
      <c r="H2038">
        <v>1</v>
      </c>
      <c r="I2038" s="12" t="s">
        <v>131</v>
      </c>
      <c r="J2038" s="12" t="s">
        <v>132</v>
      </c>
      <c r="K2038" s="12" t="s">
        <v>133</v>
      </c>
      <c r="L2038" s="12" t="s">
        <v>134</v>
      </c>
      <c r="M2038">
        <v>1.51</v>
      </c>
      <c r="N2038" s="12" t="s">
        <v>70</v>
      </c>
      <c r="O2038" s="12" t="s">
        <v>71</v>
      </c>
      <c r="P2038" s="12" t="s">
        <v>72</v>
      </c>
      <c r="Q2038" s="13">
        <v>45327</v>
      </c>
      <c r="R2038" s="13">
        <v>45378</v>
      </c>
      <c r="S2038">
        <v>2024</v>
      </c>
      <c r="T2038" s="12" t="s">
        <v>2740</v>
      </c>
      <c r="U2038">
        <v>947</v>
      </c>
      <c r="V2038">
        <v>31.146599999999999</v>
      </c>
      <c r="W2038">
        <v>332.49</v>
      </c>
      <c r="X2038">
        <v>0</v>
      </c>
      <c r="Y2038">
        <v>0</v>
      </c>
      <c r="Z2038">
        <v>29495.83</v>
      </c>
      <c r="AA2038">
        <v>29828.32</v>
      </c>
      <c r="AB2038" s="12" t="s">
        <v>954</v>
      </c>
      <c r="AC2038">
        <v>31.146599999999999</v>
      </c>
      <c r="AD2038">
        <v>1</v>
      </c>
      <c r="AE2038">
        <v>1</v>
      </c>
      <c r="AF2038">
        <v>0</v>
      </c>
      <c r="AG2038">
        <v>29495.83</v>
      </c>
      <c r="AH2038">
        <v>947</v>
      </c>
      <c r="AI2038">
        <v>934</v>
      </c>
      <c r="AJ2038">
        <v>13</v>
      </c>
      <c r="AK2038">
        <v>1</v>
      </c>
      <c r="AL2038">
        <v>1</v>
      </c>
      <c r="AM2038">
        <v>98.63</v>
      </c>
      <c r="AN2038">
        <v>31.9361</v>
      </c>
      <c r="AO2038">
        <v>404.91</v>
      </c>
      <c r="AP2038" s="13">
        <v>45377</v>
      </c>
      <c r="AQ2038">
        <v>-1</v>
      </c>
      <c r="AR2038">
        <v>1</v>
      </c>
    </row>
    <row r="2039" spans="1:44" x14ac:dyDescent="0.35">
      <c r="A2039" s="12" t="s">
        <v>2761</v>
      </c>
      <c r="B2039" s="12" t="s">
        <v>289</v>
      </c>
      <c r="C2039" s="12" t="s">
        <v>290</v>
      </c>
      <c r="D2039" s="12" t="s">
        <v>175</v>
      </c>
      <c r="E2039" s="12" t="s">
        <v>104</v>
      </c>
      <c r="F2039">
        <v>3</v>
      </c>
      <c r="G2039">
        <v>1</v>
      </c>
      <c r="H2039">
        <v>0</v>
      </c>
      <c r="I2039" s="12" t="s">
        <v>157</v>
      </c>
      <c r="J2039" s="12" t="s">
        <v>158</v>
      </c>
      <c r="K2039" s="12" t="s">
        <v>117</v>
      </c>
      <c r="L2039" s="12" t="s">
        <v>96</v>
      </c>
      <c r="M2039">
        <v>4.72</v>
      </c>
      <c r="N2039" s="12" t="s">
        <v>107</v>
      </c>
      <c r="O2039" s="12" t="s">
        <v>108</v>
      </c>
      <c r="P2039" s="12" t="s">
        <v>109</v>
      </c>
      <c r="Q2039" s="13">
        <v>45327</v>
      </c>
      <c r="R2039" s="13">
        <v>45355</v>
      </c>
      <c r="S2039">
        <v>2024</v>
      </c>
      <c r="T2039" s="12" t="s">
        <v>2740</v>
      </c>
      <c r="U2039">
        <v>141</v>
      </c>
      <c r="V2039">
        <v>184.24529999999999</v>
      </c>
      <c r="W2039">
        <v>588.33000000000004</v>
      </c>
      <c r="X2039">
        <v>0</v>
      </c>
      <c r="Y2039">
        <v>0</v>
      </c>
      <c r="Z2039">
        <v>25978.59</v>
      </c>
      <c r="AA2039">
        <v>26566.92</v>
      </c>
      <c r="AB2039" s="12" t="s">
        <v>2676</v>
      </c>
      <c r="AC2039">
        <v>184.24529999999999</v>
      </c>
      <c r="AD2039">
        <v>1</v>
      </c>
      <c r="AE2039">
        <v>1</v>
      </c>
      <c r="AF2039">
        <v>0</v>
      </c>
      <c r="AG2039">
        <v>25978.59</v>
      </c>
      <c r="AH2039">
        <v>141</v>
      </c>
      <c r="AI2039">
        <v>140</v>
      </c>
      <c r="AJ2039">
        <v>1</v>
      </c>
      <c r="AK2039">
        <v>1</v>
      </c>
      <c r="AL2039">
        <v>1</v>
      </c>
      <c r="AM2039">
        <v>99.29</v>
      </c>
      <c r="AN2039">
        <v>189.7637</v>
      </c>
      <c r="AO2039">
        <v>184.25</v>
      </c>
      <c r="AP2039" s="13">
        <v>45363</v>
      </c>
      <c r="AQ2039">
        <v>8</v>
      </c>
      <c r="AR2039">
        <v>0</v>
      </c>
    </row>
    <row r="2040" spans="1:44" x14ac:dyDescent="0.35">
      <c r="A2040" s="12" t="s">
        <v>2762</v>
      </c>
      <c r="B2040" s="12" t="s">
        <v>1134</v>
      </c>
      <c r="C2040" s="12" t="s">
        <v>1135</v>
      </c>
      <c r="D2040" s="12" t="s">
        <v>269</v>
      </c>
      <c r="E2040" s="12" t="s">
        <v>104</v>
      </c>
      <c r="F2040">
        <v>2</v>
      </c>
      <c r="G2040">
        <v>0</v>
      </c>
      <c r="H2040">
        <v>0</v>
      </c>
      <c r="I2040" s="12" t="s">
        <v>380</v>
      </c>
      <c r="J2040" s="12" t="s">
        <v>381</v>
      </c>
      <c r="K2040" s="12" t="s">
        <v>89</v>
      </c>
      <c r="L2040" s="12" t="s">
        <v>96</v>
      </c>
      <c r="M2040">
        <v>10.210000000000001</v>
      </c>
      <c r="N2040" s="12" t="s">
        <v>135</v>
      </c>
      <c r="O2040" s="12" t="s">
        <v>136</v>
      </c>
      <c r="P2040" s="12" t="s">
        <v>137</v>
      </c>
      <c r="Q2040" s="13">
        <v>45327</v>
      </c>
      <c r="R2040" s="13">
        <v>45344</v>
      </c>
      <c r="S2040">
        <v>2024</v>
      </c>
      <c r="T2040" s="12" t="s">
        <v>2740</v>
      </c>
      <c r="U2040">
        <v>51</v>
      </c>
      <c r="V2040">
        <v>107.5608</v>
      </c>
      <c r="W2040">
        <v>117.84</v>
      </c>
      <c r="X2040">
        <v>0</v>
      </c>
      <c r="Y2040">
        <v>0</v>
      </c>
      <c r="Z2040">
        <v>5485.6</v>
      </c>
      <c r="AA2040">
        <v>5603.44</v>
      </c>
      <c r="AB2040" s="12" t="s">
        <v>1136</v>
      </c>
      <c r="AC2040">
        <v>107.5608</v>
      </c>
      <c r="AD2040">
        <v>1</v>
      </c>
      <c r="AE2040">
        <v>1</v>
      </c>
      <c r="AF2040">
        <v>0</v>
      </c>
      <c r="AG2040">
        <v>5485.6</v>
      </c>
      <c r="AH2040">
        <v>51</v>
      </c>
      <c r="AI2040">
        <v>50</v>
      </c>
      <c r="AJ2040">
        <v>1</v>
      </c>
      <c r="AK2040">
        <v>1</v>
      </c>
      <c r="AL2040">
        <v>1</v>
      </c>
      <c r="AM2040">
        <v>98.04</v>
      </c>
      <c r="AN2040">
        <v>112.0688</v>
      </c>
      <c r="AO2040">
        <v>107.56</v>
      </c>
      <c r="AP2040" s="13">
        <v>45346</v>
      </c>
      <c r="AQ2040">
        <v>2</v>
      </c>
      <c r="AR2040">
        <v>0</v>
      </c>
    </row>
    <row r="2041" spans="1:44" x14ac:dyDescent="0.35">
      <c r="A2041" s="12" t="s">
        <v>2763</v>
      </c>
      <c r="B2041" s="12" t="s">
        <v>640</v>
      </c>
      <c r="C2041" s="12" t="s">
        <v>641</v>
      </c>
      <c r="D2041" s="12" t="s">
        <v>130</v>
      </c>
      <c r="E2041" s="12" t="s">
        <v>104</v>
      </c>
      <c r="F2041">
        <v>3</v>
      </c>
      <c r="G2041">
        <v>0</v>
      </c>
      <c r="H2041">
        <v>0</v>
      </c>
      <c r="I2041" s="12" t="s">
        <v>123</v>
      </c>
      <c r="J2041" s="12" t="s">
        <v>124</v>
      </c>
      <c r="K2041" s="12" t="s">
        <v>125</v>
      </c>
      <c r="L2041" s="12" t="s">
        <v>82</v>
      </c>
      <c r="M2041">
        <v>6.75</v>
      </c>
      <c r="N2041" s="12" t="s">
        <v>159</v>
      </c>
      <c r="O2041" s="12" t="s">
        <v>160</v>
      </c>
      <c r="P2041" s="12" t="s">
        <v>137</v>
      </c>
      <c r="Q2041" s="13">
        <v>45327</v>
      </c>
      <c r="R2041" s="13">
        <v>45351</v>
      </c>
      <c r="S2041">
        <v>2024</v>
      </c>
      <c r="T2041" s="12" t="s">
        <v>2740</v>
      </c>
      <c r="U2041">
        <v>105</v>
      </c>
      <c r="V2041">
        <v>1008.4116</v>
      </c>
      <c r="W2041">
        <v>727.76</v>
      </c>
      <c r="X2041">
        <v>0</v>
      </c>
      <c r="Y2041">
        <v>0</v>
      </c>
      <c r="Z2041">
        <v>105883.22</v>
      </c>
      <c r="AA2041">
        <v>106610.98</v>
      </c>
      <c r="AB2041" s="12" t="s">
        <v>2764</v>
      </c>
      <c r="AC2041">
        <v>1008.4116</v>
      </c>
      <c r="AD2041">
        <v>1</v>
      </c>
      <c r="AE2041">
        <v>1</v>
      </c>
      <c r="AF2041">
        <v>0</v>
      </c>
      <c r="AG2041">
        <v>105883.22</v>
      </c>
      <c r="AH2041">
        <v>105</v>
      </c>
      <c r="AI2041">
        <v>104</v>
      </c>
      <c r="AJ2041">
        <v>1</v>
      </c>
      <c r="AK2041">
        <v>1</v>
      </c>
      <c r="AL2041">
        <v>1</v>
      </c>
      <c r="AM2041">
        <v>99.05</v>
      </c>
      <c r="AN2041">
        <v>1025.1056000000001</v>
      </c>
      <c r="AO2041">
        <v>1008.41</v>
      </c>
      <c r="AP2041" s="13">
        <v>45348</v>
      </c>
      <c r="AQ2041">
        <v>-3</v>
      </c>
      <c r="AR2041">
        <v>1</v>
      </c>
    </row>
    <row r="2042" spans="1:44" x14ac:dyDescent="0.35">
      <c r="A2042" s="12" t="s">
        <v>2765</v>
      </c>
      <c r="B2042" s="12" t="s">
        <v>128</v>
      </c>
      <c r="C2042" s="12" t="s">
        <v>129</v>
      </c>
      <c r="D2042" s="12" t="s">
        <v>130</v>
      </c>
      <c r="E2042" s="12" t="s">
        <v>65</v>
      </c>
      <c r="F2042">
        <v>3</v>
      </c>
      <c r="G2042">
        <v>5</v>
      </c>
      <c r="H2042">
        <v>0</v>
      </c>
      <c r="I2042" s="12" t="s">
        <v>131</v>
      </c>
      <c r="J2042" s="12" t="s">
        <v>132</v>
      </c>
      <c r="K2042" s="12" t="s">
        <v>133</v>
      </c>
      <c r="L2042" s="12" t="s">
        <v>134</v>
      </c>
      <c r="M2042">
        <v>1.51</v>
      </c>
      <c r="N2042" s="12" t="s">
        <v>159</v>
      </c>
      <c r="O2042" s="12" t="s">
        <v>160</v>
      </c>
      <c r="P2042" s="12" t="s">
        <v>137</v>
      </c>
      <c r="Q2042" s="13">
        <v>45328</v>
      </c>
      <c r="R2042" s="13">
        <v>45356</v>
      </c>
      <c r="S2042">
        <v>2024</v>
      </c>
      <c r="T2042" s="12" t="s">
        <v>2740</v>
      </c>
      <c r="U2042">
        <v>66</v>
      </c>
      <c r="V2042">
        <v>483.10109999999997</v>
      </c>
      <c r="W2042">
        <v>303.17</v>
      </c>
      <c r="X2042">
        <v>0</v>
      </c>
      <c r="Y2042">
        <v>0</v>
      </c>
      <c r="Z2042">
        <v>31884.67</v>
      </c>
      <c r="AA2042">
        <v>32187.84</v>
      </c>
      <c r="AB2042" s="12" t="s">
        <v>201</v>
      </c>
      <c r="AD2042">
        <v>0</v>
      </c>
      <c r="AE2042">
        <v>0</v>
      </c>
      <c r="AH2042">
        <v>66</v>
      </c>
      <c r="AI2042">
        <v>61</v>
      </c>
      <c r="AJ2042">
        <v>5</v>
      </c>
      <c r="AK2042">
        <v>1</v>
      </c>
      <c r="AL2042">
        <v>1</v>
      </c>
      <c r="AM2042">
        <v>92.42</v>
      </c>
      <c r="AN2042">
        <v>527.66959999999995</v>
      </c>
      <c r="AO2042">
        <v>2415.5100000000002</v>
      </c>
      <c r="AP2042" s="13">
        <v>45356</v>
      </c>
      <c r="AQ2042">
        <v>0</v>
      </c>
      <c r="AR2042">
        <v>1</v>
      </c>
    </row>
    <row r="2043" spans="1:44" x14ac:dyDescent="0.35">
      <c r="A2043" s="12" t="s">
        <v>2766</v>
      </c>
      <c r="B2043" s="12" t="s">
        <v>454</v>
      </c>
      <c r="C2043" s="12" t="s">
        <v>455</v>
      </c>
      <c r="D2043" s="12" t="s">
        <v>122</v>
      </c>
      <c r="E2043" s="12" t="s">
        <v>104</v>
      </c>
      <c r="F2043">
        <v>3</v>
      </c>
      <c r="G2043">
        <v>1</v>
      </c>
      <c r="H2043">
        <v>0</v>
      </c>
      <c r="I2043" s="12" t="s">
        <v>243</v>
      </c>
      <c r="J2043" s="12" t="s">
        <v>244</v>
      </c>
      <c r="K2043" s="12" t="s">
        <v>81</v>
      </c>
      <c r="L2043" s="12" t="s">
        <v>82</v>
      </c>
      <c r="M2043">
        <v>9.2200000000000006</v>
      </c>
      <c r="N2043" s="12" t="s">
        <v>97</v>
      </c>
      <c r="O2043" s="12" t="s">
        <v>98</v>
      </c>
      <c r="P2043" s="12" t="s">
        <v>72</v>
      </c>
      <c r="Q2043" s="13">
        <v>45328</v>
      </c>
      <c r="R2043" s="13">
        <v>45353</v>
      </c>
      <c r="S2043">
        <v>2024</v>
      </c>
      <c r="T2043" s="12" t="s">
        <v>2740</v>
      </c>
      <c r="U2043">
        <v>1537</v>
      </c>
      <c r="V2043">
        <v>20.9206</v>
      </c>
      <c r="W2043">
        <v>488.79</v>
      </c>
      <c r="X2043">
        <v>0</v>
      </c>
      <c r="Y2043">
        <v>0</v>
      </c>
      <c r="Z2043">
        <v>32154.959999999999</v>
      </c>
      <c r="AA2043">
        <v>32643.75</v>
      </c>
      <c r="AB2043" s="12" t="s">
        <v>2767</v>
      </c>
      <c r="AC2043">
        <v>20.9206</v>
      </c>
      <c r="AD2043">
        <v>1</v>
      </c>
      <c r="AE2043">
        <v>1</v>
      </c>
      <c r="AF2043">
        <v>0</v>
      </c>
      <c r="AG2043">
        <v>32154.959999999999</v>
      </c>
      <c r="AH2043">
        <v>1537</v>
      </c>
      <c r="AI2043">
        <v>1520</v>
      </c>
      <c r="AJ2043">
        <v>17</v>
      </c>
      <c r="AK2043">
        <v>1</v>
      </c>
      <c r="AL2043">
        <v>1</v>
      </c>
      <c r="AM2043">
        <v>98.89</v>
      </c>
      <c r="AN2043">
        <v>21.476199999999999</v>
      </c>
      <c r="AO2043">
        <v>355.65</v>
      </c>
      <c r="AP2043" s="13">
        <v>45352</v>
      </c>
      <c r="AQ2043">
        <v>-1</v>
      </c>
      <c r="AR2043">
        <v>1</v>
      </c>
    </row>
    <row r="2044" spans="1:44" x14ac:dyDescent="0.35">
      <c r="A2044" s="12" t="s">
        <v>2768</v>
      </c>
      <c r="B2044" s="12" t="s">
        <v>1013</v>
      </c>
      <c r="C2044" s="12" t="s">
        <v>1014</v>
      </c>
      <c r="D2044" s="12" t="s">
        <v>78</v>
      </c>
      <c r="E2044" s="12" t="s">
        <v>65</v>
      </c>
      <c r="F2044">
        <v>2</v>
      </c>
      <c r="G2044">
        <v>3</v>
      </c>
      <c r="H2044">
        <v>0</v>
      </c>
      <c r="I2044" s="12" t="s">
        <v>123</v>
      </c>
      <c r="J2044" s="12" t="s">
        <v>124</v>
      </c>
      <c r="K2044" s="12" t="s">
        <v>125</v>
      </c>
      <c r="L2044" s="12" t="s">
        <v>82</v>
      </c>
      <c r="M2044">
        <v>6.75</v>
      </c>
      <c r="N2044" s="12" t="s">
        <v>70</v>
      </c>
      <c r="O2044" s="12" t="s">
        <v>71</v>
      </c>
      <c r="P2044" s="12" t="s">
        <v>72</v>
      </c>
      <c r="Q2044" s="13">
        <v>45328</v>
      </c>
      <c r="R2044" s="13">
        <v>45354</v>
      </c>
      <c r="S2044">
        <v>2024</v>
      </c>
      <c r="T2044" s="12" t="s">
        <v>2740</v>
      </c>
      <c r="U2044">
        <v>119</v>
      </c>
      <c r="V2044">
        <v>125.2653</v>
      </c>
      <c r="W2044">
        <v>106.87</v>
      </c>
      <c r="X2044">
        <v>0</v>
      </c>
      <c r="Y2044">
        <v>0</v>
      </c>
      <c r="Z2044">
        <v>14906.57</v>
      </c>
      <c r="AA2044">
        <v>15013.44</v>
      </c>
      <c r="AB2044" s="12" t="s">
        <v>1015</v>
      </c>
      <c r="AC2044">
        <v>125.2653</v>
      </c>
      <c r="AD2044">
        <v>1</v>
      </c>
      <c r="AE2044">
        <v>1</v>
      </c>
      <c r="AF2044">
        <v>0</v>
      </c>
      <c r="AG2044">
        <v>14906.57</v>
      </c>
      <c r="AH2044">
        <v>119</v>
      </c>
      <c r="AI2044">
        <v>117</v>
      </c>
      <c r="AJ2044">
        <v>2</v>
      </c>
      <c r="AK2044">
        <v>1</v>
      </c>
      <c r="AL2044">
        <v>1</v>
      </c>
      <c r="AM2044">
        <v>98.32</v>
      </c>
      <c r="AN2044">
        <v>128.32</v>
      </c>
      <c r="AO2044">
        <v>250.53</v>
      </c>
      <c r="AP2044" s="13">
        <v>45354</v>
      </c>
      <c r="AQ2044">
        <v>0</v>
      </c>
      <c r="AR2044">
        <v>1</v>
      </c>
    </row>
    <row r="2045" spans="1:44" x14ac:dyDescent="0.35">
      <c r="A2045" s="12" t="s">
        <v>2769</v>
      </c>
      <c r="B2045" s="12" t="s">
        <v>494</v>
      </c>
      <c r="C2045" s="12" t="s">
        <v>495</v>
      </c>
      <c r="D2045" s="12" t="s">
        <v>175</v>
      </c>
      <c r="E2045" s="12" t="s">
        <v>65</v>
      </c>
      <c r="F2045">
        <v>2</v>
      </c>
      <c r="G2045">
        <v>3</v>
      </c>
      <c r="H2045">
        <v>0</v>
      </c>
      <c r="I2045" s="12" t="s">
        <v>515</v>
      </c>
      <c r="J2045" s="12" t="s">
        <v>516</v>
      </c>
      <c r="K2045" s="12" t="s">
        <v>68</v>
      </c>
      <c r="L2045" s="12" t="s">
        <v>134</v>
      </c>
      <c r="M2045">
        <v>3.69</v>
      </c>
      <c r="N2045" s="12" t="s">
        <v>107</v>
      </c>
      <c r="O2045" s="12" t="s">
        <v>108</v>
      </c>
      <c r="P2045" s="12" t="s">
        <v>109</v>
      </c>
      <c r="Q2045" s="13">
        <v>45328</v>
      </c>
      <c r="R2045" s="13">
        <v>45350</v>
      </c>
      <c r="S2045">
        <v>2024</v>
      </c>
      <c r="T2045" s="12" t="s">
        <v>2740</v>
      </c>
      <c r="U2045">
        <v>20</v>
      </c>
      <c r="V2045">
        <v>161.94200000000001</v>
      </c>
      <c r="W2045">
        <v>50.45</v>
      </c>
      <c r="X2045">
        <v>0</v>
      </c>
      <c r="Y2045">
        <v>0</v>
      </c>
      <c r="Z2045">
        <v>3238.84</v>
      </c>
      <c r="AA2045">
        <v>3289.29</v>
      </c>
      <c r="AB2045" s="12" t="s">
        <v>982</v>
      </c>
      <c r="AC2045">
        <v>161.94200000000001</v>
      </c>
      <c r="AD2045">
        <v>1</v>
      </c>
      <c r="AE2045">
        <v>1</v>
      </c>
      <c r="AF2045">
        <v>0</v>
      </c>
      <c r="AG2045">
        <v>3238.84</v>
      </c>
      <c r="AH2045">
        <v>20</v>
      </c>
      <c r="AI2045">
        <v>20</v>
      </c>
      <c r="AJ2045">
        <v>0</v>
      </c>
      <c r="AK2045">
        <v>1</v>
      </c>
      <c r="AL2045">
        <v>1</v>
      </c>
      <c r="AM2045">
        <v>100</v>
      </c>
      <c r="AN2045">
        <v>164.46449999999999</v>
      </c>
      <c r="AO2045">
        <v>0</v>
      </c>
      <c r="AP2045" s="13">
        <v>45350</v>
      </c>
      <c r="AQ2045">
        <v>0</v>
      </c>
      <c r="AR2045">
        <v>1</v>
      </c>
    </row>
    <row r="2046" spans="1:44" x14ac:dyDescent="0.35">
      <c r="A2046" s="12" t="s">
        <v>2770</v>
      </c>
      <c r="B2046" s="12" t="s">
        <v>1108</v>
      </c>
      <c r="C2046" s="12" t="s">
        <v>1109</v>
      </c>
      <c r="D2046" s="12" t="s">
        <v>103</v>
      </c>
      <c r="E2046" s="12" t="s">
        <v>65</v>
      </c>
      <c r="F2046">
        <v>3</v>
      </c>
      <c r="G2046">
        <v>4</v>
      </c>
      <c r="H2046">
        <v>0</v>
      </c>
      <c r="I2046" s="12" t="s">
        <v>66</v>
      </c>
      <c r="J2046" s="12" t="s">
        <v>67</v>
      </c>
      <c r="K2046" s="12" t="s">
        <v>68</v>
      </c>
      <c r="L2046" s="12" t="s">
        <v>69</v>
      </c>
      <c r="M2046">
        <v>17.66</v>
      </c>
      <c r="N2046" s="12" t="s">
        <v>145</v>
      </c>
      <c r="O2046" s="12" t="s">
        <v>146</v>
      </c>
      <c r="P2046" s="12" t="s">
        <v>109</v>
      </c>
      <c r="Q2046" s="13">
        <v>45329</v>
      </c>
      <c r="R2046" s="13">
        <v>45355</v>
      </c>
      <c r="S2046">
        <v>2024</v>
      </c>
      <c r="T2046" s="12" t="s">
        <v>2740</v>
      </c>
      <c r="U2046">
        <v>55</v>
      </c>
      <c r="V2046">
        <v>98.271900000000002</v>
      </c>
      <c r="W2046">
        <v>67.58</v>
      </c>
      <c r="X2046">
        <v>0</v>
      </c>
      <c r="Y2046">
        <v>0</v>
      </c>
      <c r="Z2046">
        <v>5404.95</v>
      </c>
      <c r="AA2046">
        <v>5472.53</v>
      </c>
      <c r="AB2046" s="12" t="s">
        <v>201</v>
      </c>
      <c r="AD2046">
        <v>0</v>
      </c>
      <c r="AE2046">
        <v>0</v>
      </c>
      <c r="AH2046">
        <v>55</v>
      </c>
      <c r="AI2046">
        <v>54</v>
      </c>
      <c r="AJ2046">
        <v>1</v>
      </c>
      <c r="AK2046">
        <v>1</v>
      </c>
      <c r="AL2046">
        <v>1</v>
      </c>
      <c r="AM2046">
        <v>98.18</v>
      </c>
      <c r="AN2046">
        <v>101.3432</v>
      </c>
      <c r="AO2046">
        <v>98.27</v>
      </c>
      <c r="AP2046" s="13">
        <v>45357</v>
      </c>
      <c r="AQ2046">
        <v>2</v>
      </c>
      <c r="AR2046">
        <v>0</v>
      </c>
    </row>
    <row r="2047" spans="1:44" x14ac:dyDescent="0.35">
      <c r="A2047" s="12" t="s">
        <v>2771</v>
      </c>
      <c r="B2047" s="12" t="s">
        <v>308</v>
      </c>
      <c r="C2047" s="12" t="s">
        <v>309</v>
      </c>
      <c r="D2047" s="12" t="s">
        <v>122</v>
      </c>
      <c r="E2047" s="12" t="s">
        <v>142</v>
      </c>
      <c r="F2047">
        <v>1</v>
      </c>
      <c r="G2047">
        <v>6</v>
      </c>
      <c r="H2047">
        <v>1</v>
      </c>
      <c r="I2047" s="12" t="s">
        <v>310</v>
      </c>
      <c r="J2047" s="12" t="s">
        <v>311</v>
      </c>
      <c r="K2047" s="12" t="s">
        <v>81</v>
      </c>
      <c r="L2047" s="12" t="s">
        <v>69</v>
      </c>
      <c r="M2047">
        <v>28.3</v>
      </c>
      <c r="N2047" s="12" t="s">
        <v>97</v>
      </c>
      <c r="O2047" s="12" t="s">
        <v>98</v>
      </c>
      <c r="P2047" s="12" t="s">
        <v>72</v>
      </c>
      <c r="Q2047" s="13">
        <v>45329</v>
      </c>
      <c r="R2047" s="13">
        <v>45366</v>
      </c>
      <c r="S2047">
        <v>2024</v>
      </c>
      <c r="T2047" s="12" t="s">
        <v>2740</v>
      </c>
      <c r="U2047">
        <v>431</v>
      </c>
      <c r="V2047">
        <v>58.086399999999998</v>
      </c>
      <c r="W2047">
        <v>180.28</v>
      </c>
      <c r="X2047">
        <v>0</v>
      </c>
      <c r="Y2047">
        <v>0</v>
      </c>
      <c r="Z2047">
        <v>25035.24</v>
      </c>
      <c r="AA2047">
        <v>25215.52</v>
      </c>
      <c r="AB2047" s="12" t="s">
        <v>2726</v>
      </c>
      <c r="AC2047">
        <v>58.086399999999998</v>
      </c>
      <c r="AD2047">
        <v>1</v>
      </c>
      <c r="AE2047">
        <v>1</v>
      </c>
      <c r="AF2047">
        <v>0</v>
      </c>
      <c r="AG2047">
        <v>25035.24</v>
      </c>
      <c r="AH2047">
        <v>431</v>
      </c>
      <c r="AI2047">
        <v>428</v>
      </c>
      <c r="AJ2047">
        <v>3</v>
      </c>
      <c r="AK2047">
        <v>1</v>
      </c>
      <c r="AL2047">
        <v>1</v>
      </c>
      <c r="AM2047">
        <v>99.3</v>
      </c>
      <c r="AN2047">
        <v>58.9148</v>
      </c>
      <c r="AO2047">
        <v>174.26</v>
      </c>
      <c r="AP2047" s="13">
        <v>45366</v>
      </c>
      <c r="AQ2047">
        <v>0</v>
      </c>
      <c r="AR2047">
        <v>1</v>
      </c>
    </row>
    <row r="2048" spans="1:44" x14ac:dyDescent="0.35">
      <c r="A2048" s="12" t="s">
        <v>2772</v>
      </c>
      <c r="B2048" s="12" t="s">
        <v>399</v>
      </c>
      <c r="C2048" s="12" t="s">
        <v>400</v>
      </c>
      <c r="D2048" s="12" t="s">
        <v>114</v>
      </c>
      <c r="E2048" s="12" t="s">
        <v>65</v>
      </c>
      <c r="F2048">
        <v>1</v>
      </c>
      <c r="G2048">
        <v>2</v>
      </c>
      <c r="H2048">
        <v>1</v>
      </c>
      <c r="I2048" s="12" t="s">
        <v>151</v>
      </c>
      <c r="J2048" s="12" t="s">
        <v>152</v>
      </c>
      <c r="K2048" s="12" t="s">
        <v>125</v>
      </c>
      <c r="L2048" s="12" t="s">
        <v>69</v>
      </c>
      <c r="M2048">
        <v>36.479999999999997</v>
      </c>
      <c r="N2048" s="12" t="s">
        <v>70</v>
      </c>
      <c r="O2048" s="12" t="s">
        <v>71</v>
      </c>
      <c r="P2048" s="12" t="s">
        <v>72</v>
      </c>
      <c r="Q2048" s="13">
        <v>45329</v>
      </c>
      <c r="R2048" s="13">
        <v>45358</v>
      </c>
      <c r="S2048">
        <v>2024</v>
      </c>
      <c r="T2048" s="12" t="s">
        <v>2740</v>
      </c>
      <c r="U2048">
        <v>73</v>
      </c>
      <c r="V2048">
        <v>310.4427</v>
      </c>
      <c r="W2048">
        <v>337.02</v>
      </c>
      <c r="X2048">
        <v>0</v>
      </c>
      <c r="Y2048">
        <v>0</v>
      </c>
      <c r="Z2048">
        <v>22662.32</v>
      </c>
      <c r="AA2048">
        <v>22999.34</v>
      </c>
      <c r="AB2048" s="12" t="s">
        <v>401</v>
      </c>
      <c r="AC2048">
        <v>296.81490000000002</v>
      </c>
      <c r="AD2048">
        <v>1</v>
      </c>
      <c r="AE2048">
        <v>1</v>
      </c>
      <c r="AF2048">
        <v>994.83</v>
      </c>
      <c r="AG2048">
        <v>21667.49</v>
      </c>
      <c r="AH2048">
        <v>73</v>
      </c>
      <c r="AI2048">
        <v>71</v>
      </c>
      <c r="AJ2048">
        <v>2</v>
      </c>
      <c r="AK2048">
        <v>1</v>
      </c>
      <c r="AL2048">
        <v>1</v>
      </c>
      <c r="AM2048">
        <v>97.26</v>
      </c>
      <c r="AN2048">
        <v>323.93430000000001</v>
      </c>
      <c r="AO2048">
        <v>620.89</v>
      </c>
      <c r="AP2048" s="13">
        <v>45365</v>
      </c>
      <c r="AQ2048">
        <v>7</v>
      </c>
      <c r="AR2048">
        <v>0</v>
      </c>
    </row>
    <row r="2049" spans="1:44" x14ac:dyDescent="0.35">
      <c r="A2049" s="12" t="s">
        <v>2773</v>
      </c>
      <c r="B2049" s="12" t="s">
        <v>120</v>
      </c>
      <c r="C2049" s="12" t="s">
        <v>121</v>
      </c>
      <c r="D2049" s="12" t="s">
        <v>122</v>
      </c>
      <c r="E2049" s="12" t="s">
        <v>65</v>
      </c>
      <c r="F2049">
        <v>3</v>
      </c>
      <c r="G2049">
        <v>4</v>
      </c>
      <c r="H2049">
        <v>0</v>
      </c>
      <c r="I2049" s="12" t="s">
        <v>123</v>
      </c>
      <c r="J2049" s="12" t="s">
        <v>124</v>
      </c>
      <c r="K2049" s="12" t="s">
        <v>125</v>
      </c>
      <c r="L2049" s="12" t="s">
        <v>82</v>
      </c>
      <c r="M2049">
        <v>6.75</v>
      </c>
      <c r="N2049" s="12" t="s">
        <v>70</v>
      </c>
      <c r="O2049" s="12" t="s">
        <v>71</v>
      </c>
      <c r="P2049" s="12" t="s">
        <v>72</v>
      </c>
      <c r="Q2049" s="13">
        <v>45329</v>
      </c>
      <c r="R2049" s="13">
        <v>45364</v>
      </c>
      <c r="S2049">
        <v>2024</v>
      </c>
      <c r="T2049" s="12" t="s">
        <v>2740</v>
      </c>
      <c r="U2049">
        <v>1695</v>
      </c>
      <c r="V2049">
        <v>54.924999999999997</v>
      </c>
      <c r="W2049">
        <v>901.56</v>
      </c>
      <c r="X2049">
        <v>0</v>
      </c>
      <c r="Y2049">
        <v>0</v>
      </c>
      <c r="Z2049">
        <v>93097.88</v>
      </c>
      <c r="AA2049">
        <v>93999.44</v>
      </c>
      <c r="AB2049" s="12" t="s">
        <v>2728</v>
      </c>
      <c r="AC2049">
        <v>53.214500000000001</v>
      </c>
      <c r="AD2049">
        <v>1</v>
      </c>
      <c r="AE2049">
        <v>1</v>
      </c>
      <c r="AF2049">
        <v>2899.3</v>
      </c>
      <c r="AG2049">
        <v>90198.58</v>
      </c>
      <c r="AH2049">
        <v>1695</v>
      </c>
      <c r="AI2049">
        <v>1683</v>
      </c>
      <c r="AJ2049">
        <v>12</v>
      </c>
      <c r="AK2049">
        <v>1</v>
      </c>
      <c r="AL2049">
        <v>1</v>
      </c>
      <c r="AM2049">
        <v>99.29</v>
      </c>
      <c r="AN2049">
        <v>55.8523</v>
      </c>
      <c r="AO2049">
        <v>659.1</v>
      </c>
      <c r="AP2049" s="13">
        <v>45363</v>
      </c>
      <c r="AQ2049">
        <v>-1</v>
      </c>
      <c r="AR2049">
        <v>1</v>
      </c>
    </row>
    <row r="2050" spans="1:44" x14ac:dyDescent="0.35">
      <c r="A2050" s="12" t="s">
        <v>2774</v>
      </c>
      <c r="B2050" s="12" t="s">
        <v>331</v>
      </c>
      <c r="C2050" s="12" t="s">
        <v>332</v>
      </c>
      <c r="D2050" s="12" t="s">
        <v>122</v>
      </c>
      <c r="E2050" s="12" t="s">
        <v>142</v>
      </c>
      <c r="F2050">
        <v>3</v>
      </c>
      <c r="G2050">
        <v>11</v>
      </c>
      <c r="H2050">
        <v>0</v>
      </c>
      <c r="I2050" s="12" t="s">
        <v>263</v>
      </c>
      <c r="J2050" s="12" t="s">
        <v>264</v>
      </c>
      <c r="K2050" s="12" t="s">
        <v>125</v>
      </c>
      <c r="L2050" s="12" t="s">
        <v>82</v>
      </c>
      <c r="M2050">
        <v>10.210000000000001</v>
      </c>
      <c r="N2050" s="12" t="s">
        <v>70</v>
      </c>
      <c r="O2050" s="12" t="s">
        <v>71</v>
      </c>
      <c r="P2050" s="12" t="s">
        <v>72</v>
      </c>
      <c r="Q2050" s="13">
        <v>45329</v>
      </c>
      <c r="R2050" s="13">
        <v>45365</v>
      </c>
      <c r="S2050">
        <v>2024</v>
      </c>
      <c r="T2050" s="12" t="s">
        <v>2740</v>
      </c>
      <c r="U2050">
        <v>347</v>
      </c>
      <c r="V2050">
        <v>24.008700000000001</v>
      </c>
      <c r="W2050">
        <v>99.41</v>
      </c>
      <c r="X2050">
        <v>0</v>
      </c>
      <c r="Y2050">
        <v>0</v>
      </c>
      <c r="Z2050">
        <v>8331.02</v>
      </c>
      <c r="AA2050">
        <v>8430.43</v>
      </c>
      <c r="AB2050" s="12" t="s">
        <v>2732</v>
      </c>
      <c r="AC2050">
        <v>24.008700000000001</v>
      </c>
      <c r="AD2050">
        <v>1</v>
      </c>
      <c r="AE2050">
        <v>1</v>
      </c>
      <c r="AF2050">
        <v>0</v>
      </c>
      <c r="AG2050">
        <v>8331.02</v>
      </c>
      <c r="AH2050">
        <v>347</v>
      </c>
      <c r="AI2050">
        <v>343</v>
      </c>
      <c r="AJ2050">
        <v>4</v>
      </c>
      <c r="AK2050">
        <v>1</v>
      </c>
      <c r="AL2050">
        <v>1</v>
      </c>
      <c r="AM2050">
        <v>98.85</v>
      </c>
      <c r="AN2050">
        <v>24.578499999999998</v>
      </c>
      <c r="AO2050">
        <v>96.03</v>
      </c>
      <c r="AP2050" s="13">
        <v>45374</v>
      </c>
      <c r="AQ2050">
        <v>9</v>
      </c>
      <c r="AR2050">
        <v>0</v>
      </c>
    </row>
    <row r="2051" spans="1:44" x14ac:dyDescent="0.35">
      <c r="A2051" s="12" t="s">
        <v>2775</v>
      </c>
      <c r="B2051" s="12" t="s">
        <v>855</v>
      </c>
      <c r="C2051" s="12" t="s">
        <v>856</v>
      </c>
      <c r="D2051" s="12" t="s">
        <v>269</v>
      </c>
      <c r="E2051" s="12" t="s">
        <v>65</v>
      </c>
      <c r="F2051">
        <v>3</v>
      </c>
      <c r="G2051">
        <v>5</v>
      </c>
      <c r="H2051">
        <v>0</v>
      </c>
      <c r="I2051" s="12" t="s">
        <v>227</v>
      </c>
      <c r="J2051" s="12" t="s">
        <v>228</v>
      </c>
      <c r="K2051" s="12" t="s">
        <v>89</v>
      </c>
      <c r="L2051" s="12" t="s">
        <v>96</v>
      </c>
      <c r="M2051">
        <v>9.15</v>
      </c>
      <c r="N2051" s="12" t="s">
        <v>159</v>
      </c>
      <c r="O2051" s="12" t="s">
        <v>160</v>
      </c>
      <c r="P2051" s="12" t="s">
        <v>137</v>
      </c>
      <c r="Q2051" s="13">
        <v>45329</v>
      </c>
      <c r="R2051" s="13">
        <v>45364</v>
      </c>
      <c r="S2051">
        <v>2024</v>
      </c>
      <c r="T2051" s="12" t="s">
        <v>2740</v>
      </c>
      <c r="U2051">
        <v>119</v>
      </c>
      <c r="V2051">
        <v>546.74369999999999</v>
      </c>
      <c r="W2051">
        <v>678.28</v>
      </c>
      <c r="X2051">
        <v>0</v>
      </c>
      <c r="Y2051">
        <v>0</v>
      </c>
      <c r="Z2051">
        <v>65062.5</v>
      </c>
      <c r="AA2051">
        <v>65740.78</v>
      </c>
      <c r="AB2051" s="12" t="s">
        <v>201</v>
      </c>
      <c r="AD2051">
        <v>0</v>
      </c>
      <c r="AE2051">
        <v>0</v>
      </c>
      <c r="AH2051">
        <v>119</v>
      </c>
      <c r="AI2051">
        <v>117</v>
      </c>
      <c r="AJ2051">
        <v>2</v>
      </c>
      <c r="AK2051">
        <v>1</v>
      </c>
      <c r="AL2051">
        <v>1</v>
      </c>
      <c r="AM2051">
        <v>98.32</v>
      </c>
      <c r="AN2051">
        <v>561.88699999999994</v>
      </c>
      <c r="AO2051">
        <v>1093.49</v>
      </c>
      <c r="AP2051" s="13">
        <v>45362</v>
      </c>
      <c r="AQ2051">
        <v>-2</v>
      </c>
      <c r="AR2051">
        <v>1</v>
      </c>
    </row>
    <row r="2052" spans="1:44" x14ac:dyDescent="0.35">
      <c r="A2052" s="12" t="s">
        <v>2776</v>
      </c>
      <c r="B2052" s="12" t="s">
        <v>494</v>
      </c>
      <c r="C2052" s="12" t="s">
        <v>495</v>
      </c>
      <c r="D2052" s="12" t="s">
        <v>175</v>
      </c>
      <c r="E2052" s="12" t="s">
        <v>65</v>
      </c>
      <c r="F2052">
        <v>2</v>
      </c>
      <c r="G2052">
        <v>3</v>
      </c>
      <c r="H2052">
        <v>0</v>
      </c>
      <c r="I2052" s="12" t="s">
        <v>275</v>
      </c>
      <c r="J2052" s="12" t="s">
        <v>276</v>
      </c>
      <c r="K2052" s="12" t="s">
        <v>89</v>
      </c>
      <c r="L2052" s="12" t="s">
        <v>82</v>
      </c>
      <c r="M2052">
        <v>14.26</v>
      </c>
      <c r="N2052" s="12" t="s">
        <v>145</v>
      </c>
      <c r="O2052" s="12" t="s">
        <v>146</v>
      </c>
      <c r="P2052" s="12" t="s">
        <v>109</v>
      </c>
      <c r="Q2052" s="13">
        <v>45329</v>
      </c>
      <c r="R2052" s="13">
        <v>45350</v>
      </c>
      <c r="S2052">
        <v>2024</v>
      </c>
      <c r="T2052" s="12" t="s">
        <v>2740</v>
      </c>
      <c r="U2052">
        <v>13</v>
      </c>
      <c r="V2052">
        <v>161.94200000000001</v>
      </c>
      <c r="W2052">
        <v>16.75</v>
      </c>
      <c r="X2052">
        <v>0</v>
      </c>
      <c r="Y2052">
        <v>0</v>
      </c>
      <c r="Z2052">
        <v>2105.25</v>
      </c>
      <c r="AA2052">
        <v>2122</v>
      </c>
      <c r="AB2052" s="12" t="s">
        <v>496</v>
      </c>
      <c r="AC2052">
        <v>161.94200000000001</v>
      </c>
      <c r="AD2052">
        <v>1</v>
      </c>
      <c r="AE2052">
        <v>1</v>
      </c>
      <c r="AF2052">
        <v>0</v>
      </c>
      <c r="AG2052">
        <v>2105.25</v>
      </c>
      <c r="AH2052">
        <v>13</v>
      </c>
      <c r="AI2052">
        <v>13</v>
      </c>
      <c r="AJ2052">
        <v>0</v>
      </c>
      <c r="AK2052">
        <v>1</v>
      </c>
      <c r="AL2052">
        <v>1</v>
      </c>
      <c r="AM2052">
        <v>100</v>
      </c>
      <c r="AN2052">
        <v>163.23050000000001</v>
      </c>
      <c r="AO2052">
        <v>0</v>
      </c>
      <c r="AP2052" s="13">
        <v>45347</v>
      </c>
      <c r="AQ2052">
        <v>-3</v>
      </c>
      <c r="AR2052">
        <v>1</v>
      </c>
    </row>
    <row r="2053" spans="1:44" x14ac:dyDescent="0.35">
      <c r="A2053" s="12" t="s">
        <v>2777</v>
      </c>
      <c r="B2053" s="12" t="s">
        <v>670</v>
      </c>
      <c r="C2053" s="12" t="s">
        <v>671</v>
      </c>
      <c r="D2053" s="12" t="s">
        <v>175</v>
      </c>
      <c r="E2053" s="12" t="s">
        <v>142</v>
      </c>
      <c r="F2053">
        <v>2</v>
      </c>
      <c r="G2053">
        <v>9</v>
      </c>
      <c r="H2053">
        <v>0</v>
      </c>
      <c r="I2053" s="12" t="s">
        <v>105</v>
      </c>
      <c r="J2053" s="12" t="s">
        <v>106</v>
      </c>
      <c r="K2053" s="12" t="s">
        <v>81</v>
      </c>
      <c r="L2053" s="12" t="s">
        <v>96</v>
      </c>
      <c r="M2053">
        <v>5.01</v>
      </c>
      <c r="N2053" s="12" t="s">
        <v>145</v>
      </c>
      <c r="O2053" s="12" t="s">
        <v>146</v>
      </c>
      <c r="P2053" s="12" t="s">
        <v>109</v>
      </c>
      <c r="Q2053" s="13">
        <v>45329</v>
      </c>
      <c r="R2053" s="13">
        <v>45369</v>
      </c>
      <c r="S2053">
        <v>2024</v>
      </c>
      <c r="T2053" s="12" t="s">
        <v>2740</v>
      </c>
      <c r="U2053">
        <v>54</v>
      </c>
      <c r="V2053">
        <v>151.31620000000001</v>
      </c>
      <c r="W2053">
        <v>157.01</v>
      </c>
      <c r="X2053">
        <v>0</v>
      </c>
      <c r="Y2053">
        <v>0</v>
      </c>
      <c r="Z2053">
        <v>8171.07</v>
      </c>
      <c r="AA2053">
        <v>8328.08</v>
      </c>
      <c r="AB2053" s="12" t="s">
        <v>1203</v>
      </c>
      <c r="AC2053">
        <v>151.31620000000001</v>
      </c>
      <c r="AD2053">
        <v>1</v>
      </c>
      <c r="AE2053">
        <v>1</v>
      </c>
      <c r="AF2053">
        <v>0</v>
      </c>
      <c r="AG2053">
        <v>8171.07</v>
      </c>
      <c r="AH2053">
        <v>54</v>
      </c>
      <c r="AI2053">
        <v>53</v>
      </c>
      <c r="AJ2053">
        <v>1</v>
      </c>
      <c r="AK2053">
        <v>1</v>
      </c>
      <c r="AL2053">
        <v>1</v>
      </c>
      <c r="AM2053">
        <v>98.15</v>
      </c>
      <c r="AN2053">
        <v>157.1337</v>
      </c>
      <c r="AO2053">
        <v>151.32</v>
      </c>
      <c r="AP2053" s="13">
        <v>45369</v>
      </c>
      <c r="AQ2053">
        <v>0</v>
      </c>
      <c r="AR2053">
        <v>1</v>
      </c>
    </row>
    <row r="2054" spans="1:44" x14ac:dyDescent="0.35">
      <c r="A2054" s="12" t="s">
        <v>2778</v>
      </c>
      <c r="B2054" s="12" t="s">
        <v>347</v>
      </c>
      <c r="C2054" s="12" t="s">
        <v>348</v>
      </c>
      <c r="D2054" s="12" t="s">
        <v>78</v>
      </c>
      <c r="E2054" s="12" t="s">
        <v>104</v>
      </c>
      <c r="F2054">
        <v>3</v>
      </c>
      <c r="G2054">
        <v>1</v>
      </c>
      <c r="H2054">
        <v>0</v>
      </c>
      <c r="I2054" s="12" t="s">
        <v>105</v>
      </c>
      <c r="J2054" s="12" t="s">
        <v>106</v>
      </c>
      <c r="K2054" s="12" t="s">
        <v>81</v>
      </c>
      <c r="L2054" s="12" t="s">
        <v>96</v>
      </c>
      <c r="M2054">
        <v>5.01</v>
      </c>
      <c r="N2054" s="12" t="s">
        <v>70</v>
      </c>
      <c r="O2054" s="12" t="s">
        <v>71</v>
      </c>
      <c r="P2054" s="12" t="s">
        <v>72</v>
      </c>
      <c r="Q2054" s="13">
        <v>45330</v>
      </c>
      <c r="R2054" s="13">
        <v>45355</v>
      </c>
      <c r="S2054">
        <v>2024</v>
      </c>
      <c r="T2054" s="12" t="s">
        <v>2740</v>
      </c>
      <c r="U2054">
        <v>229</v>
      </c>
      <c r="V2054">
        <v>100.34050000000001</v>
      </c>
      <c r="W2054">
        <v>586.94000000000005</v>
      </c>
      <c r="X2054">
        <v>0</v>
      </c>
      <c r="Y2054">
        <v>0</v>
      </c>
      <c r="Z2054">
        <v>22977.97</v>
      </c>
      <c r="AA2054">
        <v>23564.91</v>
      </c>
      <c r="AB2054" s="12" t="s">
        <v>841</v>
      </c>
      <c r="AC2054">
        <v>100.34050000000001</v>
      </c>
      <c r="AD2054">
        <v>1</v>
      </c>
      <c r="AE2054">
        <v>1</v>
      </c>
      <c r="AF2054">
        <v>0</v>
      </c>
      <c r="AG2054">
        <v>22977.97</v>
      </c>
      <c r="AH2054">
        <v>229</v>
      </c>
      <c r="AI2054">
        <v>225</v>
      </c>
      <c r="AJ2054">
        <v>4</v>
      </c>
      <c r="AK2054">
        <v>1</v>
      </c>
      <c r="AL2054">
        <v>1</v>
      </c>
      <c r="AM2054">
        <v>98.25</v>
      </c>
      <c r="AN2054">
        <v>104.733</v>
      </c>
      <c r="AO2054">
        <v>401.36</v>
      </c>
      <c r="AP2054" s="13">
        <v>45364</v>
      </c>
      <c r="AQ2054">
        <v>9</v>
      </c>
      <c r="AR2054">
        <v>0</v>
      </c>
    </row>
    <row r="2055" spans="1:44" x14ac:dyDescent="0.35">
      <c r="A2055" s="12" t="s">
        <v>2779</v>
      </c>
      <c r="B2055" s="12" t="s">
        <v>163</v>
      </c>
      <c r="C2055" s="12" t="s">
        <v>164</v>
      </c>
      <c r="D2055" s="12" t="s">
        <v>64</v>
      </c>
      <c r="E2055" s="12" t="s">
        <v>104</v>
      </c>
      <c r="F2055">
        <v>2</v>
      </c>
      <c r="G2055">
        <v>0</v>
      </c>
      <c r="H2055">
        <v>0</v>
      </c>
      <c r="I2055" s="12" t="s">
        <v>79</v>
      </c>
      <c r="J2055" s="12" t="s">
        <v>80</v>
      </c>
      <c r="K2055" s="12" t="s">
        <v>81</v>
      </c>
      <c r="L2055" s="12" t="s">
        <v>82</v>
      </c>
      <c r="M2055">
        <v>12.07</v>
      </c>
      <c r="N2055" s="12" t="s">
        <v>97</v>
      </c>
      <c r="O2055" s="12" t="s">
        <v>98</v>
      </c>
      <c r="P2055" s="12" t="s">
        <v>72</v>
      </c>
      <c r="Q2055" s="13">
        <v>45330</v>
      </c>
      <c r="R2055" s="13">
        <v>45356</v>
      </c>
      <c r="S2055">
        <v>2024</v>
      </c>
      <c r="T2055" s="12" t="s">
        <v>2740</v>
      </c>
      <c r="U2055">
        <v>844</v>
      </c>
      <c r="V2055">
        <v>11.6143</v>
      </c>
      <c r="W2055">
        <v>180.98</v>
      </c>
      <c r="X2055">
        <v>0</v>
      </c>
      <c r="Y2055">
        <v>0</v>
      </c>
      <c r="Z2055">
        <v>9802.4699999999993</v>
      </c>
      <c r="AA2055">
        <v>9983.4500000000007</v>
      </c>
      <c r="AB2055" s="12" t="s">
        <v>2780</v>
      </c>
      <c r="AC2055">
        <v>11.6143</v>
      </c>
      <c r="AD2055">
        <v>1</v>
      </c>
      <c r="AE2055">
        <v>1</v>
      </c>
      <c r="AF2055">
        <v>0</v>
      </c>
      <c r="AG2055">
        <v>9802.4699999999993</v>
      </c>
      <c r="AH2055">
        <v>844</v>
      </c>
      <c r="AI2055">
        <v>834</v>
      </c>
      <c r="AJ2055">
        <v>10</v>
      </c>
      <c r="AK2055">
        <v>1</v>
      </c>
      <c r="AL2055">
        <v>1</v>
      </c>
      <c r="AM2055">
        <v>98.82</v>
      </c>
      <c r="AN2055">
        <v>11.970599999999999</v>
      </c>
      <c r="AO2055">
        <v>116.14</v>
      </c>
      <c r="AP2055" s="13">
        <v>45356</v>
      </c>
      <c r="AQ2055">
        <v>0</v>
      </c>
      <c r="AR2055">
        <v>1</v>
      </c>
    </row>
    <row r="2056" spans="1:44" x14ac:dyDescent="0.35">
      <c r="A2056" s="12" t="s">
        <v>2781</v>
      </c>
      <c r="B2056" s="12" t="s">
        <v>1108</v>
      </c>
      <c r="C2056" s="12" t="s">
        <v>1109</v>
      </c>
      <c r="D2056" s="12" t="s">
        <v>103</v>
      </c>
      <c r="E2056" s="12" t="s">
        <v>65</v>
      </c>
      <c r="F2056">
        <v>3</v>
      </c>
      <c r="G2056">
        <v>4</v>
      </c>
      <c r="H2056">
        <v>0</v>
      </c>
      <c r="I2056" s="12" t="s">
        <v>79</v>
      </c>
      <c r="J2056" s="12" t="s">
        <v>80</v>
      </c>
      <c r="K2056" s="12" t="s">
        <v>81</v>
      </c>
      <c r="L2056" s="12" t="s">
        <v>82</v>
      </c>
      <c r="M2056">
        <v>12.07</v>
      </c>
      <c r="N2056" s="12" t="s">
        <v>107</v>
      </c>
      <c r="O2056" s="12" t="s">
        <v>108</v>
      </c>
      <c r="P2056" s="12" t="s">
        <v>109</v>
      </c>
      <c r="Q2056" s="13">
        <v>45330</v>
      </c>
      <c r="R2056" s="13">
        <v>45366</v>
      </c>
      <c r="S2056">
        <v>2024</v>
      </c>
      <c r="T2056" s="12" t="s">
        <v>2740</v>
      </c>
      <c r="U2056">
        <v>131</v>
      </c>
      <c r="V2056">
        <v>86.615200000000002</v>
      </c>
      <c r="W2056">
        <v>167.95</v>
      </c>
      <c r="X2056">
        <v>0</v>
      </c>
      <c r="Y2056">
        <v>0</v>
      </c>
      <c r="Z2056">
        <v>11346.59</v>
      </c>
      <c r="AA2056">
        <v>11514.54</v>
      </c>
      <c r="AB2056" s="12" t="s">
        <v>1634</v>
      </c>
      <c r="AC2056">
        <v>86.615200000000002</v>
      </c>
      <c r="AD2056">
        <v>1</v>
      </c>
      <c r="AE2056">
        <v>1</v>
      </c>
      <c r="AF2056">
        <v>0</v>
      </c>
      <c r="AG2056">
        <v>11346.59</v>
      </c>
      <c r="AH2056">
        <v>131</v>
      </c>
      <c r="AI2056">
        <v>129</v>
      </c>
      <c r="AJ2056">
        <v>2</v>
      </c>
      <c r="AK2056">
        <v>1</v>
      </c>
      <c r="AL2056">
        <v>1</v>
      </c>
      <c r="AM2056">
        <v>98.47</v>
      </c>
      <c r="AN2056">
        <v>89.26</v>
      </c>
      <c r="AO2056">
        <v>173.23</v>
      </c>
      <c r="AP2056" s="13">
        <v>45366</v>
      </c>
      <c r="AQ2056">
        <v>0</v>
      </c>
      <c r="AR2056">
        <v>1</v>
      </c>
    </row>
    <row r="2057" spans="1:44" x14ac:dyDescent="0.35">
      <c r="A2057" s="12" t="s">
        <v>2782</v>
      </c>
      <c r="B2057" s="12" t="s">
        <v>76</v>
      </c>
      <c r="C2057" s="12" t="s">
        <v>77</v>
      </c>
      <c r="D2057" s="12" t="s">
        <v>78</v>
      </c>
      <c r="E2057" s="12" t="s">
        <v>65</v>
      </c>
      <c r="F2057">
        <v>2</v>
      </c>
      <c r="G2057">
        <v>4</v>
      </c>
      <c r="H2057">
        <v>0</v>
      </c>
      <c r="I2057" s="12" t="s">
        <v>79</v>
      </c>
      <c r="J2057" s="12" t="s">
        <v>80</v>
      </c>
      <c r="K2057" s="12" t="s">
        <v>81</v>
      </c>
      <c r="L2057" s="12" t="s">
        <v>82</v>
      </c>
      <c r="M2057">
        <v>12.07</v>
      </c>
      <c r="N2057" s="12" t="s">
        <v>97</v>
      </c>
      <c r="O2057" s="12" t="s">
        <v>98</v>
      </c>
      <c r="P2057" s="12" t="s">
        <v>72</v>
      </c>
      <c r="Q2057" s="13">
        <v>45330</v>
      </c>
      <c r="R2057" s="13">
        <v>45354</v>
      </c>
      <c r="S2057">
        <v>2024</v>
      </c>
      <c r="T2057" s="12" t="s">
        <v>2740</v>
      </c>
      <c r="U2057">
        <v>96</v>
      </c>
      <c r="V2057">
        <v>45.034100000000002</v>
      </c>
      <c r="W2057">
        <v>86.45</v>
      </c>
      <c r="X2057">
        <v>0</v>
      </c>
      <c r="Y2057">
        <v>0</v>
      </c>
      <c r="Z2057">
        <v>4323.2700000000004</v>
      </c>
      <c r="AA2057">
        <v>4409.72</v>
      </c>
      <c r="AB2057" s="12" t="s">
        <v>2672</v>
      </c>
      <c r="AC2057">
        <v>45.034100000000002</v>
      </c>
      <c r="AD2057">
        <v>1</v>
      </c>
      <c r="AE2057">
        <v>1</v>
      </c>
      <c r="AF2057">
        <v>0</v>
      </c>
      <c r="AG2057">
        <v>4323.2700000000004</v>
      </c>
      <c r="AH2057">
        <v>96</v>
      </c>
      <c r="AI2057">
        <v>94</v>
      </c>
      <c r="AJ2057">
        <v>2</v>
      </c>
      <c r="AK2057">
        <v>1</v>
      </c>
      <c r="AL2057">
        <v>1</v>
      </c>
      <c r="AM2057">
        <v>97.92</v>
      </c>
      <c r="AN2057">
        <v>46.911999999999999</v>
      </c>
      <c r="AO2057">
        <v>90.07</v>
      </c>
      <c r="AP2057" s="13">
        <v>45354</v>
      </c>
      <c r="AQ2057">
        <v>0</v>
      </c>
      <c r="AR2057">
        <v>1</v>
      </c>
    </row>
    <row r="2058" spans="1:44" x14ac:dyDescent="0.35">
      <c r="A2058" s="12" t="s">
        <v>2783</v>
      </c>
      <c r="B2058" s="12" t="s">
        <v>465</v>
      </c>
      <c r="C2058" s="12" t="s">
        <v>466</v>
      </c>
      <c r="D2058" s="12" t="s">
        <v>78</v>
      </c>
      <c r="E2058" s="12" t="s">
        <v>142</v>
      </c>
      <c r="F2058">
        <v>3</v>
      </c>
      <c r="G2058">
        <v>11</v>
      </c>
      <c r="H2058">
        <v>0</v>
      </c>
      <c r="I2058" s="12" t="s">
        <v>195</v>
      </c>
      <c r="J2058" s="12" t="s">
        <v>196</v>
      </c>
      <c r="K2058" s="12" t="s">
        <v>117</v>
      </c>
      <c r="L2058" s="12" t="s">
        <v>134</v>
      </c>
      <c r="M2058">
        <v>4.7699999999999996</v>
      </c>
      <c r="N2058" s="12" t="s">
        <v>97</v>
      </c>
      <c r="O2058" s="12" t="s">
        <v>98</v>
      </c>
      <c r="P2058" s="12" t="s">
        <v>72</v>
      </c>
      <c r="Q2058" s="13">
        <v>45330</v>
      </c>
      <c r="R2058" s="13">
        <v>45379</v>
      </c>
      <c r="S2058">
        <v>2024</v>
      </c>
      <c r="T2058" s="12" t="s">
        <v>2740</v>
      </c>
      <c r="U2058">
        <v>248</v>
      </c>
      <c r="V2058">
        <v>103.7546</v>
      </c>
      <c r="W2058">
        <v>210.77</v>
      </c>
      <c r="X2058">
        <v>0</v>
      </c>
      <c r="Y2058">
        <v>0</v>
      </c>
      <c r="Z2058">
        <v>25731.14</v>
      </c>
      <c r="AA2058">
        <v>25941.91</v>
      </c>
      <c r="AB2058" s="12" t="s">
        <v>467</v>
      </c>
      <c r="AC2058">
        <v>110.11579999999999</v>
      </c>
      <c r="AD2058">
        <v>1</v>
      </c>
      <c r="AE2058">
        <v>1</v>
      </c>
      <c r="AF2058">
        <v>-1577.58</v>
      </c>
      <c r="AG2058">
        <v>27308.720000000001</v>
      </c>
      <c r="AH2058">
        <v>248</v>
      </c>
      <c r="AI2058">
        <v>245</v>
      </c>
      <c r="AJ2058">
        <v>3</v>
      </c>
      <c r="AK2058">
        <v>1</v>
      </c>
      <c r="AL2058">
        <v>1</v>
      </c>
      <c r="AM2058">
        <v>98.79</v>
      </c>
      <c r="AN2058">
        <v>105.8854</v>
      </c>
      <c r="AO2058">
        <v>311.26</v>
      </c>
      <c r="AP2058" s="13">
        <v>45376</v>
      </c>
      <c r="AQ2058">
        <v>-3</v>
      </c>
      <c r="AR2058">
        <v>1</v>
      </c>
    </row>
    <row r="2059" spans="1:44" x14ac:dyDescent="0.35">
      <c r="A2059" s="12" t="s">
        <v>2784</v>
      </c>
      <c r="B2059" s="12" t="s">
        <v>1068</v>
      </c>
      <c r="C2059" s="12" t="s">
        <v>1069</v>
      </c>
      <c r="D2059" s="12" t="s">
        <v>122</v>
      </c>
      <c r="E2059" s="12" t="s">
        <v>65</v>
      </c>
      <c r="F2059">
        <v>2</v>
      </c>
      <c r="G2059">
        <v>2</v>
      </c>
      <c r="H2059">
        <v>0</v>
      </c>
      <c r="I2059" s="12" t="s">
        <v>79</v>
      </c>
      <c r="J2059" s="12" t="s">
        <v>80</v>
      </c>
      <c r="K2059" s="12" t="s">
        <v>81</v>
      </c>
      <c r="L2059" s="12" t="s">
        <v>82</v>
      </c>
      <c r="M2059">
        <v>12.07</v>
      </c>
      <c r="N2059" s="12" t="s">
        <v>70</v>
      </c>
      <c r="O2059" s="12" t="s">
        <v>71</v>
      </c>
      <c r="P2059" s="12" t="s">
        <v>72</v>
      </c>
      <c r="Q2059" s="13">
        <v>45330</v>
      </c>
      <c r="R2059" s="13">
        <v>45365</v>
      </c>
      <c r="S2059">
        <v>2024</v>
      </c>
      <c r="T2059" s="12" t="s">
        <v>2740</v>
      </c>
      <c r="U2059">
        <v>1621</v>
      </c>
      <c r="V2059">
        <v>21.667100000000001</v>
      </c>
      <c r="W2059">
        <v>678.82</v>
      </c>
      <c r="X2059">
        <v>0</v>
      </c>
      <c r="Y2059">
        <v>0</v>
      </c>
      <c r="Z2059">
        <v>35122.370000000003</v>
      </c>
      <c r="AA2059">
        <v>35801.19</v>
      </c>
      <c r="AB2059" s="12" t="s">
        <v>1070</v>
      </c>
      <c r="AC2059">
        <v>21.667100000000001</v>
      </c>
      <c r="AD2059">
        <v>1</v>
      </c>
      <c r="AE2059">
        <v>1</v>
      </c>
      <c r="AF2059">
        <v>0</v>
      </c>
      <c r="AG2059">
        <v>35122.370000000003</v>
      </c>
      <c r="AH2059">
        <v>1621</v>
      </c>
      <c r="AI2059">
        <v>1610</v>
      </c>
      <c r="AJ2059">
        <v>11</v>
      </c>
      <c r="AK2059">
        <v>1</v>
      </c>
      <c r="AL2059">
        <v>1</v>
      </c>
      <c r="AM2059">
        <v>99.32</v>
      </c>
      <c r="AN2059">
        <v>22.236799999999999</v>
      </c>
      <c r="AO2059">
        <v>238.34</v>
      </c>
      <c r="AP2059" s="13">
        <v>45362</v>
      </c>
      <c r="AQ2059">
        <v>-3</v>
      </c>
      <c r="AR2059">
        <v>1</v>
      </c>
    </row>
    <row r="2060" spans="1:44" x14ac:dyDescent="0.35">
      <c r="A2060" s="12" t="s">
        <v>2785</v>
      </c>
      <c r="B2060" s="12" t="s">
        <v>339</v>
      </c>
      <c r="C2060" s="12" t="s">
        <v>340</v>
      </c>
      <c r="D2060" s="12" t="s">
        <v>103</v>
      </c>
      <c r="E2060" s="12" t="s">
        <v>142</v>
      </c>
      <c r="F2060">
        <v>2</v>
      </c>
      <c r="G2060">
        <v>9</v>
      </c>
      <c r="H2060">
        <v>0</v>
      </c>
      <c r="I2060" s="12" t="s">
        <v>169</v>
      </c>
      <c r="J2060" s="12" t="s">
        <v>170</v>
      </c>
      <c r="K2060" s="12" t="s">
        <v>89</v>
      </c>
      <c r="L2060" s="12" t="s">
        <v>134</v>
      </c>
      <c r="M2060">
        <v>1.37</v>
      </c>
      <c r="N2060" s="12" t="s">
        <v>107</v>
      </c>
      <c r="O2060" s="12" t="s">
        <v>108</v>
      </c>
      <c r="P2060" s="12" t="s">
        <v>109</v>
      </c>
      <c r="Q2060" s="13">
        <v>45330</v>
      </c>
      <c r="R2060" s="13">
        <v>45371</v>
      </c>
      <c r="S2060">
        <v>2024</v>
      </c>
      <c r="T2060" s="12" t="s">
        <v>2740</v>
      </c>
      <c r="U2060">
        <v>60</v>
      </c>
      <c r="V2060">
        <v>243.06290000000001</v>
      </c>
      <c r="W2060">
        <v>345.95</v>
      </c>
      <c r="X2060">
        <v>0</v>
      </c>
      <c r="Y2060">
        <v>0</v>
      </c>
      <c r="Z2060">
        <v>14583.77</v>
      </c>
      <c r="AA2060">
        <v>14929.72</v>
      </c>
      <c r="AB2060" s="12" t="s">
        <v>2786</v>
      </c>
      <c r="AC2060">
        <v>243.06290000000001</v>
      </c>
      <c r="AD2060">
        <v>1</v>
      </c>
      <c r="AE2060">
        <v>1</v>
      </c>
      <c r="AF2060">
        <v>0</v>
      </c>
      <c r="AG2060">
        <v>14583.77</v>
      </c>
      <c r="AH2060">
        <v>60</v>
      </c>
      <c r="AI2060">
        <v>59</v>
      </c>
      <c r="AJ2060">
        <v>1</v>
      </c>
      <c r="AK2060">
        <v>1</v>
      </c>
      <c r="AL2060">
        <v>1</v>
      </c>
      <c r="AM2060">
        <v>98.33</v>
      </c>
      <c r="AN2060">
        <v>253.0462</v>
      </c>
      <c r="AO2060">
        <v>243.06</v>
      </c>
      <c r="AP2060" s="13">
        <v>45367</v>
      </c>
      <c r="AQ2060">
        <v>-4</v>
      </c>
      <c r="AR2060">
        <v>1</v>
      </c>
    </row>
    <row r="2061" spans="1:44" x14ac:dyDescent="0.35">
      <c r="A2061" s="12" t="s">
        <v>2787</v>
      </c>
      <c r="B2061" s="12" t="s">
        <v>357</v>
      </c>
      <c r="C2061" s="12" t="s">
        <v>358</v>
      </c>
      <c r="D2061" s="12" t="s">
        <v>103</v>
      </c>
      <c r="E2061" s="12" t="s">
        <v>104</v>
      </c>
      <c r="F2061">
        <v>3</v>
      </c>
      <c r="G2061">
        <v>1</v>
      </c>
      <c r="H2061">
        <v>0</v>
      </c>
      <c r="I2061" s="12" t="s">
        <v>105</v>
      </c>
      <c r="J2061" s="12" t="s">
        <v>106</v>
      </c>
      <c r="K2061" s="12" t="s">
        <v>81</v>
      </c>
      <c r="L2061" s="12" t="s">
        <v>96</v>
      </c>
      <c r="M2061">
        <v>5.01</v>
      </c>
      <c r="N2061" s="12" t="s">
        <v>107</v>
      </c>
      <c r="O2061" s="12" t="s">
        <v>108</v>
      </c>
      <c r="P2061" s="12" t="s">
        <v>109</v>
      </c>
      <c r="Q2061" s="13">
        <v>45330</v>
      </c>
      <c r="R2061" s="13">
        <v>45347</v>
      </c>
      <c r="S2061">
        <v>2024</v>
      </c>
      <c r="T2061" s="12" t="s">
        <v>2740</v>
      </c>
      <c r="U2061">
        <v>50</v>
      </c>
      <c r="V2061">
        <v>106.6647</v>
      </c>
      <c r="W2061">
        <v>130.83000000000001</v>
      </c>
      <c r="X2061">
        <v>0</v>
      </c>
      <c r="Y2061">
        <v>0</v>
      </c>
      <c r="Z2061">
        <v>5333.24</v>
      </c>
      <c r="AA2061">
        <v>5464.07</v>
      </c>
      <c r="AB2061" s="12" t="s">
        <v>2591</v>
      </c>
      <c r="AC2061">
        <v>106.6647</v>
      </c>
      <c r="AD2061">
        <v>1</v>
      </c>
      <c r="AE2061">
        <v>1</v>
      </c>
      <c r="AF2061">
        <v>0</v>
      </c>
      <c r="AG2061">
        <v>5333.24</v>
      </c>
      <c r="AH2061">
        <v>50</v>
      </c>
      <c r="AI2061">
        <v>50</v>
      </c>
      <c r="AJ2061">
        <v>0</v>
      </c>
      <c r="AK2061">
        <v>1</v>
      </c>
      <c r="AL2061">
        <v>1</v>
      </c>
      <c r="AM2061">
        <v>100</v>
      </c>
      <c r="AN2061">
        <v>109.2813</v>
      </c>
      <c r="AO2061">
        <v>0</v>
      </c>
      <c r="AP2061" s="13">
        <v>45345</v>
      </c>
      <c r="AQ2061">
        <v>-2</v>
      </c>
      <c r="AR2061">
        <v>1</v>
      </c>
    </row>
    <row r="2062" spans="1:44" x14ac:dyDescent="0.35">
      <c r="A2062" s="12" t="s">
        <v>2788</v>
      </c>
      <c r="B2062" s="12" t="s">
        <v>869</v>
      </c>
      <c r="C2062" s="12" t="s">
        <v>870</v>
      </c>
      <c r="D2062" s="12" t="s">
        <v>130</v>
      </c>
      <c r="E2062" s="12" t="s">
        <v>104</v>
      </c>
      <c r="F2062">
        <v>2</v>
      </c>
      <c r="G2062">
        <v>0</v>
      </c>
      <c r="H2062">
        <v>0</v>
      </c>
      <c r="I2062" s="12" t="s">
        <v>515</v>
      </c>
      <c r="J2062" s="12" t="s">
        <v>516</v>
      </c>
      <c r="K2062" s="12" t="s">
        <v>68</v>
      </c>
      <c r="L2062" s="12" t="s">
        <v>134</v>
      </c>
      <c r="M2062">
        <v>3.69</v>
      </c>
      <c r="N2062" s="12" t="s">
        <v>159</v>
      </c>
      <c r="O2062" s="12" t="s">
        <v>160</v>
      </c>
      <c r="P2062" s="12" t="s">
        <v>137</v>
      </c>
      <c r="Q2062" s="13">
        <v>45330</v>
      </c>
      <c r="R2062" s="13">
        <v>45349</v>
      </c>
      <c r="S2062">
        <v>2024</v>
      </c>
      <c r="T2062" s="12" t="s">
        <v>2740</v>
      </c>
      <c r="U2062">
        <v>71</v>
      </c>
      <c r="V2062">
        <v>583.34230000000002</v>
      </c>
      <c r="W2062">
        <v>1057.05</v>
      </c>
      <c r="X2062">
        <v>0</v>
      </c>
      <c r="Y2062">
        <v>0</v>
      </c>
      <c r="Z2062">
        <v>41417.300000000003</v>
      </c>
      <c r="AA2062">
        <v>42474.35</v>
      </c>
      <c r="AB2062" s="12" t="s">
        <v>871</v>
      </c>
      <c r="AC2062">
        <v>583.34230000000002</v>
      </c>
      <c r="AD2062">
        <v>1</v>
      </c>
      <c r="AE2062">
        <v>1</v>
      </c>
      <c r="AF2062">
        <v>0</v>
      </c>
      <c r="AG2062">
        <v>41417.300000000003</v>
      </c>
      <c r="AH2062">
        <v>71</v>
      </c>
      <c r="AI2062">
        <v>70</v>
      </c>
      <c r="AJ2062">
        <v>1</v>
      </c>
      <c r="AK2062">
        <v>1</v>
      </c>
      <c r="AL2062">
        <v>1</v>
      </c>
      <c r="AM2062">
        <v>98.59</v>
      </c>
      <c r="AN2062">
        <v>606.77650000000006</v>
      </c>
      <c r="AO2062">
        <v>583.34</v>
      </c>
      <c r="AP2062" s="13">
        <v>45346</v>
      </c>
      <c r="AQ2062">
        <v>-3</v>
      </c>
      <c r="AR2062">
        <v>1</v>
      </c>
    </row>
    <row r="2063" spans="1:44" x14ac:dyDescent="0.35">
      <c r="A2063" s="12" t="s">
        <v>2789</v>
      </c>
      <c r="B2063" s="12" t="s">
        <v>602</v>
      </c>
      <c r="C2063" s="12" t="s">
        <v>603</v>
      </c>
      <c r="D2063" s="12" t="s">
        <v>114</v>
      </c>
      <c r="E2063" s="12" t="s">
        <v>142</v>
      </c>
      <c r="F2063">
        <v>2</v>
      </c>
      <c r="G2063">
        <v>10</v>
      </c>
      <c r="H2063">
        <v>0</v>
      </c>
      <c r="I2063" s="12" t="s">
        <v>263</v>
      </c>
      <c r="J2063" s="12" t="s">
        <v>264</v>
      </c>
      <c r="K2063" s="12" t="s">
        <v>125</v>
      </c>
      <c r="L2063" s="12" t="s">
        <v>82</v>
      </c>
      <c r="M2063">
        <v>10.210000000000001</v>
      </c>
      <c r="N2063" s="12" t="s">
        <v>97</v>
      </c>
      <c r="O2063" s="12" t="s">
        <v>98</v>
      </c>
      <c r="P2063" s="12" t="s">
        <v>72</v>
      </c>
      <c r="Q2063" s="13">
        <v>45330</v>
      </c>
      <c r="R2063" s="13">
        <v>45381</v>
      </c>
      <c r="S2063">
        <v>2024</v>
      </c>
      <c r="T2063" s="12" t="s">
        <v>2740</v>
      </c>
      <c r="U2063">
        <v>136</v>
      </c>
      <c r="V2063">
        <v>210.69990000000001</v>
      </c>
      <c r="W2063">
        <v>652.73</v>
      </c>
      <c r="X2063">
        <v>0</v>
      </c>
      <c r="Y2063">
        <v>0</v>
      </c>
      <c r="Z2063">
        <v>28655.19</v>
      </c>
      <c r="AA2063">
        <v>29307.919999999998</v>
      </c>
      <c r="AB2063" s="12" t="s">
        <v>2790</v>
      </c>
      <c r="AC2063">
        <v>210.69990000000001</v>
      </c>
      <c r="AD2063">
        <v>1</v>
      </c>
      <c r="AE2063">
        <v>1</v>
      </c>
      <c r="AF2063">
        <v>0</v>
      </c>
      <c r="AG2063">
        <v>28655.19</v>
      </c>
      <c r="AH2063">
        <v>136</v>
      </c>
      <c r="AI2063">
        <v>135</v>
      </c>
      <c r="AJ2063">
        <v>1</v>
      </c>
      <c r="AK2063">
        <v>1</v>
      </c>
      <c r="AL2063">
        <v>1</v>
      </c>
      <c r="AM2063">
        <v>99.26</v>
      </c>
      <c r="AN2063">
        <v>217.09569999999999</v>
      </c>
      <c r="AO2063">
        <v>210.7</v>
      </c>
      <c r="AP2063" s="13">
        <v>45378</v>
      </c>
      <c r="AQ2063">
        <v>-3</v>
      </c>
      <c r="AR2063">
        <v>1</v>
      </c>
    </row>
    <row r="2064" spans="1:44" x14ac:dyDescent="0.35">
      <c r="A2064" s="12" t="s">
        <v>2791</v>
      </c>
      <c r="B2064" s="12" t="s">
        <v>891</v>
      </c>
      <c r="C2064" s="12" t="s">
        <v>892</v>
      </c>
      <c r="D2064" s="12" t="s">
        <v>122</v>
      </c>
      <c r="E2064" s="12" t="s">
        <v>65</v>
      </c>
      <c r="F2064">
        <v>3</v>
      </c>
      <c r="G2064">
        <v>5</v>
      </c>
      <c r="H2064">
        <v>0</v>
      </c>
      <c r="I2064" s="12" t="s">
        <v>195</v>
      </c>
      <c r="J2064" s="12" t="s">
        <v>196</v>
      </c>
      <c r="K2064" s="12" t="s">
        <v>117</v>
      </c>
      <c r="L2064" s="12" t="s">
        <v>134</v>
      </c>
      <c r="M2064">
        <v>4.7699999999999996</v>
      </c>
      <c r="N2064" s="12" t="s">
        <v>97</v>
      </c>
      <c r="O2064" s="12" t="s">
        <v>98</v>
      </c>
      <c r="P2064" s="12" t="s">
        <v>72</v>
      </c>
      <c r="Q2064" s="13">
        <v>45331</v>
      </c>
      <c r="R2064" s="13">
        <v>45363</v>
      </c>
      <c r="S2064">
        <v>2024</v>
      </c>
      <c r="T2064" s="12" t="s">
        <v>2740</v>
      </c>
      <c r="U2064">
        <v>1390</v>
      </c>
      <c r="V2064">
        <v>39.456000000000003</v>
      </c>
      <c r="W2064">
        <v>401.17</v>
      </c>
      <c r="X2064">
        <v>0</v>
      </c>
      <c r="Y2064">
        <v>0</v>
      </c>
      <c r="Z2064">
        <v>54843.839999999997</v>
      </c>
      <c r="AA2064">
        <v>55245.01</v>
      </c>
      <c r="AB2064" s="12" t="s">
        <v>893</v>
      </c>
      <c r="AC2064">
        <v>39.456000000000003</v>
      </c>
      <c r="AD2064">
        <v>1</v>
      </c>
      <c r="AE2064">
        <v>1</v>
      </c>
      <c r="AF2064">
        <v>0</v>
      </c>
      <c r="AG2064">
        <v>54843.839999999997</v>
      </c>
      <c r="AH2064">
        <v>1390</v>
      </c>
      <c r="AI2064">
        <v>1383</v>
      </c>
      <c r="AJ2064">
        <v>7</v>
      </c>
      <c r="AK2064">
        <v>1</v>
      </c>
      <c r="AL2064">
        <v>1</v>
      </c>
      <c r="AM2064">
        <v>99.5</v>
      </c>
      <c r="AN2064">
        <v>39.945799999999998</v>
      </c>
      <c r="AO2064">
        <v>276.19</v>
      </c>
      <c r="AP2064" s="13">
        <v>45363</v>
      </c>
      <c r="AQ2064">
        <v>0</v>
      </c>
      <c r="AR2064">
        <v>1</v>
      </c>
    </row>
    <row r="2065" spans="1:44" x14ac:dyDescent="0.35">
      <c r="A2065" s="12" t="s">
        <v>2792</v>
      </c>
      <c r="B2065" s="12" t="s">
        <v>163</v>
      </c>
      <c r="C2065" s="12" t="s">
        <v>164</v>
      </c>
      <c r="D2065" s="12" t="s">
        <v>64</v>
      </c>
      <c r="E2065" s="12" t="s">
        <v>104</v>
      </c>
      <c r="F2065">
        <v>2</v>
      </c>
      <c r="G2065">
        <v>0</v>
      </c>
      <c r="H2065">
        <v>0</v>
      </c>
      <c r="I2065" s="12" t="s">
        <v>79</v>
      </c>
      <c r="J2065" s="12" t="s">
        <v>80</v>
      </c>
      <c r="K2065" s="12" t="s">
        <v>81</v>
      </c>
      <c r="L2065" s="12" t="s">
        <v>82</v>
      </c>
      <c r="M2065">
        <v>12.07</v>
      </c>
      <c r="N2065" s="12" t="s">
        <v>97</v>
      </c>
      <c r="O2065" s="12" t="s">
        <v>98</v>
      </c>
      <c r="P2065" s="12" t="s">
        <v>72</v>
      </c>
      <c r="Q2065" s="13">
        <v>45331</v>
      </c>
      <c r="R2065" s="13">
        <v>45348</v>
      </c>
      <c r="S2065">
        <v>2024</v>
      </c>
      <c r="T2065" s="12" t="s">
        <v>2740</v>
      </c>
      <c r="U2065">
        <v>360</v>
      </c>
      <c r="V2065">
        <v>11.6143</v>
      </c>
      <c r="W2065">
        <v>83.94</v>
      </c>
      <c r="X2065">
        <v>0</v>
      </c>
      <c r="Y2065">
        <v>0</v>
      </c>
      <c r="Z2065">
        <v>4181.1499999999996</v>
      </c>
      <c r="AA2065">
        <v>4265.09</v>
      </c>
      <c r="AB2065" s="12" t="s">
        <v>2780</v>
      </c>
      <c r="AC2065">
        <v>11.6143</v>
      </c>
      <c r="AD2065">
        <v>1</v>
      </c>
      <c r="AE2065">
        <v>1</v>
      </c>
      <c r="AF2065">
        <v>0</v>
      </c>
      <c r="AG2065">
        <v>4181.1499999999996</v>
      </c>
      <c r="AH2065">
        <v>360</v>
      </c>
      <c r="AI2065">
        <v>357</v>
      </c>
      <c r="AJ2065">
        <v>3</v>
      </c>
      <c r="AK2065">
        <v>1</v>
      </c>
      <c r="AL2065">
        <v>1</v>
      </c>
      <c r="AM2065">
        <v>99.17</v>
      </c>
      <c r="AN2065">
        <v>11.946999999999999</v>
      </c>
      <c r="AO2065">
        <v>34.840000000000003</v>
      </c>
      <c r="AP2065" s="13">
        <v>45348</v>
      </c>
      <c r="AQ2065">
        <v>0</v>
      </c>
      <c r="AR2065">
        <v>1</v>
      </c>
    </row>
    <row r="2066" spans="1:44" x14ac:dyDescent="0.35">
      <c r="A2066" s="12" t="s">
        <v>2793</v>
      </c>
      <c r="B2066" s="12" t="s">
        <v>766</v>
      </c>
      <c r="C2066" s="12" t="s">
        <v>767</v>
      </c>
      <c r="D2066" s="12" t="s">
        <v>175</v>
      </c>
      <c r="E2066" s="12" t="s">
        <v>65</v>
      </c>
      <c r="F2066">
        <v>3</v>
      </c>
      <c r="G2066">
        <v>5</v>
      </c>
      <c r="H2066">
        <v>0</v>
      </c>
      <c r="I2066" s="12" t="s">
        <v>87</v>
      </c>
      <c r="J2066" s="12" t="s">
        <v>88</v>
      </c>
      <c r="K2066" s="12" t="s">
        <v>89</v>
      </c>
      <c r="L2066" s="12" t="s">
        <v>69</v>
      </c>
      <c r="M2066">
        <v>14.93</v>
      </c>
      <c r="N2066" s="12" t="s">
        <v>107</v>
      </c>
      <c r="O2066" s="12" t="s">
        <v>108</v>
      </c>
      <c r="P2066" s="12" t="s">
        <v>109</v>
      </c>
      <c r="Q2066" s="13">
        <v>45331</v>
      </c>
      <c r="R2066" s="13">
        <v>45369</v>
      </c>
      <c r="S2066">
        <v>2024</v>
      </c>
      <c r="T2066" s="12" t="s">
        <v>2740</v>
      </c>
      <c r="U2066">
        <v>148</v>
      </c>
      <c r="V2066">
        <v>86.977900000000005</v>
      </c>
      <c r="W2066">
        <v>110.78</v>
      </c>
      <c r="X2066">
        <v>0</v>
      </c>
      <c r="Y2066">
        <v>0</v>
      </c>
      <c r="Z2066">
        <v>12872.73</v>
      </c>
      <c r="AA2066">
        <v>12983.51</v>
      </c>
      <c r="AB2066" s="12" t="s">
        <v>768</v>
      </c>
      <c r="AC2066">
        <v>86.977900000000005</v>
      </c>
      <c r="AD2066">
        <v>1</v>
      </c>
      <c r="AE2066">
        <v>1</v>
      </c>
      <c r="AF2066">
        <v>0</v>
      </c>
      <c r="AG2066">
        <v>12872.73</v>
      </c>
      <c r="AH2066">
        <v>148</v>
      </c>
      <c r="AI2066">
        <v>146</v>
      </c>
      <c r="AJ2066">
        <v>2</v>
      </c>
      <c r="AK2066">
        <v>1</v>
      </c>
      <c r="AL2066">
        <v>1</v>
      </c>
      <c r="AM2066">
        <v>98.65</v>
      </c>
      <c r="AN2066">
        <v>88.928100000000001</v>
      </c>
      <c r="AO2066">
        <v>173.96</v>
      </c>
      <c r="AP2066" s="13">
        <v>45369</v>
      </c>
      <c r="AQ2066">
        <v>0</v>
      </c>
      <c r="AR2066">
        <v>1</v>
      </c>
    </row>
    <row r="2067" spans="1:44" x14ac:dyDescent="0.35">
      <c r="A2067" s="12" t="s">
        <v>2794</v>
      </c>
      <c r="B2067" s="12" t="s">
        <v>308</v>
      </c>
      <c r="C2067" s="12" t="s">
        <v>309</v>
      </c>
      <c r="D2067" s="12" t="s">
        <v>122</v>
      </c>
      <c r="E2067" s="12" t="s">
        <v>142</v>
      </c>
      <c r="F2067">
        <v>1</v>
      </c>
      <c r="G2067">
        <v>6</v>
      </c>
      <c r="H2067">
        <v>1</v>
      </c>
      <c r="I2067" s="12" t="s">
        <v>310</v>
      </c>
      <c r="J2067" s="12" t="s">
        <v>311</v>
      </c>
      <c r="K2067" s="12" t="s">
        <v>81</v>
      </c>
      <c r="L2067" s="12" t="s">
        <v>69</v>
      </c>
      <c r="M2067">
        <v>28.3</v>
      </c>
      <c r="N2067" s="12" t="s">
        <v>70</v>
      </c>
      <c r="O2067" s="12" t="s">
        <v>71</v>
      </c>
      <c r="P2067" s="12" t="s">
        <v>72</v>
      </c>
      <c r="Q2067" s="13">
        <v>45331</v>
      </c>
      <c r="R2067" s="13">
        <v>45375</v>
      </c>
      <c r="S2067">
        <v>2024</v>
      </c>
      <c r="T2067" s="12" t="s">
        <v>2740</v>
      </c>
      <c r="U2067">
        <v>1193</v>
      </c>
      <c r="V2067">
        <v>58.086399999999998</v>
      </c>
      <c r="W2067">
        <v>1453.77</v>
      </c>
      <c r="X2067">
        <v>0</v>
      </c>
      <c r="Y2067">
        <v>0</v>
      </c>
      <c r="Z2067">
        <v>69297.08</v>
      </c>
      <c r="AA2067">
        <v>70750.850000000006</v>
      </c>
      <c r="AB2067" s="12" t="s">
        <v>2726</v>
      </c>
      <c r="AC2067">
        <v>58.086399999999998</v>
      </c>
      <c r="AD2067">
        <v>1</v>
      </c>
      <c r="AE2067">
        <v>1</v>
      </c>
      <c r="AF2067">
        <v>0</v>
      </c>
      <c r="AG2067">
        <v>69297.08</v>
      </c>
      <c r="AH2067">
        <v>1193</v>
      </c>
      <c r="AI2067">
        <v>1180</v>
      </c>
      <c r="AJ2067">
        <v>13</v>
      </c>
      <c r="AK2067">
        <v>1</v>
      </c>
      <c r="AL2067">
        <v>1</v>
      </c>
      <c r="AM2067">
        <v>98.91</v>
      </c>
      <c r="AN2067">
        <v>59.958300000000001</v>
      </c>
      <c r="AO2067">
        <v>755.12</v>
      </c>
      <c r="AP2067" s="13">
        <v>45373</v>
      </c>
      <c r="AQ2067">
        <v>-2</v>
      </c>
      <c r="AR2067">
        <v>1</v>
      </c>
    </row>
    <row r="2068" spans="1:44" x14ac:dyDescent="0.35">
      <c r="A2068" s="12" t="s">
        <v>2795</v>
      </c>
      <c r="B2068" s="12" t="s">
        <v>1068</v>
      </c>
      <c r="C2068" s="12" t="s">
        <v>1069</v>
      </c>
      <c r="D2068" s="12" t="s">
        <v>122</v>
      </c>
      <c r="E2068" s="12" t="s">
        <v>65</v>
      </c>
      <c r="F2068">
        <v>2</v>
      </c>
      <c r="G2068">
        <v>2</v>
      </c>
      <c r="H2068">
        <v>0</v>
      </c>
      <c r="I2068" s="12" t="s">
        <v>195</v>
      </c>
      <c r="J2068" s="12" t="s">
        <v>196</v>
      </c>
      <c r="K2068" s="12" t="s">
        <v>117</v>
      </c>
      <c r="L2068" s="12" t="s">
        <v>134</v>
      </c>
      <c r="M2068">
        <v>4.7699999999999996</v>
      </c>
      <c r="N2068" s="12" t="s">
        <v>97</v>
      </c>
      <c r="O2068" s="12" t="s">
        <v>98</v>
      </c>
      <c r="P2068" s="12" t="s">
        <v>72</v>
      </c>
      <c r="Q2068" s="13">
        <v>45331</v>
      </c>
      <c r="R2068" s="13">
        <v>45358</v>
      </c>
      <c r="S2068">
        <v>2024</v>
      </c>
      <c r="T2068" s="12" t="s">
        <v>2740</v>
      </c>
      <c r="U2068">
        <v>897</v>
      </c>
      <c r="V2068">
        <v>21.667100000000001</v>
      </c>
      <c r="W2068">
        <v>227.15</v>
      </c>
      <c r="X2068">
        <v>0</v>
      </c>
      <c r="Y2068">
        <v>0</v>
      </c>
      <c r="Z2068">
        <v>19435.39</v>
      </c>
      <c r="AA2068">
        <v>19662.54</v>
      </c>
      <c r="AB2068" s="12" t="s">
        <v>1370</v>
      </c>
      <c r="AC2068">
        <v>21.667100000000001</v>
      </c>
      <c r="AD2068">
        <v>1</v>
      </c>
      <c r="AE2068">
        <v>1</v>
      </c>
      <c r="AF2068">
        <v>0</v>
      </c>
      <c r="AG2068">
        <v>19435.39</v>
      </c>
      <c r="AH2068">
        <v>897</v>
      </c>
      <c r="AI2068">
        <v>887</v>
      </c>
      <c r="AJ2068">
        <v>10</v>
      </c>
      <c r="AK2068">
        <v>1</v>
      </c>
      <c r="AL2068">
        <v>1</v>
      </c>
      <c r="AM2068">
        <v>98.89</v>
      </c>
      <c r="AN2068">
        <v>22.1675</v>
      </c>
      <c r="AO2068">
        <v>216.67</v>
      </c>
      <c r="AP2068" s="13">
        <v>45368</v>
      </c>
      <c r="AQ2068">
        <v>10</v>
      </c>
      <c r="AR2068">
        <v>0</v>
      </c>
    </row>
    <row r="2069" spans="1:44" x14ac:dyDescent="0.35">
      <c r="A2069" s="12" t="s">
        <v>2796</v>
      </c>
      <c r="B2069" s="12" t="s">
        <v>120</v>
      </c>
      <c r="C2069" s="12" t="s">
        <v>121</v>
      </c>
      <c r="D2069" s="12" t="s">
        <v>122</v>
      </c>
      <c r="E2069" s="12" t="s">
        <v>65</v>
      </c>
      <c r="F2069">
        <v>3</v>
      </c>
      <c r="G2069">
        <v>4</v>
      </c>
      <c r="H2069">
        <v>0</v>
      </c>
      <c r="I2069" s="12" t="s">
        <v>123</v>
      </c>
      <c r="J2069" s="12" t="s">
        <v>124</v>
      </c>
      <c r="K2069" s="12" t="s">
        <v>125</v>
      </c>
      <c r="L2069" s="12" t="s">
        <v>82</v>
      </c>
      <c r="M2069">
        <v>6.75</v>
      </c>
      <c r="N2069" s="12" t="s">
        <v>70</v>
      </c>
      <c r="O2069" s="12" t="s">
        <v>71</v>
      </c>
      <c r="P2069" s="12" t="s">
        <v>72</v>
      </c>
      <c r="Q2069" s="13">
        <v>45331</v>
      </c>
      <c r="R2069" s="13">
        <v>45358</v>
      </c>
      <c r="S2069">
        <v>2024</v>
      </c>
      <c r="T2069" s="12" t="s">
        <v>2740</v>
      </c>
      <c r="U2069">
        <v>824</v>
      </c>
      <c r="V2069">
        <v>53.214500000000001</v>
      </c>
      <c r="W2069">
        <v>318.64</v>
      </c>
      <c r="X2069">
        <v>0</v>
      </c>
      <c r="Y2069">
        <v>0</v>
      </c>
      <c r="Z2069">
        <v>43848.75</v>
      </c>
      <c r="AA2069">
        <v>44167.39</v>
      </c>
      <c r="AB2069" s="12" t="s">
        <v>2728</v>
      </c>
      <c r="AC2069">
        <v>53.214500000000001</v>
      </c>
      <c r="AD2069">
        <v>1</v>
      </c>
      <c r="AE2069">
        <v>1</v>
      </c>
      <c r="AF2069">
        <v>0</v>
      </c>
      <c r="AG2069">
        <v>43848.75</v>
      </c>
      <c r="AH2069">
        <v>824</v>
      </c>
      <c r="AI2069">
        <v>817</v>
      </c>
      <c r="AJ2069">
        <v>7</v>
      </c>
      <c r="AK2069">
        <v>1</v>
      </c>
      <c r="AL2069">
        <v>1</v>
      </c>
      <c r="AM2069">
        <v>99.15</v>
      </c>
      <c r="AN2069">
        <v>54.060499999999998</v>
      </c>
      <c r="AO2069">
        <v>372.5</v>
      </c>
      <c r="AP2069" s="13">
        <v>45358</v>
      </c>
      <c r="AQ2069">
        <v>0</v>
      </c>
      <c r="AR2069">
        <v>1</v>
      </c>
    </row>
    <row r="2070" spans="1:44" x14ac:dyDescent="0.35">
      <c r="A2070" s="12" t="s">
        <v>2797</v>
      </c>
      <c r="B2070" s="12" t="s">
        <v>420</v>
      </c>
      <c r="C2070" s="12" t="s">
        <v>421</v>
      </c>
      <c r="D2070" s="12" t="s">
        <v>269</v>
      </c>
      <c r="E2070" s="12" t="s">
        <v>104</v>
      </c>
      <c r="F2070">
        <v>2</v>
      </c>
      <c r="G2070">
        <v>0</v>
      </c>
      <c r="H2070">
        <v>0</v>
      </c>
      <c r="I2070" s="12" t="s">
        <v>335</v>
      </c>
      <c r="J2070" s="12" t="s">
        <v>336</v>
      </c>
      <c r="K2070" s="12" t="s">
        <v>89</v>
      </c>
      <c r="L2070" s="12" t="s">
        <v>82</v>
      </c>
      <c r="M2070">
        <v>16</v>
      </c>
      <c r="N2070" s="12" t="s">
        <v>159</v>
      </c>
      <c r="O2070" s="12" t="s">
        <v>160</v>
      </c>
      <c r="P2070" s="12" t="s">
        <v>137</v>
      </c>
      <c r="Q2070" s="13">
        <v>45331</v>
      </c>
      <c r="R2070" s="13">
        <v>45358</v>
      </c>
      <c r="S2070">
        <v>2024</v>
      </c>
      <c r="T2070" s="12" t="s">
        <v>2740</v>
      </c>
      <c r="U2070">
        <v>129</v>
      </c>
      <c r="V2070">
        <v>146.53960000000001</v>
      </c>
      <c r="W2070">
        <v>344.42</v>
      </c>
      <c r="X2070">
        <v>0</v>
      </c>
      <c r="Y2070">
        <v>0</v>
      </c>
      <c r="Z2070">
        <v>18903.61</v>
      </c>
      <c r="AA2070">
        <v>19248.03</v>
      </c>
      <c r="AB2070" s="12" t="s">
        <v>636</v>
      </c>
      <c r="AC2070">
        <v>146.53960000000001</v>
      </c>
      <c r="AD2070">
        <v>1</v>
      </c>
      <c r="AE2070">
        <v>1</v>
      </c>
      <c r="AF2070">
        <v>0</v>
      </c>
      <c r="AG2070">
        <v>18903.61</v>
      </c>
      <c r="AH2070">
        <v>129</v>
      </c>
      <c r="AI2070">
        <v>129</v>
      </c>
      <c r="AJ2070">
        <v>0</v>
      </c>
      <c r="AK2070">
        <v>1</v>
      </c>
      <c r="AL2070">
        <v>1</v>
      </c>
      <c r="AM2070">
        <v>100</v>
      </c>
      <c r="AN2070">
        <v>149.20949999999999</v>
      </c>
      <c r="AO2070">
        <v>0</v>
      </c>
      <c r="AP2070" s="13">
        <v>45354</v>
      </c>
      <c r="AQ2070">
        <v>-4</v>
      </c>
      <c r="AR2070">
        <v>1</v>
      </c>
    </row>
    <row r="2071" spans="1:44" x14ac:dyDescent="0.35">
      <c r="A2071" s="12" t="s">
        <v>2798</v>
      </c>
      <c r="B2071" s="12" t="s">
        <v>163</v>
      </c>
      <c r="C2071" s="12" t="s">
        <v>164</v>
      </c>
      <c r="D2071" s="12" t="s">
        <v>64</v>
      </c>
      <c r="E2071" s="12" t="s">
        <v>104</v>
      </c>
      <c r="F2071">
        <v>2</v>
      </c>
      <c r="G2071">
        <v>0</v>
      </c>
      <c r="H2071">
        <v>0</v>
      </c>
      <c r="I2071" s="12" t="s">
        <v>79</v>
      </c>
      <c r="J2071" s="12" t="s">
        <v>80</v>
      </c>
      <c r="K2071" s="12" t="s">
        <v>81</v>
      </c>
      <c r="L2071" s="12" t="s">
        <v>82</v>
      </c>
      <c r="M2071">
        <v>12.07</v>
      </c>
      <c r="N2071" s="12" t="s">
        <v>97</v>
      </c>
      <c r="O2071" s="12" t="s">
        <v>98</v>
      </c>
      <c r="P2071" s="12" t="s">
        <v>72</v>
      </c>
      <c r="Q2071" s="13">
        <v>45331</v>
      </c>
      <c r="R2071" s="13">
        <v>45348</v>
      </c>
      <c r="S2071">
        <v>2024</v>
      </c>
      <c r="T2071" s="12" t="s">
        <v>2740</v>
      </c>
      <c r="U2071">
        <v>360</v>
      </c>
      <c r="V2071">
        <v>11.6143</v>
      </c>
      <c r="W2071">
        <v>83.94</v>
      </c>
      <c r="X2071">
        <v>0</v>
      </c>
      <c r="Y2071">
        <v>0</v>
      </c>
      <c r="Z2071">
        <v>4181.1499999999996</v>
      </c>
      <c r="AA2071">
        <v>4265.09</v>
      </c>
      <c r="AB2071" s="12" t="s">
        <v>2780</v>
      </c>
      <c r="AC2071">
        <v>11.6143</v>
      </c>
      <c r="AD2071">
        <v>1</v>
      </c>
      <c r="AE2071">
        <v>1</v>
      </c>
      <c r="AF2071">
        <v>0</v>
      </c>
      <c r="AG2071">
        <v>4181.1499999999996</v>
      </c>
      <c r="AK2071">
        <v>0</v>
      </c>
      <c r="AL2071">
        <v>0</v>
      </c>
      <c r="AO2071">
        <v>0</v>
      </c>
      <c r="AP2071" s="13"/>
    </row>
    <row r="2072" spans="1:44" x14ac:dyDescent="0.35">
      <c r="A2072" s="12" t="s">
        <v>2799</v>
      </c>
      <c r="B2072" s="12" t="s">
        <v>416</v>
      </c>
      <c r="C2072" s="12" t="s">
        <v>417</v>
      </c>
      <c r="D2072" s="12" t="s">
        <v>78</v>
      </c>
      <c r="E2072" s="12" t="s">
        <v>65</v>
      </c>
      <c r="F2072">
        <v>3</v>
      </c>
      <c r="G2072">
        <v>5</v>
      </c>
      <c r="H2072">
        <v>0</v>
      </c>
      <c r="I2072" s="12" t="s">
        <v>87</v>
      </c>
      <c r="J2072" s="12" t="s">
        <v>88</v>
      </c>
      <c r="K2072" s="12" t="s">
        <v>89</v>
      </c>
      <c r="L2072" s="12" t="s">
        <v>69</v>
      </c>
      <c r="M2072">
        <v>14.93</v>
      </c>
      <c r="N2072" s="12" t="s">
        <v>97</v>
      </c>
      <c r="O2072" s="12" t="s">
        <v>98</v>
      </c>
      <c r="P2072" s="12" t="s">
        <v>72</v>
      </c>
      <c r="Q2072" s="13">
        <v>45334</v>
      </c>
      <c r="R2072" s="13">
        <v>45362</v>
      </c>
      <c r="S2072">
        <v>2024</v>
      </c>
      <c r="T2072" s="12" t="s">
        <v>2740</v>
      </c>
      <c r="U2072">
        <v>141</v>
      </c>
      <c r="V2072">
        <v>135.5153</v>
      </c>
      <c r="W2072">
        <v>319.93</v>
      </c>
      <c r="X2072">
        <v>0</v>
      </c>
      <c r="Y2072">
        <v>0</v>
      </c>
      <c r="Z2072">
        <v>19107.66</v>
      </c>
      <c r="AA2072">
        <v>19427.59</v>
      </c>
      <c r="AB2072" s="12" t="s">
        <v>595</v>
      </c>
      <c r="AC2072">
        <v>144.15710000000001</v>
      </c>
      <c r="AD2072">
        <v>1</v>
      </c>
      <c r="AE2072">
        <v>1</v>
      </c>
      <c r="AF2072">
        <v>-1218.49</v>
      </c>
      <c r="AG2072">
        <v>20326.150000000001</v>
      </c>
      <c r="AH2072">
        <v>141</v>
      </c>
      <c r="AI2072">
        <v>139</v>
      </c>
      <c r="AJ2072">
        <v>2</v>
      </c>
      <c r="AK2072">
        <v>1</v>
      </c>
      <c r="AL2072">
        <v>1</v>
      </c>
      <c r="AM2072">
        <v>98.58</v>
      </c>
      <c r="AN2072">
        <v>139.76679999999999</v>
      </c>
      <c r="AO2072">
        <v>271.02999999999997</v>
      </c>
      <c r="AP2072" s="13">
        <v>45359</v>
      </c>
      <c r="AQ2072">
        <v>-3</v>
      </c>
      <c r="AR2072">
        <v>1</v>
      </c>
    </row>
    <row r="2073" spans="1:44" x14ac:dyDescent="0.35">
      <c r="A2073" s="12" t="s">
        <v>2800</v>
      </c>
      <c r="B2073" s="12" t="s">
        <v>555</v>
      </c>
      <c r="C2073" s="12" t="s">
        <v>556</v>
      </c>
      <c r="D2073" s="12" t="s">
        <v>114</v>
      </c>
      <c r="E2073" s="12" t="s">
        <v>142</v>
      </c>
      <c r="F2073">
        <v>1</v>
      </c>
      <c r="G2073">
        <v>6</v>
      </c>
      <c r="H2073">
        <v>1</v>
      </c>
      <c r="I2073" s="12" t="s">
        <v>151</v>
      </c>
      <c r="J2073" s="12" t="s">
        <v>152</v>
      </c>
      <c r="K2073" s="12" t="s">
        <v>125</v>
      </c>
      <c r="L2073" s="12" t="s">
        <v>69</v>
      </c>
      <c r="M2073">
        <v>36.479999999999997</v>
      </c>
      <c r="N2073" s="12" t="s">
        <v>97</v>
      </c>
      <c r="O2073" s="12" t="s">
        <v>98</v>
      </c>
      <c r="P2073" s="12" t="s">
        <v>72</v>
      </c>
      <c r="Q2073" s="13">
        <v>45334</v>
      </c>
      <c r="R2073" s="13">
        <v>45369</v>
      </c>
      <c r="S2073">
        <v>2024</v>
      </c>
      <c r="T2073" s="12" t="s">
        <v>2740</v>
      </c>
      <c r="U2073">
        <v>17</v>
      </c>
      <c r="V2073">
        <v>290.42770000000002</v>
      </c>
      <c r="W2073">
        <v>43.08</v>
      </c>
      <c r="X2073">
        <v>0</v>
      </c>
      <c r="Y2073">
        <v>0</v>
      </c>
      <c r="Z2073">
        <v>4937.2700000000004</v>
      </c>
      <c r="AA2073">
        <v>4980.3500000000004</v>
      </c>
      <c r="AB2073" s="12" t="s">
        <v>557</v>
      </c>
      <c r="AC2073">
        <v>290.42770000000002</v>
      </c>
      <c r="AD2073">
        <v>1</v>
      </c>
      <c r="AE2073">
        <v>1</v>
      </c>
      <c r="AF2073">
        <v>0</v>
      </c>
      <c r="AG2073">
        <v>4937.2700000000004</v>
      </c>
      <c r="AH2073">
        <v>17</v>
      </c>
      <c r="AI2073">
        <v>17</v>
      </c>
      <c r="AJ2073">
        <v>0</v>
      </c>
      <c r="AK2073">
        <v>1</v>
      </c>
      <c r="AL2073">
        <v>1</v>
      </c>
      <c r="AM2073">
        <v>100</v>
      </c>
      <c r="AN2073">
        <v>292.96179999999998</v>
      </c>
      <c r="AO2073">
        <v>0</v>
      </c>
      <c r="AP2073" s="13">
        <v>45366</v>
      </c>
      <c r="AQ2073">
        <v>-3</v>
      </c>
      <c r="AR2073">
        <v>1</v>
      </c>
    </row>
    <row r="2074" spans="1:44" x14ac:dyDescent="0.35">
      <c r="A2074" s="12" t="s">
        <v>2801</v>
      </c>
      <c r="B2074" s="12" t="s">
        <v>92</v>
      </c>
      <c r="C2074" s="12" t="s">
        <v>93</v>
      </c>
      <c r="D2074" s="12" t="s">
        <v>64</v>
      </c>
      <c r="E2074" s="12" t="s">
        <v>65</v>
      </c>
      <c r="F2074">
        <v>3</v>
      </c>
      <c r="G2074">
        <v>5</v>
      </c>
      <c r="H2074">
        <v>0</v>
      </c>
      <c r="I2074" s="12" t="s">
        <v>94</v>
      </c>
      <c r="J2074" s="12" t="s">
        <v>95</v>
      </c>
      <c r="K2074" s="12" t="s">
        <v>81</v>
      </c>
      <c r="L2074" s="12" t="s">
        <v>96</v>
      </c>
      <c r="M2074">
        <v>4.8099999999999996</v>
      </c>
      <c r="N2074" s="12" t="s">
        <v>70</v>
      </c>
      <c r="O2074" s="12" t="s">
        <v>71</v>
      </c>
      <c r="P2074" s="12" t="s">
        <v>72</v>
      </c>
      <c r="Q2074" s="13">
        <v>45334</v>
      </c>
      <c r="R2074" s="13">
        <v>45369</v>
      </c>
      <c r="S2074">
        <v>2024</v>
      </c>
      <c r="T2074" s="12" t="s">
        <v>2740</v>
      </c>
      <c r="U2074">
        <v>819</v>
      </c>
      <c r="V2074">
        <v>23.8764</v>
      </c>
      <c r="W2074">
        <v>139.18</v>
      </c>
      <c r="X2074">
        <v>621.5</v>
      </c>
      <c r="Y2074">
        <v>1</v>
      </c>
      <c r="Z2074">
        <v>19554.77</v>
      </c>
      <c r="AA2074">
        <v>20315.45</v>
      </c>
      <c r="AB2074" s="12" t="s">
        <v>2802</v>
      </c>
      <c r="AC2074">
        <v>23.8764</v>
      </c>
      <c r="AD2074">
        <v>1</v>
      </c>
      <c r="AE2074">
        <v>1</v>
      </c>
      <c r="AF2074">
        <v>0</v>
      </c>
      <c r="AG2074">
        <v>19554.77</v>
      </c>
      <c r="AH2074">
        <v>819</v>
      </c>
      <c r="AI2074">
        <v>817</v>
      </c>
      <c r="AJ2074">
        <v>2</v>
      </c>
      <c r="AK2074">
        <v>1</v>
      </c>
      <c r="AL2074">
        <v>1</v>
      </c>
      <c r="AM2074">
        <v>99.76</v>
      </c>
      <c r="AN2074">
        <v>24.8659</v>
      </c>
      <c r="AO2074">
        <v>47.75</v>
      </c>
      <c r="AP2074" s="13">
        <v>45367</v>
      </c>
      <c r="AQ2074">
        <v>-2</v>
      </c>
      <c r="AR2074">
        <v>1</v>
      </c>
    </row>
    <row r="2075" spans="1:44" x14ac:dyDescent="0.35">
      <c r="A2075" s="12" t="s">
        <v>2803</v>
      </c>
      <c r="B2075" s="12" t="s">
        <v>231</v>
      </c>
      <c r="C2075" s="12" t="s">
        <v>232</v>
      </c>
      <c r="D2075" s="12" t="s">
        <v>130</v>
      </c>
      <c r="E2075" s="12" t="s">
        <v>65</v>
      </c>
      <c r="F2075">
        <v>1</v>
      </c>
      <c r="G2075">
        <v>2</v>
      </c>
      <c r="H2075">
        <v>1</v>
      </c>
      <c r="I2075" s="12" t="s">
        <v>233</v>
      </c>
      <c r="J2075" s="12" t="s">
        <v>234</v>
      </c>
      <c r="K2075" s="12" t="s">
        <v>125</v>
      </c>
      <c r="L2075" s="12" t="s">
        <v>96</v>
      </c>
      <c r="M2075">
        <v>3.73</v>
      </c>
      <c r="N2075" s="12" t="s">
        <v>159</v>
      </c>
      <c r="O2075" s="12" t="s">
        <v>160</v>
      </c>
      <c r="P2075" s="12" t="s">
        <v>137</v>
      </c>
      <c r="Q2075" s="13">
        <v>45334</v>
      </c>
      <c r="R2075" s="13">
        <v>45356</v>
      </c>
      <c r="S2075">
        <v>2024</v>
      </c>
      <c r="T2075" s="12" t="s">
        <v>2740</v>
      </c>
      <c r="U2075">
        <v>24</v>
      </c>
      <c r="V2075">
        <v>474.79399999999998</v>
      </c>
      <c r="W2075">
        <v>87.41</v>
      </c>
      <c r="X2075">
        <v>0</v>
      </c>
      <c r="Y2075">
        <v>0</v>
      </c>
      <c r="Z2075">
        <v>11395.06</v>
      </c>
      <c r="AA2075">
        <v>11482.47</v>
      </c>
      <c r="AB2075" s="12" t="s">
        <v>201</v>
      </c>
      <c r="AD2075">
        <v>0</v>
      </c>
      <c r="AE2075">
        <v>0</v>
      </c>
      <c r="AH2075">
        <v>24</v>
      </c>
      <c r="AI2075">
        <v>24</v>
      </c>
      <c r="AJ2075">
        <v>0</v>
      </c>
      <c r="AK2075">
        <v>1</v>
      </c>
      <c r="AL2075">
        <v>1</v>
      </c>
      <c r="AM2075">
        <v>100</v>
      </c>
      <c r="AN2075">
        <v>478.43610000000001</v>
      </c>
      <c r="AO2075">
        <v>0</v>
      </c>
      <c r="AP2075" s="13">
        <v>45359</v>
      </c>
      <c r="AQ2075">
        <v>3</v>
      </c>
      <c r="AR2075">
        <v>0</v>
      </c>
    </row>
    <row r="2076" spans="1:44" x14ac:dyDescent="0.35">
      <c r="A2076" s="12" t="s">
        <v>2804</v>
      </c>
      <c r="B2076" s="12" t="s">
        <v>941</v>
      </c>
      <c r="C2076" s="12" t="s">
        <v>942</v>
      </c>
      <c r="D2076" s="12" t="s">
        <v>130</v>
      </c>
      <c r="E2076" s="12" t="s">
        <v>104</v>
      </c>
      <c r="F2076">
        <v>2</v>
      </c>
      <c r="G2076">
        <v>0</v>
      </c>
      <c r="H2076">
        <v>0</v>
      </c>
      <c r="I2076" s="12" t="s">
        <v>131</v>
      </c>
      <c r="J2076" s="12" t="s">
        <v>132</v>
      </c>
      <c r="K2076" s="12" t="s">
        <v>133</v>
      </c>
      <c r="L2076" s="12" t="s">
        <v>134</v>
      </c>
      <c r="M2076">
        <v>1.51</v>
      </c>
      <c r="N2076" s="12" t="s">
        <v>135</v>
      </c>
      <c r="O2076" s="12" t="s">
        <v>136</v>
      </c>
      <c r="P2076" s="12" t="s">
        <v>137</v>
      </c>
      <c r="Q2076" s="13">
        <v>45334</v>
      </c>
      <c r="R2076" s="13">
        <v>45359</v>
      </c>
      <c r="S2076">
        <v>2024</v>
      </c>
      <c r="T2076" s="12" t="s">
        <v>2740</v>
      </c>
      <c r="U2076">
        <v>111</v>
      </c>
      <c r="V2076">
        <v>932.84209999999996</v>
      </c>
      <c r="W2076">
        <v>2572.69</v>
      </c>
      <c r="X2076">
        <v>0</v>
      </c>
      <c r="Y2076">
        <v>0</v>
      </c>
      <c r="Z2076">
        <v>103545.47</v>
      </c>
      <c r="AA2076">
        <v>106118.16</v>
      </c>
      <c r="AB2076" s="12" t="s">
        <v>943</v>
      </c>
      <c r="AC2076">
        <v>990.29020000000003</v>
      </c>
      <c r="AD2076">
        <v>1</v>
      </c>
      <c r="AE2076">
        <v>1</v>
      </c>
      <c r="AF2076">
        <v>-6376.74</v>
      </c>
      <c r="AG2076">
        <v>109922.21</v>
      </c>
      <c r="AH2076">
        <v>111</v>
      </c>
      <c r="AI2076">
        <v>102</v>
      </c>
      <c r="AJ2076">
        <v>9</v>
      </c>
      <c r="AK2076">
        <v>1</v>
      </c>
      <c r="AL2076">
        <v>1</v>
      </c>
      <c r="AM2076">
        <v>91.89</v>
      </c>
      <c r="AN2076">
        <v>1040.3741</v>
      </c>
      <c r="AO2076">
        <v>8395.58</v>
      </c>
      <c r="AP2076" s="13">
        <v>45359</v>
      </c>
      <c r="AQ2076">
        <v>0</v>
      </c>
      <c r="AR2076">
        <v>1</v>
      </c>
    </row>
    <row r="2077" spans="1:44" x14ac:dyDescent="0.35">
      <c r="A2077" s="12" t="s">
        <v>2805</v>
      </c>
      <c r="B2077" s="12" t="s">
        <v>924</v>
      </c>
      <c r="C2077" s="12" t="s">
        <v>925</v>
      </c>
      <c r="D2077" s="12" t="s">
        <v>103</v>
      </c>
      <c r="E2077" s="12" t="s">
        <v>104</v>
      </c>
      <c r="F2077">
        <v>2</v>
      </c>
      <c r="G2077">
        <v>0</v>
      </c>
      <c r="H2077">
        <v>0</v>
      </c>
      <c r="I2077" s="12" t="s">
        <v>335</v>
      </c>
      <c r="J2077" s="12" t="s">
        <v>336</v>
      </c>
      <c r="K2077" s="12" t="s">
        <v>89</v>
      </c>
      <c r="L2077" s="12" t="s">
        <v>82</v>
      </c>
      <c r="M2077">
        <v>16</v>
      </c>
      <c r="N2077" s="12" t="s">
        <v>145</v>
      </c>
      <c r="O2077" s="12" t="s">
        <v>146</v>
      </c>
      <c r="P2077" s="12" t="s">
        <v>109</v>
      </c>
      <c r="Q2077" s="13">
        <v>45334</v>
      </c>
      <c r="R2077" s="13">
        <v>45356</v>
      </c>
      <c r="S2077">
        <v>2024</v>
      </c>
      <c r="T2077" s="12" t="s">
        <v>2740</v>
      </c>
      <c r="U2077">
        <v>94</v>
      </c>
      <c r="V2077">
        <v>152.12049999999999</v>
      </c>
      <c r="W2077">
        <v>209.93</v>
      </c>
      <c r="X2077">
        <v>0</v>
      </c>
      <c r="Y2077">
        <v>0</v>
      </c>
      <c r="Z2077">
        <v>14299.33</v>
      </c>
      <c r="AA2077">
        <v>14509.26</v>
      </c>
      <c r="AB2077" s="12" t="s">
        <v>926</v>
      </c>
      <c r="AC2077">
        <v>161.51509999999999</v>
      </c>
      <c r="AD2077">
        <v>1</v>
      </c>
      <c r="AE2077">
        <v>1</v>
      </c>
      <c r="AF2077">
        <v>-883.09</v>
      </c>
      <c r="AG2077">
        <v>15182.42</v>
      </c>
      <c r="AH2077">
        <v>94</v>
      </c>
      <c r="AI2077">
        <v>94</v>
      </c>
      <c r="AJ2077">
        <v>0</v>
      </c>
      <c r="AK2077">
        <v>1</v>
      </c>
      <c r="AL2077">
        <v>1</v>
      </c>
      <c r="AM2077">
        <v>100</v>
      </c>
      <c r="AN2077">
        <v>154.35380000000001</v>
      </c>
      <c r="AO2077">
        <v>0</v>
      </c>
      <c r="AP2077" s="13">
        <v>45353</v>
      </c>
      <c r="AQ2077">
        <v>-3</v>
      </c>
      <c r="AR2077">
        <v>1</v>
      </c>
    </row>
    <row r="2078" spans="1:44" x14ac:dyDescent="0.35">
      <c r="A2078" s="12" t="s">
        <v>2806</v>
      </c>
      <c r="B2078" s="12" t="s">
        <v>494</v>
      </c>
      <c r="C2078" s="12" t="s">
        <v>495</v>
      </c>
      <c r="D2078" s="12" t="s">
        <v>175</v>
      </c>
      <c r="E2078" s="12" t="s">
        <v>65</v>
      </c>
      <c r="F2078">
        <v>2</v>
      </c>
      <c r="G2078">
        <v>3</v>
      </c>
      <c r="H2078">
        <v>0</v>
      </c>
      <c r="I2078" s="12" t="s">
        <v>515</v>
      </c>
      <c r="J2078" s="12" t="s">
        <v>516</v>
      </c>
      <c r="K2078" s="12" t="s">
        <v>68</v>
      </c>
      <c r="L2078" s="12" t="s">
        <v>134</v>
      </c>
      <c r="M2078">
        <v>3.69</v>
      </c>
      <c r="N2078" s="12" t="s">
        <v>145</v>
      </c>
      <c r="O2078" s="12" t="s">
        <v>146</v>
      </c>
      <c r="P2078" s="12" t="s">
        <v>109</v>
      </c>
      <c r="Q2078" s="13">
        <v>45334</v>
      </c>
      <c r="R2078" s="13">
        <v>45364</v>
      </c>
      <c r="S2078">
        <v>2024</v>
      </c>
      <c r="T2078" s="12" t="s">
        <v>2740</v>
      </c>
      <c r="U2078">
        <v>86</v>
      </c>
      <c r="V2078">
        <v>148.2114</v>
      </c>
      <c r="W2078">
        <v>261.02999999999997</v>
      </c>
      <c r="X2078">
        <v>0</v>
      </c>
      <c r="Y2078">
        <v>0</v>
      </c>
      <c r="Z2078">
        <v>12746.18</v>
      </c>
      <c r="AA2078">
        <v>13007.21</v>
      </c>
      <c r="AB2078" s="12" t="s">
        <v>2807</v>
      </c>
      <c r="AC2078">
        <v>157.60329999999999</v>
      </c>
      <c r="AD2078">
        <v>1</v>
      </c>
      <c r="AE2078">
        <v>1</v>
      </c>
      <c r="AF2078">
        <v>-807.7</v>
      </c>
      <c r="AG2078">
        <v>13553.88</v>
      </c>
      <c r="AH2078">
        <v>86</v>
      </c>
      <c r="AI2078">
        <v>85</v>
      </c>
      <c r="AJ2078">
        <v>1</v>
      </c>
      <c r="AK2078">
        <v>1</v>
      </c>
      <c r="AL2078">
        <v>1</v>
      </c>
      <c r="AM2078">
        <v>98.84</v>
      </c>
      <c r="AN2078">
        <v>153.02600000000001</v>
      </c>
      <c r="AO2078">
        <v>148.21</v>
      </c>
      <c r="AP2078" s="13">
        <v>45361</v>
      </c>
      <c r="AQ2078">
        <v>-3</v>
      </c>
      <c r="AR2078">
        <v>1</v>
      </c>
    </row>
    <row r="2079" spans="1:44" x14ac:dyDescent="0.35">
      <c r="A2079" s="12" t="s">
        <v>2808</v>
      </c>
      <c r="B2079" s="12" t="s">
        <v>587</v>
      </c>
      <c r="C2079" s="12" t="s">
        <v>588</v>
      </c>
      <c r="D2079" s="12" t="s">
        <v>122</v>
      </c>
      <c r="E2079" s="12" t="s">
        <v>104</v>
      </c>
      <c r="F2079">
        <v>2</v>
      </c>
      <c r="G2079">
        <v>0</v>
      </c>
      <c r="H2079">
        <v>0</v>
      </c>
      <c r="I2079" s="12" t="s">
        <v>94</v>
      </c>
      <c r="J2079" s="12" t="s">
        <v>95</v>
      </c>
      <c r="K2079" s="12" t="s">
        <v>81</v>
      </c>
      <c r="L2079" s="12" t="s">
        <v>96</v>
      </c>
      <c r="M2079">
        <v>4.8099999999999996</v>
      </c>
      <c r="N2079" s="12" t="s">
        <v>97</v>
      </c>
      <c r="O2079" s="12" t="s">
        <v>98</v>
      </c>
      <c r="P2079" s="12" t="s">
        <v>72</v>
      </c>
      <c r="Q2079" s="13">
        <v>45334</v>
      </c>
      <c r="R2079" s="13">
        <v>45349</v>
      </c>
      <c r="S2079">
        <v>2024</v>
      </c>
      <c r="T2079" s="12" t="s">
        <v>2740</v>
      </c>
      <c r="U2079">
        <v>516</v>
      </c>
      <c r="V2079">
        <v>12.517899999999999</v>
      </c>
      <c r="W2079">
        <v>77.459999999999994</v>
      </c>
      <c r="X2079">
        <v>0</v>
      </c>
      <c r="Y2079">
        <v>0</v>
      </c>
      <c r="Z2079">
        <v>6459.24</v>
      </c>
      <c r="AA2079">
        <v>6536.7</v>
      </c>
      <c r="AB2079" s="12" t="s">
        <v>589</v>
      </c>
      <c r="AC2079">
        <v>12.517899999999999</v>
      </c>
      <c r="AD2079">
        <v>1</v>
      </c>
      <c r="AE2079">
        <v>1</v>
      </c>
      <c r="AF2079">
        <v>0</v>
      </c>
      <c r="AG2079">
        <v>6459.24</v>
      </c>
      <c r="AH2079">
        <v>516</v>
      </c>
      <c r="AI2079">
        <v>515</v>
      </c>
      <c r="AJ2079">
        <v>1</v>
      </c>
      <c r="AK2079">
        <v>1</v>
      </c>
      <c r="AL2079">
        <v>1</v>
      </c>
      <c r="AM2079">
        <v>99.81</v>
      </c>
      <c r="AN2079">
        <v>12.692600000000001</v>
      </c>
      <c r="AO2079">
        <v>12.52</v>
      </c>
      <c r="AP2079" s="13">
        <v>45346</v>
      </c>
      <c r="AQ2079">
        <v>-3</v>
      </c>
      <c r="AR2079">
        <v>1</v>
      </c>
    </row>
    <row r="2080" spans="1:44" x14ac:dyDescent="0.35">
      <c r="A2080" s="12" t="s">
        <v>2809</v>
      </c>
      <c r="B2080" s="12" t="s">
        <v>972</v>
      </c>
      <c r="C2080" s="12" t="s">
        <v>973</v>
      </c>
      <c r="D2080" s="12" t="s">
        <v>130</v>
      </c>
      <c r="E2080" s="12" t="s">
        <v>142</v>
      </c>
      <c r="F2080">
        <v>2</v>
      </c>
      <c r="G2080">
        <v>9</v>
      </c>
      <c r="H2080">
        <v>0</v>
      </c>
      <c r="I2080" s="12" t="s">
        <v>676</v>
      </c>
      <c r="J2080" s="12" t="s">
        <v>677</v>
      </c>
      <c r="K2080" s="12" t="s">
        <v>68</v>
      </c>
      <c r="L2080" s="12" t="s">
        <v>96</v>
      </c>
      <c r="M2080">
        <v>3.57</v>
      </c>
      <c r="N2080" s="12" t="s">
        <v>135</v>
      </c>
      <c r="O2080" s="12" t="s">
        <v>136</v>
      </c>
      <c r="P2080" s="12" t="s">
        <v>137</v>
      </c>
      <c r="Q2080" s="13">
        <v>45334</v>
      </c>
      <c r="R2080" s="13">
        <v>45374</v>
      </c>
      <c r="S2080">
        <v>2024</v>
      </c>
      <c r="T2080" s="12" t="s">
        <v>2740</v>
      </c>
      <c r="U2080">
        <v>53</v>
      </c>
      <c r="V2080">
        <v>842.69190000000003</v>
      </c>
      <c r="W2080">
        <v>650.76</v>
      </c>
      <c r="X2080">
        <v>0</v>
      </c>
      <c r="Y2080">
        <v>0</v>
      </c>
      <c r="Z2080">
        <v>44662.67</v>
      </c>
      <c r="AA2080">
        <v>45313.43</v>
      </c>
      <c r="AB2080" s="12" t="s">
        <v>974</v>
      </c>
      <c r="AC2080">
        <v>842.69190000000003</v>
      </c>
      <c r="AD2080">
        <v>1</v>
      </c>
      <c r="AE2080">
        <v>1</v>
      </c>
      <c r="AF2080">
        <v>0</v>
      </c>
      <c r="AG2080">
        <v>44662.67</v>
      </c>
      <c r="AH2080">
        <v>53</v>
      </c>
      <c r="AI2080">
        <v>52</v>
      </c>
      <c r="AJ2080">
        <v>1</v>
      </c>
      <c r="AK2080">
        <v>1</v>
      </c>
      <c r="AL2080">
        <v>1</v>
      </c>
      <c r="AM2080">
        <v>98.11</v>
      </c>
      <c r="AN2080">
        <v>871.41210000000001</v>
      </c>
      <c r="AO2080">
        <v>842.69</v>
      </c>
      <c r="AP2080" s="13">
        <v>45374</v>
      </c>
      <c r="AQ2080">
        <v>0</v>
      </c>
      <c r="AR2080">
        <v>1</v>
      </c>
    </row>
    <row r="2081" spans="1:44" x14ac:dyDescent="0.35">
      <c r="A2081" s="12" t="s">
        <v>2810</v>
      </c>
      <c r="B2081" s="12" t="s">
        <v>1034</v>
      </c>
      <c r="C2081" s="12" t="s">
        <v>1035</v>
      </c>
      <c r="D2081" s="12" t="s">
        <v>64</v>
      </c>
      <c r="E2081" s="12" t="s">
        <v>104</v>
      </c>
      <c r="F2081">
        <v>2</v>
      </c>
      <c r="G2081">
        <v>0</v>
      </c>
      <c r="H2081">
        <v>0</v>
      </c>
      <c r="I2081" s="12" t="s">
        <v>157</v>
      </c>
      <c r="J2081" s="12" t="s">
        <v>158</v>
      </c>
      <c r="K2081" s="12" t="s">
        <v>117</v>
      </c>
      <c r="L2081" s="12" t="s">
        <v>96</v>
      </c>
      <c r="M2081">
        <v>4.72</v>
      </c>
      <c r="N2081" s="12" t="s">
        <v>97</v>
      </c>
      <c r="O2081" s="12" t="s">
        <v>98</v>
      </c>
      <c r="P2081" s="12" t="s">
        <v>72</v>
      </c>
      <c r="Q2081" s="13">
        <v>45335</v>
      </c>
      <c r="R2081" s="13">
        <v>45361</v>
      </c>
      <c r="S2081">
        <v>2024</v>
      </c>
      <c r="T2081" s="12" t="s">
        <v>2740</v>
      </c>
      <c r="U2081">
        <v>844</v>
      </c>
      <c r="V2081">
        <v>9.9979999999999993</v>
      </c>
      <c r="W2081">
        <v>135.37</v>
      </c>
      <c r="X2081">
        <v>0</v>
      </c>
      <c r="Y2081">
        <v>0</v>
      </c>
      <c r="Z2081">
        <v>8438.31</v>
      </c>
      <c r="AA2081">
        <v>8573.68</v>
      </c>
      <c r="AB2081" s="12" t="s">
        <v>1036</v>
      </c>
      <c r="AC2081">
        <v>9.9979999999999993</v>
      </c>
      <c r="AD2081">
        <v>1</v>
      </c>
      <c r="AE2081">
        <v>1</v>
      </c>
      <c r="AF2081">
        <v>0</v>
      </c>
      <c r="AG2081">
        <v>8438.31</v>
      </c>
      <c r="AH2081">
        <v>844</v>
      </c>
      <c r="AI2081">
        <v>840</v>
      </c>
      <c r="AJ2081">
        <v>4</v>
      </c>
      <c r="AK2081">
        <v>1</v>
      </c>
      <c r="AL2081">
        <v>1</v>
      </c>
      <c r="AM2081">
        <v>99.53</v>
      </c>
      <c r="AN2081">
        <v>10.206799999999999</v>
      </c>
      <c r="AO2081">
        <v>39.99</v>
      </c>
      <c r="AP2081" s="13">
        <v>45361</v>
      </c>
      <c r="AQ2081">
        <v>0</v>
      </c>
      <c r="AR2081">
        <v>1</v>
      </c>
    </row>
    <row r="2082" spans="1:44" x14ac:dyDescent="0.35">
      <c r="A2082" s="12" t="s">
        <v>2811</v>
      </c>
      <c r="B2082" s="12" t="s">
        <v>350</v>
      </c>
      <c r="C2082" s="12" t="s">
        <v>351</v>
      </c>
      <c r="D2082" s="12" t="s">
        <v>64</v>
      </c>
      <c r="E2082" s="12" t="s">
        <v>104</v>
      </c>
      <c r="F2082">
        <v>3</v>
      </c>
      <c r="G2082">
        <v>1</v>
      </c>
      <c r="H2082">
        <v>0</v>
      </c>
      <c r="I2082" s="12" t="s">
        <v>486</v>
      </c>
      <c r="J2082" s="12" t="s">
        <v>487</v>
      </c>
      <c r="K2082" s="12" t="s">
        <v>125</v>
      </c>
      <c r="L2082" s="12" t="s">
        <v>69</v>
      </c>
      <c r="M2082">
        <v>36.86</v>
      </c>
      <c r="N2082" s="12" t="s">
        <v>97</v>
      </c>
      <c r="O2082" s="12" t="s">
        <v>98</v>
      </c>
      <c r="P2082" s="12" t="s">
        <v>72</v>
      </c>
      <c r="Q2082" s="13">
        <v>45335</v>
      </c>
      <c r="R2082" s="13">
        <v>45356</v>
      </c>
      <c r="S2082">
        <v>2024</v>
      </c>
      <c r="T2082" s="12" t="s">
        <v>2740</v>
      </c>
      <c r="U2082">
        <v>570</v>
      </c>
      <c r="V2082">
        <v>8.9039000000000001</v>
      </c>
      <c r="W2082">
        <v>47.88</v>
      </c>
      <c r="X2082">
        <v>0</v>
      </c>
      <c r="Y2082">
        <v>0</v>
      </c>
      <c r="Z2082">
        <v>5075.22</v>
      </c>
      <c r="AA2082">
        <v>5123.1000000000004</v>
      </c>
      <c r="AB2082" s="12" t="s">
        <v>488</v>
      </c>
      <c r="AC2082">
        <v>8.7273999999999994</v>
      </c>
      <c r="AD2082">
        <v>1</v>
      </c>
      <c r="AE2082">
        <v>1</v>
      </c>
      <c r="AF2082">
        <v>100.61</v>
      </c>
      <c r="AG2082">
        <v>4974.62</v>
      </c>
      <c r="AH2082">
        <v>570</v>
      </c>
      <c r="AI2082">
        <v>563</v>
      </c>
      <c r="AJ2082">
        <v>7</v>
      </c>
      <c r="AK2082">
        <v>1</v>
      </c>
      <c r="AL2082">
        <v>1</v>
      </c>
      <c r="AM2082">
        <v>98.77</v>
      </c>
      <c r="AN2082">
        <v>9.0997000000000003</v>
      </c>
      <c r="AO2082">
        <v>62.33</v>
      </c>
      <c r="AP2082" s="13">
        <v>45352</v>
      </c>
      <c r="AQ2082">
        <v>-4</v>
      </c>
      <c r="AR2082">
        <v>1</v>
      </c>
    </row>
    <row r="2083" spans="1:44" x14ac:dyDescent="0.35">
      <c r="A2083" s="12" t="s">
        <v>2812</v>
      </c>
      <c r="B2083" s="12" t="s">
        <v>613</v>
      </c>
      <c r="C2083" s="12" t="s">
        <v>614</v>
      </c>
      <c r="D2083" s="12" t="s">
        <v>130</v>
      </c>
      <c r="E2083" s="12" t="s">
        <v>104</v>
      </c>
      <c r="F2083">
        <v>3</v>
      </c>
      <c r="G2083">
        <v>1</v>
      </c>
      <c r="H2083">
        <v>0</v>
      </c>
      <c r="I2083" s="12" t="s">
        <v>676</v>
      </c>
      <c r="J2083" s="12" t="s">
        <v>677</v>
      </c>
      <c r="K2083" s="12" t="s">
        <v>68</v>
      </c>
      <c r="L2083" s="12" t="s">
        <v>96</v>
      </c>
      <c r="M2083">
        <v>3.57</v>
      </c>
      <c r="N2083" s="12" t="s">
        <v>159</v>
      </c>
      <c r="O2083" s="12" t="s">
        <v>160</v>
      </c>
      <c r="P2083" s="12" t="s">
        <v>137</v>
      </c>
      <c r="Q2083" s="13">
        <v>45335</v>
      </c>
      <c r="R2083" s="13">
        <v>45356</v>
      </c>
      <c r="S2083">
        <v>2024</v>
      </c>
      <c r="T2083" s="12" t="s">
        <v>2740</v>
      </c>
      <c r="U2083">
        <v>81</v>
      </c>
      <c r="V2083">
        <v>195.35140000000001</v>
      </c>
      <c r="W2083">
        <v>133.58000000000001</v>
      </c>
      <c r="X2083">
        <v>0</v>
      </c>
      <c r="Y2083">
        <v>0</v>
      </c>
      <c r="Z2083">
        <v>15823.46</v>
      </c>
      <c r="AA2083">
        <v>15957.04</v>
      </c>
      <c r="AB2083" s="12" t="s">
        <v>724</v>
      </c>
      <c r="AC2083">
        <v>195.35140000000001</v>
      </c>
      <c r="AD2083">
        <v>1</v>
      </c>
      <c r="AE2083">
        <v>1</v>
      </c>
      <c r="AF2083">
        <v>0</v>
      </c>
      <c r="AG2083">
        <v>15823.46</v>
      </c>
      <c r="AH2083">
        <v>81</v>
      </c>
      <c r="AI2083">
        <v>80</v>
      </c>
      <c r="AJ2083">
        <v>1</v>
      </c>
      <c r="AK2083">
        <v>1</v>
      </c>
      <c r="AL2083">
        <v>1</v>
      </c>
      <c r="AM2083">
        <v>98.77</v>
      </c>
      <c r="AN2083">
        <v>199.46299999999999</v>
      </c>
      <c r="AO2083">
        <v>195.35</v>
      </c>
      <c r="AP2083" s="13">
        <v>45364</v>
      </c>
      <c r="AQ2083">
        <v>8</v>
      </c>
      <c r="AR2083">
        <v>0</v>
      </c>
    </row>
    <row r="2084" spans="1:44" x14ac:dyDescent="0.35">
      <c r="A2084" s="12" t="s">
        <v>2813</v>
      </c>
      <c r="B2084" s="12" t="s">
        <v>490</v>
      </c>
      <c r="C2084" s="12" t="s">
        <v>491</v>
      </c>
      <c r="D2084" s="12" t="s">
        <v>130</v>
      </c>
      <c r="E2084" s="12" t="s">
        <v>104</v>
      </c>
      <c r="F2084">
        <v>3</v>
      </c>
      <c r="G2084">
        <v>1</v>
      </c>
      <c r="H2084">
        <v>0</v>
      </c>
      <c r="I2084" s="12" t="s">
        <v>176</v>
      </c>
      <c r="J2084" s="12" t="s">
        <v>177</v>
      </c>
      <c r="K2084" s="12" t="s">
        <v>125</v>
      </c>
      <c r="L2084" s="12" t="s">
        <v>134</v>
      </c>
      <c r="M2084">
        <v>1.75</v>
      </c>
      <c r="N2084" s="12" t="s">
        <v>159</v>
      </c>
      <c r="O2084" s="12" t="s">
        <v>160</v>
      </c>
      <c r="P2084" s="12" t="s">
        <v>137</v>
      </c>
      <c r="Q2084" s="13">
        <v>45335</v>
      </c>
      <c r="R2084" s="13">
        <v>45355</v>
      </c>
      <c r="S2084">
        <v>2024</v>
      </c>
      <c r="T2084" s="12" t="s">
        <v>2740</v>
      </c>
      <c r="U2084">
        <v>78</v>
      </c>
      <c r="V2084">
        <v>297.19900000000001</v>
      </c>
      <c r="W2084">
        <v>429.12</v>
      </c>
      <c r="X2084">
        <v>0</v>
      </c>
      <c r="Y2084">
        <v>0</v>
      </c>
      <c r="Z2084">
        <v>23181.52</v>
      </c>
      <c r="AA2084">
        <v>23610.639999999999</v>
      </c>
      <c r="AB2084" s="12" t="s">
        <v>492</v>
      </c>
      <c r="AC2084">
        <v>297.19900000000001</v>
      </c>
      <c r="AD2084">
        <v>1</v>
      </c>
      <c r="AE2084">
        <v>1</v>
      </c>
      <c r="AF2084">
        <v>0</v>
      </c>
      <c r="AG2084">
        <v>23181.52</v>
      </c>
      <c r="AH2084">
        <v>78</v>
      </c>
      <c r="AI2084">
        <v>77</v>
      </c>
      <c r="AJ2084">
        <v>1</v>
      </c>
      <c r="AK2084">
        <v>1</v>
      </c>
      <c r="AL2084">
        <v>1</v>
      </c>
      <c r="AM2084">
        <v>98.72</v>
      </c>
      <c r="AN2084">
        <v>306.63170000000002</v>
      </c>
      <c r="AO2084">
        <v>297.2</v>
      </c>
      <c r="AP2084" s="13">
        <v>45353</v>
      </c>
      <c r="AQ2084">
        <v>-2</v>
      </c>
      <c r="AR2084">
        <v>1</v>
      </c>
    </row>
    <row r="2085" spans="1:44" x14ac:dyDescent="0.35">
      <c r="A2085" s="12" t="s">
        <v>2814</v>
      </c>
      <c r="B2085" s="12" t="s">
        <v>140</v>
      </c>
      <c r="C2085" s="12" t="s">
        <v>141</v>
      </c>
      <c r="D2085" s="12" t="s">
        <v>103</v>
      </c>
      <c r="E2085" s="12" t="s">
        <v>142</v>
      </c>
      <c r="F2085">
        <v>1</v>
      </c>
      <c r="G2085">
        <v>7</v>
      </c>
      <c r="H2085">
        <v>1</v>
      </c>
      <c r="I2085" s="12" t="s">
        <v>143</v>
      </c>
      <c r="J2085" s="12" t="s">
        <v>144</v>
      </c>
      <c r="K2085" s="12" t="s">
        <v>133</v>
      </c>
      <c r="L2085" s="12" t="s">
        <v>96</v>
      </c>
      <c r="M2085">
        <v>5.43</v>
      </c>
      <c r="N2085" s="12" t="s">
        <v>145</v>
      </c>
      <c r="O2085" s="12" t="s">
        <v>146</v>
      </c>
      <c r="P2085" s="12" t="s">
        <v>109</v>
      </c>
      <c r="Q2085" s="13">
        <v>45335</v>
      </c>
      <c r="R2085" s="13">
        <v>45385</v>
      </c>
      <c r="S2085">
        <v>2024</v>
      </c>
      <c r="T2085" s="12" t="s">
        <v>2740</v>
      </c>
      <c r="U2085">
        <v>132</v>
      </c>
      <c r="V2085">
        <v>211.35810000000001</v>
      </c>
      <c r="W2085">
        <v>598.53</v>
      </c>
      <c r="X2085">
        <v>0</v>
      </c>
      <c r="Y2085">
        <v>0</v>
      </c>
      <c r="Z2085">
        <v>27899.27</v>
      </c>
      <c r="AA2085">
        <v>28497.8</v>
      </c>
      <c r="AB2085" s="12" t="s">
        <v>2815</v>
      </c>
      <c r="AC2085">
        <v>211.35810000000001</v>
      </c>
      <c r="AD2085">
        <v>1</v>
      </c>
      <c r="AE2085">
        <v>1</v>
      </c>
      <c r="AF2085">
        <v>0</v>
      </c>
      <c r="AG2085">
        <v>27899.27</v>
      </c>
      <c r="AH2085">
        <v>132</v>
      </c>
      <c r="AI2085">
        <v>130</v>
      </c>
      <c r="AJ2085">
        <v>2</v>
      </c>
      <c r="AK2085">
        <v>1</v>
      </c>
      <c r="AL2085">
        <v>1</v>
      </c>
      <c r="AM2085">
        <v>98.48</v>
      </c>
      <c r="AN2085">
        <v>219.21379999999999</v>
      </c>
      <c r="AO2085">
        <v>422.72</v>
      </c>
      <c r="AP2085" s="13">
        <v>45382</v>
      </c>
      <c r="AQ2085">
        <v>-3</v>
      </c>
      <c r="AR2085">
        <v>1</v>
      </c>
    </row>
    <row r="2086" spans="1:44" x14ac:dyDescent="0.35">
      <c r="A2086" s="12" t="s">
        <v>2816</v>
      </c>
      <c r="B2086" s="12" t="s">
        <v>482</v>
      </c>
      <c r="C2086" s="12" t="s">
        <v>483</v>
      </c>
      <c r="D2086" s="12" t="s">
        <v>78</v>
      </c>
      <c r="E2086" s="12" t="s">
        <v>142</v>
      </c>
      <c r="F2086">
        <v>2</v>
      </c>
      <c r="G2086">
        <v>9</v>
      </c>
      <c r="H2086">
        <v>0</v>
      </c>
      <c r="I2086" s="12" t="s">
        <v>87</v>
      </c>
      <c r="J2086" s="12" t="s">
        <v>88</v>
      </c>
      <c r="K2086" s="12" t="s">
        <v>89</v>
      </c>
      <c r="L2086" s="12" t="s">
        <v>69</v>
      </c>
      <c r="M2086">
        <v>14.93</v>
      </c>
      <c r="N2086" s="12" t="s">
        <v>70</v>
      </c>
      <c r="O2086" s="12" t="s">
        <v>71</v>
      </c>
      <c r="P2086" s="12" t="s">
        <v>72</v>
      </c>
      <c r="Q2086" s="13">
        <v>45335</v>
      </c>
      <c r="R2086" s="13">
        <v>45384</v>
      </c>
      <c r="S2086">
        <v>2024</v>
      </c>
      <c r="T2086" s="12" t="s">
        <v>2740</v>
      </c>
      <c r="U2086">
        <v>254</v>
      </c>
      <c r="V2086">
        <v>49.685899999999997</v>
      </c>
      <c r="W2086">
        <v>326.04000000000002</v>
      </c>
      <c r="X2086">
        <v>0</v>
      </c>
      <c r="Y2086">
        <v>0</v>
      </c>
      <c r="Z2086">
        <v>12620.22</v>
      </c>
      <c r="AA2086">
        <v>12946.26</v>
      </c>
      <c r="AB2086" s="12" t="s">
        <v>484</v>
      </c>
      <c r="AC2086">
        <v>49.685899999999997</v>
      </c>
      <c r="AD2086">
        <v>1</v>
      </c>
      <c r="AE2086">
        <v>1</v>
      </c>
      <c r="AF2086">
        <v>0</v>
      </c>
      <c r="AG2086">
        <v>12620.22</v>
      </c>
      <c r="AH2086">
        <v>254</v>
      </c>
      <c r="AI2086">
        <v>252</v>
      </c>
      <c r="AJ2086">
        <v>2</v>
      </c>
      <c r="AK2086">
        <v>1</v>
      </c>
      <c r="AL2086">
        <v>1</v>
      </c>
      <c r="AM2086">
        <v>99.21</v>
      </c>
      <c r="AN2086">
        <v>51.374000000000002</v>
      </c>
      <c r="AO2086">
        <v>99.37</v>
      </c>
      <c r="AP2086" s="13">
        <v>45382</v>
      </c>
      <c r="AQ2086">
        <v>-2</v>
      </c>
      <c r="AR2086">
        <v>1</v>
      </c>
    </row>
    <row r="2087" spans="1:44" x14ac:dyDescent="0.35">
      <c r="A2087" s="12" t="s">
        <v>2817</v>
      </c>
      <c r="B2087" s="12" t="s">
        <v>221</v>
      </c>
      <c r="C2087" s="12" t="s">
        <v>222</v>
      </c>
      <c r="D2087" s="12" t="s">
        <v>114</v>
      </c>
      <c r="E2087" s="12" t="s">
        <v>142</v>
      </c>
      <c r="F2087">
        <v>3</v>
      </c>
      <c r="G2087">
        <v>11</v>
      </c>
      <c r="H2087">
        <v>0</v>
      </c>
      <c r="I2087" s="12" t="s">
        <v>105</v>
      </c>
      <c r="J2087" s="12" t="s">
        <v>106</v>
      </c>
      <c r="K2087" s="12" t="s">
        <v>81</v>
      </c>
      <c r="L2087" s="12" t="s">
        <v>96</v>
      </c>
      <c r="M2087">
        <v>5.01</v>
      </c>
      <c r="N2087" s="12" t="s">
        <v>70</v>
      </c>
      <c r="O2087" s="12" t="s">
        <v>71</v>
      </c>
      <c r="P2087" s="12" t="s">
        <v>72</v>
      </c>
      <c r="Q2087" s="13">
        <v>45335</v>
      </c>
      <c r="R2087" s="13">
        <v>45375</v>
      </c>
      <c r="S2087">
        <v>2024</v>
      </c>
      <c r="T2087" s="12" t="s">
        <v>2740</v>
      </c>
      <c r="U2087">
        <v>49</v>
      </c>
      <c r="V2087">
        <v>250.6129</v>
      </c>
      <c r="W2087">
        <v>210.78</v>
      </c>
      <c r="X2087">
        <v>0</v>
      </c>
      <c r="Y2087">
        <v>0</v>
      </c>
      <c r="Z2087">
        <v>12280.03</v>
      </c>
      <c r="AA2087">
        <v>12490.81</v>
      </c>
      <c r="AB2087" s="12" t="s">
        <v>2818</v>
      </c>
      <c r="AC2087">
        <v>239.12260000000001</v>
      </c>
      <c r="AD2087">
        <v>1</v>
      </c>
      <c r="AE2087">
        <v>1</v>
      </c>
      <c r="AF2087">
        <v>563.02</v>
      </c>
      <c r="AG2087">
        <v>11717.01</v>
      </c>
      <c r="AH2087">
        <v>49</v>
      </c>
      <c r="AI2087">
        <v>49</v>
      </c>
      <c r="AJ2087">
        <v>0</v>
      </c>
      <c r="AK2087">
        <v>1</v>
      </c>
      <c r="AL2087">
        <v>1</v>
      </c>
      <c r="AM2087">
        <v>100</v>
      </c>
      <c r="AN2087">
        <v>254.9145</v>
      </c>
      <c r="AO2087">
        <v>0</v>
      </c>
      <c r="AP2087" s="13">
        <v>45372</v>
      </c>
      <c r="AQ2087">
        <v>-3</v>
      </c>
      <c r="AR2087">
        <v>1</v>
      </c>
    </row>
    <row r="2088" spans="1:44" x14ac:dyDescent="0.35">
      <c r="A2088" s="12" t="s">
        <v>2819</v>
      </c>
      <c r="B2088" s="12" t="s">
        <v>712</v>
      </c>
      <c r="C2088" s="12" t="s">
        <v>713</v>
      </c>
      <c r="D2088" s="12" t="s">
        <v>103</v>
      </c>
      <c r="E2088" s="12" t="s">
        <v>104</v>
      </c>
      <c r="F2088">
        <v>2</v>
      </c>
      <c r="G2088">
        <v>0</v>
      </c>
      <c r="H2088">
        <v>0</v>
      </c>
      <c r="I2088" s="12" t="s">
        <v>105</v>
      </c>
      <c r="J2088" s="12" t="s">
        <v>106</v>
      </c>
      <c r="K2088" s="12" t="s">
        <v>81</v>
      </c>
      <c r="L2088" s="12" t="s">
        <v>96</v>
      </c>
      <c r="M2088">
        <v>5.01</v>
      </c>
      <c r="N2088" s="12" t="s">
        <v>145</v>
      </c>
      <c r="O2088" s="12" t="s">
        <v>146</v>
      </c>
      <c r="P2088" s="12" t="s">
        <v>109</v>
      </c>
      <c r="Q2088" s="13">
        <v>45335</v>
      </c>
      <c r="R2088" s="13">
        <v>45363</v>
      </c>
      <c r="S2088">
        <v>2024</v>
      </c>
      <c r="T2088" s="12" t="s">
        <v>2740</v>
      </c>
      <c r="U2088">
        <v>136</v>
      </c>
      <c r="V2088">
        <v>210.01740000000001</v>
      </c>
      <c r="W2088">
        <v>695.9</v>
      </c>
      <c r="X2088">
        <v>0</v>
      </c>
      <c r="Y2088">
        <v>0</v>
      </c>
      <c r="Z2088">
        <v>28562.37</v>
      </c>
      <c r="AA2088">
        <v>29258.27</v>
      </c>
      <c r="AB2088" s="12" t="s">
        <v>1451</v>
      </c>
      <c r="AC2088">
        <v>202.47229999999999</v>
      </c>
      <c r="AD2088">
        <v>1</v>
      </c>
      <c r="AE2088">
        <v>1</v>
      </c>
      <c r="AF2088">
        <v>1026.1300000000001</v>
      </c>
      <c r="AG2088">
        <v>27536.23</v>
      </c>
      <c r="AH2088">
        <v>136</v>
      </c>
      <c r="AI2088">
        <v>135</v>
      </c>
      <c r="AJ2088">
        <v>1</v>
      </c>
      <c r="AK2088">
        <v>1</v>
      </c>
      <c r="AL2088">
        <v>1</v>
      </c>
      <c r="AM2088">
        <v>99.26</v>
      </c>
      <c r="AN2088">
        <v>216.72790000000001</v>
      </c>
      <c r="AO2088">
        <v>210.02</v>
      </c>
      <c r="AP2088" s="13">
        <v>45360</v>
      </c>
      <c r="AQ2088">
        <v>-3</v>
      </c>
      <c r="AR2088">
        <v>1</v>
      </c>
    </row>
    <row r="2089" spans="1:44" x14ac:dyDescent="0.35">
      <c r="A2089" s="12" t="s">
        <v>2820</v>
      </c>
      <c r="B2089" s="12" t="s">
        <v>447</v>
      </c>
      <c r="C2089" s="12" t="s">
        <v>448</v>
      </c>
      <c r="D2089" s="12" t="s">
        <v>269</v>
      </c>
      <c r="E2089" s="12" t="s">
        <v>65</v>
      </c>
      <c r="F2089">
        <v>2</v>
      </c>
      <c r="G2089">
        <v>2</v>
      </c>
      <c r="H2089">
        <v>0</v>
      </c>
      <c r="I2089" s="12" t="s">
        <v>94</v>
      </c>
      <c r="J2089" s="12" t="s">
        <v>95</v>
      </c>
      <c r="K2089" s="12" t="s">
        <v>81</v>
      </c>
      <c r="L2089" s="12" t="s">
        <v>96</v>
      </c>
      <c r="M2089">
        <v>4.8099999999999996</v>
      </c>
      <c r="N2089" s="12" t="s">
        <v>135</v>
      </c>
      <c r="O2089" s="12" t="s">
        <v>136</v>
      </c>
      <c r="P2089" s="12" t="s">
        <v>137</v>
      </c>
      <c r="Q2089" s="13">
        <v>45335</v>
      </c>
      <c r="R2089" s="13">
        <v>45358</v>
      </c>
      <c r="S2089">
        <v>2024</v>
      </c>
      <c r="T2089" s="12" t="s">
        <v>2740</v>
      </c>
      <c r="U2089">
        <v>29</v>
      </c>
      <c r="V2089">
        <v>388.54930000000002</v>
      </c>
      <c r="W2089">
        <v>259.68</v>
      </c>
      <c r="X2089">
        <v>0</v>
      </c>
      <c r="Y2089">
        <v>0</v>
      </c>
      <c r="Z2089">
        <v>11267.93</v>
      </c>
      <c r="AA2089">
        <v>11527.61</v>
      </c>
      <c r="AB2089" s="12" t="s">
        <v>449</v>
      </c>
      <c r="AC2089">
        <v>388.54930000000002</v>
      </c>
      <c r="AD2089">
        <v>1</v>
      </c>
      <c r="AE2089">
        <v>1</v>
      </c>
      <c r="AF2089">
        <v>0</v>
      </c>
      <c r="AG2089">
        <v>11267.93</v>
      </c>
      <c r="AH2089">
        <v>29</v>
      </c>
      <c r="AI2089">
        <v>29</v>
      </c>
      <c r="AJ2089">
        <v>0</v>
      </c>
      <c r="AK2089">
        <v>1</v>
      </c>
      <c r="AL2089">
        <v>1</v>
      </c>
      <c r="AM2089">
        <v>100</v>
      </c>
      <c r="AN2089">
        <v>397.50380000000001</v>
      </c>
      <c r="AO2089">
        <v>0</v>
      </c>
      <c r="AP2089" s="13">
        <v>45357</v>
      </c>
      <c r="AQ2089">
        <v>-1</v>
      </c>
      <c r="AR2089">
        <v>1</v>
      </c>
    </row>
    <row r="2090" spans="1:44" x14ac:dyDescent="0.35">
      <c r="A2090" s="12" t="s">
        <v>2821</v>
      </c>
      <c r="B2090" s="12" t="s">
        <v>802</v>
      </c>
      <c r="C2090" s="12" t="s">
        <v>803</v>
      </c>
      <c r="D2090" s="12" t="s">
        <v>114</v>
      </c>
      <c r="E2090" s="12" t="s">
        <v>65</v>
      </c>
      <c r="F2090">
        <v>3</v>
      </c>
      <c r="G2090">
        <v>5</v>
      </c>
      <c r="H2090">
        <v>0</v>
      </c>
      <c r="I2090" s="12" t="s">
        <v>804</v>
      </c>
      <c r="J2090" s="12" t="s">
        <v>342</v>
      </c>
      <c r="K2090" s="12" t="s">
        <v>117</v>
      </c>
      <c r="L2090" s="12" t="s">
        <v>69</v>
      </c>
      <c r="M2090">
        <v>30.07</v>
      </c>
      <c r="N2090" s="12" t="s">
        <v>70</v>
      </c>
      <c r="O2090" s="12" t="s">
        <v>71</v>
      </c>
      <c r="P2090" s="12" t="s">
        <v>72</v>
      </c>
      <c r="Q2090" s="13">
        <v>45336</v>
      </c>
      <c r="R2090" s="13">
        <v>45361</v>
      </c>
      <c r="S2090">
        <v>2024</v>
      </c>
      <c r="T2090" s="12" t="s">
        <v>2740</v>
      </c>
      <c r="U2090">
        <v>48</v>
      </c>
      <c r="V2090">
        <v>350.71699999999998</v>
      </c>
      <c r="W2090">
        <v>199.01</v>
      </c>
      <c r="X2090">
        <v>0</v>
      </c>
      <c r="Y2090">
        <v>0</v>
      </c>
      <c r="Z2090">
        <v>16834.419999999998</v>
      </c>
      <c r="AA2090">
        <v>17033.43</v>
      </c>
      <c r="AB2090" s="12" t="s">
        <v>805</v>
      </c>
      <c r="AC2090">
        <v>362.99209999999999</v>
      </c>
      <c r="AD2090">
        <v>2</v>
      </c>
      <c r="AE2090">
        <v>1</v>
      </c>
      <c r="AF2090">
        <v>-589.20000000000005</v>
      </c>
      <c r="AG2090">
        <v>17423.62</v>
      </c>
      <c r="AH2090">
        <v>48</v>
      </c>
      <c r="AI2090">
        <v>47</v>
      </c>
      <c r="AJ2090">
        <v>1</v>
      </c>
      <c r="AK2090">
        <v>1</v>
      </c>
      <c r="AL2090">
        <v>1</v>
      </c>
      <c r="AM2090">
        <v>97.92</v>
      </c>
      <c r="AN2090">
        <v>362.41329999999999</v>
      </c>
      <c r="AO2090">
        <v>350.72</v>
      </c>
      <c r="AP2090" s="13">
        <v>45358</v>
      </c>
      <c r="AQ2090">
        <v>-3</v>
      </c>
      <c r="AR2090">
        <v>1</v>
      </c>
    </row>
    <row r="2091" spans="1:44" x14ac:dyDescent="0.35">
      <c r="A2091" s="12" t="s">
        <v>2822</v>
      </c>
      <c r="B2091" s="12" t="s">
        <v>909</v>
      </c>
      <c r="C2091" s="12" t="s">
        <v>910</v>
      </c>
      <c r="D2091" s="12" t="s">
        <v>269</v>
      </c>
      <c r="E2091" s="12" t="s">
        <v>65</v>
      </c>
      <c r="F2091">
        <v>3</v>
      </c>
      <c r="G2091">
        <v>4</v>
      </c>
      <c r="H2091">
        <v>0</v>
      </c>
      <c r="I2091" s="12" t="s">
        <v>123</v>
      </c>
      <c r="J2091" s="12" t="s">
        <v>124</v>
      </c>
      <c r="K2091" s="12" t="s">
        <v>125</v>
      </c>
      <c r="L2091" s="12" t="s">
        <v>82</v>
      </c>
      <c r="M2091">
        <v>6.75</v>
      </c>
      <c r="N2091" s="12" t="s">
        <v>159</v>
      </c>
      <c r="O2091" s="12" t="s">
        <v>160</v>
      </c>
      <c r="P2091" s="12" t="s">
        <v>137</v>
      </c>
      <c r="Q2091" s="13">
        <v>45336</v>
      </c>
      <c r="R2091" s="13">
        <v>45371</v>
      </c>
      <c r="S2091">
        <v>2024</v>
      </c>
      <c r="T2091" s="12" t="s">
        <v>2740</v>
      </c>
      <c r="U2091">
        <v>123</v>
      </c>
      <c r="V2091">
        <v>109.70959999999999</v>
      </c>
      <c r="W2091">
        <v>319.32</v>
      </c>
      <c r="X2091">
        <v>0</v>
      </c>
      <c r="Y2091">
        <v>0</v>
      </c>
      <c r="Z2091">
        <v>13494.28</v>
      </c>
      <c r="AA2091">
        <v>13813.6</v>
      </c>
      <c r="AB2091" s="12" t="s">
        <v>201</v>
      </c>
      <c r="AD2091">
        <v>0</v>
      </c>
      <c r="AE2091">
        <v>0</v>
      </c>
      <c r="AH2091">
        <v>123</v>
      </c>
      <c r="AI2091">
        <v>121</v>
      </c>
      <c r="AJ2091">
        <v>2</v>
      </c>
      <c r="AK2091">
        <v>1</v>
      </c>
      <c r="AL2091">
        <v>1</v>
      </c>
      <c r="AM2091">
        <v>98.37</v>
      </c>
      <c r="AN2091">
        <v>114.16200000000001</v>
      </c>
      <c r="AO2091">
        <v>219.42</v>
      </c>
      <c r="AP2091" s="13">
        <v>45372</v>
      </c>
      <c r="AQ2091">
        <v>1</v>
      </c>
      <c r="AR2091">
        <v>0</v>
      </c>
    </row>
    <row r="2092" spans="1:44" x14ac:dyDescent="0.35">
      <c r="A2092" s="12" t="s">
        <v>2823</v>
      </c>
      <c r="B2092" s="12" t="s">
        <v>823</v>
      </c>
      <c r="C2092" s="12" t="s">
        <v>824</v>
      </c>
      <c r="D2092" s="12" t="s">
        <v>114</v>
      </c>
      <c r="E2092" s="12" t="s">
        <v>142</v>
      </c>
      <c r="F2092">
        <v>1</v>
      </c>
      <c r="G2092">
        <v>8</v>
      </c>
      <c r="H2092">
        <v>1</v>
      </c>
      <c r="I2092" s="12" t="s">
        <v>515</v>
      </c>
      <c r="J2092" s="12" t="s">
        <v>516</v>
      </c>
      <c r="K2092" s="12" t="s">
        <v>68</v>
      </c>
      <c r="L2092" s="12" t="s">
        <v>134</v>
      </c>
      <c r="M2092">
        <v>3.69</v>
      </c>
      <c r="N2092" s="12" t="s">
        <v>97</v>
      </c>
      <c r="O2092" s="12" t="s">
        <v>98</v>
      </c>
      <c r="P2092" s="12" t="s">
        <v>72</v>
      </c>
      <c r="Q2092" s="13">
        <v>45336</v>
      </c>
      <c r="R2092" s="13">
        <v>45382</v>
      </c>
      <c r="S2092">
        <v>2024</v>
      </c>
      <c r="T2092" s="12" t="s">
        <v>2740</v>
      </c>
      <c r="U2092">
        <v>102</v>
      </c>
      <c r="V2092">
        <v>380.08819999999997</v>
      </c>
      <c r="W2092">
        <v>489.44</v>
      </c>
      <c r="X2092">
        <v>0</v>
      </c>
      <c r="Y2092">
        <v>0</v>
      </c>
      <c r="Z2092">
        <v>38769</v>
      </c>
      <c r="AA2092">
        <v>39258.44</v>
      </c>
      <c r="AB2092" s="12" t="s">
        <v>825</v>
      </c>
      <c r="AC2092">
        <v>361.73399999999998</v>
      </c>
      <c r="AD2092">
        <v>1</v>
      </c>
      <c r="AE2092">
        <v>1</v>
      </c>
      <c r="AF2092">
        <v>1872.13</v>
      </c>
      <c r="AG2092">
        <v>36896.870000000003</v>
      </c>
      <c r="AH2092">
        <v>102</v>
      </c>
      <c r="AI2092">
        <v>101</v>
      </c>
      <c r="AJ2092">
        <v>1</v>
      </c>
      <c r="AK2092">
        <v>1</v>
      </c>
      <c r="AL2092">
        <v>1</v>
      </c>
      <c r="AM2092">
        <v>99.02</v>
      </c>
      <c r="AN2092">
        <v>388.69740000000002</v>
      </c>
      <c r="AO2092">
        <v>380.09</v>
      </c>
      <c r="AP2092" s="13">
        <v>45382</v>
      </c>
      <c r="AQ2092">
        <v>0</v>
      </c>
      <c r="AR2092">
        <v>1</v>
      </c>
    </row>
    <row r="2093" spans="1:44" x14ac:dyDescent="0.35">
      <c r="A2093" s="12" t="s">
        <v>2824</v>
      </c>
      <c r="B2093" s="12" t="s">
        <v>255</v>
      </c>
      <c r="C2093" s="12" t="s">
        <v>256</v>
      </c>
      <c r="D2093" s="12" t="s">
        <v>103</v>
      </c>
      <c r="E2093" s="12" t="s">
        <v>65</v>
      </c>
      <c r="F2093">
        <v>2</v>
      </c>
      <c r="G2093">
        <v>4</v>
      </c>
      <c r="H2093">
        <v>0</v>
      </c>
      <c r="I2093" s="12" t="s">
        <v>143</v>
      </c>
      <c r="J2093" s="12" t="s">
        <v>144</v>
      </c>
      <c r="K2093" s="12" t="s">
        <v>133</v>
      </c>
      <c r="L2093" s="12" t="s">
        <v>96</v>
      </c>
      <c r="M2093">
        <v>5.43</v>
      </c>
      <c r="N2093" s="12" t="s">
        <v>107</v>
      </c>
      <c r="O2093" s="12" t="s">
        <v>108</v>
      </c>
      <c r="P2093" s="12" t="s">
        <v>109</v>
      </c>
      <c r="Q2093" s="13">
        <v>45336</v>
      </c>
      <c r="R2093" s="13">
        <v>45357</v>
      </c>
      <c r="S2093">
        <v>2024</v>
      </c>
      <c r="T2093" s="12" t="s">
        <v>2740</v>
      </c>
      <c r="U2093">
        <v>10</v>
      </c>
      <c r="V2093">
        <v>95.073300000000003</v>
      </c>
      <c r="W2093">
        <v>10.02</v>
      </c>
      <c r="X2093">
        <v>0</v>
      </c>
      <c r="Y2093">
        <v>0</v>
      </c>
      <c r="Z2093">
        <v>950.73</v>
      </c>
      <c r="AA2093">
        <v>960.75</v>
      </c>
      <c r="AB2093" s="12" t="s">
        <v>2616</v>
      </c>
      <c r="AC2093">
        <v>95.073300000000003</v>
      </c>
      <c r="AD2093">
        <v>1</v>
      </c>
      <c r="AE2093">
        <v>1</v>
      </c>
      <c r="AF2093">
        <v>0</v>
      </c>
      <c r="AG2093">
        <v>950.73</v>
      </c>
      <c r="AH2093">
        <v>10</v>
      </c>
      <c r="AI2093">
        <v>10</v>
      </c>
      <c r="AJ2093">
        <v>0</v>
      </c>
      <c r="AK2093">
        <v>1</v>
      </c>
      <c r="AL2093">
        <v>1</v>
      </c>
      <c r="AM2093">
        <v>100</v>
      </c>
      <c r="AN2093">
        <v>96.075299999999999</v>
      </c>
      <c r="AO2093">
        <v>0</v>
      </c>
      <c r="AP2093" s="13">
        <v>45356</v>
      </c>
      <c r="AQ2093">
        <v>-1</v>
      </c>
      <c r="AR2093">
        <v>1</v>
      </c>
    </row>
    <row r="2094" spans="1:44" x14ac:dyDescent="0.35">
      <c r="A2094" s="12" t="s">
        <v>2825</v>
      </c>
      <c r="B2094" s="12" t="s">
        <v>1013</v>
      </c>
      <c r="C2094" s="12" t="s">
        <v>1014</v>
      </c>
      <c r="D2094" s="12" t="s">
        <v>78</v>
      </c>
      <c r="E2094" s="12" t="s">
        <v>65</v>
      </c>
      <c r="F2094">
        <v>2</v>
      </c>
      <c r="G2094">
        <v>3</v>
      </c>
      <c r="H2094">
        <v>0</v>
      </c>
      <c r="I2094" s="12" t="s">
        <v>123</v>
      </c>
      <c r="J2094" s="12" t="s">
        <v>124</v>
      </c>
      <c r="K2094" s="12" t="s">
        <v>125</v>
      </c>
      <c r="L2094" s="12" t="s">
        <v>82</v>
      </c>
      <c r="M2094">
        <v>6.75</v>
      </c>
      <c r="N2094" s="12" t="s">
        <v>70</v>
      </c>
      <c r="O2094" s="12" t="s">
        <v>71</v>
      </c>
      <c r="P2094" s="12" t="s">
        <v>72</v>
      </c>
      <c r="Q2094" s="13">
        <v>45336</v>
      </c>
      <c r="R2094" s="13">
        <v>45370</v>
      </c>
      <c r="S2094">
        <v>2024</v>
      </c>
      <c r="T2094" s="12" t="s">
        <v>2740</v>
      </c>
      <c r="U2094">
        <v>235</v>
      </c>
      <c r="V2094">
        <v>125.2653</v>
      </c>
      <c r="W2094">
        <v>606.42999999999995</v>
      </c>
      <c r="X2094">
        <v>0</v>
      </c>
      <c r="Y2094">
        <v>0</v>
      </c>
      <c r="Z2094">
        <v>29437.35</v>
      </c>
      <c r="AA2094">
        <v>30043.78</v>
      </c>
      <c r="AB2094" s="12" t="s">
        <v>1015</v>
      </c>
      <c r="AC2094">
        <v>125.2653</v>
      </c>
      <c r="AD2094">
        <v>1</v>
      </c>
      <c r="AE2094">
        <v>1</v>
      </c>
      <c r="AF2094">
        <v>0</v>
      </c>
      <c r="AG2094">
        <v>29437.35</v>
      </c>
      <c r="AH2094">
        <v>235</v>
      </c>
      <c r="AI2094">
        <v>230</v>
      </c>
      <c r="AJ2094">
        <v>5</v>
      </c>
      <c r="AK2094">
        <v>1</v>
      </c>
      <c r="AL2094">
        <v>1</v>
      </c>
      <c r="AM2094">
        <v>97.87</v>
      </c>
      <c r="AN2094">
        <v>130.6251</v>
      </c>
      <c r="AO2094">
        <v>626.33000000000004</v>
      </c>
      <c r="AP2094" s="13">
        <v>45370</v>
      </c>
      <c r="AQ2094">
        <v>0</v>
      </c>
      <c r="AR2094">
        <v>1</v>
      </c>
    </row>
    <row r="2095" spans="1:44" x14ac:dyDescent="0.35">
      <c r="A2095" s="12" t="s">
        <v>2826</v>
      </c>
      <c r="B2095" s="12" t="s">
        <v>1013</v>
      </c>
      <c r="C2095" s="12" t="s">
        <v>1014</v>
      </c>
      <c r="D2095" s="12" t="s">
        <v>78</v>
      </c>
      <c r="E2095" s="12" t="s">
        <v>65</v>
      </c>
      <c r="F2095">
        <v>2</v>
      </c>
      <c r="G2095">
        <v>3</v>
      </c>
      <c r="H2095">
        <v>0</v>
      </c>
      <c r="I2095" s="12" t="s">
        <v>123</v>
      </c>
      <c r="J2095" s="12" t="s">
        <v>124</v>
      </c>
      <c r="K2095" s="12" t="s">
        <v>125</v>
      </c>
      <c r="L2095" s="12" t="s">
        <v>82</v>
      </c>
      <c r="M2095">
        <v>6.75</v>
      </c>
      <c r="N2095" s="12" t="s">
        <v>70</v>
      </c>
      <c r="O2095" s="12" t="s">
        <v>71</v>
      </c>
      <c r="P2095" s="12" t="s">
        <v>72</v>
      </c>
      <c r="Q2095" s="13">
        <v>45336</v>
      </c>
      <c r="R2095" s="13">
        <v>45357</v>
      </c>
      <c r="S2095">
        <v>2024</v>
      </c>
      <c r="T2095" s="12" t="s">
        <v>2740</v>
      </c>
      <c r="U2095">
        <v>51</v>
      </c>
      <c r="V2095">
        <v>125.2653</v>
      </c>
      <c r="W2095">
        <v>53.05</v>
      </c>
      <c r="X2095">
        <v>0</v>
      </c>
      <c r="Y2095">
        <v>0</v>
      </c>
      <c r="Z2095">
        <v>6388.53</v>
      </c>
      <c r="AA2095">
        <v>6441.58</v>
      </c>
      <c r="AB2095" s="12" t="s">
        <v>1015</v>
      </c>
      <c r="AC2095">
        <v>125.2653</v>
      </c>
      <c r="AD2095">
        <v>1</v>
      </c>
      <c r="AE2095">
        <v>1</v>
      </c>
      <c r="AF2095">
        <v>0</v>
      </c>
      <c r="AG2095">
        <v>6388.53</v>
      </c>
      <c r="AH2095">
        <v>51</v>
      </c>
      <c r="AI2095">
        <v>50</v>
      </c>
      <c r="AJ2095">
        <v>1</v>
      </c>
      <c r="AK2095">
        <v>1</v>
      </c>
      <c r="AL2095">
        <v>1</v>
      </c>
      <c r="AM2095">
        <v>98.04</v>
      </c>
      <c r="AN2095">
        <v>128.83160000000001</v>
      </c>
      <c r="AO2095">
        <v>125.27</v>
      </c>
      <c r="AP2095" s="13">
        <v>45355</v>
      </c>
      <c r="AQ2095">
        <v>-2</v>
      </c>
      <c r="AR2095">
        <v>1</v>
      </c>
    </row>
    <row r="2096" spans="1:44" x14ac:dyDescent="0.35">
      <c r="A2096" s="12" t="s">
        <v>2827</v>
      </c>
      <c r="B2096" s="12" t="s">
        <v>323</v>
      </c>
      <c r="C2096" s="12" t="s">
        <v>324</v>
      </c>
      <c r="D2096" s="12" t="s">
        <v>64</v>
      </c>
      <c r="E2096" s="12" t="s">
        <v>142</v>
      </c>
      <c r="F2096">
        <v>1</v>
      </c>
      <c r="G2096">
        <v>7</v>
      </c>
      <c r="H2096">
        <v>1</v>
      </c>
      <c r="I2096" s="12" t="s">
        <v>143</v>
      </c>
      <c r="J2096" s="12" t="s">
        <v>144</v>
      </c>
      <c r="K2096" s="12" t="s">
        <v>133</v>
      </c>
      <c r="L2096" s="12" t="s">
        <v>96</v>
      </c>
      <c r="M2096">
        <v>5.43</v>
      </c>
      <c r="N2096" s="12" t="s">
        <v>70</v>
      </c>
      <c r="O2096" s="12" t="s">
        <v>71</v>
      </c>
      <c r="P2096" s="12" t="s">
        <v>72</v>
      </c>
      <c r="Q2096" s="13">
        <v>45336</v>
      </c>
      <c r="R2096" s="13">
        <v>45379</v>
      </c>
      <c r="S2096">
        <v>2024</v>
      </c>
      <c r="T2096" s="12" t="s">
        <v>2740</v>
      </c>
      <c r="U2096">
        <v>523</v>
      </c>
      <c r="V2096">
        <v>39.364800000000002</v>
      </c>
      <c r="W2096">
        <v>167.53</v>
      </c>
      <c r="X2096">
        <v>0</v>
      </c>
      <c r="Y2096">
        <v>0</v>
      </c>
      <c r="Z2096">
        <v>20587.79</v>
      </c>
      <c r="AA2096">
        <v>20755.32</v>
      </c>
      <c r="AB2096" s="12" t="s">
        <v>2828</v>
      </c>
      <c r="AC2096">
        <v>39.364800000000002</v>
      </c>
      <c r="AD2096">
        <v>1</v>
      </c>
      <c r="AE2096">
        <v>1</v>
      </c>
      <c r="AF2096">
        <v>0</v>
      </c>
      <c r="AG2096">
        <v>20587.79</v>
      </c>
      <c r="AH2096">
        <v>523</v>
      </c>
      <c r="AI2096">
        <v>520</v>
      </c>
      <c r="AJ2096">
        <v>3</v>
      </c>
      <c r="AK2096">
        <v>1</v>
      </c>
      <c r="AL2096">
        <v>1</v>
      </c>
      <c r="AM2096">
        <v>99.43</v>
      </c>
      <c r="AN2096">
        <v>39.914099999999998</v>
      </c>
      <c r="AO2096">
        <v>118.09</v>
      </c>
      <c r="AP2096" s="13">
        <v>45378</v>
      </c>
      <c r="AQ2096">
        <v>-1</v>
      </c>
      <c r="AR2096">
        <v>1</v>
      </c>
    </row>
    <row r="2097" spans="1:44" x14ac:dyDescent="0.35">
      <c r="A2097" s="12" t="s">
        <v>2829</v>
      </c>
      <c r="B2097" s="12" t="s">
        <v>891</v>
      </c>
      <c r="C2097" s="12" t="s">
        <v>892</v>
      </c>
      <c r="D2097" s="12" t="s">
        <v>122</v>
      </c>
      <c r="E2097" s="12" t="s">
        <v>65</v>
      </c>
      <c r="F2097">
        <v>3</v>
      </c>
      <c r="G2097">
        <v>5</v>
      </c>
      <c r="H2097">
        <v>0</v>
      </c>
      <c r="I2097" s="12" t="s">
        <v>195</v>
      </c>
      <c r="J2097" s="12" t="s">
        <v>196</v>
      </c>
      <c r="K2097" s="12" t="s">
        <v>117</v>
      </c>
      <c r="L2097" s="12" t="s">
        <v>134</v>
      </c>
      <c r="M2097">
        <v>4.7699999999999996</v>
      </c>
      <c r="N2097" s="12" t="s">
        <v>70</v>
      </c>
      <c r="O2097" s="12" t="s">
        <v>71</v>
      </c>
      <c r="P2097" s="12" t="s">
        <v>72</v>
      </c>
      <c r="Q2097" s="13">
        <v>45337</v>
      </c>
      <c r="R2097" s="13">
        <v>45372</v>
      </c>
      <c r="S2097">
        <v>2024</v>
      </c>
      <c r="T2097" s="12" t="s">
        <v>2740</v>
      </c>
      <c r="U2097">
        <v>1662</v>
      </c>
      <c r="V2097">
        <v>39.456000000000003</v>
      </c>
      <c r="W2097">
        <v>1060.77</v>
      </c>
      <c r="X2097">
        <v>0</v>
      </c>
      <c r="Y2097">
        <v>0</v>
      </c>
      <c r="Z2097">
        <v>65575.87</v>
      </c>
      <c r="AA2097">
        <v>66636.639999999999</v>
      </c>
      <c r="AB2097" s="12" t="s">
        <v>893</v>
      </c>
      <c r="AC2097">
        <v>39.456000000000003</v>
      </c>
      <c r="AD2097">
        <v>1</v>
      </c>
      <c r="AE2097">
        <v>1</v>
      </c>
      <c r="AF2097">
        <v>0</v>
      </c>
      <c r="AG2097">
        <v>65575.87</v>
      </c>
      <c r="AH2097">
        <v>1662</v>
      </c>
      <c r="AI2097">
        <v>1643</v>
      </c>
      <c r="AJ2097">
        <v>19</v>
      </c>
      <c r="AK2097">
        <v>1</v>
      </c>
      <c r="AL2097">
        <v>1</v>
      </c>
      <c r="AM2097">
        <v>98.86</v>
      </c>
      <c r="AN2097">
        <v>40.557899999999997</v>
      </c>
      <c r="AO2097">
        <v>749.66</v>
      </c>
      <c r="AP2097" s="13">
        <v>45372</v>
      </c>
      <c r="AQ2097">
        <v>0</v>
      </c>
      <c r="AR2097">
        <v>1</v>
      </c>
    </row>
    <row r="2098" spans="1:44" x14ac:dyDescent="0.35">
      <c r="A2098" s="12" t="s">
        <v>2830</v>
      </c>
      <c r="B2098" s="12" t="s">
        <v>331</v>
      </c>
      <c r="C2098" s="12" t="s">
        <v>332</v>
      </c>
      <c r="D2098" s="12" t="s">
        <v>122</v>
      </c>
      <c r="E2098" s="12" t="s">
        <v>142</v>
      </c>
      <c r="F2098">
        <v>3</v>
      </c>
      <c r="G2098">
        <v>11</v>
      </c>
      <c r="H2098">
        <v>0</v>
      </c>
      <c r="I2098" s="12" t="s">
        <v>263</v>
      </c>
      <c r="J2098" s="12" t="s">
        <v>264</v>
      </c>
      <c r="K2098" s="12" t="s">
        <v>125</v>
      </c>
      <c r="L2098" s="12" t="s">
        <v>82</v>
      </c>
      <c r="M2098">
        <v>10.210000000000001</v>
      </c>
      <c r="N2098" s="12" t="s">
        <v>97</v>
      </c>
      <c r="O2098" s="12" t="s">
        <v>98</v>
      </c>
      <c r="P2098" s="12" t="s">
        <v>72</v>
      </c>
      <c r="Q2098" s="13">
        <v>45337</v>
      </c>
      <c r="R2098" s="13">
        <v>45388</v>
      </c>
      <c r="S2098">
        <v>2024</v>
      </c>
      <c r="T2098" s="12" t="s">
        <v>2740</v>
      </c>
      <c r="U2098">
        <v>1874</v>
      </c>
      <c r="V2098">
        <v>24.008700000000001</v>
      </c>
      <c r="W2098">
        <v>308.13</v>
      </c>
      <c r="X2098">
        <v>0</v>
      </c>
      <c r="Y2098">
        <v>0</v>
      </c>
      <c r="Z2098">
        <v>44992.3</v>
      </c>
      <c r="AA2098">
        <v>45300.43</v>
      </c>
      <c r="AB2098" s="12" t="s">
        <v>2732</v>
      </c>
      <c r="AC2098">
        <v>24.008700000000001</v>
      </c>
      <c r="AD2098">
        <v>1</v>
      </c>
      <c r="AE2098">
        <v>1</v>
      </c>
      <c r="AF2098">
        <v>0</v>
      </c>
      <c r="AG2098">
        <v>44992.3</v>
      </c>
      <c r="AH2098">
        <v>1874</v>
      </c>
      <c r="AI2098">
        <v>1853</v>
      </c>
      <c r="AJ2098">
        <v>21</v>
      </c>
      <c r="AK2098">
        <v>1</v>
      </c>
      <c r="AL2098">
        <v>1</v>
      </c>
      <c r="AM2098">
        <v>98.88</v>
      </c>
      <c r="AN2098">
        <v>24.447099999999999</v>
      </c>
      <c r="AO2098">
        <v>504.18</v>
      </c>
      <c r="AP2098" s="13">
        <v>45385</v>
      </c>
      <c r="AQ2098">
        <v>-3</v>
      </c>
      <c r="AR2098">
        <v>1</v>
      </c>
    </row>
    <row r="2099" spans="1:44" x14ac:dyDescent="0.35">
      <c r="A2099" s="12" t="s">
        <v>2831</v>
      </c>
      <c r="B2099" s="12" t="s">
        <v>207</v>
      </c>
      <c r="C2099" s="12" t="s">
        <v>208</v>
      </c>
      <c r="D2099" s="12" t="s">
        <v>78</v>
      </c>
      <c r="E2099" s="12" t="s">
        <v>65</v>
      </c>
      <c r="F2099">
        <v>2</v>
      </c>
      <c r="G2099">
        <v>3</v>
      </c>
      <c r="H2099">
        <v>0</v>
      </c>
      <c r="I2099" s="12" t="s">
        <v>209</v>
      </c>
      <c r="J2099" s="12" t="s">
        <v>210</v>
      </c>
      <c r="K2099" s="12" t="s">
        <v>133</v>
      </c>
      <c r="L2099" s="12" t="s">
        <v>96</v>
      </c>
      <c r="M2099">
        <v>7.82</v>
      </c>
      <c r="N2099" s="12" t="s">
        <v>70</v>
      </c>
      <c r="O2099" s="12" t="s">
        <v>71</v>
      </c>
      <c r="P2099" s="12" t="s">
        <v>72</v>
      </c>
      <c r="Q2099" s="13">
        <v>45337</v>
      </c>
      <c r="R2099" s="13">
        <v>45367</v>
      </c>
      <c r="S2099">
        <v>2024</v>
      </c>
      <c r="T2099" s="12" t="s">
        <v>2740</v>
      </c>
      <c r="U2099">
        <v>182</v>
      </c>
      <c r="V2099">
        <v>148.61590000000001</v>
      </c>
      <c r="W2099">
        <v>467.6</v>
      </c>
      <c r="X2099">
        <v>0</v>
      </c>
      <c r="Y2099">
        <v>0</v>
      </c>
      <c r="Z2099">
        <v>27048.09</v>
      </c>
      <c r="AA2099">
        <v>27515.69</v>
      </c>
      <c r="AB2099" s="12" t="s">
        <v>2832</v>
      </c>
      <c r="AC2099">
        <v>148.61590000000001</v>
      </c>
      <c r="AD2099">
        <v>1</v>
      </c>
      <c r="AE2099">
        <v>1</v>
      </c>
      <c r="AF2099">
        <v>0</v>
      </c>
      <c r="AG2099">
        <v>27048.09</v>
      </c>
      <c r="AH2099">
        <v>182</v>
      </c>
      <c r="AI2099">
        <v>180</v>
      </c>
      <c r="AJ2099">
        <v>2</v>
      </c>
      <c r="AK2099">
        <v>1</v>
      </c>
      <c r="AL2099">
        <v>1</v>
      </c>
      <c r="AM2099">
        <v>98.9</v>
      </c>
      <c r="AN2099">
        <v>152.86500000000001</v>
      </c>
      <c r="AO2099">
        <v>297.23</v>
      </c>
      <c r="AP2099" s="13">
        <v>45365</v>
      </c>
      <c r="AQ2099">
        <v>-2</v>
      </c>
      <c r="AR2099">
        <v>1</v>
      </c>
    </row>
    <row r="2100" spans="1:44" x14ac:dyDescent="0.35">
      <c r="A2100" s="12" t="s">
        <v>2833</v>
      </c>
      <c r="B2100" s="12" t="s">
        <v>302</v>
      </c>
      <c r="C2100" s="12" t="s">
        <v>303</v>
      </c>
      <c r="D2100" s="12" t="s">
        <v>78</v>
      </c>
      <c r="E2100" s="12" t="s">
        <v>65</v>
      </c>
      <c r="F2100">
        <v>2</v>
      </c>
      <c r="G2100">
        <v>3</v>
      </c>
      <c r="H2100">
        <v>0</v>
      </c>
      <c r="I2100" s="12" t="s">
        <v>335</v>
      </c>
      <c r="J2100" s="12" t="s">
        <v>336</v>
      </c>
      <c r="K2100" s="12" t="s">
        <v>89</v>
      </c>
      <c r="L2100" s="12" t="s">
        <v>82</v>
      </c>
      <c r="M2100">
        <v>16</v>
      </c>
      <c r="N2100" s="12" t="s">
        <v>70</v>
      </c>
      <c r="O2100" s="12" t="s">
        <v>71</v>
      </c>
      <c r="P2100" s="12" t="s">
        <v>72</v>
      </c>
      <c r="Q2100" s="13">
        <v>45337</v>
      </c>
      <c r="R2100" s="13">
        <v>45371</v>
      </c>
      <c r="S2100">
        <v>2024</v>
      </c>
      <c r="T2100" s="12" t="s">
        <v>2740</v>
      </c>
      <c r="U2100">
        <v>239</v>
      </c>
      <c r="V2100">
        <v>141.08359999999999</v>
      </c>
      <c r="W2100">
        <v>751.76</v>
      </c>
      <c r="X2100">
        <v>0</v>
      </c>
      <c r="Y2100">
        <v>0</v>
      </c>
      <c r="Z2100">
        <v>33718.980000000003</v>
      </c>
      <c r="AA2100">
        <v>34470.74</v>
      </c>
      <c r="AB2100" s="12" t="s">
        <v>2834</v>
      </c>
      <c r="AC2100">
        <v>141.08359999999999</v>
      </c>
      <c r="AD2100">
        <v>1</v>
      </c>
      <c r="AE2100">
        <v>1</v>
      </c>
      <c r="AF2100">
        <v>0</v>
      </c>
      <c r="AG2100">
        <v>33718.980000000003</v>
      </c>
      <c r="AH2100">
        <v>239</v>
      </c>
      <c r="AI2100">
        <v>237</v>
      </c>
      <c r="AJ2100">
        <v>2</v>
      </c>
      <c r="AK2100">
        <v>1</v>
      </c>
      <c r="AL2100">
        <v>1</v>
      </c>
      <c r="AM2100">
        <v>99.16</v>
      </c>
      <c r="AN2100">
        <v>145.4462</v>
      </c>
      <c r="AO2100">
        <v>282.17</v>
      </c>
      <c r="AP2100" s="13">
        <v>45368</v>
      </c>
      <c r="AQ2100">
        <v>-3</v>
      </c>
      <c r="AR2100">
        <v>1</v>
      </c>
    </row>
    <row r="2101" spans="1:44" x14ac:dyDescent="0.35">
      <c r="A2101" s="12" t="s">
        <v>2835</v>
      </c>
      <c r="B2101" s="12" t="s">
        <v>1134</v>
      </c>
      <c r="C2101" s="12" t="s">
        <v>1135</v>
      </c>
      <c r="D2101" s="12" t="s">
        <v>269</v>
      </c>
      <c r="E2101" s="12" t="s">
        <v>104</v>
      </c>
      <c r="F2101">
        <v>2</v>
      </c>
      <c r="G2101">
        <v>0</v>
      </c>
      <c r="H2101">
        <v>0</v>
      </c>
      <c r="I2101" s="12" t="s">
        <v>380</v>
      </c>
      <c r="J2101" s="12" t="s">
        <v>381</v>
      </c>
      <c r="K2101" s="12" t="s">
        <v>89</v>
      </c>
      <c r="L2101" s="12" t="s">
        <v>96</v>
      </c>
      <c r="M2101">
        <v>10.210000000000001</v>
      </c>
      <c r="N2101" s="12" t="s">
        <v>159</v>
      </c>
      <c r="O2101" s="12" t="s">
        <v>160</v>
      </c>
      <c r="P2101" s="12" t="s">
        <v>137</v>
      </c>
      <c r="Q2101" s="13">
        <v>45337</v>
      </c>
      <c r="R2101" s="13">
        <v>45364</v>
      </c>
      <c r="S2101">
        <v>2024</v>
      </c>
      <c r="T2101" s="12" t="s">
        <v>2740</v>
      </c>
      <c r="U2101">
        <v>127</v>
      </c>
      <c r="V2101">
        <v>107.5608</v>
      </c>
      <c r="W2101">
        <v>150.07</v>
      </c>
      <c r="X2101">
        <v>0</v>
      </c>
      <c r="Y2101">
        <v>0</v>
      </c>
      <c r="Z2101">
        <v>13660.22</v>
      </c>
      <c r="AA2101">
        <v>13810.29</v>
      </c>
      <c r="AB2101" s="12" t="s">
        <v>1136</v>
      </c>
      <c r="AC2101">
        <v>107.5608</v>
      </c>
      <c r="AD2101">
        <v>1</v>
      </c>
      <c r="AE2101">
        <v>1</v>
      </c>
      <c r="AF2101">
        <v>0</v>
      </c>
      <c r="AG2101">
        <v>13660.22</v>
      </c>
      <c r="AH2101">
        <v>127</v>
      </c>
      <c r="AI2101">
        <v>126</v>
      </c>
      <c r="AJ2101">
        <v>1</v>
      </c>
      <c r="AK2101">
        <v>1</v>
      </c>
      <c r="AL2101">
        <v>1</v>
      </c>
      <c r="AM2101">
        <v>99.21</v>
      </c>
      <c r="AN2101">
        <v>109.60550000000001</v>
      </c>
      <c r="AO2101">
        <v>107.56</v>
      </c>
      <c r="AP2101" s="13">
        <v>45362</v>
      </c>
      <c r="AQ2101">
        <v>-2</v>
      </c>
      <c r="AR2101">
        <v>1</v>
      </c>
    </row>
    <row r="2102" spans="1:44" x14ac:dyDescent="0.35">
      <c r="A2102" s="12" t="s">
        <v>2836</v>
      </c>
      <c r="B2102" s="12" t="s">
        <v>293</v>
      </c>
      <c r="C2102" s="12" t="s">
        <v>294</v>
      </c>
      <c r="D2102" s="12" t="s">
        <v>114</v>
      </c>
      <c r="E2102" s="12" t="s">
        <v>142</v>
      </c>
      <c r="F2102">
        <v>1</v>
      </c>
      <c r="G2102">
        <v>6</v>
      </c>
      <c r="H2102">
        <v>1</v>
      </c>
      <c r="I2102" s="12" t="s">
        <v>195</v>
      </c>
      <c r="J2102" s="12" t="s">
        <v>196</v>
      </c>
      <c r="K2102" s="12" t="s">
        <v>117</v>
      </c>
      <c r="L2102" s="12" t="s">
        <v>134</v>
      </c>
      <c r="M2102">
        <v>4.7699999999999996</v>
      </c>
      <c r="N2102" s="12" t="s">
        <v>97</v>
      </c>
      <c r="O2102" s="12" t="s">
        <v>98</v>
      </c>
      <c r="P2102" s="12" t="s">
        <v>72</v>
      </c>
      <c r="Q2102" s="13">
        <v>45337</v>
      </c>
      <c r="R2102" s="13">
        <v>45374</v>
      </c>
      <c r="S2102">
        <v>2024</v>
      </c>
      <c r="T2102" s="12" t="s">
        <v>2740</v>
      </c>
      <c r="U2102">
        <v>32</v>
      </c>
      <c r="V2102">
        <v>202.91499999999999</v>
      </c>
      <c r="W2102">
        <v>102.98</v>
      </c>
      <c r="X2102">
        <v>0</v>
      </c>
      <c r="Y2102">
        <v>0</v>
      </c>
      <c r="Z2102">
        <v>6493.28</v>
      </c>
      <c r="AA2102">
        <v>6596.26</v>
      </c>
      <c r="AB2102" s="12" t="s">
        <v>2837</v>
      </c>
      <c r="AC2102">
        <v>202.91499999999999</v>
      </c>
      <c r="AD2102">
        <v>1</v>
      </c>
      <c r="AE2102">
        <v>1</v>
      </c>
      <c r="AF2102">
        <v>0</v>
      </c>
      <c r="AG2102">
        <v>6493.28</v>
      </c>
      <c r="AH2102">
        <v>32</v>
      </c>
      <c r="AI2102">
        <v>31</v>
      </c>
      <c r="AJ2102">
        <v>1</v>
      </c>
      <c r="AK2102">
        <v>1</v>
      </c>
      <c r="AL2102">
        <v>1</v>
      </c>
      <c r="AM2102">
        <v>96.88</v>
      </c>
      <c r="AN2102">
        <v>212.7826</v>
      </c>
      <c r="AO2102">
        <v>202.92</v>
      </c>
      <c r="AP2102" s="13">
        <v>45373</v>
      </c>
      <c r="AQ2102">
        <v>-1</v>
      </c>
      <c r="AR2102">
        <v>1</v>
      </c>
    </row>
    <row r="2103" spans="1:44" x14ac:dyDescent="0.35">
      <c r="A2103" s="12" t="s">
        <v>2838</v>
      </c>
      <c r="B2103" s="12" t="s">
        <v>112</v>
      </c>
      <c r="C2103" s="12" t="s">
        <v>113</v>
      </c>
      <c r="D2103" s="12" t="s">
        <v>114</v>
      </c>
      <c r="E2103" s="12" t="s">
        <v>104</v>
      </c>
      <c r="F2103">
        <v>3</v>
      </c>
      <c r="G2103">
        <v>1</v>
      </c>
      <c r="H2103">
        <v>0</v>
      </c>
      <c r="I2103" s="12" t="s">
        <v>227</v>
      </c>
      <c r="J2103" s="12" t="s">
        <v>228</v>
      </c>
      <c r="K2103" s="12" t="s">
        <v>89</v>
      </c>
      <c r="L2103" s="12" t="s">
        <v>96</v>
      </c>
      <c r="M2103">
        <v>9.15</v>
      </c>
      <c r="N2103" s="12" t="s">
        <v>70</v>
      </c>
      <c r="O2103" s="12" t="s">
        <v>71</v>
      </c>
      <c r="P2103" s="12" t="s">
        <v>72</v>
      </c>
      <c r="Q2103" s="13">
        <v>45338</v>
      </c>
      <c r="R2103" s="13">
        <v>45366</v>
      </c>
      <c r="S2103">
        <v>2024</v>
      </c>
      <c r="T2103" s="12" t="s">
        <v>2740</v>
      </c>
      <c r="U2103">
        <v>136</v>
      </c>
      <c r="V2103">
        <v>255.786</v>
      </c>
      <c r="W2103">
        <v>767.61</v>
      </c>
      <c r="X2103">
        <v>0</v>
      </c>
      <c r="Y2103">
        <v>0</v>
      </c>
      <c r="Z2103">
        <v>34786.9</v>
      </c>
      <c r="AA2103">
        <v>35554.51</v>
      </c>
      <c r="AB2103" s="12" t="s">
        <v>2839</v>
      </c>
      <c r="AC2103">
        <v>255.786</v>
      </c>
      <c r="AD2103">
        <v>1</v>
      </c>
      <c r="AE2103">
        <v>1</v>
      </c>
      <c r="AF2103">
        <v>0</v>
      </c>
      <c r="AG2103">
        <v>34786.9</v>
      </c>
      <c r="AH2103">
        <v>136</v>
      </c>
      <c r="AI2103">
        <v>135</v>
      </c>
      <c r="AJ2103">
        <v>1</v>
      </c>
      <c r="AK2103">
        <v>1</v>
      </c>
      <c r="AL2103">
        <v>1</v>
      </c>
      <c r="AM2103">
        <v>99.26</v>
      </c>
      <c r="AN2103">
        <v>263.36669999999998</v>
      </c>
      <c r="AO2103">
        <v>255.79</v>
      </c>
      <c r="AP2103" s="13">
        <v>45363</v>
      </c>
      <c r="AQ2103">
        <v>-3</v>
      </c>
      <c r="AR2103">
        <v>1</v>
      </c>
    </row>
    <row r="2104" spans="1:44" x14ac:dyDescent="0.35">
      <c r="A2104" s="12" t="s">
        <v>2840</v>
      </c>
      <c r="B2104" s="12" t="s">
        <v>76</v>
      </c>
      <c r="C2104" s="12" t="s">
        <v>77</v>
      </c>
      <c r="D2104" s="12" t="s">
        <v>78</v>
      </c>
      <c r="E2104" s="12" t="s">
        <v>65</v>
      </c>
      <c r="F2104">
        <v>2</v>
      </c>
      <c r="G2104">
        <v>4</v>
      </c>
      <c r="H2104">
        <v>0</v>
      </c>
      <c r="I2104" s="12" t="s">
        <v>79</v>
      </c>
      <c r="J2104" s="12" t="s">
        <v>80</v>
      </c>
      <c r="K2104" s="12" t="s">
        <v>81</v>
      </c>
      <c r="L2104" s="12" t="s">
        <v>82</v>
      </c>
      <c r="M2104">
        <v>12.07</v>
      </c>
      <c r="N2104" s="12" t="s">
        <v>70</v>
      </c>
      <c r="O2104" s="12" t="s">
        <v>71</v>
      </c>
      <c r="P2104" s="12" t="s">
        <v>72</v>
      </c>
      <c r="Q2104" s="13">
        <v>45338</v>
      </c>
      <c r="R2104" s="13">
        <v>45374</v>
      </c>
      <c r="S2104">
        <v>2024</v>
      </c>
      <c r="T2104" s="12" t="s">
        <v>2740</v>
      </c>
      <c r="U2104">
        <v>257</v>
      </c>
      <c r="V2104">
        <v>45.034100000000002</v>
      </c>
      <c r="W2104">
        <v>237.13</v>
      </c>
      <c r="X2104">
        <v>0</v>
      </c>
      <c r="Y2104">
        <v>0</v>
      </c>
      <c r="Z2104">
        <v>11573.76</v>
      </c>
      <c r="AA2104">
        <v>11810.89</v>
      </c>
      <c r="AB2104" s="12" t="s">
        <v>2672</v>
      </c>
      <c r="AC2104">
        <v>45.034100000000002</v>
      </c>
      <c r="AD2104">
        <v>1</v>
      </c>
      <c r="AE2104">
        <v>1</v>
      </c>
      <c r="AF2104">
        <v>0</v>
      </c>
      <c r="AG2104">
        <v>11573.76</v>
      </c>
      <c r="AH2104">
        <v>257</v>
      </c>
      <c r="AI2104">
        <v>253</v>
      </c>
      <c r="AJ2104">
        <v>4</v>
      </c>
      <c r="AK2104">
        <v>1</v>
      </c>
      <c r="AL2104">
        <v>1</v>
      </c>
      <c r="AM2104">
        <v>98.44</v>
      </c>
      <c r="AN2104">
        <v>46.683399999999999</v>
      </c>
      <c r="AO2104">
        <v>180.14</v>
      </c>
      <c r="AP2104" s="13">
        <v>45373</v>
      </c>
      <c r="AQ2104">
        <v>-1</v>
      </c>
      <c r="AR2104">
        <v>1</v>
      </c>
    </row>
    <row r="2105" spans="1:44" x14ac:dyDescent="0.35">
      <c r="A2105" s="12" t="s">
        <v>2841</v>
      </c>
      <c r="B2105" s="12" t="s">
        <v>76</v>
      </c>
      <c r="C2105" s="12" t="s">
        <v>77</v>
      </c>
      <c r="D2105" s="12" t="s">
        <v>78</v>
      </c>
      <c r="E2105" s="12" t="s">
        <v>65</v>
      </c>
      <c r="F2105">
        <v>2</v>
      </c>
      <c r="G2105">
        <v>4</v>
      </c>
      <c r="H2105">
        <v>0</v>
      </c>
      <c r="I2105" s="12" t="s">
        <v>79</v>
      </c>
      <c r="J2105" s="12" t="s">
        <v>80</v>
      </c>
      <c r="K2105" s="12" t="s">
        <v>81</v>
      </c>
      <c r="L2105" s="12" t="s">
        <v>82</v>
      </c>
      <c r="M2105">
        <v>12.07</v>
      </c>
      <c r="N2105" s="12" t="s">
        <v>70</v>
      </c>
      <c r="O2105" s="12" t="s">
        <v>71</v>
      </c>
      <c r="P2105" s="12" t="s">
        <v>72</v>
      </c>
      <c r="Q2105" s="13">
        <v>45338</v>
      </c>
      <c r="R2105" s="13">
        <v>45364</v>
      </c>
      <c r="S2105">
        <v>2024</v>
      </c>
      <c r="T2105" s="12" t="s">
        <v>2740</v>
      </c>
      <c r="U2105">
        <v>113</v>
      </c>
      <c r="V2105">
        <v>45.034100000000002</v>
      </c>
      <c r="W2105">
        <v>41.96</v>
      </c>
      <c r="X2105">
        <v>0</v>
      </c>
      <c r="Y2105">
        <v>0</v>
      </c>
      <c r="Z2105">
        <v>5088.8500000000004</v>
      </c>
      <c r="AA2105">
        <v>5130.8100000000004</v>
      </c>
      <c r="AB2105" s="12" t="s">
        <v>2672</v>
      </c>
      <c r="AC2105">
        <v>45.034100000000002</v>
      </c>
      <c r="AD2105">
        <v>1</v>
      </c>
      <c r="AE2105">
        <v>1</v>
      </c>
      <c r="AF2105">
        <v>0</v>
      </c>
      <c r="AG2105">
        <v>5088.8500000000004</v>
      </c>
      <c r="AH2105">
        <v>113</v>
      </c>
      <c r="AI2105">
        <v>111</v>
      </c>
      <c r="AJ2105">
        <v>2</v>
      </c>
      <c r="AK2105">
        <v>1</v>
      </c>
      <c r="AL2105">
        <v>1</v>
      </c>
      <c r="AM2105">
        <v>98.23</v>
      </c>
      <c r="AN2105">
        <v>46.223500000000001</v>
      </c>
      <c r="AO2105">
        <v>90.07</v>
      </c>
      <c r="AP2105" s="13">
        <v>45363</v>
      </c>
      <c r="AQ2105">
        <v>-1</v>
      </c>
      <c r="AR2105">
        <v>1</v>
      </c>
    </row>
    <row r="2106" spans="1:44" x14ac:dyDescent="0.35">
      <c r="A2106" s="12" t="s">
        <v>2842</v>
      </c>
      <c r="B2106" s="12" t="s">
        <v>613</v>
      </c>
      <c r="C2106" s="12" t="s">
        <v>614</v>
      </c>
      <c r="D2106" s="12" t="s">
        <v>130</v>
      </c>
      <c r="E2106" s="12" t="s">
        <v>104</v>
      </c>
      <c r="F2106">
        <v>3</v>
      </c>
      <c r="G2106">
        <v>1</v>
      </c>
      <c r="H2106">
        <v>0</v>
      </c>
      <c r="I2106" s="12" t="s">
        <v>66</v>
      </c>
      <c r="J2106" s="12" t="s">
        <v>67</v>
      </c>
      <c r="K2106" s="12" t="s">
        <v>68</v>
      </c>
      <c r="L2106" s="12" t="s">
        <v>69</v>
      </c>
      <c r="M2106">
        <v>17.66</v>
      </c>
      <c r="N2106" s="12" t="s">
        <v>135</v>
      </c>
      <c r="O2106" s="12" t="s">
        <v>136</v>
      </c>
      <c r="P2106" s="12" t="s">
        <v>137</v>
      </c>
      <c r="Q2106" s="13">
        <v>45338</v>
      </c>
      <c r="R2106" s="13">
        <v>45360</v>
      </c>
      <c r="S2106">
        <v>2024</v>
      </c>
      <c r="T2106" s="12" t="s">
        <v>2740</v>
      </c>
      <c r="U2106">
        <v>90</v>
      </c>
      <c r="V2106">
        <v>195.35140000000001</v>
      </c>
      <c r="W2106">
        <v>204.9</v>
      </c>
      <c r="X2106">
        <v>0</v>
      </c>
      <c r="Y2106">
        <v>0</v>
      </c>
      <c r="Z2106">
        <v>17581.63</v>
      </c>
      <c r="AA2106">
        <v>17786.53</v>
      </c>
      <c r="AB2106" s="12" t="s">
        <v>615</v>
      </c>
      <c r="AC2106">
        <v>195.35140000000001</v>
      </c>
      <c r="AD2106">
        <v>1</v>
      </c>
      <c r="AE2106">
        <v>1</v>
      </c>
      <c r="AF2106">
        <v>0</v>
      </c>
      <c r="AG2106">
        <v>17581.63</v>
      </c>
      <c r="AH2106">
        <v>90</v>
      </c>
      <c r="AI2106">
        <v>90</v>
      </c>
      <c r="AJ2106">
        <v>0</v>
      </c>
      <c r="AK2106">
        <v>1</v>
      </c>
      <c r="AL2106">
        <v>1</v>
      </c>
      <c r="AM2106">
        <v>100</v>
      </c>
      <c r="AN2106">
        <v>197.62809999999999</v>
      </c>
      <c r="AO2106">
        <v>0</v>
      </c>
      <c r="AP2106" s="13">
        <v>45359</v>
      </c>
      <c r="AQ2106">
        <v>-1</v>
      </c>
      <c r="AR2106">
        <v>1</v>
      </c>
    </row>
    <row r="2107" spans="1:44" x14ac:dyDescent="0.35">
      <c r="A2107" s="12" t="s">
        <v>2843</v>
      </c>
      <c r="B2107" s="12" t="s">
        <v>284</v>
      </c>
      <c r="C2107" s="12" t="s">
        <v>285</v>
      </c>
      <c r="D2107" s="12" t="s">
        <v>269</v>
      </c>
      <c r="E2107" s="12" t="s">
        <v>104</v>
      </c>
      <c r="F2107">
        <v>3</v>
      </c>
      <c r="G2107">
        <v>1</v>
      </c>
      <c r="H2107">
        <v>0</v>
      </c>
      <c r="I2107" s="12" t="s">
        <v>199</v>
      </c>
      <c r="J2107" s="12" t="s">
        <v>200</v>
      </c>
      <c r="K2107" s="12" t="s">
        <v>68</v>
      </c>
      <c r="L2107" s="12" t="s">
        <v>96</v>
      </c>
      <c r="M2107">
        <v>9.4700000000000006</v>
      </c>
      <c r="N2107" s="12" t="s">
        <v>135</v>
      </c>
      <c r="O2107" s="12" t="s">
        <v>136</v>
      </c>
      <c r="P2107" s="12" t="s">
        <v>137</v>
      </c>
      <c r="Q2107" s="13">
        <v>45338</v>
      </c>
      <c r="R2107" s="13">
        <v>45359</v>
      </c>
      <c r="S2107">
        <v>2024</v>
      </c>
      <c r="T2107" s="12" t="s">
        <v>2740</v>
      </c>
      <c r="U2107">
        <v>81</v>
      </c>
      <c r="V2107">
        <v>413.87790000000001</v>
      </c>
      <c r="W2107">
        <v>255.82</v>
      </c>
      <c r="X2107">
        <v>0</v>
      </c>
      <c r="Y2107">
        <v>0</v>
      </c>
      <c r="Z2107">
        <v>33524.11</v>
      </c>
      <c r="AA2107">
        <v>33779.93</v>
      </c>
      <c r="AB2107" s="12" t="s">
        <v>201</v>
      </c>
      <c r="AD2107">
        <v>0</v>
      </c>
      <c r="AE2107">
        <v>0</v>
      </c>
      <c r="AH2107">
        <v>81</v>
      </c>
      <c r="AI2107">
        <v>80</v>
      </c>
      <c r="AJ2107">
        <v>1</v>
      </c>
      <c r="AK2107">
        <v>1</v>
      </c>
      <c r="AL2107">
        <v>1</v>
      </c>
      <c r="AM2107">
        <v>98.77</v>
      </c>
      <c r="AN2107">
        <v>422.2491</v>
      </c>
      <c r="AO2107">
        <v>413.88</v>
      </c>
      <c r="AP2107" s="13">
        <v>45356</v>
      </c>
      <c r="AQ2107">
        <v>-3</v>
      </c>
      <c r="AR2107">
        <v>1</v>
      </c>
    </row>
    <row r="2108" spans="1:44" x14ac:dyDescent="0.35">
      <c r="A2108" s="12" t="s">
        <v>2844</v>
      </c>
      <c r="B2108" s="12" t="s">
        <v>598</v>
      </c>
      <c r="C2108" s="12" t="s">
        <v>599</v>
      </c>
      <c r="D2108" s="12" t="s">
        <v>269</v>
      </c>
      <c r="E2108" s="12" t="s">
        <v>65</v>
      </c>
      <c r="F2108">
        <v>1</v>
      </c>
      <c r="G2108">
        <v>2</v>
      </c>
      <c r="H2108">
        <v>1</v>
      </c>
      <c r="I2108" s="12" t="s">
        <v>176</v>
      </c>
      <c r="J2108" s="12" t="s">
        <v>177</v>
      </c>
      <c r="K2108" s="12" t="s">
        <v>125</v>
      </c>
      <c r="L2108" s="12" t="s">
        <v>134</v>
      </c>
      <c r="M2108">
        <v>1.75</v>
      </c>
      <c r="N2108" s="12" t="s">
        <v>159</v>
      </c>
      <c r="O2108" s="12" t="s">
        <v>160</v>
      </c>
      <c r="P2108" s="12" t="s">
        <v>137</v>
      </c>
      <c r="Q2108" s="13">
        <v>45338</v>
      </c>
      <c r="R2108" s="13">
        <v>45368</v>
      </c>
      <c r="S2108">
        <v>2024</v>
      </c>
      <c r="T2108" s="12" t="s">
        <v>2740</v>
      </c>
      <c r="U2108">
        <v>85</v>
      </c>
      <c r="V2108">
        <v>454.90469999999999</v>
      </c>
      <c r="W2108">
        <v>463.86</v>
      </c>
      <c r="X2108">
        <v>0</v>
      </c>
      <c r="Y2108">
        <v>0</v>
      </c>
      <c r="Z2108">
        <v>38666.9</v>
      </c>
      <c r="AA2108">
        <v>39130.76</v>
      </c>
      <c r="AB2108" s="12" t="s">
        <v>600</v>
      </c>
      <c r="AC2108">
        <v>454.90469999999999</v>
      </c>
      <c r="AD2108">
        <v>1</v>
      </c>
      <c r="AE2108">
        <v>1</v>
      </c>
      <c r="AF2108">
        <v>0</v>
      </c>
      <c r="AG2108">
        <v>38666.9</v>
      </c>
      <c r="AH2108">
        <v>85</v>
      </c>
      <c r="AI2108">
        <v>85</v>
      </c>
      <c r="AJ2108">
        <v>0</v>
      </c>
      <c r="AK2108">
        <v>1</v>
      </c>
      <c r="AL2108">
        <v>1</v>
      </c>
      <c r="AM2108">
        <v>100</v>
      </c>
      <c r="AN2108">
        <v>460.36189999999999</v>
      </c>
      <c r="AO2108">
        <v>0</v>
      </c>
      <c r="AP2108" s="13">
        <v>45368</v>
      </c>
      <c r="AQ2108">
        <v>0</v>
      </c>
      <c r="AR2108">
        <v>1</v>
      </c>
    </row>
    <row r="2109" spans="1:44" x14ac:dyDescent="0.35">
      <c r="A2109" s="12" t="s">
        <v>2845</v>
      </c>
      <c r="B2109" s="12" t="s">
        <v>1075</v>
      </c>
      <c r="C2109" s="12" t="s">
        <v>1076</v>
      </c>
      <c r="D2109" s="12" t="s">
        <v>103</v>
      </c>
      <c r="E2109" s="12" t="s">
        <v>65</v>
      </c>
      <c r="F2109">
        <v>2</v>
      </c>
      <c r="G2109">
        <v>4</v>
      </c>
      <c r="H2109">
        <v>0</v>
      </c>
      <c r="I2109" s="12" t="s">
        <v>183</v>
      </c>
      <c r="J2109" s="12" t="s">
        <v>184</v>
      </c>
      <c r="K2109" s="12" t="s">
        <v>133</v>
      </c>
      <c r="L2109" s="12" t="s">
        <v>82</v>
      </c>
      <c r="M2109">
        <v>8.6199999999999992</v>
      </c>
      <c r="N2109" s="12" t="s">
        <v>145</v>
      </c>
      <c r="O2109" s="12" t="s">
        <v>146</v>
      </c>
      <c r="P2109" s="12" t="s">
        <v>109</v>
      </c>
      <c r="Q2109" s="13">
        <v>45338</v>
      </c>
      <c r="R2109" s="13">
        <v>45367</v>
      </c>
      <c r="S2109">
        <v>2024</v>
      </c>
      <c r="T2109" s="12" t="s">
        <v>2740</v>
      </c>
      <c r="U2109">
        <v>74</v>
      </c>
      <c r="V2109">
        <v>68.470200000000006</v>
      </c>
      <c r="W2109">
        <v>83.26</v>
      </c>
      <c r="X2109">
        <v>0</v>
      </c>
      <c r="Y2109">
        <v>0</v>
      </c>
      <c r="Z2109">
        <v>5066.79</v>
      </c>
      <c r="AA2109">
        <v>5150.05</v>
      </c>
      <c r="AB2109" s="12" t="s">
        <v>1163</v>
      </c>
      <c r="AC2109">
        <v>68.470200000000006</v>
      </c>
      <c r="AD2109">
        <v>1</v>
      </c>
      <c r="AE2109">
        <v>1</v>
      </c>
      <c r="AF2109">
        <v>0</v>
      </c>
      <c r="AG2109">
        <v>5066.79</v>
      </c>
      <c r="AH2109">
        <v>74</v>
      </c>
      <c r="AI2109">
        <v>74</v>
      </c>
      <c r="AJ2109">
        <v>0</v>
      </c>
      <c r="AK2109">
        <v>1</v>
      </c>
      <c r="AL2109">
        <v>1</v>
      </c>
      <c r="AM2109">
        <v>100</v>
      </c>
      <c r="AN2109">
        <v>69.595299999999995</v>
      </c>
      <c r="AO2109">
        <v>0</v>
      </c>
      <c r="AP2109" s="13">
        <v>45367</v>
      </c>
      <c r="AQ2109">
        <v>0</v>
      </c>
      <c r="AR2109">
        <v>1</v>
      </c>
    </row>
    <row r="2110" spans="1:44" x14ac:dyDescent="0.35">
      <c r="A2110" s="12" t="s">
        <v>2846</v>
      </c>
      <c r="B2110" s="12" t="s">
        <v>378</v>
      </c>
      <c r="C2110" s="12" t="s">
        <v>379</v>
      </c>
      <c r="D2110" s="12" t="s">
        <v>64</v>
      </c>
      <c r="E2110" s="12" t="s">
        <v>104</v>
      </c>
      <c r="F2110">
        <v>3</v>
      </c>
      <c r="G2110">
        <v>1</v>
      </c>
      <c r="H2110">
        <v>0</v>
      </c>
      <c r="I2110" s="12" t="s">
        <v>380</v>
      </c>
      <c r="J2110" s="12" t="s">
        <v>381</v>
      </c>
      <c r="K2110" s="12" t="s">
        <v>89</v>
      </c>
      <c r="L2110" s="12" t="s">
        <v>96</v>
      </c>
      <c r="M2110">
        <v>10.210000000000001</v>
      </c>
      <c r="N2110" s="12" t="s">
        <v>70</v>
      </c>
      <c r="O2110" s="12" t="s">
        <v>71</v>
      </c>
      <c r="P2110" s="12" t="s">
        <v>72</v>
      </c>
      <c r="Q2110" s="13">
        <v>45338</v>
      </c>
      <c r="R2110" s="13">
        <v>45365</v>
      </c>
      <c r="S2110">
        <v>2024</v>
      </c>
      <c r="T2110" s="12" t="s">
        <v>2740</v>
      </c>
      <c r="U2110">
        <v>854</v>
      </c>
      <c r="V2110">
        <v>15.734999999999999</v>
      </c>
      <c r="W2110">
        <v>109.19</v>
      </c>
      <c r="X2110">
        <v>0</v>
      </c>
      <c r="Y2110">
        <v>0</v>
      </c>
      <c r="Z2110">
        <v>13437.69</v>
      </c>
      <c r="AA2110">
        <v>13546.88</v>
      </c>
      <c r="AB2110" s="12" t="s">
        <v>2847</v>
      </c>
      <c r="AC2110">
        <v>15.734999999999999</v>
      </c>
      <c r="AD2110">
        <v>1</v>
      </c>
      <c r="AE2110">
        <v>1</v>
      </c>
      <c r="AF2110">
        <v>0</v>
      </c>
      <c r="AG2110">
        <v>13437.69</v>
      </c>
      <c r="AH2110">
        <v>854</v>
      </c>
      <c r="AI2110">
        <v>850</v>
      </c>
      <c r="AJ2110">
        <v>4</v>
      </c>
      <c r="AK2110">
        <v>1</v>
      </c>
      <c r="AL2110">
        <v>1</v>
      </c>
      <c r="AM2110">
        <v>99.53</v>
      </c>
      <c r="AN2110">
        <v>15.9375</v>
      </c>
      <c r="AO2110">
        <v>62.94</v>
      </c>
      <c r="AP2110" s="13">
        <v>45362</v>
      </c>
      <c r="AQ2110">
        <v>-3</v>
      </c>
      <c r="AR2110">
        <v>1</v>
      </c>
    </row>
    <row r="2111" spans="1:44" x14ac:dyDescent="0.35">
      <c r="A2111" s="12" t="s">
        <v>2848</v>
      </c>
      <c r="B2111" s="12" t="s">
        <v>1666</v>
      </c>
      <c r="C2111" s="12" t="s">
        <v>1667</v>
      </c>
      <c r="D2111" s="12" t="s">
        <v>78</v>
      </c>
      <c r="E2111" s="12" t="s">
        <v>65</v>
      </c>
      <c r="F2111">
        <v>2</v>
      </c>
      <c r="G2111">
        <v>3</v>
      </c>
      <c r="H2111">
        <v>0</v>
      </c>
      <c r="I2111" s="12" t="s">
        <v>310</v>
      </c>
      <c r="J2111" s="12" t="s">
        <v>311</v>
      </c>
      <c r="K2111" s="12" t="s">
        <v>81</v>
      </c>
      <c r="L2111" s="12" t="s">
        <v>69</v>
      </c>
      <c r="M2111">
        <v>28.3</v>
      </c>
      <c r="N2111" s="12" t="s">
        <v>97</v>
      </c>
      <c r="O2111" s="12" t="s">
        <v>98</v>
      </c>
      <c r="P2111" s="12" t="s">
        <v>72</v>
      </c>
      <c r="Q2111" s="13">
        <v>45338</v>
      </c>
      <c r="R2111" s="13">
        <v>45360</v>
      </c>
      <c r="S2111">
        <v>2024</v>
      </c>
      <c r="T2111" s="12" t="s">
        <v>2740</v>
      </c>
      <c r="U2111">
        <v>59</v>
      </c>
      <c r="V2111">
        <v>75.122299999999996</v>
      </c>
      <c r="W2111">
        <v>58.83</v>
      </c>
      <c r="X2111">
        <v>0</v>
      </c>
      <c r="Y2111">
        <v>0</v>
      </c>
      <c r="Z2111">
        <v>4432.22</v>
      </c>
      <c r="AA2111">
        <v>4491.05</v>
      </c>
      <c r="AB2111" s="12" t="s">
        <v>1668</v>
      </c>
      <c r="AC2111">
        <v>75.122299999999996</v>
      </c>
      <c r="AD2111">
        <v>1</v>
      </c>
      <c r="AE2111">
        <v>1</v>
      </c>
      <c r="AF2111">
        <v>0</v>
      </c>
      <c r="AG2111">
        <v>4432.22</v>
      </c>
      <c r="AH2111">
        <v>59</v>
      </c>
      <c r="AI2111">
        <v>58</v>
      </c>
      <c r="AJ2111">
        <v>1</v>
      </c>
      <c r="AK2111">
        <v>1</v>
      </c>
      <c r="AL2111">
        <v>1</v>
      </c>
      <c r="AM2111">
        <v>98.31</v>
      </c>
      <c r="AN2111">
        <v>77.431799999999996</v>
      </c>
      <c r="AO2111">
        <v>75.12</v>
      </c>
      <c r="AP2111" s="13">
        <v>45359</v>
      </c>
      <c r="AQ2111">
        <v>-1</v>
      </c>
      <c r="AR2111">
        <v>1</v>
      </c>
    </row>
    <row r="2112" spans="1:44" x14ac:dyDescent="0.35">
      <c r="A2112" s="12" t="s">
        <v>2849</v>
      </c>
      <c r="B2112" s="12" t="s">
        <v>657</v>
      </c>
      <c r="C2112" s="12" t="s">
        <v>658</v>
      </c>
      <c r="D2112" s="12" t="s">
        <v>175</v>
      </c>
      <c r="E2112" s="12" t="s">
        <v>65</v>
      </c>
      <c r="F2112">
        <v>1</v>
      </c>
      <c r="G2112">
        <v>2</v>
      </c>
      <c r="H2112">
        <v>1</v>
      </c>
      <c r="I2112" s="12" t="s">
        <v>183</v>
      </c>
      <c r="J2112" s="12" t="s">
        <v>184</v>
      </c>
      <c r="K2112" s="12" t="s">
        <v>133</v>
      </c>
      <c r="L2112" s="12" t="s">
        <v>82</v>
      </c>
      <c r="M2112">
        <v>8.6199999999999992</v>
      </c>
      <c r="N2112" s="12" t="s">
        <v>145</v>
      </c>
      <c r="O2112" s="12" t="s">
        <v>146</v>
      </c>
      <c r="P2112" s="12" t="s">
        <v>109</v>
      </c>
      <c r="Q2112" s="13">
        <v>45338</v>
      </c>
      <c r="R2112" s="13">
        <v>45360</v>
      </c>
      <c r="S2112">
        <v>2024</v>
      </c>
      <c r="T2112" s="12" t="s">
        <v>2740</v>
      </c>
      <c r="U2112">
        <v>19</v>
      </c>
      <c r="V2112">
        <v>153.8561</v>
      </c>
      <c r="W2112">
        <v>21.49</v>
      </c>
      <c r="X2112">
        <v>0</v>
      </c>
      <c r="Y2112">
        <v>0</v>
      </c>
      <c r="Z2112">
        <v>2923.27</v>
      </c>
      <c r="AA2112">
        <v>2944.76</v>
      </c>
      <c r="AB2112" s="12" t="s">
        <v>659</v>
      </c>
      <c r="AC2112">
        <v>153.8561</v>
      </c>
      <c r="AD2112">
        <v>1</v>
      </c>
      <c r="AE2112">
        <v>1</v>
      </c>
      <c r="AF2112">
        <v>0</v>
      </c>
      <c r="AG2112">
        <v>2923.27</v>
      </c>
      <c r="AH2112">
        <v>19</v>
      </c>
      <c r="AI2112">
        <v>19</v>
      </c>
      <c r="AJ2112">
        <v>0</v>
      </c>
      <c r="AK2112">
        <v>1</v>
      </c>
      <c r="AL2112">
        <v>1</v>
      </c>
      <c r="AM2112">
        <v>100</v>
      </c>
      <c r="AN2112">
        <v>154.9872</v>
      </c>
      <c r="AO2112">
        <v>0</v>
      </c>
      <c r="AP2112" s="13">
        <v>45359</v>
      </c>
      <c r="AQ2112">
        <v>-1</v>
      </c>
      <c r="AR2112">
        <v>1</v>
      </c>
    </row>
    <row r="2113" spans="1:44" x14ac:dyDescent="0.35">
      <c r="A2113" s="12" t="s">
        <v>2850</v>
      </c>
      <c r="B2113" s="12" t="s">
        <v>661</v>
      </c>
      <c r="C2113" s="12" t="s">
        <v>662</v>
      </c>
      <c r="D2113" s="12" t="s">
        <v>175</v>
      </c>
      <c r="E2113" s="12" t="s">
        <v>104</v>
      </c>
      <c r="F2113">
        <v>1</v>
      </c>
      <c r="G2113">
        <v>0</v>
      </c>
      <c r="H2113">
        <v>1</v>
      </c>
      <c r="I2113" s="12" t="s">
        <v>183</v>
      </c>
      <c r="J2113" s="12" t="s">
        <v>184</v>
      </c>
      <c r="K2113" s="12" t="s">
        <v>133</v>
      </c>
      <c r="L2113" s="12" t="s">
        <v>82</v>
      </c>
      <c r="M2113">
        <v>8.6199999999999992</v>
      </c>
      <c r="N2113" s="12" t="s">
        <v>145</v>
      </c>
      <c r="O2113" s="12" t="s">
        <v>146</v>
      </c>
      <c r="P2113" s="12" t="s">
        <v>109</v>
      </c>
      <c r="Q2113" s="13">
        <v>45338</v>
      </c>
      <c r="R2113" s="13">
        <v>45355</v>
      </c>
      <c r="S2113">
        <v>2024</v>
      </c>
      <c r="T2113" s="12" t="s">
        <v>2740</v>
      </c>
      <c r="U2113">
        <v>51</v>
      </c>
      <c r="V2113">
        <v>180.0376</v>
      </c>
      <c r="W2113">
        <v>221.42</v>
      </c>
      <c r="X2113">
        <v>0</v>
      </c>
      <c r="Y2113">
        <v>0</v>
      </c>
      <c r="Z2113">
        <v>9181.92</v>
      </c>
      <c r="AA2113">
        <v>9403.34</v>
      </c>
      <c r="AB2113" s="12" t="s">
        <v>2851</v>
      </c>
      <c r="AC2113">
        <v>180.0376</v>
      </c>
      <c r="AD2113">
        <v>1</v>
      </c>
      <c r="AE2113">
        <v>1</v>
      </c>
      <c r="AF2113">
        <v>0</v>
      </c>
      <c r="AG2113">
        <v>9181.92</v>
      </c>
      <c r="AH2113">
        <v>51</v>
      </c>
      <c r="AI2113">
        <v>50</v>
      </c>
      <c r="AJ2113">
        <v>1</v>
      </c>
      <c r="AK2113">
        <v>1</v>
      </c>
      <c r="AL2113">
        <v>1</v>
      </c>
      <c r="AM2113">
        <v>98.04</v>
      </c>
      <c r="AN2113">
        <v>188.0668</v>
      </c>
      <c r="AO2113">
        <v>180.04</v>
      </c>
      <c r="AP2113" s="13">
        <v>45354</v>
      </c>
      <c r="AQ2113">
        <v>-1</v>
      </c>
      <c r="AR2113">
        <v>1</v>
      </c>
    </row>
    <row r="2114" spans="1:44" x14ac:dyDescent="0.35">
      <c r="A2114" s="12" t="s">
        <v>2852</v>
      </c>
      <c r="B2114" s="12" t="s">
        <v>1179</v>
      </c>
      <c r="C2114" s="12" t="s">
        <v>1180</v>
      </c>
      <c r="D2114" s="12" t="s">
        <v>122</v>
      </c>
      <c r="E2114" s="12" t="s">
        <v>142</v>
      </c>
      <c r="F2114">
        <v>1</v>
      </c>
      <c r="G2114">
        <v>8</v>
      </c>
      <c r="H2114">
        <v>1</v>
      </c>
      <c r="I2114" s="12" t="s">
        <v>143</v>
      </c>
      <c r="J2114" s="12" t="s">
        <v>144</v>
      </c>
      <c r="K2114" s="12" t="s">
        <v>133</v>
      </c>
      <c r="L2114" s="12" t="s">
        <v>96</v>
      </c>
      <c r="M2114">
        <v>5.43</v>
      </c>
      <c r="N2114" s="12" t="s">
        <v>70</v>
      </c>
      <c r="O2114" s="12" t="s">
        <v>71</v>
      </c>
      <c r="P2114" s="12" t="s">
        <v>72</v>
      </c>
      <c r="Q2114" s="13">
        <v>45338</v>
      </c>
      <c r="R2114" s="13">
        <v>45386</v>
      </c>
      <c r="S2114">
        <v>2024</v>
      </c>
      <c r="T2114" s="12" t="s">
        <v>2740</v>
      </c>
      <c r="U2114">
        <v>1554</v>
      </c>
      <c r="V2114">
        <v>52.674799999999998</v>
      </c>
      <c r="W2114">
        <v>1035.03</v>
      </c>
      <c r="X2114">
        <v>0</v>
      </c>
      <c r="Y2114">
        <v>0</v>
      </c>
      <c r="Z2114">
        <v>81856.639999999999</v>
      </c>
      <c r="AA2114">
        <v>82891.67</v>
      </c>
      <c r="AB2114" s="12" t="s">
        <v>1181</v>
      </c>
      <c r="AC2114">
        <v>52.674799999999998</v>
      </c>
      <c r="AD2114">
        <v>1</v>
      </c>
      <c r="AE2114">
        <v>1</v>
      </c>
      <c r="AF2114">
        <v>0</v>
      </c>
      <c r="AG2114">
        <v>81856.639999999999</v>
      </c>
      <c r="AH2114">
        <v>1554</v>
      </c>
      <c r="AI2114">
        <v>1539</v>
      </c>
      <c r="AJ2114">
        <v>15</v>
      </c>
      <c r="AK2114">
        <v>1</v>
      </c>
      <c r="AL2114">
        <v>1</v>
      </c>
      <c r="AM2114">
        <v>99.03</v>
      </c>
      <c r="AN2114">
        <v>53.860700000000001</v>
      </c>
      <c r="AO2114">
        <v>790.12</v>
      </c>
      <c r="AP2114" s="13">
        <v>45386</v>
      </c>
      <c r="AQ2114">
        <v>0</v>
      </c>
      <c r="AR2114">
        <v>1</v>
      </c>
    </row>
    <row r="2115" spans="1:44" x14ac:dyDescent="0.35">
      <c r="A2115" s="12" t="s">
        <v>2853</v>
      </c>
      <c r="B2115" s="12" t="s">
        <v>1179</v>
      </c>
      <c r="C2115" s="12" t="s">
        <v>1180</v>
      </c>
      <c r="D2115" s="12" t="s">
        <v>122</v>
      </c>
      <c r="E2115" s="12" t="s">
        <v>142</v>
      </c>
      <c r="F2115">
        <v>1</v>
      </c>
      <c r="G2115">
        <v>8</v>
      </c>
      <c r="H2115">
        <v>1</v>
      </c>
      <c r="I2115" s="12" t="s">
        <v>143</v>
      </c>
      <c r="J2115" s="12" t="s">
        <v>144</v>
      </c>
      <c r="K2115" s="12" t="s">
        <v>133</v>
      </c>
      <c r="L2115" s="12" t="s">
        <v>96</v>
      </c>
      <c r="M2115">
        <v>5.43</v>
      </c>
      <c r="N2115" s="12" t="s">
        <v>97</v>
      </c>
      <c r="O2115" s="12" t="s">
        <v>98</v>
      </c>
      <c r="P2115" s="12" t="s">
        <v>72</v>
      </c>
      <c r="Q2115" s="13">
        <v>45338</v>
      </c>
      <c r="R2115" s="13">
        <v>45380</v>
      </c>
      <c r="S2115">
        <v>2024</v>
      </c>
      <c r="T2115" s="12" t="s">
        <v>2740</v>
      </c>
      <c r="U2115">
        <v>900</v>
      </c>
      <c r="V2115">
        <v>52.674799999999998</v>
      </c>
      <c r="W2115">
        <v>794.78</v>
      </c>
      <c r="X2115">
        <v>0</v>
      </c>
      <c r="Y2115">
        <v>0</v>
      </c>
      <c r="Z2115">
        <v>47407.32</v>
      </c>
      <c r="AA2115">
        <v>48202.1</v>
      </c>
      <c r="AB2115" s="12" t="s">
        <v>1181</v>
      </c>
      <c r="AC2115">
        <v>52.674799999999998</v>
      </c>
      <c r="AD2115">
        <v>1</v>
      </c>
      <c r="AE2115">
        <v>1</v>
      </c>
      <c r="AF2115">
        <v>0</v>
      </c>
      <c r="AG2115">
        <v>47407.32</v>
      </c>
      <c r="AH2115">
        <v>900</v>
      </c>
      <c r="AI2115">
        <v>896</v>
      </c>
      <c r="AJ2115">
        <v>4</v>
      </c>
      <c r="AK2115">
        <v>1</v>
      </c>
      <c r="AL2115">
        <v>1</v>
      </c>
      <c r="AM2115">
        <v>99.56</v>
      </c>
      <c r="AN2115">
        <v>53.796999999999997</v>
      </c>
      <c r="AO2115">
        <v>210.7</v>
      </c>
      <c r="AP2115" s="13">
        <v>45378</v>
      </c>
      <c r="AQ2115">
        <v>-2</v>
      </c>
      <c r="AR2115">
        <v>1</v>
      </c>
    </row>
    <row r="2116" spans="1:44" x14ac:dyDescent="0.35">
      <c r="A2116" s="12" t="s">
        <v>2854</v>
      </c>
      <c r="B2116" s="12" t="s">
        <v>740</v>
      </c>
      <c r="C2116" s="12" t="s">
        <v>741</v>
      </c>
      <c r="D2116" s="12" t="s">
        <v>64</v>
      </c>
      <c r="E2116" s="12" t="s">
        <v>104</v>
      </c>
      <c r="F2116">
        <v>2</v>
      </c>
      <c r="G2116">
        <v>0</v>
      </c>
      <c r="H2116">
        <v>0</v>
      </c>
      <c r="I2116" s="12" t="s">
        <v>183</v>
      </c>
      <c r="J2116" s="12" t="s">
        <v>184</v>
      </c>
      <c r="K2116" s="12" t="s">
        <v>133</v>
      </c>
      <c r="L2116" s="12" t="s">
        <v>82</v>
      </c>
      <c r="M2116">
        <v>8.6199999999999992</v>
      </c>
      <c r="N2116" s="12" t="s">
        <v>97</v>
      </c>
      <c r="O2116" s="12" t="s">
        <v>98</v>
      </c>
      <c r="P2116" s="12" t="s">
        <v>72</v>
      </c>
      <c r="Q2116" s="13">
        <v>45338</v>
      </c>
      <c r="R2116" s="13">
        <v>45362</v>
      </c>
      <c r="S2116">
        <v>2024</v>
      </c>
      <c r="T2116" s="12" t="s">
        <v>2740</v>
      </c>
      <c r="U2116">
        <v>731</v>
      </c>
      <c r="V2116">
        <v>38.734900000000003</v>
      </c>
      <c r="W2116">
        <v>277.23</v>
      </c>
      <c r="X2116">
        <v>0</v>
      </c>
      <c r="Y2116">
        <v>0</v>
      </c>
      <c r="Z2116">
        <v>28315.21</v>
      </c>
      <c r="AA2116">
        <v>28592.44</v>
      </c>
      <c r="AB2116" s="12" t="s">
        <v>742</v>
      </c>
      <c r="AC2116">
        <v>41.2042</v>
      </c>
      <c r="AD2116">
        <v>1</v>
      </c>
      <c r="AE2116">
        <v>1</v>
      </c>
      <c r="AF2116">
        <v>-1805.06</v>
      </c>
      <c r="AG2116">
        <v>30120.27</v>
      </c>
      <c r="AH2116">
        <v>731</v>
      </c>
      <c r="AI2116">
        <v>728</v>
      </c>
      <c r="AJ2116">
        <v>3</v>
      </c>
      <c r="AK2116">
        <v>1</v>
      </c>
      <c r="AL2116">
        <v>1</v>
      </c>
      <c r="AM2116">
        <v>99.59</v>
      </c>
      <c r="AN2116">
        <v>39.275300000000001</v>
      </c>
      <c r="AO2116">
        <v>116.2</v>
      </c>
      <c r="AP2116" s="13">
        <v>45370</v>
      </c>
      <c r="AQ2116">
        <v>8</v>
      </c>
      <c r="AR2116">
        <v>0</v>
      </c>
    </row>
    <row r="2117" spans="1:44" x14ac:dyDescent="0.35">
      <c r="A2117" s="12" t="s">
        <v>2855</v>
      </c>
      <c r="B2117" s="12" t="s">
        <v>544</v>
      </c>
      <c r="C2117" s="12" t="s">
        <v>545</v>
      </c>
      <c r="D2117" s="12" t="s">
        <v>175</v>
      </c>
      <c r="E2117" s="12" t="s">
        <v>65</v>
      </c>
      <c r="F2117">
        <v>3</v>
      </c>
      <c r="G2117">
        <v>5</v>
      </c>
      <c r="H2117">
        <v>0</v>
      </c>
      <c r="I2117" s="12" t="s">
        <v>66</v>
      </c>
      <c r="J2117" s="12" t="s">
        <v>67</v>
      </c>
      <c r="K2117" s="12" t="s">
        <v>68</v>
      </c>
      <c r="L2117" s="12" t="s">
        <v>69</v>
      </c>
      <c r="M2117">
        <v>17.66</v>
      </c>
      <c r="N2117" s="12" t="s">
        <v>107</v>
      </c>
      <c r="O2117" s="12" t="s">
        <v>108</v>
      </c>
      <c r="P2117" s="12" t="s">
        <v>109</v>
      </c>
      <c r="Q2117" s="13">
        <v>45341</v>
      </c>
      <c r="R2117" s="13">
        <v>45376</v>
      </c>
      <c r="S2117">
        <v>2024</v>
      </c>
      <c r="T2117" s="12" t="s">
        <v>2740</v>
      </c>
      <c r="U2117">
        <v>125</v>
      </c>
      <c r="V2117">
        <v>155.36940000000001</v>
      </c>
      <c r="W2117">
        <v>155.27000000000001</v>
      </c>
      <c r="X2117">
        <v>0</v>
      </c>
      <c r="Y2117">
        <v>0</v>
      </c>
      <c r="Z2117">
        <v>19421.18</v>
      </c>
      <c r="AA2117">
        <v>19576.45</v>
      </c>
      <c r="AB2117" s="12" t="s">
        <v>546</v>
      </c>
      <c r="AC2117">
        <v>155.36940000000001</v>
      </c>
      <c r="AD2117">
        <v>1</v>
      </c>
      <c r="AE2117">
        <v>1</v>
      </c>
      <c r="AF2117">
        <v>0</v>
      </c>
      <c r="AG2117">
        <v>19421.18</v>
      </c>
      <c r="AH2117">
        <v>125</v>
      </c>
      <c r="AI2117">
        <v>123</v>
      </c>
      <c r="AJ2117">
        <v>2</v>
      </c>
      <c r="AK2117">
        <v>1</v>
      </c>
      <c r="AL2117">
        <v>1</v>
      </c>
      <c r="AM2117">
        <v>98.4</v>
      </c>
      <c r="AN2117">
        <v>159.15809999999999</v>
      </c>
      <c r="AO2117">
        <v>310.74</v>
      </c>
      <c r="AP2117" s="13">
        <v>45380</v>
      </c>
      <c r="AQ2117">
        <v>4</v>
      </c>
      <c r="AR2117">
        <v>0</v>
      </c>
    </row>
    <row r="2118" spans="1:44" x14ac:dyDescent="0.35">
      <c r="A2118" s="12" t="s">
        <v>2856</v>
      </c>
      <c r="B2118" s="12" t="s">
        <v>848</v>
      </c>
      <c r="C2118" s="12" t="s">
        <v>849</v>
      </c>
      <c r="D2118" s="12" t="s">
        <v>103</v>
      </c>
      <c r="E2118" s="12" t="s">
        <v>65</v>
      </c>
      <c r="F2118">
        <v>2</v>
      </c>
      <c r="G2118">
        <v>4</v>
      </c>
      <c r="H2118">
        <v>0</v>
      </c>
      <c r="I2118" s="12" t="s">
        <v>87</v>
      </c>
      <c r="J2118" s="12" t="s">
        <v>88</v>
      </c>
      <c r="K2118" s="12" t="s">
        <v>89</v>
      </c>
      <c r="L2118" s="12" t="s">
        <v>69</v>
      </c>
      <c r="M2118">
        <v>14.93</v>
      </c>
      <c r="N2118" s="12" t="s">
        <v>145</v>
      </c>
      <c r="O2118" s="12" t="s">
        <v>146</v>
      </c>
      <c r="P2118" s="12" t="s">
        <v>109</v>
      </c>
      <c r="Q2118" s="13">
        <v>45341</v>
      </c>
      <c r="R2118" s="13">
        <v>45373</v>
      </c>
      <c r="S2118">
        <v>2024</v>
      </c>
      <c r="T2118" s="12" t="s">
        <v>2740</v>
      </c>
      <c r="U2118">
        <v>101</v>
      </c>
      <c r="V2118">
        <v>116.4772</v>
      </c>
      <c r="W2118">
        <v>299.51</v>
      </c>
      <c r="X2118">
        <v>358.28</v>
      </c>
      <c r="Y2118">
        <v>1</v>
      </c>
      <c r="Z2118">
        <v>11764.2</v>
      </c>
      <c r="AA2118">
        <v>12421.99</v>
      </c>
      <c r="AB2118" s="12" t="s">
        <v>850</v>
      </c>
      <c r="AC2118">
        <v>123.8275</v>
      </c>
      <c r="AD2118">
        <v>1</v>
      </c>
      <c r="AE2118">
        <v>1</v>
      </c>
      <c r="AF2118">
        <v>-742.38</v>
      </c>
      <c r="AG2118">
        <v>12506.58</v>
      </c>
      <c r="AH2118">
        <v>101</v>
      </c>
      <c r="AI2118">
        <v>100</v>
      </c>
      <c r="AJ2118">
        <v>1</v>
      </c>
      <c r="AK2118">
        <v>1</v>
      </c>
      <c r="AL2118">
        <v>1</v>
      </c>
      <c r="AM2118">
        <v>99.01</v>
      </c>
      <c r="AN2118">
        <v>124.2199</v>
      </c>
      <c r="AO2118">
        <v>116.48</v>
      </c>
      <c r="AP2118" s="13">
        <v>45371</v>
      </c>
      <c r="AQ2118">
        <v>-2</v>
      </c>
      <c r="AR2118">
        <v>1</v>
      </c>
    </row>
    <row r="2119" spans="1:44" x14ac:dyDescent="0.35">
      <c r="A2119" s="12" t="s">
        <v>2857</v>
      </c>
      <c r="B2119" s="12" t="s">
        <v>284</v>
      </c>
      <c r="C2119" s="12" t="s">
        <v>285</v>
      </c>
      <c r="D2119" s="12" t="s">
        <v>269</v>
      </c>
      <c r="E2119" s="12" t="s">
        <v>104</v>
      </c>
      <c r="F2119">
        <v>3</v>
      </c>
      <c r="G2119">
        <v>1</v>
      </c>
      <c r="H2119">
        <v>0</v>
      </c>
      <c r="I2119" s="12" t="s">
        <v>199</v>
      </c>
      <c r="J2119" s="12" t="s">
        <v>200</v>
      </c>
      <c r="K2119" s="12" t="s">
        <v>68</v>
      </c>
      <c r="L2119" s="12" t="s">
        <v>96</v>
      </c>
      <c r="M2119">
        <v>9.4700000000000006</v>
      </c>
      <c r="N2119" s="12" t="s">
        <v>159</v>
      </c>
      <c r="O2119" s="12" t="s">
        <v>160</v>
      </c>
      <c r="P2119" s="12" t="s">
        <v>137</v>
      </c>
      <c r="Q2119" s="13">
        <v>45341</v>
      </c>
      <c r="R2119" s="13">
        <v>45362</v>
      </c>
      <c r="S2119">
        <v>2024</v>
      </c>
      <c r="T2119" s="12" t="s">
        <v>2740</v>
      </c>
      <c r="U2119">
        <v>83</v>
      </c>
      <c r="V2119">
        <v>431.25709999999998</v>
      </c>
      <c r="W2119">
        <v>693.85</v>
      </c>
      <c r="X2119">
        <v>0</v>
      </c>
      <c r="Y2119">
        <v>0</v>
      </c>
      <c r="Z2119">
        <v>35794.339999999997</v>
      </c>
      <c r="AA2119">
        <v>36488.19</v>
      </c>
      <c r="AB2119" s="12" t="s">
        <v>201</v>
      </c>
      <c r="AD2119">
        <v>0</v>
      </c>
      <c r="AE2119">
        <v>0</v>
      </c>
      <c r="AH2119">
        <v>83</v>
      </c>
      <c r="AI2119">
        <v>82</v>
      </c>
      <c r="AJ2119">
        <v>1</v>
      </c>
      <c r="AK2119">
        <v>1</v>
      </c>
      <c r="AL2119">
        <v>1</v>
      </c>
      <c r="AM2119">
        <v>98.8</v>
      </c>
      <c r="AN2119">
        <v>444.97789999999998</v>
      </c>
      <c r="AO2119">
        <v>431.26</v>
      </c>
      <c r="AP2119" s="13">
        <v>45365</v>
      </c>
      <c r="AQ2119">
        <v>3</v>
      </c>
      <c r="AR2119">
        <v>0</v>
      </c>
    </row>
    <row r="2120" spans="1:44" x14ac:dyDescent="0.35">
      <c r="A2120" s="12" t="s">
        <v>2858</v>
      </c>
      <c r="B2120" s="12" t="s">
        <v>249</v>
      </c>
      <c r="C2120" s="12" t="s">
        <v>250</v>
      </c>
      <c r="D2120" s="12" t="s">
        <v>64</v>
      </c>
      <c r="E2120" s="12" t="s">
        <v>65</v>
      </c>
      <c r="F2120">
        <v>2</v>
      </c>
      <c r="G2120">
        <v>3</v>
      </c>
      <c r="H2120">
        <v>0</v>
      </c>
      <c r="I2120" s="12" t="s">
        <v>251</v>
      </c>
      <c r="J2120" s="12" t="s">
        <v>252</v>
      </c>
      <c r="K2120" s="12" t="s">
        <v>133</v>
      </c>
      <c r="L2120" s="12" t="s">
        <v>69</v>
      </c>
      <c r="M2120">
        <v>34.49</v>
      </c>
      <c r="N2120" s="12" t="s">
        <v>97</v>
      </c>
      <c r="O2120" s="12" t="s">
        <v>98</v>
      </c>
      <c r="P2120" s="12" t="s">
        <v>72</v>
      </c>
      <c r="Q2120" s="13">
        <v>45341</v>
      </c>
      <c r="R2120" s="13">
        <v>45370</v>
      </c>
      <c r="S2120">
        <v>2024</v>
      </c>
      <c r="T2120" s="12" t="s">
        <v>2740</v>
      </c>
      <c r="U2120">
        <v>522</v>
      </c>
      <c r="V2120">
        <v>10.292</v>
      </c>
      <c r="W2120">
        <v>119.68</v>
      </c>
      <c r="X2120">
        <v>0</v>
      </c>
      <c r="Y2120">
        <v>0</v>
      </c>
      <c r="Z2120">
        <v>5372.42</v>
      </c>
      <c r="AA2120">
        <v>5492.1</v>
      </c>
      <c r="AB2120" s="12" t="s">
        <v>2747</v>
      </c>
      <c r="AC2120">
        <v>10.292</v>
      </c>
      <c r="AD2120">
        <v>1</v>
      </c>
      <c r="AE2120">
        <v>1</v>
      </c>
      <c r="AF2120">
        <v>0</v>
      </c>
      <c r="AG2120">
        <v>5372.42</v>
      </c>
      <c r="AH2120">
        <v>522</v>
      </c>
      <c r="AI2120">
        <v>515</v>
      </c>
      <c r="AJ2120">
        <v>7</v>
      </c>
      <c r="AK2120">
        <v>1</v>
      </c>
      <c r="AL2120">
        <v>1</v>
      </c>
      <c r="AM2120">
        <v>98.66</v>
      </c>
      <c r="AN2120">
        <v>10.664300000000001</v>
      </c>
      <c r="AO2120">
        <v>72.040000000000006</v>
      </c>
      <c r="AP2120" s="13">
        <v>45367</v>
      </c>
      <c r="AQ2120">
        <v>-3</v>
      </c>
      <c r="AR2120">
        <v>1</v>
      </c>
    </row>
    <row r="2121" spans="1:44" x14ac:dyDescent="0.35">
      <c r="A2121" s="12" t="s">
        <v>2859</v>
      </c>
      <c r="B2121" s="12" t="s">
        <v>569</v>
      </c>
      <c r="C2121" s="12" t="s">
        <v>570</v>
      </c>
      <c r="D2121" s="12" t="s">
        <v>114</v>
      </c>
      <c r="E2121" s="12" t="s">
        <v>142</v>
      </c>
      <c r="F2121">
        <v>1</v>
      </c>
      <c r="G2121">
        <v>6</v>
      </c>
      <c r="H2121">
        <v>1</v>
      </c>
      <c r="I2121" s="12" t="s">
        <v>123</v>
      </c>
      <c r="J2121" s="12" t="s">
        <v>124</v>
      </c>
      <c r="K2121" s="12" t="s">
        <v>125</v>
      </c>
      <c r="L2121" s="12" t="s">
        <v>82</v>
      </c>
      <c r="M2121">
        <v>6.75</v>
      </c>
      <c r="N2121" s="12" t="s">
        <v>97</v>
      </c>
      <c r="O2121" s="12" t="s">
        <v>98</v>
      </c>
      <c r="P2121" s="12" t="s">
        <v>72</v>
      </c>
      <c r="Q2121" s="13">
        <v>45341</v>
      </c>
      <c r="R2121" s="13">
        <v>45382</v>
      </c>
      <c r="S2121">
        <v>2024</v>
      </c>
      <c r="T2121" s="12" t="s">
        <v>2740</v>
      </c>
      <c r="U2121">
        <v>58</v>
      </c>
      <c r="V2121">
        <v>329.17750000000001</v>
      </c>
      <c r="W2121">
        <v>268.20999999999998</v>
      </c>
      <c r="X2121">
        <v>0</v>
      </c>
      <c r="Y2121">
        <v>0</v>
      </c>
      <c r="Z2121">
        <v>19092.3</v>
      </c>
      <c r="AA2121">
        <v>19360.509999999998</v>
      </c>
      <c r="AB2121" s="12" t="s">
        <v>571</v>
      </c>
      <c r="AC2121">
        <v>349.9393</v>
      </c>
      <c r="AD2121">
        <v>1</v>
      </c>
      <c r="AE2121">
        <v>1</v>
      </c>
      <c r="AF2121">
        <v>-1204.18</v>
      </c>
      <c r="AG2121">
        <v>20296.48</v>
      </c>
      <c r="AH2121">
        <v>58</v>
      </c>
      <c r="AI2121">
        <v>57</v>
      </c>
      <c r="AJ2121">
        <v>1</v>
      </c>
      <c r="AK2121">
        <v>1</v>
      </c>
      <c r="AL2121">
        <v>1</v>
      </c>
      <c r="AM2121">
        <v>98.28</v>
      </c>
      <c r="AN2121">
        <v>339.65800000000002</v>
      </c>
      <c r="AO2121">
        <v>329.18</v>
      </c>
      <c r="AP2121" s="13">
        <v>45379</v>
      </c>
      <c r="AQ2121">
        <v>-3</v>
      </c>
      <c r="AR2121">
        <v>1</v>
      </c>
    </row>
    <row r="2122" spans="1:44" x14ac:dyDescent="0.35">
      <c r="A2122" s="12" t="s">
        <v>2860</v>
      </c>
      <c r="B2122" s="12" t="s">
        <v>215</v>
      </c>
      <c r="C2122" s="12" t="s">
        <v>216</v>
      </c>
      <c r="D2122" s="12" t="s">
        <v>122</v>
      </c>
      <c r="E2122" s="12" t="s">
        <v>142</v>
      </c>
      <c r="F2122">
        <v>3</v>
      </c>
      <c r="G2122">
        <v>11</v>
      </c>
      <c r="H2122">
        <v>0</v>
      </c>
      <c r="I2122" s="12" t="s">
        <v>217</v>
      </c>
      <c r="J2122" s="12" t="s">
        <v>218</v>
      </c>
      <c r="K2122" s="12" t="s">
        <v>68</v>
      </c>
      <c r="L2122" s="12" t="s">
        <v>82</v>
      </c>
      <c r="M2122">
        <v>14.24</v>
      </c>
      <c r="N2122" s="12" t="s">
        <v>97</v>
      </c>
      <c r="O2122" s="12" t="s">
        <v>98</v>
      </c>
      <c r="P2122" s="12" t="s">
        <v>72</v>
      </c>
      <c r="Q2122" s="13">
        <v>45341</v>
      </c>
      <c r="R2122" s="13">
        <v>45391</v>
      </c>
      <c r="S2122">
        <v>2024</v>
      </c>
      <c r="T2122" s="12" t="s">
        <v>2740</v>
      </c>
      <c r="U2122">
        <v>1775</v>
      </c>
      <c r="V2122">
        <v>14.797000000000001</v>
      </c>
      <c r="W2122">
        <v>234.18</v>
      </c>
      <c r="X2122">
        <v>0</v>
      </c>
      <c r="Y2122">
        <v>0</v>
      </c>
      <c r="Z2122">
        <v>26264.68</v>
      </c>
      <c r="AA2122">
        <v>26498.86</v>
      </c>
      <c r="AB2122" s="12" t="s">
        <v>2696</v>
      </c>
      <c r="AC2122">
        <v>14.797000000000001</v>
      </c>
      <c r="AD2122">
        <v>1</v>
      </c>
      <c r="AE2122">
        <v>1</v>
      </c>
      <c r="AF2122">
        <v>0</v>
      </c>
      <c r="AG2122">
        <v>26264.68</v>
      </c>
      <c r="AH2122">
        <v>1775</v>
      </c>
      <c r="AI2122">
        <v>1765</v>
      </c>
      <c r="AJ2122">
        <v>10</v>
      </c>
      <c r="AK2122">
        <v>1</v>
      </c>
      <c r="AL2122">
        <v>1</v>
      </c>
      <c r="AM2122">
        <v>99.44</v>
      </c>
      <c r="AN2122">
        <v>15.013500000000001</v>
      </c>
      <c r="AO2122">
        <v>147.97</v>
      </c>
      <c r="AP2122" s="13">
        <v>45389</v>
      </c>
      <c r="AQ2122">
        <v>-2</v>
      </c>
      <c r="AR2122">
        <v>1</v>
      </c>
    </row>
    <row r="2123" spans="1:44" x14ac:dyDescent="0.35">
      <c r="A2123" s="12" t="s">
        <v>2861</v>
      </c>
      <c r="B2123" s="12" t="s">
        <v>391</v>
      </c>
      <c r="C2123" s="12" t="s">
        <v>392</v>
      </c>
      <c r="D2123" s="12" t="s">
        <v>114</v>
      </c>
      <c r="E2123" s="12" t="s">
        <v>65</v>
      </c>
      <c r="F2123">
        <v>2</v>
      </c>
      <c r="G2123">
        <v>2</v>
      </c>
      <c r="H2123">
        <v>0</v>
      </c>
      <c r="I2123" s="12" t="s">
        <v>310</v>
      </c>
      <c r="J2123" s="12" t="s">
        <v>311</v>
      </c>
      <c r="K2123" s="12" t="s">
        <v>81</v>
      </c>
      <c r="L2123" s="12" t="s">
        <v>69</v>
      </c>
      <c r="M2123">
        <v>28.3</v>
      </c>
      <c r="N2123" s="12" t="s">
        <v>97</v>
      </c>
      <c r="O2123" s="12" t="s">
        <v>98</v>
      </c>
      <c r="P2123" s="12" t="s">
        <v>72</v>
      </c>
      <c r="Q2123" s="13">
        <v>45341</v>
      </c>
      <c r="R2123" s="13">
        <v>45372</v>
      </c>
      <c r="S2123">
        <v>2024</v>
      </c>
      <c r="T2123" s="12" t="s">
        <v>2740</v>
      </c>
      <c r="U2123">
        <v>92</v>
      </c>
      <c r="V2123">
        <v>223.56530000000001</v>
      </c>
      <c r="W2123">
        <v>213.66</v>
      </c>
      <c r="X2123">
        <v>0</v>
      </c>
      <c r="Y2123">
        <v>0</v>
      </c>
      <c r="Z2123">
        <v>20568.009999999998</v>
      </c>
      <c r="AA2123">
        <v>20781.669999999998</v>
      </c>
      <c r="AB2123" s="12" t="s">
        <v>393</v>
      </c>
      <c r="AC2123">
        <v>223.56530000000001</v>
      </c>
      <c r="AD2123">
        <v>1</v>
      </c>
      <c r="AE2123">
        <v>1</v>
      </c>
      <c r="AF2123">
        <v>0</v>
      </c>
      <c r="AG2123">
        <v>20568.009999999998</v>
      </c>
      <c r="AH2123">
        <v>92</v>
      </c>
      <c r="AI2123">
        <v>90</v>
      </c>
      <c r="AJ2123">
        <v>2</v>
      </c>
      <c r="AK2123">
        <v>1</v>
      </c>
      <c r="AL2123">
        <v>1</v>
      </c>
      <c r="AM2123">
        <v>97.83</v>
      </c>
      <c r="AN2123">
        <v>230.9074</v>
      </c>
      <c r="AO2123">
        <v>447.13</v>
      </c>
      <c r="AP2123" s="13">
        <v>45380</v>
      </c>
      <c r="AQ2123">
        <v>8</v>
      </c>
      <c r="AR2123">
        <v>0</v>
      </c>
    </row>
    <row r="2124" spans="1:44" x14ac:dyDescent="0.35">
      <c r="A2124" s="12" t="s">
        <v>2862</v>
      </c>
      <c r="B2124" s="12" t="s">
        <v>740</v>
      </c>
      <c r="C2124" s="12" t="s">
        <v>741</v>
      </c>
      <c r="D2124" s="12" t="s">
        <v>64</v>
      </c>
      <c r="E2124" s="12" t="s">
        <v>104</v>
      </c>
      <c r="F2124">
        <v>2</v>
      </c>
      <c r="G2124">
        <v>0</v>
      </c>
      <c r="H2124">
        <v>0</v>
      </c>
      <c r="I2124" s="12" t="s">
        <v>183</v>
      </c>
      <c r="J2124" s="12" t="s">
        <v>184</v>
      </c>
      <c r="K2124" s="12" t="s">
        <v>133</v>
      </c>
      <c r="L2124" s="12" t="s">
        <v>82</v>
      </c>
      <c r="M2124">
        <v>8.6199999999999992</v>
      </c>
      <c r="N2124" s="12" t="s">
        <v>70</v>
      </c>
      <c r="O2124" s="12" t="s">
        <v>71</v>
      </c>
      <c r="P2124" s="12" t="s">
        <v>72</v>
      </c>
      <c r="Q2124" s="13">
        <v>45341</v>
      </c>
      <c r="R2124" s="13">
        <v>45370</v>
      </c>
      <c r="S2124">
        <v>2024</v>
      </c>
      <c r="T2124" s="12" t="s">
        <v>2740</v>
      </c>
      <c r="U2124">
        <v>953</v>
      </c>
      <c r="V2124">
        <v>41.2042</v>
      </c>
      <c r="W2124">
        <v>455.34</v>
      </c>
      <c r="X2124">
        <v>0</v>
      </c>
      <c r="Y2124">
        <v>0</v>
      </c>
      <c r="Z2124">
        <v>39267.599999999999</v>
      </c>
      <c r="AA2124">
        <v>39722.94</v>
      </c>
      <c r="AB2124" s="12" t="s">
        <v>742</v>
      </c>
      <c r="AC2124">
        <v>41.2042</v>
      </c>
      <c r="AD2124">
        <v>1</v>
      </c>
      <c r="AE2124">
        <v>1</v>
      </c>
      <c r="AF2124">
        <v>0</v>
      </c>
      <c r="AG2124">
        <v>39267.599999999999</v>
      </c>
      <c r="AH2124">
        <v>953</v>
      </c>
      <c r="AI2124">
        <v>945</v>
      </c>
      <c r="AJ2124">
        <v>8</v>
      </c>
      <c r="AK2124">
        <v>1</v>
      </c>
      <c r="AL2124">
        <v>1</v>
      </c>
      <c r="AM2124">
        <v>99.16</v>
      </c>
      <c r="AN2124">
        <v>42.0349</v>
      </c>
      <c r="AO2124">
        <v>329.63</v>
      </c>
      <c r="AP2124" s="13">
        <v>45367</v>
      </c>
      <c r="AQ2124">
        <v>-3</v>
      </c>
      <c r="AR2124">
        <v>1</v>
      </c>
    </row>
    <row r="2125" spans="1:44" x14ac:dyDescent="0.35">
      <c r="A2125" s="12" t="s">
        <v>2863</v>
      </c>
      <c r="B2125" s="12" t="s">
        <v>494</v>
      </c>
      <c r="C2125" s="12" t="s">
        <v>495</v>
      </c>
      <c r="D2125" s="12" t="s">
        <v>175</v>
      </c>
      <c r="E2125" s="12" t="s">
        <v>65</v>
      </c>
      <c r="F2125">
        <v>2</v>
      </c>
      <c r="G2125">
        <v>3</v>
      </c>
      <c r="H2125">
        <v>0</v>
      </c>
      <c r="I2125" s="12" t="s">
        <v>515</v>
      </c>
      <c r="J2125" s="12" t="s">
        <v>516</v>
      </c>
      <c r="K2125" s="12" t="s">
        <v>68</v>
      </c>
      <c r="L2125" s="12" t="s">
        <v>134</v>
      </c>
      <c r="M2125">
        <v>3.69</v>
      </c>
      <c r="N2125" s="12" t="s">
        <v>145</v>
      </c>
      <c r="O2125" s="12" t="s">
        <v>146</v>
      </c>
      <c r="P2125" s="12" t="s">
        <v>109</v>
      </c>
      <c r="Q2125" s="13">
        <v>45341</v>
      </c>
      <c r="R2125" s="13">
        <v>45371</v>
      </c>
      <c r="S2125">
        <v>2024</v>
      </c>
      <c r="T2125" s="12" t="s">
        <v>2740</v>
      </c>
      <c r="U2125">
        <v>80</v>
      </c>
      <c r="V2125">
        <v>157.60329999999999</v>
      </c>
      <c r="W2125">
        <v>282.54000000000002</v>
      </c>
      <c r="X2125">
        <v>0</v>
      </c>
      <c r="Y2125">
        <v>0</v>
      </c>
      <c r="Z2125">
        <v>12608.26</v>
      </c>
      <c r="AA2125">
        <v>12890.8</v>
      </c>
      <c r="AB2125" s="12" t="s">
        <v>2807</v>
      </c>
      <c r="AC2125">
        <v>157.60329999999999</v>
      </c>
      <c r="AD2125">
        <v>1</v>
      </c>
      <c r="AE2125">
        <v>1</v>
      </c>
      <c r="AF2125">
        <v>0</v>
      </c>
      <c r="AG2125">
        <v>12608.26</v>
      </c>
      <c r="AH2125">
        <v>80</v>
      </c>
      <c r="AI2125">
        <v>79</v>
      </c>
      <c r="AJ2125">
        <v>1</v>
      </c>
      <c r="AK2125">
        <v>1</v>
      </c>
      <c r="AL2125">
        <v>1</v>
      </c>
      <c r="AM2125">
        <v>98.75</v>
      </c>
      <c r="AN2125">
        <v>163.1747</v>
      </c>
      <c r="AO2125">
        <v>157.6</v>
      </c>
      <c r="AP2125" s="13">
        <v>45369</v>
      </c>
      <c r="AQ2125">
        <v>-2</v>
      </c>
      <c r="AR2125">
        <v>1</v>
      </c>
    </row>
    <row r="2126" spans="1:44" x14ac:dyDescent="0.35">
      <c r="A2126" s="12" t="s">
        <v>2864</v>
      </c>
      <c r="B2126" s="12" t="s">
        <v>602</v>
      </c>
      <c r="C2126" s="12" t="s">
        <v>603</v>
      </c>
      <c r="D2126" s="12" t="s">
        <v>114</v>
      </c>
      <c r="E2126" s="12" t="s">
        <v>142</v>
      </c>
      <c r="F2126">
        <v>2</v>
      </c>
      <c r="G2126">
        <v>10</v>
      </c>
      <c r="H2126">
        <v>0</v>
      </c>
      <c r="I2126" s="12" t="s">
        <v>263</v>
      </c>
      <c r="J2126" s="12" t="s">
        <v>264</v>
      </c>
      <c r="K2126" s="12" t="s">
        <v>125</v>
      </c>
      <c r="L2126" s="12" t="s">
        <v>82</v>
      </c>
      <c r="M2126">
        <v>10.210000000000001</v>
      </c>
      <c r="N2126" s="12" t="s">
        <v>97</v>
      </c>
      <c r="O2126" s="12" t="s">
        <v>98</v>
      </c>
      <c r="P2126" s="12" t="s">
        <v>72</v>
      </c>
      <c r="Q2126" s="13">
        <v>45341</v>
      </c>
      <c r="R2126" s="13">
        <v>45387</v>
      </c>
      <c r="S2126">
        <v>2024</v>
      </c>
      <c r="T2126" s="12" t="s">
        <v>2740</v>
      </c>
      <c r="U2126">
        <v>101</v>
      </c>
      <c r="V2126">
        <v>210.69990000000001</v>
      </c>
      <c r="W2126">
        <v>166.28</v>
      </c>
      <c r="X2126">
        <v>0</v>
      </c>
      <c r="Y2126">
        <v>0</v>
      </c>
      <c r="Z2126">
        <v>21280.69</v>
      </c>
      <c r="AA2126">
        <v>21446.97</v>
      </c>
      <c r="AB2126" s="12" t="s">
        <v>2790</v>
      </c>
      <c r="AC2126">
        <v>210.69990000000001</v>
      </c>
      <c r="AD2126">
        <v>1</v>
      </c>
      <c r="AE2126">
        <v>1</v>
      </c>
      <c r="AF2126">
        <v>0</v>
      </c>
      <c r="AG2126">
        <v>21280.69</v>
      </c>
      <c r="AH2126">
        <v>101</v>
      </c>
      <c r="AI2126">
        <v>99</v>
      </c>
      <c r="AJ2126">
        <v>2</v>
      </c>
      <c r="AK2126">
        <v>1</v>
      </c>
      <c r="AL2126">
        <v>1</v>
      </c>
      <c r="AM2126">
        <v>98.02</v>
      </c>
      <c r="AN2126">
        <v>216.6361</v>
      </c>
      <c r="AO2126">
        <v>421.4</v>
      </c>
      <c r="AP2126" s="13">
        <v>45397</v>
      </c>
      <c r="AQ2126">
        <v>10</v>
      </c>
      <c r="AR2126">
        <v>0</v>
      </c>
    </row>
    <row r="2127" spans="1:44" x14ac:dyDescent="0.35">
      <c r="A2127" s="12" t="s">
        <v>2865</v>
      </c>
      <c r="B2127" s="12" t="s">
        <v>101</v>
      </c>
      <c r="C2127" s="12" t="s">
        <v>102</v>
      </c>
      <c r="D2127" s="12" t="s">
        <v>103</v>
      </c>
      <c r="E2127" s="12" t="s">
        <v>104</v>
      </c>
      <c r="F2127">
        <v>1</v>
      </c>
      <c r="G2127">
        <v>0</v>
      </c>
      <c r="H2127">
        <v>1</v>
      </c>
      <c r="I2127" s="12" t="s">
        <v>105</v>
      </c>
      <c r="J2127" s="12" t="s">
        <v>106</v>
      </c>
      <c r="K2127" s="12" t="s">
        <v>81</v>
      </c>
      <c r="L2127" s="12" t="s">
        <v>96</v>
      </c>
      <c r="M2127">
        <v>5.01</v>
      </c>
      <c r="N2127" s="12" t="s">
        <v>145</v>
      </c>
      <c r="O2127" s="12" t="s">
        <v>146</v>
      </c>
      <c r="P2127" s="12" t="s">
        <v>109</v>
      </c>
      <c r="Q2127" s="13">
        <v>45342</v>
      </c>
      <c r="R2127" s="13">
        <v>45358</v>
      </c>
      <c r="S2127">
        <v>2024</v>
      </c>
      <c r="T2127" s="12" t="s">
        <v>2740</v>
      </c>
      <c r="U2127">
        <v>46</v>
      </c>
      <c r="V2127">
        <v>205.32499999999999</v>
      </c>
      <c r="W2127">
        <v>174.26</v>
      </c>
      <c r="X2127">
        <v>0</v>
      </c>
      <c r="Y2127">
        <v>0</v>
      </c>
      <c r="Z2127">
        <v>9444.9500000000007</v>
      </c>
      <c r="AA2127">
        <v>9619.2099999999991</v>
      </c>
      <c r="AB2127" s="12" t="s">
        <v>2866</v>
      </c>
      <c r="AC2127">
        <v>205.32499999999999</v>
      </c>
      <c r="AD2127">
        <v>1</v>
      </c>
      <c r="AE2127">
        <v>1</v>
      </c>
      <c r="AF2127">
        <v>0</v>
      </c>
      <c r="AG2127">
        <v>9444.9500000000007</v>
      </c>
      <c r="AH2127">
        <v>46</v>
      </c>
      <c r="AI2127">
        <v>46</v>
      </c>
      <c r="AJ2127">
        <v>0</v>
      </c>
      <c r="AK2127">
        <v>1</v>
      </c>
      <c r="AL2127">
        <v>1</v>
      </c>
      <c r="AM2127">
        <v>100</v>
      </c>
      <c r="AN2127">
        <v>209.11330000000001</v>
      </c>
      <c r="AO2127">
        <v>0</v>
      </c>
      <c r="AP2127" s="13">
        <v>45366</v>
      </c>
      <c r="AQ2127">
        <v>8</v>
      </c>
      <c r="AR2127">
        <v>0</v>
      </c>
    </row>
    <row r="2128" spans="1:44" x14ac:dyDescent="0.35">
      <c r="A2128" s="12" t="s">
        <v>2867</v>
      </c>
      <c r="B2128" s="12" t="s">
        <v>513</v>
      </c>
      <c r="C2128" s="12" t="s">
        <v>514</v>
      </c>
      <c r="D2128" s="12" t="s">
        <v>269</v>
      </c>
      <c r="E2128" s="12" t="s">
        <v>65</v>
      </c>
      <c r="F2128">
        <v>1</v>
      </c>
      <c r="G2128">
        <v>2</v>
      </c>
      <c r="H2128">
        <v>1</v>
      </c>
      <c r="I2128" s="12" t="s">
        <v>515</v>
      </c>
      <c r="J2128" s="12" t="s">
        <v>516</v>
      </c>
      <c r="K2128" s="12" t="s">
        <v>68</v>
      </c>
      <c r="L2128" s="12" t="s">
        <v>134</v>
      </c>
      <c r="M2128">
        <v>3.69</v>
      </c>
      <c r="N2128" s="12" t="s">
        <v>159</v>
      </c>
      <c r="O2128" s="12" t="s">
        <v>160</v>
      </c>
      <c r="P2128" s="12" t="s">
        <v>137</v>
      </c>
      <c r="Q2128" s="13">
        <v>45342</v>
      </c>
      <c r="R2128" s="13">
        <v>45370</v>
      </c>
      <c r="S2128">
        <v>2024</v>
      </c>
      <c r="T2128" s="12" t="s">
        <v>2740</v>
      </c>
      <c r="U2128">
        <v>65</v>
      </c>
      <c r="V2128">
        <v>229.3486</v>
      </c>
      <c r="W2128">
        <v>261.08</v>
      </c>
      <c r="X2128">
        <v>0</v>
      </c>
      <c r="Y2128">
        <v>0</v>
      </c>
      <c r="Z2128">
        <v>14907.66</v>
      </c>
      <c r="AA2128">
        <v>15168.74</v>
      </c>
      <c r="AB2128" s="12" t="s">
        <v>517</v>
      </c>
      <c r="AC2128">
        <v>229.3486</v>
      </c>
      <c r="AD2128">
        <v>1</v>
      </c>
      <c r="AE2128">
        <v>1</v>
      </c>
      <c r="AF2128">
        <v>0</v>
      </c>
      <c r="AG2128">
        <v>14907.66</v>
      </c>
      <c r="AH2128">
        <v>65</v>
      </c>
      <c r="AI2128">
        <v>65</v>
      </c>
      <c r="AJ2128">
        <v>0</v>
      </c>
      <c r="AK2128">
        <v>1</v>
      </c>
      <c r="AL2128">
        <v>1</v>
      </c>
      <c r="AM2128">
        <v>100</v>
      </c>
      <c r="AN2128">
        <v>233.36519999999999</v>
      </c>
      <c r="AO2128">
        <v>0</v>
      </c>
      <c r="AP2128" s="13">
        <v>45370</v>
      </c>
      <c r="AQ2128">
        <v>0</v>
      </c>
      <c r="AR2128">
        <v>1</v>
      </c>
    </row>
    <row r="2129" spans="1:44" x14ac:dyDescent="0.35">
      <c r="A2129" s="12" t="s">
        <v>2868</v>
      </c>
      <c r="B2129" s="12" t="s">
        <v>646</v>
      </c>
      <c r="C2129" s="12" t="s">
        <v>647</v>
      </c>
      <c r="D2129" s="12" t="s">
        <v>175</v>
      </c>
      <c r="E2129" s="12" t="s">
        <v>104</v>
      </c>
      <c r="F2129">
        <v>3</v>
      </c>
      <c r="G2129">
        <v>1</v>
      </c>
      <c r="H2129">
        <v>0</v>
      </c>
      <c r="I2129" s="12" t="s">
        <v>227</v>
      </c>
      <c r="J2129" s="12" t="s">
        <v>228</v>
      </c>
      <c r="K2129" s="12" t="s">
        <v>89</v>
      </c>
      <c r="L2129" s="12" t="s">
        <v>96</v>
      </c>
      <c r="M2129">
        <v>9.15</v>
      </c>
      <c r="N2129" s="12" t="s">
        <v>107</v>
      </c>
      <c r="O2129" s="12" t="s">
        <v>108</v>
      </c>
      <c r="P2129" s="12" t="s">
        <v>109</v>
      </c>
      <c r="Q2129" s="13">
        <v>45342</v>
      </c>
      <c r="R2129" s="13">
        <v>45371</v>
      </c>
      <c r="S2129">
        <v>2024</v>
      </c>
      <c r="T2129" s="12" t="s">
        <v>2740</v>
      </c>
      <c r="U2129">
        <v>145</v>
      </c>
      <c r="V2129">
        <v>216.21350000000001</v>
      </c>
      <c r="W2129">
        <v>407.91</v>
      </c>
      <c r="X2129">
        <v>0</v>
      </c>
      <c r="Y2129">
        <v>0</v>
      </c>
      <c r="Z2129">
        <v>31350.959999999999</v>
      </c>
      <c r="AA2129">
        <v>31758.87</v>
      </c>
      <c r="AB2129" s="12" t="s">
        <v>781</v>
      </c>
      <c r="AC2129">
        <v>216.21350000000001</v>
      </c>
      <c r="AD2129">
        <v>1</v>
      </c>
      <c r="AE2129">
        <v>1</v>
      </c>
      <c r="AF2129">
        <v>0</v>
      </c>
      <c r="AG2129">
        <v>31350.959999999999</v>
      </c>
      <c r="AH2129">
        <v>145</v>
      </c>
      <c r="AI2129">
        <v>143</v>
      </c>
      <c r="AJ2129">
        <v>2</v>
      </c>
      <c r="AK2129">
        <v>1</v>
      </c>
      <c r="AL2129">
        <v>1</v>
      </c>
      <c r="AM2129">
        <v>98.62</v>
      </c>
      <c r="AN2129">
        <v>222.09</v>
      </c>
      <c r="AO2129">
        <v>432.43</v>
      </c>
      <c r="AP2129" s="13">
        <v>45370</v>
      </c>
      <c r="AQ2129">
        <v>-1</v>
      </c>
      <c r="AR2129">
        <v>1</v>
      </c>
    </row>
    <row r="2130" spans="1:44" x14ac:dyDescent="0.35">
      <c r="A2130" s="12" t="s">
        <v>2869</v>
      </c>
      <c r="B2130" s="12" t="s">
        <v>465</v>
      </c>
      <c r="C2130" s="12" t="s">
        <v>466</v>
      </c>
      <c r="D2130" s="12" t="s">
        <v>78</v>
      </c>
      <c r="E2130" s="12" t="s">
        <v>142</v>
      </c>
      <c r="F2130">
        <v>3</v>
      </c>
      <c r="G2130">
        <v>11</v>
      </c>
      <c r="H2130">
        <v>0</v>
      </c>
      <c r="I2130" s="12" t="s">
        <v>195</v>
      </c>
      <c r="J2130" s="12" t="s">
        <v>196</v>
      </c>
      <c r="K2130" s="12" t="s">
        <v>117</v>
      </c>
      <c r="L2130" s="12" t="s">
        <v>134</v>
      </c>
      <c r="M2130">
        <v>4.7699999999999996</v>
      </c>
      <c r="N2130" s="12" t="s">
        <v>70</v>
      </c>
      <c r="O2130" s="12" t="s">
        <v>71</v>
      </c>
      <c r="P2130" s="12" t="s">
        <v>72</v>
      </c>
      <c r="Q2130" s="13">
        <v>45342</v>
      </c>
      <c r="R2130" s="13">
        <v>45378</v>
      </c>
      <c r="S2130">
        <v>2024</v>
      </c>
      <c r="T2130" s="12" t="s">
        <v>2740</v>
      </c>
      <c r="U2130">
        <v>60</v>
      </c>
      <c r="V2130">
        <v>110.11579999999999</v>
      </c>
      <c r="W2130">
        <v>145.38999999999999</v>
      </c>
      <c r="X2130">
        <v>0</v>
      </c>
      <c r="Y2130">
        <v>0</v>
      </c>
      <c r="Z2130">
        <v>6606.95</v>
      </c>
      <c r="AA2130">
        <v>6752.34</v>
      </c>
      <c r="AB2130" s="12" t="s">
        <v>467</v>
      </c>
      <c r="AC2130">
        <v>110.11579999999999</v>
      </c>
      <c r="AD2130">
        <v>1</v>
      </c>
      <c r="AE2130">
        <v>1</v>
      </c>
      <c r="AF2130">
        <v>0</v>
      </c>
      <c r="AG2130">
        <v>6606.95</v>
      </c>
      <c r="AH2130">
        <v>60</v>
      </c>
      <c r="AI2130">
        <v>59</v>
      </c>
      <c r="AJ2130">
        <v>1</v>
      </c>
      <c r="AK2130">
        <v>1</v>
      </c>
      <c r="AL2130">
        <v>1</v>
      </c>
      <c r="AM2130">
        <v>98.33</v>
      </c>
      <c r="AN2130">
        <v>114.4464</v>
      </c>
      <c r="AO2130">
        <v>110.12</v>
      </c>
      <c r="AP2130" s="13">
        <v>45377</v>
      </c>
      <c r="AQ2130">
        <v>-1</v>
      </c>
      <c r="AR2130">
        <v>1</v>
      </c>
    </row>
    <row r="2131" spans="1:44" x14ac:dyDescent="0.35">
      <c r="A2131" s="12" t="s">
        <v>2870</v>
      </c>
      <c r="B2131" s="12" t="s">
        <v>128</v>
      </c>
      <c r="C2131" s="12" t="s">
        <v>129</v>
      </c>
      <c r="D2131" s="12" t="s">
        <v>130</v>
      </c>
      <c r="E2131" s="12" t="s">
        <v>65</v>
      </c>
      <c r="F2131">
        <v>3</v>
      </c>
      <c r="G2131">
        <v>5</v>
      </c>
      <c r="H2131">
        <v>0</v>
      </c>
      <c r="I2131" s="12" t="s">
        <v>131</v>
      </c>
      <c r="J2131" s="12" t="s">
        <v>132</v>
      </c>
      <c r="K2131" s="12" t="s">
        <v>133</v>
      </c>
      <c r="L2131" s="12" t="s">
        <v>134</v>
      </c>
      <c r="M2131">
        <v>1.51</v>
      </c>
      <c r="N2131" s="12" t="s">
        <v>135</v>
      </c>
      <c r="O2131" s="12" t="s">
        <v>136</v>
      </c>
      <c r="P2131" s="12" t="s">
        <v>137</v>
      </c>
      <c r="Q2131" s="13">
        <v>45342</v>
      </c>
      <c r="R2131" s="13">
        <v>45375</v>
      </c>
      <c r="S2131">
        <v>2024</v>
      </c>
      <c r="T2131" s="12" t="s">
        <v>2740</v>
      </c>
      <c r="U2131">
        <v>108</v>
      </c>
      <c r="V2131">
        <v>450.13889999999998</v>
      </c>
      <c r="W2131">
        <v>1182.32</v>
      </c>
      <c r="X2131">
        <v>0</v>
      </c>
      <c r="Y2131">
        <v>0</v>
      </c>
      <c r="Z2131">
        <v>48615</v>
      </c>
      <c r="AA2131">
        <v>49797.32</v>
      </c>
      <c r="AB2131" s="12" t="s">
        <v>201</v>
      </c>
      <c r="AD2131">
        <v>0</v>
      </c>
      <c r="AE2131">
        <v>0</v>
      </c>
      <c r="AH2131">
        <v>108</v>
      </c>
      <c r="AI2131">
        <v>99</v>
      </c>
      <c r="AJ2131">
        <v>9</v>
      </c>
      <c r="AK2131">
        <v>1</v>
      </c>
      <c r="AL2131">
        <v>1</v>
      </c>
      <c r="AM2131">
        <v>91.67</v>
      </c>
      <c r="AN2131">
        <v>503.00319999999999</v>
      </c>
      <c r="AO2131">
        <v>4051.25</v>
      </c>
      <c r="AP2131" s="13">
        <v>45374</v>
      </c>
      <c r="AQ2131">
        <v>-1</v>
      </c>
      <c r="AR2131">
        <v>1</v>
      </c>
    </row>
    <row r="2132" spans="1:44" x14ac:dyDescent="0.35">
      <c r="A2132" s="12" t="s">
        <v>2871</v>
      </c>
      <c r="B2132" s="12" t="s">
        <v>661</v>
      </c>
      <c r="C2132" s="12" t="s">
        <v>662</v>
      </c>
      <c r="D2132" s="12" t="s">
        <v>175</v>
      </c>
      <c r="E2132" s="12" t="s">
        <v>104</v>
      </c>
      <c r="F2132">
        <v>1</v>
      </c>
      <c r="G2132">
        <v>0</v>
      </c>
      <c r="H2132">
        <v>1</v>
      </c>
      <c r="I2132" s="12" t="s">
        <v>183</v>
      </c>
      <c r="J2132" s="12" t="s">
        <v>184</v>
      </c>
      <c r="K2132" s="12" t="s">
        <v>133</v>
      </c>
      <c r="L2132" s="12" t="s">
        <v>82</v>
      </c>
      <c r="M2132">
        <v>8.6199999999999992</v>
      </c>
      <c r="N2132" s="12" t="s">
        <v>107</v>
      </c>
      <c r="O2132" s="12" t="s">
        <v>108</v>
      </c>
      <c r="P2132" s="12" t="s">
        <v>109</v>
      </c>
      <c r="Q2132" s="13">
        <v>45342</v>
      </c>
      <c r="R2132" s="13">
        <v>45359</v>
      </c>
      <c r="S2132">
        <v>2024</v>
      </c>
      <c r="T2132" s="12" t="s">
        <v>2740</v>
      </c>
      <c r="U2132">
        <v>51</v>
      </c>
      <c r="V2132">
        <v>180.0376</v>
      </c>
      <c r="W2132">
        <v>235.22</v>
      </c>
      <c r="X2132">
        <v>0</v>
      </c>
      <c r="Y2132">
        <v>0</v>
      </c>
      <c r="Z2132">
        <v>9181.92</v>
      </c>
      <c r="AA2132">
        <v>9417.14</v>
      </c>
      <c r="AB2132" s="12" t="s">
        <v>2851</v>
      </c>
      <c r="AC2132">
        <v>180.0376</v>
      </c>
      <c r="AD2132">
        <v>1</v>
      </c>
      <c r="AE2132">
        <v>1</v>
      </c>
      <c r="AF2132">
        <v>0</v>
      </c>
      <c r="AG2132">
        <v>9181.92</v>
      </c>
      <c r="AH2132">
        <v>51</v>
      </c>
      <c r="AI2132">
        <v>50</v>
      </c>
      <c r="AJ2132">
        <v>1</v>
      </c>
      <c r="AK2132">
        <v>1</v>
      </c>
      <c r="AL2132">
        <v>1</v>
      </c>
      <c r="AM2132">
        <v>98.04</v>
      </c>
      <c r="AN2132">
        <v>188.34280000000001</v>
      </c>
      <c r="AO2132">
        <v>180.04</v>
      </c>
      <c r="AP2132" s="13">
        <v>45357</v>
      </c>
      <c r="AQ2132">
        <v>-2</v>
      </c>
      <c r="AR2132">
        <v>1</v>
      </c>
    </row>
    <row r="2133" spans="1:44" x14ac:dyDescent="0.35">
      <c r="A2133" s="12" t="s">
        <v>2872</v>
      </c>
      <c r="B2133" s="12" t="s">
        <v>855</v>
      </c>
      <c r="C2133" s="12" t="s">
        <v>856</v>
      </c>
      <c r="D2133" s="12" t="s">
        <v>269</v>
      </c>
      <c r="E2133" s="12" t="s">
        <v>65</v>
      </c>
      <c r="F2133">
        <v>3</v>
      </c>
      <c r="G2133">
        <v>5</v>
      </c>
      <c r="H2133">
        <v>0</v>
      </c>
      <c r="I2133" s="12" t="s">
        <v>94</v>
      </c>
      <c r="J2133" s="12" t="s">
        <v>95</v>
      </c>
      <c r="K2133" s="12" t="s">
        <v>81</v>
      </c>
      <c r="L2133" s="12" t="s">
        <v>96</v>
      </c>
      <c r="M2133">
        <v>4.8099999999999996</v>
      </c>
      <c r="N2133" s="12" t="s">
        <v>159</v>
      </c>
      <c r="O2133" s="12" t="s">
        <v>160</v>
      </c>
      <c r="P2133" s="12" t="s">
        <v>137</v>
      </c>
      <c r="Q2133" s="13">
        <v>45342</v>
      </c>
      <c r="R2133" s="13">
        <v>45370</v>
      </c>
      <c r="S2133">
        <v>2024</v>
      </c>
      <c r="T2133" s="12" t="s">
        <v>2740</v>
      </c>
      <c r="U2133">
        <v>69</v>
      </c>
      <c r="V2133">
        <v>493.6902</v>
      </c>
      <c r="W2133">
        <v>501.14</v>
      </c>
      <c r="X2133">
        <v>0</v>
      </c>
      <c r="Y2133">
        <v>0</v>
      </c>
      <c r="Z2133">
        <v>34064.620000000003</v>
      </c>
      <c r="AA2133">
        <v>34565.760000000002</v>
      </c>
      <c r="AB2133" s="12" t="s">
        <v>857</v>
      </c>
      <c r="AC2133">
        <v>493.6902</v>
      </c>
      <c r="AD2133">
        <v>1</v>
      </c>
      <c r="AE2133">
        <v>1</v>
      </c>
      <c r="AF2133">
        <v>0</v>
      </c>
      <c r="AG2133">
        <v>34064.620000000003</v>
      </c>
      <c r="AH2133">
        <v>69</v>
      </c>
      <c r="AI2133">
        <v>68</v>
      </c>
      <c r="AJ2133">
        <v>1</v>
      </c>
      <c r="AK2133">
        <v>1</v>
      </c>
      <c r="AL2133">
        <v>1</v>
      </c>
      <c r="AM2133">
        <v>98.55</v>
      </c>
      <c r="AN2133">
        <v>508.32010000000002</v>
      </c>
      <c r="AO2133">
        <v>493.69</v>
      </c>
      <c r="AP2133" s="13">
        <v>45369</v>
      </c>
      <c r="AQ2133">
        <v>-1</v>
      </c>
      <c r="AR2133">
        <v>1</v>
      </c>
    </row>
    <row r="2134" spans="1:44" x14ac:dyDescent="0.35">
      <c r="A2134" s="12" t="s">
        <v>2873</v>
      </c>
      <c r="B2134" s="12" t="s">
        <v>1134</v>
      </c>
      <c r="C2134" s="12" t="s">
        <v>1135</v>
      </c>
      <c r="D2134" s="12" t="s">
        <v>269</v>
      </c>
      <c r="E2134" s="12" t="s">
        <v>104</v>
      </c>
      <c r="F2134">
        <v>2</v>
      </c>
      <c r="G2134">
        <v>0</v>
      </c>
      <c r="H2134">
        <v>0</v>
      </c>
      <c r="I2134" s="12" t="s">
        <v>335</v>
      </c>
      <c r="J2134" s="12" t="s">
        <v>336</v>
      </c>
      <c r="K2134" s="12" t="s">
        <v>89</v>
      </c>
      <c r="L2134" s="12" t="s">
        <v>82</v>
      </c>
      <c r="M2134">
        <v>16</v>
      </c>
      <c r="N2134" s="12" t="s">
        <v>159</v>
      </c>
      <c r="O2134" s="12" t="s">
        <v>160</v>
      </c>
      <c r="P2134" s="12" t="s">
        <v>137</v>
      </c>
      <c r="Q2134" s="13">
        <v>45342</v>
      </c>
      <c r="R2134" s="13">
        <v>45361</v>
      </c>
      <c r="S2134">
        <v>2024</v>
      </c>
      <c r="T2134" s="12" t="s">
        <v>2740</v>
      </c>
      <c r="U2134">
        <v>64</v>
      </c>
      <c r="V2134">
        <v>110.88590000000001</v>
      </c>
      <c r="W2134">
        <v>169.28</v>
      </c>
      <c r="X2134">
        <v>0</v>
      </c>
      <c r="Y2134">
        <v>0</v>
      </c>
      <c r="Z2134">
        <v>7096.7</v>
      </c>
      <c r="AA2134">
        <v>7265.98</v>
      </c>
      <c r="AB2134" s="12" t="s">
        <v>1992</v>
      </c>
      <c r="AC2134">
        <v>107.5608</v>
      </c>
      <c r="AD2134">
        <v>1</v>
      </c>
      <c r="AE2134">
        <v>1</v>
      </c>
      <c r="AF2134">
        <v>212.81</v>
      </c>
      <c r="AG2134">
        <v>6883.89</v>
      </c>
      <c r="AH2134">
        <v>64</v>
      </c>
      <c r="AI2134">
        <v>64</v>
      </c>
      <c r="AJ2134">
        <v>0</v>
      </c>
      <c r="AK2134">
        <v>1</v>
      </c>
      <c r="AL2134">
        <v>1</v>
      </c>
      <c r="AM2134">
        <v>100</v>
      </c>
      <c r="AN2134">
        <v>113.5309</v>
      </c>
      <c r="AO2134">
        <v>0</v>
      </c>
      <c r="AP2134" s="13">
        <v>45361</v>
      </c>
      <c r="AQ2134">
        <v>0</v>
      </c>
      <c r="AR2134">
        <v>1</v>
      </c>
    </row>
    <row r="2135" spans="1:44" x14ac:dyDescent="0.35">
      <c r="A2135" s="12" t="s">
        <v>2874</v>
      </c>
      <c r="B2135" s="12" t="s">
        <v>924</v>
      </c>
      <c r="C2135" s="12" t="s">
        <v>925</v>
      </c>
      <c r="D2135" s="12" t="s">
        <v>103</v>
      </c>
      <c r="E2135" s="12" t="s">
        <v>104</v>
      </c>
      <c r="F2135">
        <v>2</v>
      </c>
      <c r="G2135">
        <v>0</v>
      </c>
      <c r="H2135">
        <v>0</v>
      </c>
      <c r="I2135" s="12" t="s">
        <v>335</v>
      </c>
      <c r="J2135" s="12" t="s">
        <v>336</v>
      </c>
      <c r="K2135" s="12" t="s">
        <v>89</v>
      </c>
      <c r="L2135" s="12" t="s">
        <v>82</v>
      </c>
      <c r="M2135">
        <v>16</v>
      </c>
      <c r="N2135" s="12" t="s">
        <v>107</v>
      </c>
      <c r="O2135" s="12" t="s">
        <v>108</v>
      </c>
      <c r="P2135" s="12" t="s">
        <v>109</v>
      </c>
      <c r="Q2135" s="13">
        <v>45342</v>
      </c>
      <c r="R2135" s="13">
        <v>45370</v>
      </c>
      <c r="S2135">
        <v>2024</v>
      </c>
      <c r="T2135" s="12" t="s">
        <v>2740</v>
      </c>
      <c r="U2135">
        <v>140</v>
      </c>
      <c r="V2135">
        <v>161.51509999999999</v>
      </c>
      <c r="W2135">
        <v>574.37</v>
      </c>
      <c r="X2135">
        <v>0</v>
      </c>
      <c r="Y2135">
        <v>0</v>
      </c>
      <c r="Z2135">
        <v>22612.11</v>
      </c>
      <c r="AA2135">
        <v>23186.48</v>
      </c>
      <c r="AB2135" s="12" t="s">
        <v>926</v>
      </c>
      <c r="AC2135">
        <v>161.51509999999999</v>
      </c>
      <c r="AD2135">
        <v>1</v>
      </c>
      <c r="AE2135">
        <v>1</v>
      </c>
      <c r="AF2135">
        <v>0</v>
      </c>
      <c r="AG2135">
        <v>22612.11</v>
      </c>
      <c r="AH2135">
        <v>140</v>
      </c>
      <c r="AI2135">
        <v>139</v>
      </c>
      <c r="AJ2135">
        <v>1</v>
      </c>
      <c r="AK2135">
        <v>1</v>
      </c>
      <c r="AL2135">
        <v>1</v>
      </c>
      <c r="AM2135">
        <v>99.29</v>
      </c>
      <c r="AN2135">
        <v>166.8092</v>
      </c>
      <c r="AO2135">
        <v>161.52000000000001</v>
      </c>
      <c r="AP2135" s="13">
        <v>45367</v>
      </c>
      <c r="AQ2135">
        <v>-3</v>
      </c>
      <c r="AR2135">
        <v>1</v>
      </c>
    </row>
    <row r="2136" spans="1:44" x14ac:dyDescent="0.35">
      <c r="A2136" s="12" t="s">
        <v>2875</v>
      </c>
      <c r="B2136" s="12" t="s">
        <v>76</v>
      </c>
      <c r="C2136" s="12" t="s">
        <v>77</v>
      </c>
      <c r="D2136" s="12" t="s">
        <v>78</v>
      </c>
      <c r="E2136" s="12" t="s">
        <v>65</v>
      </c>
      <c r="F2136">
        <v>2</v>
      </c>
      <c r="G2136">
        <v>4</v>
      </c>
      <c r="H2136">
        <v>0</v>
      </c>
      <c r="I2136" s="12" t="s">
        <v>79</v>
      </c>
      <c r="J2136" s="12" t="s">
        <v>80</v>
      </c>
      <c r="K2136" s="12" t="s">
        <v>81</v>
      </c>
      <c r="L2136" s="12" t="s">
        <v>82</v>
      </c>
      <c r="M2136">
        <v>12.07</v>
      </c>
      <c r="N2136" s="12" t="s">
        <v>97</v>
      </c>
      <c r="O2136" s="12" t="s">
        <v>98</v>
      </c>
      <c r="P2136" s="12" t="s">
        <v>72</v>
      </c>
      <c r="Q2136" s="13">
        <v>45343</v>
      </c>
      <c r="R2136" s="13">
        <v>45378</v>
      </c>
      <c r="S2136">
        <v>2024</v>
      </c>
      <c r="T2136" s="12" t="s">
        <v>2740</v>
      </c>
      <c r="U2136">
        <v>244</v>
      </c>
      <c r="V2136">
        <v>45.034100000000002</v>
      </c>
      <c r="W2136">
        <v>138.15</v>
      </c>
      <c r="X2136">
        <v>0</v>
      </c>
      <c r="Y2136">
        <v>0</v>
      </c>
      <c r="Z2136">
        <v>10988.32</v>
      </c>
      <c r="AA2136">
        <v>11126.47</v>
      </c>
      <c r="AB2136" s="12" t="s">
        <v>2672</v>
      </c>
      <c r="AC2136">
        <v>45.034100000000002</v>
      </c>
      <c r="AD2136">
        <v>1</v>
      </c>
      <c r="AE2136">
        <v>1</v>
      </c>
      <c r="AF2136">
        <v>0</v>
      </c>
      <c r="AG2136">
        <v>10988.32</v>
      </c>
      <c r="AH2136">
        <v>244</v>
      </c>
      <c r="AI2136">
        <v>239</v>
      </c>
      <c r="AJ2136">
        <v>5</v>
      </c>
      <c r="AK2136">
        <v>1</v>
      </c>
      <c r="AL2136">
        <v>1</v>
      </c>
      <c r="AM2136">
        <v>97.95</v>
      </c>
      <c r="AN2136">
        <v>46.554299999999998</v>
      </c>
      <c r="AO2136">
        <v>225.17</v>
      </c>
      <c r="AP2136" s="13">
        <v>45377</v>
      </c>
      <c r="AQ2136">
        <v>-1</v>
      </c>
      <c r="AR2136">
        <v>1</v>
      </c>
    </row>
    <row r="2137" spans="1:44" x14ac:dyDescent="0.35">
      <c r="A2137" s="12" t="s">
        <v>2876</v>
      </c>
      <c r="B2137" s="12" t="s">
        <v>773</v>
      </c>
      <c r="C2137" s="12" t="s">
        <v>774</v>
      </c>
      <c r="D2137" s="12" t="s">
        <v>64</v>
      </c>
      <c r="E2137" s="12" t="s">
        <v>142</v>
      </c>
      <c r="F2137">
        <v>1</v>
      </c>
      <c r="G2137">
        <v>7</v>
      </c>
      <c r="H2137">
        <v>1</v>
      </c>
      <c r="I2137" s="12" t="s">
        <v>251</v>
      </c>
      <c r="J2137" s="12" t="s">
        <v>252</v>
      </c>
      <c r="K2137" s="12" t="s">
        <v>133</v>
      </c>
      <c r="L2137" s="12" t="s">
        <v>69</v>
      </c>
      <c r="M2137">
        <v>34.49</v>
      </c>
      <c r="N2137" s="12" t="s">
        <v>70</v>
      </c>
      <c r="O2137" s="12" t="s">
        <v>71</v>
      </c>
      <c r="P2137" s="12" t="s">
        <v>72</v>
      </c>
      <c r="Q2137" s="13">
        <v>45343</v>
      </c>
      <c r="R2137" s="13">
        <v>45391</v>
      </c>
      <c r="S2137">
        <v>2024</v>
      </c>
      <c r="T2137" s="12" t="s">
        <v>2740</v>
      </c>
      <c r="U2137">
        <v>764</v>
      </c>
      <c r="V2137">
        <v>10.0604</v>
      </c>
      <c r="W2137">
        <v>167.97</v>
      </c>
      <c r="X2137">
        <v>0</v>
      </c>
      <c r="Y2137">
        <v>0</v>
      </c>
      <c r="Z2137">
        <v>7686.15</v>
      </c>
      <c r="AA2137">
        <v>7854.12</v>
      </c>
      <c r="AB2137" s="12" t="s">
        <v>775</v>
      </c>
      <c r="AC2137">
        <v>10.0604</v>
      </c>
      <c r="AD2137">
        <v>1</v>
      </c>
      <c r="AE2137">
        <v>1</v>
      </c>
      <c r="AF2137">
        <v>0</v>
      </c>
      <c r="AG2137">
        <v>7686.15</v>
      </c>
      <c r="AH2137">
        <v>764</v>
      </c>
      <c r="AI2137">
        <v>757</v>
      </c>
      <c r="AJ2137">
        <v>7</v>
      </c>
      <c r="AK2137">
        <v>1</v>
      </c>
      <c r="AL2137">
        <v>1</v>
      </c>
      <c r="AM2137">
        <v>99.08</v>
      </c>
      <c r="AN2137">
        <v>10.375299999999999</v>
      </c>
      <c r="AO2137">
        <v>70.42</v>
      </c>
      <c r="AP2137" s="13">
        <v>45390</v>
      </c>
      <c r="AQ2137">
        <v>-1</v>
      </c>
      <c r="AR2137">
        <v>1</v>
      </c>
    </row>
    <row r="2138" spans="1:44" x14ac:dyDescent="0.35">
      <c r="A2138" s="12" t="s">
        <v>2877</v>
      </c>
      <c r="B2138" s="12" t="s">
        <v>267</v>
      </c>
      <c r="C2138" s="12" t="s">
        <v>268</v>
      </c>
      <c r="D2138" s="12" t="s">
        <v>269</v>
      </c>
      <c r="E2138" s="12" t="s">
        <v>142</v>
      </c>
      <c r="F2138">
        <v>1</v>
      </c>
      <c r="G2138">
        <v>8</v>
      </c>
      <c r="H2138">
        <v>1</v>
      </c>
      <c r="I2138" s="12" t="s">
        <v>94</v>
      </c>
      <c r="J2138" s="12" t="s">
        <v>95</v>
      </c>
      <c r="K2138" s="12" t="s">
        <v>81</v>
      </c>
      <c r="L2138" s="12" t="s">
        <v>96</v>
      </c>
      <c r="M2138">
        <v>4.8099999999999996</v>
      </c>
      <c r="N2138" s="12" t="s">
        <v>135</v>
      </c>
      <c r="O2138" s="12" t="s">
        <v>136</v>
      </c>
      <c r="P2138" s="12" t="s">
        <v>137</v>
      </c>
      <c r="Q2138" s="13">
        <v>45343</v>
      </c>
      <c r="R2138" s="13">
        <v>45384</v>
      </c>
      <c r="S2138">
        <v>2024</v>
      </c>
      <c r="T2138" s="12" t="s">
        <v>2740</v>
      </c>
      <c r="U2138">
        <v>60</v>
      </c>
      <c r="V2138">
        <v>225.02719999999999</v>
      </c>
      <c r="W2138">
        <v>235.68</v>
      </c>
      <c r="X2138">
        <v>0</v>
      </c>
      <c r="Y2138">
        <v>0</v>
      </c>
      <c r="Z2138">
        <v>13501.63</v>
      </c>
      <c r="AA2138">
        <v>13737.31</v>
      </c>
      <c r="AB2138" s="12" t="s">
        <v>2878</v>
      </c>
      <c r="AC2138">
        <v>225.02719999999999</v>
      </c>
      <c r="AD2138">
        <v>1</v>
      </c>
      <c r="AE2138">
        <v>1</v>
      </c>
      <c r="AF2138">
        <v>0</v>
      </c>
      <c r="AG2138">
        <v>13501.63</v>
      </c>
      <c r="AH2138">
        <v>60</v>
      </c>
      <c r="AI2138">
        <v>60</v>
      </c>
      <c r="AJ2138">
        <v>0</v>
      </c>
      <c r="AK2138">
        <v>1</v>
      </c>
      <c r="AL2138">
        <v>1</v>
      </c>
      <c r="AM2138">
        <v>100</v>
      </c>
      <c r="AN2138">
        <v>228.95519999999999</v>
      </c>
      <c r="AO2138">
        <v>0</v>
      </c>
      <c r="AP2138" s="13">
        <v>45381</v>
      </c>
      <c r="AQ2138">
        <v>-3</v>
      </c>
      <c r="AR2138">
        <v>1</v>
      </c>
    </row>
    <row r="2139" spans="1:44" x14ac:dyDescent="0.35">
      <c r="A2139" s="12" t="s">
        <v>2879</v>
      </c>
      <c r="B2139" s="12" t="s">
        <v>1179</v>
      </c>
      <c r="C2139" s="12" t="s">
        <v>1180</v>
      </c>
      <c r="D2139" s="12" t="s">
        <v>122</v>
      </c>
      <c r="E2139" s="12" t="s">
        <v>142</v>
      </c>
      <c r="F2139">
        <v>1</v>
      </c>
      <c r="G2139">
        <v>8</v>
      </c>
      <c r="H2139">
        <v>1</v>
      </c>
      <c r="I2139" s="12" t="s">
        <v>143</v>
      </c>
      <c r="J2139" s="12" t="s">
        <v>144</v>
      </c>
      <c r="K2139" s="12" t="s">
        <v>133</v>
      </c>
      <c r="L2139" s="12" t="s">
        <v>96</v>
      </c>
      <c r="M2139">
        <v>5.43</v>
      </c>
      <c r="N2139" s="12" t="s">
        <v>70</v>
      </c>
      <c r="O2139" s="12" t="s">
        <v>71</v>
      </c>
      <c r="P2139" s="12" t="s">
        <v>72</v>
      </c>
      <c r="Q2139" s="13">
        <v>45343</v>
      </c>
      <c r="R2139" s="13">
        <v>45389</v>
      </c>
      <c r="S2139">
        <v>2024</v>
      </c>
      <c r="T2139" s="12" t="s">
        <v>2740</v>
      </c>
      <c r="U2139">
        <v>1327</v>
      </c>
      <c r="V2139">
        <v>52.674799999999998</v>
      </c>
      <c r="W2139">
        <v>800.96</v>
      </c>
      <c r="X2139">
        <v>0</v>
      </c>
      <c r="Y2139">
        <v>0</v>
      </c>
      <c r="Z2139">
        <v>69899.460000000006</v>
      </c>
      <c r="AA2139">
        <v>70700.42</v>
      </c>
      <c r="AB2139" s="12" t="s">
        <v>1181</v>
      </c>
      <c r="AC2139">
        <v>52.674799999999998</v>
      </c>
      <c r="AD2139">
        <v>1</v>
      </c>
      <c r="AE2139">
        <v>1</v>
      </c>
      <c r="AF2139">
        <v>0</v>
      </c>
      <c r="AG2139">
        <v>69899.460000000006</v>
      </c>
      <c r="AH2139">
        <v>1327</v>
      </c>
      <c r="AI2139">
        <v>1315</v>
      </c>
      <c r="AJ2139">
        <v>12</v>
      </c>
      <c r="AK2139">
        <v>1</v>
      </c>
      <c r="AL2139">
        <v>1</v>
      </c>
      <c r="AM2139">
        <v>99.1</v>
      </c>
      <c r="AN2139">
        <v>53.764600000000002</v>
      </c>
      <c r="AO2139">
        <v>632.1</v>
      </c>
      <c r="AP2139" s="13">
        <v>45389</v>
      </c>
      <c r="AQ2139">
        <v>0</v>
      </c>
      <c r="AR2139">
        <v>1</v>
      </c>
    </row>
    <row r="2140" spans="1:44" x14ac:dyDescent="0.35">
      <c r="A2140" s="12" t="s">
        <v>2880</v>
      </c>
      <c r="B2140" s="12" t="s">
        <v>544</v>
      </c>
      <c r="C2140" s="12" t="s">
        <v>545</v>
      </c>
      <c r="D2140" s="12" t="s">
        <v>175</v>
      </c>
      <c r="E2140" s="12" t="s">
        <v>65</v>
      </c>
      <c r="F2140">
        <v>3</v>
      </c>
      <c r="G2140">
        <v>5</v>
      </c>
      <c r="H2140">
        <v>0</v>
      </c>
      <c r="I2140" s="12" t="s">
        <v>359</v>
      </c>
      <c r="J2140" s="12" t="s">
        <v>360</v>
      </c>
      <c r="K2140" s="12" t="s">
        <v>133</v>
      </c>
      <c r="L2140" s="12" t="s">
        <v>82</v>
      </c>
      <c r="M2140">
        <v>12.65</v>
      </c>
      <c r="N2140" s="12" t="s">
        <v>145</v>
      </c>
      <c r="O2140" s="12" t="s">
        <v>146</v>
      </c>
      <c r="P2140" s="12" t="s">
        <v>109</v>
      </c>
      <c r="Q2140" s="13">
        <v>45344</v>
      </c>
      <c r="R2140" s="13">
        <v>45377</v>
      </c>
      <c r="S2140">
        <v>2024</v>
      </c>
      <c r="T2140" s="12" t="s">
        <v>2740</v>
      </c>
      <c r="U2140">
        <v>108</v>
      </c>
      <c r="V2140">
        <v>155.36940000000001</v>
      </c>
      <c r="W2140">
        <v>370.53</v>
      </c>
      <c r="X2140">
        <v>0</v>
      </c>
      <c r="Y2140">
        <v>0</v>
      </c>
      <c r="Z2140">
        <v>16779.900000000001</v>
      </c>
      <c r="AA2140">
        <v>17150.43</v>
      </c>
      <c r="AB2140" s="12" t="s">
        <v>985</v>
      </c>
      <c r="AC2140">
        <v>155.36940000000001</v>
      </c>
      <c r="AD2140">
        <v>1</v>
      </c>
      <c r="AE2140">
        <v>1</v>
      </c>
      <c r="AF2140">
        <v>0</v>
      </c>
      <c r="AG2140">
        <v>16779.900000000001</v>
      </c>
      <c r="AH2140">
        <v>108</v>
      </c>
      <c r="AI2140">
        <v>107</v>
      </c>
      <c r="AJ2140">
        <v>1</v>
      </c>
      <c r="AK2140">
        <v>1</v>
      </c>
      <c r="AL2140">
        <v>1</v>
      </c>
      <c r="AM2140">
        <v>99.07</v>
      </c>
      <c r="AN2140">
        <v>160.2843</v>
      </c>
      <c r="AO2140">
        <v>155.37</v>
      </c>
      <c r="AP2140" s="13">
        <v>45378</v>
      </c>
      <c r="AQ2140">
        <v>1</v>
      </c>
      <c r="AR2140">
        <v>0</v>
      </c>
    </row>
    <row r="2141" spans="1:44" x14ac:dyDescent="0.35">
      <c r="A2141" s="12" t="s">
        <v>2881</v>
      </c>
      <c r="B2141" s="12" t="s">
        <v>963</v>
      </c>
      <c r="C2141" s="12" t="s">
        <v>964</v>
      </c>
      <c r="D2141" s="12" t="s">
        <v>114</v>
      </c>
      <c r="E2141" s="12" t="s">
        <v>142</v>
      </c>
      <c r="F2141">
        <v>1</v>
      </c>
      <c r="G2141">
        <v>6</v>
      </c>
      <c r="H2141">
        <v>1</v>
      </c>
      <c r="I2141" s="12" t="s">
        <v>176</v>
      </c>
      <c r="J2141" s="12" t="s">
        <v>177</v>
      </c>
      <c r="K2141" s="12" t="s">
        <v>125</v>
      </c>
      <c r="L2141" s="12" t="s">
        <v>134</v>
      </c>
      <c r="M2141">
        <v>1.75</v>
      </c>
      <c r="N2141" s="12" t="s">
        <v>70</v>
      </c>
      <c r="O2141" s="12" t="s">
        <v>71</v>
      </c>
      <c r="P2141" s="12" t="s">
        <v>72</v>
      </c>
      <c r="Q2141" s="13">
        <v>45344</v>
      </c>
      <c r="R2141" s="13">
        <v>45389</v>
      </c>
      <c r="S2141">
        <v>2024</v>
      </c>
      <c r="T2141" s="12" t="s">
        <v>2740</v>
      </c>
      <c r="U2141">
        <v>92</v>
      </c>
      <c r="V2141">
        <v>194.73220000000001</v>
      </c>
      <c r="W2141">
        <v>363.52</v>
      </c>
      <c r="X2141">
        <v>0</v>
      </c>
      <c r="Y2141">
        <v>0</v>
      </c>
      <c r="Z2141">
        <v>17915.36</v>
      </c>
      <c r="AA2141">
        <v>18278.88</v>
      </c>
      <c r="AB2141" s="12" t="s">
        <v>965</v>
      </c>
      <c r="AC2141">
        <v>194.73220000000001</v>
      </c>
      <c r="AD2141">
        <v>1</v>
      </c>
      <c r="AE2141">
        <v>1</v>
      </c>
      <c r="AF2141">
        <v>0</v>
      </c>
      <c r="AG2141">
        <v>17915.36</v>
      </c>
      <c r="AH2141">
        <v>92</v>
      </c>
      <c r="AI2141">
        <v>91</v>
      </c>
      <c r="AJ2141">
        <v>1</v>
      </c>
      <c r="AK2141">
        <v>1</v>
      </c>
      <c r="AL2141">
        <v>1</v>
      </c>
      <c r="AM2141">
        <v>98.91</v>
      </c>
      <c r="AN2141">
        <v>200.86680000000001</v>
      </c>
      <c r="AO2141">
        <v>194.73</v>
      </c>
      <c r="AP2141" s="13">
        <v>45386</v>
      </c>
      <c r="AQ2141">
        <v>-3</v>
      </c>
      <c r="AR2141">
        <v>1</v>
      </c>
    </row>
    <row r="2142" spans="1:44" x14ac:dyDescent="0.35">
      <c r="A2142" s="12" t="s">
        <v>2882</v>
      </c>
      <c r="B2142" s="12" t="s">
        <v>848</v>
      </c>
      <c r="C2142" s="12" t="s">
        <v>849</v>
      </c>
      <c r="D2142" s="12" t="s">
        <v>103</v>
      </c>
      <c r="E2142" s="12" t="s">
        <v>65</v>
      </c>
      <c r="F2142">
        <v>2</v>
      </c>
      <c r="G2142">
        <v>4</v>
      </c>
      <c r="H2142">
        <v>0</v>
      </c>
      <c r="I2142" s="12" t="s">
        <v>87</v>
      </c>
      <c r="J2142" s="12" t="s">
        <v>88</v>
      </c>
      <c r="K2142" s="12" t="s">
        <v>89</v>
      </c>
      <c r="L2142" s="12" t="s">
        <v>69</v>
      </c>
      <c r="M2142">
        <v>14.93</v>
      </c>
      <c r="N2142" s="12" t="s">
        <v>107</v>
      </c>
      <c r="O2142" s="12" t="s">
        <v>108</v>
      </c>
      <c r="P2142" s="12" t="s">
        <v>109</v>
      </c>
      <c r="Q2142" s="13">
        <v>45344</v>
      </c>
      <c r="R2142" s="13">
        <v>45373</v>
      </c>
      <c r="S2142">
        <v>2024</v>
      </c>
      <c r="T2142" s="12" t="s">
        <v>2740</v>
      </c>
      <c r="U2142">
        <v>76</v>
      </c>
      <c r="V2142">
        <v>123.8275</v>
      </c>
      <c r="W2142">
        <v>100.39</v>
      </c>
      <c r="X2142">
        <v>298.76</v>
      </c>
      <c r="Y2142">
        <v>1</v>
      </c>
      <c r="Z2142">
        <v>9410.89</v>
      </c>
      <c r="AA2142">
        <v>9810.0400000000009</v>
      </c>
      <c r="AB2142" s="12" t="s">
        <v>850</v>
      </c>
      <c r="AC2142">
        <v>123.8275</v>
      </c>
      <c r="AD2142">
        <v>1</v>
      </c>
      <c r="AE2142">
        <v>1</v>
      </c>
      <c r="AF2142">
        <v>0</v>
      </c>
      <c r="AG2142">
        <v>9410.89</v>
      </c>
      <c r="AH2142">
        <v>76</v>
      </c>
      <c r="AI2142">
        <v>75</v>
      </c>
      <c r="AJ2142">
        <v>1</v>
      </c>
      <c r="AK2142">
        <v>1</v>
      </c>
      <c r="AL2142">
        <v>1</v>
      </c>
      <c r="AM2142">
        <v>98.68</v>
      </c>
      <c r="AN2142">
        <v>130.8005</v>
      </c>
      <c r="AO2142">
        <v>123.83</v>
      </c>
      <c r="AP2142" s="13">
        <v>45370</v>
      </c>
      <c r="AQ2142">
        <v>-3</v>
      </c>
      <c r="AR2142">
        <v>1</v>
      </c>
    </row>
    <row r="2143" spans="1:44" x14ac:dyDescent="0.35">
      <c r="A2143" s="12" t="s">
        <v>2883</v>
      </c>
      <c r="B2143" s="12" t="s">
        <v>848</v>
      </c>
      <c r="C2143" s="12" t="s">
        <v>849</v>
      </c>
      <c r="D2143" s="12" t="s">
        <v>103</v>
      </c>
      <c r="E2143" s="12" t="s">
        <v>65</v>
      </c>
      <c r="F2143">
        <v>2</v>
      </c>
      <c r="G2143">
        <v>4</v>
      </c>
      <c r="H2143">
        <v>0</v>
      </c>
      <c r="I2143" s="12" t="s">
        <v>87</v>
      </c>
      <c r="J2143" s="12" t="s">
        <v>88</v>
      </c>
      <c r="K2143" s="12" t="s">
        <v>89</v>
      </c>
      <c r="L2143" s="12" t="s">
        <v>69</v>
      </c>
      <c r="M2143">
        <v>14.93</v>
      </c>
      <c r="N2143" s="12" t="s">
        <v>145</v>
      </c>
      <c r="O2143" s="12" t="s">
        <v>146</v>
      </c>
      <c r="P2143" s="12" t="s">
        <v>109</v>
      </c>
      <c r="Q2143" s="13">
        <v>45344</v>
      </c>
      <c r="R2143" s="13">
        <v>45365</v>
      </c>
      <c r="S2143">
        <v>2024</v>
      </c>
      <c r="T2143" s="12" t="s">
        <v>2740</v>
      </c>
      <c r="U2143">
        <v>16</v>
      </c>
      <c r="V2143">
        <v>123.8275</v>
      </c>
      <c r="W2143">
        <v>40.520000000000003</v>
      </c>
      <c r="X2143">
        <v>0</v>
      </c>
      <c r="Y2143">
        <v>0</v>
      </c>
      <c r="Z2143">
        <v>1981.24</v>
      </c>
      <c r="AA2143">
        <v>2021.76</v>
      </c>
      <c r="AB2143" s="12" t="s">
        <v>850</v>
      </c>
      <c r="AC2143">
        <v>123.8275</v>
      </c>
      <c r="AD2143">
        <v>1</v>
      </c>
      <c r="AE2143">
        <v>1</v>
      </c>
      <c r="AF2143">
        <v>0</v>
      </c>
      <c r="AG2143">
        <v>1981.24</v>
      </c>
      <c r="AH2143">
        <v>16</v>
      </c>
      <c r="AI2143">
        <v>16</v>
      </c>
      <c r="AJ2143">
        <v>0</v>
      </c>
      <c r="AK2143">
        <v>1</v>
      </c>
      <c r="AL2143">
        <v>1</v>
      </c>
      <c r="AM2143">
        <v>100</v>
      </c>
      <c r="AN2143">
        <v>126.36</v>
      </c>
      <c r="AO2143">
        <v>0</v>
      </c>
      <c r="AP2143" s="13">
        <v>45362</v>
      </c>
      <c r="AQ2143">
        <v>-3</v>
      </c>
      <c r="AR2143">
        <v>1</v>
      </c>
    </row>
    <row r="2144" spans="1:44" x14ac:dyDescent="0.35">
      <c r="A2144" s="12" t="s">
        <v>2884</v>
      </c>
      <c r="B2144" s="12" t="s">
        <v>167</v>
      </c>
      <c r="C2144" s="12" t="s">
        <v>168</v>
      </c>
      <c r="D2144" s="12" t="s">
        <v>64</v>
      </c>
      <c r="E2144" s="12" t="s">
        <v>104</v>
      </c>
      <c r="F2144">
        <v>3</v>
      </c>
      <c r="G2144">
        <v>1</v>
      </c>
      <c r="H2144">
        <v>0</v>
      </c>
      <c r="I2144" s="12" t="s">
        <v>169</v>
      </c>
      <c r="J2144" s="12" t="s">
        <v>170</v>
      </c>
      <c r="K2144" s="12" t="s">
        <v>89</v>
      </c>
      <c r="L2144" s="12" t="s">
        <v>134</v>
      </c>
      <c r="M2144">
        <v>1.37</v>
      </c>
      <c r="N2144" s="12" t="s">
        <v>70</v>
      </c>
      <c r="O2144" s="12" t="s">
        <v>71</v>
      </c>
      <c r="P2144" s="12" t="s">
        <v>72</v>
      </c>
      <c r="Q2144" s="13">
        <v>45344</v>
      </c>
      <c r="R2144" s="13">
        <v>45361</v>
      </c>
      <c r="S2144">
        <v>2024</v>
      </c>
      <c r="T2144" s="12" t="s">
        <v>2740</v>
      </c>
      <c r="U2144">
        <v>377</v>
      </c>
      <c r="V2144">
        <v>26.559100000000001</v>
      </c>
      <c r="W2144">
        <v>117.3</v>
      </c>
      <c r="X2144">
        <v>0</v>
      </c>
      <c r="Y2144">
        <v>0</v>
      </c>
      <c r="Z2144">
        <v>10012.780000000001</v>
      </c>
      <c r="AA2144">
        <v>10130.08</v>
      </c>
      <c r="AB2144" s="12" t="s">
        <v>2885</v>
      </c>
      <c r="AC2144">
        <v>26.559100000000001</v>
      </c>
      <c r="AD2144">
        <v>1</v>
      </c>
      <c r="AE2144">
        <v>1</v>
      </c>
      <c r="AF2144">
        <v>0</v>
      </c>
      <c r="AG2144">
        <v>10012.780000000001</v>
      </c>
      <c r="AH2144">
        <v>377</v>
      </c>
      <c r="AI2144">
        <v>371</v>
      </c>
      <c r="AJ2144">
        <v>6</v>
      </c>
      <c r="AK2144">
        <v>1</v>
      </c>
      <c r="AL2144">
        <v>1</v>
      </c>
      <c r="AM2144">
        <v>98.41</v>
      </c>
      <c r="AN2144">
        <v>27.3048</v>
      </c>
      <c r="AO2144">
        <v>159.35</v>
      </c>
      <c r="AP2144" s="13">
        <v>45362</v>
      </c>
      <c r="AQ2144">
        <v>1</v>
      </c>
      <c r="AR2144">
        <v>0</v>
      </c>
    </row>
    <row r="2145" spans="1:44" x14ac:dyDescent="0.35">
      <c r="A2145" s="12" t="s">
        <v>2886</v>
      </c>
      <c r="B2145" s="12" t="s">
        <v>331</v>
      </c>
      <c r="C2145" s="12" t="s">
        <v>332</v>
      </c>
      <c r="D2145" s="12" t="s">
        <v>122</v>
      </c>
      <c r="E2145" s="12" t="s">
        <v>142</v>
      </c>
      <c r="F2145">
        <v>3</v>
      </c>
      <c r="G2145">
        <v>11</v>
      </c>
      <c r="H2145">
        <v>0</v>
      </c>
      <c r="I2145" s="12" t="s">
        <v>263</v>
      </c>
      <c r="J2145" s="12" t="s">
        <v>264</v>
      </c>
      <c r="K2145" s="12" t="s">
        <v>125</v>
      </c>
      <c r="L2145" s="12" t="s">
        <v>82</v>
      </c>
      <c r="M2145">
        <v>10.210000000000001</v>
      </c>
      <c r="N2145" s="12" t="s">
        <v>70</v>
      </c>
      <c r="O2145" s="12" t="s">
        <v>71</v>
      </c>
      <c r="P2145" s="12" t="s">
        <v>72</v>
      </c>
      <c r="Q2145" s="13">
        <v>45344</v>
      </c>
      <c r="R2145" s="13">
        <v>45395</v>
      </c>
      <c r="S2145">
        <v>2024</v>
      </c>
      <c r="T2145" s="12" t="s">
        <v>2740</v>
      </c>
      <c r="U2145">
        <v>1891</v>
      </c>
      <c r="V2145">
        <v>24.008700000000001</v>
      </c>
      <c r="W2145">
        <v>1088.8</v>
      </c>
      <c r="X2145">
        <v>0</v>
      </c>
      <c r="Y2145">
        <v>0</v>
      </c>
      <c r="Z2145">
        <v>45400.45</v>
      </c>
      <c r="AA2145">
        <v>46489.25</v>
      </c>
      <c r="AB2145" s="12" t="s">
        <v>2732</v>
      </c>
      <c r="AC2145">
        <v>24.008700000000001</v>
      </c>
      <c r="AD2145">
        <v>1</v>
      </c>
      <c r="AE2145">
        <v>1</v>
      </c>
      <c r="AF2145">
        <v>0</v>
      </c>
      <c r="AG2145">
        <v>45400.45</v>
      </c>
      <c r="AH2145">
        <v>1891</v>
      </c>
      <c r="AI2145">
        <v>1876</v>
      </c>
      <c r="AJ2145">
        <v>15</v>
      </c>
      <c r="AK2145">
        <v>1</v>
      </c>
      <c r="AL2145">
        <v>1</v>
      </c>
      <c r="AM2145">
        <v>99.21</v>
      </c>
      <c r="AN2145">
        <v>24.781099999999999</v>
      </c>
      <c r="AO2145">
        <v>360.13</v>
      </c>
      <c r="AP2145" s="13">
        <v>45392</v>
      </c>
      <c r="AQ2145">
        <v>-3</v>
      </c>
      <c r="AR2145">
        <v>1</v>
      </c>
    </row>
    <row r="2146" spans="1:44" x14ac:dyDescent="0.35">
      <c r="A2146" s="12" t="s">
        <v>2887</v>
      </c>
      <c r="B2146" s="12" t="s">
        <v>193</v>
      </c>
      <c r="C2146" s="12" t="s">
        <v>194</v>
      </c>
      <c r="D2146" s="12" t="s">
        <v>114</v>
      </c>
      <c r="E2146" s="12" t="s">
        <v>65</v>
      </c>
      <c r="F2146">
        <v>3</v>
      </c>
      <c r="G2146">
        <v>4</v>
      </c>
      <c r="H2146">
        <v>0</v>
      </c>
      <c r="I2146" s="12" t="s">
        <v>143</v>
      </c>
      <c r="J2146" s="12" t="s">
        <v>144</v>
      </c>
      <c r="K2146" s="12" t="s">
        <v>133</v>
      </c>
      <c r="L2146" s="12" t="s">
        <v>96</v>
      </c>
      <c r="M2146">
        <v>5.43</v>
      </c>
      <c r="N2146" s="12" t="s">
        <v>97</v>
      </c>
      <c r="O2146" s="12" t="s">
        <v>98</v>
      </c>
      <c r="P2146" s="12" t="s">
        <v>72</v>
      </c>
      <c r="Q2146" s="13">
        <v>45344</v>
      </c>
      <c r="R2146" s="13">
        <v>45374</v>
      </c>
      <c r="S2146">
        <v>2024</v>
      </c>
      <c r="T2146" s="12" t="s">
        <v>2740</v>
      </c>
      <c r="U2146">
        <v>82</v>
      </c>
      <c r="V2146">
        <v>105.8665</v>
      </c>
      <c r="W2146">
        <v>207.44</v>
      </c>
      <c r="X2146">
        <v>0</v>
      </c>
      <c r="Y2146">
        <v>0</v>
      </c>
      <c r="Z2146">
        <v>8681.0499999999993</v>
      </c>
      <c r="AA2146">
        <v>8888.49</v>
      </c>
      <c r="AB2146" s="12" t="s">
        <v>2888</v>
      </c>
      <c r="AC2146">
        <v>105.8665</v>
      </c>
      <c r="AD2146">
        <v>1</v>
      </c>
      <c r="AE2146">
        <v>1</v>
      </c>
      <c r="AF2146">
        <v>0</v>
      </c>
      <c r="AG2146">
        <v>8681.0499999999993</v>
      </c>
      <c r="AH2146">
        <v>82</v>
      </c>
      <c r="AI2146">
        <v>80</v>
      </c>
      <c r="AJ2146">
        <v>2</v>
      </c>
      <c r="AK2146">
        <v>1</v>
      </c>
      <c r="AL2146">
        <v>1</v>
      </c>
      <c r="AM2146">
        <v>97.56</v>
      </c>
      <c r="AN2146">
        <v>111.1062</v>
      </c>
      <c r="AO2146">
        <v>211.73</v>
      </c>
      <c r="AP2146" s="13">
        <v>45373</v>
      </c>
      <c r="AQ2146">
        <v>-1</v>
      </c>
      <c r="AR2146">
        <v>1</v>
      </c>
    </row>
    <row r="2147" spans="1:44" x14ac:dyDescent="0.35">
      <c r="A2147" s="12" t="s">
        <v>2889</v>
      </c>
      <c r="B2147" s="12" t="s">
        <v>391</v>
      </c>
      <c r="C2147" s="12" t="s">
        <v>392</v>
      </c>
      <c r="D2147" s="12" t="s">
        <v>114</v>
      </c>
      <c r="E2147" s="12" t="s">
        <v>65</v>
      </c>
      <c r="F2147">
        <v>2</v>
      </c>
      <c r="G2147">
        <v>2</v>
      </c>
      <c r="H2147">
        <v>0</v>
      </c>
      <c r="I2147" s="12" t="s">
        <v>310</v>
      </c>
      <c r="J2147" s="12" t="s">
        <v>311</v>
      </c>
      <c r="K2147" s="12" t="s">
        <v>81</v>
      </c>
      <c r="L2147" s="12" t="s">
        <v>69</v>
      </c>
      <c r="M2147">
        <v>28.3</v>
      </c>
      <c r="N2147" s="12" t="s">
        <v>70</v>
      </c>
      <c r="O2147" s="12" t="s">
        <v>71</v>
      </c>
      <c r="P2147" s="12" t="s">
        <v>72</v>
      </c>
      <c r="Q2147" s="13">
        <v>45344</v>
      </c>
      <c r="R2147" s="13">
        <v>45365</v>
      </c>
      <c r="S2147">
        <v>2024</v>
      </c>
      <c r="T2147" s="12" t="s">
        <v>2740</v>
      </c>
      <c r="U2147">
        <v>14</v>
      </c>
      <c r="V2147">
        <v>220.328</v>
      </c>
      <c r="W2147">
        <v>51.3</v>
      </c>
      <c r="X2147">
        <v>0</v>
      </c>
      <c r="Y2147">
        <v>0</v>
      </c>
      <c r="Z2147">
        <v>3084.59</v>
      </c>
      <c r="AA2147">
        <v>3135.89</v>
      </c>
      <c r="AB2147" s="12" t="s">
        <v>2890</v>
      </c>
      <c r="AC2147">
        <v>220.328</v>
      </c>
      <c r="AD2147">
        <v>1</v>
      </c>
      <c r="AE2147">
        <v>1</v>
      </c>
      <c r="AF2147">
        <v>0</v>
      </c>
      <c r="AG2147">
        <v>3084.59</v>
      </c>
      <c r="AH2147">
        <v>14</v>
      </c>
      <c r="AI2147">
        <v>14</v>
      </c>
      <c r="AJ2147">
        <v>0</v>
      </c>
      <c r="AK2147">
        <v>1</v>
      </c>
      <c r="AL2147">
        <v>1</v>
      </c>
      <c r="AM2147">
        <v>100</v>
      </c>
      <c r="AN2147">
        <v>223.9923</v>
      </c>
      <c r="AO2147">
        <v>0</v>
      </c>
      <c r="AP2147" s="13">
        <v>45363</v>
      </c>
      <c r="AQ2147">
        <v>-2</v>
      </c>
      <c r="AR2147">
        <v>1</v>
      </c>
    </row>
    <row r="2148" spans="1:44" x14ac:dyDescent="0.35">
      <c r="A2148" s="12" t="s">
        <v>2891</v>
      </c>
      <c r="B2148" s="12" t="s">
        <v>561</v>
      </c>
      <c r="C2148" s="12" t="s">
        <v>562</v>
      </c>
      <c r="D2148" s="12" t="s">
        <v>130</v>
      </c>
      <c r="E2148" s="12" t="s">
        <v>142</v>
      </c>
      <c r="F2148">
        <v>1</v>
      </c>
      <c r="G2148">
        <v>9</v>
      </c>
      <c r="H2148">
        <v>1</v>
      </c>
      <c r="I2148" s="12" t="s">
        <v>223</v>
      </c>
      <c r="J2148" s="12" t="s">
        <v>224</v>
      </c>
      <c r="K2148" s="12" t="s">
        <v>81</v>
      </c>
      <c r="L2148" s="12" t="s">
        <v>134</v>
      </c>
      <c r="M2148">
        <v>2.4900000000000002</v>
      </c>
      <c r="N2148" s="12" t="s">
        <v>159</v>
      </c>
      <c r="O2148" s="12" t="s">
        <v>160</v>
      </c>
      <c r="P2148" s="12" t="s">
        <v>137</v>
      </c>
      <c r="Q2148" s="13">
        <v>45344</v>
      </c>
      <c r="R2148" s="13">
        <v>45381</v>
      </c>
      <c r="S2148">
        <v>2024</v>
      </c>
      <c r="T2148" s="12" t="s">
        <v>2740</v>
      </c>
      <c r="U2148">
        <v>27</v>
      </c>
      <c r="V2148">
        <v>603.56020000000001</v>
      </c>
      <c r="W2148">
        <v>414.87</v>
      </c>
      <c r="X2148">
        <v>0</v>
      </c>
      <c r="Y2148">
        <v>0</v>
      </c>
      <c r="Z2148">
        <v>16296.13</v>
      </c>
      <c r="AA2148">
        <v>16711</v>
      </c>
      <c r="AB2148" s="12" t="s">
        <v>563</v>
      </c>
      <c r="AC2148">
        <v>603.56020000000001</v>
      </c>
      <c r="AD2148">
        <v>1</v>
      </c>
      <c r="AE2148">
        <v>1</v>
      </c>
      <c r="AF2148">
        <v>0</v>
      </c>
      <c r="AG2148">
        <v>16296.13</v>
      </c>
      <c r="AH2148">
        <v>27</v>
      </c>
      <c r="AI2148">
        <v>27</v>
      </c>
      <c r="AJ2148">
        <v>0</v>
      </c>
      <c r="AK2148">
        <v>1</v>
      </c>
      <c r="AL2148">
        <v>1</v>
      </c>
      <c r="AM2148">
        <v>100</v>
      </c>
      <c r="AN2148">
        <v>618.92579999999998</v>
      </c>
      <c r="AO2148">
        <v>0</v>
      </c>
      <c r="AP2148" s="13">
        <v>45378</v>
      </c>
      <c r="AQ2148">
        <v>-3</v>
      </c>
      <c r="AR2148">
        <v>1</v>
      </c>
    </row>
    <row r="2149" spans="1:44" x14ac:dyDescent="0.35">
      <c r="A2149" s="12" t="s">
        <v>2892</v>
      </c>
      <c r="B2149" s="12" t="s">
        <v>537</v>
      </c>
      <c r="C2149" s="12" t="s">
        <v>538</v>
      </c>
      <c r="D2149" s="12" t="s">
        <v>103</v>
      </c>
      <c r="E2149" s="12" t="s">
        <v>104</v>
      </c>
      <c r="F2149">
        <v>3</v>
      </c>
      <c r="G2149">
        <v>0</v>
      </c>
      <c r="H2149">
        <v>0</v>
      </c>
      <c r="I2149" s="12" t="s">
        <v>380</v>
      </c>
      <c r="J2149" s="12" t="s">
        <v>381</v>
      </c>
      <c r="K2149" s="12" t="s">
        <v>89</v>
      </c>
      <c r="L2149" s="12" t="s">
        <v>96</v>
      </c>
      <c r="M2149">
        <v>10.210000000000001</v>
      </c>
      <c r="N2149" s="12" t="s">
        <v>107</v>
      </c>
      <c r="O2149" s="12" t="s">
        <v>108</v>
      </c>
      <c r="P2149" s="12" t="s">
        <v>109</v>
      </c>
      <c r="Q2149" s="13">
        <v>45345</v>
      </c>
      <c r="R2149" s="13">
        <v>45363</v>
      </c>
      <c r="S2149">
        <v>2024</v>
      </c>
      <c r="T2149" s="12" t="s">
        <v>2740</v>
      </c>
      <c r="U2149">
        <v>56</v>
      </c>
      <c r="V2149">
        <v>242.5684</v>
      </c>
      <c r="W2149">
        <v>88.08</v>
      </c>
      <c r="X2149">
        <v>0</v>
      </c>
      <c r="Y2149">
        <v>0</v>
      </c>
      <c r="Z2149">
        <v>13583.83</v>
      </c>
      <c r="AA2149">
        <v>13671.91</v>
      </c>
      <c r="AB2149" s="12" t="s">
        <v>539</v>
      </c>
      <c r="AC2149">
        <v>242.5684</v>
      </c>
      <c r="AD2149">
        <v>1</v>
      </c>
      <c r="AE2149">
        <v>1</v>
      </c>
      <c r="AF2149">
        <v>0</v>
      </c>
      <c r="AG2149">
        <v>13583.83</v>
      </c>
      <c r="AH2149">
        <v>56</v>
      </c>
      <c r="AI2149">
        <v>55</v>
      </c>
      <c r="AJ2149">
        <v>1</v>
      </c>
      <c r="AK2149">
        <v>1</v>
      </c>
      <c r="AL2149">
        <v>1</v>
      </c>
      <c r="AM2149">
        <v>98.21</v>
      </c>
      <c r="AN2149">
        <v>248.58019999999999</v>
      </c>
      <c r="AO2149">
        <v>242.57</v>
      </c>
      <c r="AP2149" s="13">
        <v>45361</v>
      </c>
      <c r="AQ2149">
        <v>-2</v>
      </c>
      <c r="AR2149">
        <v>1</v>
      </c>
    </row>
    <row r="2150" spans="1:44" x14ac:dyDescent="0.35">
      <c r="A2150" s="12" t="s">
        <v>2893</v>
      </c>
      <c r="B2150" s="12" t="s">
        <v>544</v>
      </c>
      <c r="C2150" s="12" t="s">
        <v>545</v>
      </c>
      <c r="D2150" s="12" t="s">
        <v>175</v>
      </c>
      <c r="E2150" s="12" t="s">
        <v>65</v>
      </c>
      <c r="F2150">
        <v>3</v>
      </c>
      <c r="G2150">
        <v>5</v>
      </c>
      <c r="H2150">
        <v>0</v>
      </c>
      <c r="I2150" s="12" t="s">
        <v>66</v>
      </c>
      <c r="J2150" s="12" t="s">
        <v>67</v>
      </c>
      <c r="K2150" s="12" t="s">
        <v>68</v>
      </c>
      <c r="L2150" s="12" t="s">
        <v>69</v>
      </c>
      <c r="M2150">
        <v>17.66</v>
      </c>
      <c r="N2150" s="12" t="s">
        <v>107</v>
      </c>
      <c r="O2150" s="12" t="s">
        <v>108</v>
      </c>
      <c r="P2150" s="12" t="s">
        <v>109</v>
      </c>
      <c r="Q2150" s="13">
        <v>45345</v>
      </c>
      <c r="R2150" s="13">
        <v>45372</v>
      </c>
      <c r="S2150">
        <v>2024</v>
      </c>
      <c r="T2150" s="12" t="s">
        <v>2740</v>
      </c>
      <c r="U2150">
        <v>62</v>
      </c>
      <c r="V2150">
        <v>155.36940000000001</v>
      </c>
      <c r="W2150">
        <v>171.13</v>
      </c>
      <c r="X2150">
        <v>0</v>
      </c>
      <c r="Y2150">
        <v>0</v>
      </c>
      <c r="Z2150">
        <v>9632.9</v>
      </c>
      <c r="AA2150">
        <v>9804.0300000000007</v>
      </c>
      <c r="AB2150" s="12" t="s">
        <v>546</v>
      </c>
      <c r="AC2150">
        <v>155.36940000000001</v>
      </c>
      <c r="AD2150">
        <v>1</v>
      </c>
      <c r="AE2150">
        <v>1</v>
      </c>
      <c r="AF2150">
        <v>0</v>
      </c>
      <c r="AG2150">
        <v>9632.9</v>
      </c>
      <c r="AH2150">
        <v>62</v>
      </c>
      <c r="AI2150">
        <v>62</v>
      </c>
      <c r="AJ2150">
        <v>0</v>
      </c>
      <c r="AK2150">
        <v>1</v>
      </c>
      <c r="AL2150">
        <v>1</v>
      </c>
      <c r="AM2150">
        <v>100</v>
      </c>
      <c r="AN2150">
        <v>158.12960000000001</v>
      </c>
      <c r="AO2150">
        <v>0</v>
      </c>
      <c r="AP2150" s="13">
        <v>45369</v>
      </c>
      <c r="AQ2150">
        <v>-3</v>
      </c>
      <c r="AR2150">
        <v>1</v>
      </c>
    </row>
    <row r="2151" spans="1:44" x14ac:dyDescent="0.35">
      <c r="A2151" s="12" t="s">
        <v>2894</v>
      </c>
      <c r="B2151" s="12" t="s">
        <v>706</v>
      </c>
      <c r="C2151" s="12" t="s">
        <v>707</v>
      </c>
      <c r="D2151" s="12" t="s">
        <v>130</v>
      </c>
      <c r="E2151" s="12" t="s">
        <v>142</v>
      </c>
      <c r="F2151">
        <v>1</v>
      </c>
      <c r="G2151">
        <v>8</v>
      </c>
      <c r="H2151">
        <v>1</v>
      </c>
      <c r="I2151" s="12" t="s">
        <v>263</v>
      </c>
      <c r="J2151" s="12" t="s">
        <v>264</v>
      </c>
      <c r="K2151" s="12" t="s">
        <v>125</v>
      </c>
      <c r="L2151" s="12" t="s">
        <v>82</v>
      </c>
      <c r="M2151">
        <v>10.210000000000001</v>
      </c>
      <c r="N2151" s="12" t="s">
        <v>159</v>
      </c>
      <c r="O2151" s="12" t="s">
        <v>160</v>
      </c>
      <c r="P2151" s="12" t="s">
        <v>137</v>
      </c>
      <c r="Q2151" s="13">
        <v>45345</v>
      </c>
      <c r="R2151" s="13">
        <v>45384</v>
      </c>
      <c r="S2151">
        <v>2024</v>
      </c>
      <c r="T2151" s="12" t="s">
        <v>2740</v>
      </c>
      <c r="U2151">
        <v>42</v>
      </c>
      <c r="V2151">
        <v>277.71210000000002</v>
      </c>
      <c r="W2151">
        <v>79.47</v>
      </c>
      <c r="X2151">
        <v>0</v>
      </c>
      <c r="Y2151">
        <v>0</v>
      </c>
      <c r="Z2151">
        <v>11663.91</v>
      </c>
      <c r="AA2151">
        <v>11743.38</v>
      </c>
      <c r="AB2151" s="12" t="s">
        <v>708</v>
      </c>
      <c r="AC2151">
        <v>277.71210000000002</v>
      </c>
      <c r="AD2151">
        <v>1</v>
      </c>
      <c r="AE2151">
        <v>1</v>
      </c>
      <c r="AF2151">
        <v>0</v>
      </c>
      <c r="AG2151">
        <v>11663.91</v>
      </c>
      <c r="AH2151">
        <v>42</v>
      </c>
      <c r="AI2151">
        <v>42</v>
      </c>
      <c r="AJ2151">
        <v>0</v>
      </c>
      <c r="AK2151">
        <v>1</v>
      </c>
      <c r="AL2151">
        <v>1</v>
      </c>
      <c r="AM2151">
        <v>100</v>
      </c>
      <c r="AN2151">
        <v>279.60419999999999</v>
      </c>
      <c r="AO2151">
        <v>0</v>
      </c>
      <c r="AP2151" s="13">
        <v>45390</v>
      </c>
      <c r="AQ2151">
        <v>6</v>
      </c>
      <c r="AR2151">
        <v>0</v>
      </c>
    </row>
    <row r="2152" spans="1:44" x14ac:dyDescent="0.35">
      <c r="A2152" s="12" t="s">
        <v>2895</v>
      </c>
      <c r="B2152" s="12" t="s">
        <v>617</v>
      </c>
      <c r="C2152" s="12" t="s">
        <v>618</v>
      </c>
      <c r="D2152" s="12" t="s">
        <v>78</v>
      </c>
      <c r="E2152" s="12" t="s">
        <v>65</v>
      </c>
      <c r="F2152">
        <v>2</v>
      </c>
      <c r="G2152">
        <v>4</v>
      </c>
      <c r="H2152">
        <v>0</v>
      </c>
      <c r="I2152" s="12" t="s">
        <v>209</v>
      </c>
      <c r="J2152" s="12" t="s">
        <v>210</v>
      </c>
      <c r="K2152" s="12" t="s">
        <v>133</v>
      </c>
      <c r="L2152" s="12" t="s">
        <v>96</v>
      </c>
      <c r="M2152">
        <v>7.82</v>
      </c>
      <c r="N2152" s="12" t="s">
        <v>97</v>
      </c>
      <c r="O2152" s="12" t="s">
        <v>98</v>
      </c>
      <c r="P2152" s="12" t="s">
        <v>72</v>
      </c>
      <c r="Q2152" s="13">
        <v>45345</v>
      </c>
      <c r="R2152" s="13">
        <v>45376</v>
      </c>
      <c r="S2152">
        <v>2024</v>
      </c>
      <c r="T2152" s="12" t="s">
        <v>2740</v>
      </c>
      <c r="U2152">
        <v>194</v>
      </c>
      <c r="V2152">
        <v>108.2711</v>
      </c>
      <c r="W2152">
        <v>263.07</v>
      </c>
      <c r="X2152">
        <v>0</v>
      </c>
      <c r="Y2152">
        <v>0</v>
      </c>
      <c r="Z2152">
        <v>21004.59</v>
      </c>
      <c r="AA2152">
        <v>21267.66</v>
      </c>
      <c r="AB2152" s="12" t="s">
        <v>1523</v>
      </c>
      <c r="AC2152">
        <v>108.2711</v>
      </c>
      <c r="AD2152">
        <v>1</v>
      </c>
      <c r="AE2152">
        <v>1</v>
      </c>
      <c r="AF2152">
        <v>0</v>
      </c>
      <c r="AG2152">
        <v>21004.59</v>
      </c>
      <c r="AH2152">
        <v>194</v>
      </c>
      <c r="AI2152">
        <v>191</v>
      </c>
      <c r="AJ2152">
        <v>3</v>
      </c>
      <c r="AK2152">
        <v>1</v>
      </c>
      <c r="AL2152">
        <v>1</v>
      </c>
      <c r="AM2152">
        <v>98.45</v>
      </c>
      <c r="AN2152">
        <v>111.349</v>
      </c>
      <c r="AO2152">
        <v>324.81</v>
      </c>
      <c r="AP2152" s="13">
        <v>45373</v>
      </c>
      <c r="AQ2152">
        <v>-3</v>
      </c>
      <c r="AR2152">
        <v>1</v>
      </c>
    </row>
    <row r="2153" spans="1:44" x14ac:dyDescent="0.35">
      <c r="A2153" s="12" t="s">
        <v>2896</v>
      </c>
      <c r="B2153" s="12" t="s">
        <v>207</v>
      </c>
      <c r="C2153" s="12" t="s">
        <v>208</v>
      </c>
      <c r="D2153" s="12" t="s">
        <v>78</v>
      </c>
      <c r="E2153" s="12" t="s">
        <v>65</v>
      </c>
      <c r="F2153">
        <v>2</v>
      </c>
      <c r="G2153">
        <v>3</v>
      </c>
      <c r="H2153">
        <v>0</v>
      </c>
      <c r="I2153" s="12" t="s">
        <v>209</v>
      </c>
      <c r="J2153" s="12" t="s">
        <v>210</v>
      </c>
      <c r="K2153" s="12" t="s">
        <v>133</v>
      </c>
      <c r="L2153" s="12" t="s">
        <v>96</v>
      </c>
      <c r="M2153">
        <v>7.82</v>
      </c>
      <c r="N2153" s="12" t="s">
        <v>97</v>
      </c>
      <c r="O2153" s="12" t="s">
        <v>98</v>
      </c>
      <c r="P2153" s="12" t="s">
        <v>72</v>
      </c>
      <c r="Q2153" s="13">
        <v>45345</v>
      </c>
      <c r="R2153" s="13">
        <v>45382</v>
      </c>
      <c r="S2153">
        <v>2024</v>
      </c>
      <c r="T2153" s="12" t="s">
        <v>2740</v>
      </c>
      <c r="U2153">
        <v>285</v>
      </c>
      <c r="V2153">
        <v>148.61590000000001</v>
      </c>
      <c r="W2153">
        <v>845.5</v>
      </c>
      <c r="X2153">
        <v>0</v>
      </c>
      <c r="Y2153">
        <v>0</v>
      </c>
      <c r="Z2153">
        <v>42355.53</v>
      </c>
      <c r="AA2153">
        <v>43201.03</v>
      </c>
      <c r="AB2153" s="12" t="s">
        <v>2832</v>
      </c>
      <c r="AC2153">
        <v>148.61590000000001</v>
      </c>
      <c r="AD2153">
        <v>1</v>
      </c>
      <c r="AE2153">
        <v>1</v>
      </c>
      <c r="AF2153">
        <v>0</v>
      </c>
      <c r="AG2153">
        <v>42355.53</v>
      </c>
      <c r="AH2153">
        <v>285</v>
      </c>
      <c r="AI2153">
        <v>280</v>
      </c>
      <c r="AJ2153">
        <v>5</v>
      </c>
      <c r="AK2153">
        <v>1</v>
      </c>
      <c r="AL2153">
        <v>1</v>
      </c>
      <c r="AM2153">
        <v>98.25</v>
      </c>
      <c r="AN2153">
        <v>154.2894</v>
      </c>
      <c r="AO2153">
        <v>743.08</v>
      </c>
      <c r="AP2153" s="13">
        <v>45382</v>
      </c>
      <c r="AQ2153">
        <v>0</v>
      </c>
      <c r="AR2153">
        <v>1</v>
      </c>
    </row>
    <row r="2154" spans="1:44" x14ac:dyDescent="0.35">
      <c r="A2154" s="12" t="s">
        <v>2897</v>
      </c>
      <c r="B2154" s="12" t="s">
        <v>482</v>
      </c>
      <c r="C2154" s="12" t="s">
        <v>483</v>
      </c>
      <c r="D2154" s="12" t="s">
        <v>78</v>
      </c>
      <c r="E2154" s="12" t="s">
        <v>142</v>
      </c>
      <c r="F2154">
        <v>2</v>
      </c>
      <c r="G2154">
        <v>9</v>
      </c>
      <c r="H2154">
        <v>0</v>
      </c>
      <c r="I2154" s="12" t="s">
        <v>87</v>
      </c>
      <c r="J2154" s="12" t="s">
        <v>88</v>
      </c>
      <c r="K2154" s="12" t="s">
        <v>89</v>
      </c>
      <c r="L2154" s="12" t="s">
        <v>69</v>
      </c>
      <c r="M2154">
        <v>14.93</v>
      </c>
      <c r="N2154" s="12" t="s">
        <v>70</v>
      </c>
      <c r="O2154" s="12" t="s">
        <v>71</v>
      </c>
      <c r="P2154" s="12" t="s">
        <v>72</v>
      </c>
      <c r="Q2154" s="13">
        <v>45345</v>
      </c>
      <c r="R2154" s="13">
        <v>45381</v>
      </c>
      <c r="S2154">
        <v>2024</v>
      </c>
      <c r="T2154" s="12" t="s">
        <v>2740</v>
      </c>
      <c r="U2154">
        <v>57</v>
      </c>
      <c r="V2154">
        <v>49.685899999999997</v>
      </c>
      <c r="W2154">
        <v>45.48</v>
      </c>
      <c r="X2154">
        <v>0</v>
      </c>
      <c r="Y2154">
        <v>0</v>
      </c>
      <c r="Z2154">
        <v>2832.1</v>
      </c>
      <c r="AA2154">
        <v>2877.58</v>
      </c>
      <c r="AB2154" s="12" t="s">
        <v>484</v>
      </c>
      <c r="AC2154">
        <v>49.685899999999997</v>
      </c>
      <c r="AD2154">
        <v>1</v>
      </c>
      <c r="AE2154">
        <v>1</v>
      </c>
      <c r="AF2154">
        <v>0</v>
      </c>
      <c r="AG2154">
        <v>2832.1</v>
      </c>
      <c r="AH2154">
        <v>57</v>
      </c>
      <c r="AI2154">
        <v>56</v>
      </c>
      <c r="AJ2154">
        <v>1</v>
      </c>
      <c r="AK2154">
        <v>1</v>
      </c>
      <c r="AL2154">
        <v>1</v>
      </c>
      <c r="AM2154">
        <v>98.25</v>
      </c>
      <c r="AN2154">
        <v>51.385300000000001</v>
      </c>
      <c r="AO2154">
        <v>49.69</v>
      </c>
      <c r="AP2154" s="13">
        <v>45380</v>
      </c>
      <c r="AQ2154">
        <v>-1</v>
      </c>
      <c r="AR2154">
        <v>1</v>
      </c>
    </row>
    <row r="2155" spans="1:44" x14ac:dyDescent="0.35">
      <c r="A2155" s="12" t="s">
        <v>2898</v>
      </c>
      <c r="B2155" s="12" t="s">
        <v>640</v>
      </c>
      <c r="C2155" s="12" t="s">
        <v>641</v>
      </c>
      <c r="D2155" s="12" t="s">
        <v>130</v>
      </c>
      <c r="E2155" s="12" t="s">
        <v>104</v>
      </c>
      <c r="F2155">
        <v>3</v>
      </c>
      <c r="G2155">
        <v>0</v>
      </c>
      <c r="H2155">
        <v>0</v>
      </c>
      <c r="I2155" s="12" t="s">
        <v>209</v>
      </c>
      <c r="J2155" s="12" t="s">
        <v>210</v>
      </c>
      <c r="K2155" s="12" t="s">
        <v>133</v>
      </c>
      <c r="L2155" s="12" t="s">
        <v>96</v>
      </c>
      <c r="M2155">
        <v>7.82</v>
      </c>
      <c r="N2155" s="12" t="s">
        <v>135</v>
      </c>
      <c r="O2155" s="12" t="s">
        <v>136</v>
      </c>
      <c r="P2155" s="12" t="s">
        <v>137</v>
      </c>
      <c r="Q2155" s="13">
        <v>45345</v>
      </c>
      <c r="R2155" s="13">
        <v>45374</v>
      </c>
      <c r="S2155">
        <v>2024</v>
      </c>
      <c r="T2155" s="12" t="s">
        <v>2740</v>
      </c>
      <c r="U2155">
        <v>148</v>
      </c>
      <c r="V2155">
        <v>1008.4116</v>
      </c>
      <c r="W2155">
        <v>3222.9</v>
      </c>
      <c r="X2155">
        <v>0</v>
      </c>
      <c r="Y2155">
        <v>0</v>
      </c>
      <c r="Z2155">
        <v>149244.92000000001</v>
      </c>
      <c r="AA2155">
        <v>152467.82</v>
      </c>
      <c r="AB2155" s="12" t="s">
        <v>642</v>
      </c>
      <c r="AC2155">
        <v>1008.4116</v>
      </c>
      <c r="AD2155">
        <v>1</v>
      </c>
      <c r="AE2155">
        <v>1</v>
      </c>
      <c r="AF2155">
        <v>0</v>
      </c>
      <c r="AG2155">
        <v>149244.92000000001</v>
      </c>
      <c r="AH2155">
        <v>148</v>
      </c>
      <c r="AI2155">
        <v>147</v>
      </c>
      <c r="AJ2155">
        <v>1</v>
      </c>
      <c r="AK2155">
        <v>1</v>
      </c>
      <c r="AL2155">
        <v>1</v>
      </c>
      <c r="AM2155">
        <v>99.32</v>
      </c>
      <c r="AN2155">
        <v>1037.1959999999999</v>
      </c>
      <c r="AO2155">
        <v>1008.41</v>
      </c>
      <c r="AP2155" s="13">
        <v>45374</v>
      </c>
      <c r="AQ2155">
        <v>0</v>
      </c>
      <c r="AR2155">
        <v>1</v>
      </c>
    </row>
    <row r="2156" spans="1:44" x14ac:dyDescent="0.35">
      <c r="A2156" s="12" t="s">
        <v>2899</v>
      </c>
      <c r="B2156" s="12" t="s">
        <v>428</v>
      </c>
      <c r="C2156" s="12" t="s">
        <v>429</v>
      </c>
      <c r="D2156" s="12" t="s">
        <v>64</v>
      </c>
      <c r="E2156" s="12" t="s">
        <v>65</v>
      </c>
      <c r="F2156">
        <v>3</v>
      </c>
      <c r="G2156">
        <v>4</v>
      </c>
      <c r="H2156">
        <v>0</v>
      </c>
      <c r="I2156" s="12" t="s">
        <v>380</v>
      </c>
      <c r="J2156" s="12" t="s">
        <v>381</v>
      </c>
      <c r="K2156" s="12" t="s">
        <v>89</v>
      </c>
      <c r="L2156" s="12" t="s">
        <v>96</v>
      </c>
      <c r="M2156">
        <v>10.210000000000001</v>
      </c>
      <c r="N2156" s="12" t="s">
        <v>97</v>
      </c>
      <c r="O2156" s="12" t="s">
        <v>98</v>
      </c>
      <c r="P2156" s="12" t="s">
        <v>72</v>
      </c>
      <c r="Q2156" s="13">
        <v>45345</v>
      </c>
      <c r="R2156" s="13">
        <v>45376</v>
      </c>
      <c r="S2156">
        <v>2024</v>
      </c>
      <c r="T2156" s="12" t="s">
        <v>2740</v>
      </c>
      <c r="U2156">
        <v>640</v>
      </c>
      <c r="V2156">
        <v>15.0402</v>
      </c>
      <c r="W2156">
        <v>89.76</v>
      </c>
      <c r="X2156">
        <v>0</v>
      </c>
      <c r="Y2156">
        <v>0</v>
      </c>
      <c r="Z2156">
        <v>9625.73</v>
      </c>
      <c r="AA2156">
        <v>9715.49</v>
      </c>
      <c r="AB2156" s="12" t="s">
        <v>430</v>
      </c>
      <c r="AC2156">
        <v>15.0402</v>
      </c>
      <c r="AD2156">
        <v>1</v>
      </c>
      <c r="AE2156">
        <v>1</v>
      </c>
      <c r="AF2156">
        <v>0</v>
      </c>
      <c r="AG2156">
        <v>9625.73</v>
      </c>
      <c r="AH2156">
        <v>640</v>
      </c>
      <c r="AI2156">
        <v>639</v>
      </c>
      <c r="AJ2156">
        <v>1</v>
      </c>
      <c r="AK2156">
        <v>1</v>
      </c>
      <c r="AL2156">
        <v>1</v>
      </c>
      <c r="AM2156">
        <v>99.84</v>
      </c>
      <c r="AN2156">
        <v>15.2042</v>
      </c>
      <c r="AO2156">
        <v>15.04</v>
      </c>
      <c r="AP2156" s="13">
        <v>45385</v>
      </c>
      <c r="AQ2156">
        <v>9</v>
      </c>
      <c r="AR2156">
        <v>0</v>
      </c>
    </row>
    <row r="2157" spans="1:44" x14ac:dyDescent="0.35">
      <c r="A2157" s="12" t="s">
        <v>2900</v>
      </c>
      <c r="B2157" s="12" t="s">
        <v>1108</v>
      </c>
      <c r="C2157" s="12" t="s">
        <v>1109</v>
      </c>
      <c r="D2157" s="12" t="s">
        <v>103</v>
      </c>
      <c r="E2157" s="12" t="s">
        <v>65</v>
      </c>
      <c r="F2157">
        <v>3</v>
      </c>
      <c r="G2157">
        <v>4</v>
      </c>
      <c r="H2157">
        <v>0</v>
      </c>
      <c r="I2157" s="12" t="s">
        <v>79</v>
      </c>
      <c r="J2157" s="12" t="s">
        <v>80</v>
      </c>
      <c r="K2157" s="12" t="s">
        <v>81</v>
      </c>
      <c r="L2157" s="12" t="s">
        <v>82</v>
      </c>
      <c r="M2157">
        <v>12.07</v>
      </c>
      <c r="N2157" s="12" t="s">
        <v>107</v>
      </c>
      <c r="O2157" s="12" t="s">
        <v>108</v>
      </c>
      <c r="P2157" s="12" t="s">
        <v>109</v>
      </c>
      <c r="Q2157" s="13">
        <v>45348</v>
      </c>
      <c r="R2157" s="13">
        <v>45384</v>
      </c>
      <c r="S2157">
        <v>2024</v>
      </c>
      <c r="T2157" s="12" t="s">
        <v>2740</v>
      </c>
      <c r="U2157">
        <v>128</v>
      </c>
      <c r="V2157">
        <v>86.615200000000002</v>
      </c>
      <c r="W2157">
        <v>211.09</v>
      </c>
      <c r="X2157">
        <v>0</v>
      </c>
      <c r="Y2157">
        <v>0</v>
      </c>
      <c r="Z2157">
        <v>11086.75</v>
      </c>
      <c r="AA2157">
        <v>11297.84</v>
      </c>
      <c r="AB2157" s="12" t="s">
        <v>1634</v>
      </c>
      <c r="AC2157">
        <v>86.615200000000002</v>
      </c>
      <c r="AD2157">
        <v>1</v>
      </c>
      <c r="AE2157">
        <v>1</v>
      </c>
      <c r="AF2157">
        <v>0</v>
      </c>
      <c r="AG2157">
        <v>11086.75</v>
      </c>
      <c r="AH2157">
        <v>128</v>
      </c>
      <c r="AI2157">
        <v>127</v>
      </c>
      <c r="AJ2157">
        <v>1</v>
      </c>
      <c r="AK2157">
        <v>1</v>
      </c>
      <c r="AL2157">
        <v>1</v>
      </c>
      <c r="AM2157">
        <v>99.22</v>
      </c>
      <c r="AN2157">
        <v>88.959299999999999</v>
      </c>
      <c r="AO2157">
        <v>86.62</v>
      </c>
      <c r="AP2157" s="13">
        <v>45382</v>
      </c>
      <c r="AQ2157">
        <v>-2</v>
      </c>
      <c r="AR2157">
        <v>1</v>
      </c>
    </row>
    <row r="2158" spans="1:44" x14ac:dyDescent="0.35">
      <c r="A2158" s="12" t="s">
        <v>2901</v>
      </c>
      <c r="B2158" s="12" t="s">
        <v>112</v>
      </c>
      <c r="C2158" s="12" t="s">
        <v>113</v>
      </c>
      <c r="D2158" s="12" t="s">
        <v>114</v>
      </c>
      <c r="E2158" s="12" t="s">
        <v>104</v>
      </c>
      <c r="F2158">
        <v>3</v>
      </c>
      <c r="G2158">
        <v>1</v>
      </c>
      <c r="H2158">
        <v>0</v>
      </c>
      <c r="I2158" s="12" t="s">
        <v>227</v>
      </c>
      <c r="J2158" s="12" t="s">
        <v>228</v>
      </c>
      <c r="K2158" s="12" t="s">
        <v>89</v>
      </c>
      <c r="L2158" s="12" t="s">
        <v>96</v>
      </c>
      <c r="M2158">
        <v>9.15</v>
      </c>
      <c r="N2158" s="12" t="s">
        <v>97</v>
      </c>
      <c r="O2158" s="12" t="s">
        <v>98</v>
      </c>
      <c r="P2158" s="12" t="s">
        <v>72</v>
      </c>
      <c r="Q2158" s="13">
        <v>45348</v>
      </c>
      <c r="R2158" s="13">
        <v>45371</v>
      </c>
      <c r="S2158">
        <v>2024</v>
      </c>
      <c r="T2158" s="12" t="s">
        <v>2740</v>
      </c>
      <c r="U2158">
        <v>96</v>
      </c>
      <c r="V2158">
        <v>255.786</v>
      </c>
      <c r="W2158">
        <v>206.79</v>
      </c>
      <c r="X2158">
        <v>0</v>
      </c>
      <c r="Y2158">
        <v>0</v>
      </c>
      <c r="Z2158">
        <v>24555.46</v>
      </c>
      <c r="AA2158">
        <v>24762.25</v>
      </c>
      <c r="AB2158" s="12" t="s">
        <v>2839</v>
      </c>
      <c r="AC2158">
        <v>255.786</v>
      </c>
      <c r="AD2158">
        <v>1</v>
      </c>
      <c r="AE2158">
        <v>1</v>
      </c>
      <c r="AF2158">
        <v>0</v>
      </c>
      <c r="AG2158">
        <v>24555.46</v>
      </c>
      <c r="AH2158">
        <v>96</v>
      </c>
      <c r="AI2158">
        <v>94</v>
      </c>
      <c r="AJ2158">
        <v>2</v>
      </c>
      <c r="AK2158">
        <v>1</v>
      </c>
      <c r="AL2158">
        <v>1</v>
      </c>
      <c r="AM2158">
        <v>97.92</v>
      </c>
      <c r="AN2158">
        <v>263.42809999999997</v>
      </c>
      <c r="AO2158">
        <v>511.57</v>
      </c>
      <c r="AP2158" s="13">
        <v>45369</v>
      </c>
      <c r="AQ2158">
        <v>-2</v>
      </c>
      <c r="AR2158">
        <v>1</v>
      </c>
    </row>
    <row r="2159" spans="1:44" x14ac:dyDescent="0.35">
      <c r="A2159" s="12" t="s">
        <v>2902</v>
      </c>
      <c r="B2159" s="12" t="s">
        <v>120</v>
      </c>
      <c r="C2159" s="12" t="s">
        <v>121</v>
      </c>
      <c r="D2159" s="12" t="s">
        <v>122</v>
      </c>
      <c r="E2159" s="12" t="s">
        <v>65</v>
      </c>
      <c r="F2159">
        <v>3</v>
      </c>
      <c r="G2159">
        <v>4</v>
      </c>
      <c r="H2159">
        <v>0</v>
      </c>
      <c r="I2159" s="12" t="s">
        <v>123</v>
      </c>
      <c r="J2159" s="12" t="s">
        <v>124</v>
      </c>
      <c r="K2159" s="12" t="s">
        <v>125</v>
      </c>
      <c r="L2159" s="12" t="s">
        <v>82</v>
      </c>
      <c r="M2159">
        <v>6.75</v>
      </c>
      <c r="N2159" s="12" t="s">
        <v>70</v>
      </c>
      <c r="O2159" s="12" t="s">
        <v>71</v>
      </c>
      <c r="P2159" s="12" t="s">
        <v>72</v>
      </c>
      <c r="Q2159" s="13">
        <v>45348</v>
      </c>
      <c r="R2159" s="13">
        <v>45380</v>
      </c>
      <c r="S2159">
        <v>2024</v>
      </c>
      <c r="T2159" s="12" t="s">
        <v>2740</v>
      </c>
      <c r="U2159">
        <v>1331</v>
      </c>
      <c r="V2159">
        <v>53.214500000000001</v>
      </c>
      <c r="W2159">
        <v>612.53</v>
      </c>
      <c r="X2159">
        <v>0</v>
      </c>
      <c r="Y2159">
        <v>0</v>
      </c>
      <c r="Z2159">
        <v>70828.5</v>
      </c>
      <c r="AA2159">
        <v>71441.03</v>
      </c>
      <c r="AB2159" s="12" t="s">
        <v>2728</v>
      </c>
      <c r="AC2159">
        <v>53.214500000000001</v>
      </c>
      <c r="AD2159">
        <v>1</v>
      </c>
      <c r="AE2159">
        <v>1</v>
      </c>
      <c r="AF2159">
        <v>0</v>
      </c>
      <c r="AG2159">
        <v>70828.5</v>
      </c>
      <c r="AH2159">
        <v>1331</v>
      </c>
      <c r="AI2159">
        <v>1325</v>
      </c>
      <c r="AJ2159">
        <v>6</v>
      </c>
      <c r="AK2159">
        <v>1</v>
      </c>
      <c r="AL2159">
        <v>1</v>
      </c>
      <c r="AM2159">
        <v>99.55</v>
      </c>
      <c r="AN2159">
        <v>53.9178</v>
      </c>
      <c r="AO2159">
        <v>319.29000000000002</v>
      </c>
      <c r="AP2159" s="13">
        <v>45377</v>
      </c>
      <c r="AQ2159">
        <v>-3</v>
      </c>
      <c r="AR2159">
        <v>1</v>
      </c>
    </row>
    <row r="2160" spans="1:44" x14ac:dyDescent="0.35">
      <c r="A2160" s="12" t="s">
        <v>2903</v>
      </c>
      <c r="B2160" s="12" t="s">
        <v>728</v>
      </c>
      <c r="C2160" s="12" t="s">
        <v>729</v>
      </c>
      <c r="D2160" s="12" t="s">
        <v>269</v>
      </c>
      <c r="E2160" s="12" t="s">
        <v>65</v>
      </c>
      <c r="F2160">
        <v>2</v>
      </c>
      <c r="G2160">
        <v>3</v>
      </c>
      <c r="H2160">
        <v>0</v>
      </c>
      <c r="I2160" s="12" t="s">
        <v>310</v>
      </c>
      <c r="J2160" s="12" t="s">
        <v>311</v>
      </c>
      <c r="K2160" s="12" t="s">
        <v>81</v>
      </c>
      <c r="L2160" s="12" t="s">
        <v>69</v>
      </c>
      <c r="M2160">
        <v>28.3</v>
      </c>
      <c r="N2160" s="12" t="s">
        <v>159</v>
      </c>
      <c r="O2160" s="12" t="s">
        <v>160</v>
      </c>
      <c r="P2160" s="12" t="s">
        <v>137</v>
      </c>
      <c r="Q2160" s="13">
        <v>45348</v>
      </c>
      <c r="R2160" s="13">
        <v>45379</v>
      </c>
      <c r="S2160">
        <v>2024</v>
      </c>
      <c r="T2160" s="12" t="s">
        <v>2740</v>
      </c>
      <c r="U2160">
        <v>94</v>
      </c>
      <c r="V2160">
        <v>374.99740000000003</v>
      </c>
      <c r="W2160">
        <v>357.93</v>
      </c>
      <c r="X2160">
        <v>0</v>
      </c>
      <c r="Y2160">
        <v>0</v>
      </c>
      <c r="Z2160">
        <v>35249.760000000002</v>
      </c>
      <c r="AA2160">
        <v>35607.69</v>
      </c>
      <c r="AB2160" s="12" t="s">
        <v>730</v>
      </c>
      <c r="AC2160">
        <v>374.99740000000003</v>
      </c>
      <c r="AD2160">
        <v>1</v>
      </c>
      <c r="AE2160">
        <v>1</v>
      </c>
      <c r="AF2160">
        <v>0</v>
      </c>
      <c r="AG2160">
        <v>35249.760000000002</v>
      </c>
      <c r="AH2160">
        <v>94</v>
      </c>
      <c r="AI2160">
        <v>93</v>
      </c>
      <c r="AJ2160">
        <v>1</v>
      </c>
      <c r="AK2160">
        <v>1</v>
      </c>
      <c r="AL2160">
        <v>1</v>
      </c>
      <c r="AM2160">
        <v>98.94</v>
      </c>
      <c r="AN2160">
        <v>382.87830000000002</v>
      </c>
      <c r="AO2160">
        <v>375</v>
      </c>
      <c r="AP2160" s="13">
        <v>45379</v>
      </c>
      <c r="AQ2160">
        <v>0</v>
      </c>
      <c r="AR2160">
        <v>1</v>
      </c>
    </row>
    <row r="2161" spans="1:44" x14ac:dyDescent="0.35">
      <c r="A2161" s="12" t="s">
        <v>2904</v>
      </c>
      <c r="B2161" s="12" t="s">
        <v>941</v>
      </c>
      <c r="C2161" s="12" t="s">
        <v>942</v>
      </c>
      <c r="D2161" s="12" t="s">
        <v>130</v>
      </c>
      <c r="E2161" s="12" t="s">
        <v>104</v>
      </c>
      <c r="F2161">
        <v>2</v>
      </c>
      <c r="G2161">
        <v>0</v>
      </c>
      <c r="H2161">
        <v>0</v>
      </c>
      <c r="I2161" s="12" t="s">
        <v>131</v>
      </c>
      <c r="J2161" s="12" t="s">
        <v>132</v>
      </c>
      <c r="K2161" s="12" t="s">
        <v>133</v>
      </c>
      <c r="L2161" s="12" t="s">
        <v>134</v>
      </c>
      <c r="M2161">
        <v>1.51</v>
      </c>
      <c r="N2161" s="12" t="s">
        <v>135</v>
      </c>
      <c r="O2161" s="12" t="s">
        <v>136</v>
      </c>
      <c r="P2161" s="12" t="s">
        <v>137</v>
      </c>
      <c r="Q2161" s="13">
        <v>45348</v>
      </c>
      <c r="R2161" s="13">
        <v>45361</v>
      </c>
      <c r="S2161">
        <v>2024</v>
      </c>
      <c r="T2161" s="12" t="s">
        <v>2740</v>
      </c>
      <c r="U2161">
        <v>25</v>
      </c>
      <c r="V2161">
        <v>990.29020000000003</v>
      </c>
      <c r="W2161">
        <v>370.03</v>
      </c>
      <c r="X2161">
        <v>0</v>
      </c>
      <c r="Y2161">
        <v>0</v>
      </c>
      <c r="Z2161">
        <v>24757.26</v>
      </c>
      <c r="AA2161">
        <v>25127.29</v>
      </c>
      <c r="AB2161" s="12" t="s">
        <v>943</v>
      </c>
      <c r="AC2161">
        <v>990.29020000000003</v>
      </c>
      <c r="AD2161">
        <v>1</v>
      </c>
      <c r="AE2161">
        <v>1</v>
      </c>
      <c r="AF2161">
        <v>0</v>
      </c>
      <c r="AG2161">
        <v>24757.26</v>
      </c>
      <c r="AH2161">
        <v>25</v>
      </c>
      <c r="AI2161">
        <v>23</v>
      </c>
      <c r="AJ2161">
        <v>2</v>
      </c>
      <c r="AK2161">
        <v>1</v>
      </c>
      <c r="AL2161">
        <v>1</v>
      </c>
      <c r="AM2161">
        <v>92</v>
      </c>
      <c r="AN2161">
        <v>1092.4907000000001</v>
      </c>
      <c r="AO2161">
        <v>1980.58</v>
      </c>
      <c r="AP2161" s="13">
        <v>45360</v>
      </c>
      <c r="AQ2161">
        <v>-1</v>
      </c>
      <c r="AR2161">
        <v>1</v>
      </c>
    </row>
    <row r="2162" spans="1:44" x14ac:dyDescent="0.35">
      <c r="A2162" s="12" t="s">
        <v>2905</v>
      </c>
      <c r="B2162" s="12" t="s">
        <v>1042</v>
      </c>
      <c r="C2162" s="12" t="s">
        <v>1043</v>
      </c>
      <c r="D2162" s="12" t="s">
        <v>269</v>
      </c>
      <c r="E2162" s="12" t="s">
        <v>104</v>
      </c>
      <c r="F2162">
        <v>2</v>
      </c>
      <c r="G2162">
        <v>0</v>
      </c>
      <c r="H2162">
        <v>0</v>
      </c>
      <c r="I2162" s="12" t="s">
        <v>199</v>
      </c>
      <c r="J2162" s="12" t="s">
        <v>200</v>
      </c>
      <c r="K2162" s="12" t="s">
        <v>68</v>
      </c>
      <c r="L2162" s="12" t="s">
        <v>96</v>
      </c>
      <c r="M2162">
        <v>9.4700000000000006</v>
      </c>
      <c r="N2162" s="12" t="s">
        <v>159</v>
      </c>
      <c r="O2162" s="12" t="s">
        <v>160</v>
      </c>
      <c r="P2162" s="12" t="s">
        <v>137</v>
      </c>
      <c r="Q2162" s="13">
        <v>45348</v>
      </c>
      <c r="R2162" s="13">
        <v>45368</v>
      </c>
      <c r="S2162">
        <v>2024</v>
      </c>
      <c r="T2162" s="12" t="s">
        <v>2740</v>
      </c>
      <c r="U2162">
        <v>76</v>
      </c>
      <c r="V2162">
        <v>290.76319999999998</v>
      </c>
      <c r="W2162">
        <v>569.37</v>
      </c>
      <c r="X2162">
        <v>0</v>
      </c>
      <c r="Y2162">
        <v>0</v>
      </c>
      <c r="Z2162">
        <v>22098</v>
      </c>
      <c r="AA2162">
        <v>22667.37</v>
      </c>
      <c r="AB2162" s="12" t="s">
        <v>1414</v>
      </c>
      <c r="AC2162">
        <v>290.76319999999998</v>
      </c>
      <c r="AD2162">
        <v>1</v>
      </c>
      <c r="AE2162">
        <v>1</v>
      </c>
      <c r="AF2162">
        <v>0</v>
      </c>
      <c r="AG2162">
        <v>22098</v>
      </c>
      <c r="AH2162">
        <v>76</v>
      </c>
      <c r="AI2162">
        <v>75</v>
      </c>
      <c r="AJ2162">
        <v>1</v>
      </c>
      <c r="AK2162">
        <v>1</v>
      </c>
      <c r="AL2162">
        <v>1</v>
      </c>
      <c r="AM2162">
        <v>98.68</v>
      </c>
      <c r="AN2162">
        <v>302.23160000000001</v>
      </c>
      <c r="AO2162">
        <v>290.76</v>
      </c>
      <c r="AP2162" s="13">
        <v>45370</v>
      </c>
      <c r="AQ2162">
        <v>2</v>
      </c>
      <c r="AR2162">
        <v>0</v>
      </c>
    </row>
    <row r="2163" spans="1:44" x14ac:dyDescent="0.35">
      <c r="A2163" s="12" t="s">
        <v>2906</v>
      </c>
      <c r="B2163" s="12" t="s">
        <v>85</v>
      </c>
      <c r="C2163" s="12" t="s">
        <v>86</v>
      </c>
      <c r="D2163" s="12" t="s">
        <v>78</v>
      </c>
      <c r="E2163" s="12" t="s">
        <v>65</v>
      </c>
      <c r="F2163">
        <v>3</v>
      </c>
      <c r="G2163">
        <v>5</v>
      </c>
      <c r="H2163">
        <v>0</v>
      </c>
      <c r="I2163" s="12" t="s">
        <v>195</v>
      </c>
      <c r="J2163" s="12" t="s">
        <v>196</v>
      </c>
      <c r="K2163" s="12" t="s">
        <v>117</v>
      </c>
      <c r="L2163" s="12" t="s">
        <v>134</v>
      </c>
      <c r="M2163">
        <v>4.7699999999999996</v>
      </c>
      <c r="N2163" s="12" t="s">
        <v>97</v>
      </c>
      <c r="O2163" s="12" t="s">
        <v>98</v>
      </c>
      <c r="P2163" s="12" t="s">
        <v>72</v>
      </c>
      <c r="Q2163" s="13">
        <v>45348</v>
      </c>
      <c r="R2163" s="13">
        <v>45385</v>
      </c>
      <c r="S2163">
        <v>2024</v>
      </c>
      <c r="T2163" s="12" t="s">
        <v>2740</v>
      </c>
      <c r="U2163">
        <v>274</v>
      </c>
      <c r="V2163">
        <v>139.9503</v>
      </c>
      <c r="W2163">
        <v>914.94</v>
      </c>
      <c r="X2163">
        <v>1174.99</v>
      </c>
      <c r="Y2163">
        <v>1</v>
      </c>
      <c r="Z2163">
        <v>38346.379999999997</v>
      </c>
      <c r="AA2163">
        <v>40436.31</v>
      </c>
      <c r="AB2163" s="12" t="s">
        <v>2907</v>
      </c>
      <c r="AC2163">
        <v>139.9503</v>
      </c>
      <c r="AD2163">
        <v>1</v>
      </c>
      <c r="AE2163">
        <v>1</v>
      </c>
      <c r="AF2163">
        <v>0</v>
      </c>
      <c r="AG2163">
        <v>38346.379999999997</v>
      </c>
      <c r="AH2163">
        <v>274</v>
      </c>
      <c r="AI2163">
        <v>268</v>
      </c>
      <c r="AJ2163">
        <v>6</v>
      </c>
      <c r="AK2163">
        <v>1</v>
      </c>
      <c r="AL2163">
        <v>1</v>
      </c>
      <c r="AM2163">
        <v>97.81</v>
      </c>
      <c r="AN2163">
        <v>150.8818</v>
      </c>
      <c r="AO2163">
        <v>839.7</v>
      </c>
      <c r="AP2163" s="13">
        <v>45383</v>
      </c>
      <c r="AQ2163">
        <v>-2</v>
      </c>
      <c r="AR2163">
        <v>1</v>
      </c>
    </row>
    <row r="2164" spans="1:44" x14ac:dyDescent="0.35">
      <c r="A2164" s="12" t="s">
        <v>2908</v>
      </c>
      <c r="B2164" s="12" t="s">
        <v>498</v>
      </c>
      <c r="C2164" s="12" t="s">
        <v>499</v>
      </c>
      <c r="D2164" s="12" t="s">
        <v>175</v>
      </c>
      <c r="E2164" s="12" t="s">
        <v>104</v>
      </c>
      <c r="F2164">
        <v>3</v>
      </c>
      <c r="G2164">
        <v>1</v>
      </c>
      <c r="H2164">
        <v>0</v>
      </c>
      <c r="I2164" s="12" t="s">
        <v>233</v>
      </c>
      <c r="J2164" s="12" t="s">
        <v>234</v>
      </c>
      <c r="K2164" s="12" t="s">
        <v>125</v>
      </c>
      <c r="L2164" s="12" t="s">
        <v>96</v>
      </c>
      <c r="M2164">
        <v>3.73</v>
      </c>
      <c r="N2164" s="12" t="s">
        <v>107</v>
      </c>
      <c r="O2164" s="12" t="s">
        <v>108</v>
      </c>
      <c r="P2164" s="12" t="s">
        <v>109</v>
      </c>
      <c r="Q2164" s="13">
        <v>45348</v>
      </c>
      <c r="R2164" s="13">
        <v>45372</v>
      </c>
      <c r="S2164">
        <v>2024</v>
      </c>
      <c r="T2164" s="12" t="s">
        <v>2740</v>
      </c>
      <c r="U2164">
        <v>109</v>
      </c>
      <c r="V2164">
        <v>275.12700000000001</v>
      </c>
      <c r="W2164">
        <v>190.2</v>
      </c>
      <c r="X2164">
        <v>0</v>
      </c>
      <c r="Y2164">
        <v>0</v>
      </c>
      <c r="Z2164">
        <v>29988.84</v>
      </c>
      <c r="AA2164">
        <v>30179.040000000001</v>
      </c>
      <c r="AB2164" s="12" t="s">
        <v>500</v>
      </c>
      <c r="AC2164">
        <v>284.75639999999999</v>
      </c>
      <c r="AD2164">
        <v>2</v>
      </c>
      <c r="AE2164">
        <v>1</v>
      </c>
      <c r="AF2164">
        <v>-1049.5999999999999</v>
      </c>
      <c r="AG2164">
        <v>31038.45</v>
      </c>
      <c r="AH2164">
        <v>109</v>
      </c>
      <c r="AI2164">
        <v>108</v>
      </c>
      <c r="AJ2164">
        <v>1</v>
      </c>
      <c r="AK2164">
        <v>1</v>
      </c>
      <c r="AL2164">
        <v>1</v>
      </c>
      <c r="AM2164">
        <v>99.08</v>
      </c>
      <c r="AN2164">
        <v>279.43560000000002</v>
      </c>
      <c r="AO2164">
        <v>275.13</v>
      </c>
      <c r="AP2164" s="13">
        <v>45370</v>
      </c>
      <c r="AQ2164">
        <v>-2</v>
      </c>
      <c r="AR2164">
        <v>1</v>
      </c>
    </row>
    <row r="2165" spans="1:44" x14ac:dyDescent="0.35">
      <c r="A2165" s="12" t="s">
        <v>2909</v>
      </c>
      <c r="B2165" s="12" t="s">
        <v>404</v>
      </c>
      <c r="C2165" s="12" t="s">
        <v>405</v>
      </c>
      <c r="D2165" s="12" t="s">
        <v>269</v>
      </c>
      <c r="E2165" s="12" t="s">
        <v>65</v>
      </c>
      <c r="F2165">
        <v>3</v>
      </c>
      <c r="G2165">
        <v>5</v>
      </c>
      <c r="H2165">
        <v>0</v>
      </c>
      <c r="I2165" s="12" t="s">
        <v>79</v>
      </c>
      <c r="J2165" s="12" t="s">
        <v>80</v>
      </c>
      <c r="K2165" s="12" t="s">
        <v>81</v>
      </c>
      <c r="L2165" s="12" t="s">
        <v>82</v>
      </c>
      <c r="M2165">
        <v>12.07</v>
      </c>
      <c r="N2165" s="12" t="s">
        <v>159</v>
      </c>
      <c r="O2165" s="12" t="s">
        <v>160</v>
      </c>
      <c r="P2165" s="12" t="s">
        <v>137</v>
      </c>
      <c r="Q2165" s="13">
        <v>45349</v>
      </c>
      <c r="R2165" s="13">
        <v>45383</v>
      </c>
      <c r="S2165">
        <v>2024</v>
      </c>
      <c r="T2165" s="12" t="s">
        <v>2740</v>
      </c>
      <c r="U2165">
        <v>116</v>
      </c>
      <c r="V2165">
        <v>430.2559</v>
      </c>
      <c r="W2165">
        <v>1028.8</v>
      </c>
      <c r="X2165">
        <v>0</v>
      </c>
      <c r="Y2165">
        <v>0</v>
      </c>
      <c r="Z2165">
        <v>49909.68</v>
      </c>
      <c r="AA2165">
        <v>50938.48</v>
      </c>
      <c r="AB2165" s="12" t="s">
        <v>2910</v>
      </c>
      <c r="AC2165">
        <v>430.2559</v>
      </c>
      <c r="AD2165">
        <v>1</v>
      </c>
      <c r="AE2165">
        <v>1</v>
      </c>
      <c r="AF2165">
        <v>0</v>
      </c>
      <c r="AG2165">
        <v>49909.68</v>
      </c>
      <c r="AH2165">
        <v>116</v>
      </c>
      <c r="AI2165">
        <v>115</v>
      </c>
      <c r="AJ2165">
        <v>1</v>
      </c>
      <c r="AK2165">
        <v>1</v>
      </c>
      <c r="AL2165">
        <v>1</v>
      </c>
      <c r="AM2165">
        <v>99.14</v>
      </c>
      <c r="AN2165">
        <v>442.94330000000002</v>
      </c>
      <c r="AO2165">
        <v>430.26</v>
      </c>
      <c r="AP2165" s="13">
        <v>45383</v>
      </c>
      <c r="AQ2165">
        <v>0</v>
      </c>
      <c r="AR2165">
        <v>1</v>
      </c>
    </row>
    <row r="2166" spans="1:44" x14ac:dyDescent="0.35">
      <c r="A2166" s="12" t="s">
        <v>2911</v>
      </c>
      <c r="B2166" s="12" t="s">
        <v>766</v>
      </c>
      <c r="C2166" s="12" t="s">
        <v>767</v>
      </c>
      <c r="D2166" s="12" t="s">
        <v>175</v>
      </c>
      <c r="E2166" s="12" t="s">
        <v>65</v>
      </c>
      <c r="F2166">
        <v>3</v>
      </c>
      <c r="G2166">
        <v>5</v>
      </c>
      <c r="H2166">
        <v>0</v>
      </c>
      <c r="I2166" s="12" t="s">
        <v>87</v>
      </c>
      <c r="J2166" s="12" t="s">
        <v>88</v>
      </c>
      <c r="K2166" s="12" t="s">
        <v>89</v>
      </c>
      <c r="L2166" s="12" t="s">
        <v>69</v>
      </c>
      <c r="M2166">
        <v>14.93</v>
      </c>
      <c r="N2166" s="12" t="s">
        <v>145</v>
      </c>
      <c r="O2166" s="12" t="s">
        <v>146</v>
      </c>
      <c r="P2166" s="12" t="s">
        <v>109</v>
      </c>
      <c r="Q2166" s="13">
        <v>45349</v>
      </c>
      <c r="R2166" s="13">
        <v>45386</v>
      </c>
      <c r="S2166">
        <v>2024</v>
      </c>
      <c r="T2166" s="12" t="s">
        <v>2740</v>
      </c>
      <c r="U2166">
        <v>140</v>
      </c>
      <c r="V2166">
        <v>86.977900000000005</v>
      </c>
      <c r="W2166">
        <v>124.65</v>
      </c>
      <c r="X2166">
        <v>0</v>
      </c>
      <c r="Y2166">
        <v>0</v>
      </c>
      <c r="Z2166">
        <v>12176.91</v>
      </c>
      <c r="AA2166">
        <v>12301.56</v>
      </c>
      <c r="AB2166" s="12" t="s">
        <v>768</v>
      </c>
      <c r="AC2166">
        <v>86.977900000000005</v>
      </c>
      <c r="AD2166">
        <v>1</v>
      </c>
      <c r="AE2166">
        <v>1</v>
      </c>
      <c r="AF2166">
        <v>0</v>
      </c>
      <c r="AG2166">
        <v>12176.91</v>
      </c>
      <c r="AH2166">
        <v>140</v>
      </c>
      <c r="AI2166">
        <v>139</v>
      </c>
      <c r="AJ2166">
        <v>1</v>
      </c>
      <c r="AK2166">
        <v>1</v>
      </c>
      <c r="AL2166">
        <v>1</v>
      </c>
      <c r="AM2166">
        <v>99.29</v>
      </c>
      <c r="AN2166">
        <v>88.500399999999999</v>
      </c>
      <c r="AO2166">
        <v>86.98</v>
      </c>
      <c r="AP2166" s="13">
        <v>45390</v>
      </c>
      <c r="AQ2166">
        <v>4</v>
      </c>
      <c r="AR2166">
        <v>0</v>
      </c>
    </row>
    <row r="2167" spans="1:44" x14ac:dyDescent="0.35">
      <c r="A2167" s="12" t="s">
        <v>2912</v>
      </c>
      <c r="B2167" s="12" t="s">
        <v>843</v>
      </c>
      <c r="C2167" s="12" t="s">
        <v>844</v>
      </c>
      <c r="D2167" s="12" t="s">
        <v>175</v>
      </c>
      <c r="E2167" s="12" t="s">
        <v>65</v>
      </c>
      <c r="F2167">
        <v>3</v>
      </c>
      <c r="G2167">
        <v>5</v>
      </c>
      <c r="H2167">
        <v>0</v>
      </c>
      <c r="I2167" s="12" t="s">
        <v>359</v>
      </c>
      <c r="J2167" s="12" t="s">
        <v>360</v>
      </c>
      <c r="K2167" s="12" t="s">
        <v>133</v>
      </c>
      <c r="L2167" s="12" t="s">
        <v>82</v>
      </c>
      <c r="M2167">
        <v>12.65</v>
      </c>
      <c r="N2167" s="12" t="s">
        <v>107</v>
      </c>
      <c r="O2167" s="12" t="s">
        <v>108</v>
      </c>
      <c r="P2167" s="12" t="s">
        <v>109</v>
      </c>
      <c r="Q2167" s="13">
        <v>45349</v>
      </c>
      <c r="R2167" s="13">
        <v>45381</v>
      </c>
      <c r="S2167">
        <v>2024</v>
      </c>
      <c r="T2167" s="12" t="s">
        <v>2740</v>
      </c>
      <c r="U2167">
        <v>96</v>
      </c>
      <c r="V2167">
        <v>267.03480000000002</v>
      </c>
      <c r="W2167">
        <v>246.42</v>
      </c>
      <c r="X2167">
        <v>0</v>
      </c>
      <c r="Y2167">
        <v>0</v>
      </c>
      <c r="Z2167">
        <v>25635.34</v>
      </c>
      <c r="AA2167">
        <v>25881.759999999998</v>
      </c>
      <c r="AB2167" s="12" t="s">
        <v>845</v>
      </c>
      <c r="AC2167">
        <v>267.03480000000002</v>
      </c>
      <c r="AD2167">
        <v>1</v>
      </c>
      <c r="AE2167">
        <v>1</v>
      </c>
      <c r="AF2167">
        <v>0</v>
      </c>
      <c r="AG2167">
        <v>25635.34</v>
      </c>
      <c r="AH2167">
        <v>96</v>
      </c>
      <c r="AI2167">
        <v>95</v>
      </c>
      <c r="AJ2167">
        <v>1</v>
      </c>
      <c r="AK2167">
        <v>1</v>
      </c>
      <c r="AL2167">
        <v>1</v>
      </c>
      <c r="AM2167">
        <v>98.96</v>
      </c>
      <c r="AN2167">
        <v>272.43959999999998</v>
      </c>
      <c r="AO2167">
        <v>267.02999999999997</v>
      </c>
      <c r="AP2167" s="13">
        <v>45389</v>
      </c>
      <c r="AQ2167">
        <v>8</v>
      </c>
      <c r="AR2167">
        <v>0</v>
      </c>
    </row>
    <row r="2168" spans="1:44" x14ac:dyDescent="0.35">
      <c r="A2168" s="12" t="s">
        <v>2913</v>
      </c>
      <c r="B2168" s="12" t="s">
        <v>261</v>
      </c>
      <c r="C2168" s="12" t="s">
        <v>262</v>
      </c>
      <c r="D2168" s="12" t="s">
        <v>114</v>
      </c>
      <c r="E2168" s="12" t="s">
        <v>142</v>
      </c>
      <c r="F2168">
        <v>1</v>
      </c>
      <c r="G2168">
        <v>8</v>
      </c>
      <c r="H2168">
        <v>1</v>
      </c>
      <c r="I2168" s="12" t="s">
        <v>263</v>
      </c>
      <c r="J2168" s="12" t="s">
        <v>264</v>
      </c>
      <c r="K2168" s="12" t="s">
        <v>125</v>
      </c>
      <c r="L2168" s="12" t="s">
        <v>82</v>
      </c>
      <c r="M2168">
        <v>10.210000000000001</v>
      </c>
      <c r="N2168" s="12" t="s">
        <v>97</v>
      </c>
      <c r="O2168" s="12" t="s">
        <v>98</v>
      </c>
      <c r="P2168" s="12" t="s">
        <v>72</v>
      </c>
      <c r="Q2168" s="13">
        <v>45349</v>
      </c>
      <c r="R2168" s="13">
        <v>45401</v>
      </c>
      <c r="S2168">
        <v>2024</v>
      </c>
      <c r="T2168" s="12" t="s">
        <v>2740</v>
      </c>
      <c r="U2168">
        <v>146</v>
      </c>
      <c r="V2168">
        <v>137.84569999999999</v>
      </c>
      <c r="W2168">
        <v>371.55</v>
      </c>
      <c r="X2168">
        <v>0</v>
      </c>
      <c r="Y2168">
        <v>0</v>
      </c>
      <c r="Z2168">
        <v>20125.47</v>
      </c>
      <c r="AA2168">
        <v>20497.02</v>
      </c>
      <c r="AB2168" s="12" t="s">
        <v>2655</v>
      </c>
      <c r="AC2168">
        <v>137.84569999999999</v>
      </c>
      <c r="AD2168">
        <v>1</v>
      </c>
      <c r="AE2168">
        <v>1</v>
      </c>
      <c r="AF2168">
        <v>0</v>
      </c>
      <c r="AG2168">
        <v>20125.47</v>
      </c>
      <c r="AH2168">
        <v>146</v>
      </c>
      <c r="AI2168">
        <v>145</v>
      </c>
      <c r="AJ2168">
        <v>1</v>
      </c>
      <c r="AK2168">
        <v>1</v>
      </c>
      <c r="AL2168">
        <v>1</v>
      </c>
      <c r="AM2168">
        <v>99.32</v>
      </c>
      <c r="AN2168">
        <v>141.3588</v>
      </c>
      <c r="AO2168">
        <v>137.85</v>
      </c>
      <c r="AP2168" s="13">
        <v>45400</v>
      </c>
      <c r="AQ2168">
        <v>-1</v>
      </c>
      <c r="AR2168">
        <v>1</v>
      </c>
    </row>
    <row r="2169" spans="1:44" x14ac:dyDescent="0.35">
      <c r="A2169" s="12" t="s">
        <v>2914</v>
      </c>
      <c r="B2169" s="12" t="s">
        <v>85</v>
      </c>
      <c r="C2169" s="12" t="s">
        <v>86</v>
      </c>
      <c r="D2169" s="12" t="s">
        <v>78</v>
      </c>
      <c r="E2169" s="12" t="s">
        <v>65</v>
      </c>
      <c r="F2169">
        <v>3</v>
      </c>
      <c r="G2169">
        <v>5</v>
      </c>
      <c r="H2169">
        <v>0</v>
      </c>
      <c r="I2169" s="12" t="s">
        <v>87</v>
      </c>
      <c r="J2169" s="12" t="s">
        <v>88</v>
      </c>
      <c r="K2169" s="12" t="s">
        <v>89</v>
      </c>
      <c r="L2169" s="12" t="s">
        <v>69</v>
      </c>
      <c r="M2169">
        <v>14.93</v>
      </c>
      <c r="N2169" s="12" t="s">
        <v>97</v>
      </c>
      <c r="O2169" s="12" t="s">
        <v>98</v>
      </c>
      <c r="P2169" s="12" t="s">
        <v>72</v>
      </c>
      <c r="Q2169" s="13">
        <v>45349</v>
      </c>
      <c r="R2169" s="13">
        <v>45374</v>
      </c>
      <c r="S2169">
        <v>2024</v>
      </c>
      <c r="T2169" s="12" t="s">
        <v>2740</v>
      </c>
      <c r="U2169">
        <v>106</v>
      </c>
      <c r="V2169">
        <v>139.59649999999999</v>
      </c>
      <c r="W2169">
        <v>277.77</v>
      </c>
      <c r="X2169">
        <v>0</v>
      </c>
      <c r="Y2169">
        <v>0</v>
      </c>
      <c r="Z2169">
        <v>14797.23</v>
      </c>
      <c r="AA2169">
        <v>15075</v>
      </c>
      <c r="AB2169" s="12" t="s">
        <v>2621</v>
      </c>
      <c r="AC2169">
        <v>139.59649999999999</v>
      </c>
      <c r="AD2169">
        <v>1</v>
      </c>
      <c r="AE2169">
        <v>1</v>
      </c>
      <c r="AF2169">
        <v>0</v>
      </c>
      <c r="AG2169">
        <v>14797.23</v>
      </c>
      <c r="AH2169">
        <v>106</v>
      </c>
      <c r="AI2169">
        <v>105</v>
      </c>
      <c r="AJ2169">
        <v>1</v>
      </c>
      <c r="AK2169">
        <v>1</v>
      </c>
      <c r="AL2169">
        <v>1</v>
      </c>
      <c r="AM2169">
        <v>99.06</v>
      </c>
      <c r="AN2169">
        <v>143.57140000000001</v>
      </c>
      <c r="AO2169">
        <v>139.6</v>
      </c>
      <c r="AP2169" s="13">
        <v>45373</v>
      </c>
      <c r="AQ2169">
        <v>-1</v>
      </c>
      <c r="AR2169">
        <v>1</v>
      </c>
    </row>
    <row r="2170" spans="1:44" x14ac:dyDescent="0.35">
      <c r="A2170" s="12" t="s">
        <v>2915</v>
      </c>
      <c r="B2170" s="12" t="s">
        <v>561</v>
      </c>
      <c r="C2170" s="12" t="s">
        <v>562</v>
      </c>
      <c r="D2170" s="12" t="s">
        <v>130</v>
      </c>
      <c r="E2170" s="12" t="s">
        <v>142</v>
      </c>
      <c r="F2170">
        <v>1</v>
      </c>
      <c r="G2170">
        <v>9</v>
      </c>
      <c r="H2170">
        <v>1</v>
      </c>
      <c r="I2170" s="12" t="s">
        <v>223</v>
      </c>
      <c r="J2170" s="12" t="s">
        <v>224</v>
      </c>
      <c r="K2170" s="12" t="s">
        <v>81</v>
      </c>
      <c r="L2170" s="12" t="s">
        <v>134</v>
      </c>
      <c r="M2170">
        <v>2.4900000000000002</v>
      </c>
      <c r="N2170" s="12" t="s">
        <v>135</v>
      </c>
      <c r="O2170" s="12" t="s">
        <v>136</v>
      </c>
      <c r="P2170" s="12" t="s">
        <v>137</v>
      </c>
      <c r="Q2170" s="13">
        <v>45349</v>
      </c>
      <c r="R2170" s="13">
        <v>45384</v>
      </c>
      <c r="S2170">
        <v>2024</v>
      </c>
      <c r="T2170" s="12" t="s">
        <v>2740</v>
      </c>
      <c r="U2170">
        <v>16</v>
      </c>
      <c r="V2170">
        <v>603.56020000000001</v>
      </c>
      <c r="W2170">
        <v>86.85</v>
      </c>
      <c r="X2170">
        <v>310.5</v>
      </c>
      <c r="Y2170">
        <v>1</v>
      </c>
      <c r="Z2170">
        <v>9656.9599999999991</v>
      </c>
      <c r="AA2170">
        <v>10054.31</v>
      </c>
      <c r="AB2170" s="12" t="s">
        <v>563</v>
      </c>
      <c r="AC2170">
        <v>603.56020000000001</v>
      </c>
      <c r="AD2170">
        <v>1</v>
      </c>
      <c r="AE2170">
        <v>1</v>
      </c>
      <c r="AF2170">
        <v>0</v>
      </c>
      <c r="AG2170">
        <v>9656.9599999999991</v>
      </c>
      <c r="AH2170">
        <v>16</v>
      </c>
      <c r="AI2170">
        <v>16</v>
      </c>
      <c r="AJ2170">
        <v>0</v>
      </c>
      <c r="AK2170">
        <v>1</v>
      </c>
      <c r="AL2170">
        <v>1</v>
      </c>
      <c r="AM2170">
        <v>100</v>
      </c>
      <c r="AN2170">
        <v>628.39459999999997</v>
      </c>
      <c r="AO2170">
        <v>0</v>
      </c>
      <c r="AP2170" s="13">
        <v>45393</v>
      </c>
      <c r="AQ2170">
        <v>9</v>
      </c>
      <c r="AR2170">
        <v>0</v>
      </c>
    </row>
    <row r="2171" spans="1:44" x14ac:dyDescent="0.35">
      <c r="A2171" s="12" t="s">
        <v>2916</v>
      </c>
      <c r="B2171" s="12" t="s">
        <v>674</v>
      </c>
      <c r="C2171" s="12" t="s">
        <v>675</v>
      </c>
      <c r="D2171" s="12" t="s">
        <v>269</v>
      </c>
      <c r="E2171" s="12" t="s">
        <v>142</v>
      </c>
      <c r="F2171">
        <v>1</v>
      </c>
      <c r="G2171">
        <v>7</v>
      </c>
      <c r="H2171">
        <v>1</v>
      </c>
      <c r="I2171" s="12" t="s">
        <v>676</v>
      </c>
      <c r="J2171" s="12" t="s">
        <v>677</v>
      </c>
      <c r="K2171" s="12" t="s">
        <v>68</v>
      </c>
      <c r="L2171" s="12" t="s">
        <v>96</v>
      </c>
      <c r="M2171">
        <v>3.57</v>
      </c>
      <c r="N2171" s="12" t="s">
        <v>159</v>
      </c>
      <c r="O2171" s="12" t="s">
        <v>160</v>
      </c>
      <c r="P2171" s="12" t="s">
        <v>137</v>
      </c>
      <c r="Q2171" s="13">
        <v>45350</v>
      </c>
      <c r="R2171" s="13">
        <v>45390</v>
      </c>
      <c r="S2171">
        <v>2024</v>
      </c>
      <c r="T2171" s="12" t="s">
        <v>2740</v>
      </c>
      <c r="U2171">
        <v>55</v>
      </c>
      <c r="V2171">
        <v>355.32960000000003</v>
      </c>
      <c r="W2171">
        <v>301.72000000000003</v>
      </c>
      <c r="X2171">
        <v>0</v>
      </c>
      <c r="Y2171">
        <v>0</v>
      </c>
      <c r="Z2171">
        <v>19543.13</v>
      </c>
      <c r="AA2171">
        <v>19844.849999999999</v>
      </c>
      <c r="AB2171" s="12" t="s">
        <v>678</v>
      </c>
      <c r="AC2171">
        <v>355.32960000000003</v>
      </c>
      <c r="AD2171">
        <v>1</v>
      </c>
      <c r="AE2171">
        <v>1</v>
      </c>
      <c r="AF2171">
        <v>0</v>
      </c>
      <c r="AG2171">
        <v>19543.13</v>
      </c>
      <c r="AH2171">
        <v>55</v>
      </c>
      <c r="AI2171">
        <v>55</v>
      </c>
      <c r="AJ2171">
        <v>0</v>
      </c>
      <c r="AK2171">
        <v>1</v>
      </c>
      <c r="AL2171">
        <v>1</v>
      </c>
      <c r="AM2171">
        <v>100</v>
      </c>
      <c r="AN2171">
        <v>360.81540000000001</v>
      </c>
      <c r="AO2171">
        <v>0</v>
      </c>
      <c r="AP2171" s="13">
        <v>45389</v>
      </c>
      <c r="AQ2171">
        <v>-1</v>
      </c>
      <c r="AR2171">
        <v>1</v>
      </c>
    </row>
    <row r="2172" spans="1:44" x14ac:dyDescent="0.35">
      <c r="A2172" s="12" t="s">
        <v>2917</v>
      </c>
      <c r="B2172" s="12" t="s">
        <v>544</v>
      </c>
      <c r="C2172" s="12" t="s">
        <v>545</v>
      </c>
      <c r="D2172" s="12" t="s">
        <v>175</v>
      </c>
      <c r="E2172" s="12" t="s">
        <v>65</v>
      </c>
      <c r="F2172">
        <v>3</v>
      </c>
      <c r="G2172">
        <v>5</v>
      </c>
      <c r="H2172">
        <v>0</v>
      </c>
      <c r="I2172" s="12" t="s">
        <v>359</v>
      </c>
      <c r="J2172" s="12" t="s">
        <v>360</v>
      </c>
      <c r="K2172" s="12" t="s">
        <v>133</v>
      </c>
      <c r="L2172" s="12" t="s">
        <v>82</v>
      </c>
      <c r="M2172">
        <v>12.65</v>
      </c>
      <c r="N2172" s="12" t="s">
        <v>145</v>
      </c>
      <c r="O2172" s="12" t="s">
        <v>146</v>
      </c>
      <c r="P2172" s="12" t="s">
        <v>109</v>
      </c>
      <c r="Q2172" s="13">
        <v>45350</v>
      </c>
      <c r="R2172" s="13">
        <v>45387</v>
      </c>
      <c r="S2172">
        <v>2024</v>
      </c>
      <c r="T2172" s="12" t="s">
        <v>2740</v>
      </c>
      <c r="U2172">
        <v>135</v>
      </c>
      <c r="V2172">
        <v>155.36940000000001</v>
      </c>
      <c r="W2172">
        <v>477.04</v>
      </c>
      <c r="X2172">
        <v>0</v>
      </c>
      <c r="Y2172">
        <v>0</v>
      </c>
      <c r="Z2172">
        <v>20974.87</v>
      </c>
      <c r="AA2172">
        <v>21451.91</v>
      </c>
      <c r="AB2172" s="12" t="s">
        <v>985</v>
      </c>
      <c r="AC2172">
        <v>155.36940000000001</v>
      </c>
      <c r="AD2172">
        <v>1</v>
      </c>
      <c r="AE2172">
        <v>1</v>
      </c>
      <c r="AF2172">
        <v>0</v>
      </c>
      <c r="AG2172">
        <v>20974.87</v>
      </c>
      <c r="AH2172">
        <v>135</v>
      </c>
      <c r="AI2172">
        <v>134</v>
      </c>
      <c r="AJ2172">
        <v>1</v>
      </c>
      <c r="AK2172">
        <v>1</v>
      </c>
      <c r="AL2172">
        <v>1</v>
      </c>
      <c r="AM2172">
        <v>99.26</v>
      </c>
      <c r="AN2172">
        <v>160.0889</v>
      </c>
      <c r="AO2172">
        <v>155.37</v>
      </c>
      <c r="AP2172" s="13">
        <v>45396</v>
      </c>
      <c r="AQ2172">
        <v>9</v>
      </c>
      <c r="AR2172">
        <v>0</v>
      </c>
    </row>
    <row r="2173" spans="1:44" x14ac:dyDescent="0.35">
      <c r="A2173" s="12" t="s">
        <v>2918</v>
      </c>
      <c r="B2173" s="12" t="s">
        <v>843</v>
      </c>
      <c r="C2173" s="12" t="s">
        <v>844</v>
      </c>
      <c r="D2173" s="12" t="s">
        <v>175</v>
      </c>
      <c r="E2173" s="12" t="s">
        <v>65</v>
      </c>
      <c r="F2173">
        <v>3</v>
      </c>
      <c r="G2173">
        <v>5</v>
      </c>
      <c r="H2173">
        <v>0</v>
      </c>
      <c r="I2173" s="12" t="s">
        <v>359</v>
      </c>
      <c r="J2173" s="12" t="s">
        <v>360</v>
      </c>
      <c r="K2173" s="12" t="s">
        <v>133</v>
      </c>
      <c r="L2173" s="12" t="s">
        <v>82</v>
      </c>
      <c r="M2173">
        <v>12.65</v>
      </c>
      <c r="N2173" s="12" t="s">
        <v>107</v>
      </c>
      <c r="O2173" s="12" t="s">
        <v>108</v>
      </c>
      <c r="P2173" s="12" t="s">
        <v>109</v>
      </c>
      <c r="Q2173" s="13">
        <v>45350</v>
      </c>
      <c r="R2173" s="13">
        <v>45384</v>
      </c>
      <c r="S2173">
        <v>2024</v>
      </c>
      <c r="T2173" s="12" t="s">
        <v>2740</v>
      </c>
      <c r="U2173">
        <v>112</v>
      </c>
      <c r="V2173">
        <v>280.0376</v>
      </c>
      <c r="W2173">
        <v>467.18</v>
      </c>
      <c r="X2173">
        <v>0</v>
      </c>
      <c r="Y2173">
        <v>0</v>
      </c>
      <c r="Z2173">
        <v>31364.21</v>
      </c>
      <c r="AA2173">
        <v>31831.39</v>
      </c>
      <c r="AB2173" s="12" t="s">
        <v>845</v>
      </c>
      <c r="AC2173">
        <v>267.03480000000002</v>
      </c>
      <c r="AD2173">
        <v>1</v>
      </c>
      <c r="AE2173">
        <v>1</v>
      </c>
      <c r="AF2173">
        <v>1456.31</v>
      </c>
      <c r="AG2173">
        <v>29907.9</v>
      </c>
      <c r="AH2173">
        <v>112</v>
      </c>
      <c r="AI2173">
        <v>111</v>
      </c>
      <c r="AJ2173">
        <v>1</v>
      </c>
      <c r="AK2173">
        <v>1</v>
      </c>
      <c r="AL2173">
        <v>1</v>
      </c>
      <c r="AM2173">
        <v>99.11</v>
      </c>
      <c r="AN2173">
        <v>286.76929999999999</v>
      </c>
      <c r="AO2173">
        <v>280.04000000000002</v>
      </c>
      <c r="AP2173" s="13">
        <v>45383</v>
      </c>
      <c r="AQ2173">
        <v>-1</v>
      </c>
      <c r="AR2173">
        <v>1</v>
      </c>
    </row>
    <row r="2174" spans="1:44" x14ac:dyDescent="0.35">
      <c r="A2174" s="12" t="s">
        <v>2919</v>
      </c>
      <c r="B2174" s="12" t="s">
        <v>613</v>
      </c>
      <c r="C2174" s="12" t="s">
        <v>614</v>
      </c>
      <c r="D2174" s="12" t="s">
        <v>130</v>
      </c>
      <c r="E2174" s="12" t="s">
        <v>104</v>
      </c>
      <c r="F2174">
        <v>3</v>
      </c>
      <c r="G2174">
        <v>1</v>
      </c>
      <c r="H2174">
        <v>0</v>
      </c>
      <c r="I2174" s="12" t="s">
        <v>66</v>
      </c>
      <c r="J2174" s="12" t="s">
        <v>67</v>
      </c>
      <c r="K2174" s="12" t="s">
        <v>68</v>
      </c>
      <c r="L2174" s="12" t="s">
        <v>69</v>
      </c>
      <c r="M2174">
        <v>17.66</v>
      </c>
      <c r="N2174" s="12" t="s">
        <v>159</v>
      </c>
      <c r="O2174" s="12" t="s">
        <v>160</v>
      </c>
      <c r="P2174" s="12" t="s">
        <v>137</v>
      </c>
      <c r="Q2174" s="13">
        <v>45350</v>
      </c>
      <c r="R2174" s="13">
        <v>45371</v>
      </c>
      <c r="S2174">
        <v>2024</v>
      </c>
      <c r="T2174" s="12" t="s">
        <v>2740</v>
      </c>
      <c r="U2174">
        <v>84</v>
      </c>
      <c r="V2174">
        <v>195.35140000000001</v>
      </c>
      <c r="W2174">
        <v>408.16</v>
      </c>
      <c r="X2174">
        <v>0</v>
      </c>
      <c r="Y2174">
        <v>0</v>
      </c>
      <c r="Z2174">
        <v>16409.52</v>
      </c>
      <c r="AA2174">
        <v>16817.68</v>
      </c>
      <c r="AB2174" s="12" t="s">
        <v>615</v>
      </c>
      <c r="AC2174">
        <v>195.35140000000001</v>
      </c>
      <c r="AD2174">
        <v>1</v>
      </c>
      <c r="AE2174">
        <v>1</v>
      </c>
      <c r="AF2174">
        <v>0</v>
      </c>
      <c r="AG2174">
        <v>16409.52</v>
      </c>
      <c r="AH2174">
        <v>84</v>
      </c>
      <c r="AI2174">
        <v>84</v>
      </c>
      <c r="AJ2174">
        <v>0</v>
      </c>
      <c r="AK2174">
        <v>1</v>
      </c>
      <c r="AL2174">
        <v>1</v>
      </c>
      <c r="AM2174">
        <v>100</v>
      </c>
      <c r="AN2174">
        <v>200.21039999999999</v>
      </c>
      <c r="AO2174">
        <v>0</v>
      </c>
      <c r="AP2174" s="13">
        <v>45371</v>
      </c>
      <c r="AQ2174">
        <v>0</v>
      </c>
      <c r="AR2174">
        <v>1</v>
      </c>
    </row>
    <row r="2175" spans="1:44" x14ac:dyDescent="0.35">
      <c r="A2175" s="12" t="s">
        <v>2920</v>
      </c>
      <c r="B2175" s="12" t="s">
        <v>284</v>
      </c>
      <c r="C2175" s="12" t="s">
        <v>285</v>
      </c>
      <c r="D2175" s="12" t="s">
        <v>269</v>
      </c>
      <c r="E2175" s="12" t="s">
        <v>104</v>
      </c>
      <c r="F2175">
        <v>3</v>
      </c>
      <c r="G2175">
        <v>1</v>
      </c>
      <c r="H2175">
        <v>0</v>
      </c>
      <c r="I2175" s="12" t="s">
        <v>199</v>
      </c>
      <c r="J2175" s="12" t="s">
        <v>200</v>
      </c>
      <c r="K2175" s="12" t="s">
        <v>68</v>
      </c>
      <c r="L2175" s="12" t="s">
        <v>96</v>
      </c>
      <c r="M2175">
        <v>9.4700000000000006</v>
      </c>
      <c r="N2175" s="12" t="s">
        <v>159</v>
      </c>
      <c r="O2175" s="12" t="s">
        <v>160</v>
      </c>
      <c r="P2175" s="12" t="s">
        <v>137</v>
      </c>
      <c r="Q2175" s="13">
        <v>45350</v>
      </c>
      <c r="R2175" s="13">
        <v>45368</v>
      </c>
      <c r="S2175">
        <v>2024</v>
      </c>
      <c r="T2175" s="12" t="s">
        <v>2740</v>
      </c>
      <c r="U2175">
        <v>62</v>
      </c>
      <c r="V2175">
        <v>430.72329999999999</v>
      </c>
      <c r="W2175">
        <v>314.05</v>
      </c>
      <c r="X2175">
        <v>0</v>
      </c>
      <c r="Y2175">
        <v>0</v>
      </c>
      <c r="Z2175">
        <v>26704.84</v>
      </c>
      <c r="AA2175">
        <v>27018.89</v>
      </c>
      <c r="AB2175" s="12" t="s">
        <v>201</v>
      </c>
      <c r="AD2175">
        <v>0</v>
      </c>
      <c r="AE2175">
        <v>0</v>
      </c>
      <c r="AH2175">
        <v>62</v>
      </c>
      <c r="AI2175">
        <v>62</v>
      </c>
      <c r="AJ2175">
        <v>0</v>
      </c>
      <c r="AK2175">
        <v>1</v>
      </c>
      <c r="AL2175">
        <v>1</v>
      </c>
      <c r="AM2175">
        <v>100</v>
      </c>
      <c r="AN2175">
        <v>435.78859999999997</v>
      </c>
      <c r="AO2175">
        <v>0</v>
      </c>
      <c r="AP2175" s="13">
        <v>45366</v>
      </c>
      <c r="AQ2175">
        <v>-2</v>
      </c>
      <c r="AR2175">
        <v>1</v>
      </c>
    </row>
    <row r="2176" spans="1:44" x14ac:dyDescent="0.35">
      <c r="A2176" s="12" t="s">
        <v>2921</v>
      </c>
      <c r="B2176" s="12" t="s">
        <v>555</v>
      </c>
      <c r="C2176" s="12" t="s">
        <v>556</v>
      </c>
      <c r="D2176" s="12" t="s">
        <v>114</v>
      </c>
      <c r="E2176" s="12" t="s">
        <v>142</v>
      </c>
      <c r="F2176">
        <v>1</v>
      </c>
      <c r="G2176">
        <v>6</v>
      </c>
      <c r="H2176">
        <v>1</v>
      </c>
      <c r="I2176" s="12" t="s">
        <v>151</v>
      </c>
      <c r="J2176" s="12" t="s">
        <v>152</v>
      </c>
      <c r="K2176" s="12" t="s">
        <v>125</v>
      </c>
      <c r="L2176" s="12" t="s">
        <v>69</v>
      </c>
      <c r="M2176">
        <v>36.479999999999997</v>
      </c>
      <c r="N2176" s="12" t="s">
        <v>70</v>
      </c>
      <c r="O2176" s="12" t="s">
        <v>71</v>
      </c>
      <c r="P2176" s="12" t="s">
        <v>72</v>
      </c>
      <c r="Q2176" s="13">
        <v>45350</v>
      </c>
      <c r="R2176" s="13">
        <v>45387</v>
      </c>
      <c r="S2176">
        <v>2024</v>
      </c>
      <c r="T2176" s="12" t="s">
        <v>2740</v>
      </c>
      <c r="U2176">
        <v>28</v>
      </c>
      <c r="V2176">
        <v>286.5086</v>
      </c>
      <c r="W2176">
        <v>88.3</v>
      </c>
      <c r="X2176">
        <v>0</v>
      </c>
      <c r="Y2176">
        <v>0</v>
      </c>
      <c r="Z2176">
        <v>8022.24</v>
      </c>
      <c r="AA2176">
        <v>8110.54</v>
      </c>
      <c r="AB2176" s="12" t="s">
        <v>2922</v>
      </c>
      <c r="AC2176">
        <v>278.31920000000002</v>
      </c>
      <c r="AD2176">
        <v>1</v>
      </c>
      <c r="AE2176">
        <v>1</v>
      </c>
      <c r="AF2176">
        <v>229.3</v>
      </c>
      <c r="AG2176">
        <v>7792.94</v>
      </c>
      <c r="AH2176">
        <v>28</v>
      </c>
      <c r="AI2176">
        <v>28</v>
      </c>
      <c r="AJ2176">
        <v>0</v>
      </c>
      <c r="AK2176">
        <v>1</v>
      </c>
      <c r="AL2176">
        <v>1</v>
      </c>
      <c r="AM2176">
        <v>100</v>
      </c>
      <c r="AN2176">
        <v>289.66219999999998</v>
      </c>
      <c r="AO2176">
        <v>0</v>
      </c>
      <c r="AP2176" s="13">
        <v>45388</v>
      </c>
      <c r="AQ2176">
        <v>1</v>
      </c>
      <c r="AR2176">
        <v>0</v>
      </c>
    </row>
    <row r="2177" spans="1:44" x14ac:dyDescent="0.35">
      <c r="A2177" s="12" t="s">
        <v>2923</v>
      </c>
      <c r="B2177" s="12" t="s">
        <v>331</v>
      </c>
      <c r="C2177" s="12" t="s">
        <v>332</v>
      </c>
      <c r="D2177" s="12" t="s">
        <v>122</v>
      </c>
      <c r="E2177" s="12" t="s">
        <v>142</v>
      </c>
      <c r="F2177">
        <v>3</v>
      </c>
      <c r="G2177">
        <v>11</v>
      </c>
      <c r="H2177">
        <v>0</v>
      </c>
      <c r="I2177" s="12" t="s">
        <v>263</v>
      </c>
      <c r="J2177" s="12" t="s">
        <v>264</v>
      </c>
      <c r="K2177" s="12" t="s">
        <v>125</v>
      </c>
      <c r="L2177" s="12" t="s">
        <v>82</v>
      </c>
      <c r="M2177">
        <v>10.210000000000001</v>
      </c>
      <c r="N2177" s="12" t="s">
        <v>70</v>
      </c>
      <c r="O2177" s="12" t="s">
        <v>71</v>
      </c>
      <c r="P2177" s="12" t="s">
        <v>72</v>
      </c>
      <c r="Q2177" s="13">
        <v>45350</v>
      </c>
      <c r="R2177" s="13">
        <v>45392</v>
      </c>
      <c r="S2177">
        <v>2024</v>
      </c>
      <c r="T2177" s="12" t="s">
        <v>2740</v>
      </c>
      <c r="U2177">
        <v>904</v>
      </c>
      <c r="V2177">
        <v>24.008700000000001</v>
      </c>
      <c r="W2177">
        <v>298.69</v>
      </c>
      <c r="X2177">
        <v>0</v>
      </c>
      <c r="Y2177">
        <v>0</v>
      </c>
      <c r="Z2177">
        <v>21703.86</v>
      </c>
      <c r="AA2177">
        <v>22002.55</v>
      </c>
      <c r="AB2177" s="12" t="s">
        <v>2732</v>
      </c>
      <c r="AC2177">
        <v>24.008700000000001</v>
      </c>
      <c r="AD2177">
        <v>1</v>
      </c>
      <c r="AE2177">
        <v>1</v>
      </c>
      <c r="AF2177">
        <v>0</v>
      </c>
      <c r="AG2177">
        <v>21703.86</v>
      </c>
      <c r="AH2177">
        <v>904</v>
      </c>
      <c r="AI2177">
        <v>899</v>
      </c>
      <c r="AJ2177">
        <v>5</v>
      </c>
      <c r="AK2177">
        <v>1</v>
      </c>
      <c r="AL2177">
        <v>1</v>
      </c>
      <c r="AM2177">
        <v>99.45</v>
      </c>
      <c r="AN2177">
        <v>24.474499999999999</v>
      </c>
      <c r="AO2177">
        <v>120.04</v>
      </c>
      <c r="AP2177" s="13">
        <v>45391</v>
      </c>
      <c r="AQ2177">
        <v>-1</v>
      </c>
      <c r="AR2177">
        <v>1</v>
      </c>
    </row>
    <row r="2178" spans="1:44" x14ac:dyDescent="0.35">
      <c r="A2178" s="12" t="s">
        <v>2924</v>
      </c>
      <c r="B2178" s="12" t="s">
        <v>420</v>
      </c>
      <c r="C2178" s="12" t="s">
        <v>421</v>
      </c>
      <c r="D2178" s="12" t="s">
        <v>269</v>
      </c>
      <c r="E2178" s="12" t="s">
        <v>104</v>
      </c>
      <c r="F2178">
        <v>2</v>
      </c>
      <c r="G2178">
        <v>0</v>
      </c>
      <c r="H2178">
        <v>0</v>
      </c>
      <c r="I2178" s="12" t="s">
        <v>380</v>
      </c>
      <c r="J2178" s="12" t="s">
        <v>381</v>
      </c>
      <c r="K2178" s="12" t="s">
        <v>89</v>
      </c>
      <c r="L2178" s="12" t="s">
        <v>96</v>
      </c>
      <c r="M2178">
        <v>10.210000000000001</v>
      </c>
      <c r="N2178" s="12" t="s">
        <v>135</v>
      </c>
      <c r="O2178" s="12" t="s">
        <v>136</v>
      </c>
      <c r="P2178" s="12" t="s">
        <v>137</v>
      </c>
      <c r="Q2178" s="13">
        <v>45350</v>
      </c>
      <c r="R2178" s="13">
        <v>45377</v>
      </c>
      <c r="S2178">
        <v>2024</v>
      </c>
      <c r="T2178" s="12" t="s">
        <v>2740</v>
      </c>
      <c r="U2178">
        <v>132</v>
      </c>
      <c r="V2178">
        <v>142.20349999999999</v>
      </c>
      <c r="W2178">
        <v>266.24</v>
      </c>
      <c r="X2178">
        <v>0</v>
      </c>
      <c r="Y2178">
        <v>0</v>
      </c>
      <c r="Z2178">
        <v>18770.86</v>
      </c>
      <c r="AA2178">
        <v>19037.099999999999</v>
      </c>
      <c r="AB2178" s="12" t="s">
        <v>2925</v>
      </c>
      <c r="AC2178">
        <v>142.20349999999999</v>
      </c>
      <c r="AD2178">
        <v>1</v>
      </c>
      <c r="AE2178">
        <v>1</v>
      </c>
      <c r="AF2178">
        <v>0</v>
      </c>
      <c r="AG2178">
        <v>18770.86</v>
      </c>
      <c r="AH2178">
        <v>132</v>
      </c>
      <c r="AI2178">
        <v>131</v>
      </c>
      <c r="AJ2178">
        <v>1</v>
      </c>
      <c r="AK2178">
        <v>1</v>
      </c>
      <c r="AL2178">
        <v>1</v>
      </c>
      <c r="AM2178">
        <v>99.24</v>
      </c>
      <c r="AN2178">
        <v>145.32140000000001</v>
      </c>
      <c r="AO2178">
        <v>142.19999999999999</v>
      </c>
      <c r="AP2178" s="13">
        <v>45383</v>
      </c>
      <c r="AQ2178">
        <v>6</v>
      </c>
      <c r="AR2178">
        <v>0</v>
      </c>
    </row>
    <row r="2179" spans="1:44" x14ac:dyDescent="0.35">
      <c r="A2179" s="12" t="s">
        <v>2926</v>
      </c>
      <c r="B2179" s="12" t="s">
        <v>823</v>
      </c>
      <c r="C2179" s="12" t="s">
        <v>824</v>
      </c>
      <c r="D2179" s="12" t="s">
        <v>114</v>
      </c>
      <c r="E2179" s="12" t="s">
        <v>142</v>
      </c>
      <c r="F2179">
        <v>1</v>
      </c>
      <c r="G2179">
        <v>8</v>
      </c>
      <c r="H2179">
        <v>1</v>
      </c>
      <c r="I2179" s="12" t="s">
        <v>515</v>
      </c>
      <c r="J2179" s="12" t="s">
        <v>516</v>
      </c>
      <c r="K2179" s="12" t="s">
        <v>68</v>
      </c>
      <c r="L2179" s="12" t="s">
        <v>134</v>
      </c>
      <c r="M2179">
        <v>3.69</v>
      </c>
      <c r="N2179" s="12" t="s">
        <v>97</v>
      </c>
      <c r="O2179" s="12" t="s">
        <v>98</v>
      </c>
      <c r="P2179" s="12" t="s">
        <v>72</v>
      </c>
      <c r="Q2179" s="13">
        <v>45350</v>
      </c>
      <c r="R2179" s="13">
        <v>45386</v>
      </c>
      <c r="S2179">
        <v>2024</v>
      </c>
      <c r="T2179" s="12" t="s">
        <v>2740</v>
      </c>
      <c r="U2179">
        <v>20</v>
      </c>
      <c r="V2179">
        <v>361.73399999999998</v>
      </c>
      <c r="W2179">
        <v>97.98</v>
      </c>
      <c r="X2179">
        <v>0</v>
      </c>
      <c r="Y2179">
        <v>0</v>
      </c>
      <c r="Z2179">
        <v>7234.68</v>
      </c>
      <c r="AA2179">
        <v>7332.66</v>
      </c>
      <c r="AB2179" s="12" t="s">
        <v>825</v>
      </c>
      <c r="AC2179">
        <v>361.73399999999998</v>
      </c>
      <c r="AD2179">
        <v>1</v>
      </c>
      <c r="AE2179">
        <v>1</v>
      </c>
      <c r="AF2179">
        <v>0</v>
      </c>
      <c r="AG2179">
        <v>7234.68</v>
      </c>
      <c r="AH2179">
        <v>20</v>
      </c>
      <c r="AI2179">
        <v>20</v>
      </c>
      <c r="AJ2179">
        <v>0</v>
      </c>
      <c r="AK2179">
        <v>1</v>
      </c>
      <c r="AL2179">
        <v>1</v>
      </c>
      <c r="AM2179">
        <v>100</v>
      </c>
      <c r="AN2179">
        <v>366.63299999999998</v>
      </c>
      <c r="AO2179">
        <v>0</v>
      </c>
      <c r="AP2179" s="13">
        <v>45396</v>
      </c>
      <c r="AQ2179">
        <v>10</v>
      </c>
      <c r="AR2179">
        <v>0</v>
      </c>
    </row>
    <row r="2180" spans="1:44" x14ac:dyDescent="0.35">
      <c r="A2180" s="12" t="s">
        <v>2927</v>
      </c>
      <c r="B2180" s="12" t="s">
        <v>140</v>
      </c>
      <c r="C2180" s="12" t="s">
        <v>141</v>
      </c>
      <c r="D2180" s="12" t="s">
        <v>103</v>
      </c>
      <c r="E2180" s="12" t="s">
        <v>142</v>
      </c>
      <c r="F2180">
        <v>1</v>
      </c>
      <c r="G2180">
        <v>7</v>
      </c>
      <c r="H2180">
        <v>1</v>
      </c>
      <c r="I2180" s="12" t="s">
        <v>143</v>
      </c>
      <c r="J2180" s="12" t="s">
        <v>144</v>
      </c>
      <c r="K2180" s="12" t="s">
        <v>133</v>
      </c>
      <c r="L2180" s="12" t="s">
        <v>96</v>
      </c>
      <c r="M2180">
        <v>5.43</v>
      </c>
      <c r="N2180" s="12" t="s">
        <v>107</v>
      </c>
      <c r="O2180" s="12" t="s">
        <v>108</v>
      </c>
      <c r="P2180" s="12" t="s">
        <v>109</v>
      </c>
      <c r="Q2180" s="13">
        <v>45350</v>
      </c>
      <c r="R2180" s="13">
        <v>45389</v>
      </c>
      <c r="S2180">
        <v>2024</v>
      </c>
      <c r="T2180" s="12" t="s">
        <v>2740</v>
      </c>
      <c r="U2180">
        <v>43</v>
      </c>
      <c r="V2180">
        <v>211.35810000000001</v>
      </c>
      <c r="W2180">
        <v>96.44</v>
      </c>
      <c r="X2180">
        <v>0</v>
      </c>
      <c r="Y2180">
        <v>0</v>
      </c>
      <c r="Z2180">
        <v>9088.4</v>
      </c>
      <c r="AA2180">
        <v>9184.84</v>
      </c>
      <c r="AB2180" s="12" t="s">
        <v>2815</v>
      </c>
      <c r="AC2180">
        <v>211.35810000000001</v>
      </c>
      <c r="AD2180">
        <v>1</v>
      </c>
      <c r="AE2180">
        <v>1</v>
      </c>
      <c r="AF2180">
        <v>0</v>
      </c>
      <c r="AG2180">
        <v>9088.4</v>
      </c>
      <c r="AH2180">
        <v>43</v>
      </c>
      <c r="AI2180">
        <v>43</v>
      </c>
      <c r="AJ2180">
        <v>0</v>
      </c>
      <c r="AK2180">
        <v>1</v>
      </c>
      <c r="AL2180">
        <v>1</v>
      </c>
      <c r="AM2180">
        <v>100</v>
      </c>
      <c r="AN2180">
        <v>213.6009</v>
      </c>
      <c r="AO2180">
        <v>0</v>
      </c>
      <c r="AP2180" s="13">
        <v>45388</v>
      </c>
      <c r="AQ2180">
        <v>-1</v>
      </c>
      <c r="AR2180">
        <v>1</v>
      </c>
    </row>
    <row r="2181" spans="1:44" x14ac:dyDescent="0.35">
      <c r="A2181" s="12" t="s">
        <v>2928</v>
      </c>
      <c r="B2181" s="12" t="s">
        <v>941</v>
      </c>
      <c r="C2181" s="12" t="s">
        <v>942</v>
      </c>
      <c r="D2181" s="12" t="s">
        <v>130</v>
      </c>
      <c r="E2181" s="12" t="s">
        <v>104</v>
      </c>
      <c r="F2181">
        <v>2</v>
      </c>
      <c r="G2181">
        <v>0</v>
      </c>
      <c r="H2181">
        <v>0</v>
      </c>
      <c r="I2181" s="12" t="s">
        <v>131</v>
      </c>
      <c r="J2181" s="12" t="s">
        <v>132</v>
      </c>
      <c r="K2181" s="12" t="s">
        <v>133</v>
      </c>
      <c r="L2181" s="12" t="s">
        <v>134</v>
      </c>
      <c r="M2181">
        <v>1.51</v>
      </c>
      <c r="N2181" s="12" t="s">
        <v>159</v>
      </c>
      <c r="O2181" s="12" t="s">
        <v>160</v>
      </c>
      <c r="P2181" s="12" t="s">
        <v>137</v>
      </c>
      <c r="Q2181" s="13">
        <v>45350</v>
      </c>
      <c r="R2181" s="13">
        <v>45365</v>
      </c>
      <c r="S2181">
        <v>2024</v>
      </c>
      <c r="T2181" s="12" t="s">
        <v>2740</v>
      </c>
      <c r="U2181">
        <v>35</v>
      </c>
      <c r="V2181">
        <v>990.29020000000003</v>
      </c>
      <c r="W2181">
        <v>560.32000000000005</v>
      </c>
      <c r="X2181">
        <v>0</v>
      </c>
      <c r="Y2181">
        <v>0</v>
      </c>
      <c r="Z2181">
        <v>34660.160000000003</v>
      </c>
      <c r="AA2181">
        <v>35220.480000000003</v>
      </c>
      <c r="AB2181" s="12" t="s">
        <v>943</v>
      </c>
      <c r="AC2181">
        <v>990.29020000000003</v>
      </c>
      <c r="AD2181">
        <v>1</v>
      </c>
      <c r="AE2181">
        <v>1</v>
      </c>
      <c r="AF2181">
        <v>0</v>
      </c>
      <c r="AG2181">
        <v>34660.160000000003</v>
      </c>
      <c r="AH2181">
        <v>35</v>
      </c>
      <c r="AI2181">
        <v>33</v>
      </c>
      <c r="AJ2181">
        <v>2</v>
      </c>
      <c r="AK2181">
        <v>1</v>
      </c>
      <c r="AL2181">
        <v>1</v>
      </c>
      <c r="AM2181">
        <v>94.29</v>
      </c>
      <c r="AN2181">
        <v>1067.2872</v>
      </c>
      <c r="AO2181">
        <v>1980.58</v>
      </c>
      <c r="AP2181" s="13">
        <v>45361</v>
      </c>
      <c r="AQ2181">
        <v>-4</v>
      </c>
      <c r="AR2181">
        <v>1</v>
      </c>
    </row>
    <row r="2182" spans="1:44" x14ac:dyDescent="0.35">
      <c r="A2182" s="12" t="s">
        <v>2929</v>
      </c>
      <c r="B2182" s="12" t="s">
        <v>433</v>
      </c>
      <c r="C2182" s="12" t="s">
        <v>434</v>
      </c>
      <c r="D2182" s="12" t="s">
        <v>78</v>
      </c>
      <c r="E2182" s="12" t="s">
        <v>65</v>
      </c>
      <c r="F2182">
        <v>2</v>
      </c>
      <c r="G2182">
        <v>4</v>
      </c>
      <c r="H2182">
        <v>0</v>
      </c>
      <c r="I2182" s="12" t="s">
        <v>105</v>
      </c>
      <c r="J2182" s="12" t="s">
        <v>106</v>
      </c>
      <c r="K2182" s="12" t="s">
        <v>81</v>
      </c>
      <c r="L2182" s="12" t="s">
        <v>96</v>
      </c>
      <c r="M2182">
        <v>5.01</v>
      </c>
      <c r="N2182" s="12" t="s">
        <v>70</v>
      </c>
      <c r="O2182" s="12" t="s">
        <v>71</v>
      </c>
      <c r="P2182" s="12" t="s">
        <v>72</v>
      </c>
      <c r="Q2182" s="13">
        <v>45350</v>
      </c>
      <c r="R2182" s="13">
        <v>45387</v>
      </c>
      <c r="S2182">
        <v>2024</v>
      </c>
      <c r="T2182" s="12" t="s">
        <v>2740</v>
      </c>
      <c r="U2182">
        <v>278</v>
      </c>
      <c r="V2182">
        <v>72.364500000000007</v>
      </c>
      <c r="W2182">
        <v>120.82</v>
      </c>
      <c r="X2182">
        <v>0</v>
      </c>
      <c r="Y2182">
        <v>0</v>
      </c>
      <c r="Z2182">
        <v>20117.330000000002</v>
      </c>
      <c r="AA2182">
        <v>20238.150000000001</v>
      </c>
      <c r="AB2182" s="12" t="s">
        <v>2930</v>
      </c>
      <c r="AC2182">
        <v>72.364500000000007</v>
      </c>
      <c r="AD2182">
        <v>1</v>
      </c>
      <c r="AE2182">
        <v>1</v>
      </c>
      <c r="AF2182">
        <v>0</v>
      </c>
      <c r="AG2182">
        <v>20117.330000000002</v>
      </c>
      <c r="AH2182">
        <v>278</v>
      </c>
      <c r="AI2182">
        <v>276</v>
      </c>
      <c r="AJ2182">
        <v>2</v>
      </c>
      <c r="AK2182">
        <v>1</v>
      </c>
      <c r="AL2182">
        <v>1</v>
      </c>
      <c r="AM2182">
        <v>99.28</v>
      </c>
      <c r="AN2182">
        <v>73.326599999999999</v>
      </c>
      <c r="AO2182">
        <v>144.72999999999999</v>
      </c>
      <c r="AP2182" s="13">
        <v>45384</v>
      </c>
      <c r="AQ2182">
        <v>-3</v>
      </c>
      <c r="AR2182">
        <v>1</v>
      </c>
    </row>
    <row r="2183" spans="1:44" x14ac:dyDescent="0.35">
      <c r="A2183" s="12" t="s">
        <v>2931</v>
      </c>
      <c r="B2183" s="12" t="s">
        <v>891</v>
      </c>
      <c r="C2183" s="12" t="s">
        <v>892</v>
      </c>
      <c r="D2183" s="12" t="s">
        <v>122</v>
      </c>
      <c r="E2183" s="12" t="s">
        <v>65</v>
      </c>
      <c r="F2183">
        <v>3</v>
      </c>
      <c r="G2183">
        <v>5</v>
      </c>
      <c r="H2183">
        <v>0</v>
      </c>
      <c r="I2183" s="12" t="s">
        <v>169</v>
      </c>
      <c r="J2183" s="12" t="s">
        <v>170</v>
      </c>
      <c r="K2183" s="12" t="s">
        <v>89</v>
      </c>
      <c r="L2183" s="12" t="s">
        <v>134</v>
      </c>
      <c r="M2183">
        <v>1.37</v>
      </c>
      <c r="N2183" s="12" t="s">
        <v>97</v>
      </c>
      <c r="O2183" s="12" t="s">
        <v>98</v>
      </c>
      <c r="P2183" s="12" t="s">
        <v>72</v>
      </c>
      <c r="Q2183" s="13">
        <v>45351</v>
      </c>
      <c r="R2183" s="13">
        <v>45385</v>
      </c>
      <c r="S2183">
        <v>2024</v>
      </c>
      <c r="T2183" s="12" t="s">
        <v>2740</v>
      </c>
      <c r="U2183">
        <v>1570</v>
      </c>
      <c r="V2183">
        <v>37.1586</v>
      </c>
      <c r="W2183">
        <v>1035.3699999999999</v>
      </c>
      <c r="X2183">
        <v>0</v>
      </c>
      <c r="Y2183">
        <v>0</v>
      </c>
      <c r="Z2183">
        <v>58339</v>
      </c>
      <c r="AA2183">
        <v>59374.37</v>
      </c>
      <c r="AB2183" s="12" t="s">
        <v>1406</v>
      </c>
      <c r="AC2183">
        <v>39.456000000000003</v>
      </c>
      <c r="AD2183">
        <v>1</v>
      </c>
      <c r="AE2183">
        <v>1</v>
      </c>
      <c r="AF2183">
        <v>-3606.92</v>
      </c>
      <c r="AG2183">
        <v>61945.919999999998</v>
      </c>
      <c r="AH2183">
        <v>1570</v>
      </c>
      <c r="AI2183">
        <v>1560</v>
      </c>
      <c r="AJ2183">
        <v>10</v>
      </c>
      <c r="AK2183">
        <v>1</v>
      </c>
      <c r="AL2183">
        <v>1</v>
      </c>
      <c r="AM2183">
        <v>99.36</v>
      </c>
      <c r="AN2183">
        <v>38.060499999999998</v>
      </c>
      <c r="AO2183">
        <v>371.59</v>
      </c>
      <c r="AP2183" s="13">
        <v>45382</v>
      </c>
      <c r="AQ2183">
        <v>-3</v>
      </c>
      <c r="AR2183">
        <v>1</v>
      </c>
    </row>
    <row r="2184" spans="1:44" x14ac:dyDescent="0.35">
      <c r="A2184" s="12" t="s">
        <v>2932</v>
      </c>
      <c r="B2184" s="12" t="s">
        <v>350</v>
      </c>
      <c r="C2184" s="12" t="s">
        <v>351</v>
      </c>
      <c r="D2184" s="12" t="s">
        <v>64</v>
      </c>
      <c r="E2184" s="12" t="s">
        <v>104</v>
      </c>
      <c r="F2184">
        <v>3</v>
      </c>
      <c r="G2184">
        <v>1</v>
      </c>
      <c r="H2184">
        <v>0</v>
      </c>
      <c r="I2184" s="12" t="s">
        <v>486</v>
      </c>
      <c r="J2184" s="12" t="s">
        <v>487</v>
      </c>
      <c r="K2184" s="12" t="s">
        <v>125</v>
      </c>
      <c r="L2184" s="12" t="s">
        <v>69</v>
      </c>
      <c r="M2184">
        <v>36.86</v>
      </c>
      <c r="N2184" s="12" t="s">
        <v>97</v>
      </c>
      <c r="O2184" s="12" t="s">
        <v>98</v>
      </c>
      <c r="P2184" s="12" t="s">
        <v>72</v>
      </c>
      <c r="Q2184" s="13">
        <v>45351</v>
      </c>
      <c r="R2184" s="13">
        <v>45374</v>
      </c>
      <c r="S2184">
        <v>2024</v>
      </c>
      <c r="T2184" s="12" t="s">
        <v>2740</v>
      </c>
      <c r="U2184">
        <v>692</v>
      </c>
      <c r="V2184">
        <v>8.4832000000000001</v>
      </c>
      <c r="W2184">
        <v>40.94</v>
      </c>
      <c r="X2184">
        <v>0</v>
      </c>
      <c r="Y2184">
        <v>0</v>
      </c>
      <c r="Z2184">
        <v>5870.37</v>
      </c>
      <c r="AA2184">
        <v>5911.31</v>
      </c>
      <c r="AB2184" s="12" t="s">
        <v>2933</v>
      </c>
      <c r="AC2184">
        <v>8.4832000000000001</v>
      </c>
      <c r="AD2184">
        <v>1</v>
      </c>
      <c r="AE2184">
        <v>1</v>
      </c>
      <c r="AF2184">
        <v>0</v>
      </c>
      <c r="AG2184">
        <v>5870.37</v>
      </c>
      <c r="AH2184">
        <v>692</v>
      </c>
      <c r="AI2184">
        <v>686</v>
      </c>
      <c r="AJ2184">
        <v>6</v>
      </c>
      <c r="AK2184">
        <v>1</v>
      </c>
      <c r="AL2184">
        <v>1</v>
      </c>
      <c r="AM2184">
        <v>99.13</v>
      </c>
      <c r="AN2184">
        <v>8.6171000000000006</v>
      </c>
      <c r="AO2184">
        <v>50.9</v>
      </c>
      <c r="AP2184" s="13">
        <v>45372</v>
      </c>
      <c r="AQ2184">
        <v>-2</v>
      </c>
      <c r="AR2184">
        <v>1</v>
      </c>
    </row>
    <row r="2185" spans="1:44" x14ac:dyDescent="0.35">
      <c r="A2185" s="12" t="s">
        <v>2934</v>
      </c>
      <c r="B2185" s="12" t="s">
        <v>773</v>
      </c>
      <c r="C2185" s="12" t="s">
        <v>774</v>
      </c>
      <c r="D2185" s="12" t="s">
        <v>64</v>
      </c>
      <c r="E2185" s="12" t="s">
        <v>142</v>
      </c>
      <c r="F2185">
        <v>1</v>
      </c>
      <c r="G2185">
        <v>7</v>
      </c>
      <c r="H2185">
        <v>1</v>
      </c>
      <c r="I2185" s="12" t="s">
        <v>251</v>
      </c>
      <c r="J2185" s="12" t="s">
        <v>252</v>
      </c>
      <c r="K2185" s="12" t="s">
        <v>133</v>
      </c>
      <c r="L2185" s="12" t="s">
        <v>69</v>
      </c>
      <c r="M2185">
        <v>34.49</v>
      </c>
      <c r="N2185" s="12" t="s">
        <v>70</v>
      </c>
      <c r="O2185" s="12" t="s">
        <v>71</v>
      </c>
      <c r="P2185" s="12" t="s">
        <v>72</v>
      </c>
      <c r="Q2185" s="13">
        <v>45351</v>
      </c>
      <c r="R2185" s="13">
        <v>45391</v>
      </c>
      <c r="S2185">
        <v>2024</v>
      </c>
      <c r="T2185" s="12" t="s">
        <v>2740</v>
      </c>
      <c r="U2185">
        <v>381</v>
      </c>
      <c r="V2185">
        <v>10.0604</v>
      </c>
      <c r="W2185">
        <v>32.57</v>
      </c>
      <c r="X2185">
        <v>0</v>
      </c>
      <c r="Y2185">
        <v>0</v>
      </c>
      <c r="Z2185">
        <v>3833.01</v>
      </c>
      <c r="AA2185">
        <v>3865.58</v>
      </c>
      <c r="AB2185" s="12" t="s">
        <v>775</v>
      </c>
      <c r="AC2185">
        <v>10.0604</v>
      </c>
      <c r="AD2185">
        <v>1</v>
      </c>
      <c r="AE2185">
        <v>1</v>
      </c>
      <c r="AF2185">
        <v>0</v>
      </c>
      <c r="AG2185">
        <v>3833.01</v>
      </c>
      <c r="AH2185">
        <v>381</v>
      </c>
      <c r="AI2185">
        <v>378</v>
      </c>
      <c r="AJ2185">
        <v>3</v>
      </c>
      <c r="AK2185">
        <v>1</v>
      </c>
      <c r="AL2185">
        <v>1</v>
      </c>
      <c r="AM2185">
        <v>99.21</v>
      </c>
      <c r="AN2185">
        <v>10.2264</v>
      </c>
      <c r="AO2185">
        <v>30.18</v>
      </c>
      <c r="AP2185" s="13">
        <v>45391</v>
      </c>
      <c r="AQ2185">
        <v>0</v>
      </c>
      <c r="AR2185">
        <v>1</v>
      </c>
    </row>
    <row r="2186" spans="1:44" x14ac:dyDescent="0.35">
      <c r="A2186" s="12" t="s">
        <v>2935</v>
      </c>
      <c r="B2186" s="12" t="s">
        <v>657</v>
      </c>
      <c r="C2186" s="12" t="s">
        <v>658</v>
      </c>
      <c r="D2186" s="12" t="s">
        <v>175</v>
      </c>
      <c r="E2186" s="12" t="s">
        <v>65</v>
      </c>
      <c r="F2186">
        <v>1</v>
      </c>
      <c r="G2186">
        <v>2</v>
      </c>
      <c r="H2186">
        <v>1</v>
      </c>
      <c r="I2186" s="12" t="s">
        <v>183</v>
      </c>
      <c r="J2186" s="12" t="s">
        <v>184</v>
      </c>
      <c r="K2186" s="12" t="s">
        <v>133</v>
      </c>
      <c r="L2186" s="12" t="s">
        <v>82</v>
      </c>
      <c r="M2186">
        <v>8.6199999999999992</v>
      </c>
      <c r="N2186" s="12" t="s">
        <v>145</v>
      </c>
      <c r="O2186" s="12" t="s">
        <v>146</v>
      </c>
      <c r="P2186" s="12" t="s">
        <v>109</v>
      </c>
      <c r="Q2186" s="13">
        <v>45351</v>
      </c>
      <c r="R2186" s="13">
        <v>45378</v>
      </c>
      <c r="S2186">
        <v>2024</v>
      </c>
      <c r="T2186" s="12" t="s">
        <v>2740</v>
      </c>
      <c r="U2186">
        <v>61</v>
      </c>
      <c r="V2186">
        <v>153.8561</v>
      </c>
      <c r="W2186">
        <v>231.53</v>
      </c>
      <c r="X2186">
        <v>0</v>
      </c>
      <c r="Y2186">
        <v>0</v>
      </c>
      <c r="Z2186">
        <v>9385.2199999999993</v>
      </c>
      <c r="AA2186">
        <v>9616.75</v>
      </c>
      <c r="AB2186" s="12" t="s">
        <v>659</v>
      </c>
      <c r="AC2186">
        <v>153.8561</v>
      </c>
      <c r="AD2186">
        <v>1</v>
      </c>
      <c r="AE2186">
        <v>1</v>
      </c>
      <c r="AF2186">
        <v>0</v>
      </c>
      <c r="AG2186">
        <v>9385.2199999999993</v>
      </c>
      <c r="AH2186">
        <v>61</v>
      </c>
      <c r="AI2186">
        <v>60</v>
      </c>
      <c r="AJ2186">
        <v>1</v>
      </c>
      <c r="AK2186">
        <v>1</v>
      </c>
      <c r="AL2186">
        <v>1</v>
      </c>
      <c r="AM2186">
        <v>98.36</v>
      </c>
      <c r="AN2186">
        <v>160.2792</v>
      </c>
      <c r="AO2186">
        <v>153.86000000000001</v>
      </c>
      <c r="AP2186" s="13">
        <v>45377</v>
      </c>
      <c r="AQ2186">
        <v>-1</v>
      </c>
      <c r="AR2186">
        <v>1</v>
      </c>
    </row>
    <row r="2187" spans="1:44" x14ac:dyDescent="0.35">
      <c r="A2187" s="12" t="s">
        <v>2936</v>
      </c>
      <c r="B2187" s="12" t="s">
        <v>490</v>
      </c>
      <c r="C2187" s="12" t="s">
        <v>491</v>
      </c>
      <c r="D2187" s="12" t="s">
        <v>130</v>
      </c>
      <c r="E2187" s="12" t="s">
        <v>104</v>
      </c>
      <c r="F2187">
        <v>3</v>
      </c>
      <c r="G2187">
        <v>1</v>
      </c>
      <c r="H2187">
        <v>0</v>
      </c>
      <c r="I2187" s="12" t="s">
        <v>123</v>
      </c>
      <c r="J2187" s="12" t="s">
        <v>124</v>
      </c>
      <c r="K2187" s="12" t="s">
        <v>125</v>
      </c>
      <c r="L2187" s="12" t="s">
        <v>82</v>
      </c>
      <c r="M2187">
        <v>6.75</v>
      </c>
      <c r="N2187" s="12" t="s">
        <v>159</v>
      </c>
      <c r="O2187" s="12" t="s">
        <v>160</v>
      </c>
      <c r="P2187" s="12" t="s">
        <v>137</v>
      </c>
      <c r="Q2187" s="13">
        <v>45351</v>
      </c>
      <c r="R2187" s="13">
        <v>45377</v>
      </c>
      <c r="S2187">
        <v>2024</v>
      </c>
      <c r="T2187" s="12" t="s">
        <v>2740</v>
      </c>
      <c r="U2187">
        <v>119</v>
      </c>
      <c r="V2187">
        <v>297.19900000000001</v>
      </c>
      <c r="W2187">
        <v>492.05</v>
      </c>
      <c r="X2187">
        <v>0</v>
      </c>
      <c r="Y2187">
        <v>0</v>
      </c>
      <c r="Z2187">
        <v>35366.68</v>
      </c>
      <c r="AA2187">
        <v>35858.730000000003</v>
      </c>
      <c r="AB2187" s="12" t="s">
        <v>1289</v>
      </c>
      <c r="AC2187">
        <v>297.19900000000001</v>
      </c>
      <c r="AD2187">
        <v>1</v>
      </c>
      <c r="AE2187">
        <v>1</v>
      </c>
      <c r="AF2187">
        <v>0</v>
      </c>
      <c r="AG2187">
        <v>35366.68</v>
      </c>
      <c r="AH2187">
        <v>119</v>
      </c>
      <c r="AI2187">
        <v>117</v>
      </c>
      <c r="AJ2187">
        <v>2</v>
      </c>
      <c r="AK2187">
        <v>1</v>
      </c>
      <c r="AL2187">
        <v>1</v>
      </c>
      <c r="AM2187">
        <v>98.32</v>
      </c>
      <c r="AN2187">
        <v>306.48489999999998</v>
      </c>
      <c r="AO2187">
        <v>594.4</v>
      </c>
      <c r="AP2187" s="13">
        <v>45375</v>
      </c>
      <c r="AQ2187">
        <v>-2</v>
      </c>
      <c r="AR2187">
        <v>1</v>
      </c>
    </row>
    <row r="2188" spans="1:44" x14ac:dyDescent="0.35">
      <c r="A2188" s="12" t="s">
        <v>2937</v>
      </c>
      <c r="B2188" s="12" t="s">
        <v>215</v>
      </c>
      <c r="C2188" s="12" t="s">
        <v>216</v>
      </c>
      <c r="D2188" s="12" t="s">
        <v>122</v>
      </c>
      <c r="E2188" s="12" t="s">
        <v>142</v>
      </c>
      <c r="F2188">
        <v>3</v>
      </c>
      <c r="G2188">
        <v>11</v>
      </c>
      <c r="H2188">
        <v>0</v>
      </c>
      <c r="I2188" s="12" t="s">
        <v>176</v>
      </c>
      <c r="J2188" s="12" t="s">
        <v>177</v>
      </c>
      <c r="K2188" s="12" t="s">
        <v>125</v>
      </c>
      <c r="L2188" s="12" t="s">
        <v>134</v>
      </c>
      <c r="M2188">
        <v>1.75</v>
      </c>
      <c r="N2188" s="12" t="s">
        <v>97</v>
      </c>
      <c r="O2188" s="12" t="s">
        <v>98</v>
      </c>
      <c r="P2188" s="12" t="s">
        <v>72</v>
      </c>
      <c r="Q2188" s="13">
        <v>45351</v>
      </c>
      <c r="R2188" s="13">
        <v>45398</v>
      </c>
      <c r="S2188">
        <v>2024</v>
      </c>
      <c r="T2188" s="12" t="s">
        <v>2740</v>
      </c>
      <c r="U2188">
        <v>1434</v>
      </c>
      <c r="V2188">
        <v>15.4514</v>
      </c>
      <c r="W2188">
        <v>471.63</v>
      </c>
      <c r="X2188">
        <v>0</v>
      </c>
      <c r="Y2188">
        <v>0</v>
      </c>
      <c r="Z2188">
        <v>22157.31</v>
      </c>
      <c r="AA2188">
        <v>22628.94</v>
      </c>
      <c r="AB2188" s="12" t="s">
        <v>2938</v>
      </c>
      <c r="AC2188">
        <v>15.4514</v>
      </c>
      <c r="AD2188">
        <v>1</v>
      </c>
      <c r="AE2188">
        <v>1</v>
      </c>
      <c r="AF2188">
        <v>0</v>
      </c>
      <c r="AG2188">
        <v>22157.31</v>
      </c>
      <c r="AH2188">
        <v>1434</v>
      </c>
      <c r="AI2188">
        <v>1417</v>
      </c>
      <c r="AJ2188">
        <v>17</v>
      </c>
      <c r="AK2188">
        <v>1</v>
      </c>
      <c r="AL2188">
        <v>1</v>
      </c>
      <c r="AM2188">
        <v>98.81</v>
      </c>
      <c r="AN2188">
        <v>15.9696</v>
      </c>
      <c r="AO2188">
        <v>262.67</v>
      </c>
      <c r="AP2188" s="13">
        <v>45397</v>
      </c>
      <c r="AQ2188">
        <v>-1</v>
      </c>
      <c r="AR2188">
        <v>1</v>
      </c>
    </row>
    <row r="2189" spans="1:44" x14ac:dyDescent="0.35">
      <c r="A2189" s="12" t="s">
        <v>2939</v>
      </c>
      <c r="B2189" s="12" t="s">
        <v>640</v>
      </c>
      <c r="C2189" s="12" t="s">
        <v>641</v>
      </c>
      <c r="D2189" s="12" t="s">
        <v>130</v>
      </c>
      <c r="E2189" s="12" t="s">
        <v>104</v>
      </c>
      <c r="F2189">
        <v>3</v>
      </c>
      <c r="G2189">
        <v>0</v>
      </c>
      <c r="H2189">
        <v>0</v>
      </c>
      <c r="I2189" s="12" t="s">
        <v>209</v>
      </c>
      <c r="J2189" s="12" t="s">
        <v>210</v>
      </c>
      <c r="K2189" s="12" t="s">
        <v>133</v>
      </c>
      <c r="L2189" s="12" t="s">
        <v>96</v>
      </c>
      <c r="M2189">
        <v>7.82</v>
      </c>
      <c r="N2189" s="12" t="s">
        <v>135</v>
      </c>
      <c r="O2189" s="12" t="s">
        <v>136</v>
      </c>
      <c r="P2189" s="12" t="s">
        <v>137</v>
      </c>
      <c r="Q2189" s="13">
        <v>45351</v>
      </c>
      <c r="R2189" s="13">
        <v>45376</v>
      </c>
      <c r="S2189">
        <v>2024</v>
      </c>
      <c r="T2189" s="12" t="s">
        <v>2740</v>
      </c>
      <c r="U2189">
        <v>111</v>
      </c>
      <c r="V2189">
        <v>1008.4116</v>
      </c>
      <c r="W2189">
        <v>2192.58</v>
      </c>
      <c r="X2189">
        <v>0</v>
      </c>
      <c r="Y2189">
        <v>0</v>
      </c>
      <c r="Z2189">
        <v>111933.69</v>
      </c>
      <c r="AA2189">
        <v>114126.27</v>
      </c>
      <c r="AB2189" s="12" t="s">
        <v>642</v>
      </c>
      <c r="AC2189">
        <v>1008.4116</v>
      </c>
      <c r="AD2189">
        <v>1</v>
      </c>
      <c r="AE2189">
        <v>1</v>
      </c>
      <c r="AF2189">
        <v>0</v>
      </c>
      <c r="AG2189">
        <v>111933.69</v>
      </c>
      <c r="AH2189">
        <v>111</v>
      </c>
      <c r="AI2189">
        <v>109</v>
      </c>
      <c r="AJ2189">
        <v>2</v>
      </c>
      <c r="AK2189">
        <v>1</v>
      </c>
      <c r="AL2189">
        <v>1</v>
      </c>
      <c r="AM2189">
        <v>98.2</v>
      </c>
      <c r="AN2189">
        <v>1047.03</v>
      </c>
      <c r="AO2189">
        <v>2016.82</v>
      </c>
      <c r="AP2189" s="13">
        <v>45376</v>
      </c>
      <c r="AQ2189">
        <v>0</v>
      </c>
      <c r="AR2189">
        <v>1</v>
      </c>
    </row>
    <row r="2190" spans="1:44" x14ac:dyDescent="0.35">
      <c r="A2190" s="12" t="s">
        <v>2940</v>
      </c>
      <c r="B2190" s="12" t="s">
        <v>537</v>
      </c>
      <c r="C2190" s="12" t="s">
        <v>538</v>
      </c>
      <c r="D2190" s="12" t="s">
        <v>103</v>
      </c>
      <c r="E2190" s="12" t="s">
        <v>104</v>
      </c>
      <c r="F2190">
        <v>3</v>
      </c>
      <c r="G2190">
        <v>0</v>
      </c>
      <c r="H2190">
        <v>0</v>
      </c>
      <c r="I2190" s="12" t="s">
        <v>380</v>
      </c>
      <c r="J2190" s="12" t="s">
        <v>381</v>
      </c>
      <c r="K2190" s="12" t="s">
        <v>89</v>
      </c>
      <c r="L2190" s="12" t="s">
        <v>96</v>
      </c>
      <c r="M2190">
        <v>10.210000000000001</v>
      </c>
      <c r="N2190" s="12" t="s">
        <v>145</v>
      </c>
      <c r="O2190" s="12" t="s">
        <v>146</v>
      </c>
      <c r="P2190" s="12" t="s">
        <v>109</v>
      </c>
      <c r="Q2190" s="13">
        <v>45352</v>
      </c>
      <c r="R2190" s="13">
        <v>45378</v>
      </c>
      <c r="S2190">
        <v>2024</v>
      </c>
      <c r="T2190" s="12" t="s">
        <v>2941</v>
      </c>
      <c r="U2190">
        <v>120</v>
      </c>
      <c r="V2190">
        <v>242.5684</v>
      </c>
      <c r="W2190">
        <v>179.16</v>
      </c>
      <c r="X2190">
        <v>0</v>
      </c>
      <c r="Y2190">
        <v>0</v>
      </c>
      <c r="Z2190">
        <v>29108.21</v>
      </c>
      <c r="AA2190">
        <v>29287.37</v>
      </c>
      <c r="AB2190" s="12" t="s">
        <v>539</v>
      </c>
      <c r="AC2190">
        <v>242.5684</v>
      </c>
      <c r="AD2190">
        <v>1</v>
      </c>
      <c r="AE2190">
        <v>1</v>
      </c>
      <c r="AF2190">
        <v>0</v>
      </c>
      <c r="AG2190">
        <v>29108.21</v>
      </c>
      <c r="AH2190">
        <v>120</v>
      </c>
      <c r="AI2190">
        <v>118</v>
      </c>
      <c r="AJ2190">
        <v>2</v>
      </c>
      <c r="AK2190">
        <v>1</v>
      </c>
      <c r="AL2190">
        <v>1</v>
      </c>
      <c r="AM2190">
        <v>98.33</v>
      </c>
      <c r="AN2190">
        <v>248.19800000000001</v>
      </c>
      <c r="AO2190">
        <v>485.14</v>
      </c>
      <c r="AP2190" s="13">
        <v>45379</v>
      </c>
      <c r="AQ2190">
        <v>1</v>
      </c>
      <c r="AR2190">
        <v>0</v>
      </c>
    </row>
    <row r="2191" spans="1:44" x14ac:dyDescent="0.35">
      <c r="A2191" s="12" t="s">
        <v>2942</v>
      </c>
      <c r="B2191" s="12" t="s">
        <v>544</v>
      </c>
      <c r="C2191" s="12" t="s">
        <v>545</v>
      </c>
      <c r="D2191" s="12" t="s">
        <v>175</v>
      </c>
      <c r="E2191" s="12" t="s">
        <v>65</v>
      </c>
      <c r="F2191">
        <v>3</v>
      </c>
      <c r="G2191">
        <v>5</v>
      </c>
      <c r="H2191">
        <v>0</v>
      </c>
      <c r="I2191" s="12" t="s">
        <v>66</v>
      </c>
      <c r="J2191" s="12" t="s">
        <v>67</v>
      </c>
      <c r="K2191" s="12" t="s">
        <v>68</v>
      </c>
      <c r="L2191" s="12" t="s">
        <v>69</v>
      </c>
      <c r="M2191">
        <v>17.66</v>
      </c>
      <c r="N2191" s="12" t="s">
        <v>145</v>
      </c>
      <c r="O2191" s="12" t="s">
        <v>146</v>
      </c>
      <c r="P2191" s="12" t="s">
        <v>109</v>
      </c>
      <c r="Q2191" s="13">
        <v>45352</v>
      </c>
      <c r="R2191" s="13">
        <v>45387</v>
      </c>
      <c r="S2191">
        <v>2024</v>
      </c>
      <c r="T2191" s="12" t="s">
        <v>2941</v>
      </c>
      <c r="U2191">
        <v>121</v>
      </c>
      <c r="V2191">
        <v>155.36940000000001</v>
      </c>
      <c r="W2191">
        <v>402.54</v>
      </c>
      <c r="X2191">
        <v>0</v>
      </c>
      <c r="Y2191">
        <v>0</v>
      </c>
      <c r="Z2191">
        <v>18799.7</v>
      </c>
      <c r="AA2191">
        <v>19202.240000000002</v>
      </c>
      <c r="AB2191" s="12" t="s">
        <v>546</v>
      </c>
      <c r="AC2191">
        <v>155.36940000000001</v>
      </c>
      <c r="AD2191">
        <v>1</v>
      </c>
      <c r="AE2191">
        <v>1</v>
      </c>
      <c r="AF2191">
        <v>0</v>
      </c>
      <c r="AG2191">
        <v>18799.7</v>
      </c>
      <c r="AH2191">
        <v>121</v>
      </c>
      <c r="AI2191">
        <v>119</v>
      </c>
      <c r="AJ2191">
        <v>2</v>
      </c>
      <c r="AK2191">
        <v>1</v>
      </c>
      <c r="AL2191">
        <v>1</v>
      </c>
      <c r="AM2191">
        <v>98.35</v>
      </c>
      <c r="AN2191">
        <v>161.36330000000001</v>
      </c>
      <c r="AO2191">
        <v>310.74</v>
      </c>
      <c r="AP2191" s="13">
        <v>45390</v>
      </c>
      <c r="AQ2191">
        <v>3</v>
      </c>
      <c r="AR2191">
        <v>0</v>
      </c>
    </row>
    <row r="2192" spans="1:44" x14ac:dyDescent="0.35">
      <c r="A2192" s="12" t="s">
        <v>2943</v>
      </c>
      <c r="B2192" s="12" t="s">
        <v>630</v>
      </c>
      <c r="C2192" s="12" t="s">
        <v>631</v>
      </c>
      <c r="D2192" s="12" t="s">
        <v>130</v>
      </c>
      <c r="E2192" s="12" t="s">
        <v>65</v>
      </c>
      <c r="F2192">
        <v>1</v>
      </c>
      <c r="G2192">
        <v>2</v>
      </c>
      <c r="H2192">
        <v>1</v>
      </c>
      <c r="I2192" s="12" t="s">
        <v>335</v>
      </c>
      <c r="J2192" s="12" t="s">
        <v>336</v>
      </c>
      <c r="K2192" s="12" t="s">
        <v>89</v>
      </c>
      <c r="L2192" s="12" t="s">
        <v>82</v>
      </c>
      <c r="M2192">
        <v>16</v>
      </c>
      <c r="N2192" s="12" t="s">
        <v>135</v>
      </c>
      <c r="O2192" s="12" t="s">
        <v>136</v>
      </c>
      <c r="P2192" s="12" t="s">
        <v>137</v>
      </c>
      <c r="Q2192" s="13">
        <v>45352</v>
      </c>
      <c r="R2192" s="13">
        <v>45381</v>
      </c>
      <c r="S2192">
        <v>2024</v>
      </c>
      <c r="T2192" s="12" t="s">
        <v>2941</v>
      </c>
      <c r="U2192">
        <v>76</v>
      </c>
      <c r="V2192">
        <v>446.36720000000003</v>
      </c>
      <c r="W2192">
        <v>577.12</v>
      </c>
      <c r="X2192">
        <v>0</v>
      </c>
      <c r="Y2192">
        <v>0</v>
      </c>
      <c r="Z2192">
        <v>33923.910000000003</v>
      </c>
      <c r="AA2192">
        <v>34501.03</v>
      </c>
      <c r="AB2192" s="12" t="s">
        <v>2944</v>
      </c>
      <c r="AC2192">
        <v>446.36720000000003</v>
      </c>
      <c r="AD2192">
        <v>1</v>
      </c>
      <c r="AE2192">
        <v>1</v>
      </c>
      <c r="AF2192">
        <v>0</v>
      </c>
      <c r="AG2192">
        <v>33923.910000000003</v>
      </c>
      <c r="AH2192">
        <v>76</v>
      </c>
      <c r="AI2192">
        <v>76</v>
      </c>
      <c r="AJ2192">
        <v>0</v>
      </c>
      <c r="AK2192">
        <v>1</v>
      </c>
      <c r="AL2192">
        <v>1</v>
      </c>
      <c r="AM2192">
        <v>100</v>
      </c>
      <c r="AN2192">
        <v>453.96089999999998</v>
      </c>
      <c r="AO2192">
        <v>0</v>
      </c>
      <c r="AP2192" s="13">
        <v>45379</v>
      </c>
      <c r="AQ2192">
        <v>-2</v>
      </c>
      <c r="AR2192">
        <v>1</v>
      </c>
    </row>
    <row r="2193" spans="1:44" x14ac:dyDescent="0.35">
      <c r="A2193" s="12" t="s">
        <v>2945</v>
      </c>
      <c r="B2193" s="12" t="s">
        <v>609</v>
      </c>
      <c r="C2193" s="12" t="s">
        <v>610</v>
      </c>
      <c r="D2193" s="12" t="s">
        <v>64</v>
      </c>
      <c r="E2193" s="12" t="s">
        <v>104</v>
      </c>
      <c r="F2193">
        <v>1</v>
      </c>
      <c r="G2193">
        <v>0</v>
      </c>
      <c r="H2193">
        <v>1</v>
      </c>
      <c r="I2193" s="12" t="s">
        <v>227</v>
      </c>
      <c r="J2193" s="12" t="s">
        <v>228</v>
      </c>
      <c r="K2193" s="12" t="s">
        <v>89</v>
      </c>
      <c r="L2193" s="12" t="s">
        <v>96</v>
      </c>
      <c r="M2193">
        <v>9.15</v>
      </c>
      <c r="N2193" s="12" t="s">
        <v>97</v>
      </c>
      <c r="O2193" s="12" t="s">
        <v>98</v>
      </c>
      <c r="P2193" s="12" t="s">
        <v>72</v>
      </c>
      <c r="Q2193" s="13">
        <v>45352</v>
      </c>
      <c r="R2193" s="13">
        <v>45374</v>
      </c>
      <c r="S2193">
        <v>2024</v>
      </c>
      <c r="T2193" s="12" t="s">
        <v>2941</v>
      </c>
      <c r="U2193">
        <v>606</v>
      </c>
      <c r="V2193">
        <v>20.713699999999999</v>
      </c>
      <c r="W2193">
        <v>291.36</v>
      </c>
      <c r="X2193">
        <v>0</v>
      </c>
      <c r="Y2193">
        <v>0</v>
      </c>
      <c r="Z2193">
        <v>12552.5</v>
      </c>
      <c r="AA2193">
        <v>12843.86</v>
      </c>
      <c r="AB2193" s="12" t="s">
        <v>611</v>
      </c>
      <c r="AC2193">
        <v>20.713699999999999</v>
      </c>
      <c r="AD2193">
        <v>1</v>
      </c>
      <c r="AE2193">
        <v>1</v>
      </c>
      <c r="AF2193">
        <v>0</v>
      </c>
      <c r="AG2193">
        <v>12552.5</v>
      </c>
      <c r="AH2193">
        <v>606</v>
      </c>
      <c r="AI2193">
        <v>598</v>
      </c>
      <c r="AJ2193">
        <v>8</v>
      </c>
      <c r="AK2193">
        <v>1</v>
      </c>
      <c r="AL2193">
        <v>1</v>
      </c>
      <c r="AM2193">
        <v>98.68</v>
      </c>
      <c r="AN2193">
        <v>21.478000000000002</v>
      </c>
      <c r="AO2193">
        <v>165.71</v>
      </c>
      <c r="AP2193" s="13">
        <v>45372</v>
      </c>
      <c r="AQ2193">
        <v>-2</v>
      </c>
      <c r="AR2193">
        <v>1</v>
      </c>
    </row>
    <row r="2194" spans="1:44" x14ac:dyDescent="0.35">
      <c r="A2194" s="12" t="s">
        <v>2946</v>
      </c>
      <c r="B2194" s="12" t="s">
        <v>451</v>
      </c>
      <c r="C2194" s="12" t="s">
        <v>452</v>
      </c>
      <c r="D2194" s="12" t="s">
        <v>175</v>
      </c>
      <c r="E2194" s="12" t="s">
        <v>104</v>
      </c>
      <c r="F2194">
        <v>3</v>
      </c>
      <c r="G2194">
        <v>1</v>
      </c>
      <c r="H2194">
        <v>0</v>
      </c>
      <c r="I2194" s="12" t="s">
        <v>359</v>
      </c>
      <c r="J2194" s="12" t="s">
        <v>360</v>
      </c>
      <c r="K2194" s="12" t="s">
        <v>133</v>
      </c>
      <c r="L2194" s="12" t="s">
        <v>82</v>
      </c>
      <c r="M2194">
        <v>12.65</v>
      </c>
      <c r="N2194" s="12" t="s">
        <v>107</v>
      </c>
      <c r="O2194" s="12" t="s">
        <v>108</v>
      </c>
      <c r="P2194" s="12" t="s">
        <v>109</v>
      </c>
      <c r="Q2194" s="13">
        <v>45352</v>
      </c>
      <c r="R2194" s="13">
        <v>45373</v>
      </c>
      <c r="S2194">
        <v>2024</v>
      </c>
      <c r="T2194" s="12" t="s">
        <v>2941</v>
      </c>
      <c r="U2194">
        <v>86</v>
      </c>
      <c r="V2194">
        <v>234.84710000000001</v>
      </c>
      <c r="W2194">
        <v>467.25</v>
      </c>
      <c r="X2194">
        <v>0</v>
      </c>
      <c r="Y2194">
        <v>0</v>
      </c>
      <c r="Z2194">
        <v>20196.849999999999</v>
      </c>
      <c r="AA2194">
        <v>20664.099999999999</v>
      </c>
      <c r="AB2194" s="12" t="s">
        <v>2947</v>
      </c>
      <c r="AC2194">
        <v>234.84710000000001</v>
      </c>
      <c r="AD2194">
        <v>1</v>
      </c>
      <c r="AE2194">
        <v>1</v>
      </c>
      <c r="AF2194">
        <v>0</v>
      </c>
      <c r="AG2194">
        <v>20196.849999999999</v>
      </c>
      <c r="AH2194">
        <v>86</v>
      </c>
      <c r="AI2194">
        <v>85</v>
      </c>
      <c r="AJ2194">
        <v>1</v>
      </c>
      <c r="AK2194">
        <v>1</v>
      </c>
      <c r="AL2194">
        <v>1</v>
      </c>
      <c r="AM2194">
        <v>98.84</v>
      </c>
      <c r="AN2194">
        <v>243.1071</v>
      </c>
      <c r="AO2194">
        <v>234.85</v>
      </c>
      <c r="AP2194" s="13">
        <v>45373</v>
      </c>
      <c r="AQ2194">
        <v>0</v>
      </c>
      <c r="AR2194">
        <v>1</v>
      </c>
    </row>
    <row r="2195" spans="1:44" x14ac:dyDescent="0.35">
      <c r="A2195" s="12" t="s">
        <v>2948</v>
      </c>
      <c r="B2195" s="12" t="s">
        <v>957</v>
      </c>
      <c r="C2195" s="12" t="s">
        <v>958</v>
      </c>
      <c r="D2195" s="12" t="s">
        <v>103</v>
      </c>
      <c r="E2195" s="12" t="s">
        <v>142</v>
      </c>
      <c r="F2195">
        <v>1</v>
      </c>
      <c r="G2195">
        <v>7</v>
      </c>
      <c r="H2195">
        <v>1</v>
      </c>
      <c r="I2195" s="12" t="s">
        <v>183</v>
      </c>
      <c r="J2195" s="12" t="s">
        <v>184</v>
      </c>
      <c r="K2195" s="12" t="s">
        <v>133</v>
      </c>
      <c r="L2195" s="12" t="s">
        <v>82</v>
      </c>
      <c r="M2195">
        <v>8.6199999999999992</v>
      </c>
      <c r="N2195" s="12" t="s">
        <v>145</v>
      </c>
      <c r="O2195" s="12" t="s">
        <v>146</v>
      </c>
      <c r="P2195" s="12" t="s">
        <v>109</v>
      </c>
      <c r="Q2195" s="13">
        <v>45352</v>
      </c>
      <c r="R2195" s="13">
        <v>45403</v>
      </c>
      <c r="S2195">
        <v>2024</v>
      </c>
      <c r="T2195" s="12" t="s">
        <v>2941</v>
      </c>
      <c r="U2195">
        <v>139</v>
      </c>
      <c r="V2195">
        <v>199.1737</v>
      </c>
      <c r="W2195">
        <v>685.58</v>
      </c>
      <c r="X2195">
        <v>0</v>
      </c>
      <c r="Y2195">
        <v>0</v>
      </c>
      <c r="Z2195">
        <v>27685.14</v>
      </c>
      <c r="AA2195">
        <v>28370.720000000001</v>
      </c>
      <c r="AB2195" s="12" t="s">
        <v>959</v>
      </c>
      <c r="AC2195">
        <v>199.1737</v>
      </c>
      <c r="AD2195">
        <v>1</v>
      </c>
      <c r="AE2195">
        <v>1</v>
      </c>
      <c r="AF2195">
        <v>0</v>
      </c>
      <c r="AG2195">
        <v>27685.14</v>
      </c>
      <c r="AH2195">
        <v>139</v>
      </c>
      <c r="AI2195">
        <v>138</v>
      </c>
      <c r="AJ2195">
        <v>1</v>
      </c>
      <c r="AK2195">
        <v>1</v>
      </c>
      <c r="AL2195">
        <v>1</v>
      </c>
      <c r="AM2195">
        <v>99.28</v>
      </c>
      <c r="AN2195">
        <v>205.58500000000001</v>
      </c>
      <c r="AO2195">
        <v>199.17</v>
      </c>
      <c r="AP2195" s="13">
        <v>45400</v>
      </c>
      <c r="AQ2195">
        <v>-3</v>
      </c>
      <c r="AR2195">
        <v>1</v>
      </c>
    </row>
    <row r="2196" spans="1:44" x14ac:dyDescent="0.35">
      <c r="A2196" s="12" t="s">
        <v>2949</v>
      </c>
      <c r="B2196" s="12" t="s">
        <v>532</v>
      </c>
      <c r="C2196" s="12" t="s">
        <v>533</v>
      </c>
      <c r="D2196" s="12" t="s">
        <v>114</v>
      </c>
      <c r="E2196" s="12" t="s">
        <v>65</v>
      </c>
      <c r="F2196">
        <v>2</v>
      </c>
      <c r="G2196">
        <v>3</v>
      </c>
      <c r="H2196">
        <v>0</v>
      </c>
      <c r="I2196" s="12" t="s">
        <v>105</v>
      </c>
      <c r="J2196" s="12" t="s">
        <v>106</v>
      </c>
      <c r="K2196" s="12" t="s">
        <v>81</v>
      </c>
      <c r="L2196" s="12" t="s">
        <v>96</v>
      </c>
      <c r="M2196">
        <v>5.01</v>
      </c>
      <c r="N2196" s="12" t="s">
        <v>97</v>
      </c>
      <c r="O2196" s="12" t="s">
        <v>98</v>
      </c>
      <c r="P2196" s="12" t="s">
        <v>72</v>
      </c>
      <c r="Q2196" s="13">
        <v>45352</v>
      </c>
      <c r="R2196" s="13">
        <v>45382</v>
      </c>
      <c r="S2196">
        <v>2024</v>
      </c>
      <c r="T2196" s="12" t="s">
        <v>2941</v>
      </c>
      <c r="U2196">
        <v>84</v>
      </c>
      <c r="V2196">
        <v>250.00970000000001</v>
      </c>
      <c r="W2196">
        <v>301.24</v>
      </c>
      <c r="X2196">
        <v>0</v>
      </c>
      <c r="Y2196">
        <v>0</v>
      </c>
      <c r="Z2196">
        <v>21000.81</v>
      </c>
      <c r="AA2196">
        <v>21302.05</v>
      </c>
      <c r="AB2196" s="12" t="s">
        <v>534</v>
      </c>
      <c r="AC2196">
        <v>250.00970000000001</v>
      </c>
      <c r="AD2196">
        <v>1</v>
      </c>
      <c r="AE2196">
        <v>1</v>
      </c>
      <c r="AF2196">
        <v>0</v>
      </c>
      <c r="AG2196">
        <v>21000.81</v>
      </c>
      <c r="AH2196">
        <v>84</v>
      </c>
      <c r="AI2196">
        <v>82</v>
      </c>
      <c r="AJ2196">
        <v>2</v>
      </c>
      <c r="AK2196">
        <v>1</v>
      </c>
      <c r="AL2196">
        <v>1</v>
      </c>
      <c r="AM2196">
        <v>97.62</v>
      </c>
      <c r="AN2196">
        <v>259.78120000000001</v>
      </c>
      <c r="AO2196">
        <v>500.02</v>
      </c>
      <c r="AP2196" s="13">
        <v>45382</v>
      </c>
      <c r="AQ2196">
        <v>0</v>
      </c>
      <c r="AR2196">
        <v>1</v>
      </c>
    </row>
    <row r="2197" spans="1:44" x14ac:dyDescent="0.35">
      <c r="A2197" s="12" t="s">
        <v>2950</v>
      </c>
      <c r="B2197" s="12" t="s">
        <v>924</v>
      </c>
      <c r="C2197" s="12" t="s">
        <v>925</v>
      </c>
      <c r="D2197" s="12" t="s">
        <v>103</v>
      </c>
      <c r="E2197" s="12" t="s">
        <v>104</v>
      </c>
      <c r="F2197">
        <v>2</v>
      </c>
      <c r="G2197">
        <v>0</v>
      </c>
      <c r="H2197">
        <v>0</v>
      </c>
      <c r="I2197" s="12" t="s">
        <v>335</v>
      </c>
      <c r="J2197" s="12" t="s">
        <v>336</v>
      </c>
      <c r="K2197" s="12" t="s">
        <v>89</v>
      </c>
      <c r="L2197" s="12" t="s">
        <v>82</v>
      </c>
      <c r="M2197">
        <v>16</v>
      </c>
      <c r="N2197" s="12" t="s">
        <v>107</v>
      </c>
      <c r="O2197" s="12" t="s">
        <v>108</v>
      </c>
      <c r="P2197" s="12" t="s">
        <v>109</v>
      </c>
      <c r="Q2197" s="13">
        <v>45352</v>
      </c>
      <c r="R2197" s="13">
        <v>45380</v>
      </c>
      <c r="S2197">
        <v>2024</v>
      </c>
      <c r="T2197" s="12" t="s">
        <v>2941</v>
      </c>
      <c r="U2197">
        <v>137</v>
      </c>
      <c r="V2197">
        <v>161.51509999999999</v>
      </c>
      <c r="W2197">
        <v>209.53</v>
      </c>
      <c r="X2197">
        <v>0</v>
      </c>
      <c r="Y2197">
        <v>0</v>
      </c>
      <c r="Z2197">
        <v>22127.57</v>
      </c>
      <c r="AA2197">
        <v>22337.1</v>
      </c>
      <c r="AB2197" s="12" t="s">
        <v>926</v>
      </c>
      <c r="AC2197">
        <v>161.51509999999999</v>
      </c>
      <c r="AD2197">
        <v>1</v>
      </c>
      <c r="AE2197">
        <v>1</v>
      </c>
      <c r="AF2197">
        <v>0</v>
      </c>
      <c r="AG2197">
        <v>22127.57</v>
      </c>
      <c r="AH2197">
        <v>137</v>
      </c>
      <c r="AI2197">
        <v>135</v>
      </c>
      <c r="AJ2197">
        <v>2</v>
      </c>
      <c r="AK2197">
        <v>1</v>
      </c>
      <c r="AL2197">
        <v>1</v>
      </c>
      <c r="AM2197">
        <v>98.54</v>
      </c>
      <c r="AN2197">
        <v>165.46</v>
      </c>
      <c r="AO2197">
        <v>323.02999999999997</v>
      </c>
      <c r="AP2197" s="13">
        <v>45379</v>
      </c>
      <c r="AQ2197">
        <v>-1</v>
      </c>
      <c r="AR2197">
        <v>1</v>
      </c>
    </row>
    <row r="2198" spans="1:44" x14ac:dyDescent="0.35">
      <c r="A2198" s="12" t="s">
        <v>2951</v>
      </c>
      <c r="B2198" s="12" t="s">
        <v>293</v>
      </c>
      <c r="C2198" s="12" t="s">
        <v>294</v>
      </c>
      <c r="D2198" s="12" t="s">
        <v>114</v>
      </c>
      <c r="E2198" s="12" t="s">
        <v>142</v>
      </c>
      <c r="F2198">
        <v>1</v>
      </c>
      <c r="G2198">
        <v>6</v>
      </c>
      <c r="H2198">
        <v>1</v>
      </c>
      <c r="I2198" s="12" t="s">
        <v>195</v>
      </c>
      <c r="J2198" s="12" t="s">
        <v>196</v>
      </c>
      <c r="K2198" s="12" t="s">
        <v>117</v>
      </c>
      <c r="L2198" s="12" t="s">
        <v>134</v>
      </c>
      <c r="M2198">
        <v>4.7699999999999996</v>
      </c>
      <c r="N2198" s="12" t="s">
        <v>70</v>
      </c>
      <c r="O2198" s="12" t="s">
        <v>71</v>
      </c>
      <c r="P2198" s="12" t="s">
        <v>72</v>
      </c>
      <c r="Q2198" s="13">
        <v>45352</v>
      </c>
      <c r="R2198" s="13">
        <v>45395</v>
      </c>
      <c r="S2198">
        <v>2024</v>
      </c>
      <c r="T2198" s="12" t="s">
        <v>2941</v>
      </c>
      <c r="U2198">
        <v>78</v>
      </c>
      <c r="V2198">
        <v>202.91499999999999</v>
      </c>
      <c r="W2198">
        <v>267.82</v>
      </c>
      <c r="X2198">
        <v>0</v>
      </c>
      <c r="Y2198">
        <v>0</v>
      </c>
      <c r="Z2198">
        <v>15827.37</v>
      </c>
      <c r="AA2198">
        <v>16095.19</v>
      </c>
      <c r="AB2198" s="12" t="s">
        <v>2837</v>
      </c>
      <c r="AC2198">
        <v>202.91499999999999</v>
      </c>
      <c r="AD2198">
        <v>1</v>
      </c>
      <c r="AE2198">
        <v>1</v>
      </c>
      <c r="AF2198">
        <v>0</v>
      </c>
      <c r="AG2198">
        <v>15827.37</v>
      </c>
      <c r="AH2198">
        <v>78</v>
      </c>
      <c r="AI2198">
        <v>76</v>
      </c>
      <c r="AJ2198">
        <v>2</v>
      </c>
      <c r="AK2198">
        <v>1</v>
      </c>
      <c r="AL2198">
        <v>1</v>
      </c>
      <c r="AM2198">
        <v>97.44</v>
      </c>
      <c r="AN2198">
        <v>211.77879999999999</v>
      </c>
      <c r="AO2198">
        <v>405.83</v>
      </c>
      <c r="AP2198" s="13">
        <v>45398</v>
      </c>
      <c r="AQ2198">
        <v>3</v>
      </c>
      <c r="AR2198">
        <v>0</v>
      </c>
    </row>
    <row r="2199" spans="1:44" x14ac:dyDescent="0.35">
      <c r="A2199" s="12" t="s">
        <v>2952</v>
      </c>
      <c r="B2199" s="12" t="s">
        <v>149</v>
      </c>
      <c r="C2199" s="12" t="s">
        <v>150</v>
      </c>
      <c r="D2199" s="12" t="s">
        <v>78</v>
      </c>
      <c r="E2199" s="12" t="s">
        <v>65</v>
      </c>
      <c r="F2199">
        <v>2</v>
      </c>
      <c r="G2199">
        <v>2</v>
      </c>
      <c r="H2199">
        <v>0</v>
      </c>
      <c r="I2199" s="12" t="s">
        <v>169</v>
      </c>
      <c r="J2199" s="12" t="s">
        <v>170</v>
      </c>
      <c r="K2199" s="12" t="s">
        <v>89</v>
      </c>
      <c r="L2199" s="12" t="s">
        <v>134</v>
      </c>
      <c r="M2199">
        <v>1.37</v>
      </c>
      <c r="N2199" s="12" t="s">
        <v>97</v>
      </c>
      <c r="O2199" s="12" t="s">
        <v>98</v>
      </c>
      <c r="P2199" s="12" t="s">
        <v>72</v>
      </c>
      <c r="Q2199" s="13">
        <v>45355</v>
      </c>
      <c r="R2199" s="13">
        <v>45387</v>
      </c>
      <c r="S2199">
        <v>2024</v>
      </c>
      <c r="T2199" s="12" t="s">
        <v>2941</v>
      </c>
      <c r="U2199">
        <v>204</v>
      </c>
      <c r="V2199">
        <v>78.142200000000003</v>
      </c>
      <c r="W2199">
        <v>402.03</v>
      </c>
      <c r="X2199">
        <v>0</v>
      </c>
      <c r="Y2199">
        <v>0</v>
      </c>
      <c r="Z2199">
        <v>15941.01</v>
      </c>
      <c r="AA2199">
        <v>16343.04</v>
      </c>
      <c r="AB2199" s="12" t="s">
        <v>201</v>
      </c>
      <c r="AD2199">
        <v>0</v>
      </c>
      <c r="AE2199">
        <v>0</v>
      </c>
      <c r="AH2199">
        <v>204</v>
      </c>
      <c r="AI2199">
        <v>200</v>
      </c>
      <c r="AJ2199">
        <v>4</v>
      </c>
      <c r="AK2199">
        <v>1</v>
      </c>
      <c r="AL2199">
        <v>1</v>
      </c>
      <c r="AM2199">
        <v>98.04</v>
      </c>
      <c r="AN2199">
        <v>81.715199999999996</v>
      </c>
      <c r="AO2199">
        <v>312.57</v>
      </c>
      <c r="AP2199" s="13">
        <v>45387</v>
      </c>
      <c r="AQ2199">
        <v>0</v>
      </c>
      <c r="AR2199">
        <v>1</v>
      </c>
    </row>
    <row r="2200" spans="1:44" x14ac:dyDescent="0.35">
      <c r="A2200" s="12" t="s">
        <v>2953</v>
      </c>
      <c r="B2200" s="12" t="s">
        <v>339</v>
      </c>
      <c r="C2200" s="12" t="s">
        <v>340</v>
      </c>
      <c r="D2200" s="12" t="s">
        <v>103</v>
      </c>
      <c r="E2200" s="12" t="s">
        <v>142</v>
      </c>
      <c r="F2200">
        <v>2</v>
      </c>
      <c r="G2200">
        <v>9</v>
      </c>
      <c r="H2200">
        <v>0</v>
      </c>
      <c r="I2200" s="12" t="s">
        <v>341</v>
      </c>
      <c r="J2200" s="12" t="s">
        <v>342</v>
      </c>
      <c r="K2200" s="12" t="s">
        <v>117</v>
      </c>
      <c r="L2200" s="12" t="s">
        <v>82</v>
      </c>
      <c r="M2200">
        <v>18.36</v>
      </c>
      <c r="N2200" s="12" t="s">
        <v>145</v>
      </c>
      <c r="O2200" s="12" t="s">
        <v>146</v>
      </c>
      <c r="P2200" s="12" t="s">
        <v>109</v>
      </c>
      <c r="Q2200" s="13">
        <v>45355</v>
      </c>
      <c r="R2200" s="13">
        <v>45402</v>
      </c>
      <c r="S2200">
        <v>2024</v>
      </c>
      <c r="T2200" s="12" t="s">
        <v>2941</v>
      </c>
      <c r="U2200">
        <v>110</v>
      </c>
      <c r="V2200">
        <v>243.0204</v>
      </c>
      <c r="W2200">
        <v>300.74</v>
      </c>
      <c r="X2200">
        <v>0</v>
      </c>
      <c r="Y2200">
        <v>0</v>
      </c>
      <c r="Z2200">
        <v>26732.240000000002</v>
      </c>
      <c r="AA2200">
        <v>27032.98</v>
      </c>
      <c r="AB2200" s="12" t="s">
        <v>2954</v>
      </c>
      <c r="AC2200">
        <v>243.0204</v>
      </c>
      <c r="AD2200">
        <v>1</v>
      </c>
      <c r="AE2200">
        <v>1</v>
      </c>
      <c r="AF2200">
        <v>0</v>
      </c>
      <c r="AG2200">
        <v>26732.240000000002</v>
      </c>
      <c r="AH2200">
        <v>110</v>
      </c>
      <c r="AI2200">
        <v>109</v>
      </c>
      <c r="AJ2200">
        <v>1</v>
      </c>
      <c r="AK2200">
        <v>1</v>
      </c>
      <c r="AL2200">
        <v>1</v>
      </c>
      <c r="AM2200">
        <v>99.09</v>
      </c>
      <c r="AN2200">
        <v>248.00899999999999</v>
      </c>
      <c r="AO2200">
        <v>243.02</v>
      </c>
      <c r="AP2200" s="13">
        <v>45400</v>
      </c>
      <c r="AQ2200">
        <v>-2</v>
      </c>
      <c r="AR2200">
        <v>1</v>
      </c>
    </row>
    <row r="2201" spans="1:44" x14ac:dyDescent="0.35">
      <c r="A2201" s="12" t="s">
        <v>2955</v>
      </c>
      <c r="B2201" s="12" t="s">
        <v>728</v>
      </c>
      <c r="C2201" s="12" t="s">
        <v>729</v>
      </c>
      <c r="D2201" s="12" t="s">
        <v>269</v>
      </c>
      <c r="E2201" s="12" t="s">
        <v>65</v>
      </c>
      <c r="F2201">
        <v>2</v>
      </c>
      <c r="G2201">
        <v>3</v>
      </c>
      <c r="H2201">
        <v>0</v>
      </c>
      <c r="I2201" s="12" t="s">
        <v>310</v>
      </c>
      <c r="J2201" s="12" t="s">
        <v>311</v>
      </c>
      <c r="K2201" s="12" t="s">
        <v>81</v>
      </c>
      <c r="L2201" s="12" t="s">
        <v>69</v>
      </c>
      <c r="M2201">
        <v>28.3</v>
      </c>
      <c r="N2201" s="12" t="s">
        <v>135</v>
      </c>
      <c r="O2201" s="12" t="s">
        <v>136</v>
      </c>
      <c r="P2201" s="12" t="s">
        <v>137</v>
      </c>
      <c r="Q2201" s="13">
        <v>45355</v>
      </c>
      <c r="R2201" s="13">
        <v>45386</v>
      </c>
      <c r="S2201">
        <v>2024</v>
      </c>
      <c r="T2201" s="12" t="s">
        <v>2941</v>
      </c>
      <c r="U2201">
        <v>94</v>
      </c>
      <c r="V2201">
        <v>374.99740000000003</v>
      </c>
      <c r="W2201">
        <v>633.61</v>
      </c>
      <c r="X2201">
        <v>0</v>
      </c>
      <c r="Y2201">
        <v>0</v>
      </c>
      <c r="Z2201">
        <v>35249.760000000002</v>
      </c>
      <c r="AA2201">
        <v>35883.370000000003</v>
      </c>
      <c r="AB2201" s="12" t="s">
        <v>730</v>
      </c>
      <c r="AC2201">
        <v>374.99740000000003</v>
      </c>
      <c r="AD2201">
        <v>1</v>
      </c>
      <c r="AE2201">
        <v>1</v>
      </c>
      <c r="AF2201">
        <v>0</v>
      </c>
      <c r="AG2201">
        <v>35249.760000000002</v>
      </c>
      <c r="AH2201">
        <v>94</v>
      </c>
      <c r="AI2201">
        <v>93</v>
      </c>
      <c r="AJ2201">
        <v>1</v>
      </c>
      <c r="AK2201">
        <v>1</v>
      </c>
      <c r="AL2201">
        <v>1</v>
      </c>
      <c r="AM2201">
        <v>98.94</v>
      </c>
      <c r="AN2201">
        <v>385.8426</v>
      </c>
      <c r="AO2201">
        <v>375</v>
      </c>
      <c r="AP2201" s="13">
        <v>45385</v>
      </c>
      <c r="AQ2201">
        <v>-1</v>
      </c>
      <c r="AR2201">
        <v>1</v>
      </c>
    </row>
    <row r="2202" spans="1:44" x14ac:dyDescent="0.35">
      <c r="A2202" s="12" t="s">
        <v>2956</v>
      </c>
      <c r="B2202" s="12" t="s">
        <v>661</v>
      </c>
      <c r="C2202" s="12" t="s">
        <v>662</v>
      </c>
      <c r="D2202" s="12" t="s">
        <v>175</v>
      </c>
      <c r="E2202" s="12" t="s">
        <v>104</v>
      </c>
      <c r="F2202">
        <v>1</v>
      </c>
      <c r="G2202">
        <v>0</v>
      </c>
      <c r="H2202">
        <v>1</v>
      </c>
      <c r="I2202" s="12" t="s">
        <v>183</v>
      </c>
      <c r="J2202" s="12" t="s">
        <v>184</v>
      </c>
      <c r="K2202" s="12" t="s">
        <v>133</v>
      </c>
      <c r="L2202" s="12" t="s">
        <v>82</v>
      </c>
      <c r="M2202">
        <v>8.6199999999999992</v>
      </c>
      <c r="N2202" s="12" t="s">
        <v>145</v>
      </c>
      <c r="O2202" s="12" t="s">
        <v>146</v>
      </c>
      <c r="P2202" s="12" t="s">
        <v>109</v>
      </c>
      <c r="Q2202" s="13">
        <v>45355</v>
      </c>
      <c r="R2202" s="13">
        <v>45367</v>
      </c>
      <c r="S2202">
        <v>2024</v>
      </c>
      <c r="T2202" s="12" t="s">
        <v>2941</v>
      </c>
      <c r="U2202">
        <v>17</v>
      </c>
      <c r="V2202">
        <v>180.0376</v>
      </c>
      <c r="W2202">
        <v>32.729999999999997</v>
      </c>
      <c r="X2202">
        <v>0</v>
      </c>
      <c r="Y2202">
        <v>0</v>
      </c>
      <c r="Z2202">
        <v>3060.64</v>
      </c>
      <c r="AA2202">
        <v>3093.37</v>
      </c>
      <c r="AB2202" s="12" t="s">
        <v>2851</v>
      </c>
      <c r="AC2202">
        <v>180.0376</v>
      </c>
      <c r="AD2202">
        <v>1</v>
      </c>
      <c r="AE2202">
        <v>1</v>
      </c>
      <c r="AF2202">
        <v>0</v>
      </c>
      <c r="AG2202">
        <v>3060.64</v>
      </c>
      <c r="AH2202">
        <v>17</v>
      </c>
      <c r="AI2202">
        <v>17</v>
      </c>
      <c r="AJ2202">
        <v>0</v>
      </c>
      <c r="AK2202">
        <v>1</v>
      </c>
      <c r="AL2202">
        <v>1</v>
      </c>
      <c r="AM2202">
        <v>100</v>
      </c>
      <c r="AN2202">
        <v>181.96289999999999</v>
      </c>
      <c r="AO2202">
        <v>0</v>
      </c>
      <c r="AP2202" s="13">
        <v>45365</v>
      </c>
      <c r="AQ2202">
        <v>-2</v>
      </c>
      <c r="AR2202">
        <v>1</v>
      </c>
    </row>
    <row r="2203" spans="1:44" x14ac:dyDescent="0.35">
      <c r="A2203" s="12" t="s">
        <v>2957</v>
      </c>
      <c r="B2203" s="12" t="s">
        <v>221</v>
      </c>
      <c r="C2203" s="12" t="s">
        <v>222</v>
      </c>
      <c r="D2203" s="12" t="s">
        <v>114</v>
      </c>
      <c r="E2203" s="12" t="s">
        <v>142</v>
      </c>
      <c r="F2203">
        <v>3</v>
      </c>
      <c r="G2203">
        <v>11</v>
      </c>
      <c r="H2203">
        <v>0</v>
      </c>
      <c r="I2203" s="12" t="s">
        <v>105</v>
      </c>
      <c r="J2203" s="12" t="s">
        <v>106</v>
      </c>
      <c r="K2203" s="12" t="s">
        <v>81</v>
      </c>
      <c r="L2203" s="12" t="s">
        <v>96</v>
      </c>
      <c r="M2203">
        <v>5.01</v>
      </c>
      <c r="N2203" s="12" t="s">
        <v>70</v>
      </c>
      <c r="O2203" s="12" t="s">
        <v>71</v>
      </c>
      <c r="P2203" s="12" t="s">
        <v>72</v>
      </c>
      <c r="Q2203" s="13">
        <v>45355</v>
      </c>
      <c r="R2203" s="13">
        <v>45397</v>
      </c>
      <c r="S2203">
        <v>2024</v>
      </c>
      <c r="T2203" s="12" t="s">
        <v>2941</v>
      </c>
      <c r="U2203">
        <v>70</v>
      </c>
      <c r="V2203">
        <v>239.12260000000001</v>
      </c>
      <c r="W2203">
        <v>343.98</v>
      </c>
      <c r="X2203">
        <v>0</v>
      </c>
      <c r="Y2203">
        <v>0</v>
      </c>
      <c r="Z2203">
        <v>16738.580000000002</v>
      </c>
      <c r="AA2203">
        <v>17082.560000000001</v>
      </c>
      <c r="AB2203" s="12" t="s">
        <v>2818</v>
      </c>
      <c r="AC2203">
        <v>239.12260000000001</v>
      </c>
      <c r="AD2203">
        <v>1</v>
      </c>
      <c r="AE2203">
        <v>1</v>
      </c>
      <c r="AF2203">
        <v>0</v>
      </c>
      <c r="AG2203">
        <v>16738.580000000002</v>
      </c>
      <c r="AH2203">
        <v>70</v>
      </c>
      <c r="AI2203">
        <v>70</v>
      </c>
      <c r="AJ2203">
        <v>0</v>
      </c>
      <c r="AK2203">
        <v>1</v>
      </c>
      <c r="AL2203">
        <v>1</v>
      </c>
      <c r="AM2203">
        <v>100</v>
      </c>
      <c r="AN2203">
        <v>244.03659999999999</v>
      </c>
      <c r="AO2203">
        <v>0</v>
      </c>
      <c r="AP2203" s="13">
        <v>45396</v>
      </c>
      <c r="AQ2203">
        <v>-1</v>
      </c>
      <c r="AR2203">
        <v>1</v>
      </c>
    </row>
    <row r="2204" spans="1:44" x14ac:dyDescent="0.35">
      <c r="A2204" s="12" t="s">
        <v>2958</v>
      </c>
      <c r="B2204" s="12" t="s">
        <v>428</v>
      </c>
      <c r="C2204" s="12" t="s">
        <v>429</v>
      </c>
      <c r="D2204" s="12" t="s">
        <v>64</v>
      </c>
      <c r="E2204" s="12" t="s">
        <v>65</v>
      </c>
      <c r="F2204">
        <v>3</v>
      </c>
      <c r="G2204">
        <v>4</v>
      </c>
      <c r="H2204">
        <v>0</v>
      </c>
      <c r="I2204" s="12" t="s">
        <v>380</v>
      </c>
      <c r="J2204" s="12" t="s">
        <v>381</v>
      </c>
      <c r="K2204" s="12" t="s">
        <v>89</v>
      </c>
      <c r="L2204" s="12" t="s">
        <v>96</v>
      </c>
      <c r="M2204">
        <v>10.210000000000001</v>
      </c>
      <c r="N2204" s="12" t="s">
        <v>70</v>
      </c>
      <c r="O2204" s="12" t="s">
        <v>71</v>
      </c>
      <c r="P2204" s="12" t="s">
        <v>72</v>
      </c>
      <c r="Q2204" s="13">
        <v>45355</v>
      </c>
      <c r="R2204" s="13">
        <v>45387</v>
      </c>
      <c r="S2204">
        <v>2024</v>
      </c>
      <c r="T2204" s="12" t="s">
        <v>2941</v>
      </c>
      <c r="U2204">
        <v>651</v>
      </c>
      <c r="V2204">
        <v>13.9192</v>
      </c>
      <c r="W2204">
        <v>215.16</v>
      </c>
      <c r="X2204">
        <v>0</v>
      </c>
      <c r="Y2204">
        <v>0</v>
      </c>
      <c r="Z2204">
        <v>9061.4</v>
      </c>
      <c r="AA2204">
        <v>9276.56</v>
      </c>
      <c r="AB2204" s="12" t="s">
        <v>2959</v>
      </c>
      <c r="AC2204">
        <v>13.9192</v>
      </c>
      <c r="AD2204">
        <v>1</v>
      </c>
      <c r="AE2204">
        <v>1</v>
      </c>
      <c r="AF2204">
        <v>0</v>
      </c>
      <c r="AG2204">
        <v>9061.4</v>
      </c>
      <c r="AH2204">
        <v>651</v>
      </c>
      <c r="AI2204">
        <v>643</v>
      </c>
      <c r="AJ2204">
        <v>8</v>
      </c>
      <c r="AK2204">
        <v>1</v>
      </c>
      <c r="AL2204">
        <v>1</v>
      </c>
      <c r="AM2204">
        <v>98.77</v>
      </c>
      <c r="AN2204">
        <v>14.427</v>
      </c>
      <c r="AO2204">
        <v>111.35</v>
      </c>
      <c r="AP2204" s="13">
        <v>45385</v>
      </c>
      <c r="AQ2204">
        <v>-2</v>
      </c>
      <c r="AR2204">
        <v>1</v>
      </c>
    </row>
    <row r="2205" spans="1:44" x14ac:dyDescent="0.35">
      <c r="A2205" s="12" t="s">
        <v>2960</v>
      </c>
      <c r="B2205" s="12" t="s">
        <v>972</v>
      </c>
      <c r="C2205" s="12" t="s">
        <v>973</v>
      </c>
      <c r="D2205" s="12" t="s">
        <v>130</v>
      </c>
      <c r="E2205" s="12" t="s">
        <v>142</v>
      </c>
      <c r="F2205">
        <v>2</v>
      </c>
      <c r="G2205">
        <v>9</v>
      </c>
      <c r="H2205">
        <v>0</v>
      </c>
      <c r="I2205" s="12" t="s">
        <v>676</v>
      </c>
      <c r="J2205" s="12" t="s">
        <v>677</v>
      </c>
      <c r="K2205" s="12" t="s">
        <v>68</v>
      </c>
      <c r="L2205" s="12" t="s">
        <v>96</v>
      </c>
      <c r="M2205">
        <v>3.57</v>
      </c>
      <c r="N2205" s="12" t="s">
        <v>159</v>
      </c>
      <c r="O2205" s="12" t="s">
        <v>160</v>
      </c>
      <c r="P2205" s="12" t="s">
        <v>137</v>
      </c>
      <c r="Q2205" s="13">
        <v>45355</v>
      </c>
      <c r="R2205" s="13">
        <v>45397</v>
      </c>
      <c r="S2205">
        <v>2024</v>
      </c>
      <c r="T2205" s="12" t="s">
        <v>2941</v>
      </c>
      <c r="U2205">
        <v>70</v>
      </c>
      <c r="V2205">
        <v>842.69190000000003</v>
      </c>
      <c r="W2205">
        <v>1400.92</v>
      </c>
      <c r="X2205">
        <v>0</v>
      </c>
      <c r="Y2205">
        <v>0</v>
      </c>
      <c r="Z2205">
        <v>58988.43</v>
      </c>
      <c r="AA2205">
        <v>60389.35</v>
      </c>
      <c r="AB2205" s="12" t="s">
        <v>974</v>
      </c>
      <c r="AC2205">
        <v>842.69190000000003</v>
      </c>
      <c r="AD2205">
        <v>1</v>
      </c>
      <c r="AE2205">
        <v>1</v>
      </c>
      <c r="AF2205">
        <v>0</v>
      </c>
      <c r="AG2205">
        <v>58988.43</v>
      </c>
      <c r="AH2205">
        <v>70</v>
      </c>
      <c r="AI2205">
        <v>70</v>
      </c>
      <c r="AJ2205">
        <v>0</v>
      </c>
      <c r="AK2205">
        <v>1</v>
      </c>
      <c r="AL2205">
        <v>1</v>
      </c>
      <c r="AM2205">
        <v>100</v>
      </c>
      <c r="AN2205">
        <v>862.70500000000004</v>
      </c>
      <c r="AO2205">
        <v>0</v>
      </c>
      <c r="AP2205" s="13">
        <v>45406</v>
      </c>
      <c r="AQ2205">
        <v>9</v>
      </c>
      <c r="AR2205">
        <v>0</v>
      </c>
    </row>
    <row r="2206" spans="1:44" x14ac:dyDescent="0.35">
      <c r="A2206" s="12" t="s">
        <v>2961</v>
      </c>
      <c r="B2206" s="12" t="s">
        <v>792</v>
      </c>
      <c r="C2206" s="12" t="s">
        <v>793</v>
      </c>
      <c r="D2206" s="12" t="s">
        <v>103</v>
      </c>
      <c r="E2206" s="12" t="s">
        <v>65</v>
      </c>
      <c r="F2206">
        <v>2</v>
      </c>
      <c r="G2206">
        <v>3</v>
      </c>
      <c r="H2206">
        <v>0</v>
      </c>
      <c r="I2206" s="12" t="s">
        <v>115</v>
      </c>
      <c r="J2206" s="12" t="s">
        <v>116</v>
      </c>
      <c r="K2206" s="12" t="s">
        <v>117</v>
      </c>
      <c r="L2206" s="12" t="s">
        <v>82</v>
      </c>
      <c r="M2206">
        <v>17.170000000000002</v>
      </c>
      <c r="N2206" s="12" t="s">
        <v>107</v>
      </c>
      <c r="O2206" s="12" t="s">
        <v>108</v>
      </c>
      <c r="P2206" s="12" t="s">
        <v>109</v>
      </c>
      <c r="Q2206" s="13">
        <v>45355</v>
      </c>
      <c r="R2206" s="13">
        <v>45381</v>
      </c>
      <c r="S2206">
        <v>2024</v>
      </c>
      <c r="T2206" s="12" t="s">
        <v>2941</v>
      </c>
      <c r="U2206">
        <v>51</v>
      </c>
      <c r="V2206">
        <v>99.173299999999998</v>
      </c>
      <c r="W2206">
        <v>51.61</v>
      </c>
      <c r="X2206">
        <v>0</v>
      </c>
      <c r="Y2206">
        <v>0</v>
      </c>
      <c r="Z2206">
        <v>5057.84</v>
      </c>
      <c r="AA2206">
        <v>5109.45</v>
      </c>
      <c r="AB2206" s="12" t="s">
        <v>794</v>
      </c>
      <c r="AC2206">
        <v>99.173299999999998</v>
      </c>
      <c r="AD2206">
        <v>1</v>
      </c>
      <c r="AE2206">
        <v>1</v>
      </c>
      <c r="AF2206">
        <v>0</v>
      </c>
      <c r="AG2206">
        <v>5057.84</v>
      </c>
      <c r="AH2206">
        <v>51</v>
      </c>
      <c r="AI2206">
        <v>51</v>
      </c>
      <c r="AJ2206">
        <v>0</v>
      </c>
      <c r="AK2206">
        <v>1</v>
      </c>
      <c r="AL2206">
        <v>1</v>
      </c>
      <c r="AM2206">
        <v>100</v>
      </c>
      <c r="AN2206">
        <v>100.1853</v>
      </c>
      <c r="AO2206">
        <v>0</v>
      </c>
      <c r="AP2206" s="13">
        <v>45378</v>
      </c>
      <c r="AQ2206">
        <v>-3</v>
      </c>
      <c r="AR2206">
        <v>1</v>
      </c>
    </row>
    <row r="2207" spans="1:44" x14ac:dyDescent="0.35">
      <c r="A2207" s="12" t="s">
        <v>2962</v>
      </c>
      <c r="B2207" s="12" t="s">
        <v>404</v>
      </c>
      <c r="C2207" s="12" t="s">
        <v>405</v>
      </c>
      <c r="D2207" s="12" t="s">
        <v>269</v>
      </c>
      <c r="E2207" s="12" t="s">
        <v>65</v>
      </c>
      <c r="F2207">
        <v>3</v>
      </c>
      <c r="G2207">
        <v>5</v>
      </c>
      <c r="H2207">
        <v>0</v>
      </c>
      <c r="I2207" s="12" t="s">
        <v>79</v>
      </c>
      <c r="J2207" s="12" t="s">
        <v>80</v>
      </c>
      <c r="K2207" s="12" t="s">
        <v>81</v>
      </c>
      <c r="L2207" s="12" t="s">
        <v>82</v>
      </c>
      <c r="M2207">
        <v>12.07</v>
      </c>
      <c r="N2207" s="12" t="s">
        <v>135</v>
      </c>
      <c r="O2207" s="12" t="s">
        <v>136</v>
      </c>
      <c r="P2207" s="12" t="s">
        <v>137</v>
      </c>
      <c r="Q2207" s="13">
        <v>45356</v>
      </c>
      <c r="R2207" s="13">
        <v>45385</v>
      </c>
      <c r="S2207">
        <v>2024</v>
      </c>
      <c r="T2207" s="12" t="s">
        <v>2941</v>
      </c>
      <c r="U2207">
        <v>76</v>
      </c>
      <c r="V2207">
        <v>430.2559</v>
      </c>
      <c r="W2207">
        <v>315.54000000000002</v>
      </c>
      <c r="X2207">
        <v>0</v>
      </c>
      <c r="Y2207">
        <v>0</v>
      </c>
      <c r="Z2207">
        <v>32699.45</v>
      </c>
      <c r="AA2207">
        <v>33014.99</v>
      </c>
      <c r="AB2207" s="12" t="s">
        <v>2910</v>
      </c>
      <c r="AC2207">
        <v>430.2559</v>
      </c>
      <c r="AD2207">
        <v>1</v>
      </c>
      <c r="AE2207">
        <v>1</v>
      </c>
      <c r="AF2207">
        <v>0</v>
      </c>
      <c r="AG2207">
        <v>32699.45</v>
      </c>
      <c r="AH2207">
        <v>76</v>
      </c>
      <c r="AI2207">
        <v>75</v>
      </c>
      <c r="AJ2207">
        <v>1</v>
      </c>
      <c r="AK2207">
        <v>1</v>
      </c>
      <c r="AL2207">
        <v>1</v>
      </c>
      <c r="AM2207">
        <v>98.68</v>
      </c>
      <c r="AN2207">
        <v>440.19979999999998</v>
      </c>
      <c r="AO2207">
        <v>430.26</v>
      </c>
      <c r="AP2207" s="13">
        <v>45384</v>
      </c>
      <c r="AQ2207">
        <v>-1</v>
      </c>
      <c r="AR2207">
        <v>1</v>
      </c>
    </row>
    <row r="2208" spans="1:44" x14ac:dyDescent="0.35">
      <c r="A2208" s="12" t="s">
        <v>2963</v>
      </c>
      <c r="B2208" s="12" t="s">
        <v>802</v>
      </c>
      <c r="C2208" s="12" t="s">
        <v>803</v>
      </c>
      <c r="D2208" s="12" t="s">
        <v>114</v>
      </c>
      <c r="E2208" s="12" t="s">
        <v>65</v>
      </c>
      <c r="F2208">
        <v>3</v>
      </c>
      <c r="G2208">
        <v>5</v>
      </c>
      <c r="H2208">
        <v>0</v>
      </c>
      <c r="I2208" s="12" t="s">
        <v>804</v>
      </c>
      <c r="J2208" s="12" t="s">
        <v>342</v>
      </c>
      <c r="K2208" s="12" t="s">
        <v>117</v>
      </c>
      <c r="L2208" s="12" t="s">
        <v>69</v>
      </c>
      <c r="M2208">
        <v>30.07</v>
      </c>
      <c r="N2208" s="12" t="s">
        <v>97</v>
      </c>
      <c r="O2208" s="12" t="s">
        <v>98</v>
      </c>
      <c r="P2208" s="12" t="s">
        <v>72</v>
      </c>
      <c r="Q2208" s="13">
        <v>45356</v>
      </c>
      <c r="R2208" s="13">
        <v>45388</v>
      </c>
      <c r="S2208">
        <v>2024</v>
      </c>
      <c r="T2208" s="12" t="s">
        <v>2941</v>
      </c>
      <c r="U2208">
        <v>100</v>
      </c>
      <c r="V2208">
        <v>350.71699999999998</v>
      </c>
      <c r="W2208">
        <v>300.87</v>
      </c>
      <c r="X2208">
        <v>0</v>
      </c>
      <c r="Y2208">
        <v>0</v>
      </c>
      <c r="Z2208">
        <v>35071.699999999997</v>
      </c>
      <c r="AA2208">
        <v>35372.57</v>
      </c>
      <c r="AB2208" s="12" t="s">
        <v>805</v>
      </c>
      <c r="AC2208">
        <v>362.99209999999999</v>
      </c>
      <c r="AD2208">
        <v>2</v>
      </c>
      <c r="AE2208">
        <v>1</v>
      </c>
      <c r="AF2208">
        <v>-1227.51</v>
      </c>
      <c r="AG2208">
        <v>36299.21</v>
      </c>
      <c r="AH2208">
        <v>100</v>
      </c>
      <c r="AI2208">
        <v>99</v>
      </c>
      <c r="AJ2208">
        <v>1</v>
      </c>
      <c r="AK2208">
        <v>1</v>
      </c>
      <c r="AL2208">
        <v>1</v>
      </c>
      <c r="AM2208">
        <v>99</v>
      </c>
      <c r="AN2208">
        <v>357.2987</v>
      </c>
      <c r="AO2208">
        <v>350.72</v>
      </c>
      <c r="AP2208" s="13">
        <v>45388</v>
      </c>
      <c r="AQ2208">
        <v>0</v>
      </c>
      <c r="AR2208">
        <v>1</v>
      </c>
    </row>
    <row r="2209" spans="1:44" x14ac:dyDescent="0.35">
      <c r="A2209" s="12" t="s">
        <v>2964</v>
      </c>
      <c r="B2209" s="12" t="s">
        <v>843</v>
      </c>
      <c r="C2209" s="12" t="s">
        <v>844</v>
      </c>
      <c r="D2209" s="12" t="s">
        <v>175</v>
      </c>
      <c r="E2209" s="12" t="s">
        <v>65</v>
      </c>
      <c r="F2209">
        <v>3</v>
      </c>
      <c r="G2209">
        <v>5</v>
      </c>
      <c r="H2209">
        <v>0</v>
      </c>
      <c r="I2209" s="12" t="s">
        <v>359</v>
      </c>
      <c r="J2209" s="12" t="s">
        <v>360</v>
      </c>
      <c r="K2209" s="12" t="s">
        <v>133</v>
      </c>
      <c r="L2209" s="12" t="s">
        <v>82</v>
      </c>
      <c r="M2209">
        <v>12.65</v>
      </c>
      <c r="N2209" s="12" t="s">
        <v>145</v>
      </c>
      <c r="O2209" s="12" t="s">
        <v>146</v>
      </c>
      <c r="P2209" s="12" t="s">
        <v>109</v>
      </c>
      <c r="Q2209" s="13">
        <v>45356</v>
      </c>
      <c r="R2209" s="13">
        <v>45383</v>
      </c>
      <c r="S2209">
        <v>2024</v>
      </c>
      <c r="T2209" s="12" t="s">
        <v>2941</v>
      </c>
      <c r="U2209">
        <v>59</v>
      </c>
      <c r="V2209">
        <v>267.03480000000002</v>
      </c>
      <c r="W2209">
        <v>327.73</v>
      </c>
      <c r="X2209">
        <v>0</v>
      </c>
      <c r="Y2209">
        <v>0</v>
      </c>
      <c r="Z2209">
        <v>15755.05</v>
      </c>
      <c r="AA2209">
        <v>16082.78</v>
      </c>
      <c r="AB2209" s="12" t="s">
        <v>845</v>
      </c>
      <c r="AC2209">
        <v>267.03480000000002</v>
      </c>
      <c r="AD2209">
        <v>1</v>
      </c>
      <c r="AE2209">
        <v>1</v>
      </c>
      <c r="AF2209">
        <v>0</v>
      </c>
      <c r="AG2209">
        <v>15755.05</v>
      </c>
      <c r="AH2209">
        <v>59</v>
      </c>
      <c r="AI2209">
        <v>58</v>
      </c>
      <c r="AJ2209">
        <v>1</v>
      </c>
      <c r="AK2209">
        <v>1</v>
      </c>
      <c r="AL2209">
        <v>1</v>
      </c>
      <c r="AM2209">
        <v>98.31</v>
      </c>
      <c r="AN2209">
        <v>277.2894</v>
      </c>
      <c r="AO2209">
        <v>267.02999999999997</v>
      </c>
      <c r="AP2209" s="13">
        <v>45383</v>
      </c>
      <c r="AQ2209">
        <v>0</v>
      </c>
      <c r="AR2209">
        <v>1</v>
      </c>
    </row>
    <row r="2210" spans="1:44" x14ac:dyDescent="0.35">
      <c r="A2210" s="12" t="s">
        <v>2965</v>
      </c>
      <c r="B2210" s="12" t="s">
        <v>472</v>
      </c>
      <c r="C2210" s="12" t="s">
        <v>473</v>
      </c>
      <c r="D2210" s="12" t="s">
        <v>122</v>
      </c>
      <c r="E2210" s="12" t="s">
        <v>142</v>
      </c>
      <c r="F2210">
        <v>2</v>
      </c>
      <c r="G2210">
        <v>9</v>
      </c>
      <c r="H2210">
        <v>0</v>
      </c>
      <c r="I2210" s="12" t="s">
        <v>209</v>
      </c>
      <c r="J2210" s="12" t="s">
        <v>210</v>
      </c>
      <c r="K2210" s="12" t="s">
        <v>133</v>
      </c>
      <c r="L2210" s="12" t="s">
        <v>96</v>
      </c>
      <c r="M2210">
        <v>7.82</v>
      </c>
      <c r="N2210" s="12" t="s">
        <v>70</v>
      </c>
      <c r="O2210" s="12" t="s">
        <v>71</v>
      </c>
      <c r="P2210" s="12" t="s">
        <v>72</v>
      </c>
      <c r="Q2210" s="13">
        <v>45356</v>
      </c>
      <c r="R2210" s="13">
        <v>45394</v>
      </c>
      <c r="S2210">
        <v>2024</v>
      </c>
      <c r="T2210" s="12" t="s">
        <v>2941</v>
      </c>
      <c r="U2210">
        <v>594</v>
      </c>
      <c r="V2210">
        <v>46.789099999999998</v>
      </c>
      <c r="W2210">
        <v>227.54</v>
      </c>
      <c r="X2210">
        <v>0</v>
      </c>
      <c r="Y2210">
        <v>0</v>
      </c>
      <c r="Z2210">
        <v>27792.73</v>
      </c>
      <c r="AA2210">
        <v>28020.27</v>
      </c>
      <c r="AB2210" s="12" t="s">
        <v>2966</v>
      </c>
      <c r="AC2210">
        <v>46.789099999999998</v>
      </c>
      <c r="AD2210">
        <v>1</v>
      </c>
      <c r="AE2210">
        <v>1</v>
      </c>
      <c r="AF2210">
        <v>0</v>
      </c>
      <c r="AG2210">
        <v>27792.73</v>
      </c>
      <c r="AH2210">
        <v>594</v>
      </c>
      <c r="AI2210">
        <v>591</v>
      </c>
      <c r="AJ2210">
        <v>3</v>
      </c>
      <c r="AK2210">
        <v>1</v>
      </c>
      <c r="AL2210">
        <v>1</v>
      </c>
      <c r="AM2210">
        <v>99.49</v>
      </c>
      <c r="AN2210">
        <v>47.4116</v>
      </c>
      <c r="AO2210">
        <v>140.37</v>
      </c>
      <c r="AP2210" s="13">
        <v>45393</v>
      </c>
      <c r="AQ2210">
        <v>-1</v>
      </c>
      <c r="AR2210">
        <v>1</v>
      </c>
    </row>
    <row r="2211" spans="1:44" x14ac:dyDescent="0.35">
      <c r="A2211" s="12" t="s">
        <v>2967</v>
      </c>
      <c r="B2211" s="12" t="s">
        <v>685</v>
      </c>
      <c r="C2211" s="12" t="s">
        <v>686</v>
      </c>
      <c r="D2211" s="12" t="s">
        <v>175</v>
      </c>
      <c r="E2211" s="12" t="s">
        <v>104</v>
      </c>
      <c r="F2211">
        <v>2</v>
      </c>
      <c r="G2211">
        <v>0</v>
      </c>
      <c r="H2211">
        <v>0</v>
      </c>
      <c r="I2211" s="12" t="s">
        <v>243</v>
      </c>
      <c r="J2211" s="12" t="s">
        <v>244</v>
      </c>
      <c r="K2211" s="12" t="s">
        <v>81</v>
      </c>
      <c r="L2211" s="12" t="s">
        <v>82</v>
      </c>
      <c r="M2211">
        <v>9.2200000000000006</v>
      </c>
      <c r="N2211" s="12" t="s">
        <v>107</v>
      </c>
      <c r="O2211" s="12" t="s">
        <v>108</v>
      </c>
      <c r="P2211" s="12" t="s">
        <v>109</v>
      </c>
      <c r="Q2211" s="13">
        <v>45356</v>
      </c>
      <c r="R2211" s="13">
        <v>45383</v>
      </c>
      <c r="S2211">
        <v>2024</v>
      </c>
      <c r="T2211" s="12" t="s">
        <v>2941</v>
      </c>
      <c r="U2211">
        <v>128</v>
      </c>
      <c r="V2211">
        <v>221.7389</v>
      </c>
      <c r="W2211">
        <v>329.15</v>
      </c>
      <c r="X2211">
        <v>0</v>
      </c>
      <c r="Y2211">
        <v>0</v>
      </c>
      <c r="Z2211">
        <v>28382.58</v>
      </c>
      <c r="AA2211">
        <v>28711.73</v>
      </c>
      <c r="AB2211" s="12" t="s">
        <v>687</v>
      </c>
      <c r="AC2211">
        <v>221.7389</v>
      </c>
      <c r="AD2211">
        <v>1</v>
      </c>
      <c r="AE2211">
        <v>1</v>
      </c>
      <c r="AF2211">
        <v>0</v>
      </c>
      <c r="AG2211">
        <v>28382.58</v>
      </c>
      <c r="AH2211">
        <v>128</v>
      </c>
      <c r="AI2211">
        <v>127</v>
      </c>
      <c r="AJ2211">
        <v>1</v>
      </c>
      <c r="AK2211">
        <v>1</v>
      </c>
      <c r="AL2211">
        <v>1</v>
      </c>
      <c r="AM2211">
        <v>99.22</v>
      </c>
      <c r="AN2211">
        <v>226.07660000000001</v>
      </c>
      <c r="AO2211">
        <v>221.74</v>
      </c>
      <c r="AP2211" s="13">
        <v>45381</v>
      </c>
      <c r="AQ2211">
        <v>-2</v>
      </c>
      <c r="AR2211">
        <v>1</v>
      </c>
    </row>
    <row r="2212" spans="1:44" x14ac:dyDescent="0.35">
      <c r="A2212" s="12" t="s">
        <v>2968</v>
      </c>
      <c r="B2212" s="12" t="s">
        <v>519</v>
      </c>
      <c r="C2212" s="12" t="s">
        <v>520</v>
      </c>
      <c r="D2212" s="12" t="s">
        <v>78</v>
      </c>
      <c r="E2212" s="12" t="s">
        <v>65</v>
      </c>
      <c r="F2212">
        <v>2</v>
      </c>
      <c r="G2212">
        <v>3</v>
      </c>
      <c r="H2212">
        <v>0</v>
      </c>
      <c r="I2212" s="12" t="s">
        <v>66</v>
      </c>
      <c r="J2212" s="12" t="s">
        <v>67</v>
      </c>
      <c r="K2212" s="12" t="s">
        <v>68</v>
      </c>
      <c r="L2212" s="12" t="s">
        <v>69</v>
      </c>
      <c r="M2212">
        <v>17.66</v>
      </c>
      <c r="N2212" s="12" t="s">
        <v>97</v>
      </c>
      <c r="O2212" s="12" t="s">
        <v>98</v>
      </c>
      <c r="P2212" s="12" t="s">
        <v>72</v>
      </c>
      <c r="Q2212" s="13">
        <v>45356</v>
      </c>
      <c r="R2212" s="13">
        <v>45381</v>
      </c>
      <c r="S2212">
        <v>2024</v>
      </c>
      <c r="T2212" s="12" t="s">
        <v>2941</v>
      </c>
      <c r="U2212">
        <v>105</v>
      </c>
      <c r="V2212">
        <v>35.250100000000003</v>
      </c>
      <c r="W2212">
        <v>25.11</v>
      </c>
      <c r="X2212">
        <v>0</v>
      </c>
      <c r="Y2212">
        <v>0</v>
      </c>
      <c r="Z2212">
        <v>3701.26</v>
      </c>
      <c r="AA2212">
        <v>3726.37</v>
      </c>
      <c r="AB2212" s="12" t="s">
        <v>201</v>
      </c>
      <c r="AD2212">
        <v>0</v>
      </c>
      <c r="AE2212">
        <v>0</v>
      </c>
      <c r="AH2212">
        <v>105</v>
      </c>
      <c r="AI2212">
        <v>104</v>
      </c>
      <c r="AJ2212">
        <v>1</v>
      </c>
      <c r="AK2212">
        <v>1</v>
      </c>
      <c r="AL2212">
        <v>1</v>
      </c>
      <c r="AM2212">
        <v>99.05</v>
      </c>
      <c r="AN2212">
        <v>35.830500000000001</v>
      </c>
      <c r="AO2212">
        <v>35.25</v>
      </c>
      <c r="AP2212" s="13">
        <v>45380</v>
      </c>
      <c r="AQ2212">
        <v>-1</v>
      </c>
      <c r="AR2212">
        <v>1</v>
      </c>
    </row>
    <row r="2213" spans="1:44" x14ac:dyDescent="0.35">
      <c r="A2213" s="12" t="s">
        <v>2969</v>
      </c>
      <c r="B2213" s="12" t="s">
        <v>990</v>
      </c>
      <c r="C2213" s="12" t="s">
        <v>991</v>
      </c>
      <c r="D2213" s="12" t="s">
        <v>122</v>
      </c>
      <c r="E2213" s="12" t="s">
        <v>142</v>
      </c>
      <c r="F2213">
        <v>1</v>
      </c>
      <c r="G2213">
        <v>6</v>
      </c>
      <c r="H2213">
        <v>1</v>
      </c>
      <c r="I2213" s="12" t="s">
        <v>217</v>
      </c>
      <c r="J2213" s="12" t="s">
        <v>218</v>
      </c>
      <c r="K2213" s="12" t="s">
        <v>68</v>
      </c>
      <c r="L2213" s="12" t="s">
        <v>82</v>
      </c>
      <c r="M2213">
        <v>14.24</v>
      </c>
      <c r="N2213" s="12" t="s">
        <v>97</v>
      </c>
      <c r="O2213" s="12" t="s">
        <v>98</v>
      </c>
      <c r="P2213" s="12" t="s">
        <v>72</v>
      </c>
      <c r="Q2213" s="13">
        <v>45356</v>
      </c>
      <c r="R2213" s="13">
        <v>45397</v>
      </c>
      <c r="S2213">
        <v>2024</v>
      </c>
      <c r="T2213" s="12" t="s">
        <v>2941</v>
      </c>
      <c r="U2213">
        <v>817</v>
      </c>
      <c r="V2213">
        <v>33.697499999999998</v>
      </c>
      <c r="W2213">
        <v>409.62</v>
      </c>
      <c r="X2213">
        <v>0</v>
      </c>
      <c r="Y2213">
        <v>0</v>
      </c>
      <c r="Z2213">
        <v>27530.86</v>
      </c>
      <c r="AA2213">
        <v>27940.48</v>
      </c>
      <c r="AB2213" s="12" t="s">
        <v>992</v>
      </c>
      <c r="AC2213">
        <v>33.697499999999998</v>
      </c>
      <c r="AD2213">
        <v>1</v>
      </c>
      <c r="AE2213">
        <v>1</v>
      </c>
      <c r="AF2213">
        <v>0</v>
      </c>
      <c r="AG2213">
        <v>27530.86</v>
      </c>
      <c r="AH2213">
        <v>817</v>
      </c>
      <c r="AI2213">
        <v>810</v>
      </c>
      <c r="AJ2213">
        <v>7</v>
      </c>
      <c r="AK2213">
        <v>1</v>
      </c>
      <c r="AL2213">
        <v>1</v>
      </c>
      <c r="AM2213">
        <v>99.14</v>
      </c>
      <c r="AN2213">
        <v>34.494399999999999</v>
      </c>
      <c r="AO2213">
        <v>235.88</v>
      </c>
      <c r="AP2213" s="13">
        <v>45394</v>
      </c>
      <c r="AQ2213">
        <v>-3</v>
      </c>
      <c r="AR2213">
        <v>1</v>
      </c>
    </row>
    <row r="2214" spans="1:44" x14ac:dyDescent="0.35">
      <c r="A2214" s="12" t="s">
        <v>2970</v>
      </c>
      <c r="B2214" s="12" t="s">
        <v>827</v>
      </c>
      <c r="C2214" s="12" t="s">
        <v>828</v>
      </c>
      <c r="D2214" s="12" t="s">
        <v>175</v>
      </c>
      <c r="E2214" s="12" t="s">
        <v>104</v>
      </c>
      <c r="F2214">
        <v>2</v>
      </c>
      <c r="G2214">
        <v>0</v>
      </c>
      <c r="H2214">
        <v>0</v>
      </c>
      <c r="I2214" s="12" t="s">
        <v>183</v>
      </c>
      <c r="J2214" s="12" t="s">
        <v>184</v>
      </c>
      <c r="K2214" s="12" t="s">
        <v>133</v>
      </c>
      <c r="L2214" s="12" t="s">
        <v>82</v>
      </c>
      <c r="M2214">
        <v>8.6199999999999992</v>
      </c>
      <c r="N2214" s="12" t="s">
        <v>107</v>
      </c>
      <c r="O2214" s="12" t="s">
        <v>108</v>
      </c>
      <c r="P2214" s="12" t="s">
        <v>109</v>
      </c>
      <c r="Q2214" s="13">
        <v>45356</v>
      </c>
      <c r="R2214" s="13">
        <v>45380</v>
      </c>
      <c r="S2214">
        <v>2024</v>
      </c>
      <c r="T2214" s="12" t="s">
        <v>2941</v>
      </c>
      <c r="U2214">
        <v>110</v>
      </c>
      <c r="V2214">
        <v>107.794</v>
      </c>
      <c r="W2214">
        <v>287.07</v>
      </c>
      <c r="X2214">
        <v>0</v>
      </c>
      <c r="Y2214">
        <v>0</v>
      </c>
      <c r="Z2214">
        <v>11857.34</v>
      </c>
      <c r="AA2214">
        <v>12144.41</v>
      </c>
      <c r="AB2214" s="12" t="s">
        <v>829</v>
      </c>
      <c r="AC2214">
        <v>107.794</v>
      </c>
      <c r="AD2214">
        <v>1</v>
      </c>
      <c r="AE2214">
        <v>1</v>
      </c>
      <c r="AF2214">
        <v>0</v>
      </c>
      <c r="AG2214">
        <v>11857.34</v>
      </c>
      <c r="AH2214">
        <v>110</v>
      </c>
      <c r="AI2214">
        <v>109</v>
      </c>
      <c r="AJ2214">
        <v>1</v>
      </c>
      <c r="AK2214">
        <v>1</v>
      </c>
      <c r="AL2214">
        <v>1</v>
      </c>
      <c r="AM2214">
        <v>99.09</v>
      </c>
      <c r="AN2214">
        <v>111.4166</v>
      </c>
      <c r="AO2214">
        <v>107.79</v>
      </c>
      <c r="AP2214" s="13">
        <v>45380</v>
      </c>
      <c r="AQ2214">
        <v>0</v>
      </c>
      <c r="AR2214">
        <v>1</v>
      </c>
    </row>
    <row r="2215" spans="1:44" x14ac:dyDescent="0.35">
      <c r="A2215" s="12" t="s">
        <v>2971</v>
      </c>
      <c r="B2215" s="12" t="s">
        <v>458</v>
      </c>
      <c r="C2215" s="12" t="s">
        <v>459</v>
      </c>
      <c r="D2215" s="12" t="s">
        <v>64</v>
      </c>
      <c r="E2215" s="12" t="s">
        <v>104</v>
      </c>
      <c r="F2215">
        <v>2</v>
      </c>
      <c r="G2215">
        <v>0</v>
      </c>
      <c r="H2215">
        <v>0</v>
      </c>
      <c r="I2215" s="12" t="s">
        <v>143</v>
      </c>
      <c r="J2215" s="12" t="s">
        <v>144</v>
      </c>
      <c r="K2215" s="12" t="s">
        <v>133</v>
      </c>
      <c r="L2215" s="12" t="s">
        <v>96</v>
      </c>
      <c r="M2215">
        <v>5.43</v>
      </c>
      <c r="N2215" s="12" t="s">
        <v>97</v>
      </c>
      <c r="O2215" s="12" t="s">
        <v>98</v>
      </c>
      <c r="P2215" s="12" t="s">
        <v>72</v>
      </c>
      <c r="Q2215" s="13">
        <v>45356</v>
      </c>
      <c r="R2215" s="13">
        <v>45370</v>
      </c>
      <c r="S2215">
        <v>2024</v>
      </c>
      <c r="T2215" s="12" t="s">
        <v>2941</v>
      </c>
      <c r="U2215">
        <v>232</v>
      </c>
      <c r="V2215">
        <v>26.228000000000002</v>
      </c>
      <c r="W2215">
        <v>134.74</v>
      </c>
      <c r="X2215">
        <v>0</v>
      </c>
      <c r="Y2215">
        <v>0</v>
      </c>
      <c r="Z2215">
        <v>6084.9</v>
      </c>
      <c r="AA2215">
        <v>6219.64</v>
      </c>
      <c r="AB2215" s="12" t="s">
        <v>480</v>
      </c>
      <c r="AC2215">
        <v>24.782299999999999</v>
      </c>
      <c r="AD2215">
        <v>1</v>
      </c>
      <c r="AE2215">
        <v>1</v>
      </c>
      <c r="AF2215">
        <v>335.4</v>
      </c>
      <c r="AG2215">
        <v>5749.49</v>
      </c>
      <c r="AH2215">
        <v>232</v>
      </c>
      <c r="AI2215">
        <v>230</v>
      </c>
      <c r="AJ2215">
        <v>2</v>
      </c>
      <c r="AK2215">
        <v>1</v>
      </c>
      <c r="AL2215">
        <v>1</v>
      </c>
      <c r="AM2215">
        <v>99.14</v>
      </c>
      <c r="AN2215">
        <v>27.041899999999998</v>
      </c>
      <c r="AO2215">
        <v>52.46</v>
      </c>
      <c r="AP2215" s="13">
        <v>45368</v>
      </c>
      <c r="AQ2215">
        <v>-2</v>
      </c>
      <c r="AR2215">
        <v>1</v>
      </c>
    </row>
    <row r="2216" spans="1:44" x14ac:dyDescent="0.35">
      <c r="A2216" s="12" t="s">
        <v>2972</v>
      </c>
      <c r="B2216" s="12" t="s">
        <v>140</v>
      </c>
      <c r="C2216" s="12" t="s">
        <v>141</v>
      </c>
      <c r="D2216" s="12" t="s">
        <v>103</v>
      </c>
      <c r="E2216" s="12" t="s">
        <v>142</v>
      </c>
      <c r="F2216">
        <v>1</v>
      </c>
      <c r="G2216">
        <v>7</v>
      </c>
      <c r="H2216">
        <v>1</v>
      </c>
      <c r="I2216" s="12" t="s">
        <v>143</v>
      </c>
      <c r="J2216" s="12" t="s">
        <v>144</v>
      </c>
      <c r="K2216" s="12" t="s">
        <v>133</v>
      </c>
      <c r="L2216" s="12" t="s">
        <v>96</v>
      </c>
      <c r="M2216">
        <v>5.43</v>
      </c>
      <c r="N2216" s="12" t="s">
        <v>107</v>
      </c>
      <c r="O2216" s="12" t="s">
        <v>108</v>
      </c>
      <c r="P2216" s="12" t="s">
        <v>109</v>
      </c>
      <c r="Q2216" s="13">
        <v>45356</v>
      </c>
      <c r="R2216" s="13">
        <v>45407</v>
      </c>
      <c r="S2216">
        <v>2024</v>
      </c>
      <c r="T2216" s="12" t="s">
        <v>2941</v>
      </c>
      <c r="U2216">
        <v>136</v>
      </c>
      <c r="V2216">
        <v>211.35810000000001</v>
      </c>
      <c r="W2216">
        <v>231.48</v>
      </c>
      <c r="X2216">
        <v>0</v>
      </c>
      <c r="Y2216">
        <v>0</v>
      </c>
      <c r="Z2216">
        <v>28744.7</v>
      </c>
      <c r="AA2216">
        <v>28976.18</v>
      </c>
      <c r="AB2216" s="12" t="s">
        <v>2815</v>
      </c>
      <c r="AC2216">
        <v>211.35810000000001</v>
      </c>
      <c r="AD2216">
        <v>1</v>
      </c>
      <c r="AE2216">
        <v>1</v>
      </c>
      <c r="AF2216">
        <v>0</v>
      </c>
      <c r="AG2216">
        <v>28744.7</v>
      </c>
      <c r="AH2216">
        <v>136</v>
      </c>
      <c r="AI2216">
        <v>134</v>
      </c>
      <c r="AJ2216">
        <v>2</v>
      </c>
      <c r="AK2216">
        <v>1</v>
      </c>
      <c r="AL2216">
        <v>1</v>
      </c>
      <c r="AM2216">
        <v>98.53</v>
      </c>
      <c r="AN2216">
        <v>216.24019999999999</v>
      </c>
      <c r="AO2216">
        <v>422.72</v>
      </c>
      <c r="AP2216" s="13">
        <v>45417</v>
      </c>
      <c r="AQ2216">
        <v>10</v>
      </c>
      <c r="AR2216">
        <v>0</v>
      </c>
    </row>
    <row r="2217" spans="1:44" x14ac:dyDescent="0.35">
      <c r="A2217" s="12" t="s">
        <v>2973</v>
      </c>
      <c r="B2217" s="12" t="s">
        <v>670</v>
      </c>
      <c r="C2217" s="12" t="s">
        <v>671</v>
      </c>
      <c r="D2217" s="12" t="s">
        <v>175</v>
      </c>
      <c r="E2217" s="12" t="s">
        <v>142</v>
      </c>
      <c r="F2217">
        <v>2</v>
      </c>
      <c r="G2217">
        <v>9</v>
      </c>
      <c r="H2217">
        <v>0</v>
      </c>
      <c r="I2217" s="12" t="s">
        <v>233</v>
      </c>
      <c r="J2217" s="12" t="s">
        <v>234</v>
      </c>
      <c r="K2217" s="12" t="s">
        <v>125</v>
      </c>
      <c r="L2217" s="12" t="s">
        <v>96</v>
      </c>
      <c r="M2217">
        <v>3.73</v>
      </c>
      <c r="N2217" s="12" t="s">
        <v>145</v>
      </c>
      <c r="O2217" s="12" t="s">
        <v>146</v>
      </c>
      <c r="P2217" s="12" t="s">
        <v>109</v>
      </c>
      <c r="Q2217" s="13">
        <v>45356</v>
      </c>
      <c r="R2217" s="13">
        <v>45403</v>
      </c>
      <c r="S2217">
        <v>2024</v>
      </c>
      <c r="T2217" s="12" t="s">
        <v>2941</v>
      </c>
      <c r="U2217">
        <v>107</v>
      </c>
      <c r="V2217">
        <v>151.31620000000001</v>
      </c>
      <c r="W2217">
        <v>180.35</v>
      </c>
      <c r="X2217">
        <v>0</v>
      </c>
      <c r="Y2217">
        <v>0</v>
      </c>
      <c r="Z2217">
        <v>16190.83</v>
      </c>
      <c r="AA2217">
        <v>16371.18</v>
      </c>
      <c r="AB2217" s="12" t="s">
        <v>672</v>
      </c>
      <c r="AC2217">
        <v>151.31620000000001</v>
      </c>
      <c r="AD2217">
        <v>1</v>
      </c>
      <c r="AE2217">
        <v>1</v>
      </c>
      <c r="AF2217">
        <v>0</v>
      </c>
      <c r="AG2217">
        <v>16190.83</v>
      </c>
      <c r="AH2217">
        <v>107</v>
      </c>
      <c r="AI2217">
        <v>105</v>
      </c>
      <c r="AJ2217">
        <v>2</v>
      </c>
      <c r="AK2217">
        <v>1</v>
      </c>
      <c r="AL2217">
        <v>1</v>
      </c>
      <c r="AM2217">
        <v>98.13</v>
      </c>
      <c r="AN2217">
        <v>155.916</v>
      </c>
      <c r="AO2217">
        <v>302.63</v>
      </c>
      <c r="AP2217" s="13">
        <v>45402</v>
      </c>
      <c r="AQ2217">
        <v>-1</v>
      </c>
      <c r="AR2217">
        <v>1</v>
      </c>
    </row>
    <row r="2218" spans="1:44" x14ac:dyDescent="0.35">
      <c r="A2218" s="12" t="s">
        <v>2974</v>
      </c>
      <c r="B2218" s="12" t="s">
        <v>323</v>
      </c>
      <c r="C2218" s="12" t="s">
        <v>324</v>
      </c>
      <c r="D2218" s="12" t="s">
        <v>64</v>
      </c>
      <c r="E2218" s="12" t="s">
        <v>142</v>
      </c>
      <c r="F2218">
        <v>1</v>
      </c>
      <c r="G2218">
        <v>7</v>
      </c>
      <c r="H2218">
        <v>1</v>
      </c>
      <c r="I2218" s="12" t="s">
        <v>143</v>
      </c>
      <c r="J2218" s="12" t="s">
        <v>144</v>
      </c>
      <c r="K2218" s="12" t="s">
        <v>133</v>
      </c>
      <c r="L2218" s="12" t="s">
        <v>96</v>
      </c>
      <c r="M2218">
        <v>5.43</v>
      </c>
      <c r="N2218" s="12" t="s">
        <v>97</v>
      </c>
      <c r="O2218" s="12" t="s">
        <v>98</v>
      </c>
      <c r="P2218" s="12" t="s">
        <v>72</v>
      </c>
      <c r="Q2218" s="13">
        <v>45356</v>
      </c>
      <c r="R2218" s="13">
        <v>45408</v>
      </c>
      <c r="S2218">
        <v>2024</v>
      </c>
      <c r="T2218" s="12" t="s">
        <v>2941</v>
      </c>
      <c r="U2218">
        <v>982</v>
      </c>
      <c r="V2218">
        <v>39.364800000000002</v>
      </c>
      <c r="W2218">
        <v>583.32000000000005</v>
      </c>
      <c r="X2218">
        <v>0</v>
      </c>
      <c r="Y2218">
        <v>0</v>
      </c>
      <c r="Z2218">
        <v>38656.230000000003</v>
      </c>
      <c r="AA2218">
        <v>39239.550000000003</v>
      </c>
      <c r="AB2218" s="12" t="s">
        <v>2828</v>
      </c>
      <c r="AC2218">
        <v>39.364800000000002</v>
      </c>
      <c r="AD2218">
        <v>1</v>
      </c>
      <c r="AE2218">
        <v>1</v>
      </c>
      <c r="AF2218">
        <v>0</v>
      </c>
      <c r="AG2218">
        <v>38656.230000000003</v>
      </c>
      <c r="AH2218">
        <v>982</v>
      </c>
      <c r="AI2218">
        <v>972</v>
      </c>
      <c r="AJ2218">
        <v>10</v>
      </c>
      <c r="AK2218">
        <v>1</v>
      </c>
      <c r="AL2218">
        <v>1</v>
      </c>
      <c r="AM2218">
        <v>98.98</v>
      </c>
      <c r="AN2218">
        <v>40.369900000000001</v>
      </c>
      <c r="AO2218">
        <v>393.65</v>
      </c>
      <c r="AP2218" s="13">
        <v>45407</v>
      </c>
      <c r="AQ2218">
        <v>-1</v>
      </c>
      <c r="AR2218">
        <v>1</v>
      </c>
    </row>
    <row r="2219" spans="1:44" x14ac:dyDescent="0.35">
      <c r="A2219" s="12" t="s">
        <v>2975</v>
      </c>
      <c r="B2219" s="12" t="s">
        <v>837</v>
      </c>
      <c r="C2219" s="12" t="s">
        <v>838</v>
      </c>
      <c r="D2219" s="12" t="s">
        <v>114</v>
      </c>
      <c r="E2219" s="12" t="s">
        <v>104</v>
      </c>
      <c r="F2219">
        <v>2</v>
      </c>
      <c r="G2219">
        <v>0</v>
      </c>
      <c r="H2219">
        <v>0</v>
      </c>
      <c r="I2219" s="12" t="s">
        <v>199</v>
      </c>
      <c r="J2219" s="12" t="s">
        <v>200</v>
      </c>
      <c r="K2219" s="12" t="s">
        <v>68</v>
      </c>
      <c r="L2219" s="12" t="s">
        <v>96</v>
      </c>
      <c r="M2219">
        <v>9.4700000000000006</v>
      </c>
      <c r="N2219" s="12" t="s">
        <v>70</v>
      </c>
      <c r="O2219" s="12" t="s">
        <v>71</v>
      </c>
      <c r="P2219" s="12" t="s">
        <v>72</v>
      </c>
      <c r="Q2219" s="13">
        <v>45357</v>
      </c>
      <c r="R2219" s="13">
        <v>45385</v>
      </c>
      <c r="S2219">
        <v>2024</v>
      </c>
      <c r="T2219" s="12" t="s">
        <v>2941</v>
      </c>
      <c r="U2219">
        <v>140</v>
      </c>
      <c r="V2219">
        <v>75.195999999999998</v>
      </c>
      <c r="W2219">
        <v>124.44</v>
      </c>
      <c r="X2219">
        <v>0</v>
      </c>
      <c r="Y2219">
        <v>0</v>
      </c>
      <c r="Z2219">
        <v>10527.44</v>
      </c>
      <c r="AA2219">
        <v>10651.88</v>
      </c>
      <c r="AB2219" s="12" t="s">
        <v>839</v>
      </c>
      <c r="AC2219">
        <v>71.121200000000002</v>
      </c>
      <c r="AD2219">
        <v>1</v>
      </c>
      <c r="AE2219">
        <v>1</v>
      </c>
      <c r="AF2219">
        <v>570.47</v>
      </c>
      <c r="AG2219">
        <v>9956.9699999999993</v>
      </c>
      <c r="AH2219">
        <v>140</v>
      </c>
      <c r="AI2219">
        <v>137</v>
      </c>
      <c r="AJ2219">
        <v>3</v>
      </c>
      <c r="AK2219">
        <v>1</v>
      </c>
      <c r="AL2219">
        <v>1</v>
      </c>
      <c r="AM2219">
        <v>97.86</v>
      </c>
      <c r="AN2219">
        <v>77.750900000000001</v>
      </c>
      <c r="AO2219">
        <v>225.59</v>
      </c>
      <c r="AP2219" s="13">
        <v>45394</v>
      </c>
      <c r="AQ2219">
        <v>9</v>
      </c>
      <c r="AR2219">
        <v>0</v>
      </c>
    </row>
    <row r="2220" spans="1:44" x14ac:dyDescent="0.35">
      <c r="A2220" s="12" t="s">
        <v>2976</v>
      </c>
      <c r="B2220" s="12" t="s">
        <v>101</v>
      </c>
      <c r="C2220" s="12" t="s">
        <v>102</v>
      </c>
      <c r="D2220" s="12" t="s">
        <v>103</v>
      </c>
      <c r="E2220" s="12" t="s">
        <v>104</v>
      </c>
      <c r="F2220">
        <v>1</v>
      </c>
      <c r="G2220">
        <v>0</v>
      </c>
      <c r="H2220">
        <v>1</v>
      </c>
      <c r="I2220" s="12" t="s">
        <v>105</v>
      </c>
      <c r="J2220" s="12" t="s">
        <v>106</v>
      </c>
      <c r="K2220" s="12" t="s">
        <v>81</v>
      </c>
      <c r="L2220" s="12" t="s">
        <v>96</v>
      </c>
      <c r="M2220">
        <v>5.01</v>
      </c>
      <c r="N2220" s="12" t="s">
        <v>107</v>
      </c>
      <c r="O2220" s="12" t="s">
        <v>108</v>
      </c>
      <c r="P2220" s="12" t="s">
        <v>109</v>
      </c>
      <c r="Q2220" s="13">
        <v>45357</v>
      </c>
      <c r="R2220" s="13">
        <v>45374</v>
      </c>
      <c r="S2220">
        <v>2024</v>
      </c>
      <c r="T2220" s="12" t="s">
        <v>2941</v>
      </c>
      <c r="U2220">
        <v>49</v>
      </c>
      <c r="V2220">
        <v>205.32499999999999</v>
      </c>
      <c r="W2220">
        <v>128.74</v>
      </c>
      <c r="X2220">
        <v>0</v>
      </c>
      <c r="Y2220">
        <v>0</v>
      </c>
      <c r="Z2220">
        <v>10060.93</v>
      </c>
      <c r="AA2220">
        <v>10189.67</v>
      </c>
      <c r="AB2220" s="12" t="s">
        <v>2866</v>
      </c>
      <c r="AC2220">
        <v>205.32499999999999</v>
      </c>
      <c r="AD2220">
        <v>1</v>
      </c>
      <c r="AE2220">
        <v>1</v>
      </c>
      <c r="AF2220">
        <v>0</v>
      </c>
      <c r="AG2220">
        <v>10060.93</v>
      </c>
      <c r="AH2220">
        <v>49</v>
      </c>
      <c r="AI2220">
        <v>48</v>
      </c>
      <c r="AJ2220">
        <v>1</v>
      </c>
      <c r="AK2220">
        <v>1</v>
      </c>
      <c r="AL2220">
        <v>1</v>
      </c>
      <c r="AM2220">
        <v>97.96</v>
      </c>
      <c r="AN2220">
        <v>212.28469999999999</v>
      </c>
      <c r="AO2220">
        <v>205.33</v>
      </c>
      <c r="AP2220" s="13">
        <v>45374</v>
      </c>
      <c r="AQ2220">
        <v>0</v>
      </c>
      <c r="AR2220">
        <v>1</v>
      </c>
    </row>
    <row r="2221" spans="1:44" x14ac:dyDescent="0.35">
      <c r="A2221" s="12" t="s">
        <v>2977</v>
      </c>
      <c r="B2221" s="12" t="s">
        <v>112</v>
      </c>
      <c r="C2221" s="12" t="s">
        <v>113</v>
      </c>
      <c r="D2221" s="12" t="s">
        <v>114</v>
      </c>
      <c r="E2221" s="12" t="s">
        <v>104</v>
      </c>
      <c r="F2221">
        <v>3</v>
      </c>
      <c r="G2221">
        <v>1</v>
      </c>
      <c r="H2221">
        <v>0</v>
      </c>
      <c r="I2221" s="12" t="s">
        <v>227</v>
      </c>
      <c r="J2221" s="12" t="s">
        <v>228</v>
      </c>
      <c r="K2221" s="12" t="s">
        <v>89</v>
      </c>
      <c r="L2221" s="12" t="s">
        <v>96</v>
      </c>
      <c r="M2221">
        <v>9.15</v>
      </c>
      <c r="N2221" s="12" t="s">
        <v>97</v>
      </c>
      <c r="O2221" s="12" t="s">
        <v>98</v>
      </c>
      <c r="P2221" s="12" t="s">
        <v>72</v>
      </c>
      <c r="Q2221" s="13">
        <v>45357</v>
      </c>
      <c r="R2221" s="13">
        <v>45386</v>
      </c>
      <c r="S2221">
        <v>2024</v>
      </c>
      <c r="T2221" s="12" t="s">
        <v>2941</v>
      </c>
      <c r="U2221">
        <v>149</v>
      </c>
      <c r="V2221">
        <v>255.786</v>
      </c>
      <c r="W2221">
        <v>883.37</v>
      </c>
      <c r="X2221">
        <v>0</v>
      </c>
      <c r="Y2221">
        <v>0</v>
      </c>
      <c r="Z2221">
        <v>38112.11</v>
      </c>
      <c r="AA2221">
        <v>38995.480000000003</v>
      </c>
      <c r="AB2221" s="12" t="s">
        <v>2839</v>
      </c>
      <c r="AC2221">
        <v>255.786</v>
      </c>
      <c r="AD2221">
        <v>1</v>
      </c>
      <c r="AE2221">
        <v>1</v>
      </c>
      <c r="AF2221">
        <v>0</v>
      </c>
      <c r="AG2221">
        <v>38112.11</v>
      </c>
      <c r="AH2221">
        <v>149</v>
      </c>
      <c r="AI2221">
        <v>147</v>
      </c>
      <c r="AJ2221">
        <v>2</v>
      </c>
      <c r="AK2221">
        <v>1</v>
      </c>
      <c r="AL2221">
        <v>1</v>
      </c>
      <c r="AM2221">
        <v>98.66</v>
      </c>
      <c r="AN2221">
        <v>265.27539999999999</v>
      </c>
      <c r="AO2221">
        <v>511.57</v>
      </c>
      <c r="AP2221" s="13">
        <v>45384</v>
      </c>
      <c r="AQ2221">
        <v>-2</v>
      </c>
      <c r="AR2221">
        <v>1</v>
      </c>
    </row>
    <row r="2222" spans="1:44" x14ac:dyDescent="0.35">
      <c r="A2222" s="12" t="s">
        <v>2978</v>
      </c>
      <c r="B2222" s="12" t="s">
        <v>112</v>
      </c>
      <c r="C2222" s="12" t="s">
        <v>113</v>
      </c>
      <c r="D2222" s="12" t="s">
        <v>114</v>
      </c>
      <c r="E2222" s="12" t="s">
        <v>104</v>
      </c>
      <c r="F2222">
        <v>3</v>
      </c>
      <c r="G2222">
        <v>1</v>
      </c>
      <c r="H2222">
        <v>0</v>
      </c>
      <c r="I2222" s="12" t="s">
        <v>227</v>
      </c>
      <c r="J2222" s="12" t="s">
        <v>228</v>
      </c>
      <c r="K2222" s="12" t="s">
        <v>89</v>
      </c>
      <c r="L2222" s="12" t="s">
        <v>96</v>
      </c>
      <c r="M2222">
        <v>9.15</v>
      </c>
      <c r="N2222" s="12" t="s">
        <v>97</v>
      </c>
      <c r="O2222" s="12" t="s">
        <v>98</v>
      </c>
      <c r="P2222" s="12" t="s">
        <v>72</v>
      </c>
      <c r="Q2222" s="13">
        <v>45357</v>
      </c>
      <c r="R2222" s="13">
        <v>45383</v>
      </c>
      <c r="S2222">
        <v>2024</v>
      </c>
      <c r="T2222" s="12" t="s">
        <v>2941</v>
      </c>
      <c r="U2222">
        <v>125</v>
      </c>
      <c r="V2222">
        <v>255.786</v>
      </c>
      <c r="W2222">
        <v>565.94000000000005</v>
      </c>
      <c r="X2222">
        <v>0</v>
      </c>
      <c r="Y2222">
        <v>0</v>
      </c>
      <c r="Z2222">
        <v>31973.25</v>
      </c>
      <c r="AA2222">
        <v>32539.19</v>
      </c>
      <c r="AB2222" s="12" t="s">
        <v>2839</v>
      </c>
      <c r="AC2222">
        <v>255.786</v>
      </c>
      <c r="AD2222">
        <v>1</v>
      </c>
      <c r="AE2222">
        <v>1</v>
      </c>
      <c r="AF2222">
        <v>0</v>
      </c>
      <c r="AG2222">
        <v>31973.25</v>
      </c>
      <c r="AH2222">
        <v>125</v>
      </c>
      <c r="AI2222">
        <v>122</v>
      </c>
      <c r="AJ2222">
        <v>3</v>
      </c>
      <c r="AK2222">
        <v>1</v>
      </c>
      <c r="AL2222">
        <v>1</v>
      </c>
      <c r="AM2222">
        <v>97.6</v>
      </c>
      <c r="AN2222">
        <v>266.71469999999999</v>
      </c>
      <c r="AO2222">
        <v>767.36</v>
      </c>
      <c r="AP2222" s="13">
        <v>45381</v>
      </c>
      <c r="AQ2222">
        <v>-2</v>
      </c>
      <c r="AR2222">
        <v>1</v>
      </c>
    </row>
    <row r="2223" spans="1:44" x14ac:dyDescent="0.35">
      <c r="A2223" s="12" t="s">
        <v>2979</v>
      </c>
      <c r="B2223" s="12" t="s">
        <v>416</v>
      </c>
      <c r="C2223" s="12" t="s">
        <v>417</v>
      </c>
      <c r="D2223" s="12" t="s">
        <v>78</v>
      </c>
      <c r="E2223" s="12" t="s">
        <v>65</v>
      </c>
      <c r="F2223">
        <v>3</v>
      </c>
      <c r="G2223">
        <v>5</v>
      </c>
      <c r="H2223">
        <v>0</v>
      </c>
      <c r="I2223" s="12" t="s">
        <v>169</v>
      </c>
      <c r="J2223" s="12" t="s">
        <v>170</v>
      </c>
      <c r="K2223" s="12" t="s">
        <v>89</v>
      </c>
      <c r="L2223" s="12" t="s">
        <v>134</v>
      </c>
      <c r="M2223">
        <v>1.37</v>
      </c>
      <c r="N2223" s="12" t="s">
        <v>97</v>
      </c>
      <c r="O2223" s="12" t="s">
        <v>98</v>
      </c>
      <c r="P2223" s="12" t="s">
        <v>72</v>
      </c>
      <c r="Q2223" s="13">
        <v>45357</v>
      </c>
      <c r="R2223" s="13">
        <v>45390</v>
      </c>
      <c r="S2223">
        <v>2024</v>
      </c>
      <c r="T2223" s="12" t="s">
        <v>2941</v>
      </c>
      <c r="U2223">
        <v>215</v>
      </c>
      <c r="V2223">
        <v>136.4109</v>
      </c>
      <c r="W2223">
        <v>256.31</v>
      </c>
      <c r="X2223">
        <v>0</v>
      </c>
      <c r="Y2223">
        <v>0</v>
      </c>
      <c r="Z2223">
        <v>29328.34</v>
      </c>
      <c r="AA2223">
        <v>29584.65</v>
      </c>
      <c r="AB2223" s="12" t="s">
        <v>2980</v>
      </c>
      <c r="AC2223">
        <v>136.4109</v>
      </c>
      <c r="AD2223">
        <v>1</v>
      </c>
      <c r="AE2223">
        <v>1</v>
      </c>
      <c r="AF2223">
        <v>0</v>
      </c>
      <c r="AG2223">
        <v>29328.34</v>
      </c>
      <c r="AH2223">
        <v>215</v>
      </c>
      <c r="AI2223">
        <v>213</v>
      </c>
      <c r="AJ2223">
        <v>2</v>
      </c>
      <c r="AK2223">
        <v>1</v>
      </c>
      <c r="AL2223">
        <v>1</v>
      </c>
      <c r="AM2223">
        <v>99.07</v>
      </c>
      <c r="AN2223">
        <v>138.89510000000001</v>
      </c>
      <c r="AO2223">
        <v>272.82</v>
      </c>
      <c r="AP2223" s="13">
        <v>45396</v>
      </c>
      <c r="AQ2223">
        <v>6</v>
      </c>
      <c r="AR2223">
        <v>0</v>
      </c>
    </row>
    <row r="2224" spans="1:44" x14ac:dyDescent="0.35">
      <c r="A2224" s="12" t="s">
        <v>2981</v>
      </c>
      <c r="B2224" s="12" t="s">
        <v>694</v>
      </c>
      <c r="C2224" s="12" t="s">
        <v>695</v>
      </c>
      <c r="D2224" s="12" t="s">
        <v>103</v>
      </c>
      <c r="E2224" s="12" t="s">
        <v>65</v>
      </c>
      <c r="F2224">
        <v>2</v>
      </c>
      <c r="G2224">
        <v>3</v>
      </c>
      <c r="H2224">
        <v>0</v>
      </c>
      <c r="I2224" s="12" t="s">
        <v>263</v>
      </c>
      <c r="J2224" s="12" t="s">
        <v>264</v>
      </c>
      <c r="K2224" s="12" t="s">
        <v>125</v>
      </c>
      <c r="L2224" s="12" t="s">
        <v>82</v>
      </c>
      <c r="M2224">
        <v>10.210000000000001</v>
      </c>
      <c r="N2224" s="12" t="s">
        <v>107</v>
      </c>
      <c r="O2224" s="12" t="s">
        <v>108</v>
      </c>
      <c r="P2224" s="12" t="s">
        <v>109</v>
      </c>
      <c r="Q2224" s="13">
        <v>45357</v>
      </c>
      <c r="R2224" s="13">
        <v>45388</v>
      </c>
      <c r="S2224">
        <v>2024</v>
      </c>
      <c r="T2224" s="12" t="s">
        <v>2941</v>
      </c>
      <c r="U2224">
        <v>90</v>
      </c>
      <c r="V2224">
        <v>215.60980000000001</v>
      </c>
      <c r="W2224">
        <v>482.7</v>
      </c>
      <c r="X2224">
        <v>0</v>
      </c>
      <c r="Y2224">
        <v>0</v>
      </c>
      <c r="Z2224">
        <v>19404.88</v>
      </c>
      <c r="AA2224">
        <v>19887.580000000002</v>
      </c>
      <c r="AB2224" s="12" t="s">
        <v>696</v>
      </c>
      <c r="AC2224">
        <v>215.60980000000001</v>
      </c>
      <c r="AD2224">
        <v>1</v>
      </c>
      <c r="AE2224">
        <v>1</v>
      </c>
      <c r="AF2224">
        <v>0</v>
      </c>
      <c r="AG2224">
        <v>19404.88</v>
      </c>
      <c r="AH2224">
        <v>90</v>
      </c>
      <c r="AI2224">
        <v>89</v>
      </c>
      <c r="AJ2224">
        <v>1</v>
      </c>
      <c r="AK2224">
        <v>1</v>
      </c>
      <c r="AL2224">
        <v>1</v>
      </c>
      <c r="AM2224">
        <v>98.89</v>
      </c>
      <c r="AN2224">
        <v>223.45599999999999</v>
      </c>
      <c r="AO2224">
        <v>215.61</v>
      </c>
      <c r="AP2224" s="13">
        <v>45387</v>
      </c>
      <c r="AQ2224">
        <v>-1</v>
      </c>
      <c r="AR2224">
        <v>1</v>
      </c>
    </row>
    <row r="2225" spans="1:44" x14ac:dyDescent="0.35">
      <c r="A2225" s="12" t="s">
        <v>2982</v>
      </c>
      <c r="B2225" s="12" t="s">
        <v>909</v>
      </c>
      <c r="C2225" s="12" t="s">
        <v>910</v>
      </c>
      <c r="D2225" s="12" t="s">
        <v>269</v>
      </c>
      <c r="E2225" s="12" t="s">
        <v>65</v>
      </c>
      <c r="F2225">
        <v>3</v>
      </c>
      <c r="G2225">
        <v>4</v>
      </c>
      <c r="H2225">
        <v>0</v>
      </c>
      <c r="I2225" s="12" t="s">
        <v>199</v>
      </c>
      <c r="J2225" s="12" t="s">
        <v>200</v>
      </c>
      <c r="K2225" s="12" t="s">
        <v>68</v>
      </c>
      <c r="L2225" s="12" t="s">
        <v>96</v>
      </c>
      <c r="M2225">
        <v>9.4700000000000006</v>
      </c>
      <c r="N2225" s="12" t="s">
        <v>159</v>
      </c>
      <c r="O2225" s="12" t="s">
        <v>160</v>
      </c>
      <c r="P2225" s="12" t="s">
        <v>137</v>
      </c>
      <c r="Q2225" s="13">
        <v>45357</v>
      </c>
      <c r="R2225" s="13">
        <v>45378</v>
      </c>
      <c r="S2225">
        <v>2024</v>
      </c>
      <c r="T2225" s="12" t="s">
        <v>2941</v>
      </c>
      <c r="U2225">
        <v>10</v>
      </c>
      <c r="V2225">
        <v>112.5218</v>
      </c>
      <c r="W2225">
        <v>25.5</v>
      </c>
      <c r="X2225">
        <v>0</v>
      </c>
      <c r="Y2225">
        <v>0</v>
      </c>
      <c r="Z2225">
        <v>1125.22</v>
      </c>
      <c r="AA2225">
        <v>1150.72</v>
      </c>
      <c r="AB2225" s="12" t="s">
        <v>911</v>
      </c>
      <c r="AC2225">
        <v>108.32040000000001</v>
      </c>
      <c r="AD2225">
        <v>1</v>
      </c>
      <c r="AE2225">
        <v>1</v>
      </c>
      <c r="AF2225">
        <v>42.01</v>
      </c>
      <c r="AG2225">
        <v>1083.2</v>
      </c>
      <c r="AH2225">
        <v>10</v>
      </c>
      <c r="AI2225">
        <v>10</v>
      </c>
      <c r="AJ2225">
        <v>0</v>
      </c>
      <c r="AK2225">
        <v>1</v>
      </c>
      <c r="AL2225">
        <v>1</v>
      </c>
      <c r="AM2225">
        <v>100</v>
      </c>
      <c r="AN2225">
        <v>115.0718</v>
      </c>
      <c r="AO2225">
        <v>0</v>
      </c>
      <c r="AP2225" s="13">
        <v>45375</v>
      </c>
      <c r="AQ2225">
        <v>-3</v>
      </c>
      <c r="AR2225">
        <v>1</v>
      </c>
    </row>
    <row r="2226" spans="1:44" x14ac:dyDescent="0.35">
      <c r="A2226" s="12" t="s">
        <v>2983</v>
      </c>
      <c r="B2226" s="12" t="s">
        <v>120</v>
      </c>
      <c r="C2226" s="12" t="s">
        <v>121</v>
      </c>
      <c r="D2226" s="12" t="s">
        <v>122</v>
      </c>
      <c r="E2226" s="12" t="s">
        <v>65</v>
      </c>
      <c r="F2226">
        <v>3</v>
      </c>
      <c r="G2226">
        <v>4</v>
      </c>
      <c r="H2226">
        <v>0</v>
      </c>
      <c r="I2226" s="12" t="s">
        <v>123</v>
      </c>
      <c r="J2226" s="12" t="s">
        <v>124</v>
      </c>
      <c r="K2226" s="12" t="s">
        <v>125</v>
      </c>
      <c r="L2226" s="12" t="s">
        <v>82</v>
      </c>
      <c r="M2226">
        <v>6.75</v>
      </c>
      <c r="N2226" s="12" t="s">
        <v>70</v>
      </c>
      <c r="O2226" s="12" t="s">
        <v>71</v>
      </c>
      <c r="P2226" s="12" t="s">
        <v>72</v>
      </c>
      <c r="Q2226" s="13">
        <v>45357</v>
      </c>
      <c r="R2226" s="13">
        <v>45380</v>
      </c>
      <c r="S2226">
        <v>2024</v>
      </c>
      <c r="T2226" s="12" t="s">
        <v>2941</v>
      </c>
      <c r="U2226">
        <v>498</v>
      </c>
      <c r="V2226">
        <v>53.214500000000001</v>
      </c>
      <c r="W2226">
        <v>212.97</v>
      </c>
      <c r="X2226">
        <v>0</v>
      </c>
      <c r="Y2226">
        <v>0</v>
      </c>
      <c r="Z2226">
        <v>26500.82</v>
      </c>
      <c r="AA2226">
        <v>26713.79</v>
      </c>
      <c r="AB2226" s="12" t="s">
        <v>2728</v>
      </c>
      <c r="AC2226">
        <v>53.214500000000001</v>
      </c>
      <c r="AD2226">
        <v>1</v>
      </c>
      <c r="AE2226">
        <v>1</v>
      </c>
      <c r="AF2226">
        <v>0</v>
      </c>
      <c r="AG2226">
        <v>26500.82</v>
      </c>
      <c r="AH2226">
        <v>498</v>
      </c>
      <c r="AI2226">
        <v>494</v>
      </c>
      <c r="AJ2226">
        <v>4</v>
      </c>
      <c r="AK2226">
        <v>1</v>
      </c>
      <c r="AL2226">
        <v>1</v>
      </c>
      <c r="AM2226">
        <v>99.2</v>
      </c>
      <c r="AN2226">
        <v>54.076500000000003</v>
      </c>
      <c r="AO2226">
        <v>212.86</v>
      </c>
      <c r="AP2226" s="13">
        <v>45378</v>
      </c>
      <c r="AQ2226">
        <v>-2</v>
      </c>
      <c r="AR2226">
        <v>1</v>
      </c>
    </row>
    <row r="2227" spans="1:44" x14ac:dyDescent="0.35">
      <c r="A2227" s="12" t="s">
        <v>2984</v>
      </c>
      <c r="B2227" s="12" t="s">
        <v>809</v>
      </c>
      <c r="C2227" s="12" t="s">
        <v>810</v>
      </c>
      <c r="D2227" s="12" t="s">
        <v>114</v>
      </c>
      <c r="E2227" s="12" t="s">
        <v>65</v>
      </c>
      <c r="F2227">
        <v>3</v>
      </c>
      <c r="G2227">
        <v>5</v>
      </c>
      <c r="H2227">
        <v>0</v>
      </c>
      <c r="I2227" s="12" t="s">
        <v>804</v>
      </c>
      <c r="J2227" s="12" t="s">
        <v>342</v>
      </c>
      <c r="K2227" s="12" t="s">
        <v>117</v>
      </c>
      <c r="L2227" s="12" t="s">
        <v>69</v>
      </c>
      <c r="M2227">
        <v>30.07</v>
      </c>
      <c r="N2227" s="12" t="s">
        <v>97</v>
      </c>
      <c r="O2227" s="12" t="s">
        <v>98</v>
      </c>
      <c r="P2227" s="12" t="s">
        <v>72</v>
      </c>
      <c r="Q2227" s="13">
        <v>45357</v>
      </c>
      <c r="R2227" s="13">
        <v>45387</v>
      </c>
      <c r="S2227">
        <v>2024</v>
      </c>
      <c r="T2227" s="12" t="s">
        <v>2941</v>
      </c>
      <c r="U2227">
        <v>81</v>
      </c>
      <c r="V2227">
        <v>323.22789999999998</v>
      </c>
      <c r="W2227">
        <v>280.92</v>
      </c>
      <c r="X2227">
        <v>0</v>
      </c>
      <c r="Y2227">
        <v>0</v>
      </c>
      <c r="Z2227">
        <v>26181.46</v>
      </c>
      <c r="AA2227">
        <v>26462.38</v>
      </c>
      <c r="AB2227" s="12" t="s">
        <v>880</v>
      </c>
      <c r="AC2227">
        <v>323.22789999999998</v>
      </c>
      <c r="AD2227">
        <v>1</v>
      </c>
      <c r="AE2227">
        <v>1</v>
      </c>
      <c r="AF2227">
        <v>0</v>
      </c>
      <c r="AG2227">
        <v>26181.46</v>
      </c>
      <c r="AH2227">
        <v>81</v>
      </c>
      <c r="AI2227">
        <v>80</v>
      </c>
      <c r="AJ2227">
        <v>1</v>
      </c>
      <c r="AK2227">
        <v>1</v>
      </c>
      <c r="AL2227">
        <v>1</v>
      </c>
      <c r="AM2227">
        <v>98.77</v>
      </c>
      <c r="AN2227">
        <v>330.77969999999999</v>
      </c>
      <c r="AO2227">
        <v>323.23</v>
      </c>
      <c r="AP2227" s="13">
        <v>45384</v>
      </c>
      <c r="AQ2227">
        <v>-3</v>
      </c>
      <c r="AR2227">
        <v>1</v>
      </c>
    </row>
    <row r="2228" spans="1:44" x14ac:dyDescent="0.35">
      <c r="A2228" s="12" t="s">
        <v>2985</v>
      </c>
      <c r="B2228" s="12" t="s">
        <v>773</v>
      </c>
      <c r="C2228" s="12" t="s">
        <v>774</v>
      </c>
      <c r="D2228" s="12" t="s">
        <v>64</v>
      </c>
      <c r="E2228" s="12" t="s">
        <v>142</v>
      </c>
      <c r="F2228">
        <v>1</v>
      </c>
      <c r="G2228">
        <v>7</v>
      </c>
      <c r="H2228">
        <v>1</v>
      </c>
      <c r="I2228" s="12" t="s">
        <v>251</v>
      </c>
      <c r="J2228" s="12" t="s">
        <v>252</v>
      </c>
      <c r="K2228" s="12" t="s">
        <v>133</v>
      </c>
      <c r="L2228" s="12" t="s">
        <v>69</v>
      </c>
      <c r="M2228">
        <v>34.49</v>
      </c>
      <c r="N2228" s="12" t="s">
        <v>70</v>
      </c>
      <c r="O2228" s="12" t="s">
        <v>71</v>
      </c>
      <c r="P2228" s="12" t="s">
        <v>72</v>
      </c>
      <c r="Q2228" s="13">
        <v>45357</v>
      </c>
      <c r="R2228" s="13">
        <v>45401</v>
      </c>
      <c r="S2228">
        <v>2024</v>
      </c>
      <c r="T2228" s="12" t="s">
        <v>2941</v>
      </c>
      <c r="U2228">
        <v>565</v>
      </c>
      <c r="V2228">
        <v>10.0604</v>
      </c>
      <c r="W2228">
        <v>97.12</v>
      </c>
      <c r="X2228">
        <v>0</v>
      </c>
      <c r="Y2228">
        <v>0</v>
      </c>
      <c r="Z2228">
        <v>5684.13</v>
      </c>
      <c r="AA2228">
        <v>5781.25</v>
      </c>
      <c r="AB2228" s="12" t="s">
        <v>775</v>
      </c>
      <c r="AC2228">
        <v>10.0604</v>
      </c>
      <c r="AD2228">
        <v>1</v>
      </c>
      <c r="AE2228">
        <v>1</v>
      </c>
      <c r="AF2228">
        <v>0</v>
      </c>
      <c r="AG2228">
        <v>5684.13</v>
      </c>
      <c r="AH2228">
        <v>565</v>
      </c>
      <c r="AI2228">
        <v>558</v>
      </c>
      <c r="AJ2228">
        <v>7</v>
      </c>
      <c r="AK2228">
        <v>1</v>
      </c>
      <c r="AL2228">
        <v>1</v>
      </c>
      <c r="AM2228">
        <v>98.76</v>
      </c>
      <c r="AN2228">
        <v>10.3607</v>
      </c>
      <c r="AO2228">
        <v>70.42</v>
      </c>
      <c r="AP2228" s="13">
        <v>45411</v>
      </c>
      <c r="AQ2228">
        <v>10</v>
      </c>
      <c r="AR2228">
        <v>0</v>
      </c>
    </row>
    <row r="2229" spans="1:44" x14ac:dyDescent="0.35">
      <c r="A2229" s="12" t="s">
        <v>2986</v>
      </c>
      <c r="B2229" s="12" t="s">
        <v>855</v>
      </c>
      <c r="C2229" s="12" t="s">
        <v>856</v>
      </c>
      <c r="D2229" s="12" t="s">
        <v>269</v>
      </c>
      <c r="E2229" s="12" t="s">
        <v>65</v>
      </c>
      <c r="F2229">
        <v>3</v>
      </c>
      <c r="G2229">
        <v>5</v>
      </c>
      <c r="H2229">
        <v>0</v>
      </c>
      <c r="I2229" s="12" t="s">
        <v>94</v>
      </c>
      <c r="J2229" s="12" t="s">
        <v>95</v>
      </c>
      <c r="K2229" s="12" t="s">
        <v>81</v>
      </c>
      <c r="L2229" s="12" t="s">
        <v>96</v>
      </c>
      <c r="M2229">
        <v>4.8099999999999996</v>
      </c>
      <c r="N2229" s="12" t="s">
        <v>135</v>
      </c>
      <c r="O2229" s="12" t="s">
        <v>136</v>
      </c>
      <c r="P2229" s="12" t="s">
        <v>137</v>
      </c>
      <c r="Q2229" s="13">
        <v>45357</v>
      </c>
      <c r="R2229" s="13">
        <v>45388</v>
      </c>
      <c r="S2229">
        <v>2024</v>
      </c>
      <c r="T2229" s="12" t="s">
        <v>2941</v>
      </c>
      <c r="U2229">
        <v>92</v>
      </c>
      <c r="V2229">
        <v>493.6902</v>
      </c>
      <c r="W2229">
        <v>1173.77</v>
      </c>
      <c r="X2229">
        <v>0</v>
      </c>
      <c r="Y2229">
        <v>0</v>
      </c>
      <c r="Z2229">
        <v>45419.5</v>
      </c>
      <c r="AA2229">
        <v>46593.27</v>
      </c>
      <c r="AB2229" s="12" t="s">
        <v>857</v>
      </c>
      <c r="AC2229">
        <v>493.6902</v>
      </c>
      <c r="AD2229">
        <v>1</v>
      </c>
      <c r="AE2229">
        <v>1</v>
      </c>
      <c r="AF2229">
        <v>0</v>
      </c>
      <c r="AG2229">
        <v>45419.5</v>
      </c>
      <c r="AH2229">
        <v>92</v>
      </c>
      <c r="AI2229">
        <v>91</v>
      </c>
      <c r="AJ2229">
        <v>1</v>
      </c>
      <c r="AK2229">
        <v>1</v>
      </c>
      <c r="AL2229">
        <v>1</v>
      </c>
      <c r="AM2229">
        <v>98.91</v>
      </c>
      <c r="AN2229">
        <v>512.01390000000004</v>
      </c>
      <c r="AO2229">
        <v>493.69</v>
      </c>
      <c r="AP2229" s="13">
        <v>45385</v>
      </c>
      <c r="AQ2229">
        <v>-3</v>
      </c>
      <c r="AR2229">
        <v>1</v>
      </c>
    </row>
    <row r="2230" spans="1:44" x14ac:dyDescent="0.35">
      <c r="A2230" s="12" t="s">
        <v>2987</v>
      </c>
      <c r="B2230" s="12" t="s">
        <v>532</v>
      </c>
      <c r="C2230" s="12" t="s">
        <v>533</v>
      </c>
      <c r="D2230" s="12" t="s">
        <v>114</v>
      </c>
      <c r="E2230" s="12" t="s">
        <v>65</v>
      </c>
      <c r="F2230">
        <v>2</v>
      </c>
      <c r="G2230">
        <v>3</v>
      </c>
      <c r="H2230">
        <v>0</v>
      </c>
      <c r="I2230" s="12" t="s">
        <v>105</v>
      </c>
      <c r="J2230" s="12" t="s">
        <v>106</v>
      </c>
      <c r="K2230" s="12" t="s">
        <v>81</v>
      </c>
      <c r="L2230" s="12" t="s">
        <v>96</v>
      </c>
      <c r="M2230">
        <v>5.01</v>
      </c>
      <c r="N2230" s="12" t="s">
        <v>70</v>
      </c>
      <c r="O2230" s="12" t="s">
        <v>71</v>
      </c>
      <c r="P2230" s="12" t="s">
        <v>72</v>
      </c>
      <c r="Q2230" s="13">
        <v>45357</v>
      </c>
      <c r="R2230" s="13">
        <v>45390</v>
      </c>
      <c r="S2230">
        <v>2024</v>
      </c>
      <c r="T2230" s="12" t="s">
        <v>2941</v>
      </c>
      <c r="U2230">
        <v>106</v>
      </c>
      <c r="V2230">
        <v>250.00970000000001</v>
      </c>
      <c r="W2230">
        <v>480.44</v>
      </c>
      <c r="X2230">
        <v>0</v>
      </c>
      <c r="Y2230">
        <v>0</v>
      </c>
      <c r="Z2230">
        <v>26501.03</v>
      </c>
      <c r="AA2230">
        <v>26981.47</v>
      </c>
      <c r="AB2230" s="12" t="s">
        <v>534</v>
      </c>
      <c r="AC2230">
        <v>250.00970000000001</v>
      </c>
      <c r="AD2230">
        <v>1</v>
      </c>
      <c r="AE2230">
        <v>1</v>
      </c>
      <c r="AF2230">
        <v>0</v>
      </c>
      <c r="AG2230">
        <v>26501.03</v>
      </c>
      <c r="AH2230">
        <v>106</v>
      </c>
      <c r="AI2230">
        <v>105</v>
      </c>
      <c r="AJ2230">
        <v>1</v>
      </c>
      <c r="AK2230">
        <v>1</v>
      </c>
      <c r="AL2230">
        <v>1</v>
      </c>
      <c r="AM2230">
        <v>99.06</v>
      </c>
      <c r="AN2230">
        <v>256.96640000000002</v>
      </c>
      <c r="AO2230">
        <v>250.01</v>
      </c>
      <c r="AP2230" s="13">
        <v>45387</v>
      </c>
      <c r="AQ2230">
        <v>-3</v>
      </c>
      <c r="AR2230">
        <v>1</v>
      </c>
    </row>
    <row r="2231" spans="1:44" x14ac:dyDescent="0.35">
      <c r="A2231" s="12" t="s">
        <v>2988</v>
      </c>
      <c r="B2231" s="12" t="s">
        <v>215</v>
      </c>
      <c r="C2231" s="12" t="s">
        <v>216</v>
      </c>
      <c r="D2231" s="12" t="s">
        <v>122</v>
      </c>
      <c r="E2231" s="12" t="s">
        <v>142</v>
      </c>
      <c r="F2231">
        <v>3</v>
      </c>
      <c r="G2231">
        <v>11</v>
      </c>
      <c r="H2231">
        <v>0</v>
      </c>
      <c r="I2231" s="12" t="s">
        <v>217</v>
      </c>
      <c r="J2231" s="12" t="s">
        <v>218</v>
      </c>
      <c r="K2231" s="12" t="s">
        <v>68</v>
      </c>
      <c r="L2231" s="12" t="s">
        <v>82</v>
      </c>
      <c r="M2231">
        <v>14.24</v>
      </c>
      <c r="N2231" s="12" t="s">
        <v>70</v>
      </c>
      <c r="O2231" s="12" t="s">
        <v>71</v>
      </c>
      <c r="P2231" s="12" t="s">
        <v>72</v>
      </c>
      <c r="Q2231" s="13">
        <v>45357</v>
      </c>
      <c r="R2231" s="13">
        <v>45398</v>
      </c>
      <c r="S2231">
        <v>2024</v>
      </c>
      <c r="T2231" s="12" t="s">
        <v>2941</v>
      </c>
      <c r="U2231">
        <v>835</v>
      </c>
      <c r="V2231">
        <v>14.797000000000001</v>
      </c>
      <c r="W2231">
        <v>163.35</v>
      </c>
      <c r="X2231">
        <v>0</v>
      </c>
      <c r="Y2231">
        <v>0</v>
      </c>
      <c r="Z2231">
        <v>12355.5</v>
      </c>
      <c r="AA2231">
        <v>12518.85</v>
      </c>
      <c r="AB2231" s="12" t="s">
        <v>2696</v>
      </c>
      <c r="AC2231">
        <v>14.797000000000001</v>
      </c>
      <c r="AD2231">
        <v>1</v>
      </c>
      <c r="AE2231">
        <v>1</v>
      </c>
      <c r="AF2231">
        <v>0</v>
      </c>
      <c r="AG2231">
        <v>12355.5</v>
      </c>
      <c r="AH2231">
        <v>835</v>
      </c>
      <c r="AI2231">
        <v>827</v>
      </c>
      <c r="AJ2231">
        <v>8</v>
      </c>
      <c r="AK2231">
        <v>1</v>
      </c>
      <c r="AL2231">
        <v>1</v>
      </c>
      <c r="AM2231">
        <v>99.04</v>
      </c>
      <c r="AN2231">
        <v>15.137700000000001</v>
      </c>
      <c r="AO2231">
        <v>118.38</v>
      </c>
      <c r="AP2231" s="13">
        <v>45403</v>
      </c>
      <c r="AQ2231">
        <v>5</v>
      </c>
      <c r="AR2231">
        <v>0</v>
      </c>
    </row>
    <row r="2232" spans="1:44" x14ac:dyDescent="0.35">
      <c r="A2232" s="12" t="s">
        <v>2989</v>
      </c>
      <c r="B2232" s="12" t="s">
        <v>924</v>
      </c>
      <c r="C2232" s="12" t="s">
        <v>925</v>
      </c>
      <c r="D2232" s="12" t="s">
        <v>103</v>
      </c>
      <c r="E2232" s="12" t="s">
        <v>104</v>
      </c>
      <c r="F2232">
        <v>2</v>
      </c>
      <c r="G2232">
        <v>0</v>
      </c>
      <c r="H2232">
        <v>0</v>
      </c>
      <c r="I2232" s="12" t="s">
        <v>335</v>
      </c>
      <c r="J2232" s="12" t="s">
        <v>336</v>
      </c>
      <c r="K2232" s="12" t="s">
        <v>89</v>
      </c>
      <c r="L2232" s="12" t="s">
        <v>82</v>
      </c>
      <c r="M2232">
        <v>16</v>
      </c>
      <c r="N2232" s="12" t="s">
        <v>107</v>
      </c>
      <c r="O2232" s="12" t="s">
        <v>108</v>
      </c>
      <c r="P2232" s="12" t="s">
        <v>109</v>
      </c>
      <c r="Q2232" s="13">
        <v>45357</v>
      </c>
      <c r="R2232" s="13">
        <v>45382</v>
      </c>
      <c r="S2232">
        <v>2024</v>
      </c>
      <c r="T2232" s="12" t="s">
        <v>2941</v>
      </c>
      <c r="U2232">
        <v>113</v>
      </c>
      <c r="V2232">
        <v>161.51509999999999</v>
      </c>
      <c r="W2232">
        <v>215.56</v>
      </c>
      <c r="X2232">
        <v>0</v>
      </c>
      <c r="Y2232">
        <v>0</v>
      </c>
      <c r="Z2232">
        <v>18251.21</v>
      </c>
      <c r="AA2232">
        <v>18466.77</v>
      </c>
      <c r="AB2232" s="12" t="s">
        <v>926</v>
      </c>
      <c r="AC2232">
        <v>161.51509999999999</v>
      </c>
      <c r="AD2232">
        <v>1</v>
      </c>
      <c r="AE2232">
        <v>1</v>
      </c>
      <c r="AF2232">
        <v>0</v>
      </c>
      <c r="AG2232">
        <v>18251.21</v>
      </c>
      <c r="AH2232">
        <v>113</v>
      </c>
      <c r="AI2232">
        <v>112</v>
      </c>
      <c r="AJ2232">
        <v>1</v>
      </c>
      <c r="AK2232">
        <v>1</v>
      </c>
      <c r="AL2232">
        <v>1</v>
      </c>
      <c r="AM2232">
        <v>99.12</v>
      </c>
      <c r="AN2232">
        <v>164.8818</v>
      </c>
      <c r="AO2232">
        <v>161.52000000000001</v>
      </c>
      <c r="AP2232" s="13">
        <v>45389</v>
      </c>
      <c r="AQ2232">
        <v>7</v>
      </c>
      <c r="AR2232">
        <v>0</v>
      </c>
    </row>
    <row r="2233" spans="1:44" x14ac:dyDescent="0.35">
      <c r="A2233" s="12" t="s">
        <v>2990</v>
      </c>
      <c r="B2233" s="12" t="s">
        <v>712</v>
      </c>
      <c r="C2233" s="12" t="s">
        <v>713</v>
      </c>
      <c r="D2233" s="12" t="s">
        <v>103</v>
      </c>
      <c r="E2233" s="12" t="s">
        <v>104</v>
      </c>
      <c r="F2233">
        <v>2</v>
      </c>
      <c r="G2233">
        <v>0</v>
      </c>
      <c r="H2233">
        <v>0</v>
      </c>
      <c r="I2233" s="12" t="s">
        <v>199</v>
      </c>
      <c r="J2233" s="12" t="s">
        <v>200</v>
      </c>
      <c r="K2233" s="12" t="s">
        <v>68</v>
      </c>
      <c r="L2233" s="12" t="s">
        <v>96</v>
      </c>
      <c r="M2233">
        <v>9.4700000000000006</v>
      </c>
      <c r="N2233" s="12" t="s">
        <v>107</v>
      </c>
      <c r="O2233" s="12" t="s">
        <v>108</v>
      </c>
      <c r="P2233" s="12" t="s">
        <v>109</v>
      </c>
      <c r="Q2233" s="13">
        <v>45357</v>
      </c>
      <c r="R2233" s="13">
        <v>45380</v>
      </c>
      <c r="S2233">
        <v>2024</v>
      </c>
      <c r="T2233" s="12" t="s">
        <v>2941</v>
      </c>
      <c r="U2233">
        <v>103</v>
      </c>
      <c r="V2233">
        <v>202.47229999999999</v>
      </c>
      <c r="W2233">
        <v>397.19</v>
      </c>
      <c r="X2233">
        <v>0</v>
      </c>
      <c r="Y2233">
        <v>0</v>
      </c>
      <c r="Z2233">
        <v>20854.650000000001</v>
      </c>
      <c r="AA2233">
        <v>21251.84</v>
      </c>
      <c r="AB2233" s="12" t="s">
        <v>714</v>
      </c>
      <c r="AC2233">
        <v>202.47229999999999</v>
      </c>
      <c r="AD2233">
        <v>1</v>
      </c>
      <c r="AE2233">
        <v>1</v>
      </c>
      <c r="AF2233">
        <v>0</v>
      </c>
      <c r="AG2233">
        <v>20854.650000000001</v>
      </c>
      <c r="AH2233">
        <v>103</v>
      </c>
      <c r="AI2233">
        <v>102</v>
      </c>
      <c r="AJ2233">
        <v>1</v>
      </c>
      <c r="AK2233">
        <v>1</v>
      </c>
      <c r="AL2233">
        <v>1</v>
      </c>
      <c r="AM2233">
        <v>99.03</v>
      </c>
      <c r="AN2233">
        <v>208.35130000000001</v>
      </c>
      <c r="AO2233">
        <v>202.47</v>
      </c>
      <c r="AP2233" s="13">
        <v>45378</v>
      </c>
      <c r="AQ2233">
        <v>-2</v>
      </c>
      <c r="AR2233">
        <v>1</v>
      </c>
    </row>
    <row r="2234" spans="1:44" x14ac:dyDescent="0.35">
      <c r="A2234" s="12" t="s">
        <v>2991</v>
      </c>
      <c r="B2234" s="12" t="s">
        <v>323</v>
      </c>
      <c r="C2234" s="12" t="s">
        <v>324</v>
      </c>
      <c r="D2234" s="12" t="s">
        <v>64</v>
      </c>
      <c r="E2234" s="12" t="s">
        <v>142</v>
      </c>
      <c r="F2234">
        <v>1</v>
      </c>
      <c r="G2234">
        <v>7</v>
      </c>
      <c r="H2234">
        <v>1</v>
      </c>
      <c r="I2234" s="12" t="s">
        <v>143</v>
      </c>
      <c r="J2234" s="12" t="s">
        <v>144</v>
      </c>
      <c r="K2234" s="12" t="s">
        <v>133</v>
      </c>
      <c r="L2234" s="12" t="s">
        <v>96</v>
      </c>
      <c r="M2234">
        <v>5.43</v>
      </c>
      <c r="N2234" s="12" t="s">
        <v>97</v>
      </c>
      <c r="O2234" s="12" t="s">
        <v>98</v>
      </c>
      <c r="P2234" s="12" t="s">
        <v>72</v>
      </c>
      <c r="Q2234" s="13">
        <v>45357</v>
      </c>
      <c r="R2234" s="13">
        <v>45407</v>
      </c>
      <c r="S2234">
        <v>2024</v>
      </c>
      <c r="T2234" s="12" t="s">
        <v>2941</v>
      </c>
      <c r="U2234">
        <v>875</v>
      </c>
      <c r="V2234">
        <v>40.4968</v>
      </c>
      <c r="W2234">
        <v>829.89</v>
      </c>
      <c r="X2234">
        <v>1133.21</v>
      </c>
      <c r="Y2234">
        <v>1</v>
      </c>
      <c r="Z2234">
        <v>35434.699999999997</v>
      </c>
      <c r="AA2234">
        <v>37397.800000000003</v>
      </c>
      <c r="AB2234" s="12" t="s">
        <v>2828</v>
      </c>
      <c r="AC2234">
        <v>39.364800000000002</v>
      </c>
      <c r="AD2234">
        <v>1</v>
      </c>
      <c r="AE2234">
        <v>1</v>
      </c>
      <c r="AF2234">
        <v>990.5</v>
      </c>
      <c r="AG2234">
        <v>34444.199999999997</v>
      </c>
      <c r="AH2234">
        <v>875</v>
      </c>
      <c r="AI2234">
        <v>862</v>
      </c>
      <c r="AJ2234">
        <v>13</v>
      </c>
      <c r="AK2234">
        <v>1</v>
      </c>
      <c r="AL2234">
        <v>1</v>
      </c>
      <c r="AM2234">
        <v>98.51</v>
      </c>
      <c r="AN2234">
        <v>43.384900000000002</v>
      </c>
      <c r="AO2234">
        <v>526.46</v>
      </c>
      <c r="AP2234" s="13">
        <v>45407</v>
      </c>
      <c r="AQ2234">
        <v>0</v>
      </c>
      <c r="AR2234">
        <v>1</v>
      </c>
    </row>
    <row r="2235" spans="1:44" x14ac:dyDescent="0.35">
      <c r="A2235" s="12" t="s">
        <v>2992</v>
      </c>
      <c r="B2235" s="12" t="s">
        <v>561</v>
      </c>
      <c r="C2235" s="12" t="s">
        <v>562</v>
      </c>
      <c r="D2235" s="12" t="s">
        <v>130</v>
      </c>
      <c r="E2235" s="12" t="s">
        <v>142</v>
      </c>
      <c r="F2235">
        <v>1</v>
      </c>
      <c r="G2235">
        <v>9</v>
      </c>
      <c r="H2235">
        <v>1</v>
      </c>
      <c r="I2235" s="12" t="s">
        <v>223</v>
      </c>
      <c r="J2235" s="12" t="s">
        <v>224</v>
      </c>
      <c r="K2235" s="12" t="s">
        <v>81</v>
      </c>
      <c r="L2235" s="12" t="s">
        <v>134</v>
      </c>
      <c r="M2235">
        <v>2.4900000000000002</v>
      </c>
      <c r="N2235" s="12" t="s">
        <v>159</v>
      </c>
      <c r="O2235" s="12" t="s">
        <v>160</v>
      </c>
      <c r="P2235" s="12" t="s">
        <v>137</v>
      </c>
      <c r="Q2235" s="13">
        <v>45357</v>
      </c>
      <c r="R2235" s="13">
        <v>45393</v>
      </c>
      <c r="S2235">
        <v>2024</v>
      </c>
      <c r="T2235" s="12" t="s">
        <v>2941</v>
      </c>
      <c r="U2235">
        <v>23</v>
      </c>
      <c r="V2235">
        <v>568.16290000000004</v>
      </c>
      <c r="W2235">
        <v>191.63</v>
      </c>
      <c r="X2235">
        <v>0</v>
      </c>
      <c r="Y2235">
        <v>0</v>
      </c>
      <c r="Z2235">
        <v>13067.75</v>
      </c>
      <c r="AA2235">
        <v>13259.38</v>
      </c>
      <c r="AB2235" s="12" t="s">
        <v>563</v>
      </c>
      <c r="AC2235">
        <v>603.56020000000001</v>
      </c>
      <c r="AD2235">
        <v>1</v>
      </c>
      <c r="AE2235">
        <v>1</v>
      </c>
      <c r="AF2235">
        <v>-814.14</v>
      </c>
      <c r="AG2235">
        <v>13881.88</v>
      </c>
      <c r="AH2235">
        <v>23</v>
      </c>
      <c r="AI2235">
        <v>23</v>
      </c>
      <c r="AJ2235">
        <v>0</v>
      </c>
      <c r="AK2235">
        <v>1</v>
      </c>
      <c r="AL2235">
        <v>1</v>
      </c>
      <c r="AM2235">
        <v>100</v>
      </c>
      <c r="AN2235">
        <v>576.49459999999999</v>
      </c>
      <c r="AO2235">
        <v>0</v>
      </c>
      <c r="AP2235" s="13">
        <v>45398</v>
      </c>
      <c r="AQ2235">
        <v>5</v>
      </c>
      <c r="AR2235">
        <v>0</v>
      </c>
    </row>
    <row r="2236" spans="1:44" x14ac:dyDescent="0.35">
      <c r="A2236" s="12" t="s">
        <v>2993</v>
      </c>
      <c r="B2236" s="12" t="s">
        <v>680</v>
      </c>
      <c r="C2236" s="12" t="s">
        <v>681</v>
      </c>
      <c r="D2236" s="12" t="s">
        <v>122</v>
      </c>
      <c r="E2236" s="12" t="s">
        <v>104</v>
      </c>
      <c r="F2236">
        <v>3</v>
      </c>
      <c r="G2236">
        <v>1</v>
      </c>
      <c r="H2236">
        <v>0</v>
      </c>
      <c r="I2236" s="12" t="s">
        <v>227</v>
      </c>
      <c r="J2236" s="12" t="s">
        <v>228</v>
      </c>
      <c r="K2236" s="12" t="s">
        <v>89</v>
      </c>
      <c r="L2236" s="12" t="s">
        <v>96</v>
      </c>
      <c r="M2236">
        <v>9.15</v>
      </c>
      <c r="N2236" s="12" t="s">
        <v>97</v>
      </c>
      <c r="O2236" s="12" t="s">
        <v>98</v>
      </c>
      <c r="P2236" s="12" t="s">
        <v>72</v>
      </c>
      <c r="Q2236" s="13">
        <v>45358</v>
      </c>
      <c r="R2236" s="13">
        <v>45378</v>
      </c>
      <c r="S2236">
        <v>2024</v>
      </c>
      <c r="T2236" s="12" t="s">
        <v>2941</v>
      </c>
      <c r="U2236">
        <v>1024</v>
      </c>
      <c r="V2236">
        <v>23.246099999999998</v>
      </c>
      <c r="W2236">
        <v>221.1</v>
      </c>
      <c r="X2236">
        <v>0</v>
      </c>
      <c r="Y2236">
        <v>0</v>
      </c>
      <c r="Z2236">
        <v>23804.01</v>
      </c>
      <c r="AA2236">
        <v>24025.11</v>
      </c>
      <c r="AB2236" s="12" t="s">
        <v>861</v>
      </c>
      <c r="AC2236">
        <v>23.246099999999998</v>
      </c>
      <c r="AD2236">
        <v>1</v>
      </c>
      <c r="AE2236">
        <v>1</v>
      </c>
      <c r="AF2236">
        <v>0</v>
      </c>
      <c r="AG2236">
        <v>23804.01</v>
      </c>
      <c r="AH2236">
        <v>1024</v>
      </c>
      <c r="AI2236">
        <v>1020</v>
      </c>
      <c r="AJ2236">
        <v>4</v>
      </c>
      <c r="AK2236">
        <v>1</v>
      </c>
      <c r="AL2236">
        <v>1</v>
      </c>
      <c r="AM2236">
        <v>99.61</v>
      </c>
      <c r="AN2236">
        <v>23.553999999999998</v>
      </c>
      <c r="AO2236">
        <v>92.98</v>
      </c>
      <c r="AP2236" s="13">
        <v>45376</v>
      </c>
      <c r="AQ2236">
        <v>-2</v>
      </c>
      <c r="AR2236">
        <v>1</v>
      </c>
    </row>
    <row r="2237" spans="1:44" x14ac:dyDescent="0.35">
      <c r="A2237" s="12" t="s">
        <v>2994</v>
      </c>
      <c r="B2237" s="12" t="s">
        <v>149</v>
      </c>
      <c r="C2237" s="12" t="s">
        <v>150</v>
      </c>
      <c r="D2237" s="12" t="s">
        <v>78</v>
      </c>
      <c r="E2237" s="12" t="s">
        <v>65</v>
      </c>
      <c r="F2237">
        <v>2</v>
      </c>
      <c r="G2237">
        <v>2</v>
      </c>
      <c r="H2237">
        <v>0</v>
      </c>
      <c r="I2237" s="12" t="s">
        <v>169</v>
      </c>
      <c r="J2237" s="12" t="s">
        <v>170</v>
      </c>
      <c r="K2237" s="12" t="s">
        <v>89</v>
      </c>
      <c r="L2237" s="12" t="s">
        <v>134</v>
      </c>
      <c r="M2237">
        <v>1.37</v>
      </c>
      <c r="N2237" s="12" t="s">
        <v>97</v>
      </c>
      <c r="O2237" s="12" t="s">
        <v>98</v>
      </c>
      <c r="P2237" s="12" t="s">
        <v>72</v>
      </c>
      <c r="Q2237" s="13">
        <v>45358</v>
      </c>
      <c r="R2237" s="13">
        <v>45391</v>
      </c>
      <c r="S2237">
        <v>2024</v>
      </c>
      <c r="T2237" s="12" t="s">
        <v>2941</v>
      </c>
      <c r="U2237">
        <v>223</v>
      </c>
      <c r="V2237">
        <v>73.930599999999998</v>
      </c>
      <c r="W2237">
        <v>421.92</v>
      </c>
      <c r="X2237">
        <v>0</v>
      </c>
      <c r="Y2237">
        <v>0</v>
      </c>
      <c r="Z2237">
        <v>16486.52</v>
      </c>
      <c r="AA2237">
        <v>16908.439999999999</v>
      </c>
      <c r="AB2237" s="12" t="s">
        <v>201</v>
      </c>
      <c r="AD2237">
        <v>0</v>
      </c>
      <c r="AE2237">
        <v>0</v>
      </c>
      <c r="AH2237">
        <v>223</v>
      </c>
      <c r="AI2237">
        <v>221</v>
      </c>
      <c r="AJ2237">
        <v>2</v>
      </c>
      <c r="AK2237">
        <v>1</v>
      </c>
      <c r="AL2237">
        <v>1</v>
      </c>
      <c r="AM2237">
        <v>99.1</v>
      </c>
      <c r="AN2237">
        <v>76.508799999999994</v>
      </c>
      <c r="AO2237">
        <v>147.86000000000001</v>
      </c>
      <c r="AP2237" s="13">
        <v>45389</v>
      </c>
      <c r="AQ2237">
        <v>-2</v>
      </c>
      <c r="AR2237">
        <v>1</v>
      </c>
    </row>
    <row r="2238" spans="1:44" x14ac:dyDescent="0.35">
      <c r="A2238" s="12" t="s">
        <v>2995</v>
      </c>
      <c r="B2238" s="12" t="s">
        <v>347</v>
      </c>
      <c r="C2238" s="12" t="s">
        <v>348</v>
      </c>
      <c r="D2238" s="12" t="s">
        <v>78</v>
      </c>
      <c r="E2238" s="12" t="s">
        <v>104</v>
      </c>
      <c r="F2238">
        <v>3</v>
      </c>
      <c r="G2238">
        <v>1</v>
      </c>
      <c r="H2238">
        <v>0</v>
      </c>
      <c r="I2238" s="12" t="s">
        <v>105</v>
      </c>
      <c r="J2238" s="12" t="s">
        <v>106</v>
      </c>
      <c r="K2238" s="12" t="s">
        <v>81</v>
      </c>
      <c r="L2238" s="12" t="s">
        <v>96</v>
      </c>
      <c r="M2238">
        <v>5.01</v>
      </c>
      <c r="N2238" s="12" t="s">
        <v>70</v>
      </c>
      <c r="O2238" s="12" t="s">
        <v>71</v>
      </c>
      <c r="P2238" s="12" t="s">
        <v>72</v>
      </c>
      <c r="Q2238" s="13">
        <v>45358</v>
      </c>
      <c r="R2238" s="13">
        <v>45382</v>
      </c>
      <c r="S2238">
        <v>2024</v>
      </c>
      <c r="T2238" s="12" t="s">
        <v>2941</v>
      </c>
      <c r="U2238">
        <v>214</v>
      </c>
      <c r="V2238">
        <v>100.28740000000001</v>
      </c>
      <c r="W2238">
        <v>214.75</v>
      </c>
      <c r="X2238">
        <v>0</v>
      </c>
      <c r="Y2238">
        <v>0</v>
      </c>
      <c r="Z2238">
        <v>21461.5</v>
      </c>
      <c r="AA2238">
        <v>21676.25</v>
      </c>
      <c r="AB2238" s="12" t="s">
        <v>2996</v>
      </c>
      <c r="AC2238">
        <v>100.28740000000001</v>
      </c>
      <c r="AD2238">
        <v>1</v>
      </c>
      <c r="AE2238">
        <v>1</v>
      </c>
      <c r="AF2238">
        <v>0</v>
      </c>
      <c r="AG2238">
        <v>21461.5</v>
      </c>
      <c r="AH2238">
        <v>214</v>
      </c>
      <c r="AI2238">
        <v>213</v>
      </c>
      <c r="AJ2238">
        <v>1</v>
      </c>
      <c r="AK2238">
        <v>1</v>
      </c>
      <c r="AL2238">
        <v>1</v>
      </c>
      <c r="AM2238">
        <v>99.53</v>
      </c>
      <c r="AN2238">
        <v>101.7664</v>
      </c>
      <c r="AO2238">
        <v>100.29</v>
      </c>
      <c r="AP2238" s="13">
        <v>45382</v>
      </c>
      <c r="AQ2238">
        <v>0</v>
      </c>
      <c r="AR2238">
        <v>1</v>
      </c>
    </row>
    <row r="2239" spans="1:44" x14ac:dyDescent="0.35">
      <c r="A2239" s="12" t="s">
        <v>2997</v>
      </c>
      <c r="B2239" s="12" t="s">
        <v>163</v>
      </c>
      <c r="C2239" s="12" t="s">
        <v>164</v>
      </c>
      <c r="D2239" s="12" t="s">
        <v>64</v>
      </c>
      <c r="E2239" s="12" t="s">
        <v>104</v>
      </c>
      <c r="F2239">
        <v>2</v>
      </c>
      <c r="G2239">
        <v>0</v>
      </c>
      <c r="H2239">
        <v>0</v>
      </c>
      <c r="I2239" s="12" t="s">
        <v>79</v>
      </c>
      <c r="J2239" s="12" t="s">
        <v>80</v>
      </c>
      <c r="K2239" s="12" t="s">
        <v>81</v>
      </c>
      <c r="L2239" s="12" t="s">
        <v>82</v>
      </c>
      <c r="M2239">
        <v>12.07</v>
      </c>
      <c r="N2239" s="12" t="s">
        <v>97</v>
      </c>
      <c r="O2239" s="12" t="s">
        <v>98</v>
      </c>
      <c r="P2239" s="12" t="s">
        <v>72</v>
      </c>
      <c r="Q2239" s="13">
        <v>45358</v>
      </c>
      <c r="R2239" s="13">
        <v>45387</v>
      </c>
      <c r="S2239">
        <v>2024</v>
      </c>
      <c r="T2239" s="12" t="s">
        <v>2941</v>
      </c>
      <c r="U2239">
        <v>954</v>
      </c>
      <c r="V2239">
        <v>11.6143</v>
      </c>
      <c r="W2239">
        <v>135.72</v>
      </c>
      <c r="X2239">
        <v>0</v>
      </c>
      <c r="Y2239">
        <v>0</v>
      </c>
      <c r="Z2239">
        <v>11080.04</v>
      </c>
      <c r="AA2239">
        <v>11215.76</v>
      </c>
      <c r="AB2239" s="12" t="s">
        <v>2780</v>
      </c>
      <c r="AC2239">
        <v>11.6143</v>
      </c>
      <c r="AD2239">
        <v>1</v>
      </c>
      <c r="AE2239">
        <v>1</v>
      </c>
      <c r="AF2239">
        <v>0</v>
      </c>
      <c r="AG2239">
        <v>11080.04</v>
      </c>
      <c r="AH2239">
        <v>954</v>
      </c>
      <c r="AI2239">
        <v>946</v>
      </c>
      <c r="AJ2239">
        <v>8</v>
      </c>
      <c r="AK2239">
        <v>1</v>
      </c>
      <c r="AL2239">
        <v>1</v>
      </c>
      <c r="AM2239">
        <v>99.16</v>
      </c>
      <c r="AN2239">
        <v>11.856</v>
      </c>
      <c r="AO2239">
        <v>92.91</v>
      </c>
      <c r="AP2239" s="13">
        <v>45383</v>
      </c>
      <c r="AQ2239">
        <v>-4</v>
      </c>
      <c r="AR2239">
        <v>1</v>
      </c>
    </row>
    <row r="2240" spans="1:44" x14ac:dyDescent="0.35">
      <c r="A2240" s="12" t="s">
        <v>2998</v>
      </c>
      <c r="B2240" s="12" t="s">
        <v>261</v>
      </c>
      <c r="C2240" s="12" t="s">
        <v>262</v>
      </c>
      <c r="D2240" s="12" t="s">
        <v>114</v>
      </c>
      <c r="E2240" s="12" t="s">
        <v>142</v>
      </c>
      <c r="F2240">
        <v>1</v>
      </c>
      <c r="G2240">
        <v>8</v>
      </c>
      <c r="H2240">
        <v>1</v>
      </c>
      <c r="I2240" s="12" t="s">
        <v>263</v>
      </c>
      <c r="J2240" s="12" t="s">
        <v>264</v>
      </c>
      <c r="K2240" s="12" t="s">
        <v>125</v>
      </c>
      <c r="L2240" s="12" t="s">
        <v>82</v>
      </c>
      <c r="M2240">
        <v>10.210000000000001</v>
      </c>
      <c r="N2240" s="12" t="s">
        <v>70</v>
      </c>
      <c r="O2240" s="12" t="s">
        <v>71</v>
      </c>
      <c r="P2240" s="12" t="s">
        <v>72</v>
      </c>
      <c r="Q2240" s="13">
        <v>45358</v>
      </c>
      <c r="R2240" s="13">
        <v>45410</v>
      </c>
      <c r="S2240">
        <v>2024</v>
      </c>
      <c r="T2240" s="12" t="s">
        <v>2941</v>
      </c>
      <c r="U2240">
        <v>142</v>
      </c>
      <c r="V2240">
        <v>146.30539999999999</v>
      </c>
      <c r="W2240">
        <v>213.91</v>
      </c>
      <c r="X2240">
        <v>0</v>
      </c>
      <c r="Y2240">
        <v>0</v>
      </c>
      <c r="Z2240">
        <v>20775.37</v>
      </c>
      <c r="AA2240">
        <v>20989.279999999999</v>
      </c>
      <c r="AB2240" s="12" t="s">
        <v>2655</v>
      </c>
      <c r="AC2240">
        <v>137.84569999999999</v>
      </c>
      <c r="AD2240">
        <v>1</v>
      </c>
      <c r="AE2240">
        <v>1</v>
      </c>
      <c r="AF2240">
        <v>1201.28</v>
      </c>
      <c r="AG2240">
        <v>19574.09</v>
      </c>
      <c r="AH2240">
        <v>142</v>
      </c>
      <c r="AI2240">
        <v>139</v>
      </c>
      <c r="AJ2240">
        <v>3</v>
      </c>
      <c r="AK2240">
        <v>1</v>
      </c>
      <c r="AL2240">
        <v>1</v>
      </c>
      <c r="AM2240">
        <v>97.89</v>
      </c>
      <c r="AN2240">
        <v>151.00200000000001</v>
      </c>
      <c r="AO2240">
        <v>438.92</v>
      </c>
      <c r="AP2240" s="13">
        <v>45407</v>
      </c>
      <c r="AQ2240">
        <v>-3</v>
      </c>
      <c r="AR2240">
        <v>1</v>
      </c>
    </row>
    <row r="2241" spans="1:44" x14ac:dyDescent="0.35">
      <c r="A2241" s="12" t="s">
        <v>2999</v>
      </c>
      <c r="B2241" s="12" t="s">
        <v>519</v>
      </c>
      <c r="C2241" s="12" t="s">
        <v>520</v>
      </c>
      <c r="D2241" s="12" t="s">
        <v>78</v>
      </c>
      <c r="E2241" s="12" t="s">
        <v>65</v>
      </c>
      <c r="F2241">
        <v>2</v>
      </c>
      <c r="G2241">
        <v>3</v>
      </c>
      <c r="H2241">
        <v>0</v>
      </c>
      <c r="I2241" s="12" t="s">
        <v>66</v>
      </c>
      <c r="J2241" s="12" t="s">
        <v>67</v>
      </c>
      <c r="K2241" s="12" t="s">
        <v>68</v>
      </c>
      <c r="L2241" s="12" t="s">
        <v>69</v>
      </c>
      <c r="M2241">
        <v>17.66</v>
      </c>
      <c r="N2241" s="12" t="s">
        <v>97</v>
      </c>
      <c r="O2241" s="12" t="s">
        <v>98</v>
      </c>
      <c r="P2241" s="12" t="s">
        <v>72</v>
      </c>
      <c r="Q2241" s="13">
        <v>45358</v>
      </c>
      <c r="R2241" s="13">
        <v>45384</v>
      </c>
      <c r="S2241">
        <v>2024</v>
      </c>
      <c r="T2241" s="12" t="s">
        <v>2941</v>
      </c>
      <c r="U2241">
        <v>126</v>
      </c>
      <c r="V2241">
        <v>37.196399999999997</v>
      </c>
      <c r="W2241">
        <v>116.24</v>
      </c>
      <c r="X2241">
        <v>0</v>
      </c>
      <c r="Y2241">
        <v>0</v>
      </c>
      <c r="Z2241">
        <v>4686.75</v>
      </c>
      <c r="AA2241">
        <v>4802.99</v>
      </c>
      <c r="AB2241" s="12" t="s">
        <v>201</v>
      </c>
      <c r="AD2241">
        <v>0</v>
      </c>
      <c r="AE2241">
        <v>0</v>
      </c>
      <c r="AH2241">
        <v>126</v>
      </c>
      <c r="AI2241">
        <v>124</v>
      </c>
      <c r="AJ2241">
        <v>2</v>
      </c>
      <c r="AK2241">
        <v>1</v>
      </c>
      <c r="AL2241">
        <v>1</v>
      </c>
      <c r="AM2241">
        <v>98.41</v>
      </c>
      <c r="AN2241">
        <v>38.733800000000002</v>
      </c>
      <c r="AO2241">
        <v>74.39</v>
      </c>
      <c r="AP2241" s="13">
        <v>45384</v>
      </c>
      <c r="AQ2241">
        <v>0</v>
      </c>
      <c r="AR2241">
        <v>1</v>
      </c>
    </row>
    <row r="2242" spans="1:44" x14ac:dyDescent="0.35">
      <c r="A2242" s="12" t="s">
        <v>3000</v>
      </c>
      <c r="B2242" s="12" t="s">
        <v>755</v>
      </c>
      <c r="C2242" s="12" t="s">
        <v>756</v>
      </c>
      <c r="D2242" s="12" t="s">
        <v>78</v>
      </c>
      <c r="E2242" s="12" t="s">
        <v>65</v>
      </c>
      <c r="F2242">
        <v>2</v>
      </c>
      <c r="G2242">
        <v>2</v>
      </c>
      <c r="H2242">
        <v>0</v>
      </c>
      <c r="I2242" s="12" t="s">
        <v>251</v>
      </c>
      <c r="J2242" s="12" t="s">
        <v>252</v>
      </c>
      <c r="K2242" s="12" t="s">
        <v>133</v>
      </c>
      <c r="L2242" s="12" t="s">
        <v>69</v>
      </c>
      <c r="M2242">
        <v>34.49</v>
      </c>
      <c r="N2242" s="12" t="s">
        <v>97</v>
      </c>
      <c r="O2242" s="12" t="s">
        <v>98</v>
      </c>
      <c r="P2242" s="12" t="s">
        <v>72</v>
      </c>
      <c r="Q2242" s="13">
        <v>45358</v>
      </c>
      <c r="R2242" s="13">
        <v>45385</v>
      </c>
      <c r="S2242">
        <v>2024</v>
      </c>
      <c r="T2242" s="12" t="s">
        <v>2941</v>
      </c>
      <c r="U2242">
        <v>130</v>
      </c>
      <c r="V2242">
        <v>45.472499999999997</v>
      </c>
      <c r="W2242">
        <v>115.11</v>
      </c>
      <c r="X2242">
        <v>0</v>
      </c>
      <c r="Y2242">
        <v>0</v>
      </c>
      <c r="Z2242">
        <v>5911.43</v>
      </c>
      <c r="AA2242">
        <v>6026.54</v>
      </c>
      <c r="AB2242" s="12" t="s">
        <v>757</v>
      </c>
      <c r="AC2242">
        <v>45.472499999999997</v>
      </c>
      <c r="AD2242">
        <v>1</v>
      </c>
      <c r="AE2242">
        <v>1</v>
      </c>
      <c r="AF2242">
        <v>0</v>
      </c>
      <c r="AG2242">
        <v>5911.43</v>
      </c>
      <c r="AH2242">
        <v>130</v>
      </c>
      <c r="AI2242">
        <v>129</v>
      </c>
      <c r="AJ2242">
        <v>1</v>
      </c>
      <c r="AK2242">
        <v>1</v>
      </c>
      <c r="AL2242">
        <v>1</v>
      </c>
      <c r="AM2242">
        <v>99.23</v>
      </c>
      <c r="AN2242">
        <v>46.717300000000002</v>
      </c>
      <c r="AO2242">
        <v>45.47</v>
      </c>
      <c r="AP2242" s="13">
        <v>45385</v>
      </c>
      <c r="AQ2242">
        <v>0</v>
      </c>
      <c r="AR2242">
        <v>1</v>
      </c>
    </row>
    <row r="2243" spans="1:44" x14ac:dyDescent="0.35">
      <c r="A2243" s="12" t="s">
        <v>3001</v>
      </c>
      <c r="B2243" s="12" t="s">
        <v>990</v>
      </c>
      <c r="C2243" s="12" t="s">
        <v>991</v>
      </c>
      <c r="D2243" s="12" t="s">
        <v>122</v>
      </c>
      <c r="E2243" s="12" t="s">
        <v>142</v>
      </c>
      <c r="F2243">
        <v>1</v>
      </c>
      <c r="G2243">
        <v>6</v>
      </c>
      <c r="H2243">
        <v>1</v>
      </c>
      <c r="I2243" s="12" t="s">
        <v>217</v>
      </c>
      <c r="J2243" s="12" t="s">
        <v>218</v>
      </c>
      <c r="K2243" s="12" t="s">
        <v>68</v>
      </c>
      <c r="L2243" s="12" t="s">
        <v>82</v>
      </c>
      <c r="M2243">
        <v>14.24</v>
      </c>
      <c r="N2243" s="12" t="s">
        <v>97</v>
      </c>
      <c r="O2243" s="12" t="s">
        <v>98</v>
      </c>
      <c r="P2243" s="12" t="s">
        <v>72</v>
      </c>
      <c r="Q2243" s="13">
        <v>45358</v>
      </c>
      <c r="R2243" s="13">
        <v>45394</v>
      </c>
      <c r="S2243">
        <v>2024</v>
      </c>
      <c r="T2243" s="12" t="s">
        <v>2941</v>
      </c>
      <c r="U2243">
        <v>368</v>
      </c>
      <c r="V2243">
        <v>33.697499999999998</v>
      </c>
      <c r="W2243">
        <v>192.07</v>
      </c>
      <c r="X2243">
        <v>0</v>
      </c>
      <c r="Y2243">
        <v>0</v>
      </c>
      <c r="Z2243">
        <v>12400.68</v>
      </c>
      <c r="AA2243">
        <v>12592.75</v>
      </c>
      <c r="AB2243" s="12" t="s">
        <v>992</v>
      </c>
      <c r="AC2243">
        <v>33.697499999999998</v>
      </c>
      <c r="AD2243">
        <v>1</v>
      </c>
      <c r="AE2243">
        <v>1</v>
      </c>
      <c r="AF2243">
        <v>0</v>
      </c>
      <c r="AG2243">
        <v>12400.68</v>
      </c>
      <c r="AH2243">
        <v>368</v>
      </c>
      <c r="AI2243">
        <v>364</v>
      </c>
      <c r="AJ2243">
        <v>4</v>
      </c>
      <c r="AK2243">
        <v>1</v>
      </c>
      <c r="AL2243">
        <v>1</v>
      </c>
      <c r="AM2243">
        <v>98.91</v>
      </c>
      <c r="AN2243">
        <v>34.595500000000001</v>
      </c>
      <c r="AO2243">
        <v>134.79</v>
      </c>
      <c r="AP2243" s="13">
        <v>45393</v>
      </c>
      <c r="AQ2243">
        <v>-1</v>
      </c>
      <c r="AR2243">
        <v>1</v>
      </c>
    </row>
    <row r="2244" spans="1:44" x14ac:dyDescent="0.35">
      <c r="A2244" s="12" t="s">
        <v>3002</v>
      </c>
      <c r="B2244" s="12" t="s">
        <v>787</v>
      </c>
      <c r="C2244" s="12" t="s">
        <v>788</v>
      </c>
      <c r="D2244" s="12" t="s">
        <v>269</v>
      </c>
      <c r="E2244" s="12" t="s">
        <v>65</v>
      </c>
      <c r="F2244">
        <v>2</v>
      </c>
      <c r="G2244">
        <v>3</v>
      </c>
      <c r="H2244">
        <v>0</v>
      </c>
      <c r="I2244" s="12" t="s">
        <v>143</v>
      </c>
      <c r="J2244" s="12" t="s">
        <v>144</v>
      </c>
      <c r="K2244" s="12" t="s">
        <v>133</v>
      </c>
      <c r="L2244" s="12" t="s">
        <v>96</v>
      </c>
      <c r="M2244">
        <v>5.43</v>
      </c>
      <c r="N2244" s="12" t="s">
        <v>135</v>
      </c>
      <c r="O2244" s="12" t="s">
        <v>136</v>
      </c>
      <c r="P2244" s="12" t="s">
        <v>137</v>
      </c>
      <c r="Q2244" s="13">
        <v>45358</v>
      </c>
      <c r="R2244" s="13">
        <v>45383</v>
      </c>
      <c r="S2244">
        <v>2024</v>
      </c>
      <c r="T2244" s="12" t="s">
        <v>2941</v>
      </c>
      <c r="U2244">
        <v>45</v>
      </c>
      <c r="V2244">
        <v>354.36430000000001</v>
      </c>
      <c r="W2244">
        <v>159.19</v>
      </c>
      <c r="X2244">
        <v>0</v>
      </c>
      <c r="Y2244">
        <v>0</v>
      </c>
      <c r="Z2244">
        <v>15946.39</v>
      </c>
      <c r="AA2244">
        <v>16105.58</v>
      </c>
      <c r="AB2244" s="12" t="s">
        <v>789</v>
      </c>
      <c r="AC2244">
        <v>354.36430000000001</v>
      </c>
      <c r="AD2244">
        <v>1</v>
      </c>
      <c r="AE2244">
        <v>1</v>
      </c>
      <c r="AF2244">
        <v>0</v>
      </c>
      <c r="AG2244">
        <v>15946.39</v>
      </c>
      <c r="AH2244">
        <v>45</v>
      </c>
      <c r="AI2244">
        <v>45</v>
      </c>
      <c r="AJ2244">
        <v>0</v>
      </c>
      <c r="AK2244">
        <v>1</v>
      </c>
      <c r="AL2244">
        <v>1</v>
      </c>
      <c r="AM2244">
        <v>100</v>
      </c>
      <c r="AN2244">
        <v>357.90190000000001</v>
      </c>
      <c r="AO2244">
        <v>0</v>
      </c>
      <c r="AP2244" s="13">
        <v>45381</v>
      </c>
      <c r="AQ2244">
        <v>-2</v>
      </c>
      <c r="AR2244">
        <v>1</v>
      </c>
    </row>
    <row r="2245" spans="1:44" x14ac:dyDescent="0.35">
      <c r="A2245" s="12" t="s">
        <v>3003</v>
      </c>
      <c r="B2245" s="12" t="s">
        <v>428</v>
      </c>
      <c r="C2245" s="12" t="s">
        <v>429</v>
      </c>
      <c r="D2245" s="12" t="s">
        <v>64</v>
      </c>
      <c r="E2245" s="12" t="s">
        <v>65</v>
      </c>
      <c r="F2245">
        <v>3</v>
      </c>
      <c r="G2245">
        <v>4</v>
      </c>
      <c r="H2245">
        <v>0</v>
      </c>
      <c r="I2245" s="12" t="s">
        <v>105</v>
      </c>
      <c r="J2245" s="12" t="s">
        <v>106</v>
      </c>
      <c r="K2245" s="12" t="s">
        <v>81</v>
      </c>
      <c r="L2245" s="12" t="s">
        <v>96</v>
      </c>
      <c r="M2245">
        <v>5.01</v>
      </c>
      <c r="N2245" s="12" t="s">
        <v>97</v>
      </c>
      <c r="O2245" s="12" t="s">
        <v>98</v>
      </c>
      <c r="P2245" s="12" t="s">
        <v>72</v>
      </c>
      <c r="Q2245" s="13">
        <v>45358</v>
      </c>
      <c r="R2245" s="13">
        <v>45393</v>
      </c>
      <c r="S2245">
        <v>2024</v>
      </c>
      <c r="T2245" s="12" t="s">
        <v>2941</v>
      </c>
      <c r="U2245">
        <v>802</v>
      </c>
      <c r="V2245">
        <v>13.953099999999999</v>
      </c>
      <c r="W2245">
        <v>206.6</v>
      </c>
      <c r="X2245">
        <v>0</v>
      </c>
      <c r="Y2245">
        <v>0</v>
      </c>
      <c r="Z2245">
        <v>11190.39</v>
      </c>
      <c r="AA2245">
        <v>11396.99</v>
      </c>
      <c r="AB2245" s="12" t="s">
        <v>3004</v>
      </c>
      <c r="AC2245">
        <v>13.953099999999999</v>
      </c>
      <c r="AD2245">
        <v>1</v>
      </c>
      <c r="AE2245">
        <v>1</v>
      </c>
      <c r="AF2245">
        <v>0</v>
      </c>
      <c r="AG2245">
        <v>11190.39</v>
      </c>
      <c r="AH2245">
        <v>802</v>
      </c>
      <c r="AI2245">
        <v>798</v>
      </c>
      <c r="AJ2245">
        <v>4</v>
      </c>
      <c r="AK2245">
        <v>1</v>
      </c>
      <c r="AL2245">
        <v>1</v>
      </c>
      <c r="AM2245">
        <v>99.5</v>
      </c>
      <c r="AN2245">
        <v>14.2819</v>
      </c>
      <c r="AO2245">
        <v>55.81</v>
      </c>
      <c r="AP2245" s="13">
        <v>45391</v>
      </c>
      <c r="AQ2245">
        <v>-2</v>
      </c>
      <c r="AR2245">
        <v>1</v>
      </c>
    </row>
    <row r="2246" spans="1:44" x14ac:dyDescent="0.35">
      <c r="A2246" s="12" t="s">
        <v>3005</v>
      </c>
      <c r="B2246" s="12" t="s">
        <v>317</v>
      </c>
      <c r="C2246" s="12" t="s">
        <v>318</v>
      </c>
      <c r="D2246" s="12" t="s">
        <v>64</v>
      </c>
      <c r="E2246" s="12" t="s">
        <v>104</v>
      </c>
      <c r="F2246">
        <v>2</v>
      </c>
      <c r="G2246">
        <v>0</v>
      </c>
      <c r="H2246">
        <v>0</v>
      </c>
      <c r="I2246" s="12" t="s">
        <v>169</v>
      </c>
      <c r="J2246" s="12" t="s">
        <v>170</v>
      </c>
      <c r="K2246" s="12" t="s">
        <v>89</v>
      </c>
      <c r="L2246" s="12" t="s">
        <v>134</v>
      </c>
      <c r="M2246">
        <v>1.37</v>
      </c>
      <c r="N2246" s="12" t="s">
        <v>70</v>
      </c>
      <c r="O2246" s="12" t="s">
        <v>71</v>
      </c>
      <c r="P2246" s="12" t="s">
        <v>72</v>
      </c>
      <c r="Q2246" s="13">
        <v>45359</v>
      </c>
      <c r="R2246" s="13">
        <v>45388</v>
      </c>
      <c r="S2246">
        <v>2024</v>
      </c>
      <c r="T2246" s="12" t="s">
        <v>2941</v>
      </c>
      <c r="U2246">
        <v>969</v>
      </c>
      <c r="V2246">
        <v>15.835699999999999</v>
      </c>
      <c r="W2246">
        <v>196.77</v>
      </c>
      <c r="X2246">
        <v>0</v>
      </c>
      <c r="Y2246">
        <v>0</v>
      </c>
      <c r="Z2246">
        <v>15344.79</v>
      </c>
      <c r="AA2246">
        <v>15541.56</v>
      </c>
      <c r="AB2246" s="12" t="s">
        <v>3006</v>
      </c>
      <c r="AC2246">
        <v>15.835699999999999</v>
      </c>
      <c r="AD2246">
        <v>1</v>
      </c>
      <c r="AE2246">
        <v>1</v>
      </c>
      <c r="AF2246">
        <v>0</v>
      </c>
      <c r="AG2246">
        <v>15344.79</v>
      </c>
      <c r="AH2246">
        <v>969</v>
      </c>
      <c r="AI2246">
        <v>960</v>
      </c>
      <c r="AJ2246">
        <v>9</v>
      </c>
      <c r="AK2246">
        <v>1</v>
      </c>
      <c r="AL2246">
        <v>1</v>
      </c>
      <c r="AM2246">
        <v>99.07</v>
      </c>
      <c r="AN2246">
        <v>16.1891</v>
      </c>
      <c r="AO2246">
        <v>142.52000000000001</v>
      </c>
      <c r="AP2246" s="13">
        <v>45388</v>
      </c>
      <c r="AQ2246">
        <v>0</v>
      </c>
      <c r="AR2246">
        <v>1</v>
      </c>
    </row>
    <row r="2247" spans="1:44" x14ac:dyDescent="0.35">
      <c r="A2247" s="12" t="s">
        <v>3007</v>
      </c>
      <c r="B2247" s="12" t="s">
        <v>404</v>
      </c>
      <c r="C2247" s="12" t="s">
        <v>405</v>
      </c>
      <c r="D2247" s="12" t="s">
        <v>269</v>
      </c>
      <c r="E2247" s="12" t="s">
        <v>65</v>
      </c>
      <c r="F2247">
        <v>3</v>
      </c>
      <c r="G2247">
        <v>5</v>
      </c>
      <c r="H2247">
        <v>0</v>
      </c>
      <c r="I2247" s="12" t="s">
        <v>79</v>
      </c>
      <c r="J2247" s="12" t="s">
        <v>80</v>
      </c>
      <c r="K2247" s="12" t="s">
        <v>81</v>
      </c>
      <c r="L2247" s="12" t="s">
        <v>82</v>
      </c>
      <c r="M2247">
        <v>12.07</v>
      </c>
      <c r="N2247" s="12" t="s">
        <v>159</v>
      </c>
      <c r="O2247" s="12" t="s">
        <v>160</v>
      </c>
      <c r="P2247" s="12" t="s">
        <v>137</v>
      </c>
      <c r="Q2247" s="13">
        <v>45359</v>
      </c>
      <c r="R2247" s="13">
        <v>45382</v>
      </c>
      <c r="S2247">
        <v>2024</v>
      </c>
      <c r="T2247" s="12" t="s">
        <v>2941</v>
      </c>
      <c r="U2247">
        <v>27</v>
      </c>
      <c r="V2247">
        <v>430.2559</v>
      </c>
      <c r="W2247">
        <v>168.65</v>
      </c>
      <c r="X2247">
        <v>0</v>
      </c>
      <c r="Y2247">
        <v>0</v>
      </c>
      <c r="Z2247">
        <v>11616.91</v>
      </c>
      <c r="AA2247">
        <v>11785.56</v>
      </c>
      <c r="AB2247" s="12" t="s">
        <v>2910</v>
      </c>
      <c r="AC2247">
        <v>430.2559</v>
      </c>
      <c r="AD2247">
        <v>1</v>
      </c>
      <c r="AE2247">
        <v>1</v>
      </c>
      <c r="AF2247">
        <v>0</v>
      </c>
      <c r="AG2247">
        <v>11616.91</v>
      </c>
      <c r="AH2247">
        <v>27</v>
      </c>
      <c r="AI2247">
        <v>27</v>
      </c>
      <c r="AJ2247">
        <v>0</v>
      </c>
      <c r="AK2247">
        <v>1</v>
      </c>
      <c r="AL2247">
        <v>1</v>
      </c>
      <c r="AM2247">
        <v>100</v>
      </c>
      <c r="AN2247">
        <v>436.50220000000002</v>
      </c>
      <c r="AO2247">
        <v>0</v>
      </c>
      <c r="AP2247" s="13">
        <v>45384</v>
      </c>
      <c r="AQ2247">
        <v>2</v>
      </c>
      <c r="AR2247">
        <v>0</v>
      </c>
    </row>
    <row r="2248" spans="1:44" x14ac:dyDescent="0.35">
      <c r="A2248" s="12" t="s">
        <v>3008</v>
      </c>
      <c r="B2248" s="12" t="s">
        <v>399</v>
      </c>
      <c r="C2248" s="12" t="s">
        <v>400</v>
      </c>
      <c r="D2248" s="12" t="s">
        <v>114</v>
      </c>
      <c r="E2248" s="12" t="s">
        <v>65</v>
      </c>
      <c r="F2248">
        <v>1</v>
      </c>
      <c r="G2248">
        <v>2</v>
      </c>
      <c r="H2248">
        <v>1</v>
      </c>
      <c r="I2248" s="12" t="s">
        <v>151</v>
      </c>
      <c r="J2248" s="12" t="s">
        <v>152</v>
      </c>
      <c r="K2248" s="12" t="s">
        <v>125</v>
      </c>
      <c r="L2248" s="12" t="s">
        <v>69</v>
      </c>
      <c r="M2248">
        <v>36.479999999999997</v>
      </c>
      <c r="N2248" s="12" t="s">
        <v>97</v>
      </c>
      <c r="O2248" s="12" t="s">
        <v>98</v>
      </c>
      <c r="P2248" s="12" t="s">
        <v>72</v>
      </c>
      <c r="Q2248" s="13">
        <v>45359</v>
      </c>
      <c r="R2248" s="13">
        <v>45393</v>
      </c>
      <c r="S2248">
        <v>2024</v>
      </c>
      <c r="T2248" s="12" t="s">
        <v>2941</v>
      </c>
      <c r="U2248">
        <v>116</v>
      </c>
      <c r="V2248">
        <v>299.67200000000003</v>
      </c>
      <c r="W2248">
        <v>878.54</v>
      </c>
      <c r="X2248">
        <v>0</v>
      </c>
      <c r="Y2248">
        <v>0</v>
      </c>
      <c r="Z2248">
        <v>34761.949999999997</v>
      </c>
      <c r="AA2248">
        <v>35640.49</v>
      </c>
      <c r="AB2248" s="12" t="s">
        <v>3009</v>
      </c>
      <c r="AC2248">
        <v>292.26440000000002</v>
      </c>
      <c r="AD2248">
        <v>1</v>
      </c>
      <c r="AE2248">
        <v>1</v>
      </c>
      <c r="AF2248">
        <v>859.28</v>
      </c>
      <c r="AG2248">
        <v>33902.67</v>
      </c>
      <c r="AH2248">
        <v>116</v>
      </c>
      <c r="AI2248">
        <v>113</v>
      </c>
      <c r="AJ2248">
        <v>3</v>
      </c>
      <c r="AK2248">
        <v>1</v>
      </c>
      <c r="AL2248">
        <v>1</v>
      </c>
      <c r="AM2248">
        <v>97.41</v>
      </c>
      <c r="AN2248">
        <v>315.40260000000001</v>
      </c>
      <c r="AO2248">
        <v>899.02</v>
      </c>
      <c r="AP2248" s="13">
        <v>45392</v>
      </c>
      <c r="AQ2248">
        <v>-1</v>
      </c>
      <c r="AR2248">
        <v>1</v>
      </c>
    </row>
    <row r="2249" spans="1:44" x14ac:dyDescent="0.35">
      <c r="A2249" s="12" t="s">
        <v>3010</v>
      </c>
      <c r="B2249" s="12" t="s">
        <v>451</v>
      </c>
      <c r="C2249" s="12" t="s">
        <v>452</v>
      </c>
      <c r="D2249" s="12" t="s">
        <v>175</v>
      </c>
      <c r="E2249" s="12" t="s">
        <v>104</v>
      </c>
      <c r="F2249">
        <v>3</v>
      </c>
      <c r="G2249">
        <v>1</v>
      </c>
      <c r="H2249">
        <v>0</v>
      </c>
      <c r="I2249" s="12" t="s">
        <v>176</v>
      </c>
      <c r="J2249" s="12" t="s">
        <v>177</v>
      </c>
      <c r="K2249" s="12" t="s">
        <v>125</v>
      </c>
      <c r="L2249" s="12" t="s">
        <v>134</v>
      </c>
      <c r="M2249">
        <v>1.75</v>
      </c>
      <c r="N2249" s="12" t="s">
        <v>145</v>
      </c>
      <c r="O2249" s="12" t="s">
        <v>146</v>
      </c>
      <c r="P2249" s="12" t="s">
        <v>109</v>
      </c>
      <c r="Q2249" s="13">
        <v>45359</v>
      </c>
      <c r="R2249" s="13">
        <v>45380</v>
      </c>
      <c r="S2249">
        <v>2024</v>
      </c>
      <c r="T2249" s="12" t="s">
        <v>2941</v>
      </c>
      <c r="U2249">
        <v>85</v>
      </c>
      <c r="V2249">
        <v>254.14510000000001</v>
      </c>
      <c r="W2249">
        <v>403.14</v>
      </c>
      <c r="X2249">
        <v>0</v>
      </c>
      <c r="Y2249">
        <v>0</v>
      </c>
      <c r="Z2249">
        <v>21602.33</v>
      </c>
      <c r="AA2249">
        <v>22005.47</v>
      </c>
      <c r="AB2249" s="12" t="s">
        <v>2749</v>
      </c>
      <c r="AC2249">
        <v>254.14510000000001</v>
      </c>
      <c r="AD2249">
        <v>1</v>
      </c>
      <c r="AE2249">
        <v>1</v>
      </c>
      <c r="AF2249">
        <v>0</v>
      </c>
      <c r="AG2249">
        <v>21602.33</v>
      </c>
      <c r="AH2249">
        <v>85</v>
      </c>
      <c r="AI2249">
        <v>84</v>
      </c>
      <c r="AJ2249">
        <v>1</v>
      </c>
      <c r="AK2249">
        <v>1</v>
      </c>
      <c r="AL2249">
        <v>1</v>
      </c>
      <c r="AM2249">
        <v>98.82</v>
      </c>
      <c r="AN2249">
        <v>261.9699</v>
      </c>
      <c r="AO2249">
        <v>254.15</v>
      </c>
      <c r="AP2249" s="13">
        <v>45381</v>
      </c>
      <c r="AQ2249">
        <v>1</v>
      </c>
      <c r="AR2249">
        <v>0</v>
      </c>
    </row>
    <row r="2250" spans="1:44" x14ac:dyDescent="0.35">
      <c r="A2250" s="12" t="s">
        <v>3011</v>
      </c>
      <c r="B2250" s="12" t="s">
        <v>477</v>
      </c>
      <c r="C2250" s="12" t="s">
        <v>478</v>
      </c>
      <c r="D2250" s="12" t="s">
        <v>130</v>
      </c>
      <c r="E2250" s="12" t="s">
        <v>104</v>
      </c>
      <c r="F2250">
        <v>3</v>
      </c>
      <c r="G2250">
        <v>1</v>
      </c>
      <c r="H2250">
        <v>0</v>
      </c>
      <c r="I2250" s="12" t="s">
        <v>87</v>
      </c>
      <c r="J2250" s="12" t="s">
        <v>88</v>
      </c>
      <c r="K2250" s="12" t="s">
        <v>89</v>
      </c>
      <c r="L2250" s="12" t="s">
        <v>69</v>
      </c>
      <c r="M2250">
        <v>14.93</v>
      </c>
      <c r="N2250" s="12" t="s">
        <v>159</v>
      </c>
      <c r="O2250" s="12" t="s">
        <v>160</v>
      </c>
      <c r="P2250" s="12" t="s">
        <v>137</v>
      </c>
      <c r="Q2250" s="13">
        <v>45359</v>
      </c>
      <c r="R2250" s="13">
        <v>45384</v>
      </c>
      <c r="S2250">
        <v>2024</v>
      </c>
      <c r="T2250" s="12" t="s">
        <v>2941</v>
      </c>
      <c r="U2250">
        <v>114</v>
      </c>
      <c r="V2250">
        <v>857.84479999999996</v>
      </c>
      <c r="W2250">
        <v>1848.33</v>
      </c>
      <c r="X2250">
        <v>0</v>
      </c>
      <c r="Y2250">
        <v>0</v>
      </c>
      <c r="Z2250">
        <v>97794.31</v>
      </c>
      <c r="AA2250">
        <v>99642.64</v>
      </c>
      <c r="AB2250" s="12" t="s">
        <v>201</v>
      </c>
      <c r="AD2250">
        <v>0</v>
      </c>
      <c r="AE2250">
        <v>0</v>
      </c>
      <c r="AH2250">
        <v>114</v>
      </c>
      <c r="AI2250">
        <v>113</v>
      </c>
      <c r="AJ2250">
        <v>1</v>
      </c>
      <c r="AK2250">
        <v>1</v>
      </c>
      <c r="AL2250">
        <v>1</v>
      </c>
      <c r="AM2250">
        <v>99.12</v>
      </c>
      <c r="AN2250">
        <v>881.79319999999996</v>
      </c>
      <c r="AO2250">
        <v>857.84</v>
      </c>
      <c r="AP2250" s="13">
        <v>45391</v>
      </c>
      <c r="AQ2250">
        <v>7</v>
      </c>
      <c r="AR2250">
        <v>0</v>
      </c>
    </row>
    <row r="2251" spans="1:44" x14ac:dyDescent="0.35">
      <c r="A2251" s="12" t="s">
        <v>3012</v>
      </c>
      <c r="B2251" s="12" t="s">
        <v>952</v>
      </c>
      <c r="C2251" s="12" t="s">
        <v>953</v>
      </c>
      <c r="D2251" s="12" t="s">
        <v>64</v>
      </c>
      <c r="E2251" s="12" t="s">
        <v>142</v>
      </c>
      <c r="F2251">
        <v>1</v>
      </c>
      <c r="G2251">
        <v>8</v>
      </c>
      <c r="H2251">
        <v>1</v>
      </c>
      <c r="I2251" s="12" t="s">
        <v>131</v>
      </c>
      <c r="J2251" s="12" t="s">
        <v>132</v>
      </c>
      <c r="K2251" s="12" t="s">
        <v>133</v>
      </c>
      <c r="L2251" s="12" t="s">
        <v>134</v>
      </c>
      <c r="M2251">
        <v>1.51</v>
      </c>
      <c r="N2251" s="12" t="s">
        <v>70</v>
      </c>
      <c r="O2251" s="12" t="s">
        <v>71</v>
      </c>
      <c r="P2251" s="12" t="s">
        <v>72</v>
      </c>
      <c r="Q2251" s="13">
        <v>45359</v>
      </c>
      <c r="R2251" s="13">
        <v>45394</v>
      </c>
      <c r="S2251">
        <v>2024</v>
      </c>
      <c r="T2251" s="12" t="s">
        <v>2941</v>
      </c>
      <c r="U2251">
        <v>102</v>
      </c>
      <c r="V2251">
        <v>31.146599999999999</v>
      </c>
      <c r="W2251">
        <v>62.53</v>
      </c>
      <c r="X2251">
        <v>0</v>
      </c>
      <c r="Y2251">
        <v>0</v>
      </c>
      <c r="Z2251">
        <v>3176.95</v>
      </c>
      <c r="AA2251">
        <v>3239.48</v>
      </c>
      <c r="AB2251" s="12" t="s">
        <v>954</v>
      </c>
      <c r="AC2251">
        <v>31.146599999999999</v>
      </c>
      <c r="AD2251">
        <v>1</v>
      </c>
      <c r="AE2251">
        <v>1</v>
      </c>
      <c r="AF2251">
        <v>0</v>
      </c>
      <c r="AG2251">
        <v>3176.95</v>
      </c>
      <c r="AH2251">
        <v>102</v>
      </c>
      <c r="AI2251">
        <v>101</v>
      </c>
      <c r="AJ2251">
        <v>1</v>
      </c>
      <c r="AK2251">
        <v>1</v>
      </c>
      <c r="AL2251">
        <v>1</v>
      </c>
      <c r="AM2251">
        <v>99.02</v>
      </c>
      <c r="AN2251">
        <v>32.074100000000001</v>
      </c>
      <c r="AO2251">
        <v>31.15</v>
      </c>
      <c r="AP2251" s="13">
        <v>45393</v>
      </c>
      <c r="AQ2251">
        <v>-1</v>
      </c>
      <c r="AR2251">
        <v>1</v>
      </c>
    </row>
    <row r="2252" spans="1:44" x14ac:dyDescent="0.35">
      <c r="A2252" s="12" t="s">
        <v>3013</v>
      </c>
      <c r="B2252" s="12" t="s">
        <v>85</v>
      </c>
      <c r="C2252" s="12" t="s">
        <v>86</v>
      </c>
      <c r="D2252" s="12" t="s">
        <v>78</v>
      </c>
      <c r="E2252" s="12" t="s">
        <v>65</v>
      </c>
      <c r="F2252">
        <v>3</v>
      </c>
      <c r="G2252">
        <v>5</v>
      </c>
      <c r="H2252">
        <v>0</v>
      </c>
      <c r="I2252" s="12" t="s">
        <v>87</v>
      </c>
      <c r="J2252" s="12" t="s">
        <v>88</v>
      </c>
      <c r="K2252" s="12" t="s">
        <v>89</v>
      </c>
      <c r="L2252" s="12" t="s">
        <v>69</v>
      </c>
      <c r="M2252">
        <v>14.93</v>
      </c>
      <c r="N2252" s="12" t="s">
        <v>97</v>
      </c>
      <c r="O2252" s="12" t="s">
        <v>98</v>
      </c>
      <c r="P2252" s="12" t="s">
        <v>72</v>
      </c>
      <c r="Q2252" s="13">
        <v>45359</v>
      </c>
      <c r="R2252" s="13">
        <v>45389</v>
      </c>
      <c r="S2252">
        <v>2024</v>
      </c>
      <c r="T2252" s="12" t="s">
        <v>2941</v>
      </c>
      <c r="U2252">
        <v>171</v>
      </c>
      <c r="V2252">
        <v>139.59649999999999</v>
      </c>
      <c r="W2252">
        <v>485.1</v>
      </c>
      <c r="X2252">
        <v>0</v>
      </c>
      <c r="Y2252">
        <v>0</v>
      </c>
      <c r="Z2252">
        <v>23871</v>
      </c>
      <c r="AA2252">
        <v>24356.1</v>
      </c>
      <c r="AB2252" s="12" t="s">
        <v>2621</v>
      </c>
      <c r="AC2252">
        <v>139.59649999999999</v>
      </c>
      <c r="AD2252">
        <v>1</v>
      </c>
      <c r="AE2252">
        <v>1</v>
      </c>
      <c r="AF2252">
        <v>0</v>
      </c>
      <c r="AG2252">
        <v>23871</v>
      </c>
      <c r="AH2252">
        <v>171</v>
      </c>
      <c r="AI2252">
        <v>168</v>
      </c>
      <c r="AJ2252">
        <v>3</v>
      </c>
      <c r="AK2252">
        <v>1</v>
      </c>
      <c r="AL2252">
        <v>1</v>
      </c>
      <c r="AM2252">
        <v>98.25</v>
      </c>
      <c r="AN2252">
        <v>144.9768</v>
      </c>
      <c r="AO2252">
        <v>418.79</v>
      </c>
      <c r="AP2252" s="13">
        <v>45389</v>
      </c>
      <c r="AQ2252">
        <v>0</v>
      </c>
      <c r="AR2252">
        <v>1</v>
      </c>
    </row>
    <row r="2253" spans="1:44" x14ac:dyDescent="0.35">
      <c r="A2253" s="12" t="s">
        <v>3014</v>
      </c>
      <c r="B2253" s="12" t="s">
        <v>972</v>
      </c>
      <c r="C2253" s="12" t="s">
        <v>973</v>
      </c>
      <c r="D2253" s="12" t="s">
        <v>130</v>
      </c>
      <c r="E2253" s="12" t="s">
        <v>142</v>
      </c>
      <c r="F2253">
        <v>2</v>
      </c>
      <c r="G2253">
        <v>9</v>
      </c>
      <c r="H2253">
        <v>0</v>
      </c>
      <c r="I2253" s="12" t="s">
        <v>66</v>
      </c>
      <c r="J2253" s="12" t="s">
        <v>67</v>
      </c>
      <c r="K2253" s="12" t="s">
        <v>68</v>
      </c>
      <c r="L2253" s="12" t="s">
        <v>69</v>
      </c>
      <c r="M2253">
        <v>17.66</v>
      </c>
      <c r="N2253" s="12" t="s">
        <v>159</v>
      </c>
      <c r="O2253" s="12" t="s">
        <v>160</v>
      </c>
      <c r="P2253" s="12" t="s">
        <v>137</v>
      </c>
      <c r="Q2253" s="13">
        <v>45359</v>
      </c>
      <c r="R2253" s="13">
        <v>45407</v>
      </c>
      <c r="S2253">
        <v>2024</v>
      </c>
      <c r="T2253" s="12" t="s">
        <v>2941</v>
      </c>
      <c r="U2253">
        <v>118</v>
      </c>
      <c r="V2253">
        <v>842.69190000000003</v>
      </c>
      <c r="W2253">
        <v>842.65</v>
      </c>
      <c r="X2253">
        <v>0</v>
      </c>
      <c r="Y2253">
        <v>0</v>
      </c>
      <c r="Z2253">
        <v>99437.64</v>
      </c>
      <c r="AA2253">
        <v>100280.29</v>
      </c>
      <c r="AB2253" s="12" t="s">
        <v>1283</v>
      </c>
      <c r="AC2253">
        <v>842.69190000000003</v>
      </c>
      <c r="AD2253">
        <v>1</v>
      </c>
      <c r="AE2253">
        <v>1</v>
      </c>
      <c r="AF2253">
        <v>0</v>
      </c>
      <c r="AG2253">
        <v>99437.64</v>
      </c>
      <c r="AH2253">
        <v>118</v>
      </c>
      <c r="AI2253">
        <v>117</v>
      </c>
      <c r="AJ2253">
        <v>1</v>
      </c>
      <c r="AK2253">
        <v>1</v>
      </c>
      <c r="AL2253">
        <v>1</v>
      </c>
      <c r="AM2253">
        <v>99.15</v>
      </c>
      <c r="AN2253">
        <v>857.09649999999999</v>
      </c>
      <c r="AO2253">
        <v>842.69</v>
      </c>
      <c r="AP2253" s="13">
        <v>45405</v>
      </c>
      <c r="AQ2253">
        <v>-2</v>
      </c>
      <c r="AR2253">
        <v>1</v>
      </c>
    </row>
    <row r="2254" spans="1:44" x14ac:dyDescent="0.35">
      <c r="A2254" s="12" t="s">
        <v>3015</v>
      </c>
      <c r="B2254" s="12" t="s">
        <v>327</v>
      </c>
      <c r="C2254" s="12" t="s">
        <v>328</v>
      </c>
      <c r="D2254" s="12" t="s">
        <v>130</v>
      </c>
      <c r="E2254" s="12" t="s">
        <v>104</v>
      </c>
      <c r="F2254">
        <v>2</v>
      </c>
      <c r="G2254">
        <v>0</v>
      </c>
      <c r="H2254">
        <v>0</v>
      </c>
      <c r="I2254" s="12" t="s">
        <v>94</v>
      </c>
      <c r="J2254" s="12" t="s">
        <v>95</v>
      </c>
      <c r="K2254" s="12" t="s">
        <v>81</v>
      </c>
      <c r="L2254" s="12" t="s">
        <v>96</v>
      </c>
      <c r="M2254">
        <v>4.8099999999999996</v>
      </c>
      <c r="N2254" s="12" t="s">
        <v>135</v>
      </c>
      <c r="O2254" s="12" t="s">
        <v>136</v>
      </c>
      <c r="P2254" s="12" t="s">
        <v>137</v>
      </c>
      <c r="Q2254" s="13">
        <v>45362</v>
      </c>
      <c r="R2254" s="13">
        <v>45385</v>
      </c>
      <c r="S2254">
        <v>2024</v>
      </c>
      <c r="T2254" s="12" t="s">
        <v>2941</v>
      </c>
      <c r="U2254">
        <v>102</v>
      </c>
      <c r="V2254">
        <v>697.23929999999996</v>
      </c>
      <c r="W2254">
        <v>1520.4</v>
      </c>
      <c r="X2254">
        <v>0</v>
      </c>
      <c r="Y2254">
        <v>0</v>
      </c>
      <c r="Z2254">
        <v>71118.41</v>
      </c>
      <c r="AA2254">
        <v>72638.81</v>
      </c>
      <c r="AB2254" s="12" t="s">
        <v>3016</v>
      </c>
      <c r="AC2254">
        <v>697.23929999999996</v>
      </c>
      <c r="AD2254">
        <v>1</v>
      </c>
      <c r="AE2254">
        <v>1</v>
      </c>
      <c r="AF2254">
        <v>0</v>
      </c>
      <c r="AG2254">
        <v>71118.41</v>
      </c>
      <c r="AH2254">
        <v>102</v>
      </c>
      <c r="AI2254">
        <v>101</v>
      </c>
      <c r="AJ2254">
        <v>1</v>
      </c>
      <c r="AK2254">
        <v>1</v>
      </c>
      <c r="AL2254">
        <v>1</v>
      </c>
      <c r="AM2254">
        <v>99.02</v>
      </c>
      <c r="AN2254">
        <v>719.1961</v>
      </c>
      <c r="AO2254">
        <v>697.24</v>
      </c>
      <c r="AP2254" s="13">
        <v>45392</v>
      </c>
      <c r="AQ2254">
        <v>7</v>
      </c>
      <c r="AR2254">
        <v>0</v>
      </c>
    </row>
    <row r="2255" spans="1:44" x14ac:dyDescent="0.35">
      <c r="A2255" s="12" t="s">
        <v>3017</v>
      </c>
      <c r="B2255" s="12" t="s">
        <v>766</v>
      </c>
      <c r="C2255" s="12" t="s">
        <v>767</v>
      </c>
      <c r="D2255" s="12" t="s">
        <v>175</v>
      </c>
      <c r="E2255" s="12" t="s">
        <v>65</v>
      </c>
      <c r="F2255">
        <v>3</v>
      </c>
      <c r="G2255">
        <v>5</v>
      </c>
      <c r="H2255">
        <v>0</v>
      </c>
      <c r="I2255" s="12" t="s">
        <v>87</v>
      </c>
      <c r="J2255" s="12" t="s">
        <v>88</v>
      </c>
      <c r="K2255" s="12" t="s">
        <v>89</v>
      </c>
      <c r="L2255" s="12" t="s">
        <v>69</v>
      </c>
      <c r="M2255">
        <v>14.93</v>
      </c>
      <c r="N2255" s="12" t="s">
        <v>107</v>
      </c>
      <c r="O2255" s="12" t="s">
        <v>108</v>
      </c>
      <c r="P2255" s="12" t="s">
        <v>109</v>
      </c>
      <c r="Q2255" s="13">
        <v>45362</v>
      </c>
      <c r="R2255" s="13">
        <v>45396</v>
      </c>
      <c r="S2255">
        <v>2024</v>
      </c>
      <c r="T2255" s="12" t="s">
        <v>2941</v>
      </c>
      <c r="U2255">
        <v>115</v>
      </c>
      <c r="V2255">
        <v>86.977900000000005</v>
      </c>
      <c r="W2255">
        <v>187.39</v>
      </c>
      <c r="X2255">
        <v>0</v>
      </c>
      <c r="Y2255">
        <v>0</v>
      </c>
      <c r="Z2255">
        <v>10002.459999999999</v>
      </c>
      <c r="AA2255">
        <v>10189.85</v>
      </c>
      <c r="AB2255" s="12" t="s">
        <v>768</v>
      </c>
      <c r="AC2255">
        <v>86.977900000000005</v>
      </c>
      <c r="AD2255">
        <v>1</v>
      </c>
      <c r="AE2255">
        <v>1</v>
      </c>
      <c r="AF2255">
        <v>0</v>
      </c>
      <c r="AG2255">
        <v>10002.459999999999</v>
      </c>
      <c r="AH2255">
        <v>115</v>
      </c>
      <c r="AI2255">
        <v>115</v>
      </c>
      <c r="AJ2255">
        <v>0</v>
      </c>
      <c r="AK2255">
        <v>1</v>
      </c>
      <c r="AL2255">
        <v>1</v>
      </c>
      <c r="AM2255">
        <v>100</v>
      </c>
      <c r="AN2255">
        <v>88.607399999999998</v>
      </c>
      <c r="AO2255">
        <v>0</v>
      </c>
      <c r="AP2255" s="13">
        <v>45393</v>
      </c>
      <c r="AQ2255">
        <v>-3</v>
      </c>
      <c r="AR2255">
        <v>1</v>
      </c>
    </row>
    <row r="2256" spans="1:44" x14ac:dyDescent="0.35">
      <c r="A2256" s="12" t="s">
        <v>3018</v>
      </c>
      <c r="B2256" s="12" t="s">
        <v>978</v>
      </c>
      <c r="C2256" s="12" t="s">
        <v>979</v>
      </c>
      <c r="D2256" s="12" t="s">
        <v>122</v>
      </c>
      <c r="E2256" s="12" t="s">
        <v>65</v>
      </c>
      <c r="F2256">
        <v>1</v>
      </c>
      <c r="G2256">
        <v>2</v>
      </c>
      <c r="H2256">
        <v>1</v>
      </c>
      <c r="I2256" s="12" t="s">
        <v>310</v>
      </c>
      <c r="J2256" s="12" t="s">
        <v>311</v>
      </c>
      <c r="K2256" s="12" t="s">
        <v>81</v>
      </c>
      <c r="L2256" s="12" t="s">
        <v>69</v>
      </c>
      <c r="M2256">
        <v>28.3</v>
      </c>
      <c r="N2256" s="12" t="s">
        <v>70</v>
      </c>
      <c r="O2256" s="12" t="s">
        <v>71</v>
      </c>
      <c r="P2256" s="12" t="s">
        <v>72</v>
      </c>
      <c r="Q2256" s="13">
        <v>45362</v>
      </c>
      <c r="R2256" s="13">
        <v>45397</v>
      </c>
      <c r="S2256">
        <v>2024</v>
      </c>
      <c r="T2256" s="12" t="s">
        <v>2941</v>
      </c>
      <c r="U2256">
        <v>1694</v>
      </c>
      <c r="V2256">
        <v>43.709699999999998</v>
      </c>
      <c r="W2256">
        <v>896.48</v>
      </c>
      <c r="X2256">
        <v>0</v>
      </c>
      <c r="Y2256">
        <v>0</v>
      </c>
      <c r="Z2256">
        <v>74044.23</v>
      </c>
      <c r="AA2256">
        <v>74940.710000000006</v>
      </c>
      <c r="AB2256" s="12" t="s">
        <v>980</v>
      </c>
      <c r="AC2256">
        <v>43.709699999999998</v>
      </c>
      <c r="AD2256">
        <v>1</v>
      </c>
      <c r="AE2256">
        <v>1</v>
      </c>
      <c r="AF2256">
        <v>0</v>
      </c>
      <c r="AG2256">
        <v>74044.23</v>
      </c>
      <c r="AH2256">
        <v>1694</v>
      </c>
      <c r="AI2256">
        <v>1681</v>
      </c>
      <c r="AJ2256">
        <v>13</v>
      </c>
      <c r="AK2256">
        <v>1</v>
      </c>
      <c r="AL2256">
        <v>1</v>
      </c>
      <c r="AM2256">
        <v>99.23</v>
      </c>
      <c r="AN2256">
        <v>44.581000000000003</v>
      </c>
      <c r="AO2256">
        <v>568.23</v>
      </c>
      <c r="AP2256" s="13">
        <v>45394</v>
      </c>
      <c r="AQ2256">
        <v>-3</v>
      </c>
      <c r="AR2256">
        <v>1</v>
      </c>
    </row>
    <row r="2257" spans="1:44" x14ac:dyDescent="0.35">
      <c r="A2257" s="12" t="s">
        <v>3019</v>
      </c>
      <c r="B2257" s="12" t="s">
        <v>92</v>
      </c>
      <c r="C2257" s="12" t="s">
        <v>93</v>
      </c>
      <c r="D2257" s="12" t="s">
        <v>64</v>
      </c>
      <c r="E2257" s="12" t="s">
        <v>65</v>
      </c>
      <c r="F2257">
        <v>3</v>
      </c>
      <c r="G2257">
        <v>5</v>
      </c>
      <c r="H2257">
        <v>0</v>
      </c>
      <c r="I2257" s="12" t="s">
        <v>94</v>
      </c>
      <c r="J2257" s="12" t="s">
        <v>95</v>
      </c>
      <c r="K2257" s="12" t="s">
        <v>81</v>
      </c>
      <c r="L2257" s="12" t="s">
        <v>96</v>
      </c>
      <c r="M2257">
        <v>4.8099999999999996</v>
      </c>
      <c r="N2257" s="12" t="s">
        <v>70</v>
      </c>
      <c r="O2257" s="12" t="s">
        <v>71</v>
      </c>
      <c r="P2257" s="12" t="s">
        <v>72</v>
      </c>
      <c r="Q2257" s="13">
        <v>45362</v>
      </c>
      <c r="R2257" s="13">
        <v>45387</v>
      </c>
      <c r="S2257">
        <v>2024</v>
      </c>
      <c r="T2257" s="12" t="s">
        <v>2941</v>
      </c>
      <c r="U2257">
        <v>315</v>
      </c>
      <c r="V2257">
        <v>23.8764</v>
      </c>
      <c r="W2257">
        <v>188.89</v>
      </c>
      <c r="X2257">
        <v>0</v>
      </c>
      <c r="Y2257">
        <v>0</v>
      </c>
      <c r="Z2257">
        <v>7521.07</v>
      </c>
      <c r="AA2257">
        <v>7709.96</v>
      </c>
      <c r="AB2257" s="12" t="s">
        <v>2802</v>
      </c>
      <c r="AC2257">
        <v>23.8764</v>
      </c>
      <c r="AD2257">
        <v>1</v>
      </c>
      <c r="AE2257">
        <v>1</v>
      </c>
      <c r="AF2257">
        <v>0</v>
      </c>
      <c r="AG2257">
        <v>7521.07</v>
      </c>
      <c r="AH2257">
        <v>315</v>
      </c>
      <c r="AI2257">
        <v>311</v>
      </c>
      <c r="AJ2257">
        <v>4</v>
      </c>
      <c r="AK2257">
        <v>1</v>
      </c>
      <c r="AL2257">
        <v>1</v>
      </c>
      <c r="AM2257">
        <v>98.73</v>
      </c>
      <c r="AN2257">
        <v>24.790900000000001</v>
      </c>
      <c r="AO2257">
        <v>95.51</v>
      </c>
      <c r="AP2257" s="13">
        <v>45384</v>
      </c>
      <c r="AQ2257">
        <v>-3</v>
      </c>
      <c r="AR2257">
        <v>1</v>
      </c>
    </row>
    <row r="2258" spans="1:44" x14ac:dyDescent="0.35">
      <c r="A2258" s="12" t="s">
        <v>3020</v>
      </c>
      <c r="B2258" s="12" t="s">
        <v>323</v>
      </c>
      <c r="C2258" s="12" t="s">
        <v>324</v>
      </c>
      <c r="D2258" s="12" t="s">
        <v>64</v>
      </c>
      <c r="E2258" s="12" t="s">
        <v>142</v>
      </c>
      <c r="F2258">
        <v>1</v>
      </c>
      <c r="G2258">
        <v>7</v>
      </c>
      <c r="H2258">
        <v>1</v>
      </c>
      <c r="I2258" s="12" t="s">
        <v>143</v>
      </c>
      <c r="J2258" s="12" t="s">
        <v>144</v>
      </c>
      <c r="K2258" s="12" t="s">
        <v>133</v>
      </c>
      <c r="L2258" s="12" t="s">
        <v>96</v>
      </c>
      <c r="M2258">
        <v>5.43</v>
      </c>
      <c r="N2258" s="12" t="s">
        <v>70</v>
      </c>
      <c r="O2258" s="12" t="s">
        <v>71</v>
      </c>
      <c r="P2258" s="12" t="s">
        <v>72</v>
      </c>
      <c r="Q2258" s="13">
        <v>45362</v>
      </c>
      <c r="R2258" s="13">
        <v>45413</v>
      </c>
      <c r="S2258">
        <v>2024</v>
      </c>
      <c r="T2258" s="12" t="s">
        <v>2941</v>
      </c>
      <c r="U2258">
        <v>948</v>
      </c>
      <c r="V2258">
        <v>40.314599999999999</v>
      </c>
      <c r="W2258">
        <v>627.04999999999995</v>
      </c>
      <c r="X2258">
        <v>0</v>
      </c>
      <c r="Y2258">
        <v>0</v>
      </c>
      <c r="Z2258">
        <v>38218.239999999998</v>
      </c>
      <c r="AA2258">
        <v>38845.29</v>
      </c>
      <c r="AB2258" s="12" t="s">
        <v>2828</v>
      </c>
      <c r="AC2258">
        <v>39.364800000000002</v>
      </c>
      <c r="AD2258">
        <v>1</v>
      </c>
      <c r="AE2258">
        <v>1</v>
      </c>
      <c r="AF2258">
        <v>900.41</v>
      </c>
      <c r="AG2258">
        <v>37317.83</v>
      </c>
      <c r="AH2258">
        <v>948</v>
      </c>
      <c r="AI2258">
        <v>937</v>
      </c>
      <c r="AJ2258">
        <v>11</v>
      </c>
      <c r="AK2258">
        <v>1</v>
      </c>
      <c r="AL2258">
        <v>1</v>
      </c>
      <c r="AM2258">
        <v>98.84</v>
      </c>
      <c r="AN2258">
        <v>41.457099999999997</v>
      </c>
      <c r="AO2258">
        <v>443.46</v>
      </c>
      <c r="AP2258" s="13">
        <v>45415</v>
      </c>
      <c r="AQ2258">
        <v>2</v>
      </c>
      <c r="AR2258">
        <v>0</v>
      </c>
    </row>
    <row r="2259" spans="1:44" x14ac:dyDescent="0.35">
      <c r="A2259" s="12" t="s">
        <v>3021</v>
      </c>
      <c r="B2259" s="12" t="s">
        <v>238</v>
      </c>
      <c r="C2259" s="12" t="s">
        <v>239</v>
      </c>
      <c r="D2259" s="12" t="s">
        <v>122</v>
      </c>
      <c r="E2259" s="12" t="s">
        <v>65</v>
      </c>
      <c r="F2259">
        <v>3</v>
      </c>
      <c r="G2259">
        <v>4</v>
      </c>
      <c r="H2259">
        <v>0</v>
      </c>
      <c r="I2259" s="12" t="s">
        <v>79</v>
      </c>
      <c r="J2259" s="12" t="s">
        <v>80</v>
      </c>
      <c r="K2259" s="12" t="s">
        <v>81</v>
      </c>
      <c r="L2259" s="12" t="s">
        <v>82</v>
      </c>
      <c r="M2259">
        <v>12.07</v>
      </c>
      <c r="N2259" s="12" t="s">
        <v>70</v>
      </c>
      <c r="O2259" s="12" t="s">
        <v>71</v>
      </c>
      <c r="P2259" s="12" t="s">
        <v>72</v>
      </c>
      <c r="Q2259" s="13">
        <v>45362</v>
      </c>
      <c r="R2259" s="13">
        <v>45389</v>
      </c>
      <c r="S2259">
        <v>2024</v>
      </c>
      <c r="T2259" s="12" t="s">
        <v>2941</v>
      </c>
      <c r="U2259">
        <v>871</v>
      </c>
      <c r="V2259">
        <v>33.523600000000002</v>
      </c>
      <c r="W2259">
        <v>547.51</v>
      </c>
      <c r="X2259">
        <v>0</v>
      </c>
      <c r="Y2259">
        <v>0</v>
      </c>
      <c r="Z2259">
        <v>29199.06</v>
      </c>
      <c r="AA2259">
        <v>29746.57</v>
      </c>
      <c r="AB2259" s="12" t="s">
        <v>2688</v>
      </c>
      <c r="AC2259">
        <v>35.6462</v>
      </c>
      <c r="AD2259">
        <v>1</v>
      </c>
      <c r="AE2259">
        <v>1</v>
      </c>
      <c r="AF2259">
        <v>-1848.78</v>
      </c>
      <c r="AG2259">
        <v>31047.84</v>
      </c>
      <c r="AH2259">
        <v>871</v>
      </c>
      <c r="AI2259">
        <v>865</v>
      </c>
      <c r="AJ2259">
        <v>6</v>
      </c>
      <c r="AK2259">
        <v>1</v>
      </c>
      <c r="AL2259">
        <v>1</v>
      </c>
      <c r="AM2259">
        <v>99.31</v>
      </c>
      <c r="AN2259">
        <v>34.389099999999999</v>
      </c>
      <c r="AO2259">
        <v>201.14</v>
      </c>
      <c r="AP2259" s="13">
        <v>45386</v>
      </c>
      <c r="AQ2259">
        <v>-3</v>
      </c>
      <c r="AR2259">
        <v>1</v>
      </c>
    </row>
    <row r="2260" spans="1:44" x14ac:dyDescent="0.35">
      <c r="A2260" s="12" t="s">
        <v>3022</v>
      </c>
      <c r="B2260" s="12" t="s">
        <v>963</v>
      </c>
      <c r="C2260" s="12" t="s">
        <v>964</v>
      </c>
      <c r="D2260" s="12" t="s">
        <v>114</v>
      </c>
      <c r="E2260" s="12" t="s">
        <v>142</v>
      </c>
      <c r="F2260">
        <v>1</v>
      </c>
      <c r="G2260">
        <v>6</v>
      </c>
      <c r="H2260">
        <v>1</v>
      </c>
      <c r="I2260" s="12" t="s">
        <v>176</v>
      </c>
      <c r="J2260" s="12" t="s">
        <v>177</v>
      </c>
      <c r="K2260" s="12" t="s">
        <v>125</v>
      </c>
      <c r="L2260" s="12" t="s">
        <v>134</v>
      </c>
      <c r="M2260">
        <v>1.75</v>
      </c>
      <c r="N2260" s="12" t="s">
        <v>70</v>
      </c>
      <c r="O2260" s="12" t="s">
        <v>71</v>
      </c>
      <c r="P2260" s="12" t="s">
        <v>72</v>
      </c>
      <c r="Q2260" s="13">
        <v>45363</v>
      </c>
      <c r="R2260" s="13">
        <v>45401</v>
      </c>
      <c r="S2260">
        <v>2024</v>
      </c>
      <c r="T2260" s="12" t="s">
        <v>2941</v>
      </c>
      <c r="U2260">
        <v>34</v>
      </c>
      <c r="V2260">
        <v>194.73220000000001</v>
      </c>
      <c r="W2260">
        <v>58.82</v>
      </c>
      <c r="X2260">
        <v>204.45</v>
      </c>
      <c r="Y2260">
        <v>1</v>
      </c>
      <c r="Z2260">
        <v>6620.89</v>
      </c>
      <c r="AA2260">
        <v>6884.16</v>
      </c>
      <c r="AB2260" s="12" t="s">
        <v>965</v>
      </c>
      <c r="AC2260">
        <v>194.73220000000001</v>
      </c>
      <c r="AD2260">
        <v>1</v>
      </c>
      <c r="AE2260">
        <v>1</v>
      </c>
      <c r="AF2260">
        <v>0</v>
      </c>
      <c r="AG2260">
        <v>6620.89</v>
      </c>
      <c r="AH2260">
        <v>34</v>
      </c>
      <c r="AI2260">
        <v>34</v>
      </c>
      <c r="AJ2260">
        <v>0</v>
      </c>
      <c r="AK2260">
        <v>1</v>
      </c>
      <c r="AL2260">
        <v>1</v>
      </c>
      <c r="AM2260">
        <v>100</v>
      </c>
      <c r="AN2260">
        <v>202.47540000000001</v>
      </c>
      <c r="AO2260">
        <v>0</v>
      </c>
      <c r="AP2260" s="13">
        <v>45398</v>
      </c>
      <c r="AQ2260">
        <v>-3</v>
      </c>
      <c r="AR2260">
        <v>1</v>
      </c>
    </row>
    <row r="2261" spans="1:44" x14ac:dyDescent="0.35">
      <c r="A2261" s="12" t="s">
        <v>3023</v>
      </c>
      <c r="B2261" s="12" t="s">
        <v>843</v>
      </c>
      <c r="C2261" s="12" t="s">
        <v>844</v>
      </c>
      <c r="D2261" s="12" t="s">
        <v>175</v>
      </c>
      <c r="E2261" s="12" t="s">
        <v>65</v>
      </c>
      <c r="F2261">
        <v>3</v>
      </c>
      <c r="G2261">
        <v>5</v>
      </c>
      <c r="H2261">
        <v>0</v>
      </c>
      <c r="I2261" s="12" t="s">
        <v>359</v>
      </c>
      <c r="J2261" s="12" t="s">
        <v>360</v>
      </c>
      <c r="K2261" s="12" t="s">
        <v>133</v>
      </c>
      <c r="L2261" s="12" t="s">
        <v>82</v>
      </c>
      <c r="M2261">
        <v>12.65</v>
      </c>
      <c r="N2261" s="12" t="s">
        <v>145</v>
      </c>
      <c r="O2261" s="12" t="s">
        <v>146</v>
      </c>
      <c r="P2261" s="12" t="s">
        <v>109</v>
      </c>
      <c r="Q2261" s="13">
        <v>45363</v>
      </c>
      <c r="R2261" s="13">
        <v>45397</v>
      </c>
      <c r="S2261">
        <v>2024</v>
      </c>
      <c r="T2261" s="12" t="s">
        <v>2941</v>
      </c>
      <c r="U2261">
        <v>116</v>
      </c>
      <c r="V2261">
        <v>267.03480000000002</v>
      </c>
      <c r="W2261">
        <v>618.16999999999996</v>
      </c>
      <c r="X2261">
        <v>0</v>
      </c>
      <c r="Y2261">
        <v>0</v>
      </c>
      <c r="Z2261">
        <v>30976.04</v>
      </c>
      <c r="AA2261">
        <v>31594.21</v>
      </c>
      <c r="AB2261" s="12" t="s">
        <v>845</v>
      </c>
      <c r="AC2261">
        <v>267.03480000000002</v>
      </c>
      <c r="AD2261">
        <v>1</v>
      </c>
      <c r="AE2261">
        <v>1</v>
      </c>
      <c r="AF2261">
        <v>0</v>
      </c>
      <c r="AG2261">
        <v>30976.04</v>
      </c>
      <c r="AH2261">
        <v>116</v>
      </c>
      <c r="AI2261">
        <v>115</v>
      </c>
      <c r="AJ2261">
        <v>1</v>
      </c>
      <c r="AK2261">
        <v>1</v>
      </c>
      <c r="AL2261">
        <v>1</v>
      </c>
      <c r="AM2261">
        <v>99.14</v>
      </c>
      <c r="AN2261">
        <v>274.73219999999998</v>
      </c>
      <c r="AO2261">
        <v>267.02999999999997</v>
      </c>
      <c r="AP2261" s="13">
        <v>45397</v>
      </c>
      <c r="AQ2261">
        <v>0</v>
      </c>
      <c r="AR2261">
        <v>1</v>
      </c>
    </row>
    <row r="2262" spans="1:44" x14ac:dyDescent="0.35">
      <c r="A2262" s="12" t="s">
        <v>3024</v>
      </c>
      <c r="B2262" s="12" t="s">
        <v>630</v>
      </c>
      <c r="C2262" s="12" t="s">
        <v>631</v>
      </c>
      <c r="D2262" s="12" t="s">
        <v>130</v>
      </c>
      <c r="E2262" s="12" t="s">
        <v>65</v>
      </c>
      <c r="F2262">
        <v>1</v>
      </c>
      <c r="G2262">
        <v>2</v>
      </c>
      <c r="H2262">
        <v>1</v>
      </c>
      <c r="I2262" s="12" t="s">
        <v>335</v>
      </c>
      <c r="J2262" s="12" t="s">
        <v>336</v>
      </c>
      <c r="K2262" s="12" t="s">
        <v>89</v>
      </c>
      <c r="L2262" s="12" t="s">
        <v>82</v>
      </c>
      <c r="M2262">
        <v>16</v>
      </c>
      <c r="N2262" s="12" t="s">
        <v>135</v>
      </c>
      <c r="O2262" s="12" t="s">
        <v>136</v>
      </c>
      <c r="P2262" s="12" t="s">
        <v>137</v>
      </c>
      <c r="Q2262" s="13">
        <v>45363</v>
      </c>
      <c r="R2262" s="13">
        <v>45392</v>
      </c>
      <c r="S2262">
        <v>2024</v>
      </c>
      <c r="T2262" s="12" t="s">
        <v>2941</v>
      </c>
      <c r="U2262">
        <v>75</v>
      </c>
      <c r="V2262">
        <v>446.36720000000003</v>
      </c>
      <c r="W2262">
        <v>563.74</v>
      </c>
      <c r="X2262">
        <v>0</v>
      </c>
      <c r="Y2262">
        <v>0</v>
      </c>
      <c r="Z2262">
        <v>33477.54</v>
      </c>
      <c r="AA2262">
        <v>34041.279999999999</v>
      </c>
      <c r="AB2262" s="12" t="s">
        <v>2944</v>
      </c>
      <c r="AC2262">
        <v>446.36720000000003</v>
      </c>
      <c r="AD2262">
        <v>1</v>
      </c>
      <c r="AE2262">
        <v>1</v>
      </c>
      <c r="AF2262">
        <v>0</v>
      </c>
      <c r="AG2262">
        <v>33477.54</v>
      </c>
      <c r="AH2262">
        <v>75</v>
      </c>
      <c r="AI2262">
        <v>74</v>
      </c>
      <c r="AJ2262">
        <v>1</v>
      </c>
      <c r="AK2262">
        <v>1</v>
      </c>
      <c r="AL2262">
        <v>1</v>
      </c>
      <c r="AM2262">
        <v>98.67</v>
      </c>
      <c r="AN2262">
        <v>460.01729999999998</v>
      </c>
      <c r="AO2262">
        <v>446.37</v>
      </c>
      <c r="AP2262" s="13">
        <v>45392</v>
      </c>
      <c r="AQ2262">
        <v>0</v>
      </c>
      <c r="AR2262">
        <v>1</v>
      </c>
    </row>
    <row r="2263" spans="1:44" x14ac:dyDescent="0.35">
      <c r="A2263" s="12" t="s">
        <v>3025</v>
      </c>
      <c r="B2263" s="12" t="s">
        <v>331</v>
      </c>
      <c r="C2263" s="12" t="s">
        <v>332</v>
      </c>
      <c r="D2263" s="12" t="s">
        <v>122</v>
      </c>
      <c r="E2263" s="12" t="s">
        <v>142</v>
      </c>
      <c r="F2263">
        <v>3</v>
      </c>
      <c r="G2263">
        <v>11</v>
      </c>
      <c r="H2263">
        <v>0</v>
      </c>
      <c r="I2263" s="12" t="s">
        <v>263</v>
      </c>
      <c r="J2263" s="12" t="s">
        <v>264</v>
      </c>
      <c r="K2263" s="12" t="s">
        <v>125</v>
      </c>
      <c r="L2263" s="12" t="s">
        <v>82</v>
      </c>
      <c r="M2263">
        <v>10.210000000000001</v>
      </c>
      <c r="N2263" s="12" t="s">
        <v>97</v>
      </c>
      <c r="O2263" s="12" t="s">
        <v>98</v>
      </c>
      <c r="P2263" s="12" t="s">
        <v>72</v>
      </c>
      <c r="Q2263" s="13">
        <v>45363</v>
      </c>
      <c r="R2263" s="13">
        <v>45408</v>
      </c>
      <c r="S2263">
        <v>2024</v>
      </c>
      <c r="T2263" s="12" t="s">
        <v>2941</v>
      </c>
      <c r="U2263">
        <v>1204</v>
      </c>
      <c r="V2263">
        <v>24.008700000000001</v>
      </c>
      <c r="W2263">
        <v>358.39</v>
      </c>
      <c r="X2263">
        <v>0</v>
      </c>
      <c r="Y2263">
        <v>0</v>
      </c>
      <c r="Z2263">
        <v>28906.47</v>
      </c>
      <c r="AA2263">
        <v>29264.86</v>
      </c>
      <c r="AB2263" s="12" t="s">
        <v>2732</v>
      </c>
      <c r="AC2263">
        <v>24.008700000000001</v>
      </c>
      <c r="AD2263">
        <v>1</v>
      </c>
      <c r="AE2263">
        <v>1</v>
      </c>
      <c r="AF2263">
        <v>0</v>
      </c>
      <c r="AG2263">
        <v>28906.47</v>
      </c>
      <c r="AH2263">
        <v>1204</v>
      </c>
      <c r="AI2263">
        <v>1195</v>
      </c>
      <c r="AJ2263">
        <v>9</v>
      </c>
      <c r="AK2263">
        <v>1</v>
      </c>
      <c r="AL2263">
        <v>1</v>
      </c>
      <c r="AM2263">
        <v>99.25</v>
      </c>
      <c r="AN2263">
        <v>24.4894</v>
      </c>
      <c r="AO2263">
        <v>216.08</v>
      </c>
      <c r="AP2263" s="13">
        <v>45407</v>
      </c>
      <c r="AQ2263">
        <v>-1</v>
      </c>
      <c r="AR2263">
        <v>1</v>
      </c>
    </row>
    <row r="2264" spans="1:44" x14ac:dyDescent="0.35">
      <c r="A2264" s="12" t="s">
        <v>3026</v>
      </c>
      <c r="B2264" s="12" t="s">
        <v>420</v>
      </c>
      <c r="C2264" s="12" t="s">
        <v>421</v>
      </c>
      <c r="D2264" s="12" t="s">
        <v>269</v>
      </c>
      <c r="E2264" s="12" t="s">
        <v>104</v>
      </c>
      <c r="F2264">
        <v>2</v>
      </c>
      <c r="G2264">
        <v>0</v>
      </c>
      <c r="H2264">
        <v>0</v>
      </c>
      <c r="I2264" s="12" t="s">
        <v>335</v>
      </c>
      <c r="J2264" s="12" t="s">
        <v>336</v>
      </c>
      <c r="K2264" s="12" t="s">
        <v>89</v>
      </c>
      <c r="L2264" s="12" t="s">
        <v>82</v>
      </c>
      <c r="M2264">
        <v>16</v>
      </c>
      <c r="N2264" s="12" t="s">
        <v>159</v>
      </c>
      <c r="O2264" s="12" t="s">
        <v>160</v>
      </c>
      <c r="P2264" s="12" t="s">
        <v>137</v>
      </c>
      <c r="Q2264" s="13">
        <v>45363</v>
      </c>
      <c r="R2264" s="13">
        <v>45386</v>
      </c>
      <c r="S2264">
        <v>2024</v>
      </c>
      <c r="T2264" s="12" t="s">
        <v>2941</v>
      </c>
      <c r="U2264">
        <v>95</v>
      </c>
      <c r="V2264">
        <v>146.46350000000001</v>
      </c>
      <c r="W2264">
        <v>84.11</v>
      </c>
      <c r="X2264">
        <v>0</v>
      </c>
      <c r="Y2264">
        <v>0</v>
      </c>
      <c r="Z2264">
        <v>13914.03</v>
      </c>
      <c r="AA2264">
        <v>13998.14</v>
      </c>
      <c r="AB2264" s="12" t="s">
        <v>3027</v>
      </c>
      <c r="AC2264">
        <v>146.46350000000001</v>
      </c>
      <c r="AD2264">
        <v>1</v>
      </c>
      <c r="AE2264">
        <v>1</v>
      </c>
      <c r="AF2264">
        <v>0</v>
      </c>
      <c r="AG2264">
        <v>13914.03</v>
      </c>
      <c r="AH2264">
        <v>95</v>
      </c>
      <c r="AI2264">
        <v>95</v>
      </c>
      <c r="AJ2264">
        <v>0</v>
      </c>
      <c r="AK2264">
        <v>1</v>
      </c>
      <c r="AL2264">
        <v>1</v>
      </c>
      <c r="AM2264">
        <v>100</v>
      </c>
      <c r="AN2264">
        <v>147.34889999999999</v>
      </c>
      <c r="AO2264">
        <v>0</v>
      </c>
      <c r="AP2264" s="13">
        <v>45394</v>
      </c>
      <c r="AQ2264">
        <v>8</v>
      </c>
      <c r="AR2264">
        <v>0</v>
      </c>
    </row>
    <row r="2265" spans="1:44" x14ac:dyDescent="0.35">
      <c r="A2265" s="12" t="s">
        <v>3028</v>
      </c>
      <c r="B2265" s="12" t="s">
        <v>855</v>
      </c>
      <c r="C2265" s="12" t="s">
        <v>856</v>
      </c>
      <c r="D2265" s="12" t="s">
        <v>269</v>
      </c>
      <c r="E2265" s="12" t="s">
        <v>65</v>
      </c>
      <c r="F2265">
        <v>3</v>
      </c>
      <c r="G2265">
        <v>5</v>
      </c>
      <c r="H2265">
        <v>0</v>
      </c>
      <c r="I2265" s="12" t="s">
        <v>227</v>
      </c>
      <c r="J2265" s="12" t="s">
        <v>228</v>
      </c>
      <c r="K2265" s="12" t="s">
        <v>89</v>
      </c>
      <c r="L2265" s="12" t="s">
        <v>96</v>
      </c>
      <c r="M2265">
        <v>9.15</v>
      </c>
      <c r="N2265" s="12" t="s">
        <v>159</v>
      </c>
      <c r="O2265" s="12" t="s">
        <v>160</v>
      </c>
      <c r="P2265" s="12" t="s">
        <v>137</v>
      </c>
      <c r="Q2265" s="13">
        <v>45363</v>
      </c>
      <c r="R2265" s="13">
        <v>45391</v>
      </c>
      <c r="S2265">
        <v>2024</v>
      </c>
      <c r="T2265" s="12" t="s">
        <v>2941</v>
      </c>
      <c r="U2265">
        <v>65</v>
      </c>
      <c r="V2265">
        <v>511.49680000000001</v>
      </c>
      <c r="W2265">
        <v>379</v>
      </c>
      <c r="X2265">
        <v>0</v>
      </c>
      <c r="Y2265">
        <v>0</v>
      </c>
      <c r="Z2265">
        <v>33247.29</v>
      </c>
      <c r="AA2265">
        <v>33626.29</v>
      </c>
      <c r="AB2265" s="12" t="s">
        <v>201</v>
      </c>
      <c r="AD2265">
        <v>0</v>
      </c>
      <c r="AE2265">
        <v>0</v>
      </c>
      <c r="AH2265">
        <v>65</v>
      </c>
      <c r="AI2265">
        <v>64</v>
      </c>
      <c r="AJ2265">
        <v>1</v>
      </c>
      <c r="AK2265">
        <v>1</v>
      </c>
      <c r="AL2265">
        <v>1</v>
      </c>
      <c r="AM2265">
        <v>98.46</v>
      </c>
      <c r="AN2265">
        <v>525.41079999999999</v>
      </c>
      <c r="AO2265">
        <v>511.5</v>
      </c>
      <c r="AP2265" s="13">
        <v>45390</v>
      </c>
      <c r="AQ2265">
        <v>-1</v>
      </c>
      <c r="AR2265">
        <v>1</v>
      </c>
    </row>
    <row r="2266" spans="1:44" x14ac:dyDescent="0.35">
      <c r="A2266" s="12" t="s">
        <v>3029</v>
      </c>
      <c r="B2266" s="12" t="s">
        <v>494</v>
      </c>
      <c r="C2266" s="12" t="s">
        <v>495</v>
      </c>
      <c r="D2266" s="12" t="s">
        <v>175</v>
      </c>
      <c r="E2266" s="12" t="s">
        <v>65</v>
      </c>
      <c r="F2266">
        <v>2</v>
      </c>
      <c r="G2266">
        <v>3</v>
      </c>
      <c r="H2266">
        <v>0</v>
      </c>
      <c r="I2266" s="12" t="s">
        <v>515</v>
      </c>
      <c r="J2266" s="12" t="s">
        <v>516</v>
      </c>
      <c r="K2266" s="12" t="s">
        <v>68</v>
      </c>
      <c r="L2266" s="12" t="s">
        <v>134</v>
      </c>
      <c r="M2266">
        <v>3.69</v>
      </c>
      <c r="N2266" s="12" t="s">
        <v>107</v>
      </c>
      <c r="O2266" s="12" t="s">
        <v>108</v>
      </c>
      <c r="P2266" s="12" t="s">
        <v>109</v>
      </c>
      <c r="Q2266" s="13">
        <v>45363</v>
      </c>
      <c r="R2266" s="13">
        <v>45397</v>
      </c>
      <c r="S2266">
        <v>2024</v>
      </c>
      <c r="T2266" s="12" t="s">
        <v>2941</v>
      </c>
      <c r="U2266">
        <v>117</v>
      </c>
      <c r="V2266">
        <v>157.60329999999999</v>
      </c>
      <c r="W2266">
        <v>426.29</v>
      </c>
      <c r="X2266">
        <v>0</v>
      </c>
      <c r="Y2266">
        <v>0</v>
      </c>
      <c r="Z2266">
        <v>18439.59</v>
      </c>
      <c r="AA2266">
        <v>18865.88</v>
      </c>
      <c r="AB2266" s="12" t="s">
        <v>2807</v>
      </c>
      <c r="AC2266">
        <v>157.60329999999999</v>
      </c>
      <c r="AD2266">
        <v>1</v>
      </c>
      <c r="AE2266">
        <v>1</v>
      </c>
      <c r="AF2266">
        <v>0</v>
      </c>
      <c r="AG2266">
        <v>18439.59</v>
      </c>
      <c r="AH2266">
        <v>117</v>
      </c>
      <c r="AI2266">
        <v>116</v>
      </c>
      <c r="AJ2266">
        <v>1</v>
      </c>
      <c r="AK2266">
        <v>1</v>
      </c>
      <c r="AL2266">
        <v>1</v>
      </c>
      <c r="AM2266">
        <v>99.15</v>
      </c>
      <c r="AN2266">
        <v>162.6369</v>
      </c>
      <c r="AO2266">
        <v>157.6</v>
      </c>
      <c r="AP2266" s="13">
        <v>45405</v>
      </c>
      <c r="AQ2266">
        <v>8</v>
      </c>
      <c r="AR2266">
        <v>0</v>
      </c>
    </row>
    <row r="2267" spans="1:44" x14ac:dyDescent="0.35">
      <c r="A2267" s="12" t="s">
        <v>3030</v>
      </c>
      <c r="B2267" s="12" t="s">
        <v>902</v>
      </c>
      <c r="C2267" s="12" t="s">
        <v>903</v>
      </c>
      <c r="D2267" s="12" t="s">
        <v>122</v>
      </c>
      <c r="E2267" s="12" t="s">
        <v>142</v>
      </c>
      <c r="F2267">
        <v>1</v>
      </c>
      <c r="G2267">
        <v>6</v>
      </c>
      <c r="H2267">
        <v>1</v>
      </c>
      <c r="I2267" s="12" t="s">
        <v>105</v>
      </c>
      <c r="J2267" s="12" t="s">
        <v>106</v>
      </c>
      <c r="K2267" s="12" t="s">
        <v>81</v>
      </c>
      <c r="L2267" s="12" t="s">
        <v>96</v>
      </c>
      <c r="M2267">
        <v>5.01</v>
      </c>
      <c r="N2267" s="12" t="s">
        <v>70</v>
      </c>
      <c r="O2267" s="12" t="s">
        <v>71</v>
      </c>
      <c r="P2267" s="12" t="s">
        <v>72</v>
      </c>
      <c r="Q2267" s="13">
        <v>45363</v>
      </c>
      <c r="R2267" s="13">
        <v>45408</v>
      </c>
      <c r="S2267">
        <v>2024</v>
      </c>
      <c r="T2267" s="12" t="s">
        <v>2941</v>
      </c>
      <c r="U2267">
        <v>1248</v>
      </c>
      <c r="V2267">
        <v>41.861199999999997</v>
      </c>
      <c r="W2267">
        <v>647.30999999999995</v>
      </c>
      <c r="X2267">
        <v>0</v>
      </c>
      <c r="Y2267">
        <v>0</v>
      </c>
      <c r="Z2267">
        <v>52242.78</v>
      </c>
      <c r="AA2267">
        <v>52890.09</v>
      </c>
      <c r="AB2267" s="12" t="s">
        <v>904</v>
      </c>
      <c r="AC2267">
        <v>41.861199999999997</v>
      </c>
      <c r="AD2267">
        <v>1</v>
      </c>
      <c r="AE2267">
        <v>1</v>
      </c>
      <c r="AF2267">
        <v>0</v>
      </c>
      <c r="AG2267">
        <v>52242.78</v>
      </c>
      <c r="AH2267">
        <v>1248</v>
      </c>
      <c r="AI2267">
        <v>1243</v>
      </c>
      <c r="AJ2267">
        <v>5</v>
      </c>
      <c r="AK2267">
        <v>1</v>
      </c>
      <c r="AL2267">
        <v>1</v>
      </c>
      <c r="AM2267">
        <v>99.6</v>
      </c>
      <c r="AN2267">
        <v>42.550400000000003</v>
      </c>
      <c r="AO2267">
        <v>209.31</v>
      </c>
      <c r="AP2267" s="13">
        <v>45405</v>
      </c>
      <c r="AQ2267">
        <v>-3</v>
      </c>
      <c r="AR2267">
        <v>1</v>
      </c>
    </row>
    <row r="2268" spans="1:44" x14ac:dyDescent="0.35">
      <c r="A2268" s="12" t="s">
        <v>3031</v>
      </c>
      <c r="B2268" s="12" t="s">
        <v>498</v>
      </c>
      <c r="C2268" s="12" t="s">
        <v>499</v>
      </c>
      <c r="D2268" s="12" t="s">
        <v>175</v>
      </c>
      <c r="E2268" s="12" t="s">
        <v>104</v>
      </c>
      <c r="F2268">
        <v>3</v>
      </c>
      <c r="G2268">
        <v>1</v>
      </c>
      <c r="H2268">
        <v>0</v>
      </c>
      <c r="I2268" s="12" t="s">
        <v>233</v>
      </c>
      <c r="J2268" s="12" t="s">
        <v>234</v>
      </c>
      <c r="K2268" s="12" t="s">
        <v>125</v>
      </c>
      <c r="L2268" s="12" t="s">
        <v>96</v>
      </c>
      <c r="M2268">
        <v>3.73</v>
      </c>
      <c r="N2268" s="12" t="s">
        <v>145</v>
      </c>
      <c r="O2268" s="12" t="s">
        <v>146</v>
      </c>
      <c r="P2268" s="12" t="s">
        <v>109</v>
      </c>
      <c r="Q2268" s="13">
        <v>45363</v>
      </c>
      <c r="R2268" s="13">
        <v>45381</v>
      </c>
      <c r="S2268">
        <v>2024</v>
      </c>
      <c r="T2268" s="12" t="s">
        <v>2941</v>
      </c>
      <c r="U2268">
        <v>56</v>
      </c>
      <c r="V2268">
        <v>268.74209999999999</v>
      </c>
      <c r="W2268">
        <v>194.15</v>
      </c>
      <c r="X2268">
        <v>0</v>
      </c>
      <c r="Y2268">
        <v>0</v>
      </c>
      <c r="Z2268">
        <v>15049.56</v>
      </c>
      <c r="AA2268">
        <v>15243.71</v>
      </c>
      <c r="AB2268" s="12" t="s">
        <v>3032</v>
      </c>
      <c r="AC2268">
        <v>268.74209999999999</v>
      </c>
      <c r="AD2268">
        <v>1</v>
      </c>
      <c r="AE2268">
        <v>1</v>
      </c>
      <c r="AF2268">
        <v>0</v>
      </c>
      <c r="AG2268">
        <v>15049.56</v>
      </c>
      <c r="AH2268">
        <v>56</v>
      </c>
      <c r="AI2268">
        <v>56</v>
      </c>
      <c r="AJ2268">
        <v>0</v>
      </c>
      <c r="AK2268">
        <v>1</v>
      </c>
      <c r="AL2268">
        <v>1</v>
      </c>
      <c r="AM2268">
        <v>100</v>
      </c>
      <c r="AN2268">
        <v>272.20909999999998</v>
      </c>
      <c r="AO2268">
        <v>0</v>
      </c>
      <c r="AP2268" s="13">
        <v>45378</v>
      </c>
      <c r="AQ2268">
        <v>-3</v>
      </c>
      <c r="AR2268">
        <v>1</v>
      </c>
    </row>
    <row r="2269" spans="1:44" x14ac:dyDescent="0.35">
      <c r="A2269" s="12" t="s">
        <v>3033</v>
      </c>
      <c r="B2269" s="12" t="s">
        <v>238</v>
      </c>
      <c r="C2269" s="12" t="s">
        <v>239</v>
      </c>
      <c r="D2269" s="12" t="s">
        <v>122</v>
      </c>
      <c r="E2269" s="12" t="s">
        <v>65</v>
      </c>
      <c r="F2269">
        <v>3</v>
      </c>
      <c r="G2269">
        <v>4</v>
      </c>
      <c r="H2269">
        <v>0</v>
      </c>
      <c r="I2269" s="12" t="s">
        <v>79</v>
      </c>
      <c r="J2269" s="12" t="s">
        <v>80</v>
      </c>
      <c r="K2269" s="12" t="s">
        <v>81</v>
      </c>
      <c r="L2269" s="12" t="s">
        <v>82</v>
      </c>
      <c r="M2269">
        <v>12.07</v>
      </c>
      <c r="N2269" s="12" t="s">
        <v>70</v>
      </c>
      <c r="O2269" s="12" t="s">
        <v>71</v>
      </c>
      <c r="P2269" s="12" t="s">
        <v>72</v>
      </c>
      <c r="Q2269" s="13">
        <v>45363</v>
      </c>
      <c r="R2269" s="13">
        <v>45397</v>
      </c>
      <c r="S2269">
        <v>2024</v>
      </c>
      <c r="T2269" s="12" t="s">
        <v>2941</v>
      </c>
      <c r="U2269">
        <v>1555</v>
      </c>
      <c r="V2269">
        <v>35.6462</v>
      </c>
      <c r="W2269">
        <v>513.47</v>
      </c>
      <c r="X2269">
        <v>0</v>
      </c>
      <c r="Y2269">
        <v>0</v>
      </c>
      <c r="Z2269">
        <v>55429.84</v>
      </c>
      <c r="AA2269">
        <v>55943.31</v>
      </c>
      <c r="AB2269" s="12" t="s">
        <v>2688</v>
      </c>
      <c r="AC2269">
        <v>35.6462</v>
      </c>
      <c r="AD2269">
        <v>1</v>
      </c>
      <c r="AE2269">
        <v>1</v>
      </c>
      <c r="AF2269">
        <v>0</v>
      </c>
      <c r="AG2269">
        <v>55429.84</v>
      </c>
      <c r="AH2269">
        <v>1555</v>
      </c>
      <c r="AI2269">
        <v>1542</v>
      </c>
      <c r="AJ2269">
        <v>13</v>
      </c>
      <c r="AK2269">
        <v>1</v>
      </c>
      <c r="AL2269">
        <v>1</v>
      </c>
      <c r="AM2269">
        <v>99.16</v>
      </c>
      <c r="AN2269">
        <v>36.279699999999998</v>
      </c>
      <c r="AO2269">
        <v>463.4</v>
      </c>
      <c r="AP2269" s="13">
        <v>45395</v>
      </c>
      <c r="AQ2269">
        <v>-2</v>
      </c>
      <c r="AR2269">
        <v>1</v>
      </c>
    </row>
    <row r="2270" spans="1:44" x14ac:dyDescent="0.35">
      <c r="A2270" s="12" t="s">
        <v>3034</v>
      </c>
      <c r="B2270" s="12" t="s">
        <v>317</v>
      </c>
      <c r="C2270" s="12" t="s">
        <v>318</v>
      </c>
      <c r="D2270" s="12" t="s">
        <v>64</v>
      </c>
      <c r="E2270" s="12" t="s">
        <v>104</v>
      </c>
      <c r="F2270">
        <v>2</v>
      </c>
      <c r="G2270">
        <v>0</v>
      </c>
      <c r="H2270">
        <v>0</v>
      </c>
      <c r="I2270" s="12" t="s">
        <v>183</v>
      </c>
      <c r="J2270" s="12" t="s">
        <v>184</v>
      </c>
      <c r="K2270" s="12" t="s">
        <v>133</v>
      </c>
      <c r="L2270" s="12" t="s">
        <v>82</v>
      </c>
      <c r="M2270">
        <v>8.6199999999999992</v>
      </c>
      <c r="N2270" s="12" t="s">
        <v>97</v>
      </c>
      <c r="O2270" s="12" t="s">
        <v>98</v>
      </c>
      <c r="P2270" s="12" t="s">
        <v>72</v>
      </c>
      <c r="Q2270" s="13">
        <v>45364</v>
      </c>
      <c r="R2270" s="13">
        <v>45382</v>
      </c>
      <c r="S2270">
        <v>2024</v>
      </c>
      <c r="T2270" s="12" t="s">
        <v>2941</v>
      </c>
      <c r="U2270">
        <v>441</v>
      </c>
      <c r="V2270">
        <v>15.7963</v>
      </c>
      <c r="W2270">
        <v>166.51</v>
      </c>
      <c r="X2270">
        <v>0</v>
      </c>
      <c r="Y2270">
        <v>0</v>
      </c>
      <c r="Z2270">
        <v>6966.17</v>
      </c>
      <c r="AA2270">
        <v>7132.68</v>
      </c>
      <c r="AB2270" s="12" t="s">
        <v>3035</v>
      </c>
      <c r="AC2270">
        <v>15.7963</v>
      </c>
      <c r="AD2270">
        <v>1</v>
      </c>
      <c r="AE2270">
        <v>1</v>
      </c>
      <c r="AF2270">
        <v>0</v>
      </c>
      <c r="AG2270">
        <v>6966.17</v>
      </c>
      <c r="AH2270">
        <v>441</v>
      </c>
      <c r="AI2270">
        <v>435</v>
      </c>
      <c r="AJ2270">
        <v>6</v>
      </c>
      <c r="AK2270">
        <v>1</v>
      </c>
      <c r="AL2270">
        <v>1</v>
      </c>
      <c r="AM2270">
        <v>98.64</v>
      </c>
      <c r="AN2270">
        <v>16.396999999999998</v>
      </c>
      <c r="AO2270">
        <v>94.78</v>
      </c>
      <c r="AP2270" s="13">
        <v>45381</v>
      </c>
      <c r="AQ2270">
        <v>-1</v>
      </c>
      <c r="AR2270">
        <v>1</v>
      </c>
    </row>
    <row r="2271" spans="1:44" x14ac:dyDescent="0.35">
      <c r="A2271" s="12" t="s">
        <v>3036</v>
      </c>
      <c r="B2271" s="12" t="s">
        <v>1220</v>
      </c>
      <c r="C2271" s="12" t="s">
        <v>1221</v>
      </c>
      <c r="D2271" s="12" t="s">
        <v>175</v>
      </c>
      <c r="E2271" s="12" t="s">
        <v>104</v>
      </c>
      <c r="F2271">
        <v>3</v>
      </c>
      <c r="G2271">
        <v>1</v>
      </c>
      <c r="H2271">
        <v>0</v>
      </c>
      <c r="I2271" s="12" t="s">
        <v>251</v>
      </c>
      <c r="J2271" s="12" t="s">
        <v>252</v>
      </c>
      <c r="K2271" s="12" t="s">
        <v>133</v>
      </c>
      <c r="L2271" s="12" t="s">
        <v>69</v>
      </c>
      <c r="M2271">
        <v>34.49</v>
      </c>
      <c r="N2271" s="12" t="s">
        <v>107</v>
      </c>
      <c r="O2271" s="12" t="s">
        <v>108</v>
      </c>
      <c r="P2271" s="12" t="s">
        <v>109</v>
      </c>
      <c r="Q2271" s="13">
        <v>45364</v>
      </c>
      <c r="R2271" s="13">
        <v>45383</v>
      </c>
      <c r="S2271">
        <v>2024</v>
      </c>
      <c r="T2271" s="12" t="s">
        <v>2941</v>
      </c>
      <c r="U2271">
        <v>70</v>
      </c>
      <c r="V2271">
        <v>138.98759999999999</v>
      </c>
      <c r="W2271">
        <v>122.14</v>
      </c>
      <c r="X2271">
        <v>0</v>
      </c>
      <c r="Y2271">
        <v>0</v>
      </c>
      <c r="Z2271">
        <v>9729.1299999999992</v>
      </c>
      <c r="AA2271">
        <v>9851.27</v>
      </c>
      <c r="AB2271" s="12" t="s">
        <v>1438</v>
      </c>
      <c r="AC2271">
        <v>138.98759999999999</v>
      </c>
      <c r="AD2271">
        <v>1</v>
      </c>
      <c r="AE2271">
        <v>1</v>
      </c>
      <c r="AF2271">
        <v>0</v>
      </c>
      <c r="AG2271">
        <v>9729.1299999999992</v>
      </c>
      <c r="AH2271">
        <v>70</v>
      </c>
      <c r="AI2271">
        <v>69</v>
      </c>
      <c r="AJ2271">
        <v>1</v>
      </c>
      <c r="AK2271">
        <v>1</v>
      </c>
      <c r="AL2271">
        <v>1</v>
      </c>
      <c r="AM2271">
        <v>98.57</v>
      </c>
      <c r="AN2271">
        <v>142.77209999999999</v>
      </c>
      <c r="AO2271">
        <v>138.99</v>
      </c>
      <c r="AP2271" s="13">
        <v>45382</v>
      </c>
      <c r="AQ2271">
        <v>-1</v>
      </c>
      <c r="AR2271">
        <v>1</v>
      </c>
    </row>
    <row r="2272" spans="1:44" x14ac:dyDescent="0.35">
      <c r="A2272" s="12" t="s">
        <v>3037</v>
      </c>
      <c r="B2272" s="12" t="s">
        <v>408</v>
      </c>
      <c r="C2272" s="12" t="s">
        <v>409</v>
      </c>
      <c r="D2272" s="12" t="s">
        <v>130</v>
      </c>
      <c r="E2272" s="12" t="s">
        <v>65</v>
      </c>
      <c r="F2272">
        <v>3</v>
      </c>
      <c r="G2272">
        <v>5</v>
      </c>
      <c r="H2272">
        <v>0</v>
      </c>
      <c r="I2272" s="12" t="s">
        <v>105</v>
      </c>
      <c r="J2272" s="12" t="s">
        <v>106</v>
      </c>
      <c r="K2272" s="12" t="s">
        <v>81</v>
      </c>
      <c r="L2272" s="12" t="s">
        <v>96</v>
      </c>
      <c r="M2272">
        <v>5.01</v>
      </c>
      <c r="N2272" s="12" t="s">
        <v>159</v>
      </c>
      <c r="O2272" s="12" t="s">
        <v>160</v>
      </c>
      <c r="P2272" s="12" t="s">
        <v>137</v>
      </c>
      <c r="Q2272" s="13">
        <v>45364</v>
      </c>
      <c r="R2272" s="13">
        <v>45394</v>
      </c>
      <c r="S2272">
        <v>2024</v>
      </c>
      <c r="T2272" s="12" t="s">
        <v>2941</v>
      </c>
      <c r="U2272">
        <v>82</v>
      </c>
      <c r="V2272">
        <v>746.87909999999999</v>
      </c>
      <c r="W2272">
        <v>757.36</v>
      </c>
      <c r="X2272">
        <v>0</v>
      </c>
      <c r="Y2272">
        <v>0</v>
      </c>
      <c r="Z2272">
        <v>61244.09</v>
      </c>
      <c r="AA2272">
        <v>62001.45</v>
      </c>
      <c r="AB2272" s="12" t="s">
        <v>3038</v>
      </c>
      <c r="AC2272">
        <v>746.87909999999999</v>
      </c>
      <c r="AD2272">
        <v>1</v>
      </c>
      <c r="AE2272">
        <v>1</v>
      </c>
      <c r="AF2272">
        <v>0</v>
      </c>
      <c r="AG2272">
        <v>61244.09</v>
      </c>
      <c r="AH2272">
        <v>82</v>
      </c>
      <c r="AI2272">
        <v>81</v>
      </c>
      <c r="AJ2272">
        <v>1</v>
      </c>
      <c r="AK2272">
        <v>1</v>
      </c>
      <c r="AL2272">
        <v>1</v>
      </c>
      <c r="AM2272">
        <v>98.78</v>
      </c>
      <c r="AN2272">
        <v>765.45</v>
      </c>
      <c r="AO2272">
        <v>746.88</v>
      </c>
      <c r="AP2272" s="13">
        <v>45393</v>
      </c>
      <c r="AQ2272">
        <v>-1</v>
      </c>
      <c r="AR2272">
        <v>1</v>
      </c>
    </row>
    <row r="2273" spans="1:44" x14ac:dyDescent="0.35">
      <c r="A2273" s="12" t="s">
        <v>3039</v>
      </c>
      <c r="B2273" s="12" t="s">
        <v>755</v>
      </c>
      <c r="C2273" s="12" t="s">
        <v>756</v>
      </c>
      <c r="D2273" s="12" t="s">
        <v>78</v>
      </c>
      <c r="E2273" s="12" t="s">
        <v>65</v>
      </c>
      <c r="F2273">
        <v>2</v>
      </c>
      <c r="G2273">
        <v>2</v>
      </c>
      <c r="H2273">
        <v>0</v>
      </c>
      <c r="I2273" s="12" t="s">
        <v>359</v>
      </c>
      <c r="J2273" s="12" t="s">
        <v>360</v>
      </c>
      <c r="K2273" s="12" t="s">
        <v>133</v>
      </c>
      <c r="L2273" s="12" t="s">
        <v>82</v>
      </c>
      <c r="M2273">
        <v>12.65</v>
      </c>
      <c r="N2273" s="12" t="s">
        <v>70</v>
      </c>
      <c r="O2273" s="12" t="s">
        <v>71</v>
      </c>
      <c r="P2273" s="12" t="s">
        <v>72</v>
      </c>
      <c r="Q2273" s="13">
        <v>45364</v>
      </c>
      <c r="R2273" s="13">
        <v>45386</v>
      </c>
      <c r="S2273">
        <v>2024</v>
      </c>
      <c r="T2273" s="12" t="s">
        <v>2941</v>
      </c>
      <c r="U2273">
        <v>67</v>
      </c>
      <c r="V2273">
        <v>48.253900000000002</v>
      </c>
      <c r="W2273">
        <v>24.13</v>
      </c>
      <c r="X2273">
        <v>0</v>
      </c>
      <c r="Y2273">
        <v>0</v>
      </c>
      <c r="Z2273">
        <v>3233.01</v>
      </c>
      <c r="AA2273">
        <v>3257.14</v>
      </c>
      <c r="AB2273" s="12" t="s">
        <v>759</v>
      </c>
      <c r="AC2273">
        <v>45.472499999999997</v>
      </c>
      <c r="AD2273">
        <v>1</v>
      </c>
      <c r="AE2273">
        <v>1</v>
      </c>
      <c r="AF2273">
        <v>186.35</v>
      </c>
      <c r="AG2273">
        <v>3046.66</v>
      </c>
      <c r="AH2273">
        <v>67</v>
      </c>
      <c r="AI2273">
        <v>66</v>
      </c>
      <c r="AJ2273">
        <v>1</v>
      </c>
      <c r="AK2273">
        <v>1</v>
      </c>
      <c r="AL2273">
        <v>1</v>
      </c>
      <c r="AM2273">
        <v>98.51</v>
      </c>
      <c r="AN2273">
        <v>49.3506</v>
      </c>
      <c r="AO2273">
        <v>48.25</v>
      </c>
      <c r="AP2273" s="13">
        <v>45385</v>
      </c>
      <c r="AQ2273">
        <v>-1</v>
      </c>
      <c r="AR2273">
        <v>1</v>
      </c>
    </row>
    <row r="2274" spans="1:44" x14ac:dyDescent="0.35">
      <c r="A2274" s="12" t="s">
        <v>3040</v>
      </c>
      <c r="B2274" s="12" t="s">
        <v>532</v>
      </c>
      <c r="C2274" s="12" t="s">
        <v>533</v>
      </c>
      <c r="D2274" s="12" t="s">
        <v>114</v>
      </c>
      <c r="E2274" s="12" t="s">
        <v>65</v>
      </c>
      <c r="F2274">
        <v>2</v>
      </c>
      <c r="G2274">
        <v>3</v>
      </c>
      <c r="H2274">
        <v>0</v>
      </c>
      <c r="I2274" s="12" t="s">
        <v>105</v>
      </c>
      <c r="J2274" s="12" t="s">
        <v>106</v>
      </c>
      <c r="K2274" s="12" t="s">
        <v>81</v>
      </c>
      <c r="L2274" s="12" t="s">
        <v>96</v>
      </c>
      <c r="M2274">
        <v>5.01</v>
      </c>
      <c r="N2274" s="12" t="s">
        <v>97</v>
      </c>
      <c r="O2274" s="12" t="s">
        <v>98</v>
      </c>
      <c r="P2274" s="12" t="s">
        <v>72</v>
      </c>
      <c r="Q2274" s="13">
        <v>45364</v>
      </c>
      <c r="R2274" s="13">
        <v>45394</v>
      </c>
      <c r="S2274">
        <v>2024</v>
      </c>
      <c r="T2274" s="12" t="s">
        <v>2941</v>
      </c>
      <c r="U2274">
        <v>81</v>
      </c>
      <c r="V2274">
        <v>249.9546</v>
      </c>
      <c r="W2274">
        <v>130.74</v>
      </c>
      <c r="X2274">
        <v>0</v>
      </c>
      <c r="Y2274">
        <v>0</v>
      </c>
      <c r="Z2274">
        <v>20246.32</v>
      </c>
      <c r="AA2274">
        <v>20377.060000000001</v>
      </c>
      <c r="AB2274" s="12" t="s">
        <v>3041</v>
      </c>
      <c r="AC2274">
        <v>249.9546</v>
      </c>
      <c r="AD2274">
        <v>1</v>
      </c>
      <c r="AE2274">
        <v>1</v>
      </c>
      <c r="AF2274">
        <v>0</v>
      </c>
      <c r="AG2274">
        <v>20246.32</v>
      </c>
      <c r="AH2274">
        <v>81</v>
      </c>
      <c r="AI2274">
        <v>80</v>
      </c>
      <c r="AJ2274">
        <v>1</v>
      </c>
      <c r="AK2274">
        <v>1</v>
      </c>
      <c r="AL2274">
        <v>1</v>
      </c>
      <c r="AM2274">
        <v>98.77</v>
      </c>
      <c r="AN2274">
        <v>254.7133</v>
      </c>
      <c r="AO2274">
        <v>249.95</v>
      </c>
      <c r="AP2274" s="13">
        <v>45393</v>
      </c>
      <c r="AQ2274">
        <v>-1</v>
      </c>
      <c r="AR2274">
        <v>1</v>
      </c>
    </row>
    <row r="2275" spans="1:44" x14ac:dyDescent="0.35">
      <c r="A2275" s="12" t="s">
        <v>3042</v>
      </c>
      <c r="B2275" s="12" t="s">
        <v>792</v>
      </c>
      <c r="C2275" s="12" t="s">
        <v>793</v>
      </c>
      <c r="D2275" s="12" t="s">
        <v>103</v>
      </c>
      <c r="E2275" s="12" t="s">
        <v>65</v>
      </c>
      <c r="F2275">
        <v>2</v>
      </c>
      <c r="G2275">
        <v>3</v>
      </c>
      <c r="H2275">
        <v>0</v>
      </c>
      <c r="I2275" s="12" t="s">
        <v>115</v>
      </c>
      <c r="J2275" s="12" t="s">
        <v>116</v>
      </c>
      <c r="K2275" s="12" t="s">
        <v>117</v>
      </c>
      <c r="L2275" s="12" t="s">
        <v>82</v>
      </c>
      <c r="M2275">
        <v>17.170000000000002</v>
      </c>
      <c r="N2275" s="12" t="s">
        <v>145</v>
      </c>
      <c r="O2275" s="12" t="s">
        <v>146</v>
      </c>
      <c r="P2275" s="12" t="s">
        <v>109</v>
      </c>
      <c r="Q2275" s="13">
        <v>45364</v>
      </c>
      <c r="R2275" s="13">
        <v>45399</v>
      </c>
      <c r="S2275">
        <v>2024</v>
      </c>
      <c r="T2275" s="12" t="s">
        <v>2941</v>
      </c>
      <c r="U2275">
        <v>120</v>
      </c>
      <c r="V2275">
        <v>103.2938</v>
      </c>
      <c r="W2275">
        <v>149.83000000000001</v>
      </c>
      <c r="X2275">
        <v>0</v>
      </c>
      <c r="Y2275">
        <v>0</v>
      </c>
      <c r="Z2275">
        <v>12395.26</v>
      </c>
      <c r="AA2275">
        <v>12545.09</v>
      </c>
      <c r="AB2275" s="12" t="s">
        <v>794</v>
      </c>
      <c r="AC2275">
        <v>99.173299999999998</v>
      </c>
      <c r="AD2275">
        <v>1</v>
      </c>
      <c r="AE2275">
        <v>1</v>
      </c>
      <c r="AF2275">
        <v>494.46</v>
      </c>
      <c r="AG2275">
        <v>11900.8</v>
      </c>
      <c r="AH2275">
        <v>120</v>
      </c>
      <c r="AI2275">
        <v>119</v>
      </c>
      <c r="AJ2275">
        <v>1</v>
      </c>
      <c r="AK2275">
        <v>1</v>
      </c>
      <c r="AL2275">
        <v>1</v>
      </c>
      <c r="AM2275">
        <v>99.17</v>
      </c>
      <c r="AN2275">
        <v>105.4209</v>
      </c>
      <c r="AO2275">
        <v>103.29</v>
      </c>
      <c r="AP2275" s="13">
        <v>45409</v>
      </c>
      <c r="AQ2275">
        <v>10</v>
      </c>
      <c r="AR2275">
        <v>0</v>
      </c>
    </row>
    <row r="2276" spans="1:44" x14ac:dyDescent="0.35">
      <c r="A2276" s="12" t="s">
        <v>3043</v>
      </c>
      <c r="B2276" s="12" t="s">
        <v>513</v>
      </c>
      <c r="C2276" s="12" t="s">
        <v>514</v>
      </c>
      <c r="D2276" s="12" t="s">
        <v>269</v>
      </c>
      <c r="E2276" s="12" t="s">
        <v>65</v>
      </c>
      <c r="F2276">
        <v>1</v>
      </c>
      <c r="G2276">
        <v>2</v>
      </c>
      <c r="H2276">
        <v>1</v>
      </c>
      <c r="I2276" s="12" t="s">
        <v>515</v>
      </c>
      <c r="J2276" s="12" t="s">
        <v>516</v>
      </c>
      <c r="K2276" s="12" t="s">
        <v>68</v>
      </c>
      <c r="L2276" s="12" t="s">
        <v>134</v>
      </c>
      <c r="M2276">
        <v>3.69</v>
      </c>
      <c r="N2276" s="12" t="s">
        <v>135</v>
      </c>
      <c r="O2276" s="12" t="s">
        <v>136</v>
      </c>
      <c r="P2276" s="12" t="s">
        <v>137</v>
      </c>
      <c r="Q2276" s="13">
        <v>45365</v>
      </c>
      <c r="R2276" s="13">
        <v>45400</v>
      </c>
      <c r="S2276">
        <v>2024</v>
      </c>
      <c r="T2276" s="12" t="s">
        <v>2941</v>
      </c>
      <c r="U2276">
        <v>121</v>
      </c>
      <c r="V2276">
        <v>229.3486</v>
      </c>
      <c r="W2276">
        <v>264.05</v>
      </c>
      <c r="X2276">
        <v>0</v>
      </c>
      <c r="Y2276">
        <v>0</v>
      </c>
      <c r="Z2276">
        <v>27751.18</v>
      </c>
      <c r="AA2276">
        <v>28015.23</v>
      </c>
      <c r="AB2276" s="12" t="s">
        <v>517</v>
      </c>
      <c r="AC2276">
        <v>229.3486</v>
      </c>
      <c r="AD2276">
        <v>1</v>
      </c>
      <c r="AE2276">
        <v>1</v>
      </c>
      <c r="AF2276">
        <v>0</v>
      </c>
      <c r="AG2276">
        <v>27751.18</v>
      </c>
      <c r="AH2276">
        <v>121</v>
      </c>
      <c r="AI2276">
        <v>120</v>
      </c>
      <c r="AJ2276">
        <v>1</v>
      </c>
      <c r="AK2276">
        <v>1</v>
      </c>
      <c r="AL2276">
        <v>1</v>
      </c>
      <c r="AM2276">
        <v>99.17</v>
      </c>
      <c r="AN2276">
        <v>233.46029999999999</v>
      </c>
      <c r="AO2276">
        <v>229.35</v>
      </c>
      <c r="AP2276" s="13">
        <v>45399</v>
      </c>
      <c r="AQ2276">
        <v>-1</v>
      </c>
      <c r="AR2276">
        <v>1</v>
      </c>
    </row>
    <row r="2277" spans="1:44" x14ac:dyDescent="0.35">
      <c r="A2277" s="12" t="s">
        <v>3044</v>
      </c>
      <c r="B2277" s="12" t="s">
        <v>451</v>
      </c>
      <c r="C2277" s="12" t="s">
        <v>452</v>
      </c>
      <c r="D2277" s="12" t="s">
        <v>175</v>
      </c>
      <c r="E2277" s="12" t="s">
        <v>104</v>
      </c>
      <c r="F2277">
        <v>3</v>
      </c>
      <c r="G2277">
        <v>1</v>
      </c>
      <c r="H2277">
        <v>0</v>
      </c>
      <c r="I2277" s="12" t="s">
        <v>359</v>
      </c>
      <c r="J2277" s="12" t="s">
        <v>360</v>
      </c>
      <c r="K2277" s="12" t="s">
        <v>133</v>
      </c>
      <c r="L2277" s="12" t="s">
        <v>82</v>
      </c>
      <c r="M2277">
        <v>12.65</v>
      </c>
      <c r="N2277" s="12" t="s">
        <v>107</v>
      </c>
      <c r="O2277" s="12" t="s">
        <v>108</v>
      </c>
      <c r="P2277" s="12" t="s">
        <v>109</v>
      </c>
      <c r="Q2277" s="13">
        <v>45365</v>
      </c>
      <c r="R2277" s="13">
        <v>45387</v>
      </c>
      <c r="S2277">
        <v>2024</v>
      </c>
      <c r="T2277" s="12" t="s">
        <v>2941</v>
      </c>
      <c r="U2277">
        <v>90</v>
      </c>
      <c r="V2277">
        <v>234.84710000000001</v>
      </c>
      <c r="W2277">
        <v>374.97</v>
      </c>
      <c r="X2277">
        <v>0</v>
      </c>
      <c r="Y2277">
        <v>0</v>
      </c>
      <c r="Z2277">
        <v>21136.240000000002</v>
      </c>
      <c r="AA2277">
        <v>21511.21</v>
      </c>
      <c r="AB2277" s="12" t="s">
        <v>2947</v>
      </c>
      <c r="AC2277">
        <v>234.84710000000001</v>
      </c>
      <c r="AD2277">
        <v>1</v>
      </c>
      <c r="AE2277">
        <v>1</v>
      </c>
      <c r="AF2277">
        <v>0</v>
      </c>
      <c r="AG2277">
        <v>21136.240000000002</v>
      </c>
      <c r="AH2277">
        <v>90</v>
      </c>
      <c r="AI2277">
        <v>89</v>
      </c>
      <c r="AJ2277">
        <v>1</v>
      </c>
      <c r="AK2277">
        <v>1</v>
      </c>
      <c r="AL2277">
        <v>1</v>
      </c>
      <c r="AM2277">
        <v>98.89</v>
      </c>
      <c r="AN2277">
        <v>241.69900000000001</v>
      </c>
      <c r="AO2277">
        <v>234.85</v>
      </c>
      <c r="AP2277" s="13">
        <v>45389</v>
      </c>
      <c r="AQ2277">
        <v>2</v>
      </c>
      <c r="AR2277">
        <v>0</v>
      </c>
    </row>
    <row r="2278" spans="1:44" x14ac:dyDescent="0.35">
      <c r="A2278" s="12" t="s">
        <v>3045</v>
      </c>
      <c r="B2278" s="12" t="s">
        <v>990</v>
      </c>
      <c r="C2278" s="12" t="s">
        <v>991</v>
      </c>
      <c r="D2278" s="12" t="s">
        <v>122</v>
      </c>
      <c r="E2278" s="12" t="s">
        <v>142</v>
      </c>
      <c r="F2278">
        <v>1</v>
      </c>
      <c r="G2278">
        <v>6</v>
      </c>
      <c r="H2278">
        <v>1</v>
      </c>
      <c r="I2278" s="12" t="s">
        <v>217</v>
      </c>
      <c r="J2278" s="12" t="s">
        <v>218</v>
      </c>
      <c r="K2278" s="12" t="s">
        <v>68</v>
      </c>
      <c r="L2278" s="12" t="s">
        <v>82</v>
      </c>
      <c r="M2278">
        <v>14.24</v>
      </c>
      <c r="N2278" s="12" t="s">
        <v>70</v>
      </c>
      <c r="O2278" s="12" t="s">
        <v>71</v>
      </c>
      <c r="P2278" s="12" t="s">
        <v>72</v>
      </c>
      <c r="Q2278" s="13">
        <v>45365</v>
      </c>
      <c r="R2278" s="13">
        <v>45400</v>
      </c>
      <c r="S2278">
        <v>2024</v>
      </c>
      <c r="T2278" s="12" t="s">
        <v>2941</v>
      </c>
      <c r="U2278">
        <v>244</v>
      </c>
      <c r="V2278">
        <v>33.697499999999998</v>
      </c>
      <c r="W2278">
        <v>70.78</v>
      </c>
      <c r="X2278">
        <v>0</v>
      </c>
      <c r="Y2278">
        <v>0</v>
      </c>
      <c r="Z2278">
        <v>8222.19</v>
      </c>
      <c r="AA2278">
        <v>8292.9699999999993</v>
      </c>
      <c r="AB2278" s="12" t="s">
        <v>992</v>
      </c>
      <c r="AC2278">
        <v>33.697499999999998</v>
      </c>
      <c r="AD2278">
        <v>1</v>
      </c>
      <c r="AE2278">
        <v>1</v>
      </c>
      <c r="AF2278">
        <v>0</v>
      </c>
      <c r="AG2278">
        <v>8222.19</v>
      </c>
      <c r="AH2278">
        <v>244</v>
      </c>
      <c r="AI2278">
        <v>244</v>
      </c>
      <c r="AJ2278">
        <v>0</v>
      </c>
      <c r="AK2278">
        <v>1</v>
      </c>
      <c r="AL2278">
        <v>1</v>
      </c>
      <c r="AM2278">
        <v>100</v>
      </c>
      <c r="AN2278">
        <v>33.9876</v>
      </c>
      <c r="AO2278">
        <v>0</v>
      </c>
      <c r="AP2278" s="13">
        <v>45407</v>
      </c>
      <c r="AQ2278">
        <v>7</v>
      </c>
      <c r="AR2278">
        <v>0</v>
      </c>
    </row>
    <row r="2279" spans="1:44" x14ac:dyDescent="0.35">
      <c r="A2279" s="12" t="s">
        <v>3046</v>
      </c>
      <c r="B2279" s="12" t="s">
        <v>207</v>
      </c>
      <c r="C2279" s="12" t="s">
        <v>208</v>
      </c>
      <c r="D2279" s="12" t="s">
        <v>78</v>
      </c>
      <c r="E2279" s="12" t="s">
        <v>65</v>
      </c>
      <c r="F2279">
        <v>2</v>
      </c>
      <c r="G2279">
        <v>3</v>
      </c>
      <c r="H2279">
        <v>0</v>
      </c>
      <c r="I2279" s="12" t="s">
        <v>209</v>
      </c>
      <c r="J2279" s="12" t="s">
        <v>210</v>
      </c>
      <c r="K2279" s="12" t="s">
        <v>133</v>
      </c>
      <c r="L2279" s="12" t="s">
        <v>96</v>
      </c>
      <c r="M2279">
        <v>7.82</v>
      </c>
      <c r="N2279" s="12" t="s">
        <v>70</v>
      </c>
      <c r="O2279" s="12" t="s">
        <v>71</v>
      </c>
      <c r="P2279" s="12" t="s">
        <v>72</v>
      </c>
      <c r="Q2279" s="13">
        <v>45365</v>
      </c>
      <c r="R2279" s="13">
        <v>45393</v>
      </c>
      <c r="S2279">
        <v>2024</v>
      </c>
      <c r="T2279" s="12" t="s">
        <v>2941</v>
      </c>
      <c r="U2279">
        <v>150</v>
      </c>
      <c r="V2279">
        <v>148.61590000000001</v>
      </c>
      <c r="W2279">
        <v>385.33</v>
      </c>
      <c r="X2279">
        <v>0</v>
      </c>
      <c r="Y2279">
        <v>0</v>
      </c>
      <c r="Z2279">
        <v>22292.39</v>
      </c>
      <c r="AA2279">
        <v>22677.72</v>
      </c>
      <c r="AB2279" s="12" t="s">
        <v>2832</v>
      </c>
      <c r="AC2279">
        <v>148.61590000000001</v>
      </c>
      <c r="AD2279">
        <v>1</v>
      </c>
      <c r="AE2279">
        <v>1</v>
      </c>
      <c r="AF2279">
        <v>0</v>
      </c>
      <c r="AG2279">
        <v>22292.39</v>
      </c>
      <c r="AH2279">
        <v>150</v>
      </c>
      <c r="AI2279">
        <v>149</v>
      </c>
      <c r="AJ2279">
        <v>1</v>
      </c>
      <c r="AK2279">
        <v>1</v>
      </c>
      <c r="AL2279">
        <v>1</v>
      </c>
      <c r="AM2279">
        <v>99.33</v>
      </c>
      <c r="AN2279">
        <v>152.1994</v>
      </c>
      <c r="AO2279">
        <v>148.62</v>
      </c>
      <c r="AP2279" s="13">
        <v>45393</v>
      </c>
      <c r="AQ2279">
        <v>0</v>
      </c>
      <c r="AR2279">
        <v>1</v>
      </c>
    </row>
    <row r="2280" spans="1:44" x14ac:dyDescent="0.35">
      <c r="A2280" s="12" t="s">
        <v>3047</v>
      </c>
      <c r="B2280" s="12" t="s">
        <v>869</v>
      </c>
      <c r="C2280" s="12" t="s">
        <v>870</v>
      </c>
      <c r="D2280" s="12" t="s">
        <v>130</v>
      </c>
      <c r="E2280" s="12" t="s">
        <v>104</v>
      </c>
      <c r="F2280">
        <v>2</v>
      </c>
      <c r="G2280">
        <v>0</v>
      </c>
      <c r="H2280">
        <v>0</v>
      </c>
      <c r="I2280" s="12" t="s">
        <v>515</v>
      </c>
      <c r="J2280" s="12" t="s">
        <v>516</v>
      </c>
      <c r="K2280" s="12" t="s">
        <v>68</v>
      </c>
      <c r="L2280" s="12" t="s">
        <v>134</v>
      </c>
      <c r="M2280">
        <v>3.69</v>
      </c>
      <c r="N2280" s="12" t="s">
        <v>135</v>
      </c>
      <c r="O2280" s="12" t="s">
        <v>136</v>
      </c>
      <c r="P2280" s="12" t="s">
        <v>137</v>
      </c>
      <c r="Q2280" s="13">
        <v>45365</v>
      </c>
      <c r="R2280" s="13">
        <v>45378</v>
      </c>
      <c r="S2280">
        <v>2024</v>
      </c>
      <c r="T2280" s="12" t="s">
        <v>2941</v>
      </c>
      <c r="U2280">
        <v>20</v>
      </c>
      <c r="V2280">
        <v>548.81590000000006</v>
      </c>
      <c r="W2280">
        <v>223.27</v>
      </c>
      <c r="X2280">
        <v>0</v>
      </c>
      <c r="Y2280">
        <v>0</v>
      </c>
      <c r="Z2280">
        <v>10976.32</v>
      </c>
      <c r="AA2280">
        <v>11199.59</v>
      </c>
      <c r="AB2280" s="12" t="s">
        <v>871</v>
      </c>
      <c r="AC2280">
        <v>583.34230000000002</v>
      </c>
      <c r="AD2280">
        <v>1</v>
      </c>
      <c r="AE2280">
        <v>1</v>
      </c>
      <c r="AF2280">
        <v>-690.53</v>
      </c>
      <c r="AG2280">
        <v>11666.85</v>
      </c>
      <c r="AH2280">
        <v>20</v>
      </c>
      <c r="AI2280">
        <v>20</v>
      </c>
      <c r="AJ2280">
        <v>0</v>
      </c>
      <c r="AK2280">
        <v>1</v>
      </c>
      <c r="AL2280">
        <v>1</v>
      </c>
      <c r="AM2280">
        <v>100</v>
      </c>
      <c r="AN2280">
        <v>559.97940000000006</v>
      </c>
      <c r="AO2280">
        <v>0</v>
      </c>
      <c r="AP2280" s="13">
        <v>45377</v>
      </c>
      <c r="AQ2280">
        <v>-1</v>
      </c>
      <c r="AR2280">
        <v>1</v>
      </c>
    </row>
    <row r="2281" spans="1:44" x14ac:dyDescent="0.35">
      <c r="A2281" s="12" t="s">
        <v>3048</v>
      </c>
      <c r="B2281" s="12" t="s">
        <v>1179</v>
      </c>
      <c r="C2281" s="12" t="s">
        <v>1180</v>
      </c>
      <c r="D2281" s="12" t="s">
        <v>122</v>
      </c>
      <c r="E2281" s="12" t="s">
        <v>142</v>
      </c>
      <c r="F2281">
        <v>1</v>
      </c>
      <c r="G2281">
        <v>8</v>
      </c>
      <c r="H2281">
        <v>1</v>
      </c>
      <c r="I2281" s="12" t="s">
        <v>143</v>
      </c>
      <c r="J2281" s="12" t="s">
        <v>144</v>
      </c>
      <c r="K2281" s="12" t="s">
        <v>133</v>
      </c>
      <c r="L2281" s="12" t="s">
        <v>96</v>
      </c>
      <c r="M2281">
        <v>5.43</v>
      </c>
      <c r="N2281" s="12" t="s">
        <v>97</v>
      </c>
      <c r="O2281" s="12" t="s">
        <v>98</v>
      </c>
      <c r="P2281" s="12" t="s">
        <v>72</v>
      </c>
      <c r="Q2281" s="13">
        <v>45365</v>
      </c>
      <c r="R2281" s="13">
        <v>45411</v>
      </c>
      <c r="S2281">
        <v>2024</v>
      </c>
      <c r="T2281" s="12" t="s">
        <v>2941</v>
      </c>
      <c r="U2281">
        <v>1382</v>
      </c>
      <c r="V2281">
        <v>52.441499999999998</v>
      </c>
      <c r="W2281">
        <v>1261.45</v>
      </c>
      <c r="X2281">
        <v>0</v>
      </c>
      <c r="Y2281">
        <v>0</v>
      </c>
      <c r="Z2281">
        <v>72474.149999999994</v>
      </c>
      <c r="AA2281">
        <v>73735.600000000006</v>
      </c>
      <c r="AB2281" s="12" t="s">
        <v>3049</v>
      </c>
      <c r="AC2281">
        <v>52.441499999999998</v>
      </c>
      <c r="AD2281">
        <v>1</v>
      </c>
      <c r="AE2281">
        <v>1</v>
      </c>
      <c r="AF2281">
        <v>0</v>
      </c>
      <c r="AG2281">
        <v>72474.149999999994</v>
      </c>
      <c r="AH2281">
        <v>1382</v>
      </c>
      <c r="AI2281">
        <v>1379</v>
      </c>
      <c r="AJ2281">
        <v>3</v>
      </c>
      <c r="AK2281">
        <v>1</v>
      </c>
      <c r="AL2281">
        <v>1</v>
      </c>
      <c r="AM2281">
        <v>99.78</v>
      </c>
      <c r="AN2281">
        <v>53.470300000000002</v>
      </c>
      <c r="AO2281">
        <v>157.32</v>
      </c>
      <c r="AP2281" s="13">
        <v>45421</v>
      </c>
      <c r="AQ2281">
        <v>10</v>
      </c>
      <c r="AR2281">
        <v>0</v>
      </c>
    </row>
    <row r="2282" spans="1:44" x14ac:dyDescent="0.35">
      <c r="A2282" s="12" t="s">
        <v>3050</v>
      </c>
      <c r="B2282" s="12" t="s">
        <v>465</v>
      </c>
      <c r="C2282" s="12" t="s">
        <v>466</v>
      </c>
      <c r="D2282" s="12" t="s">
        <v>78</v>
      </c>
      <c r="E2282" s="12" t="s">
        <v>142</v>
      </c>
      <c r="F2282">
        <v>3</v>
      </c>
      <c r="G2282">
        <v>11</v>
      </c>
      <c r="H2282">
        <v>0</v>
      </c>
      <c r="I2282" s="12" t="s">
        <v>341</v>
      </c>
      <c r="J2282" s="12" t="s">
        <v>342</v>
      </c>
      <c r="K2282" s="12" t="s">
        <v>117</v>
      </c>
      <c r="L2282" s="12" t="s">
        <v>82</v>
      </c>
      <c r="M2282">
        <v>18.36</v>
      </c>
      <c r="N2282" s="12" t="s">
        <v>97</v>
      </c>
      <c r="O2282" s="12" t="s">
        <v>98</v>
      </c>
      <c r="P2282" s="12" t="s">
        <v>72</v>
      </c>
      <c r="Q2282" s="13">
        <v>45366</v>
      </c>
      <c r="R2282" s="13">
        <v>45408</v>
      </c>
      <c r="S2282">
        <v>2024</v>
      </c>
      <c r="T2282" s="12" t="s">
        <v>2941</v>
      </c>
      <c r="U2282">
        <v>154</v>
      </c>
      <c r="V2282">
        <v>108.0436</v>
      </c>
      <c r="W2282">
        <v>309.95</v>
      </c>
      <c r="X2282">
        <v>0</v>
      </c>
      <c r="Y2282">
        <v>0</v>
      </c>
      <c r="Z2282">
        <v>16638.71</v>
      </c>
      <c r="AA2282">
        <v>16948.66</v>
      </c>
      <c r="AB2282" s="12" t="s">
        <v>3051</v>
      </c>
      <c r="AC2282">
        <v>108.0436</v>
      </c>
      <c r="AD2282">
        <v>1</v>
      </c>
      <c r="AE2282">
        <v>1</v>
      </c>
      <c r="AF2282">
        <v>0</v>
      </c>
      <c r="AG2282">
        <v>16638.71</v>
      </c>
      <c r="AH2282">
        <v>154</v>
      </c>
      <c r="AI2282">
        <v>151</v>
      </c>
      <c r="AJ2282">
        <v>3</v>
      </c>
      <c r="AK2282">
        <v>1</v>
      </c>
      <c r="AL2282">
        <v>1</v>
      </c>
      <c r="AM2282">
        <v>98.05</v>
      </c>
      <c r="AN2282">
        <v>112.2428</v>
      </c>
      <c r="AO2282">
        <v>324.13</v>
      </c>
      <c r="AP2282" s="13">
        <v>45408</v>
      </c>
      <c r="AQ2282">
        <v>0</v>
      </c>
      <c r="AR2282">
        <v>1</v>
      </c>
    </row>
    <row r="2283" spans="1:44" x14ac:dyDescent="0.35">
      <c r="A2283" s="12" t="s">
        <v>3052</v>
      </c>
      <c r="B2283" s="12" t="s">
        <v>855</v>
      </c>
      <c r="C2283" s="12" t="s">
        <v>856</v>
      </c>
      <c r="D2283" s="12" t="s">
        <v>269</v>
      </c>
      <c r="E2283" s="12" t="s">
        <v>65</v>
      </c>
      <c r="F2283">
        <v>3</v>
      </c>
      <c r="G2283">
        <v>5</v>
      </c>
      <c r="H2283">
        <v>0</v>
      </c>
      <c r="I2283" s="12" t="s">
        <v>94</v>
      </c>
      <c r="J2283" s="12" t="s">
        <v>95</v>
      </c>
      <c r="K2283" s="12" t="s">
        <v>81</v>
      </c>
      <c r="L2283" s="12" t="s">
        <v>96</v>
      </c>
      <c r="M2283">
        <v>4.8099999999999996</v>
      </c>
      <c r="N2283" s="12" t="s">
        <v>159</v>
      </c>
      <c r="O2283" s="12" t="s">
        <v>160</v>
      </c>
      <c r="P2283" s="12" t="s">
        <v>137</v>
      </c>
      <c r="Q2283" s="13">
        <v>45366</v>
      </c>
      <c r="R2283" s="13">
        <v>45391</v>
      </c>
      <c r="S2283">
        <v>2024</v>
      </c>
      <c r="T2283" s="12" t="s">
        <v>2941</v>
      </c>
      <c r="U2283">
        <v>45</v>
      </c>
      <c r="V2283">
        <v>493.6902</v>
      </c>
      <c r="W2283">
        <v>533.04999999999995</v>
      </c>
      <c r="X2283">
        <v>0</v>
      </c>
      <c r="Y2283">
        <v>0</v>
      </c>
      <c r="Z2283">
        <v>22216.06</v>
      </c>
      <c r="AA2283">
        <v>22749.11</v>
      </c>
      <c r="AB2283" s="12" t="s">
        <v>857</v>
      </c>
      <c r="AC2283">
        <v>493.6902</v>
      </c>
      <c r="AD2283">
        <v>1</v>
      </c>
      <c r="AE2283">
        <v>1</v>
      </c>
      <c r="AF2283">
        <v>0</v>
      </c>
      <c r="AG2283">
        <v>22216.06</v>
      </c>
      <c r="AH2283">
        <v>45</v>
      </c>
      <c r="AI2283">
        <v>44</v>
      </c>
      <c r="AJ2283">
        <v>1</v>
      </c>
      <c r="AK2283">
        <v>1</v>
      </c>
      <c r="AL2283">
        <v>1</v>
      </c>
      <c r="AM2283">
        <v>97.78</v>
      </c>
      <c r="AN2283">
        <v>517.02520000000004</v>
      </c>
      <c r="AO2283">
        <v>493.69</v>
      </c>
      <c r="AP2283" s="13">
        <v>45391</v>
      </c>
      <c r="AQ2283">
        <v>0</v>
      </c>
      <c r="AR2283">
        <v>1</v>
      </c>
    </row>
    <row r="2284" spans="1:44" x14ac:dyDescent="0.35">
      <c r="A2284" s="12" t="s">
        <v>3053</v>
      </c>
      <c r="B2284" s="12" t="s">
        <v>215</v>
      </c>
      <c r="C2284" s="12" t="s">
        <v>216</v>
      </c>
      <c r="D2284" s="12" t="s">
        <v>122</v>
      </c>
      <c r="E2284" s="12" t="s">
        <v>142</v>
      </c>
      <c r="F2284">
        <v>3</v>
      </c>
      <c r="G2284">
        <v>11</v>
      </c>
      <c r="H2284">
        <v>0</v>
      </c>
      <c r="I2284" s="12" t="s">
        <v>176</v>
      </c>
      <c r="J2284" s="12" t="s">
        <v>177</v>
      </c>
      <c r="K2284" s="12" t="s">
        <v>125</v>
      </c>
      <c r="L2284" s="12" t="s">
        <v>134</v>
      </c>
      <c r="M2284">
        <v>1.75</v>
      </c>
      <c r="N2284" s="12" t="s">
        <v>97</v>
      </c>
      <c r="O2284" s="12" t="s">
        <v>98</v>
      </c>
      <c r="P2284" s="12" t="s">
        <v>72</v>
      </c>
      <c r="Q2284" s="13">
        <v>45366</v>
      </c>
      <c r="R2284" s="13">
        <v>45408</v>
      </c>
      <c r="S2284">
        <v>2024</v>
      </c>
      <c r="T2284" s="12" t="s">
        <v>2941</v>
      </c>
      <c r="U2284">
        <v>915</v>
      </c>
      <c r="V2284">
        <v>15.4514</v>
      </c>
      <c r="W2284">
        <v>277.33</v>
      </c>
      <c r="X2284">
        <v>431.22</v>
      </c>
      <c r="Y2284">
        <v>1</v>
      </c>
      <c r="Z2284">
        <v>14138.03</v>
      </c>
      <c r="AA2284">
        <v>14846.58</v>
      </c>
      <c r="AB2284" s="12" t="s">
        <v>2938</v>
      </c>
      <c r="AC2284">
        <v>15.4514</v>
      </c>
      <c r="AD2284">
        <v>1</v>
      </c>
      <c r="AE2284">
        <v>1</v>
      </c>
      <c r="AF2284">
        <v>0</v>
      </c>
      <c r="AG2284">
        <v>14138.03</v>
      </c>
      <c r="AH2284">
        <v>915</v>
      </c>
      <c r="AI2284">
        <v>912</v>
      </c>
      <c r="AJ2284">
        <v>3</v>
      </c>
      <c r="AK2284">
        <v>1</v>
      </c>
      <c r="AL2284">
        <v>1</v>
      </c>
      <c r="AM2284">
        <v>99.67</v>
      </c>
      <c r="AN2284">
        <v>16.2791</v>
      </c>
      <c r="AO2284">
        <v>46.35</v>
      </c>
      <c r="AP2284" s="13">
        <v>45408</v>
      </c>
      <c r="AQ2284">
        <v>0</v>
      </c>
      <c r="AR2284">
        <v>1</v>
      </c>
    </row>
    <row r="2285" spans="1:44" x14ac:dyDescent="0.35">
      <c r="A2285" s="12" t="s">
        <v>3054</v>
      </c>
      <c r="B2285" s="12" t="s">
        <v>1034</v>
      </c>
      <c r="C2285" s="12" t="s">
        <v>1035</v>
      </c>
      <c r="D2285" s="12" t="s">
        <v>64</v>
      </c>
      <c r="E2285" s="12" t="s">
        <v>104</v>
      </c>
      <c r="F2285">
        <v>2</v>
      </c>
      <c r="G2285">
        <v>0</v>
      </c>
      <c r="H2285">
        <v>0</v>
      </c>
      <c r="I2285" s="12" t="s">
        <v>157</v>
      </c>
      <c r="J2285" s="12" t="s">
        <v>158</v>
      </c>
      <c r="K2285" s="12" t="s">
        <v>117</v>
      </c>
      <c r="L2285" s="12" t="s">
        <v>96</v>
      </c>
      <c r="M2285">
        <v>4.72</v>
      </c>
      <c r="N2285" s="12" t="s">
        <v>97</v>
      </c>
      <c r="O2285" s="12" t="s">
        <v>98</v>
      </c>
      <c r="P2285" s="12" t="s">
        <v>72</v>
      </c>
      <c r="Q2285" s="13">
        <v>45369</v>
      </c>
      <c r="R2285" s="13">
        <v>45388</v>
      </c>
      <c r="S2285">
        <v>2024</v>
      </c>
      <c r="T2285" s="12" t="s">
        <v>2941</v>
      </c>
      <c r="U2285">
        <v>476</v>
      </c>
      <c r="V2285">
        <v>9.9979999999999993</v>
      </c>
      <c r="W2285">
        <v>28.9</v>
      </c>
      <c r="X2285">
        <v>0</v>
      </c>
      <c r="Y2285">
        <v>0</v>
      </c>
      <c r="Z2285">
        <v>4759.05</v>
      </c>
      <c r="AA2285">
        <v>4787.95</v>
      </c>
      <c r="AB2285" s="12" t="s">
        <v>1036</v>
      </c>
      <c r="AC2285">
        <v>9.9979999999999993</v>
      </c>
      <c r="AD2285">
        <v>1</v>
      </c>
      <c r="AE2285">
        <v>1</v>
      </c>
      <c r="AF2285">
        <v>0</v>
      </c>
      <c r="AG2285">
        <v>4759.05</v>
      </c>
      <c r="AH2285">
        <v>476</v>
      </c>
      <c r="AI2285">
        <v>475</v>
      </c>
      <c r="AJ2285">
        <v>1</v>
      </c>
      <c r="AK2285">
        <v>1</v>
      </c>
      <c r="AL2285">
        <v>1</v>
      </c>
      <c r="AM2285">
        <v>99.79</v>
      </c>
      <c r="AN2285">
        <v>10.0799</v>
      </c>
      <c r="AO2285">
        <v>10</v>
      </c>
      <c r="AP2285" s="13">
        <v>45387</v>
      </c>
      <c r="AQ2285">
        <v>-1</v>
      </c>
      <c r="AR2285">
        <v>1</v>
      </c>
    </row>
    <row r="2286" spans="1:44" x14ac:dyDescent="0.35">
      <c r="A2286" s="12" t="s">
        <v>3055</v>
      </c>
      <c r="B2286" s="12" t="s">
        <v>412</v>
      </c>
      <c r="C2286" s="12" t="s">
        <v>413</v>
      </c>
      <c r="D2286" s="12" t="s">
        <v>269</v>
      </c>
      <c r="E2286" s="12" t="s">
        <v>65</v>
      </c>
      <c r="F2286">
        <v>1</v>
      </c>
      <c r="G2286">
        <v>2</v>
      </c>
      <c r="H2286">
        <v>1</v>
      </c>
      <c r="I2286" s="12" t="s">
        <v>233</v>
      </c>
      <c r="J2286" s="12" t="s">
        <v>234</v>
      </c>
      <c r="K2286" s="12" t="s">
        <v>125</v>
      </c>
      <c r="L2286" s="12" t="s">
        <v>96</v>
      </c>
      <c r="M2286">
        <v>3.73</v>
      </c>
      <c r="N2286" s="12" t="s">
        <v>159</v>
      </c>
      <c r="O2286" s="12" t="s">
        <v>160</v>
      </c>
      <c r="P2286" s="12" t="s">
        <v>137</v>
      </c>
      <c r="Q2286" s="13">
        <v>45369</v>
      </c>
      <c r="R2286" s="13">
        <v>45405</v>
      </c>
      <c r="S2286">
        <v>2024</v>
      </c>
      <c r="T2286" s="12" t="s">
        <v>2941</v>
      </c>
      <c r="U2286">
        <v>128</v>
      </c>
      <c r="V2286">
        <v>104.17829999999999</v>
      </c>
      <c r="W2286">
        <v>125.25</v>
      </c>
      <c r="X2286">
        <v>0</v>
      </c>
      <c r="Y2286">
        <v>0</v>
      </c>
      <c r="Z2286">
        <v>13334.82</v>
      </c>
      <c r="AA2286">
        <v>13460.07</v>
      </c>
      <c r="AB2286" s="12" t="s">
        <v>3056</v>
      </c>
      <c r="AC2286">
        <v>104.17829999999999</v>
      </c>
      <c r="AD2286">
        <v>1</v>
      </c>
      <c r="AE2286">
        <v>1</v>
      </c>
      <c r="AF2286">
        <v>0</v>
      </c>
      <c r="AG2286">
        <v>13334.82</v>
      </c>
      <c r="AH2286">
        <v>128</v>
      </c>
      <c r="AI2286">
        <v>126</v>
      </c>
      <c r="AJ2286">
        <v>2</v>
      </c>
      <c r="AK2286">
        <v>1</v>
      </c>
      <c r="AL2286">
        <v>1</v>
      </c>
      <c r="AM2286">
        <v>98.44</v>
      </c>
      <c r="AN2286">
        <v>106.82599999999999</v>
      </c>
      <c r="AO2286">
        <v>208.36</v>
      </c>
      <c r="AP2286" s="13">
        <v>45402</v>
      </c>
      <c r="AQ2286">
        <v>-3</v>
      </c>
      <c r="AR2286">
        <v>1</v>
      </c>
    </row>
    <row r="2287" spans="1:44" x14ac:dyDescent="0.35">
      <c r="A2287" s="12" t="s">
        <v>3057</v>
      </c>
      <c r="B2287" s="12" t="s">
        <v>465</v>
      </c>
      <c r="C2287" s="12" t="s">
        <v>466</v>
      </c>
      <c r="D2287" s="12" t="s">
        <v>78</v>
      </c>
      <c r="E2287" s="12" t="s">
        <v>142</v>
      </c>
      <c r="F2287">
        <v>3</v>
      </c>
      <c r="G2287">
        <v>11</v>
      </c>
      <c r="H2287">
        <v>0</v>
      </c>
      <c r="I2287" s="12" t="s">
        <v>195</v>
      </c>
      <c r="J2287" s="12" t="s">
        <v>196</v>
      </c>
      <c r="K2287" s="12" t="s">
        <v>117</v>
      </c>
      <c r="L2287" s="12" t="s">
        <v>134</v>
      </c>
      <c r="M2287">
        <v>4.7699999999999996</v>
      </c>
      <c r="N2287" s="12" t="s">
        <v>70</v>
      </c>
      <c r="O2287" s="12" t="s">
        <v>71</v>
      </c>
      <c r="P2287" s="12" t="s">
        <v>72</v>
      </c>
      <c r="Q2287" s="13">
        <v>45369</v>
      </c>
      <c r="R2287" s="13">
        <v>45408</v>
      </c>
      <c r="S2287">
        <v>2024</v>
      </c>
      <c r="T2287" s="12" t="s">
        <v>2941</v>
      </c>
      <c r="U2287">
        <v>103</v>
      </c>
      <c r="V2287">
        <v>107.81189999999999</v>
      </c>
      <c r="W2287">
        <v>165.04</v>
      </c>
      <c r="X2287">
        <v>0</v>
      </c>
      <c r="Y2287">
        <v>0</v>
      </c>
      <c r="Z2287">
        <v>11104.63</v>
      </c>
      <c r="AA2287">
        <v>11269.67</v>
      </c>
      <c r="AB2287" s="12" t="s">
        <v>3058</v>
      </c>
      <c r="AC2287">
        <v>107.81189999999999</v>
      </c>
      <c r="AD2287">
        <v>1</v>
      </c>
      <c r="AE2287">
        <v>1</v>
      </c>
      <c r="AF2287">
        <v>0</v>
      </c>
      <c r="AG2287">
        <v>11104.63</v>
      </c>
      <c r="AH2287">
        <v>103</v>
      </c>
      <c r="AI2287">
        <v>100</v>
      </c>
      <c r="AJ2287">
        <v>3</v>
      </c>
      <c r="AK2287">
        <v>1</v>
      </c>
      <c r="AL2287">
        <v>1</v>
      </c>
      <c r="AM2287">
        <v>97.09</v>
      </c>
      <c r="AN2287">
        <v>112.69670000000001</v>
      </c>
      <c r="AO2287">
        <v>323.44</v>
      </c>
      <c r="AP2287" s="13">
        <v>45406</v>
      </c>
      <c r="AQ2287">
        <v>-2</v>
      </c>
      <c r="AR2287">
        <v>1</v>
      </c>
    </row>
    <row r="2288" spans="1:44" x14ac:dyDescent="0.35">
      <c r="A2288" s="12" t="s">
        <v>3059</v>
      </c>
      <c r="B2288" s="12" t="s">
        <v>249</v>
      </c>
      <c r="C2288" s="12" t="s">
        <v>250</v>
      </c>
      <c r="D2288" s="12" t="s">
        <v>64</v>
      </c>
      <c r="E2288" s="12" t="s">
        <v>65</v>
      </c>
      <c r="F2288">
        <v>2</v>
      </c>
      <c r="G2288">
        <v>3</v>
      </c>
      <c r="H2288">
        <v>0</v>
      </c>
      <c r="I2288" s="12" t="s">
        <v>251</v>
      </c>
      <c r="J2288" s="12" t="s">
        <v>252</v>
      </c>
      <c r="K2288" s="12" t="s">
        <v>133</v>
      </c>
      <c r="L2288" s="12" t="s">
        <v>69</v>
      </c>
      <c r="M2288">
        <v>34.49</v>
      </c>
      <c r="N2288" s="12" t="s">
        <v>97</v>
      </c>
      <c r="O2288" s="12" t="s">
        <v>98</v>
      </c>
      <c r="P2288" s="12" t="s">
        <v>72</v>
      </c>
      <c r="Q2288" s="13">
        <v>45369</v>
      </c>
      <c r="R2288" s="13">
        <v>45399</v>
      </c>
      <c r="S2288">
        <v>2024</v>
      </c>
      <c r="T2288" s="12" t="s">
        <v>2941</v>
      </c>
      <c r="U2288">
        <v>562</v>
      </c>
      <c r="V2288">
        <v>10.292</v>
      </c>
      <c r="W2288">
        <v>124.87</v>
      </c>
      <c r="X2288">
        <v>0</v>
      </c>
      <c r="Y2288">
        <v>0</v>
      </c>
      <c r="Z2288">
        <v>5784.1</v>
      </c>
      <c r="AA2288">
        <v>5908.97</v>
      </c>
      <c r="AB2288" s="12" t="s">
        <v>2747</v>
      </c>
      <c r="AC2288">
        <v>10.292</v>
      </c>
      <c r="AD2288">
        <v>1</v>
      </c>
      <c r="AE2288">
        <v>1</v>
      </c>
      <c r="AF2288">
        <v>0</v>
      </c>
      <c r="AG2288">
        <v>5784.1</v>
      </c>
      <c r="AH2288">
        <v>562</v>
      </c>
      <c r="AI2288">
        <v>560</v>
      </c>
      <c r="AJ2288">
        <v>2</v>
      </c>
      <c r="AK2288">
        <v>1</v>
      </c>
      <c r="AL2288">
        <v>1</v>
      </c>
      <c r="AM2288">
        <v>99.64</v>
      </c>
      <c r="AN2288">
        <v>10.5517</v>
      </c>
      <c r="AO2288">
        <v>20.58</v>
      </c>
      <c r="AP2288" s="13">
        <v>45397</v>
      </c>
      <c r="AQ2288">
        <v>-2</v>
      </c>
      <c r="AR2288">
        <v>1</v>
      </c>
    </row>
    <row r="2289" spans="1:44" x14ac:dyDescent="0.35">
      <c r="A2289" s="12" t="s">
        <v>3060</v>
      </c>
      <c r="B2289" s="12" t="s">
        <v>420</v>
      </c>
      <c r="C2289" s="12" t="s">
        <v>421</v>
      </c>
      <c r="D2289" s="12" t="s">
        <v>269</v>
      </c>
      <c r="E2289" s="12" t="s">
        <v>104</v>
      </c>
      <c r="F2289">
        <v>2</v>
      </c>
      <c r="G2289">
        <v>0</v>
      </c>
      <c r="H2289">
        <v>0</v>
      </c>
      <c r="I2289" s="12" t="s">
        <v>380</v>
      </c>
      <c r="J2289" s="12" t="s">
        <v>381</v>
      </c>
      <c r="K2289" s="12" t="s">
        <v>89</v>
      </c>
      <c r="L2289" s="12" t="s">
        <v>96</v>
      </c>
      <c r="M2289">
        <v>10.210000000000001</v>
      </c>
      <c r="N2289" s="12" t="s">
        <v>135</v>
      </c>
      <c r="O2289" s="12" t="s">
        <v>136</v>
      </c>
      <c r="P2289" s="12" t="s">
        <v>137</v>
      </c>
      <c r="Q2289" s="13">
        <v>45369</v>
      </c>
      <c r="R2289" s="13">
        <v>45396</v>
      </c>
      <c r="S2289">
        <v>2024</v>
      </c>
      <c r="T2289" s="12" t="s">
        <v>2941</v>
      </c>
      <c r="U2289">
        <v>129</v>
      </c>
      <c r="V2289">
        <v>142.20349999999999</v>
      </c>
      <c r="W2289">
        <v>135.01</v>
      </c>
      <c r="X2289">
        <v>0</v>
      </c>
      <c r="Y2289">
        <v>0</v>
      </c>
      <c r="Z2289">
        <v>18344.25</v>
      </c>
      <c r="AA2289">
        <v>18479.259999999998</v>
      </c>
      <c r="AB2289" s="12" t="s">
        <v>2925</v>
      </c>
      <c r="AC2289">
        <v>142.20349999999999</v>
      </c>
      <c r="AD2289">
        <v>1</v>
      </c>
      <c r="AE2289">
        <v>1</v>
      </c>
      <c r="AF2289">
        <v>0</v>
      </c>
      <c r="AG2289">
        <v>18344.25</v>
      </c>
      <c r="AH2289">
        <v>129</v>
      </c>
      <c r="AI2289">
        <v>127</v>
      </c>
      <c r="AJ2289">
        <v>2</v>
      </c>
      <c r="AK2289">
        <v>1</v>
      </c>
      <c r="AL2289">
        <v>1</v>
      </c>
      <c r="AM2289">
        <v>98.45</v>
      </c>
      <c r="AN2289">
        <v>145.506</v>
      </c>
      <c r="AO2289">
        <v>284.41000000000003</v>
      </c>
      <c r="AP2289" s="13">
        <v>45395</v>
      </c>
      <c r="AQ2289">
        <v>-1</v>
      </c>
      <c r="AR2289">
        <v>1</v>
      </c>
    </row>
    <row r="2290" spans="1:44" x14ac:dyDescent="0.35">
      <c r="A2290" s="12" t="s">
        <v>3061</v>
      </c>
      <c r="B2290" s="12" t="s">
        <v>657</v>
      </c>
      <c r="C2290" s="12" t="s">
        <v>658</v>
      </c>
      <c r="D2290" s="12" t="s">
        <v>175</v>
      </c>
      <c r="E2290" s="12" t="s">
        <v>65</v>
      </c>
      <c r="F2290">
        <v>1</v>
      </c>
      <c r="G2290">
        <v>2</v>
      </c>
      <c r="H2290">
        <v>1</v>
      </c>
      <c r="I2290" s="12" t="s">
        <v>183</v>
      </c>
      <c r="J2290" s="12" t="s">
        <v>184</v>
      </c>
      <c r="K2290" s="12" t="s">
        <v>133</v>
      </c>
      <c r="L2290" s="12" t="s">
        <v>82</v>
      </c>
      <c r="M2290">
        <v>8.6199999999999992</v>
      </c>
      <c r="N2290" s="12" t="s">
        <v>145</v>
      </c>
      <c r="O2290" s="12" t="s">
        <v>146</v>
      </c>
      <c r="P2290" s="12" t="s">
        <v>109</v>
      </c>
      <c r="Q2290" s="13">
        <v>45369</v>
      </c>
      <c r="R2290" s="13">
        <v>45406</v>
      </c>
      <c r="S2290">
        <v>2024</v>
      </c>
      <c r="T2290" s="12" t="s">
        <v>2941</v>
      </c>
      <c r="U2290">
        <v>136</v>
      </c>
      <c r="V2290">
        <v>156.93350000000001</v>
      </c>
      <c r="W2290">
        <v>161.5</v>
      </c>
      <c r="X2290">
        <v>0</v>
      </c>
      <c r="Y2290">
        <v>0</v>
      </c>
      <c r="Z2290">
        <v>21342.959999999999</v>
      </c>
      <c r="AA2290">
        <v>21504.46</v>
      </c>
      <c r="AB2290" s="12" t="s">
        <v>659</v>
      </c>
      <c r="AC2290">
        <v>153.8561</v>
      </c>
      <c r="AD2290">
        <v>1</v>
      </c>
      <c r="AE2290">
        <v>1</v>
      </c>
      <c r="AF2290">
        <v>418.53</v>
      </c>
      <c r="AG2290">
        <v>20924.43</v>
      </c>
      <c r="AH2290">
        <v>136</v>
      </c>
      <c r="AI2290">
        <v>135</v>
      </c>
      <c r="AJ2290">
        <v>1</v>
      </c>
      <c r="AK2290">
        <v>1</v>
      </c>
      <c r="AL2290">
        <v>1</v>
      </c>
      <c r="AM2290">
        <v>99.26</v>
      </c>
      <c r="AN2290">
        <v>159.29230000000001</v>
      </c>
      <c r="AO2290">
        <v>156.93</v>
      </c>
      <c r="AP2290" s="13">
        <v>45404</v>
      </c>
      <c r="AQ2290">
        <v>-2</v>
      </c>
      <c r="AR2290">
        <v>1</v>
      </c>
    </row>
    <row r="2291" spans="1:44" x14ac:dyDescent="0.35">
      <c r="A2291" s="12" t="s">
        <v>3062</v>
      </c>
      <c r="B2291" s="12" t="s">
        <v>1026</v>
      </c>
      <c r="C2291" s="12" t="s">
        <v>1027</v>
      </c>
      <c r="D2291" s="12" t="s">
        <v>122</v>
      </c>
      <c r="E2291" s="12" t="s">
        <v>104</v>
      </c>
      <c r="F2291">
        <v>3</v>
      </c>
      <c r="G2291">
        <v>1</v>
      </c>
      <c r="H2291">
        <v>0</v>
      </c>
      <c r="I2291" s="12" t="s">
        <v>183</v>
      </c>
      <c r="J2291" s="12" t="s">
        <v>184</v>
      </c>
      <c r="K2291" s="12" t="s">
        <v>133</v>
      </c>
      <c r="L2291" s="12" t="s">
        <v>82</v>
      </c>
      <c r="M2291">
        <v>8.6199999999999992</v>
      </c>
      <c r="N2291" s="12" t="s">
        <v>70</v>
      </c>
      <c r="O2291" s="12" t="s">
        <v>71</v>
      </c>
      <c r="P2291" s="12" t="s">
        <v>72</v>
      </c>
      <c r="Q2291" s="13">
        <v>45369</v>
      </c>
      <c r="R2291" s="13">
        <v>45387</v>
      </c>
      <c r="S2291">
        <v>2024</v>
      </c>
      <c r="T2291" s="12" t="s">
        <v>2941</v>
      </c>
      <c r="U2291">
        <v>807</v>
      </c>
      <c r="V2291">
        <v>41.886099999999999</v>
      </c>
      <c r="W2291">
        <v>700.79</v>
      </c>
      <c r="X2291">
        <v>0</v>
      </c>
      <c r="Y2291">
        <v>0</v>
      </c>
      <c r="Z2291">
        <v>33802.080000000002</v>
      </c>
      <c r="AA2291">
        <v>34502.870000000003</v>
      </c>
      <c r="AB2291" s="12" t="s">
        <v>1116</v>
      </c>
      <c r="AC2291">
        <v>41.886099999999999</v>
      </c>
      <c r="AD2291">
        <v>1</v>
      </c>
      <c r="AE2291">
        <v>1</v>
      </c>
      <c r="AF2291">
        <v>0</v>
      </c>
      <c r="AG2291">
        <v>33802.080000000002</v>
      </c>
      <c r="AH2291">
        <v>807</v>
      </c>
      <c r="AI2291">
        <v>805</v>
      </c>
      <c r="AJ2291">
        <v>2</v>
      </c>
      <c r="AK2291">
        <v>1</v>
      </c>
      <c r="AL2291">
        <v>1</v>
      </c>
      <c r="AM2291">
        <v>99.75</v>
      </c>
      <c r="AN2291">
        <v>42.860700000000001</v>
      </c>
      <c r="AO2291">
        <v>83.77</v>
      </c>
      <c r="AP2291" s="13">
        <v>45387</v>
      </c>
      <c r="AQ2291">
        <v>0</v>
      </c>
      <c r="AR2291">
        <v>1</v>
      </c>
    </row>
    <row r="2292" spans="1:44" x14ac:dyDescent="0.35">
      <c r="A2292" s="12" t="s">
        <v>3063</v>
      </c>
      <c r="B2292" s="12" t="s">
        <v>740</v>
      </c>
      <c r="C2292" s="12" t="s">
        <v>741</v>
      </c>
      <c r="D2292" s="12" t="s">
        <v>64</v>
      </c>
      <c r="E2292" s="12" t="s">
        <v>104</v>
      </c>
      <c r="F2292">
        <v>2</v>
      </c>
      <c r="G2292">
        <v>0</v>
      </c>
      <c r="H2292">
        <v>0</v>
      </c>
      <c r="I2292" s="12" t="s">
        <v>151</v>
      </c>
      <c r="J2292" s="12" t="s">
        <v>152</v>
      </c>
      <c r="K2292" s="12" t="s">
        <v>125</v>
      </c>
      <c r="L2292" s="12" t="s">
        <v>69</v>
      </c>
      <c r="M2292">
        <v>36.479999999999997</v>
      </c>
      <c r="N2292" s="12" t="s">
        <v>97</v>
      </c>
      <c r="O2292" s="12" t="s">
        <v>98</v>
      </c>
      <c r="P2292" s="12" t="s">
        <v>72</v>
      </c>
      <c r="Q2292" s="13">
        <v>45369</v>
      </c>
      <c r="R2292" s="13">
        <v>45393</v>
      </c>
      <c r="S2292">
        <v>2024</v>
      </c>
      <c r="T2292" s="12" t="s">
        <v>2941</v>
      </c>
      <c r="U2292">
        <v>721</v>
      </c>
      <c r="V2292">
        <v>37.472299999999997</v>
      </c>
      <c r="W2292">
        <v>534.47</v>
      </c>
      <c r="X2292">
        <v>0</v>
      </c>
      <c r="Y2292">
        <v>0</v>
      </c>
      <c r="Z2292">
        <v>27017.53</v>
      </c>
      <c r="AA2292">
        <v>27552</v>
      </c>
      <c r="AB2292" s="12" t="s">
        <v>3064</v>
      </c>
      <c r="AC2292">
        <v>39.821100000000001</v>
      </c>
      <c r="AD2292">
        <v>1</v>
      </c>
      <c r="AE2292">
        <v>1</v>
      </c>
      <c r="AF2292">
        <v>-1693.48</v>
      </c>
      <c r="AG2292">
        <v>28711.01</v>
      </c>
      <c r="AH2292">
        <v>721</v>
      </c>
      <c r="AI2292">
        <v>710</v>
      </c>
      <c r="AJ2292">
        <v>11</v>
      </c>
      <c r="AK2292">
        <v>1</v>
      </c>
      <c r="AL2292">
        <v>1</v>
      </c>
      <c r="AM2292">
        <v>98.47</v>
      </c>
      <c r="AN2292">
        <v>38.805599999999998</v>
      </c>
      <c r="AO2292">
        <v>412.2</v>
      </c>
      <c r="AP2292" s="13">
        <v>45390</v>
      </c>
      <c r="AQ2292">
        <v>-3</v>
      </c>
      <c r="AR2292">
        <v>1</v>
      </c>
    </row>
    <row r="2293" spans="1:44" x14ac:dyDescent="0.35">
      <c r="A2293" s="12" t="s">
        <v>3065</v>
      </c>
      <c r="B2293" s="12" t="s">
        <v>293</v>
      </c>
      <c r="C2293" s="12" t="s">
        <v>294</v>
      </c>
      <c r="D2293" s="12" t="s">
        <v>114</v>
      </c>
      <c r="E2293" s="12" t="s">
        <v>142</v>
      </c>
      <c r="F2293">
        <v>1</v>
      </c>
      <c r="G2293">
        <v>6</v>
      </c>
      <c r="H2293">
        <v>1</v>
      </c>
      <c r="I2293" s="12" t="s">
        <v>195</v>
      </c>
      <c r="J2293" s="12" t="s">
        <v>196</v>
      </c>
      <c r="K2293" s="12" t="s">
        <v>117</v>
      </c>
      <c r="L2293" s="12" t="s">
        <v>134</v>
      </c>
      <c r="M2293">
        <v>4.7699999999999996</v>
      </c>
      <c r="N2293" s="12" t="s">
        <v>70</v>
      </c>
      <c r="O2293" s="12" t="s">
        <v>71</v>
      </c>
      <c r="P2293" s="12" t="s">
        <v>72</v>
      </c>
      <c r="Q2293" s="13">
        <v>45369</v>
      </c>
      <c r="R2293" s="13">
        <v>45404</v>
      </c>
      <c r="S2293">
        <v>2024</v>
      </c>
      <c r="T2293" s="12" t="s">
        <v>2941</v>
      </c>
      <c r="U2293">
        <v>15</v>
      </c>
      <c r="V2293">
        <v>202.91499999999999</v>
      </c>
      <c r="W2293">
        <v>51.88</v>
      </c>
      <c r="X2293">
        <v>0</v>
      </c>
      <c r="Y2293">
        <v>0</v>
      </c>
      <c r="Z2293">
        <v>3043.73</v>
      </c>
      <c r="AA2293">
        <v>3095.61</v>
      </c>
      <c r="AB2293" s="12" t="s">
        <v>2837</v>
      </c>
      <c r="AC2293">
        <v>202.91499999999999</v>
      </c>
      <c r="AD2293">
        <v>1</v>
      </c>
      <c r="AE2293">
        <v>1</v>
      </c>
      <c r="AF2293">
        <v>0</v>
      </c>
      <c r="AG2293">
        <v>3043.73</v>
      </c>
      <c r="AH2293">
        <v>15</v>
      </c>
      <c r="AI2293">
        <v>15</v>
      </c>
      <c r="AJ2293">
        <v>0</v>
      </c>
      <c r="AK2293">
        <v>1</v>
      </c>
      <c r="AL2293">
        <v>1</v>
      </c>
      <c r="AM2293">
        <v>100</v>
      </c>
      <c r="AN2293">
        <v>206.37370000000001</v>
      </c>
      <c r="AO2293">
        <v>0</v>
      </c>
      <c r="AP2293" s="13">
        <v>45407</v>
      </c>
      <c r="AQ2293">
        <v>3</v>
      </c>
      <c r="AR2293">
        <v>0</v>
      </c>
    </row>
    <row r="2294" spans="1:44" x14ac:dyDescent="0.35">
      <c r="A2294" s="12" t="s">
        <v>3066</v>
      </c>
      <c r="B2294" s="12" t="s">
        <v>602</v>
      </c>
      <c r="C2294" s="12" t="s">
        <v>603</v>
      </c>
      <c r="D2294" s="12" t="s">
        <v>114</v>
      </c>
      <c r="E2294" s="12" t="s">
        <v>142</v>
      </c>
      <c r="F2294">
        <v>2</v>
      </c>
      <c r="G2294">
        <v>10</v>
      </c>
      <c r="H2294">
        <v>0</v>
      </c>
      <c r="I2294" s="12" t="s">
        <v>263</v>
      </c>
      <c r="J2294" s="12" t="s">
        <v>264</v>
      </c>
      <c r="K2294" s="12" t="s">
        <v>125</v>
      </c>
      <c r="L2294" s="12" t="s">
        <v>82</v>
      </c>
      <c r="M2294">
        <v>10.210000000000001</v>
      </c>
      <c r="N2294" s="12" t="s">
        <v>97</v>
      </c>
      <c r="O2294" s="12" t="s">
        <v>98</v>
      </c>
      <c r="P2294" s="12" t="s">
        <v>72</v>
      </c>
      <c r="Q2294" s="13">
        <v>45369</v>
      </c>
      <c r="R2294" s="13">
        <v>45410</v>
      </c>
      <c r="S2294">
        <v>2024</v>
      </c>
      <c r="T2294" s="12" t="s">
        <v>2941</v>
      </c>
      <c r="U2294">
        <v>63</v>
      </c>
      <c r="V2294">
        <v>210.69990000000001</v>
      </c>
      <c r="W2294">
        <v>326.02999999999997</v>
      </c>
      <c r="X2294">
        <v>0</v>
      </c>
      <c r="Y2294">
        <v>0</v>
      </c>
      <c r="Z2294">
        <v>13274.09</v>
      </c>
      <c r="AA2294">
        <v>13600.12</v>
      </c>
      <c r="AB2294" s="12" t="s">
        <v>2790</v>
      </c>
      <c r="AC2294">
        <v>210.69990000000001</v>
      </c>
      <c r="AD2294">
        <v>1</v>
      </c>
      <c r="AE2294">
        <v>1</v>
      </c>
      <c r="AF2294">
        <v>0</v>
      </c>
      <c r="AG2294">
        <v>13274.09</v>
      </c>
      <c r="AH2294">
        <v>63</v>
      </c>
      <c r="AI2294">
        <v>63</v>
      </c>
      <c r="AJ2294">
        <v>0</v>
      </c>
      <c r="AK2294">
        <v>1</v>
      </c>
      <c r="AL2294">
        <v>1</v>
      </c>
      <c r="AM2294">
        <v>100</v>
      </c>
      <c r="AN2294">
        <v>215.875</v>
      </c>
      <c r="AO2294">
        <v>0</v>
      </c>
      <c r="AP2294" s="13">
        <v>45410</v>
      </c>
      <c r="AQ2294">
        <v>0</v>
      </c>
      <c r="AR2294">
        <v>1</v>
      </c>
    </row>
    <row r="2295" spans="1:44" x14ac:dyDescent="0.35">
      <c r="A2295" s="12" t="s">
        <v>3067</v>
      </c>
      <c r="B2295" s="12" t="s">
        <v>802</v>
      </c>
      <c r="C2295" s="12" t="s">
        <v>803</v>
      </c>
      <c r="D2295" s="12" t="s">
        <v>114</v>
      </c>
      <c r="E2295" s="12" t="s">
        <v>65</v>
      </c>
      <c r="F2295">
        <v>3</v>
      </c>
      <c r="G2295">
        <v>5</v>
      </c>
      <c r="H2295">
        <v>0</v>
      </c>
      <c r="I2295" s="12" t="s">
        <v>87</v>
      </c>
      <c r="J2295" s="12" t="s">
        <v>88</v>
      </c>
      <c r="K2295" s="12" t="s">
        <v>89</v>
      </c>
      <c r="L2295" s="12" t="s">
        <v>69</v>
      </c>
      <c r="M2295">
        <v>14.93</v>
      </c>
      <c r="N2295" s="12" t="s">
        <v>97</v>
      </c>
      <c r="O2295" s="12" t="s">
        <v>98</v>
      </c>
      <c r="P2295" s="12" t="s">
        <v>72</v>
      </c>
      <c r="Q2295" s="13">
        <v>45370</v>
      </c>
      <c r="R2295" s="13">
        <v>45408</v>
      </c>
      <c r="S2295">
        <v>2024</v>
      </c>
      <c r="T2295" s="12" t="s">
        <v>2941</v>
      </c>
      <c r="U2295">
        <v>148</v>
      </c>
      <c r="V2295">
        <v>350.71699999999998</v>
      </c>
      <c r="W2295">
        <v>1311.35</v>
      </c>
      <c r="X2295">
        <v>0</v>
      </c>
      <c r="Y2295">
        <v>0</v>
      </c>
      <c r="Z2295">
        <v>51906.12</v>
      </c>
      <c r="AA2295">
        <v>53217.47</v>
      </c>
      <c r="AB2295" s="12" t="s">
        <v>1063</v>
      </c>
      <c r="AC2295">
        <v>350.71699999999998</v>
      </c>
      <c r="AD2295">
        <v>1</v>
      </c>
      <c r="AE2295">
        <v>1</v>
      </c>
      <c r="AF2295">
        <v>0</v>
      </c>
      <c r="AG2295">
        <v>51906.12</v>
      </c>
      <c r="AH2295">
        <v>148</v>
      </c>
      <c r="AI2295">
        <v>146</v>
      </c>
      <c r="AJ2295">
        <v>2</v>
      </c>
      <c r="AK2295">
        <v>1</v>
      </c>
      <c r="AL2295">
        <v>1</v>
      </c>
      <c r="AM2295">
        <v>98.65</v>
      </c>
      <c r="AN2295">
        <v>364.50319999999999</v>
      </c>
      <c r="AO2295">
        <v>701.43</v>
      </c>
      <c r="AP2295" s="13">
        <v>45417</v>
      </c>
      <c r="AQ2295">
        <v>9</v>
      </c>
      <c r="AR2295">
        <v>0</v>
      </c>
    </row>
    <row r="2296" spans="1:44" x14ac:dyDescent="0.35">
      <c r="A2296" s="12" t="s">
        <v>3068</v>
      </c>
      <c r="B2296" s="12" t="s">
        <v>465</v>
      </c>
      <c r="C2296" s="12" t="s">
        <v>466</v>
      </c>
      <c r="D2296" s="12" t="s">
        <v>78</v>
      </c>
      <c r="E2296" s="12" t="s">
        <v>142</v>
      </c>
      <c r="F2296">
        <v>3</v>
      </c>
      <c r="G2296">
        <v>11</v>
      </c>
      <c r="H2296">
        <v>0</v>
      </c>
      <c r="I2296" s="12" t="s">
        <v>341</v>
      </c>
      <c r="J2296" s="12" t="s">
        <v>342</v>
      </c>
      <c r="K2296" s="12" t="s">
        <v>117</v>
      </c>
      <c r="L2296" s="12" t="s">
        <v>82</v>
      </c>
      <c r="M2296">
        <v>18.36</v>
      </c>
      <c r="N2296" s="12" t="s">
        <v>97</v>
      </c>
      <c r="O2296" s="12" t="s">
        <v>98</v>
      </c>
      <c r="P2296" s="12" t="s">
        <v>72</v>
      </c>
      <c r="Q2296" s="13">
        <v>45370</v>
      </c>
      <c r="R2296" s="13">
        <v>45418</v>
      </c>
      <c r="S2296">
        <v>2024</v>
      </c>
      <c r="T2296" s="12" t="s">
        <v>2941</v>
      </c>
      <c r="U2296">
        <v>228</v>
      </c>
      <c r="V2296">
        <v>108.0436</v>
      </c>
      <c r="W2296">
        <v>459.77</v>
      </c>
      <c r="X2296">
        <v>0</v>
      </c>
      <c r="Y2296">
        <v>0</v>
      </c>
      <c r="Z2296">
        <v>24633.94</v>
      </c>
      <c r="AA2296">
        <v>25093.71</v>
      </c>
      <c r="AB2296" s="12" t="s">
        <v>3051</v>
      </c>
      <c r="AC2296">
        <v>108.0436</v>
      </c>
      <c r="AD2296">
        <v>1</v>
      </c>
      <c r="AE2296">
        <v>1</v>
      </c>
      <c r="AF2296">
        <v>0</v>
      </c>
      <c r="AG2296">
        <v>24633.94</v>
      </c>
      <c r="AH2296">
        <v>228</v>
      </c>
      <c r="AI2296">
        <v>224</v>
      </c>
      <c r="AJ2296">
        <v>4</v>
      </c>
      <c r="AK2296">
        <v>1</v>
      </c>
      <c r="AL2296">
        <v>1</v>
      </c>
      <c r="AM2296">
        <v>98.25</v>
      </c>
      <c r="AN2296">
        <v>112.02549999999999</v>
      </c>
      <c r="AO2296">
        <v>432.17</v>
      </c>
      <c r="AP2296" s="13">
        <v>45416</v>
      </c>
      <c r="AQ2296">
        <v>-2</v>
      </c>
      <c r="AR2296">
        <v>1</v>
      </c>
    </row>
    <row r="2297" spans="1:44" x14ac:dyDescent="0.35">
      <c r="A2297" s="12" t="s">
        <v>3069</v>
      </c>
      <c r="B2297" s="12" t="s">
        <v>62</v>
      </c>
      <c r="C2297" s="12" t="s">
        <v>63</v>
      </c>
      <c r="D2297" s="12" t="s">
        <v>64</v>
      </c>
      <c r="E2297" s="12" t="s">
        <v>65</v>
      </c>
      <c r="F2297">
        <v>1</v>
      </c>
      <c r="G2297">
        <v>2</v>
      </c>
      <c r="H2297">
        <v>1</v>
      </c>
      <c r="I2297" s="12" t="s">
        <v>66</v>
      </c>
      <c r="J2297" s="12" t="s">
        <v>67</v>
      </c>
      <c r="K2297" s="12" t="s">
        <v>68</v>
      </c>
      <c r="L2297" s="12" t="s">
        <v>69</v>
      </c>
      <c r="M2297">
        <v>17.66</v>
      </c>
      <c r="N2297" s="12" t="s">
        <v>70</v>
      </c>
      <c r="O2297" s="12" t="s">
        <v>71</v>
      </c>
      <c r="P2297" s="12" t="s">
        <v>72</v>
      </c>
      <c r="Q2297" s="13">
        <v>45370</v>
      </c>
      <c r="R2297" s="13">
        <v>45403</v>
      </c>
      <c r="S2297">
        <v>2024</v>
      </c>
      <c r="T2297" s="12" t="s">
        <v>2941</v>
      </c>
      <c r="U2297">
        <v>742</v>
      </c>
      <c r="V2297">
        <v>26.0961</v>
      </c>
      <c r="W2297">
        <v>232.38</v>
      </c>
      <c r="X2297">
        <v>0</v>
      </c>
      <c r="Y2297">
        <v>0</v>
      </c>
      <c r="Z2297">
        <v>19363.310000000001</v>
      </c>
      <c r="AA2297">
        <v>19595.689999999999</v>
      </c>
      <c r="AB2297" s="12" t="s">
        <v>201</v>
      </c>
      <c r="AD2297">
        <v>0</v>
      </c>
      <c r="AE2297">
        <v>0</v>
      </c>
      <c r="AH2297">
        <v>742</v>
      </c>
      <c r="AI2297">
        <v>732</v>
      </c>
      <c r="AJ2297">
        <v>10</v>
      </c>
      <c r="AK2297">
        <v>1</v>
      </c>
      <c r="AL2297">
        <v>1</v>
      </c>
      <c r="AM2297">
        <v>98.65</v>
      </c>
      <c r="AN2297">
        <v>26.770099999999999</v>
      </c>
      <c r="AO2297">
        <v>260.95999999999998</v>
      </c>
      <c r="AP2297" s="13">
        <v>45401</v>
      </c>
      <c r="AQ2297">
        <v>-2</v>
      </c>
      <c r="AR2297">
        <v>1</v>
      </c>
    </row>
    <row r="2298" spans="1:44" x14ac:dyDescent="0.35">
      <c r="A2298" s="12" t="s">
        <v>3070</v>
      </c>
      <c r="B2298" s="12" t="s">
        <v>909</v>
      </c>
      <c r="C2298" s="12" t="s">
        <v>910</v>
      </c>
      <c r="D2298" s="12" t="s">
        <v>269</v>
      </c>
      <c r="E2298" s="12" t="s">
        <v>65</v>
      </c>
      <c r="F2298">
        <v>3</v>
      </c>
      <c r="G2298">
        <v>4</v>
      </c>
      <c r="H2298">
        <v>0</v>
      </c>
      <c r="I2298" s="12" t="s">
        <v>199</v>
      </c>
      <c r="J2298" s="12" t="s">
        <v>200</v>
      </c>
      <c r="K2298" s="12" t="s">
        <v>68</v>
      </c>
      <c r="L2298" s="12" t="s">
        <v>96</v>
      </c>
      <c r="M2298">
        <v>9.4700000000000006</v>
      </c>
      <c r="N2298" s="12" t="s">
        <v>135</v>
      </c>
      <c r="O2298" s="12" t="s">
        <v>136</v>
      </c>
      <c r="P2298" s="12" t="s">
        <v>137</v>
      </c>
      <c r="Q2298" s="13">
        <v>45370</v>
      </c>
      <c r="R2298" s="13">
        <v>45406</v>
      </c>
      <c r="S2298">
        <v>2024</v>
      </c>
      <c r="T2298" s="12" t="s">
        <v>2941</v>
      </c>
      <c r="U2298">
        <v>133</v>
      </c>
      <c r="V2298">
        <v>112.7954</v>
      </c>
      <c r="W2298">
        <v>154.80000000000001</v>
      </c>
      <c r="X2298">
        <v>0</v>
      </c>
      <c r="Y2298">
        <v>0</v>
      </c>
      <c r="Z2298">
        <v>15001.79</v>
      </c>
      <c r="AA2298">
        <v>15156.59</v>
      </c>
      <c r="AB2298" s="12" t="s">
        <v>911</v>
      </c>
      <c r="AC2298">
        <v>108.32040000000001</v>
      </c>
      <c r="AD2298">
        <v>1</v>
      </c>
      <c r="AE2298">
        <v>1</v>
      </c>
      <c r="AF2298">
        <v>595.17999999999995</v>
      </c>
      <c r="AG2298">
        <v>14406.61</v>
      </c>
      <c r="AH2298">
        <v>133</v>
      </c>
      <c r="AI2298">
        <v>131</v>
      </c>
      <c r="AJ2298">
        <v>2</v>
      </c>
      <c r="AK2298">
        <v>1</v>
      </c>
      <c r="AL2298">
        <v>1</v>
      </c>
      <c r="AM2298">
        <v>98.5</v>
      </c>
      <c r="AN2298">
        <v>115.6991</v>
      </c>
      <c r="AO2298">
        <v>225.59</v>
      </c>
      <c r="AP2298" s="13">
        <v>45404</v>
      </c>
      <c r="AQ2298">
        <v>-2</v>
      </c>
      <c r="AR2298">
        <v>1</v>
      </c>
    </row>
    <row r="2299" spans="1:44" x14ac:dyDescent="0.35">
      <c r="A2299" s="12" t="s">
        <v>3071</v>
      </c>
      <c r="B2299" s="12" t="s">
        <v>747</v>
      </c>
      <c r="C2299" s="12" t="s">
        <v>748</v>
      </c>
      <c r="D2299" s="12" t="s">
        <v>114</v>
      </c>
      <c r="E2299" s="12" t="s">
        <v>104</v>
      </c>
      <c r="F2299">
        <v>2</v>
      </c>
      <c r="G2299">
        <v>0</v>
      </c>
      <c r="H2299">
        <v>0</v>
      </c>
      <c r="I2299" s="12" t="s">
        <v>380</v>
      </c>
      <c r="J2299" s="12" t="s">
        <v>381</v>
      </c>
      <c r="K2299" s="12" t="s">
        <v>89</v>
      </c>
      <c r="L2299" s="12" t="s">
        <v>96</v>
      </c>
      <c r="M2299">
        <v>10.210000000000001</v>
      </c>
      <c r="N2299" s="12" t="s">
        <v>70</v>
      </c>
      <c r="O2299" s="12" t="s">
        <v>71</v>
      </c>
      <c r="P2299" s="12" t="s">
        <v>72</v>
      </c>
      <c r="Q2299" s="13">
        <v>45370</v>
      </c>
      <c r="R2299" s="13">
        <v>45391</v>
      </c>
      <c r="S2299">
        <v>2024</v>
      </c>
      <c r="T2299" s="12" t="s">
        <v>2941</v>
      </c>
      <c r="U2299">
        <v>82</v>
      </c>
      <c r="V2299">
        <v>242.0575</v>
      </c>
      <c r="W2299">
        <v>388.36</v>
      </c>
      <c r="X2299">
        <v>0</v>
      </c>
      <c r="Y2299">
        <v>0</v>
      </c>
      <c r="Z2299">
        <v>19848.72</v>
      </c>
      <c r="AA2299">
        <v>20237.080000000002</v>
      </c>
      <c r="AB2299" s="12" t="s">
        <v>3072</v>
      </c>
      <c r="AC2299">
        <v>242.0575</v>
      </c>
      <c r="AD2299">
        <v>1</v>
      </c>
      <c r="AE2299">
        <v>1</v>
      </c>
      <c r="AF2299">
        <v>0</v>
      </c>
      <c r="AG2299">
        <v>19848.72</v>
      </c>
      <c r="AH2299">
        <v>82</v>
      </c>
      <c r="AI2299">
        <v>81</v>
      </c>
      <c r="AJ2299">
        <v>1</v>
      </c>
      <c r="AK2299">
        <v>1</v>
      </c>
      <c r="AL2299">
        <v>1</v>
      </c>
      <c r="AM2299">
        <v>98.78</v>
      </c>
      <c r="AN2299">
        <v>249.84039999999999</v>
      </c>
      <c r="AO2299">
        <v>242.06</v>
      </c>
      <c r="AP2299" s="13">
        <v>45390</v>
      </c>
      <c r="AQ2299">
        <v>-1</v>
      </c>
      <c r="AR2299">
        <v>1</v>
      </c>
    </row>
    <row r="2300" spans="1:44" x14ac:dyDescent="0.35">
      <c r="A2300" s="12" t="s">
        <v>3073</v>
      </c>
      <c r="B2300" s="12" t="s">
        <v>1666</v>
      </c>
      <c r="C2300" s="12" t="s">
        <v>1667</v>
      </c>
      <c r="D2300" s="12" t="s">
        <v>78</v>
      </c>
      <c r="E2300" s="12" t="s">
        <v>65</v>
      </c>
      <c r="F2300">
        <v>2</v>
      </c>
      <c r="G2300">
        <v>3</v>
      </c>
      <c r="H2300">
        <v>0</v>
      </c>
      <c r="I2300" s="12" t="s">
        <v>176</v>
      </c>
      <c r="J2300" s="12" t="s">
        <v>177</v>
      </c>
      <c r="K2300" s="12" t="s">
        <v>125</v>
      </c>
      <c r="L2300" s="12" t="s">
        <v>134</v>
      </c>
      <c r="M2300">
        <v>1.75</v>
      </c>
      <c r="N2300" s="12" t="s">
        <v>97</v>
      </c>
      <c r="O2300" s="12" t="s">
        <v>98</v>
      </c>
      <c r="P2300" s="12" t="s">
        <v>72</v>
      </c>
      <c r="Q2300" s="13">
        <v>45370</v>
      </c>
      <c r="R2300" s="13">
        <v>45391</v>
      </c>
      <c r="S2300">
        <v>2024</v>
      </c>
      <c r="T2300" s="12" t="s">
        <v>2941</v>
      </c>
      <c r="U2300">
        <v>44</v>
      </c>
      <c r="V2300">
        <v>71.254000000000005</v>
      </c>
      <c r="W2300">
        <v>24.11</v>
      </c>
      <c r="X2300">
        <v>0</v>
      </c>
      <c r="Y2300">
        <v>0</v>
      </c>
      <c r="Z2300">
        <v>3135.18</v>
      </c>
      <c r="AA2300">
        <v>3159.29</v>
      </c>
      <c r="AB2300" s="12" t="s">
        <v>3074</v>
      </c>
      <c r="AC2300">
        <v>71.254000000000005</v>
      </c>
      <c r="AD2300">
        <v>1</v>
      </c>
      <c r="AE2300">
        <v>1</v>
      </c>
      <c r="AF2300">
        <v>0</v>
      </c>
      <c r="AG2300">
        <v>3135.18</v>
      </c>
      <c r="AH2300">
        <v>44</v>
      </c>
      <c r="AI2300">
        <v>43</v>
      </c>
      <c r="AJ2300">
        <v>1</v>
      </c>
      <c r="AK2300">
        <v>1</v>
      </c>
      <c r="AL2300">
        <v>1</v>
      </c>
      <c r="AM2300">
        <v>97.73</v>
      </c>
      <c r="AN2300">
        <v>73.471800000000002</v>
      </c>
      <c r="AO2300">
        <v>71.25</v>
      </c>
      <c r="AP2300" s="13">
        <v>45388</v>
      </c>
      <c r="AQ2300">
        <v>-3</v>
      </c>
      <c r="AR2300">
        <v>1</v>
      </c>
    </row>
    <row r="2301" spans="1:44" x14ac:dyDescent="0.35">
      <c r="A2301" s="12" t="s">
        <v>3075</v>
      </c>
      <c r="B2301" s="12" t="s">
        <v>339</v>
      </c>
      <c r="C2301" s="12" t="s">
        <v>340</v>
      </c>
      <c r="D2301" s="12" t="s">
        <v>103</v>
      </c>
      <c r="E2301" s="12" t="s">
        <v>142</v>
      </c>
      <c r="F2301">
        <v>2</v>
      </c>
      <c r="G2301">
        <v>9</v>
      </c>
      <c r="H2301">
        <v>0</v>
      </c>
      <c r="I2301" s="12" t="s">
        <v>169</v>
      </c>
      <c r="J2301" s="12" t="s">
        <v>170</v>
      </c>
      <c r="K2301" s="12" t="s">
        <v>89</v>
      </c>
      <c r="L2301" s="12" t="s">
        <v>134</v>
      </c>
      <c r="M2301">
        <v>1.37</v>
      </c>
      <c r="N2301" s="12" t="s">
        <v>145</v>
      </c>
      <c r="O2301" s="12" t="s">
        <v>146</v>
      </c>
      <c r="P2301" s="12" t="s">
        <v>109</v>
      </c>
      <c r="Q2301" s="13">
        <v>45370</v>
      </c>
      <c r="R2301" s="13">
        <v>45421</v>
      </c>
      <c r="S2301">
        <v>2024</v>
      </c>
      <c r="T2301" s="12" t="s">
        <v>2941</v>
      </c>
      <c r="U2301">
        <v>135</v>
      </c>
      <c r="V2301">
        <v>243.06290000000001</v>
      </c>
      <c r="W2301">
        <v>805.9</v>
      </c>
      <c r="X2301">
        <v>0</v>
      </c>
      <c r="Y2301">
        <v>0</v>
      </c>
      <c r="Z2301">
        <v>32813.49</v>
      </c>
      <c r="AA2301">
        <v>33619.39</v>
      </c>
      <c r="AB2301" s="12" t="s">
        <v>2786</v>
      </c>
      <c r="AC2301">
        <v>243.06290000000001</v>
      </c>
      <c r="AD2301">
        <v>1</v>
      </c>
      <c r="AE2301">
        <v>1</v>
      </c>
      <c r="AF2301">
        <v>0</v>
      </c>
      <c r="AG2301">
        <v>32813.49</v>
      </c>
      <c r="AH2301">
        <v>135</v>
      </c>
      <c r="AI2301">
        <v>134</v>
      </c>
      <c r="AJ2301">
        <v>1</v>
      </c>
      <c r="AK2301">
        <v>1</v>
      </c>
      <c r="AL2301">
        <v>1</v>
      </c>
      <c r="AM2301">
        <v>99.26</v>
      </c>
      <c r="AN2301">
        <v>250.89099999999999</v>
      </c>
      <c r="AO2301">
        <v>243.06</v>
      </c>
      <c r="AP2301" s="13">
        <v>45418</v>
      </c>
      <c r="AQ2301">
        <v>-3</v>
      </c>
      <c r="AR2301">
        <v>1</v>
      </c>
    </row>
    <row r="2302" spans="1:44" x14ac:dyDescent="0.35">
      <c r="A2302" s="12" t="s">
        <v>3076</v>
      </c>
      <c r="B2302" s="12" t="s">
        <v>391</v>
      </c>
      <c r="C2302" s="12" t="s">
        <v>392</v>
      </c>
      <c r="D2302" s="12" t="s">
        <v>114</v>
      </c>
      <c r="E2302" s="12" t="s">
        <v>65</v>
      </c>
      <c r="F2302">
        <v>2</v>
      </c>
      <c r="G2302">
        <v>2</v>
      </c>
      <c r="H2302">
        <v>0</v>
      </c>
      <c r="I2302" s="12" t="s">
        <v>310</v>
      </c>
      <c r="J2302" s="12" t="s">
        <v>311</v>
      </c>
      <c r="K2302" s="12" t="s">
        <v>81</v>
      </c>
      <c r="L2302" s="12" t="s">
        <v>69</v>
      </c>
      <c r="M2302">
        <v>28.3</v>
      </c>
      <c r="N2302" s="12" t="s">
        <v>70</v>
      </c>
      <c r="O2302" s="12" t="s">
        <v>71</v>
      </c>
      <c r="P2302" s="12" t="s">
        <v>72</v>
      </c>
      <c r="Q2302" s="13">
        <v>45370</v>
      </c>
      <c r="R2302" s="13">
        <v>45399</v>
      </c>
      <c r="S2302">
        <v>2024</v>
      </c>
      <c r="T2302" s="12" t="s">
        <v>2941</v>
      </c>
      <c r="U2302">
        <v>74</v>
      </c>
      <c r="V2302">
        <v>220.328</v>
      </c>
      <c r="W2302">
        <v>151.4</v>
      </c>
      <c r="X2302">
        <v>0</v>
      </c>
      <c r="Y2302">
        <v>0</v>
      </c>
      <c r="Z2302">
        <v>16304.27</v>
      </c>
      <c r="AA2302">
        <v>16455.669999999998</v>
      </c>
      <c r="AB2302" s="12" t="s">
        <v>2890</v>
      </c>
      <c r="AC2302">
        <v>220.328</v>
      </c>
      <c r="AD2302">
        <v>1</v>
      </c>
      <c r="AE2302">
        <v>1</v>
      </c>
      <c r="AF2302">
        <v>0</v>
      </c>
      <c r="AG2302">
        <v>16304.27</v>
      </c>
      <c r="AH2302">
        <v>74</v>
      </c>
      <c r="AI2302">
        <v>73</v>
      </c>
      <c r="AJ2302">
        <v>1</v>
      </c>
      <c r="AK2302">
        <v>1</v>
      </c>
      <c r="AL2302">
        <v>1</v>
      </c>
      <c r="AM2302">
        <v>98.65</v>
      </c>
      <c r="AN2302">
        <v>225.42019999999999</v>
      </c>
      <c r="AO2302">
        <v>220.33</v>
      </c>
      <c r="AP2302" s="13">
        <v>45396</v>
      </c>
      <c r="AQ2302">
        <v>-3</v>
      </c>
      <c r="AR2302">
        <v>1</v>
      </c>
    </row>
    <row r="2303" spans="1:44" x14ac:dyDescent="0.35">
      <c r="A2303" s="12" t="s">
        <v>3077</v>
      </c>
      <c r="B2303" s="12" t="s">
        <v>447</v>
      </c>
      <c r="C2303" s="12" t="s">
        <v>448</v>
      </c>
      <c r="D2303" s="12" t="s">
        <v>269</v>
      </c>
      <c r="E2303" s="12" t="s">
        <v>65</v>
      </c>
      <c r="F2303">
        <v>2</v>
      </c>
      <c r="G2303">
        <v>2</v>
      </c>
      <c r="H2303">
        <v>0</v>
      </c>
      <c r="I2303" s="12" t="s">
        <v>94</v>
      </c>
      <c r="J2303" s="12" t="s">
        <v>95</v>
      </c>
      <c r="K2303" s="12" t="s">
        <v>81</v>
      </c>
      <c r="L2303" s="12" t="s">
        <v>96</v>
      </c>
      <c r="M2303">
        <v>4.8099999999999996</v>
      </c>
      <c r="N2303" s="12" t="s">
        <v>135</v>
      </c>
      <c r="O2303" s="12" t="s">
        <v>136</v>
      </c>
      <c r="P2303" s="12" t="s">
        <v>137</v>
      </c>
      <c r="Q2303" s="13">
        <v>45370</v>
      </c>
      <c r="R2303" s="13">
        <v>45395</v>
      </c>
      <c r="S2303">
        <v>2024</v>
      </c>
      <c r="T2303" s="12" t="s">
        <v>2941</v>
      </c>
      <c r="U2303">
        <v>45</v>
      </c>
      <c r="V2303">
        <v>377.76080000000002</v>
      </c>
      <c r="W2303">
        <v>417.57</v>
      </c>
      <c r="X2303">
        <v>0</v>
      </c>
      <c r="Y2303">
        <v>0</v>
      </c>
      <c r="Z2303">
        <v>16999.240000000002</v>
      </c>
      <c r="AA2303">
        <v>17416.810000000001</v>
      </c>
      <c r="AB2303" s="12" t="s">
        <v>3078</v>
      </c>
      <c r="AC2303">
        <v>377.76080000000002</v>
      </c>
      <c r="AD2303">
        <v>1</v>
      </c>
      <c r="AE2303">
        <v>1</v>
      </c>
      <c r="AF2303">
        <v>0</v>
      </c>
      <c r="AG2303">
        <v>16999.240000000002</v>
      </c>
      <c r="AH2303">
        <v>45</v>
      </c>
      <c r="AI2303">
        <v>45</v>
      </c>
      <c r="AJ2303">
        <v>0</v>
      </c>
      <c r="AK2303">
        <v>1</v>
      </c>
      <c r="AL2303">
        <v>1</v>
      </c>
      <c r="AM2303">
        <v>100</v>
      </c>
      <c r="AN2303">
        <v>387.0401</v>
      </c>
      <c r="AO2303">
        <v>0</v>
      </c>
      <c r="AP2303" s="13">
        <v>45393</v>
      </c>
      <c r="AQ2303">
        <v>-2</v>
      </c>
      <c r="AR2303">
        <v>1</v>
      </c>
    </row>
    <row r="2304" spans="1:44" x14ac:dyDescent="0.35">
      <c r="A2304" s="12" t="s">
        <v>3079</v>
      </c>
      <c r="B2304" s="12" t="s">
        <v>437</v>
      </c>
      <c r="C2304" s="12" t="s">
        <v>438</v>
      </c>
      <c r="D2304" s="12" t="s">
        <v>269</v>
      </c>
      <c r="E2304" s="12" t="s">
        <v>65</v>
      </c>
      <c r="F2304">
        <v>2</v>
      </c>
      <c r="G2304">
        <v>4</v>
      </c>
      <c r="H2304">
        <v>0</v>
      </c>
      <c r="I2304" s="12" t="s">
        <v>115</v>
      </c>
      <c r="J2304" s="12" t="s">
        <v>116</v>
      </c>
      <c r="K2304" s="12" t="s">
        <v>117</v>
      </c>
      <c r="L2304" s="12" t="s">
        <v>82</v>
      </c>
      <c r="M2304">
        <v>17.170000000000002</v>
      </c>
      <c r="N2304" s="12" t="s">
        <v>135</v>
      </c>
      <c r="O2304" s="12" t="s">
        <v>136</v>
      </c>
      <c r="P2304" s="12" t="s">
        <v>137</v>
      </c>
      <c r="Q2304" s="13">
        <v>45371</v>
      </c>
      <c r="R2304" s="13">
        <v>45392</v>
      </c>
      <c r="S2304">
        <v>2024</v>
      </c>
      <c r="T2304" s="12" t="s">
        <v>2941</v>
      </c>
      <c r="U2304">
        <v>13</v>
      </c>
      <c r="V2304">
        <v>440.05549999999999</v>
      </c>
      <c r="W2304">
        <v>125.36</v>
      </c>
      <c r="X2304">
        <v>0</v>
      </c>
      <c r="Y2304">
        <v>0</v>
      </c>
      <c r="Z2304">
        <v>5720.72</v>
      </c>
      <c r="AA2304">
        <v>5846.08</v>
      </c>
      <c r="AB2304" s="12" t="s">
        <v>2670</v>
      </c>
      <c r="AC2304">
        <v>440.05549999999999</v>
      </c>
      <c r="AD2304">
        <v>1</v>
      </c>
      <c r="AE2304">
        <v>1</v>
      </c>
      <c r="AF2304">
        <v>0</v>
      </c>
      <c r="AG2304">
        <v>5720.72</v>
      </c>
      <c r="AH2304">
        <v>13</v>
      </c>
      <c r="AI2304">
        <v>13</v>
      </c>
      <c r="AJ2304">
        <v>0</v>
      </c>
      <c r="AK2304">
        <v>1</v>
      </c>
      <c r="AL2304">
        <v>1</v>
      </c>
      <c r="AM2304">
        <v>100</v>
      </c>
      <c r="AN2304">
        <v>449.6986</v>
      </c>
      <c r="AO2304">
        <v>0</v>
      </c>
      <c r="AP2304" s="13">
        <v>45392</v>
      </c>
      <c r="AQ2304">
        <v>0</v>
      </c>
      <c r="AR2304">
        <v>1</v>
      </c>
    </row>
    <row r="2305" spans="1:44" x14ac:dyDescent="0.35">
      <c r="A2305" s="12" t="s">
        <v>3080</v>
      </c>
      <c r="B2305" s="12" t="s">
        <v>1034</v>
      </c>
      <c r="C2305" s="12" t="s">
        <v>1035</v>
      </c>
      <c r="D2305" s="12" t="s">
        <v>64</v>
      </c>
      <c r="E2305" s="12" t="s">
        <v>104</v>
      </c>
      <c r="F2305">
        <v>2</v>
      </c>
      <c r="G2305">
        <v>0</v>
      </c>
      <c r="H2305">
        <v>0</v>
      </c>
      <c r="I2305" s="12" t="s">
        <v>157</v>
      </c>
      <c r="J2305" s="12" t="s">
        <v>158</v>
      </c>
      <c r="K2305" s="12" t="s">
        <v>117</v>
      </c>
      <c r="L2305" s="12" t="s">
        <v>96</v>
      </c>
      <c r="M2305">
        <v>4.72</v>
      </c>
      <c r="N2305" s="12" t="s">
        <v>70</v>
      </c>
      <c r="O2305" s="12" t="s">
        <v>71</v>
      </c>
      <c r="P2305" s="12" t="s">
        <v>72</v>
      </c>
      <c r="Q2305" s="13">
        <v>45371</v>
      </c>
      <c r="R2305" s="13">
        <v>45385</v>
      </c>
      <c r="S2305">
        <v>2024</v>
      </c>
      <c r="T2305" s="12" t="s">
        <v>2941</v>
      </c>
      <c r="U2305">
        <v>214</v>
      </c>
      <c r="V2305">
        <v>9.9979999999999993</v>
      </c>
      <c r="W2305">
        <v>35.19</v>
      </c>
      <c r="X2305">
        <v>0</v>
      </c>
      <c r="Y2305">
        <v>0</v>
      </c>
      <c r="Z2305">
        <v>2139.5700000000002</v>
      </c>
      <c r="AA2305">
        <v>2174.7600000000002</v>
      </c>
      <c r="AB2305" s="12" t="s">
        <v>1036</v>
      </c>
      <c r="AC2305">
        <v>9.9979999999999993</v>
      </c>
      <c r="AD2305">
        <v>1</v>
      </c>
      <c r="AE2305">
        <v>1</v>
      </c>
      <c r="AF2305">
        <v>0</v>
      </c>
      <c r="AG2305">
        <v>2139.5700000000002</v>
      </c>
      <c r="AH2305">
        <v>214</v>
      </c>
      <c r="AI2305">
        <v>212</v>
      </c>
      <c r="AJ2305">
        <v>2</v>
      </c>
      <c r="AK2305">
        <v>1</v>
      </c>
      <c r="AL2305">
        <v>1</v>
      </c>
      <c r="AM2305">
        <v>99.07</v>
      </c>
      <c r="AN2305">
        <v>10.2583</v>
      </c>
      <c r="AO2305">
        <v>20</v>
      </c>
      <c r="AP2305" s="13">
        <v>45386</v>
      </c>
      <c r="AQ2305">
        <v>1</v>
      </c>
      <c r="AR2305">
        <v>0</v>
      </c>
    </row>
    <row r="2306" spans="1:44" x14ac:dyDescent="0.35">
      <c r="A2306" s="12" t="s">
        <v>3081</v>
      </c>
      <c r="B2306" s="12" t="s">
        <v>1034</v>
      </c>
      <c r="C2306" s="12" t="s">
        <v>1035</v>
      </c>
      <c r="D2306" s="12" t="s">
        <v>64</v>
      </c>
      <c r="E2306" s="12" t="s">
        <v>104</v>
      </c>
      <c r="F2306">
        <v>2</v>
      </c>
      <c r="G2306">
        <v>0</v>
      </c>
      <c r="H2306">
        <v>0</v>
      </c>
      <c r="I2306" s="12" t="s">
        <v>676</v>
      </c>
      <c r="J2306" s="12" t="s">
        <v>677</v>
      </c>
      <c r="K2306" s="12" t="s">
        <v>68</v>
      </c>
      <c r="L2306" s="12" t="s">
        <v>96</v>
      </c>
      <c r="M2306">
        <v>3.57</v>
      </c>
      <c r="N2306" s="12" t="s">
        <v>97</v>
      </c>
      <c r="O2306" s="12" t="s">
        <v>98</v>
      </c>
      <c r="P2306" s="12" t="s">
        <v>72</v>
      </c>
      <c r="Q2306" s="13">
        <v>45371</v>
      </c>
      <c r="R2306" s="13">
        <v>45386</v>
      </c>
      <c r="S2306">
        <v>2024</v>
      </c>
      <c r="T2306" s="12" t="s">
        <v>2941</v>
      </c>
      <c r="U2306">
        <v>281</v>
      </c>
      <c r="V2306">
        <v>9.9979999999999993</v>
      </c>
      <c r="W2306">
        <v>70.41</v>
      </c>
      <c r="X2306">
        <v>0</v>
      </c>
      <c r="Y2306">
        <v>0</v>
      </c>
      <c r="Z2306">
        <v>2809.44</v>
      </c>
      <c r="AA2306">
        <v>2879.85</v>
      </c>
      <c r="AB2306" s="12" t="s">
        <v>1626</v>
      </c>
      <c r="AC2306">
        <v>9.9979999999999993</v>
      </c>
      <c r="AD2306">
        <v>1</v>
      </c>
      <c r="AE2306">
        <v>1</v>
      </c>
      <c r="AF2306">
        <v>0</v>
      </c>
      <c r="AG2306">
        <v>2809.44</v>
      </c>
      <c r="AH2306">
        <v>281</v>
      </c>
      <c r="AI2306">
        <v>278</v>
      </c>
      <c r="AJ2306">
        <v>3</v>
      </c>
      <c r="AK2306">
        <v>1</v>
      </c>
      <c r="AL2306">
        <v>1</v>
      </c>
      <c r="AM2306">
        <v>98.93</v>
      </c>
      <c r="AN2306">
        <v>10.3592</v>
      </c>
      <c r="AO2306">
        <v>29.99</v>
      </c>
      <c r="AP2306" s="13">
        <v>45383</v>
      </c>
      <c r="AQ2306">
        <v>-3</v>
      </c>
      <c r="AR2306">
        <v>1</v>
      </c>
    </row>
    <row r="2307" spans="1:44" x14ac:dyDescent="0.35">
      <c r="A2307" s="12" t="s">
        <v>3082</v>
      </c>
      <c r="B2307" s="12" t="s">
        <v>503</v>
      </c>
      <c r="C2307" s="12" t="s">
        <v>504</v>
      </c>
      <c r="D2307" s="12" t="s">
        <v>103</v>
      </c>
      <c r="E2307" s="12" t="s">
        <v>104</v>
      </c>
      <c r="F2307">
        <v>3</v>
      </c>
      <c r="G2307">
        <v>1</v>
      </c>
      <c r="H2307">
        <v>0</v>
      </c>
      <c r="I2307" s="12" t="s">
        <v>209</v>
      </c>
      <c r="J2307" s="12" t="s">
        <v>210</v>
      </c>
      <c r="K2307" s="12" t="s">
        <v>133</v>
      </c>
      <c r="L2307" s="12" t="s">
        <v>96</v>
      </c>
      <c r="M2307">
        <v>7.82</v>
      </c>
      <c r="N2307" s="12" t="s">
        <v>107</v>
      </c>
      <c r="O2307" s="12" t="s">
        <v>108</v>
      </c>
      <c r="P2307" s="12" t="s">
        <v>109</v>
      </c>
      <c r="Q2307" s="13">
        <v>45371</v>
      </c>
      <c r="R2307" s="13">
        <v>45396</v>
      </c>
      <c r="S2307">
        <v>2024</v>
      </c>
      <c r="T2307" s="12" t="s">
        <v>2941</v>
      </c>
      <c r="U2307">
        <v>112</v>
      </c>
      <c r="V2307">
        <v>156.6559</v>
      </c>
      <c r="W2307">
        <v>419.09</v>
      </c>
      <c r="X2307">
        <v>0</v>
      </c>
      <c r="Y2307">
        <v>0</v>
      </c>
      <c r="Z2307">
        <v>17545.46</v>
      </c>
      <c r="AA2307">
        <v>17964.55</v>
      </c>
      <c r="AB2307" s="12" t="s">
        <v>3083</v>
      </c>
      <c r="AC2307">
        <v>156.6559</v>
      </c>
      <c r="AD2307">
        <v>1</v>
      </c>
      <c r="AE2307">
        <v>1</v>
      </c>
      <c r="AF2307">
        <v>0</v>
      </c>
      <c r="AG2307">
        <v>17545.46</v>
      </c>
      <c r="AH2307">
        <v>112</v>
      </c>
      <c r="AI2307">
        <v>112</v>
      </c>
      <c r="AJ2307">
        <v>0</v>
      </c>
      <c r="AK2307">
        <v>1</v>
      </c>
      <c r="AL2307">
        <v>1</v>
      </c>
      <c r="AM2307">
        <v>100</v>
      </c>
      <c r="AN2307">
        <v>160.39779999999999</v>
      </c>
      <c r="AO2307">
        <v>0</v>
      </c>
      <c r="AP2307" s="13">
        <v>45399</v>
      </c>
      <c r="AQ2307">
        <v>3</v>
      </c>
      <c r="AR2307">
        <v>0</v>
      </c>
    </row>
    <row r="2308" spans="1:44" x14ac:dyDescent="0.35">
      <c r="A2308" s="12" t="s">
        <v>3084</v>
      </c>
      <c r="B2308" s="12" t="s">
        <v>395</v>
      </c>
      <c r="C2308" s="12" t="s">
        <v>396</v>
      </c>
      <c r="D2308" s="12" t="s">
        <v>130</v>
      </c>
      <c r="E2308" s="12" t="s">
        <v>104</v>
      </c>
      <c r="F2308">
        <v>3</v>
      </c>
      <c r="G2308">
        <v>1</v>
      </c>
      <c r="H2308">
        <v>0</v>
      </c>
      <c r="I2308" s="12" t="s">
        <v>341</v>
      </c>
      <c r="J2308" s="12" t="s">
        <v>342</v>
      </c>
      <c r="K2308" s="12" t="s">
        <v>117</v>
      </c>
      <c r="L2308" s="12" t="s">
        <v>82</v>
      </c>
      <c r="M2308">
        <v>18.36</v>
      </c>
      <c r="N2308" s="12" t="s">
        <v>159</v>
      </c>
      <c r="O2308" s="12" t="s">
        <v>160</v>
      </c>
      <c r="P2308" s="12" t="s">
        <v>137</v>
      </c>
      <c r="Q2308" s="13">
        <v>45371</v>
      </c>
      <c r="R2308" s="13">
        <v>45386</v>
      </c>
      <c r="S2308">
        <v>2024</v>
      </c>
      <c r="T2308" s="12" t="s">
        <v>2941</v>
      </c>
      <c r="U2308">
        <v>36</v>
      </c>
      <c r="V2308">
        <v>174.20429999999999</v>
      </c>
      <c r="W2308">
        <v>150.13999999999999</v>
      </c>
      <c r="X2308">
        <v>0</v>
      </c>
      <c r="Y2308">
        <v>0</v>
      </c>
      <c r="Z2308">
        <v>6271.35</v>
      </c>
      <c r="AA2308">
        <v>6421.49</v>
      </c>
      <c r="AB2308" s="12" t="s">
        <v>2742</v>
      </c>
      <c r="AC2308">
        <v>174.20429999999999</v>
      </c>
      <c r="AD2308">
        <v>1</v>
      </c>
      <c r="AE2308">
        <v>1</v>
      </c>
      <c r="AF2308">
        <v>0</v>
      </c>
      <c r="AG2308">
        <v>6271.35</v>
      </c>
      <c r="AH2308">
        <v>36</v>
      </c>
      <c r="AI2308">
        <v>36</v>
      </c>
      <c r="AJ2308">
        <v>0</v>
      </c>
      <c r="AK2308">
        <v>1</v>
      </c>
      <c r="AL2308">
        <v>1</v>
      </c>
      <c r="AM2308">
        <v>100</v>
      </c>
      <c r="AN2308">
        <v>178.3749</v>
      </c>
      <c r="AO2308">
        <v>0</v>
      </c>
      <c r="AP2308" s="13">
        <v>45390</v>
      </c>
      <c r="AQ2308">
        <v>4</v>
      </c>
      <c r="AR2308">
        <v>0</v>
      </c>
    </row>
    <row r="2309" spans="1:44" x14ac:dyDescent="0.35">
      <c r="A2309" s="12" t="s">
        <v>3085</v>
      </c>
      <c r="B2309" s="12" t="s">
        <v>555</v>
      </c>
      <c r="C2309" s="12" t="s">
        <v>556</v>
      </c>
      <c r="D2309" s="12" t="s">
        <v>114</v>
      </c>
      <c r="E2309" s="12" t="s">
        <v>142</v>
      </c>
      <c r="F2309">
        <v>1</v>
      </c>
      <c r="G2309">
        <v>6</v>
      </c>
      <c r="H2309">
        <v>1</v>
      </c>
      <c r="I2309" s="12" t="s">
        <v>151</v>
      </c>
      <c r="J2309" s="12" t="s">
        <v>152</v>
      </c>
      <c r="K2309" s="12" t="s">
        <v>125</v>
      </c>
      <c r="L2309" s="12" t="s">
        <v>69</v>
      </c>
      <c r="M2309">
        <v>36.479999999999997</v>
      </c>
      <c r="N2309" s="12" t="s">
        <v>70</v>
      </c>
      <c r="O2309" s="12" t="s">
        <v>71</v>
      </c>
      <c r="P2309" s="12" t="s">
        <v>72</v>
      </c>
      <c r="Q2309" s="13">
        <v>45371</v>
      </c>
      <c r="R2309" s="13">
        <v>45412</v>
      </c>
      <c r="S2309">
        <v>2024</v>
      </c>
      <c r="T2309" s="12" t="s">
        <v>2941</v>
      </c>
      <c r="U2309">
        <v>60</v>
      </c>
      <c r="V2309">
        <v>278.31920000000002</v>
      </c>
      <c r="W2309">
        <v>231.18</v>
      </c>
      <c r="X2309">
        <v>0</v>
      </c>
      <c r="Y2309">
        <v>0</v>
      </c>
      <c r="Z2309">
        <v>16699.150000000001</v>
      </c>
      <c r="AA2309">
        <v>16930.330000000002</v>
      </c>
      <c r="AB2309" s="12" t="s">
        <v>2922</v>
      </c>
      <c r="AC2309">
        <v>278.31920000000002</v>
      </c>
      <c r="AD2309">
        <v>1</v>
      </c>
      <c r="AE2309">
        <v>1</v>
      </c>
      <c r="AF2309">
        <v>0</v>
      </c>
      <c r="AG2309">
        <v>16699.150000000001</v>
      </c>
      <c r="AH2309">
        <v>60</v>
      </c>
      <c r="AI2309">
        <v>59</v>
      </c>
      <c r="AJ2309">
        <v>1</v>
      </c>
      <c r="AK2309">
        <v>1</v>
      </c>
      <c r="AL2309">
        <v>1</v>
      </c>
      <c r="AM2309">
        <v>98.33</v>
      </c>
      <c r="AN2309">
        <v>286.95479999999998</v>
      </c>
      <c r="AO2309">
        <v>278.32</v>
      </c>
      <c r="AP2309" s="13">
        <v>45417</v>
      </c>
      <c r="AQ2309">
        <v>5</v>
      </c>
      <c r="AR2309">
        <v>0</v>
      </c>
    </row>
    <row r="2310" spans="1:44" x14ac:dyDescent="0.35">
      <c r="A2310" s="12" t="s">
        <v>3086</v>
      </c>
      <c r="B2310" s="12" t="s">
        <v>617</v>
      </c>
      <c r="C2310" s="12" t="s">
        <v>618</v>
      </c>
      <c r="D2310" s="12" t="s">
        <v>78</v>
      </c>
      <c r="E2310" s="12" t="s">
        <v>65</v>
      </c>
      <c r="F2310">
        <v>2</v>
      </c>
      <c r="G2310">
        <v>4</v>
      </c>
      <c r="H2310">
        <v>0</v>
      </c>
      <c r="I2310" s="12" t="s">
        <v>209</v>
      </c>
      <c r="J2310" s="12" t="s">
        <v>210</v>
      </c>
      <c r="K2310" s="12" t="s">
        <v>133</v>
      </c>
      <c r="L2310" s="12" t="s">
        <v>96</v>
      </c>
      <c r="M2310">
        <v>7.82</v>
      </c>
      <c r="N2310" s="12" t="s">
        <v>97</v>
      </c>
      <c r="O2310" s="12" t="s">
        <v>98</v>
      </c>
      <c r="P2310" s="12" t="s">
        <v>72</v>
      </c>
      <c r="Q2310" s="13">
        <v>45371</v>
      </c>
      <c r="R2310" s="13">
        <v>45404</v>
      </c>
      <c r="S2310">
        <v>2024</v>
      </c>
      <c r="T2310" s="12" t="s">
        <v>2941</v>
      </c>
      <c r="U2310">
        <v>216</v>
      </c>
      <c r="V2310">
        <v>108.13330000000001</v>
      </c>
      <c r="W2310">
        <v>261.35000000000002</v>
      </c>
      <c r="X2310">
        <v>0</v>
      </c>
      <c r="Y2310">
        <v>0</v>
      </c>
      <c r="Z2310">
        <v>23356.79</v>
      </c>
      <c r="AA2310">
        <v>23618.14</v>
      </c>
      <c r="AB2310" s="12" t="s">
        <v>3087</v>
      </c>
      <c r="AC2310">
        <v>108.13330000000001</v>
      </c>
      <c r="AD2310">
        <v>1</v>
      </c>
      <c r="AE2310">
        <v>1</v>
      </c>
      <c r="AF2310">
        <v>0</v>
      </c>
      <c r="AG2310">
        <v>23356.79</v>
      </c>
      <c r="AH2310">
        <v>216</v>
      </c>
      <c r="AI2310">
        <v>210</v>
      </c>
      <c r="AJ2310">
        <v>6</v>
      </c>
      <c r="AK2310">
        <v>1</v>
      </c>
      <c r="AL2310">
        <v>1</v>
      </c>
      <c r="AM2310">
        <v>97.22</v>
      </c>
      <c r="AN2310">
        <v>112.46729999999999</v>
      </c>
      <c r="AO2310">
        <v>648.79999999999995</v>
      </c>
      <c r="AP2310" s="13">
        <v>45401</v>
      </c>
      <c r="AQ2310">
        <v>-3</v>
      </c>
      <c r="AR2310">
        <v>1</v>
      </c>
    </row>
    <row r="2311" spans="1:44" x14ac:dyDescent="0.35">
      <c r="A2311" s="12" t="s">
        <v>3088</v>
      </c>
      <c r="B2311" s="12" t="s">
        <v>241</v>
      </c>
      <c r="C2311" s="12" t="s">
        <v>242</v>
      </c>
      <c r="D2311" s="12" t="s">
        <v>103</v>
      </c>
      <c r="E2311" s="12" t="s">
        <v>142</v>
      </c>
      <c r="F2311">
        <v>3</v>
      </c>
      <c r="G2311">
        <v>11</v>
      </c>
      <c r="H2311">
        <v>0</v>
      </c>
      <c r="I2311" s="12" t="s">
        <v>243</v>
      </c>
      <c r="J2311" s="12" t="s">
        <v>244</v>
      </c>
      <c r="K2311" s="12" t="s">
        <v>81</v>
      </c>
      <c r="L2311" s="12" t="s">
        <v>82</v>
      </c>
      <c r="M2311">
        <v>9.2200000000000006</v>
      </c>
      <c r="N2311" s="12" t="s">
        <v>107</v>
      </c>
      <c r="O2311" s="12" t="s">
        <v>108</v>
      </c>
      <c r="P2311" s="12" t="s">
        <v>109</v>
      </c>
      <c r="Q2311" s="13">
        <v>45371</v>
      </c>
      <c r="R2311" s="13">
        <v>45423</v>
      </c>
      <c r="S2311">
        <v>2024</v>
      </c>
      <c r="T2311" s="12" t="s">
        <v>2941</v>
      </c>
      <c r="U2311">
        <v>147</v>
      </c>
      <c r="V2311">
        <v>193.08090000000001</v>
      </c>
      <c r="W2311">
        <v>643.41</v>
      </c>
      <c r="X2311">
        <v>0</v>
      </c>
      <c r="Y2311">
        <v>0</v>
      </c>
      <c r="Z2311">
        <v>28382.89</v>
      </c>
      <c r="AA2311">
        <v>29026.3</v>
      </c>
      <c r="AB2311" s="12" t="s">
        <v>201</v>
      </c>
      <c r="AD2311">
        <v>0</v>
      </c>
      <c r="AE2311">
        <v>0</v>
      </c>
      <c r="AH2311">
        <v>147</v>
      </c>
      <c r="AI2311">
        <v>146</v>
      </c>
      <c r="AJ2311">
        <v>1</v>
      </c>
      <c r="AK2311">
        <v>1</v>
      </c>
      <c r="AL2311">
        <v>1</v>
      </c>
      <c r="AM2311">
        <v>99.32</v>
      </c>
      <c r="AN2311">
        <v>198.81030000000001</v>
      </c>
      <c r="AO2311">
        <v>193.08</v>
      </c>
      <c r="AP2311" s="13">
        <v>45429</v>
      </c>
      <c r="AQ2311">
        <v>6</v>
      </c>
      <c r="AR2311">
        <v>0</v>
      </c>
    </row>
    <row r="2312" spans="1:44" x14ac:dyDescent="0.35">
      <c r="A2312" s="12" t="s">
        <v>3089</v>
      </c>
      <c r="B2312" s="12" t="s">
        <v>1666</v>
      </c>
      <c r="C2312" s="12" t="s">
        <v>1667</v>
      </c>
      <c r="D2312" s="12" t="s">
        <v>78</v>
      </c>
      <c r="E2312" s="12" t="s">
        <v>65</v>
      </c>
      <c r="F2312">
        <v>2</v>
      </c>
      <c r="G2312">
        <v>3</v>
      </c>
      <c r="H2312">
        <v>0</v>
      </c>
      <c r="I2312" s="12" t="s">
        <v>310</v>
      </c>
      <c r="J2312" s="12" t="s">
        <v>311</v>
      </c>
      <c r="K2312" s="12" t="s">
        <v>81</v>
      </c>
      <c r="L2312" s="12" t="s">
        <v>69</v>
      </c>
      <c r="M2312">
        <v>28.3</v>
      </c>
      <c r="N2312" s="12" t="s">
        <v>70</v>
      </c>
      <c r="O2312" s="12" t="s">
        <v>71</v>
      </c>
      <c r="P2312" s="12" t="s">
        <v>72</v>
      </c>
      <c r="Q2312" s="13">
        <v>45371</v>
      </c>
      <c r="R2312" s="13">
        <v>45405</v>
      </c>
      <c r="S2312">
        <v>2024</v>
      </c>
      <c r="T2312" s="12" t="s">
        <v>2941</v>
      </c>
      <c r="U2312">
        <v>228</v>
      </c>
      <c r="V2312">
        <v>73.412099999999995</v>
      </c>
      <c r="W2312">
        <v>420.47</v>
      </c>
      <c r="X2312">
        <v>0</v>
      </c>
      <c r="Y2312">
        <v>0</v>
      </c>
      <c r="Z2312">
        <v>16737.96</v>
      </c>
      <c r="AA2312">
        <v>17158.43</v>
      </c>
      <c r="AB2312" s="12" t="s">
        <v>3090</v>
      </c>
      <c r="AC2312">
        <v>73.412099999999995</v>
      </c>
      <c r="AD2312">
        <v>1</v>
      </c>
      <c r="AE2312">
        <v>1</v>
      </c>
      <c r="AF2312">
        <v>0</v>
      </c>
      <c r="AG2312">
        <v>16737.96</v>
      </c>
      <c r="AH2312">
        <v>228</v>
      </c>
      <c r="AI2312">
        <v>226</v>
      </c>
      <c r="AJ2312">
        <v>2</v>
      </c>
      <c r="AK2312">
        <v>1</v>
      </c>
      <c r="AL2312">
        <v>1</v>
      </c>
      <c r="AM2312">
        <v>99.12</v>
      </c>
      <c r="AN2312">
        <v>75.922300000000007</v>
      </c>
      <c r="AO2312">
        <v>146.82</v>
      </c>
      <c r="AP2312" s="13">
        <v>45404</v>
      </c>
      <c r="AQ2312">
        <v>-1</v>
      </c>
      <c r="AR2312">
        <v>1</v>
      </c>
    </row>
    <row r="2313" spans="1:44" x14ac:dyDescent="0.35">
      <c r="A2313" s="12" t="s">
        <v>3091</v>
      </c>
      <c r="B2313" s="12" t="s">
        <v>267</v>
      </c>
      <c r="C2313" s="12" t="s">
        <v>268</v>
      </c>
      <c r="D2313" s="12" t="s">
        <v>269</v>
      </c>
      <c r="E2313" s="12" t="s">
        <v>142</v>
      </c>
      <c r="F2313">
        <v>1</v>
      </c>
      <c r="G2313">
        <v>8</v>
      </c>
      <c r="H2313">
        <v>1</v>
      </c>
      <c r="I2313" s="12" t="s">
        <v>94</v>
      </c>
      <c r="J2313" s="12" t="s">
        <v>95</v>
      </c>
      <c r="K2313" s="12" t="s">
        <v>81</v>
      </c>
      <c r="L2313" s="12" t="s">
        <v>96</v>
      </c>
      <c r="M2313">
        <v>4.8099999999999996</v>
      </c>
      <c r="N2313" s="12" t="s">
        <v>135</v>
      </c>
      <c r="O2313" s="12" t="s">
        <v>136</v>
      </c>
      <c r="P2313" s="12" t="s">
        <v>137</v>
      </c>
      <c r="Q2313" s="13">
        <v>45371</v>
      </c>
      <c r="R2313" s="13">
        <v>45408</v>
      </c>
      <c r="S2313">
        <v>2024</v>
      </c>
      <c r="T2313" s="12" t="s">
        <v>2941</v>
      </c>
      <c r="U2313">
        <v>31</v>
      </c>
      <c r="V2313">
        <v>225.02719999999999</v>
      </c>
      <c r="W2313">
        <v>53.66</v>
      </c>
      <c r="X2313">
        <v>0</v>
      </c>
      <c r="Y2313">
        <v>0</v>
      </c>
      <c r="Z2313">
        <v>6975.84</v>
      </c>
      <c r="AA2313">
        <v>7029.5</v>
      </c>
      <c r="AB2313" s="12" t="s">
        <v>2878</v>
      </c>
      <c r="AC2313">
        <v>225.02719999999999</v>
      </c>
      <c r="AD2313">
        <v>1</v>
      </c>
      <c r="AE2313">
        <v>1</v>
      </c>
      <c r="AF2313">
        <v>0</v>
      </c>
      <c r="AG2313">
        <v>6975.84</v>
      </c>
      <c r="AH2313">
        <v>31</v>
      </c>
      <c r="AI2313">
        <v>31</v>
      </c>
      <c r="AJ2313">
        <v>0</v>
      </c>
      <c r="AK2313">
        <v>1</v>
      </c>
      <c r="AL2313">
        <v>1</v>
      </c>
      <c r="AM2313">
        <v>100</v>
      </c>
      <c r="AN2313">
        <v>226.75819999999999</v>
      </c>
      <c r="AO2313">
        <v>0</v>
      </c>
      <c r="AP2313" s="13">
        <v>45408</v>
      </c>
      <c r="AQ2313">
        <v>0</v>
      </c>
      <c r="AR2313">
        <v>1</v>
      </c>
    </row>
    <row r="2314" spans="1:44" x14ac:dyDescent="0.35">
      <c r="A2314" s="12" t="s">
        <v>3092</v>
      </c>
      <c r="B2314" s="12" t="s">
        <v>902</v>
      </c>
      <c r="C2314" s="12" t="s">
        <v>903</v>
      </c>
      <c r="D2314" s="12" t="s">
        <v>122</v>
      </c>
      <c r="E2314" s="12" t="s">
        <v>142</v>
      </c>
      <c r="F2314">
        <v>1</v>
      </c>
      <c r="G2314">
        <v>6</v>
      </c>
      <c r="H2314">
        <v>1</v>
      </c>
      <c r="I2314" s="12" t="s">
        <v>105</v>
      </c>
      <c r="J2314" s="12" t="s">
        <v>106</v>
      </c>
      <c r="K2314" s="12" t="s">
        <v>81</v>
      </c>
      <c r="L2314" s="12" t="s">
        <v>96</v>
      </c>
      <c r="M2314">
        <v>5.01</v>
      </c>
      <c r="N2314" s="12" t="s">
        <v>97</v>
      </c>
      <c r="O2314" s="12" t="s">
        <v>98</v>
      </c>
      <c r="P2314" s="12" t="s">
        <v>72</v>
      </c>
      <c r="Q2314" s="13">
        <v>45371</v>
      </c>
      <c r="R2314" s="13">
        <v>45415</v>
      </c>
      <c r="S2314">
        <v>2024</v>
      </c>
      <c r="T2314" s="12" t="s">
        <v>2941</v>
      </c>
      <c r="U2314">
        <v>1141</v>
      </c>
      <c r="V2314">
        <v>41.861199999999997</v>
      </c>
      <c r="W2314">
        <v>298.8</v>
      </c>
      <c r="X2314">
        <v>0</v>
      </c>
      <c r="Y2314">
        <v>0</v>
      </c>
      <c r="Z2314">
        <v>47763.63</v>
      </c>
      <c r="AA2314">
        <v>48062.43</v>
      </c>
      <c r="AB2314" s="12" t="s">
        <v>904</v>
      </c>
      <c r="AC2314">
        <v>41.861199999999997</v>
      </c>
      <c r="AD2314">
        <v>1</v>
      </c>
      <c r="AE2314">
        <v>1</v>
      </c>
      <c r="AF2314">
        <v>0</v>
      </c>
      <c r="AG2314">
        <v>47763.63</v>
      </c>
      <c r="AH2314">
        <v>1141</v>
      </c>
      <c r="AI2314">
        <v>1128</v>
      </c>
      <c r="AJ2314">
        <v>13</v>
      </c>
      <c r="AK2314">
        <v>1</v>
      </c>
      <c r="AL2314">
        <v>1</v>
      </c>
      <c r="AM2314">
        <v>98.86</v>
      </c>
      <c r="AN2314">
        <v>42.608499999999999</v>
      </c>
      <c r="AO2314">
        <v>544.20000000000005</v>
      </c>
      <c r="AP2314" s="13">
        <v>45413</v>
      </c>
      <c r="AQ2314">
        <v>-2</v>
      </c>
      <c r="AR2314">
        <v>1</v>
      </c>
    </row>
    <row r="2315" spans="1:44" x14ac:dyDescent="0.35">
      <c r="A2315" s="12" t="s">
        <v>3093</v>
      </c>
      <c r="B2315" s="12" t="s">
        <v>498</v>
      </c>
      <c r="C2315" s="12" t="s">
        <v>499</v>
      </c>
      <c r="D2315" s="12" t="s">
        <v>175</v>
      </c>
      <c r="E2315" s="12" t="s">
        <v>104</v>
      </c>
      <c r="F2315">
        <v>3</v>
      </c>
      <c r="G2315">
        <v>1</v>
      </c>
      <c r="H2315">
        <v>0</v>
      </c>
      <c r="I2315" s="12" t="s">
        <v>233</v>
      </c>
      <c r="J2315" s="12" t="s">
        <v>234</v>
      </c>
      <c r="K2315" s="12" t="s">
        <v>125</v>
      </c>
      <c r="L2315" s="12" t="s">
        <v>96</v>
      </c>
      <c r="M2315">
        <v>3.73</v>
      </c>
      <c r="N2315" s="12" t="s">
        <v>107</v>
      </c>
      <c r="O2315" s="12" t="s">
        <v>108</v>
      </c>
      <c r="P2315" s="12" t="s">
        <v>109</v>
      </c>
      <c r="Q2315" s="13">
        <v>45371</v>
      </c>
      <c r="R2315" s="13">
        <v>45398</v>
      </c>
      <c r="S2315">
        <v>2024</v>
      </c>
      <c r="T2315" s="12" t="s">
        <v>2941</v>
      </c>
      <c r="U2315">
        <v>131</v>
      </c>
      <c r="V2315">
        <v>268.74209999999999</v>
      </c>
      <c r="W2315">
        <v>804.72</v>
      </c>
      <c r="X2315">
        <v>0</v>
      </c>
      <c r="Y2315">
        <v>0</v>
      </c>
      <c r="Z2315">
        <v>35205.22</v>
      </c>
      <c r="AA2315">
        <v>36009.94</v>
      </c>
      <c r="AB2315" s="12" t="s">
        <v>3032</v>
      </c>
      <c r="AC2315">
        <v>268.74209999999999</v>
      </c>
      <c r="AD2315">
        <v>1</v>
      </c>
      <c r="AE2315">
        <v>1</v>
      </c>
      <c r="AF2315">
        <v>0</v>
      </c>
      <c r="AG2315">
        <v>35205.22</v>
      </c>
      <c r="AH2315">
        <v>131</v>
      </c>
      <c r="AI2315">
        <v>129</v>
      </c>
      <c r="AJ2315">
        <v>2</v>
      </c>
      <c r="AK2315">
        <v>1</v>
      </c>
      <c r="AL2315">
        <v>1</v>
      </c>
      <c r="AM2315">
        <v>98.47</v>
      </c>
      <c r="AN2315">
        <v>279.14679999999998</v>
      </c>
      <c r="AO2315">
        <v>537.48</v>
      </c>
      <c r="AP2315" s="13">
        <v>45397</v>
      </c>
      <c r="AQ2315">
        <v>-1</v>
      </c>
      <c r="AR2315">
        <v>1</v>
      </c>
    </row>
    <row r="2316" spans="1:44" x14ac:dyDescent="0.35">
      <c r="A2316" s="12" t="s">
        <v>3094</v>
      </c>
      <c r="B2316" s="12" t="s">
        <v>537</v>
      </c>
      <c r="C2316" s="12" t="s">
        <v>538</v>
      </c>
      <c r="D2316" s="12" t="s">
        <v>103</v>
      </c>
      <c r="E2316" s="12" t="s">
        <v>104</v>
      </c>
      <c r="F2316">
        <v>3</v>
      </c>
      <c r="G2316">
        <v>0</v>
      </c>
      <c r="H2316">
        <v>0</v>
      </c>
      <c r="I2316" s="12" t="s">
        <v>380</v>
      </c>
      <c r="J2316" s="12" t="s">
        <v>381</v>
      </c>
      <c r="K2316" s="12" t="s">
        <v>89</v>
      </c>
      <c r="L2316" s="12" t="s">
        <v>96</v>
      </c>
      <c r="M2316">
        <v>10.210000000000001</v>
      </c>
      <c r="N2316" s="12" t="s">
        <v>107</v>
      </c>
      <c r="O2316" s="12" t="s">
        <v>108</v>
      </c>
      <c r="P2316" s="12" t="s">
        <v>109</v>
      </c>
      <c r="Q2316" s="13">
        <v>45372</v>
      </c>
      <c r="R2316" s="13">
        <v>45387</v>
      </c>
      <c r="S2316">
        <v>2024</v>
      </c>
      <c r="T2316" s="12" t="s">
        <v>2941</v>
      </c>
      <c r="U2316">
        <v>35</v>
      </c>
      <c r="V2316">
        <v>242.5198</v>
      </c>
      <c r="W2316">
        <v>139.35</v>
      </c>
      <c r="X2316">
        <v>0</v>
      </c>
      <c r="Y2316">
        <v>0</v>
      </c>
      <c r="Z2316">
        <v>8488.19</v>
      </c>
      <c r="AA2316">
        <v>8627.5400000000009</v>
      </c>
      <c r="AB2316" s="12" t="s">
        <v>3095</v>
      </c>
      <c r="AC2316">
        <v>242.5198</v>
      </c>
      <c r="AD2316">
        <v>1</v>
      </c>
      <c r="AE2316">
        <v>1</v>
      </c>
      <c r="AF2316">
        <v>0</v>
      </c>
      <c r="AG2316">
        <v>8488.19</v>
      </c>
      <c r="AH2316">
        <v>35</v>
      </c>
      <c r="AI2316">
        <v>35</v>
      </c>
      <c r="AJ2316">
        <v>0</v>
      </c>
      <c r="AK2316">
        <v>1</v>
      </c>
      <c r="AL2316">
        <v>1</v>
      </c>
      <c r="AM2316">
        <v>100</v>
      </c>
      <c r="AN2316">
        <v>246.50120000000001</v>
      </c>
      <c r="AO2316">
        <v>0</v>
      </c>
      <c r="AP2316" s="13">
        <v>45386</v>
      </c>
      <c r="AQ2316">
        <v>-1</v>
      </c>
      <c r="AR2316">
        <v>1</v>
      </c>
    </row>
    <row r="2317" spans="1:44" x14ac:dyDescent="0.35">
      <c r="A2317" s="12" t="s">
        <v>3096</v>
      </c>
      <c r="B2317" s="12" t="s">
        <v>613</v>
      </c>
      <c r="C2317" s="12" t="s">
        <v>614</v>
      </c>
      <c r="D2317" s="12" t="s">
        <v>130</v>
      </c>
      <c r="E2317" s="12" t="s">
        <v>104</v>
      </c>
      <c r="F2317">
        <v>3</v>
      </c>
      <c r="G2317">
        <v>1</v>
      </c>
      <c r="H2317">
        <v>0</v>
      </c>
      <c r="I2317" s="12" t="s">
        <v>66</v>
      </c>
      <c r="J2317" s="12" t="s">
        <v>67</v>
      </c>
      <c r="K2317" s="12" t="s">
        <v>68</v>
      </c>
      <c r="L2317" s="12" t="s">
        <v>69</v>
      </c>
      <c r="M2317">
        <v>17.66</v>
      </c>
      <c r="N2317" s="12" t="s">
        <v>135</v>
      </c>
      <c r="O2317" s="12" t="s">
        <v>136</v>
      </c>
      <c r="P2317" s="12" t="s">
        <v>137</v>
      </c>
      <c r="Q2317" s="13">
        <v>45372</v>
      </c>
      <c r="R2317" s="13">
        <v>45400</v>
      </c>
      <c r="S2317">
        <v>2024</v>
      </c>
      <c r="T2317" s="12" t="s">
        <v>2941</v>
      </c>
      <c r="U2317">
        <v>136</v>
      </c>
      <c r="V2317">
        <v>173.59219999999999</v>
      </c>
      <c r="W2317">
        <v>542.38</v>
      </c>
      <c r="X2317">
        <v>0</v>
      </c>
      <c r="Y2317">
        <v>0</v>
      </c>
      <c r="Z2317">
        <v>23608.54</v>
      </c>
      <c r="AA2317">
        <v>24150.92</v>
      </c>
      <c r="AB2317" s="12" t="s">
        <v>3097</v>
      </c>
      <c r="AC2317">
        <v>173.59219999999999</v>
      </c>
      <c r="AD2317">
        <v>1</v>
      </c>
      <c r="AE2317">
        <v>1</v>
      </c>
      <c r="AF2317">
        <v>0</v>
      </c>
      <c r="AG2317">
        <v>23608.54</v>
      </c>
      <c r="AH2317">
        <v>136</v>
      </c>
      <c r="AI2317">
        <v>134</v>
      </c>
      <c r="AJ2317">
        <v>2</v>
      </c>
      <c r="AK2317">
        <v>1</v>
      </c>
      <c r="AL2317">
        <v>1</v>
      </c>
      <c r="AM2317">
        <v>98.53</v>
      </c>
      <c r="AN2317">
        <v>180.23070000000001</v>
      </c>
      <c r="AO2317">
        <v>347.18</v>
      </c>
      <c r="AP2317" s="13">
        <v>45398</v>
      </c>
      <c r="AQ2317">
        <v>-2</v>
      </c>
      <c r="AR2317">
        <v>1</v>
      </c>
    </row>
    <row r="2318" spans="1:44" x14ac:dyDescent="0.35">
      <c r="A2318" s="12" t="s">
        <v>3098</v>
      </c>
      <c r="B2318" s="12" t="s">
        <v>613</v>
      </c>
      <c r="C2318" s="12" t="s">
        <v>614</v>
      </c>
      <c r="D2318" s="12" t="s">
        <v>130</v>
      </c>
      <c r="E2318" s="12" t="s">
        <v>104</v>
      </c>
      <c r="F2318">
        <v>3</v>
      </c>
      <c r="G2318">
        <v>1</v>
      </c>
      <c r="H2318">
        <v>0</v>
      </c>
      <c r="I2318" s="12" t="s">
        <v>66</v>
      </c>
      <c r="J2318" s="12" t="s">
        <v>67</v>
      </c>
      <c r="K2318" s="12" t="s">
        <v>68</v>
      </c>
      <c r="L2318" s="12" t="s">
        <v>69</v>
      </c>
      <c r="M2318">
        <v>17.66</v>
      </c>
      <c r="N2318" s="12" t="s">
        <v>135</v>
      </c>
      <c r="O2318" s="12" t="s">
        <v>136</v>
      </c>
      <c r="P2318" s="12" t="s">
        <v>137</v>
      </c>
      <c r="Q2318" s="13">
        <v>45372</v>
      </c>
      <c r="R2318" s="13">
        <v>45390</v>
      </c>
      <c r="S2318">
        <v>2024</v>
      </c>
      <c r="T2318" s="12" t="s">
        <v>2941</v>
      </c>
      <c r="U2318">
        <v>61</v>
      </c>
      <c r="V2318">
        <v>173.59219999999999</v>
      </c>
      <c r="W2318">
        <v>160.30000000000001</v>
      </c>
      <c r="X2318">
        <v>0</v>
      </c>
      <c r="Y2318">
        <v>0</v>
      </c>
      <c r="Z2318">
        <v>10589.12</v>
      </c>
      <c r="AA2318">
        <v>10749.42</v>
      </c>
      <c r="AB2318" s="12" t="s">
        <v>3097</v>
      </c>
      <c r="AC2318">
        <v>173.59219999999999</v>
      </c>
      <c r="AD2318">
        <v>1</v>
      </c>
      <c r="AE2318">
        <v>1</v>
      </c>
      <c r="AF2318">
        <v>0</v>
      </c>
      <c r="AG2318">
        <v>10589.12</v>
      </c>
      <c r="AH2318">
        <v>61</v>
      </c>
      <c r="AI2318">
        <v>61</v>
      </c>
      <c r="AJ2318">
        <v>0</v>
      </c>
      <c r="AK2318">
        <v>1</v>
      </c>
      <c r="AL2318">
        <v>1</v>
      </c>
      <c r="AM2318">
        <v>100</v>
      </c>
      <c r="AN2318">
        <v>176.2201</v>
      </c>
      <c r="AO2318">
        <v>0</v>
      </c>
      <c r="AP2318" s="13">
        <v>45389</v>
      </c>
      <c r="AQ2318">
        <v>-1</v>
      </c>
      <c r="AR2318">
        <v>1</v>
      </c>
    </row>
    <row r="2319" spans="1:44" x14ac:dyDescent="0.35">
      <c r="A2319" s="12" t="s">
        <v>3099</v>
      </c>
      <c r="B2319" s="12" t="s">
        <v>308</v>
      </c>
      <c r="C2319" s="12" t="s">
        <v>309</v>
      </c>
      <c r="D2319" s="12" t="s">
        <v>122</v>
      </c>
      <c r="E2319" s="12" t="s">
        <v>142</v>
      </c>
      <c r="F2319">
        <v>1</v>
      </c>
      <c r="G2319">
        <v>6</v>
      </c>
      <c r="H2319">
        <v>1</v>
      </c>
      <c r="I2319" s="12" t="s">
        <v>310</v>
      </c>
      <c r="J2319" s="12" t="s">
        <v>311</v>
      </c>
      <c r="K2319" s="12" t="s">
        <v>81</v>
      </c>
      <c r="L2319" s="12" t="s">
        <v>69</v>
      </c>
      <c r="M2319">
        <v>28.3</v>
      </c>
      <c r="N2319" s="12" t="s">
        <v>97</v>
      </c>
      <c r="O2319" s="12" t="s">
        <v>98</v>
      </c>
      <c r="P2319" s="12" t="s">
        <v>72</v>
      </c>
      <c r="Q2319" s="13">
        <v>45372</v>
      </c>
      <c r="R2319" s="13">
        <v>45421</v>
      </c>
      <c r="S2319">
        <v>2024</v>
      </c>
      <c r="T2319" s="12" t="s">
        <v>2941</v>
      </c>
      <c r="U2319">
        <v>1695</v>
      </c>
      <c r="V2319">
        <v>54.706800000000001</v>
      </c>
      <c r="W2319">
        <v>770.44</v>
      </c>
      <c r="X2319">
        <v>0</v>
      </c>
      <c r="Y2319">
        <v>0</v>
      </c>
      <c r="Z2319">
        <v>92728.03</v>
      </c>
      <c r="AA2319">
        <v>93498.47</v>
      </c>
      <c r="AB2319" s="12" t="s">
        <v>2726</v>
      </c>
      <c r="AC2319">
        <v>58.086399999999998</v>
      </c>
      <c r="AD2319">
        <v>1</v>
      </c>
      <c r="AE2319">
        <v>1</v>
      </c>
      <c r="AF2319">
        <v>-5728.42</v>
      </c>
      <c r="AG2319">
        <v>98456.45</v>
      </c>
      <c r="AH2319">
        <v>1695</v>
      </c>
      <c r="AI2319">
        <v>1691</v>
      </c>
      <c r="AJ2319">
        <v>4</v>
      </c>
      <c r="AK2319">
        <v>1</v>
      </c>
      <c r="AL2319">
        <v>1</v>
      </c>
      <c r="AM2319">
        <v>99.76</v>
      </c>
      <c r="AN2319">
        <v>55.291800000000002</v>
      </c>
      <c r="AO2319">
        <v>218.83</v>
      </c>
      <c r="AP2319" s="13">
        <v>45418</v>
      </c>
      <c r="AQ2319">
        <v>-3</v>
      </c>
      <c r="AR2319">
        <v>1</v>
      </c>
    </row>
    <row r="2320" spans="1:44" x14ac:dyDescent="0.35">
      <c r="A2320" s="12" t="s">
        <v>3100</v>
      </c>
      <c r="B2320" s="12" t="s">
        <v>465</v>
      </c>
      <c r="C2320" s="12" t="s">
        <v>466</v>
      </c>
      <c r="D2320" s="12" t="s">
        <v>78</v>
      </c>
      <c r="E2320" s="12" t="s">
        <v>142</v>
      </c>
      <c r="F2320">
        <v>3</v>
      </c>
      <c r="G2320">
        <v>11</v>
      </c>
      <c r="H2320">
        <v>0</v>
      </c>
      <c r="I2320" s="12" t="s">
        <v>195</v>
      </c>
      <c r="J2320" s="12" t="s">
        <v>196</v>
      </c>
      <c r="K2320" s="12" t="s">
        <v>117</v>
      </c>
      <c r="L2320" s="12" t="s">
        <v>134</v>
      </c>
      <c r="M2320">
        <v>4.7699999999999996</v>
      </c>
      <c r="N2320" s="12" t="s">
        <v>70</v>
      </c>
      <c r="O2320" s="12" t="s">
        <v>71</v>
      </c>
      <c r="P2320" s="12" t="s">
        <v>72</v>
      </c>
      <c r="Q2320" s="13">
        <v>45372</v>
      </c>
      <c r="R2320" s="13">
        <v>45410</v>
      </c>
      <c r="S2320">
        <v>2024</v>
      </c>
      <c r="T2320" s="12" t="s">
        <v>2941</v>
      </c>
      <c r="U2320">
        <v>97</v>
      </c>
      <c r="V2320">
        <v>107.81189999999999</v>
      </c>
      <c r="W2320">
        <v>74.209999999999994</v>
      </c>
      <c r="X2320">
        <v>0</v>
      </c>
      <c r="Y2320">
        <v>0</v>
      </c>
      <c r="Z2320">
        <v>10457.75</v>
      </c>
      <c r="AA2320">
        <v>10531.96</v>
      </c>
      <c r="AB2320" s="12" t="s">
        <v>3058</v>
      </c>
      <c r="AC2320">
        <v>107.81189999999999</v>
      </c>
      <c r="AD2320">
        <v>1</v>
      </c>
      <c r="AE2320">
        <v>1</v>
      </c>
      <c r="AF2320">
        <v>0</v>
      </c>
      <c r="AG2320">
        <v>10457.75</v>
      </c>
      <c r="AH2320">
        <v>97</v>
      </c>
      <c r="AI2320">
        <v>96</v>
      </c>
      <c r="AJ2320">
        <v>1</v>
      </c>
      <c r="AK2320">
        <v>1</v>
      </c>
      <c r="AL2320">
        <v>1</v>
      </c>
      <c r="AM2320">
        <v>98.97</v>
      </c>
      <c r="AN2320">
        <v>109.708</v>
      </c>
      <c r="AO2320">
        <v>107.81</v>
      </c>
      <c r="AP2320" s="13">
        <v>45410</v>
      </c>
      <c r="AQ2320">
        <v>0</v>
      </c>
      <c r="AR2320">
        <v>1</v>
      </c>
    </row>
    <row r="2321" spans="1:44" x14ac:dyDescent="0.35">
      <c r="A2321" s="12" t="s">
        <v>3101</v>
      </c>
      <c r="B2321" s="12" t="s">
        <v>598</v>
      </c>
      <c r="C2321" s="12" t="s">
        <v>599</v>
      </c>
      <c r="D2321" s="12" t="s">
        <v>269</v>
      </c>
      <c r="E2321" s="12" t="s">
        <v>65</v>
      </c>
      <c r="F2321">
        <v>1</v>
      </c>
      <c r="G2321">
        <v>2</v>
      </c>
      <c r="H2321">
        <v>1</v>
      </c>
      <c r="I2321" s="12" t="s">
        <v>176</v>
      </c>
      <c r="J2321" s="12" t="s">
        <v>177</v>
      </c>
      <c r="K2321" s="12" t="s">
        <v>125</v>
      </c>
      <c r="L2321" s="12" t="s">
        <v>134</v>
      </c>
      <c r="M2321">
        <v>1.75</v>
      </c>
      <c r="N2321" s="12" t="s">
        <v>135</v>
      </c>
      <c r="O2321" s="12" t="s">
        <v>136</v>
      </c>
      <c r="P2321" s="12" t="s">
        <v>137</v>
      </c>
      <c r="Q2321" s="13">
        <v>45372</v>
      </c>
      <c r="R2321" s="13">
        <v>45400</v>
      </c>
      <c r="S2321">
        <v>2024</v>
      </c>
      <c r="T2321" s="12" t="s">
        <v>2941</v>
      </c>
      <c r="U2321">
        <v>64</v>
      </c>
      <c r="V2321">
        <v>454.53089999999997</v>
      </c>
      <c r="W2321">
        <v>470.94</v>
      </c>
      <c r="X2321">
        <v>0</v>
      </c>
      <c r="Y2321">
        <v>0</v>
      </c>
      <c r="Z2321">
        <v>29089.98</v>
      </c>
      <c r="AA2321">
        <v>29560.92</v>
      </c>
      <c r="AB2321" s="12" t="s">
        <v>3102</v>
      </c>
      <c r="AC2321">
        <v>454.53089999999997</v>
      </c>
      <c r="AD2321">
        <v>1</v>
      </c>
      <c r="AE2321">
        <v>1</v>
      </c>
      <c r="AF2321">
        <v>0</v>
      </c>
      <c r="AG2321">
        <v>29089.98</v>
      </c>
      <c r="AH2321">
        <v>64</v>
      </c>
      <c r="AI2321">
        <v>63</v>
      </c>
      <c r="AJ2321">
        <v>1</v>
      </c>
      <c r="AK2321">
        <v>1</v>
      </c>
      <c r="AL2321">
        <v>1</v>
      </c>
      <c r="AM2321">
        <v>98.44</v>
      </c>
      <c r="AN2321">
        <v>469.22089999999997</v>
      </c>
      <c r="AO2321">
        <v>454.53</v>
      </c>
      <c r="AP2321" s="13">
        <v>45397</v>
      </c>
      <c r="AQ2321">
        <v>-3</v>
      </c>
      <c r="AR2321">
        <v>1</v>
      </c>
    </row>
    <row r="2322" spans="1:44" x14ac:dyDescent="0.35">
      <c r="A2322" s="12" t="s">
        <v>3103</v>
      </c>
      <c r="B2322" s="12" t="s">
        <v>207</v>
      </c>
      <c r="C2322" s="12" t="s">
        <v>208</v>
      </c>
      <c r="D2322" s="12" t="s">
        <v>78</v>
      </c>
      <c r="E2322" s="12" t="s">
        <v>65</v>
      </c>
      <c r="F2322">
        <v>2</v>
      </c>
      <c r="G2322">
        <v>3</v>
      </c>
      <c r="H2322">
        <v>0</v>
      </c>
      <c r="I2322" s="12" t="s">
        <v>209</v>
      </c>
      <c r="J2322" s="12" t="s">
        <v>210</v>
      </c>
      <c r="K2322" s="12" t="s">
        <v>133</v>
      </c>
      <c r="L2322" s="12" t="s">
        <v>96</v>
      </c>
      <c r="M2322">
        <v>7.82</v>
      </c>
      <c r="N2322" s="12" t="s">
        <v>70</v>
      </c>
      <c r="O2322" s="12" t="s">
        <v>71</v>
      </c>
      <c r="P2322" s="12" t="s">
        <v>72</v>
      </c>
      <c r="Q2322" s="13">
        <v>45372</v>
      </c>
      <c r="R2322" s="13">
        <v>45399</v>
      </c>
      <c r="S2322">
        <v>2024</v>
      </c>
      <c r="T2322" s="12" t="s">
        <v>2941</v>
      </c>
      <c r="U2322">
        <v>128</v>
      </c>
      <c r="V2322">
        <v>148.61590000000001</v>
      </c>
      <c r="W2322">
        <v>121.06</v>
      </c>
      <c r="X2322">
        <v>0</v>
      </c>
      <c r="Y2322">
        <v>0</v>
      </c>
      <c r="Z2322">
        <v>19022.84</v>
      </c>
      <c r="AA2322">
        <v>19143.900000000001</v>
      </c>
      <c r="AB2322" s="12" t="s">
        <v>2832</v>
      </c>
      <c r="AC2322">
        <v>148.61590000000001</v>
      </c>
      <c r="AD2322">
        <v>1</v>
      </c>
      <c r="AE2322">
        <v>1</v>
      </c>
      <c r="AF2322">
        <v>0</v>
      </c>
      <c r="AG2322">
        <v>19022.84</v>
      </c>
      <c r="AH2322">
        <v>128</v>
      </c>
      <c r="AI2322">
        <v>125</v>
      </c>
      <c r="AJ2322">
        <v>3</v>
      </c>
      <c r="AK2322">
        <v>1</v>
      </c>
      <c r="AL2322">
        <v>1</v>
      </c>
      <c r="AM2322">
        <v>97.66</v>
      </c>
      <c r="AN2322">
        <v>153.15119999999999</v>
      </c>
      <c r="AO2322">
        <v>445.85</v>
      </c>
      <c r="AP2322" s="13">
        <v>45397</v>
      </c>
      <c r="AQ2322">
        <v>-2</v>
      </c>
      <c r="AR2322">
        <v>1</v>
      </c>
    </row>
    <row r="2323" spans="1:44" x14ac:dyDescent="0.35">
      <c r="A2323" s="12" t="s">
        <v>3104</v>
      </c>
      <c r="B2323" s="12" t="s">
        <v>587</v>
      </c>
      <c r="C2323" s="12" t="s">
        <v>588</v>
      </c>
      <c r="D2323" s="12" t="s">
        <v>122</v>
      </c>
      <c r="E2323" s="12" t="s">
        <v>104</v>
      </c>
      <c r="F2323">
        <v>2</v>
      </c>
      <c r="G2323">
        <v>0</v>
      </c>
      <c r="H2323">
        <v>0</v>
      </c>
      <c r="I2323" s="12" t="s">
        <v>94</v>
      </c>
      <c r="J2323" s="12" t="s">
        <v>95</v>
      </c>
      <c r="K2323" s="12" t="s">
        <v>81</v>
      </c>
      <c r="L2323" s="12" t="s">
        <v>96</v>
      </c>
      <c r="M2323">
        <v>4.8099999999999996</v>
      </c>
      <c r="N2323" s="12" t="s">
        <v>97</v>
      </c>
      <c r="O2323" s="12" t="s">
        <v>98</v>
      </c>
      <c r="P2323" s="12" t="s">
        <v>72</v>
      </c>
      <c r="Q2323" s="13">
        <v>45372</v>
      </c>
      <c r="R2323" s="13">
        <v>45395</v>
      </c>
      <c r="S2323">
        <v>2024</v>
      </c>
      <c r="T2323" s="12" t="s">
        <v>2941</v>
      </c>
      <c r="U2323">
        <v>1380</v>
      </c>
      <c r="V2323">
        <v>12.5105</v>
      </c>
      <c r="W2323">
        <v>158.22</v>
      </c>
      <c r="X2323">
        <v>0</v>
      </c>
      <c r="Y2323">
        <v>0</v>
      </c>
      <c r="Z2323">
        <v>17264.490000000002</v>
      </c>
      <c r="AA2323">
        <v>17422.71</v>
      </c>
      <c r="AB2323" s="12" t="s">
        <v>3105</v>
      </c>
      <c r="AC2323">
        <v>12.5105</v>
      </c>
      <c r="AD2323">
        <v>1</v>
      </c>
      <c r="AE2323">
        <v>1</v>
      </c>
      <c r="AF2323">
        <v>0</v>
      </c>
      <c r="AG2323">
        <v>17264.490000000002</v>
      </c>
      <c r="AH2323">
        <v>1380</v>
      </c>
      <c r="AI2323">
        <v>1372</v>
      </c>
      <c r="AJ2323">
        <v>8</v>
      </c>
      <c r="AK2323">
        <v>1</v>
      </c>
      <c r="AL2323">
        <v>1</v>
      </c>
      <c r="AM2323">
        <v>99.42</v>
      </c>
      <c r="AN2323">
        <v>12.6988</v>
      </c>
      <c r="AO2323">
        <v>100.08</v>
      </c>
      <c r="AP2323" s="13">
        <v>45405</v>
      </c>
      <c r="AQ2323">
        <v>10</v>
      </c>
      <c r="AR2323">
        <v>0</v>
      </c>
    </row>
    <row r="2324" spans="1:44" x14ac:dyDescent="0.35">
      <c r="A2324" s="12" t="s">
        <v>3106</v>
      </c>
      <c r="B2324" s="12" t="s">
        <v>428</v>
      </c>
      <c r="C2324" s="12" t="s">
        <v>429</v>
      </c>
      <c r="D2324" s="12" t="s">
        <v>64</v>
      </c>
      <c r="E2324" s="12" t="s">
        <v>65</v>
      </c>
      <c r="F2324">
        <v>3</v>
      </c>
      <c r="G2324">
        <v>4</v>
      </c>
      <c r="H2324">
        <v>0</v>
      </c>
      <c r="I2324" s="12" t="s">
        <v>380</v>
      </c>
      <c r="J2324" s="12" t="s">
        <v>381</v>
      </c>
      <c r="K2324" s="12" t="s">
        <v>89</v>
      </c>
      <c r="L2324" s="12" t="s">
        <v>96</v>
      </c>
      <c r="M2324">
        <v>10.210000000000001</v>
      </c>
      <c r="N2324" s="12" t="s">
        <v>70</v>
      </c>
      <c r="O2324" s="12" t="s">
        <v>71</v>
      </c>
      <c r="P2324" s="12" t="s">
        <v>72</v>
      </c>
      <c r="Q2324" s="13">
        <v>45372</v>
      </c>
      <c r="R2324" s="13">
        <v>45401</v>
      </c>
      <c r="S2324">
        <v>2024</v>
      </c>
      <c r="T2324" s="12" t="s">
        <v>2941</v>
      </c>
      <c r="U2324">
        <v>547</v>
      </c>
      <c r="V2324">
        <v>13.9192</v>
      </c>
      <c r="W2324">
        <v>109.71</v>
      </c>
      <c r="X2324">
        <v>0</v>
      </c>
      <c r="Y2324">
        <v>0</v>
      </c>
      <c r="Z2324">
        <v>7613.8</v>
      </c>
      <c r="AA2324">
        <v>7723.51</v>
      </c>
      <c r="AB2324" s="12" t="s">
        <v>2959</v>
      </c>
      <c r="AC2324">
        <v>13.9192</v>
      </c>
      <c r="AD2324">
        <v>1</v>
      </c>
      <c r="AE2324">
        <v>1</v>
      </c>
      <c r="AF2324">
        <v>0</v>
      </c>
      <c r="AG2324">
        <v>7613.8</v>
      </c>
      <c r="AH2324">
        <v>547</v>
      </c>
      <c r="AI2324">
        <v>545</v>
      </c>
      <c r="AJ2324">
        <v>2</v>
      </c>
      <c r="AK2324">
        <v>1</v>
      </c>
      <c r="AL2324">
        <v>1</v>
      </c>
      <c r="AM2324">
        <v>99.63</v>
      </c>
      <c r="AN2324">
        <v>14.1716</v>
      </c>
      <c r="AO2324">
        <v>27.84</v>
      </c>
      <c r="AP2324" s="13">
        <v>45399</v>
      </c>
      <c r="AQ2324">
        <v>-2</v>
      </c>
      <c r="AR2324">
        <v>1</v>
      </c>
    </row>
    <row r="2325" spans="1:44" x14ac:dyDescent="0.35">
      <c r="A2325" s="12" t="s">
        <v>3107</v>
      </c>
      <c r="B2325" s="12" t="s">
        <v>447</v>
      </c>
      <c r="C2325" s="12" t="s">
        <v>448</v>
      </c>
      <c r="D2325" s="12" t="s">
        <v>269</v>
      </c>
      <c r="E2325" s="12" t="s">
        <v>65</v>
      </c>
      <c r="F2325">
        <v>2</v>
      </c>
      <c r="G2325">
        <v>2</v>
      </c>
      <c r="H2325">
        <v>0</v>
      </c>
      <c r="I2325" s="12" t="s">
        <v>94</v>
      </c>
      <c r="J2325" s="12" t="s">
        <v>95</v>
      </c>
      <c r="K2325" s="12" t="s">
        <v>81</v>
      </c>
      <c r="L2325" s="12" t="s">
        <v>96</v>
      </c>
      <c r="M2325">
        <v>4.8099999999999996</v>
      </c>
      <c r="N2325" s="12" t="s">
        <v>135</v>
      </c>
      <c r="O2325" s="12" t="s">
        <v>136</v>
      </c>
      <c r="P2325" s="12" t="s">
        <v>137</v>
      </c>
      <c r="Q2325" s="13">
        <v>45372</v>
      </c>
      <c r="R2325" s="13">
        <v>45401</v>
      </c>
      <c r="S2325">
        <v>2024</v>
      </c>
      <c r="T2325" s="12" t="s">
        <v>2941</v>
      </c>
      <c r="U2325">
        <v>79</v>
      </c>
      <c r="V2325">
        <v>377.76080000000002</v>
      </c>
      <c r="W2325">
        <v>527.34</v>
      </c>
      <c r="X2325">
        <v>0</v>
      </c>
      <c r="Y2325">
        <v>0</v>
      </c>
      <c r="Z2325">
        <v>29843.1</v>
      </c>
      <c r="AA2325">
        <v>30370.44</v>
      </c>
      <c r="AB2325" s="12" t="s">
        <v>3078</v>
      </c>
      <c r="AC2325">
        <v>377.76080000000002</v>
      </c>
      <c r="AD2325">
        <v>1</v>
      </c>
      <c r="AE2325">
        <v>1</v>
      </c>
      <c r="AF2325">
        <v>0</v>
      </c>
      <c r="AG2325">
        <v>29843.1</v>
      </c>
      <c r="AH2325">
        <v>79</v>
      </c>
      <c r="AI2325">
        <v>79</v>
      </c>
      <c r="AJ2325">
        <v>0</v>
      </c>
      <c r="AK2325">
        <v>1</v>
      </c>
      <c r="AL2325">
        <v>1</v>
      </c>
      <c r="AM2325">
        <v>100</v>
      </c>
      <c r="AN2325">
        <v>384.43599999999998</v>
      </c>
      <c r="AO2325">
        <v>0</v>
      </c>
      <c r="AP2325" s="13">
        <v>45398</v>
      </c>
      <c r="AQ2325">
        <v>-3</v>
      </c>
      <c r="AR2325">
        <v>1</v>
      </c>
    </row>
    <row r="2326" spans="1:44" x14ac:dyDescent="0.35">
      <c r="A2326" s="12" t="s">
        <v>3108</v>
      </c>
      <c r="B2326" s="12" t="s">
        <v>433</v>
      </c>
      <c r="C2326" s="12" t="s">
        <v>434</v>
      </c>
      <c r="D2326" s="12" t="s">
        <v>78</v>
      </c>
      <c r="E2326" s="12" t="s">
        <v>65</v>
      </c>
      <c r="F2326">
        <v>2</v>
      </c>
      <c r="G2326">
        <v>4</v>
      </c>
      <c r="H2326">
        <v>0</v>
      </c>
      <c r="I2326" s="12" t="s">
        <v>243</v>
      </c>
      <c r="J2326" s="12" t="s">
        <v>244</v>
      </c>
      <c r="K2326" s="12" t="s">
        <v>81</v>
      </c>
      <c r="L2326" s="12" t="s">
        <v>82</v>
      </c>
      <c r="M2326">
        <v>9.2200000000000006</v>
      </c>
      <c r="N2326" s="12" t="s">
        <v>97</v>
      </c>
      <c r="O2326" s="12" t="s">
        <v>98</v>
      </c>
      <c r="P2326" s="12" t="s">
        <v>72</v>
      </c>
      <c r="Q2326" s="13">
        <v>45372</v>
      </c>
      <c r="R2326" s="13">
        <v>45409</v>
      </c>
      <c r="S2326">
        <v>2024</v>
      </c>
      <c r="T2326" s="12" t="s">
        <v>2941</v>
      </c>
      <c r="U2326">
        <v>281</v>
      </c>
      <c r="V2326">
        <v>72.334800000000001</v>
      </c>
      <c r="W2326">
        <v>191.28</v>
      </c>
      <c r="X2326">
        <v>0</v>
      </c>
      <c r="Y2326">
        <v>0</v>
      </c>
      <c r="Z2326">
        <v>20326.080000000002</v>
      </c>
      <c r="AA2326">
        <v>20517.36</v>
      </c>
      <c r="AB2326" s="12" t="s">
        <v>3109</v>
      </c>
      <c r="AC2326">
        <v>72.334800000000001</v>
      </c>
      <c r="AD2326">
        <v>1</v>
      </c>
      <c r="AE2326">
        <v>1</v>
      </c>
      <c r="AF2326">
        <v>0</v>
      </c>
      <c r="AG2326">
        <v>20326.080000000002</v>
      </c>
      <c r="AH2326">
        <v>281</v>
      </c>
      <c r="AI2326">
        <v>278</v>
      </c>
      <c r="AJ2326">
        <v>3</v>
      </c>
      <c r="AK2326">
        <v>1</v>
      </c>
      <c r="AL2326">
        <v>1</v>
      </c>
      <c r="AM2326">
        <v>98.93</v>
      </c>
      <c r="AN2326">
        <v>73.803399999999996</v>
      </c>
      <c r="AO2326">
        <v>217</v>
      </c>
      <c r="AP2326" s="13">
        <v>45411</v>
      </c>
      <c r="AQ2326">
        <v>2</v>
      </c>
      <c r="AR2326">
        <v>0</v>
      </c>
    </row>
    <row r="2327" spans="1:44" x14ac:dyDescent="0.35">
      <c r="A2327" s="12" t="s">
        <v>3110</v>
      </c>
      <c r="B2327" s="12" t="s">
        <v>680</v>
      </c>
      <c r="C2327" s="12" t="s">
        <v>681</v>
      </c>
      <c r="D2327" s="12" t="s">
        <v>122</v>
      </c>
      <c r="E2327" s="12" t="s">
        <v>104</v>
      </c>
      <c r="F2327">
        <v>3</v>
      </c>
      <c r="G2327">
        <v>1</v>
      </c>
      <c r="H2327">
        <v>0</v>
      </c>
      <c r="I2327" s="12" t="s">
        <v>227</v>
      </c>
      <c r="J2327" s="12" t="s">
        <v>228</v>
      </c>
      <c r="K2327" s="12" t="s">
        <v>89</v>
      </c>
      <c r="L2327" s="12" t="s">
        <v>96</v>
      </c>
      <c r="M2327">
        <v>9.15</v>
      </c>
      <c r="N2327" s="12" t="s">
        <v>97</v>
      </c>
      <c r="O2327" s="12" t="s">
        <v>98</v>
      </c>
      <c r="P2327" s="12" t="s">
        <v>72</v>
      </c>
      <c r="Q2327" s="13">
        <v>45373</v>
      </c>
      <c r="R2327" s="13">
        <v>45402</v>
      </c>
      <c r="S2327">
        <v>2024</v>
      </c>
      <c r="T2327" s="12" t="s">
        <v>2941</v>
      </c>
      <c r="U2327">
        <v>1970</v>
      </c>
      <c r="V2327">
        <v>23.246099999999998</v>
      </c>
      <c r="W2327">
        <v>869.38</v>
      </c>
      <c r="X2327">
        <v>0</v>
      </c>
      <c r="Y2327">
        <v>0</v>
      </c>
      <c r="Z2327">
        <v>45794.82</v>
      </c>
      <c r="AA2327">
        <v>46664.2</v>
      </c>
      <c r="AB2327" s="12" t="s">
        <v>861</v>
      </c>
      <c r="AC2327">
        <v>23.246099999999998</v>
      </c>
      <c r="AD2327">
        <v>1</v>
      </c>
      <c r="AE2327">
        <v>1</v>
      </c>
      <c r="AF2327">
        <v>0</v>
      </c>
      <c r="AG2327">
        <v>45794.82</v>
      </c>
      <c r="AH2327">
        <v>1970</v>
      </c>
      <c r="AI2327">
        <v>1962</v>
      </c>
      <c r="AJ2327">
        <v>8</v>
      </c>
      <c r="AK2327">
        <v>1</v>
      </c>
      <c r="AL2327">
        <v>1</v>
      </c>
      <c r="AM2327">
        <v>99.59</v>
      </c>
      <c r="AN2327">
        <v>23.783999999999999</v>
      </c>
      <c r="AO2327">
        <v>185.97</v>
      </c>
      <c r="AP2327" s="13">
        <v>45401</v>
      </c>
      <c r="AQ2327">
        <v>-1</v>
      </c>
      <c r="AR2327">
        <v>1</v>
      </c>
    </row>
    <row r="2328" spans="1:44" x14ac:dyDescent="0.35">
      <c r="A2328" s="12" t="s">
        <v>3111</v>
      </c>
      <c r="B2328" s="12" t="s">
        <v>472</v>
      </c>
      <c r="C2328" s="12" t="s">
        <v>473</v>
      </c>
      <c r="D2328" s="12" t="s">
        <v>122</v>
      </c>
      <c r="E2328" s="12" t="s">
        <v>142</v>
      </c>
      <c r="F2328">
        <v>2</v>
      </c>
      <c r="G2328">
        <v>9</v>
      </c>
      <c r="H2328">
        <v>0</v>
      </c>
      <c r="I2328" s="12" t="s">
        <v>209</v>
      </c>
      <c r="J2328" s="12" t="s">
        <v>210</v>
      </c>
      <c r="K2328" s="12" t="s">
        <v>133</v>
      </c>
      <c r="L2328" s="12" t="s">
        <v>96</v>
      </c>
      <c r="M2328">
        <v>7.82</v>
      </c>
      <c r="N2328" s="12" t="s">
        <v>97</v>
      </c>
      <c r="O2328" s="12" t="s">
        <v>98</v>
      </c>
      <c r="P2328" s="12" t="s">
        <v>72</v>
      </c>
      <c r="Q2328" s="13">
        <v>45373</v>
      </c>
      <c r="R2328" s="13">
        <v>45408</v>
      </c>
      <c r="S2328">
        <v>2024</v>
      </c>
      <c r="T2328" s="12" t="s">
        <v>2941</v>
      </c>
      <c r="U2328">
        <v>284</v>
      </c>
      <c r="V2328">
        <v>46.789099999999998</v>
      </c>
      <c r="W2328">
        <v>111.1</v>
      </c>
      <c r="X2328">
        <v>0</v>
      </c>
      <c r="Y2328">
        <v>0</v>
      </c>
      <c r="Z2328">
        <v>13288.1</v>
      </c>
      <c r="AA2328">
        <v>13399.2</v>
      </c>
      <c r="AB2328" s="12" t="s">
        <v>2966</v>
      </c>
      <c r="AC2328">
        <v>46.789099999999998</v>
      </c>
      <c r="AD2328">
        <v>1</v>
      </c>
      <c r="AE2328">
        <v>1</v>
      </c>
      <c r="AF2328">
        <v>0</v>
      </c>
      <c r="AG2328">
        <v>13288.1</v>
      </c>
      <c r="AH2328">
        <v>284</v>
      </c>
      <c r="AI2328">
        <v>282</v>
      </c>
      <c r="AJ2328">
        <v>2</v>
      </c>
      <c r="AK2328">
        <v>1</v>
      </c>
      <c r="AL2328">
        <v>1</v>
      </c>
      <c r="AM2328">
        <v>99.3</v>
      </c>
      <c r="AN2328">
        <v>47.514899999999997</v>
      </c>
      <c r="AO2328">
        <v>93.58</v>
      </c>
      <c r="AP2328" s="13">
        <v>45408</v>
      </c>
      <c r="AQ2328">
        <v>0</v>
      </c>
      <c r="AR2328">
        <v>1</v>
      </c>
    </row>
    <row r="2329" spans="1:44" x14ac:dyDescent="0.35">
      <c r="A2329" s="12" t="s">
        <v>3112</v>
      </c>
      <c r="B2329" s="12" t="s">
        <v>1068</v>
      </c>
      <c r="C2329" s="12" t="s">
        <v>1069</v>
      </c>
      <c r="D2329" s="12" t="s">
        <v>122</v>
      </c>
      <c r="E2329" s="12" t="s">
        <v>65</v>
      </c>
      <c r="F2329">
        <v>2</v>
      </c>
      <c r="G2329">
        <v>2</v>
      </c>
      <c r="H2329">
        <v>0</v>
      </c>
      <c r="I2329" s="12" t="s">
        <v>79</v>
      </c>
      <c r="J2329" s="12" t="s">
        <v>80</v>
      </c>
      <c r="K2329" s="12" t="s">
        <v>81</v>
      </c>
      <c r="L2329" s="12" t="s">
        <v>82</v>
      </c>
      <c r="M2329">
        <v>12.07</v>
      </c>
      <c r="N2329" s="12" t="s">
        <v>70</v>
      </c>
      <c r="O2329" s="12" t="s">
        <v>71</v>
      </c>
      <c r="P2329" s="12" t="s">
        <v>72</v>
      </c>
      <c r="Q2329" s="13">
        <v>45373</v>
      </c>
      <c r="R2329" s="13">
        <v>45411</v>
      </c>
      <c r="S2329">
        <v>2024</v>
      </c>
      <c r="T2329" s="12" t="s">
        <v>2941</v>
      </c>
      <c r="U2329">
        <v>1932</v>
      </c>
      <c r="V2329">
        <v>21.277999999999999</v>
      </c>
      <c r="W2329">
        <v>490.77</v>
      </c>
      <c r="X2329">
        <v>0</v>
      </c>
      <c r="Y2329">
        <v>0</v>
      </c>
      <c r="Z2329">
        <v>41109.1</v>
      </c>
      <c r="AA2329">
        <v>41599.870000000003</v>
      </c>
      <c r="AB2329" s="12" t="s">
        <v>3113</v>
      </c>
      <c r="AC2329">
        <v>21.277999999999999</v>
      </c>
      <c r="AD2329">
        <v>1</v>
      </c>
      <c r="AE2329">
        <v>1</v>
      </c>
      <c r="AF2329">
        <v>0</v>
      </c>
      <c r="AG2329">
        <v>41109.1</v>
      </c>
      <c r="AH2329">
        <v>1932</v>
      </c>
      <c r="AI2329">
        <v>1925</v>
      </c>
      <c r="AJ2329">
        <v>7</v>
      </c>
      <c r="AK2329">
        <v>1</v>
      </c>
      <c r="AL2329">
        <v>1</v>
      </c>
      <c r="AM2329">
        <v>99.64</v>
      </c>
      <c r="AN2329">
        <v>21.610299999999999</v>
      </c>
      <c r="AO2329">
        <v>148.94999999999999</v>
      </c>
      <c r="AP2329" s="13">
        <v>45409</v>
      </c>
      <c r="AQ2329">
        <v>-2</v>
      </c>
      <c r="AR2329">
        <v>1</v>
      </c>
    </row>
    <row r="2330" spans="1:44" x14ac:dyDescent="0.35">
      <c r="A2330" s="12" t="s">
        <v>3114</v>
      </c>
      <c r="B2330" s="12" t="s">
        <v>555</v>
      </c>
      <c r="C2330" s="12" t="s">
        <v>556</v>
      </c>
      <c r="D2330" s="12" t="s">
        <v>114</v>
      </c>
      <c r="E2330" s="12" t="s">
        <v>142</v>
      </c>
      <c r="F2330">
        <v>1</v>
      </c>
      <c r="G2330">
        <v>6</v>
      </c>
      <c r="H2330">
        <v>1</v>
      </c>
      <c r="I2330" s="12" t="s">
        <v>151</v>
      </c>
      <c r="J2330" s="12" t="s">
        <v>152</v>
      </c>
      <c r="K2330" s="12" t="s">
        <v>125</v>
      </c>
      <c r="L2330" s="12" t="s">
        <v>69</v>
      </c>
      <c r="M2330">
        <v>36.479999999999997</v>
      </c>
      <c r="N2330" s="12" t="s">
        <v>97</v>
      </c>
      <c r="O2330" s="12" t="s">
        <v>98</v>
      </c>
      <c r="P2330" s="12" t="s">
        <v>72</v>
      </c>
      <c r="Q2330" s="13">
        <v>45373</v>
      </c>
      <c r="R2330" s="13">
        <v>45415</v>
      </c>
      <c r="S2330">
        <v>2024</v>
      </c>
      <c r="T2330" s="12" t="s">
        <v>2941</v>
      </c>
      <c r="U2330">
        <v>69</v>
      </c>
      <c r="V2330">
        <v>278.31920000000002</v>
      </c>
      <c r="W2330">
        <v>386.08</v>
      </c>
      <c r="X2330">
        <v>0</v>
      </c>
      <c r="Y2330">
        <v>0</v>
      </c>
      <c r="Z2330">
        <v>19204.02</v>
      </c>
      <c r="AA2330">
        <v>19590.099999999999</v>
      </c>
      <c r="AB2330" s="12" t="s">
        <v>2922</v>
      </c>
      <c r="AC2330">
        <v>278.31920000000002</v>
      </c>
      <c r="AD2330">
        <v>1</v>
      </c>
      <c r="AE2330">
        <v>1</v>
      </c>
      <c r="AF2330">
        <v>0</v>
      </c>
      <c r="AG2330">
        <v>19204.02</v>
      </c>
      <c r="AH2330">
        <v>69</v>
      </c>
      <c r="AI2330">
        <v>68</v>
      </c>
      <c r="AJ2330">
        <v>1</v>
      </c>
      <c r="AK2330">
        <v>1</v>
      </c>
      <c r="AL2330">
        <v>1</v>
      </c>
      <c r="AM2330">
        <v>98.55</v>
      </c>
      <c r="AN2330">
        <v>288.08980000000003</v>
      </c>
      <c r="AO2330">
        <v>278.32</v>
      </c>
      <c r="AP2330" s="13">
        <v>45418</v>
      </c>
      <c r="AQ2330">
        <v>3</v>
      </c>
      <c r="AR2330">
        <v>0</v>
      </c>
    </row>
    <row r="2331" spans="1:44" x14ac:dyDescent="0.35">
      <c r="A2331" s="12" t="s">
        <v>3115</v>
      </c>
      <c r="B2331" s="12" t="s">
        <v>442</v>
      </c>
      <c r="C2331" s="12" t="s">
        <v>443</v>
      </c>
      <c r="D2331" s="12" t="s">
        <v>130</v>
      </c>
      <c r="E2331" s="12" t="s">
        <v>65</v>
      </c>
      <c r="F2331">
        <v>3</v>
      </c>
      <c r="G2331">
        <v>4</v>
      </c>
      <c r="H2331">
        <v>0</v>
      </c>
      <c r="I2331" s="12" t="s">
        <v>251</v>
      </c>
      <c r="J2331" s="12" t="s">
        <v>252</v>
      </c>
      <c r="K2331" s="12" t="s">
        <v>133</v>
      </c>
      <c r="L2331" s="12" t="s">
        <v>69</v>
      </c>
      <c r="M2331">
        <v>34.49</v>
      </c>
      <c r="N2331" s="12" t="s">
        <v>135</v>
      </c>
      <c r="O2331" s="12" t="s">
        <v>136</v>
      </c>
      <c r="P2331" s="12" t="s">
        <v>137</v>
      </c>
      <c r="Q2331" s="13">
        <v>45373</v>
      </c>
      <c r="R2331" s="13">
        <v>45406</v>
      </c>
      <c r="S2331">
        <v>2024</v>
      </c>
      <c r="T2331" s="12" t="s">
        <v>2941</v>
      </c>
      <c r="U2331">
        <v>107</v>
      </c>
      <c r="V2331">
        <v>560.57730000000004</v>
      </c>
      <c r="W2331">
        <v>1212.8699999999999</v>
      </c>
      <c r="X2331">
        <v>0</v>
      </c>
      <c r="Y2331">
        <v>0</v>
      </c>
      <c r="Z2331">
        <v>59981.77</v>
      </c>
      <c r="AA2331">
        <v>61194.64</v>
      </c>
      <c r="AB2331" s="12" t="s">
        <v>3116</v>
      </c>
      <c r="AC2331">
        <v>560.57730000000004</v>
      </c>
      <c r="AD2331">
        <v>1</v>
      </c>
      <c r="AE2331">
        <v>1</v>
      </c>
      <c r="AF2331">
        <v>0</v>
      </c>
      <c r="AG2331">
        <v>59981.77</v>
      </c>
      <c r="AH2331">
        <v>107</v>
      </c>
      <c r="AI2331">
        <v>106</v>
      </c>
      <c r="AJ2331">
        <v>1</v>
      </c>
      <c r="AK2331">
        <v>1</v>
      </c>
      <c r="AL2331">
        <v>1</v>
      </c>
      <c r="AM2331">
        <v>99.07</v>
      </c>
      <c r="AN2331">
        <v>577.30790000000002</v>
      </c>
      <c r="AO2331">
        <v>560.58000000000004</v>
      </c>
      <c r="AP2331" s="13">
        <v>45402</v>
      </c>
      <c r="AQ2331">
        <v>-4</v>
      </c>
      <c r="AR2331">
        <v>1</v>
      </c>
    </row>
    <row r="2332" spans="1:44" x14ac:dyDescent="0.35">
      <c r="A2332" s="12" t="s">
        <v>3117</v>
      </c>
      <c r="B2332" s="12" t="s">
        <v>442</v>
      </c>
      <c r="C2332" s="12" t="s">
        <v>443</v>
      </c>
      <c r="D2332" s="12" t="s">
        <v>130</v>
      </c>
      <c r="E2332" s="12" t="s">
        <v>65</v>
      </c>
      <c r="F2332">
        <v>3</v>
      </c>
      <c r="G2332">
        <v>4</v>
      </c>
      <c r="H2332">
        <v>0</v>
      </c>
      <c r="I2332" s="12" t="s">
        <v>251</v>
      </c>
      <c r="J2332" s="12" t="s">
        <v>252</v>
      </c>
      <c r="K2332" s="12" t="s">
        <v>133</v>
      </c>
      <c r="L2332" s="12" t="s">
        <v>69</v>
      </c>
      <c r="M2332">
        <v>34.49</v>
      </c>
      <c r="N2332" s="12" t="s">
        <v>135</v>
      </c>
      <c r="O2332" s="12" t="s">
        <v>136</v>
      </c>
      <c r="P2332" s="12" t="s">
        <v>137</v>
      </c>
      <c r="Q2332" s="13">
        <v>45373</v>
      </c>
      <c r="R2332" s="13">
        <v>45398</v>
      </c>
      <c r="S2332">
        <v>2024</v>
      </c>
      <c r="T2332" s="12" t="s">
        <v>2941</v>
      </c>
      <c r="U2332">
        <v>41</v>
      </c>
      <c r="V2332">
        <v>560.57730000000004</v>
      </c>
      <c r="W2332">
        <v>398.78</v>
      </c>
      <c r="X2332">
        <v>0</v>
      </c>
      <c r="Y2332">
        <v>0</v>
      </c>
      <c r="Z2332">
        <v>22983.67</v>
      </c>
      <c r="AA2332">
        <v>23382.45</v>
      </c>
      <c r="AB2332" s="12" t="s">
        <v>3116</v>
      </c>
      <c r="AC2332">
        <v>560.57730000000004</v>
      </c>
      <c r="AD2332">
        <v>1</v>
      </c>
      <c r="AE2332">
        <v>1</v>
      </c>
      <c r="AF2332">
        <v>0</v>
      </c>
      <c r="AG2332">
        <v>22983.67</v>
      </c>
      <c r="AH2332">
        <v>41</v>
      </c>
      <c r="AI2332">
        <v>41</v>
      </c>
      <c r="AJ2332">
        <v>0</v>
      </c>
      <c r="AK2332">
        <v>1</v>
      </c>
      <c r="AL2332">
        <v>1</v>
      </c>
      <c r="AM2332">
        <v>100</v>
      </c>
      <c r="AN2332">
        <v>570.30359999999996</v>
      </c>
      <c r="AO2332">
        <v>0</v>
      </c>
      <c r="AP2332" s="13">
        <v>45396</v>
      </c>
      <c r="AQ2332">
        <v>-2</v>
      </c>
      <c r="AR2332">
        <v>1</v>
      </c>
    </row>
    <row r="2333" spans="1:44" x14ac:dyDescent="0.35">
      <c r="A2333" s="12" t="s">
        <v>3118</v>
      </c>
      <c r="B2333" s="12" t="s">
        <v>747</v>
      </c>
      <c r="C2333" s="12" t="s">
        <v>748</v>
      </c>
      <c r="D2333" s="12" t="s">
        <v>114</v>
      </c>
      <c r="E2333" s="12" t="s">
        <v>104</v>
      </c>
      <c r="F2333">
        <v>2</v>
      </c>
      <c r="G2333">
        <v>0</v>
      </c>
      <c r="H2333">
        <v>0</v>
      </c>
      <c r="I2333" s="12" t="s">
        <v>251</v>
      </c>
      <c r="J2333" s="12" t="s">
        <v>252</v>
      </c>
      <c r="K2333" s="12" t="s">
        <v>133</v>
      </c>
      <c r="L2333" s="12" t="s">
        <v>69</v>
      </c>
      <c r="M2333">
        <v>34.49</v>
      </c>
      <c r="N2333" s="12" t="s">
        <v>97</v>
      </c>
      <c r="O2333" s="12" t="s">
        <v>98</v>
      </c>
      <c r="P2333" s="12" t="s">
        <v>72</v>
      </c>
      <c r="Q2333" s="13">
        <v>45373</v>
      </c>
      <c r="R2333" s="13">
        <v>45386</v>
      </c>
      <c r="S2333">
        <v>2024</v>
      </c>
      <c r="T2333" s="12" t="s">
        <v>2941</v>
      </c>
      <c r="U2333">
        <v>18</v>
      </c>
      <c r="V2333">
        <v>242.2371</v>
      </c>
      <c r="W2333">
        <v>42.99</v>
      </c>
      <c r="X2333">
        <v>0</v>
      </c>
      <c r="Y2333">
        <v>0</v>
      </c>
      <c r="Z2333">
        <v>4360.2700000000004</v>
      </c>
      <c r="AA2333">
        <v>4403.26</v>
      </c>
      <c r="AB2333" s="12" t="s">
        <v>3119</v>
      </c>
      <c r="AC2333">
        <v>242.2371</v>
      </c>
      <c r="AD2333">
        <v>1</v>
      </c>
      <c r="AE2333">
        <v>1</v>
      </c>
      <c r="AF2333">
        <v>0</v>
      </c>
      <c r="AG2333">
        <v>4360.2700000000004</v>
      </c>
      <c r="AH2333">
        <v>18</v>
      </c>
      <c r="AI2333">
        <v>18</v>
      </c>
      <c r="AJ2333">
        <v>0</v>
      </c>
      <c r="AK2333">
        <v>1</v>
      </c>
      <c r="AL2333">
        <v>1</v>
      </c>
      <c r="AM2333">
        <v>100</v>
      </c>
      <c r="AN2333">
        <v>244.62540000000001</v>
      </c>
      <c r="AO2333">
        <v>0</v>
      </c>
      <c r="AP2333" s="13">
        <v>45385</v>
      </c>
      <c r="AQ2333">
        <v>-1</v>
      </c>
      <c r="AR2333">
        <v>1</v>
      </c>
    </row>
    <row r="2334" spans="1:44" x14ac:dyDescent="0.35">
      <c r="A2334" s="12" t="s">
        <v>3120</v>
      </c>
      <c r="B2334" s="12" t="s">
        <v>823</v>
      </c>
      <c r="C2334" s="12" t="s">
        <v>824</v>
      </c>
      <c r="D2334" s="12" t="s">
        <v>114</v>
      </c>
      <c r="E2334" s="12" t="s">
        <v>142</v>
      </c>
      <c r="F2334">
        <v>1</v>
      </c>
      <c r="G2334">
        <v>8</v>
      </c>
      <c r="H2334">
        <v>1</v>
      </c>
      <c r="I2334" s="12" t="s">
        <v>515</v>
      </c>
      <c r="J2334" s="12" t="s">
        <v>516</v>
      </c>
      <c r="K2334" s="12" t="s">
        <v>68</v>
      </c>
      <c r="L2334" s="12" t="s">
        <v>134</v>
      </c>
      <c r="M2334">
        <v>3.69</v>
      </c>
      <c r="N2334" s="12" t="s">
        <v>97</v>
      </c>
      <c r="O2334" s="12" t="s">
        <v>98</v>
      </c>
      <c r="P2334" s="12" t="s">
        <v>72</v>
      </c>
      <c r="Q2334" s="13">
        <v>45373</v>
      </c>
      <c r="R2334" s="13">
        <v>45409</v>
      </c>
      <c r="S2334">
        <v>2024</v>
      </c>
      <c r="T2334" s="12" t="s">
        <v>2941</v>
      </c>
      <c r="U2334">
        <v>24</v>
      </c>
      <c r="V2334">
        <v>361.73399999999998</v>
      </c>
      <c r="W2334">
        <v>86.3</v>
      </c>
      <c r="X2334">
        <v>0</v>
      </c>
      <c r="Y2334">
        <v>0</v>
      </c>
      <c r="Z2334">
        <v>8681.6200000000008</v>
      </c>
      <c r="AA2334">
        <v>8767.92</v>
      </c>
      <c r="AB2334" s="12" t="s">
        <v>825</v>
      </c>
      <c r="AC2334">
        <v>361.73399999999998</v>
      </c>
      <c r="AD2334">
        <v>1</v>
      </c>
      <c r="AE2334">
        <v>1</v>
      </c>
      <c r="AF2334">
        <v>0</v>
      </c>
      <c r="AG2334">
        <v>8681.6200000000008</v>
      </c>
      <c r="AH2334">
        <v>24</v>
      </c>
      <c r="AI2334">
        <v>24</v>
      </c>
      <c r="AJ2334">
        <v>0</v>
      </c>
      <c r="AK2334">
        <v>1</v>
      </c>
      <c r="AL2334">
        <v>1</v>
      </c>
      <c r="AM2334">
        <v>100</v>
      </c>
      <c r="AN2334">
        <v>365.32979999999998</v>
      </c>
      <c r="AO2334">
        <v>0</v>
      </c>
      <c r="AP2334" s="13">
        <v>45409</v>
      </c>
      <c r="AQ2334">
        <v>0</v>
      </c>
      <c r="AR2334">
        <v>1</v>
      </c>
    </row>
    <row r="2335" spans="1:44" x14ac:dyDescent="0.35">
      <c r="A2335" s="12" t="s">
        <v>3121</v>
      </c>
      <c r="B2335" s="12" t="s">
        <v>490</v>
      </c>
      <c r="C2335" s="12" t="s">
        <v>491</v>
      </c>
      <c r="D2335" s="12" t="s">
        <v>130</v>
      </c>
      <c r="E2335" s="12" t="s">
        <v>104</v>
      </c>
      <c r="F2335">
        <v>3</v>
      </c>
      <c r="G2335">
        <v>1</v>
      </c>
      <c r="H2335">
        <v>0</v>
      </c>
      <c r="I2335" s="12" t="s">
        <v>176</v>
      </c>
      <c r="J2335" s="12" t="s">
        <v>177</v>
      </c>
      <c r="K2335" s="12" t="s">
        <v>125</v>
      </c>
      <c r="L2335" s="12" t="s">
        <v>134</v>
      </c>
      <c r="M2335">
        <v>1.75</v>
      </c>
      <c r="N2335" s="12" t="s">
        <v>135</v>
      </c>
      <c r="O2335" s="12" t="s">
        <v>136</v>
      </c>
      <c r="P2335" s="12" t="s">
        <v>137</v>
      </c>
      <c r="Q2335" s="13">
        <v>45373</v>
      </c>
      <c r="R2335" s="13">
        <v>45396</v>
      </c>
      <c r="S2335">
        <v>2024</v>
      </c>
      <c r="T2335" s="12" t="s">
        <v>2941</v>
      </c>
      <c r="U2335">
        <v>97</v>
      </c>
      <c r="V2335">
        <v>264.23239999999998</v>
      </c>
      <c r="W2335">
        <v>163.86</v>
      </c>
      <c r="X2335">
        <v>0</v>
      </c>
      <c r="Y2335">
        <v>0</v>
      </c>
      <c r="Z2335">
        <v>25630.54</v>
      </c>
      <c r="AA2335">
        <v>25794.400000000001</v>
      </c>
      <c r="AB2335" s="12" t="s">
        <v>3122</v>
      </c>
      <c r="AC2335">
        <v>264.23239999999998</v>
      </c>
      <c r="AD2335">
        <v>1</v>
      </c>
      <c r="AE2335">
        <v>1</v>
      </c>
      <c r="AF2335">
        <v>0</v>
      </c>
      <c r="AG2335">
        <v>25630.54</v>
      </c>
      <c r="AH2335">
        <v>97</v>
      </c>
      <c r="AI2335">
        <v>96</v>
      </c>
      <c r="AJ2335">
        <v>1</v>
      </c>
      <c r="AK2335">
        <v>1</v>
      </c>
      <c r="AL2335">
        <v>1</v>
      </c>
      <c r="AM2335">
        <v>98.97</v>
      </c>
      <c r="AN2335">
        <v>268.69170000000003</v>
      </c>
      <c r="AO2335">
        <v>264.23</v>
      </c>
      <c r="AP2335" s="13">
        <v>45395</v>
      </c>
      <c r="AQ2335">
        <v>-1</v>
      </c>
      <c r="AR2335">
        <v>1</v>
      </c>
    </row>
    <row r="2336" spans="1:44" x14ac:dyDescent="0.35">
      <c r="A2336" s="12" t="s">
        <v>3123</v>
      </c>
      <c r="B2336" s="12" t="s">
        <v>454</v>
      </c>
      <c r="C2336" s="12" t="s">
        <v>455</v>
      </c>
      <c r="D2336" s="12" t="s">
        <v>122</v>
      </c>
      <c r="E2336" s="12" t="s">
        <v>104</v>
      </c>
      <c r="F2336">
        <v>3</v>
      </c>
      <c r="G2336">
        <v>1</v>
      </c>
      <c r="H2336">
        <v>0</v>
      </c>
      <c r="I2336" s="12" t="s">
        <v>87</v>
      </c>
      <c r="J2336" s="12" t="s">
        <v>88</v>
      </c>
      <c r="K2336" s="12" t="s">
        <v>89</v>
      </c>
      <c r="L2336" s="12" t="s">
        <v>69</v>
      </c>
      <c r="M2336">
        <v>14.93</v>
      </c>
      <c r="N2336" s="12" t="s">
        <v>97</v>
      </c>
      <c r="O2336" s="12" t="s">
        <v>98</v>
      </c>
      <c r="P2336" s="12" t="s">
        <v>72</v>
      </c>
      <c r="Q2336" s="13">
        <v>45373</v>
      </c>
      <c r="R2336" s="13">
        <v>45397</v>
      </c>
      <c r="S2336">
        <v>2024</v>
      </c>
      <c r="T2336" s="12" t="s">
        <v>2941</v>
      </c>
      <c r="U2336">
        <v>1459</v>
      </c>
      <c r="V2336">
        <v>20.188500000000001</v>
      </c>
      <c r="W2336">
        <v>436.48</v>
      </c>
      <c r="X2336">
        <v>0</v>
      </c>
      <c r="Y2336">
        <v>0</v>
      </c>
      <c r="Z2336">
        <v>29455.02</v>
      </c>
      <c r="AA2336">
        <v>29891.5</v>
      </c>
      <c r="AB2336" s="12" t="s">
        <v>3124</v>
      </c>
      <c r="AC2336">
        <v>21.4115</v>
      </c>
      <c r="AD2336">
        <v>1</v>
      </c>
      <c r="AE2336">
        <v>1</v>
      </c>
      <c r="AF2336">
        <v>-1784.36</v>
      </c>
      <c r="AG2336">
        <v>31239.38</v>
      </c>
      <c r="AH2336">
        <v>1459</v>
      </c>
      <c r="AI2336">
        <v>1456</v>
      </c>
      <c r="AJ2336">
        <v>3</v>
      </c>
      <c r="AK2336">
        <v>1</v>
      </c>
      <c r="AL2336">
        <v>1</v>
      </c>
      <c r="AM2336">
        <v>99.79</v>
      </c>
      <c r="AN2336">
        <v>20.529900000000001</v>
      </c>
      <c r="AO2336">
        <v>60.57</v>
      </c>
      <c r="AP2336" s="13">
        <v>45395</v>
      </c>
      <c r="AQ2336">
        <v>-2</v>
      </c>
      <c r="AR2336">
        <v>1</v>
      </c>
    </row>
    <row r="2337" spans="1:44" x14ac:dyDescent="0.35">
      <c r="A2337" s="12" t="s">
        <v>3125</v>
      </c>
      <c r="B2337" s="12" t="s">
        <v>255</v>
      </c>
      <c r="C2337" s="12" t="s">
        <v>256</v>
      </c>
      <c r="D2337" s="12" t="s">
        <v>103</v>
      </c>
      <c r="E2337" s="12" t="s">
        <v>65</v>
      </c>
      <c r="F2337">
        <v>2</v>
      </c>
      <c r="G2337">
        <v>4</v>
      </c>
      <c r="H2337">
        <v>0</v>
      </c>
      <c r="I2337" s="12" t="s">
        <v>143</v>
      </c>
      <c r="J2337" s="12" t="s">
        <v>144</v>
      </c>
      <c r="K2337" s="12" t="s">
        <v>133</v>
      </c>
      <c r="L2337" s="12" t="s">
        <v>96</v>
      </c>
      <c r="M2337">
        <v>5.43</v>
      </c>
      <c r="N2337" s="12" t="s">
        <v>107</v>
      </c>
      <c r="O2337" s="12" t="s">
        <v>108</v>
      </c>
      <c r="P2337" s="12" t="s">
        <v>109</v>
      </c>
      <c r="Q2337" s="13">
        <v>45373</v>
      </c>
      <c r="R2337" s="13">
        <v>45399</v>
      </c>
      <c r="S2337">
        <v>2024</v>
      </c>
      <c r="T2337" s="12" t="s">
        <v>2941</v>
      </c>
      <c r="U2337">
        <v>49</v>
      </c>
      <c r="V2337">
        <v>99.136600000000001</v>
      </c>
      <c r="W2337">
        <v>83.26</v>
      </c>
      <c r="X2337">
        <v>0</v>
      </c>
      <c r="Y2337">
        <v>0</v>
      </c>
      <c r="Z2337">
        <v>4857.6899999999996</v>
      </c>
      <c r="AA2337">
        <v>4940.95</v>
      </c>
      <c r="AB2337" s="12" t="s">
        <v>2616</v>
      </c>
      <c r="AC2337">
        <v>95.073300000000003</v>
      </c>
      <c r="AD2337">
        <v>1</v>
      </c>
      <c r="AE2337">
        <v>1</v>
      </c>
      <c r="AF2337">
        <v>199.1</v>
      </c>
      <c r="AG2337">
        <v>4658.59</v>
      </c>
      <c r="AH2337">
        <v>49</v>
      </c>
      <c r="AI2337">
        <v>49</v>
      </c>
      <c r="AJ2337">
        <v>0</v>
      </c>
      <c r="AK2337">
        <v>1</v>
      </c>
      <c r="AL2337">
        <v>1</v>
      </c>
      <c r="AM2337">
        <v>100</v>
      </c>
      <c r="AN2337">
        <v>100.83580000000001</v>
      </c>
      <c r="AO2337">
        <v>0</v>
      </c>
      <c r="AP2337" s="13">
        <v>45396</v>
      </c>
      <c r="AQ2337">
        <v>-3</v>
      </c>
      <c r="AR2337">
        <v>1</v>
      </c>
    </row>
    <row r="2338" spans="1:44" x14ac:dyDescent="0.35">
      <c r="A2338" s="12" t="s">
        <v>3126</v>
      </c>
      <c r="B2338" s="12" t="s">
        <v>548</v>
      </c>
      <c r="C2338" s="12" t="s">
        <v>549</v>
      </c>
      <c r="D2338" s="12" t="s">
        <v>78</v>
      </c>
      <c r="E2338" s="12" t="s">
        <v>104</v>
      </c>
      <c r="F2338">
        <v>3</v>
      </c>
      <c r="G2338">
        <v>1</v>
      </c>
      <c r="H2338">
        <v>0</v>
      </c>
      <c r="I2338" s="12" t="s">
        <v>223</v>
      </c>
      <c r="J2338" s="12" t="s">
        <v>224</v>
      </c>
      <c r="K2338" s="12" t="s">
        <v>81</v>
      </c>
      <c r="L2338" s="12" t="s">
        <v>134</v>
      </c>
      <c r="M2338">
        <v>2.4900000000000002</v>
      </c>
      <c r="N2338" s="12" t="s">
        <v>70</v>
      </c>
      <c r="O2338" s="12" t="s">
        <v>71</v>
      </c>
      <c r="P2338" s="12" t="s">
        <v>72</v>
      </c>
      <c r="Q2338" s="13">
        <v>45376</v>
      </c>
      <c r="R2338" s="13">
        <v>45398</v>
      </c>
      <c r="S2338">
        <v>2024</v>
      </c>
      <c r="T2338" s="12" t="s">
        <v>2941</v>
      </c>
      <c r="U2338">
        <v>197</v>
      </c>
      <c r="V2338">
        <v>59.346200000000003</v>
      </c>
      <c r="W2338">
        <v>291.66000000000003</v>
      </c>
      <c r="X2338">
        <v>0</v>
      </c>
      <c r="Y2338">
        <v>0</v>
      </c>
      <c r="Z2338">
        <v>11691.2</v>
      </c>
      <c r="AA2338">
        <v>11982.86</v>
      </c>
      <c r="AB2338" s="12" t="s">
        <v>3127</v>
      </c>
      <c r="AC2338">
        <v>59.346200000000003</v>
      </c>
      <c r="AD2338">
        <v>1</v>
      </c>
      <c r="AE2338">
        <v>1</v>
      </c>
      <c r="AF2338">
        <v>0</v>
      </c>
      <c r="AG2338">
        <v>11691.2</v>
      </c>
      <c r="AH2338">
        <v>197</v>
      </c>
      <c r="AI2338">
        <v>196</v>
      </c>
      <c r="AJ2338">
        <v>1</v>
      </c>
      <c r="AK2338">
        <v>1</v>
      </c>
      <c r="AL2338">
        <v>1</v>
      </c>
      <c r="AM2338">
        <v>99.49</v>
      </c>
      <c r="AN2338">
        <v>61.137</v>
      </c>
      <c r="AO2338">
        <v>59.35</v>
      </c>
      <c r="AP2338" s="13">
        <v>45396</v>
      </c>
      <c r="AQ2338">
        <v>-2</v>
      </c>
      <c r="AR2338">
        <v>1</v>
      </c>
    </row>
    <row r="2339" spans="1:44" x14ac:dyDescent="0.35">
      <c r="A2339" s="12" t="s">
        <v>3128</v>
      </c>
      <c r="B2339" s="12" t="s">
        <v>909</v>
      </c>
      <c r="C2339" s="12" t="s">
        <v>910</v>
      </c>
      <c r="D2339" s="12" t="s">
        <v>269</v>
      </c>
      <c r="E2339" s="12" t="s">
        <v>65</v>
      </c>
      <c r="F2339">
        <v>3</v>
      </c>
      <c r="G2339">
        <v>4</v>
      </c>
      <c r="H2339">
        <v>0</v>
      </c>
      <c r="I2339" s="12" t="s">
        <v>199</v>
      </c>
      <c r="J2339" s="12" t="s">
        <v>200</v>
      </c>
      <c r="K2339" s="12" t="s">
        <v>68</v>
      </c>
      <c r="L2339" s="12" t="s">
        <v>96</v>
      </c>
      <c r="M2339">
        <v>9.4700000000000006</v>
      </c>
      <c r="N2339" s="12" t="s">
        <v>135</v>
      </c>
      <c r="O2339" s="12" t="s">
        <v>136</v>
      </c>
      <c r="P2339" s="12" t="s">
        <v>137</v>
      </c>
      <c r="Q2339" s="13">
        <v>45376</v>
      </c>
      <c r="R2339" s="13">
        <v>45410</v>
      </c>
      <c r="S2339">
        <v>2024</v>
      </c>
      <c r="T2339" s="12" t="s">
        <v>2941</v>
      </c>
      <c r="U2339">
        <v>113</v>
      </c>
      <c r="V2339">
        <v>108.32040000000001</v>
      </c>
      <c r="W2339">
        <v>207.69</v>
      </c>
      <c r="X2339">
        <v>0</v>
      </c>
      <c r="Y2339">
        <v>0</v>
      </c>
      <c r="Z2339">
        <v>12240.21</v>
      </c>
      <c r="AA2339">
        <v>12447.9</v>
      </c>
      <c r="AB2339" s="12" t="s">
        <v>911</v>
      </c>
      <c r="AC2339">
        <v>108.32040000000001</v>
      </c>
      <c r="AD2339">
        <v>1</v>
      </c>
      <c r="AE2339">
        <v>1</v>
      </c>
      <c r="AF2339">
        <v>0</v>
      </c>
      <c r="AG2339">
        <v>12240.21</v>
      </c>
      <c r="AH2339">
        <v>113</v>
      </c>
      <c r="AI2339">
        <v>112</v>
      </c>
      <c r="AJ2339">
        <v>1</v>
      </c>
      <c r="AK2339">
        <v>1</v>
      </c>
      <c r="AL2339">
        <v>1</v>
      </c>
      <c r="AM2339">
        <v>99.12</v>
      </c>
      <c r="AN2339">
        <v>111.14190000000001</v>
      </c>
      <c r="AO2339">
        <v>108.32</v>
      </c>
      <c r="AP2339" s="13">
        <v>45408</v>
      </c>
      <c r="AQ2339">
        <v>-2</v>
      </c>
      <c r="AR2339">
        <v>1</v>
      </c>
    </row>
    <row r="2340" spans="1:44" x14ac:dyDescent="0.35">
      <c r="A2340" s="12" t="s">
        <v>3129</v>
      </c>
      <c r="B2340" s="12" t="s">
        <v>519</v>
      </c>
      <c r="C2340" s="12" t="s">
        <v>520</v>
      </c>
      <c r="D2340" s="12" t="s">
        <v>78</v>
      </c>
      <c r="E2340" s="12" t="s">
        <v>65</v>
      </c>
      <c r="F2340">
        <v>2</v>
      </c>
      <c r="G2340">
        <v>3</v>
      </c>
      <c r="H2340">
        <v>0</v>
      </c>
      <c r="I2340" s="12" t="s">
        <v>143</v>
      </c>
      <c r="J2340" s="12" t="s">
        <v>144</v>
      </c>
      <c r="K2340" s="12" t="s">
        <v>133</v>
      </c>
      <c r="L2340" s="12" t="s">
        <v>96</v>
      </c>
      <c r="M2340">
        <v>5.43</v>
      </c>
      <c r="N2340" s="12" t="s">
        <v>70</v>
      </c>
      <c r="O2340" s="12" t="s">
        <v>71</v>
      </c>
      <c r="P2340" s="12" t="s">
        <v>72</v>
      </c>
      <c r="Q2340" s="13">
        <v>45376</v>
      </c>
      <c r="R2340" s="13">
        <v>45402</v>
      </c>
      <c r="S2340">
        <v>2024</v>
      </c>
      <c r="T2340" s="12" t="s">
        <v>2941</v>
      </c>
      <c r="U2340">
        <v>123</v>
      </c>
      <c r="V2340">
        <v>30.1342</v>
      </c>
      <c r="W2340">
        <v>58.12</v>
      </c>
      <c r="X2340">
        <v>0</v>
      </c>
      <c r="Y2340">
        <v>0</v>
      </c>
      <c r="Z2340">
        <v>3706.51</v>
      </c>
      <c r="AA2340">
        <v>3764.63</v>
      </c>
      <c r="AB2340" s="12" t="s">
        <v>3130</v>
      </c>
      <c r="AC2340">
        <v>30.1342</v>
      </c>
      <c r="AD2340">
        <v>1</v>
      </c>
      <c r="AE2340">
        <v>1</v>
      </c>
      <c r="AF2340">
        <v>0</v>
      </c>
      <c r="AG2340">
        <v>3706.51</v>
      </c>
      <c r="AH2340">
        <v>123</v>
      </c>
      <c r="AI2340">
        <v>121</v>
      </c>
      <c r="AJ2340">
        <v>2</v>
      </c>
      <c r="AK2340">
        <v>1</v>
      </c>
      <c r="AL2340">
        <v>1</v>
      </c>
      <c r="AM2340">
        <v>98.37</v>
      </c>
      <c r="AN2340">
        <v>31.1126</v>
      </c>
      <c r="AO2340">
        <v>60.27</v>
      </c>
      <c r="AP2340" s="13">
        <v>45400</v>
      </c>
      <c r="AQ2340">
        <v>-2</v>
      </c>
      <c r="AR2340">
        <v>1</v>
      </c>
    </row>
    <row r="2341" spans="1:44" x14ac:dyDescent="0.35">
      <c r="A2341" s="12" t="s">
        <v>3131</v>
      </c>
      <c r="B2341" s="12" t="s">
        <v>128</v>
      </c>
      <c r="C2341" s="12" t="s">
        <v>129</v>
      </c>
      <c r="D2341" s="12" t="s">
        <v>130</v>
      </c>
      <c r="E2341" s="12" t="s">
        <v>65</v>
      </c>
      <c r="F2341">
        <v>3</v>
      </c>
      <c r="G2341">
        <v>5</v>
      </c>
      <c r="H2341">
        <v>0</v>
      </c>
      <c r="I2341" s="12" t="s">
        <v>131</v>
      </c>
      <c r="J2341" s="12" t="s">
        <v>132</v>
      </c>
      <c r="K2341" s="12" t="s">
        <v>133</v>
      </c>
      <c r="L2341" s="12" t="s">
        <v>134</v>
      </c>
      <c r="M2341">
        <v>1.51</v>
      </c>
      <c r="N2341" s="12" t="s">
        <v>135</v>
      </c>
      <c r="O2341" s="12" t="s">
        <v>136</v>
      </c>
      <c r="P2341" s="12" t="s">
        <v>137</v>
      </c>
      <c r="Q2341" s="13">
        <v>45376</v>
      </c>
      <c r="R2341" s="13">
        <v>45397</v>
      </c>
      <c r="S2341">
        <v>2024</v>
      </c>
      <c r="T2341" s="12" t="s">
        <v>2941</v>
      </c>
      <c r="U2341">
        <v>12</v>
      </c>
      <c r="V2341">
        <v>443.04669999999999</v>
      </c>
      <c r="W2341">
        <v>63.24</v>
      </c>
      <c r="X2341">
        <v>0</v>
      </c>
      <c r="Y2341">
        <v>0</v>
      </c>
      <c r="Z2341">
        <v>5316.56</v>
      </c>
      <c r="AA2341">
        <v>5379.8</v>
      </c>
      <c r="AB2341" s="12" t="s">
        <v>201</v>
      </c>
      <c r="AD2341">
        <v>0</v>
      </c>
      <c r="AE2341">
        <v>0</v>
      </c>
      <c r="AH2341">
        <v>12</v>
      </c>
      <c r="AI2341">
        <v>11</v>
      </c>
      <c r="AJ2341">
        <v>1</v>
      </c>
      <c r="AK2341">
        <v>1</v>
      </c>
      <c r="AL2341">
        <v>1</v>
      </c>
      <c r="AM2341">
        <v>91.67</v>
      </c>
      <c r="AN2341">
        <v>489.07279999999997</v>
      </c>
      <c r="AO2341">
        <v>443.05</v>
      </c>
      <c r="AP2341" s="13">
        <v>45397</v>
      </c>
      <c r="AQ2341">
        <v>0</v>
      </c>
      <c r="AR2341">
        <v>1</v>
      </c>
    </row>
    <row r="2342" spans="1:44" x14ac:dyDescent="0.35">
      <c r="A2342" s="12" t="s">
        <v>3132</v>
      </c>
      <c r="B2342" s="12" t="s">
        <v>357</v>
      </c>
      <c r="C2342" s="12" t="s">
        <v>358</v>
      </c>
      <c r="D2342" s="12" t="s">
        <v>103</v>
      </c>
      <c r="E2342" s="12" t="s">
        <v>104</v>
      </c>
      <c r="F2342">
        <v>3</v>
      </c>
      <c r="G2342">
        <v>1</v>
      </c>
      <c r="H2342">
        <v>0</v>
      </c>
      <c r="I2342" s="12" t="s">
        <v>151</v>
      </c>
      <c r="J2342" s="12" t="s">
        <v>152</v>
      </c>
      <c r="K2342" s="12" t="s">
        <v>125</v>
      </c>
      <c r="L2342" s="12" t="s">
        <v>69</v>
      </c>
      <c r="M2342">
        <v>36.479999999999997</v>
      </c>
      <c r="N2342" s="12" t="s">
        <v>145</v>
      </c>
      <c r="O2342" s="12" t="s">
        <v>146</v>
      </c>
      <c r="P2342" s="12" t="s">
        <v>109</v>
      </c>
      <c r="Q2342" s="13">
        <v>45376</v>
      </c>
      <c r="R2342" s="13">
        <v>45404</v>
      </c>
      <c r="S2342">
        <v>2024</v>
      </c>
      <c r="T2342" s="12" t="s">
        <v>2941</v>
      </c>
      <c r="U2342">
        <v>136</v>
      </c>
      <c r="V2342">
        <v>105.8651</v>
      </c>
      <c r="W2342">
        <v>233.32</v>
      </c>
      <c r="X2342">
        <v>0</v>
      </c>
      <c r="Y2342">
        <v>0</v>
      </c>
      <c r="Z2342">
        <v>14397.65</v>
      </c>
      <c r="AA2342">
        <v>14630.97</v>
      </c>
      <c r="AB2342" s="12" t="s">
        <v>2560</v>
      </c>
      <c r="AC2342">
        <v>105.8651</v>
      </c>
      <c r="AD2342">
        <v>1</v>
      </c>
      <c r="AE2342">
        <v>1</v>
      </c>
      <c r="AF2342">
        <v>0</v>
      </c>
      <c r="AG2342">
        <v>14397.65</v>
      </c>
      <c r="AH2342">
        <v>136</v>
      </c>
      <c r="AI2342">
        <v>134</v>
      </c>
      <c r="AJ2342">
        <v>2</v>
      </c>
      <c r="AK2342">
        <v>1</v>
      </c>
      <c r="AL2342">
        <v>1</v>
      </c>
      <c r="AM2342">
        <v>98.53</v>
      </c>
      <c r="AN2342">
        <v>109.18640000000001</v>
      </c>
      <c r="AO2342">
        <v>211.73</v>
      </c>
      <c r="AP2342" s="13">
        <v>45401</v>
      </c>
      <c r="AQ2342">
        <v>-3</v>
      </c>
      <c r="AR2342">
        <v>1</v>
      </c>
    </row>
    <row r="2343" spans="1:44" x14ac:dyDescent="0.35">
      <c r="A2343" s="12" t="s">
        <v>3133</v>
      </c>
      <c r="B2343" s="12" t="s">
        <v>740</v>
      </c>
      <c r="C2343" s="12" t="s">
        <v>741</v>
      </c>
      <c r="D2343" s="12" t="s">
        <v>64</v>
      </c>
      <c r="E2343" s="12" t="s">
        <v>104</v>
      </c>
      <c r="F2343">
        <v>2</v>
      </c>
      <c r="G2343">
        <v>0</v>
      </c>
      <c r="H2343">
        <v>0</v>
      </c>
      <c r="I2343" s="12" t="s">
        <v>183</v>
      </c>
      <c r="J2343" s="12" t="s">
        <v>184</v>
      </c>
      <c r="K2343" s="12" t="s">
        <v>133</v>
      </c>
      <c r="L2343" s="12" t="s">
        <v>82</v>
      </c>
      <c r="M2343">
        <v>8.6199999999999992</v>
      </c>
      <c r="N2343" s="12" t="s">
        <v>70</v>
      </c>
      <c r="O2343" s="12" t="s">
        <v>71</v>
      </c>
      <c r="P2343" s="12" t="s">
        <v>72</v>
      </c>
      <c r="Q2343" s="13">
        <v>45376</v>
      </c>
      <c r="R2343" s="13">
        <v>45393</v>
      </c>
      <c r="S2343">
        <v>2024</v>
      </c>
      <c r="T2343" s="12" t="s">
        <v>2941</v>
      </c>
      <c r="U2343">
        <v>380</v>
      </c>
      <c r="V2343">
        <v>41.1708</v>
      </c>
      <c r="W2343">
        <v>113.21</v>
      </c>
      <c r="X2343">
        <v>0</v>
      </c>
      <c r="Y2343">
        <v>0</v>
      </c>
      <c r="Z2343">
        <v>15644.9</v>
      </c>
      <c r="AA2343">
        <v>15758.11</v>
      </c>
      <c r="AB2343" s="12" t="s">
        <v>3134</v>
      </c>
      <c r="AC2343">
        <v>41.1708</v>
      </c>
      <c r="AD2343">
        <v>1</v>
      </c>
      <c r="AE2343">
        <v>1</v>
      </c>
      <c r="AF2343">
        <v>0</v>
      </c>
      <c r="AG2343">
        <v>15644.9</v>
      </c>
      <c r="AH2343">
        <v>380</v>
      </c>
      <c r="AI2343">
        <v>378</v>
      </c>
      <c r="AJ2343">
        <v>2</v>
      </c>
      <c r="AK2343">
        <v>1</v>
      </c>
      <c r="AL2343">
        <v>1</v>
      </c>
      <c r="AM2343">
        <v>99.47</v>
      </c>
      <c r="AN2343">
        <v>41.688099999999999</v>
      </c>
      <c r="AO2343">
        <v>82.34</v>
      </c>
      <c r="AP2343" s="13">
        <v>45390</v>
      </c>
      <c r="AQ2343">
        <v>-3</v>
      </c>
      <c r="AR2343">
        <v>1</v>
      </c>
    </row>
    <row r="2344" spans="1:44" x14ac:dyDescent="0.35">
      <c r="A2344" s="12" t="s">
        <v>3135</v>
      </c>
      <c r="B2344" s="12" t="s">
        <v>902</v>
      </c>
      <c r="C2344" s="12" t="s">
        <v>903</v>
      </c>
      <c r="D2344" s="12" t="s">
        <v>122</v>
      </c>
      <c r="E2344" s="12" t="s">
        <v>142</v>
      </c>
      <c r="F2344">
        <v>1</v>
      </c>
      <c r="G2344">
        <v>6</v>
      </c>
      <c r="H2344">
        <v>1</v>
      </c>
      <c r="I2344" s="12" t="s">
        <v>105</v>
      </c>
      <c r="J2344" s="12" t="s">
        <v>106</v>
      </c>
      <c r="K2344" s="12" t="s">
        <v>81</v>
      </c>
      <c r="L2344" s="12" t="s">
        <v>96</v>
      </c>
      <c r="M2344">
        <v>5.01</v>
      </c>
      <c r="N2344" s="12" t="s">
        <v>70</v>
      </c>
      <c r="O2344" s="12" t="s">
        <v>71</v>
      </c>
      <c r="P2344" s="12" t="s">
        <v>72</v>
      </c>
      <c r="Q2344" s="13">
        <v>45376</v>
      </c>
      <c r="R2344" s="13">
        <v>45426</v>
      </c>
      <c r="S2344">
        <v>2024</v>
      </c>
      <c r="T2344" s="12" t="s">
        <v>2941</v>
      </c>
      <c r="U2344">
        <v>1719</v>
      </c>
      <c r="V2344">
        <v>41.861199999999997</v>
      </c>
      <c r="W2344">
        <v>1788.21</v>
      </c>
      <c r="X2344">
        <v>0</v>
      </c>
      <c r="Y2344">
        <v>0</v>
      </c>
      <c r="Z2344">
        <v>71959.399999999994</v>
      </c>
      <c r="AA2344">
        <v>73747.61</v>
      </c>
      <c r="AB2344" s="12" t="s">
        <v>904</v>
      </c>
      <c r="AC2344">
        <v>41.861199999999997</v>
      </c>
      <c r="AD2344">
        <v>1</v>
      </c>
      <c r="AE2344">
        <v>1</v>
      </c>
      <c r="AF2344">
        <v>0</v>
      </c>
      <c r="AG2344">
        <v>71959.399999999994</v>
      </c>
      <c r="AH2344">
        <v>1719</v>
      </c>
      <c r="AI2344">
        <v>1708</v>
      </c>
      <c r="AJ2344">
        <v>11</v>
      </c>
      <c r="AK2344">
        <v>1</v>
      </c>
      <c r="AL2344">
        <v>1</v>
      </c>
      <c r="AM2344">
        <v>99.36</v>
      </c>
      <c r="AN2344">
        <v>43.177799999999998</v>
      </c>
      <c r="AO2344">
        <v>460.47</v>
      </c>
      <c r="AP2344" s="13">
        <v>45423</v>
      </c>
      <c r="AQ2344">
        <v>-3</v>
      </c>
      <c r="AR2344">
        <v>1</v>
      </c>
    </row>
    <row r="2345" spans="1:44" x14ac:dyDescent="0.35">
      <c r="A2345" s="12" t="s">
        <v>3136</v>
      </c>
      <c r="B2345" s="12" t="s">
        <v>680</v>
      </c>
      <c r="C2345" s="12" t="s">
        <v>681</v>
      </c>
      <c r="D2345" s="12" t="s">
        <v>122</v>
      </c>
      <c r="E2345" s="12" t="s">
        <v>104</v>
      </c>
      <c r="F2345">
        <v>3</v>
      </c>
      <c r="G2345">
        <v>1</v>
      </c>
      <c r="H2345">
        <v>0</v>
      </c>
      <c r="I2345" s="12" t="s">
        <v>227</v>
      </c>
      <c r="J2345" s="12" t="s">
        <v>228</v>
      </c>
      <c r="K2345" s="12" t="s">
        <v>89</v>
      </c>
      <c r="L2345" s="12" t="s">
        <v>96</v>
      </c>
      <c r="M2345">
        <v>9.15</v>
      </c>
      <c r="N2345" s="12" t="s">
        <v>70</v>
      </c>
      <c r="O2345" s="12" t="s">
        <v>71</v>
      </c>
      <c r="P2345" s="12" t="s">
        <v>72</v>
      </c>
      <c r="Q2345" s="13">
        <v>45377</v>
      </c>
      <c r="R2345" s="13">
        <v>45396</v>
      </c>
      <c r="S2345">
        <v>2024</v>
      </c>
      <c r="T2345" s="12" t="s">
        <v>2941</v>
      </c>
      <c r="U2345">
        <v>964</v>
      </c>
      <c r="V2345">
        <v>23.246099999999998</v>
      </c>
      <c r="W2345">
        <v>575.85</v>
      </c>
      <c r="X2345">
        <v>0</v>
      </c>
      <c r="Y2345">
        <v>0</v>
      </c>
      <c r="Z2345">
        <v>22409.24</v>
      </c>
      <c r="AA2345">
        <v>22985.09</v>
      </c>
      <c r="AB2345" s="12" t="s">
        <v>861</v>
      </c>
      <c r="AC2345">
        <v>23.246099999999998</v>
      </c>
      <c r="AD2345">
        <v>1</v>
      </c>
      <c r="AE2345">
        <v>1</v>
      </c>
      <c r="AF2345">
        <v>0</v>
      </c>
      <c r="AG2345">
        <v>22409.24</v>
      </c>
      <c r="AH2345">
        <v>964</v>
      </c>
      <c r="AI2345">
        <v>960</v>
      </c>
      <c r="AJ2345">
        <v>4</v>
      </c>
      <c r="AK2345">
        <v>1</v>
      </c>
      <c r="AL2345">
        <v>1</v>
      </c>
      <c r="AM2345">
        <v>99.59</v>
      </c>
      <c r="AN2345">
        <v>23.942799999999998</v>
      </c>
      <c r="AO2345">
        <v>92.98</v>
      </c>
      <c r="AP2345" s="13">
        <v>45393</v>
      </c>
      <c r="AQ2345">
        <v>-3</v>
      </c>
      <c r="AR2345">
        <v>1</v>
      </c>
    </row>
    <row r="2346" spans="1:44" x14ac:dyDescent="0.35">
      <c r="A2346" s="12" t="s">
        <v>3137</v>
      </c>
      <c r="B2346" s="12" t="s">
        <v>327</v>
      </c>
      <c r="C2346" s="12" t="s">
        <v>328</v>
      </c>
      <c r="D2346" s="12" t="s">
        <v>130</v>
      </c>
      <c r="E2346" s="12" t="s">
        <v>104</v>
      </c>
      <c r="F2346">
        <v>2</v>
      </c>
      <c r="G2346">
        <v>0</v>
      </c>
      <c r="H2346">
        <v>0</v>
      </c>
      <c r="I2346" s="12" t="s">
        <v>94</v>
      </c>
      <c r="J2346" s="12" t="s">
        <v>95</v>
      </c>
      <c r="K2346" s="12" t="s">
        <v>81</v>
      </c>
      <c r="L2346" s="12" t="s">
        <v>96</v>
      </c>
      <c r="M2346">
        <v>4.8099999999999996</v>
      </c>
      <c r="N2346" s="12" t="s">
        <v>135</v>
      </c>
      <c r="O2346" s="12" t="s">
        <v>136</v>
      </c>
      <c r="P2346" s="12" t="s">
        <v>137</v>
      </c>
      <c r="Q2346" s="13">
        <v>45377</v>
      </c>
      <c r="R2346" s="13">
        <v>45399</v>
      </c>
      <c r="S2346">
        <v>2024</v>
      </c>
      <c r="T2346" s="12" t="s">
        <v>2941</v>
      </c>
      <c r="U2346">
        <v>89</v>
      </c>
      <c r="V2346">
        <v>697.23929999999996</v>
      </c>
      <c r="W2346">
        <v>1493.87</v>
      </c>
      <c r="X2346">
        <v>0</v>
      </c>
      <c r="Y2346">
        <v>0</v>
      </c>
      <c r="Z2346">
        <v>62054.3</v>
      </c>
      <c r="AA2346">
        <v>63548.17</v>
      </c>
      <c r="AB2346" s="12" t="s">
        <v>3016</v>
      </c>
      <c r="AC2346">
        <v>697.23929999999996</v>
      </c>
      <c r="AD2346">
        <v>1</v>
      </c>
      <c r="AE2346">
        <v>1</v>
      </c>
      <c r="AF2346">
        <v>0</v>
      </c>
      <c r="AG2346">
        <v>62054.3</v>
      </c>
      <c r="AH2346">
        <v>89</v>
      </c>
      <c r="AI2346">
        <v>89</v>
      </c>
      <c r="AJ2346">
        <v>0</v>
      </c>
      <c r="AK2346">
        <v>1</v>
      </c>
      <c r="AL2346">
        <v>1</v>
      </c>
      <c r="AM2346">
        <v>100</v>
      </c>
      <c r="AN2346">
        <v>714.02440000000001</v>
      </c>
      <c r="AO2346">
        <v>0</v>
      </c>
      <c r="AP2346" s="13">
        <v>45405</v>
      </c>
      <c r="AQ2346">
        <v>6</v>
      </c>
      <c r="AR2346">
        <v>0</v>
      </c>
    </row>
    <row r="2347" spans="1:44" x14ac:dyDescent="0.35">
      <c r="A2347" s="12" t="s">
        <v>3138</v>
      </c>
      <c r="B2347" s="12" t="s">
        <v>101</v>
      </c>
      <c r="C2347" s="12" t="s">
        <v>102</v>
      </c>
      <c r="D2347" s="12" t="s">
        <v>103</v>
      </c>
      <c r="E2347" s="12" t="s">
        <v>104</v>
      </c>
      <c r="F2347">
        <v>1</v>
      </c>
      <c r="G2347">
        <v>0</v>
      </c>
      <c r="H2347">
        <v>1</v>
      </c>
      <c r="I2347" s="12" t="s">
        <v>105</v>
      </c>
      <c r="J2347" s="12" t="s">
        <v>106</v>
      </c>
      <c r="K2347" s="12" t="s">
        <v>81</v>
      </c>
      <c r="L2347" s="12" t="s">
        <v>96</v>
      </c>
      <c r="M2347">
        <v>5.01</v>
      </c>
      <c r="N2347" s="12" t="s">
        <v>107</v>
      </c>
      <c r="O2347" s="12" t="s">
        <v>108</v>
      </c>
      <c r="P2347" s="12" t="s">
        <v>109</v>
      </c>
      <c r="Q2347" s="13">
        <v>45377</v>
      </c>
      <c r="R2347" s="13">
        <v>45394</v>
      </c>
      <c r="S2347">
        <v>2024</v>
      </c>
      <c r="T2347" s="12" t="s">
        <v>2941</v>
      </c>
      <c r="U2347">
        <v>51</v>
      </c>
      <c r="V2347">
        <v>205.32499999999999</v>
      </c>
      <c r="W2347">
        <v>121.53</v>
      </c>
      <c r="X2347">
        <v>0</v>
      </c>
      <c r="Y2347">
        <v>0</v>
      </c>
      <c r="Z2347">
        <v>10471.58</v>
      </c>
      <c r="AA2347">
        <v>10593.11</v>
      </c>
      <c r="AB2347" s="12" t="s">
        <v>2866</v>
      </c>
      <c r="AC2347">
        <v>205.32499999999999</v>
      </c>
      <c r="AD2347">
        <v>1</v>
      </c>
      <c r="AE2347">
        <v>1</v>
      </c>
      <c r="AF2347">
        <v>0</v>
      </c>
      <c r="AG2347">
        <v>10471.58</v>
      </c>
      <c r="AH2347">
        <v>51</v>
      </c>
      <c r="AI2347">
        <v>50</v>
      </c>
      <c r="AJ2347">
        <v>1</v>
      </c>
      <c r="AK2347">
        <v>1</v>
      </c>
      <c r="AL2347">
        <v>1</v>
      </c>
      <c r="AM2347">
        <v>98.04</v>
      </c>
      <c r="AN2347">
        <v>211.8621</v>
      </c>
      <c r="AO2347">
        <v>205.33</v>
      </c>
      <c r="AP2347" s="13">
        <v>45392</v>
      </c>
      <c r="AQ2347">
        <v>-2</v>
      </c>
      <c r="AR2347">
        <v>1</v>
      </c>
    </row>
    <row r="2348" spans="1:44" x14ac:dyDescent="0.35">
      <c r="A2348" s="12" t="s">
        <v>3139</v>
      </c>
      <c r="B2348" s="12" t="s">
        <v>843</v>
      </c>
      <c r="C2348" s="12" t="s">
        <v>844</v>
      </c>
      <c r="D2348" s="12" t="s">
        <v>175</v>
      </c>
      <c r="E2348" s="12" t="s">
        <v>65</v>
      </c>
      <c r="F2348">
        <v>3</v>
      </c>
      <c r="G2348">
        <v>5</v>
      </c>
      <c r="H2348">
        <v>0</v>
      </c>
      <c r="I2348" s="12" t="s">
        <v>359</v>
      </c>
      <c r="J2348" s="12" t="s">
        <v>360</v>
      </c>
      <c r="K2348" s="12" t="s">
        <v>133</v>
      </c>
      <c r="L2348" s="12" t="s">
        <v>82</v>
      </c>
      <c r="M2348">
        <v>12.65</v>
      </c>
      <c r="N2348" s="12" t="s">
        <v>145</v>
      </c>
      <c r="O2348" s="12" t="s">
        <v>146</v>
      </c>
      <c r="P2348" s="12" t="s">
        <v>109</v>
      </c>
      <c r="Q2348" s="13">
        <v>45377</v>
      </c>
      <c r="R2348" s="13">
        <v>45404</v>
      </c>
      <c r="S2348">
        <v>2024</v>
      </c>
      <c r="T2348" s="12" t="s">
        <v>2941</v>
      </c>
      <c r="U2348">
        <v>57</v>
      </c>
      <c r="V2348">
        <v>267.03480000000002</v>
      </c>
      <c r="W2348">
        <v>283.08999999999997</v>
      </c>
      <c r="X2348">
        <v>0</v>
      </c>
      <c r="Y2348">
        <v>0</v>
      </c>
      <c r="Z2348">
        <v>15220.98</v>
      </c>
      <c r="AA2348">
        <v>15504.07</v>
      </c>
      <c r="AB2348" s="12" t="s">
        <v>845</v>
      </c>
      <c r="AC2348">
        <v>267.03480000000002</v>
      </c>
      <c r="AD2348">
        <v>1</v>
      </c>
      <c r="AE2348">
        <v>1</v>
      </c>
      <c r="AF2348">
        <v>0</v>
      </c>
      <c r="AG2348">
        <v>15220.98</v>
      </c>
      <c r="AH2348">
        <v>57</v>
      </c>
      <c r="AI2348">
        <v>57</v>
      </c>
      <c r="AJ2348">
        <v>0</v>
      </c>
      <c r="AK2348">
        <v>1</v>
      </c>
      <c r="AL2348">
        <v>1</v>
      </c>
      <c r="AM2348">
        <v>100</v>
      </c>
      <c r="AN2348">
        <v>272.00130000000001</v>
      </c>
      <c r="AO2348">
        <v>0</v>
      </c>
      <c r="AP2348" s="13">
        <v>45411</v>
      </c>
      <c r="AQ2348">
        <v>7</v>
      </c>
      <c r="AR2348">
        <v>0</v>
      </c>
    </row>
    <row r="2349" spans="1:44" x14ac:dyDescent="0.35">
      <c r="A2349" s="12" t="s">
        <v>3140</v>
      </c>
      <c r="B2349" s="12" t="s">
        <v>848</v>
      </c>
      <c r="C2349" s="12" t="s">
        <v>849</v>
      </c>
      <c r="D2349" s="12" t="s">
        <v>103</v>
      </c>
      <c r="E2349" s="12" t="s">
        <v>65</v>
      </c>
      <c r="F2349">
        <v>2</v>
      </c>
      <c r="G2349">
        <v>4</v>
      </c>
      <c r="H2349">
        <v>0</v>
      </c>
      <c r="I2349" s="12" t="s">
        <v>87</v>
      </c>
      <c r="J2349" s="12" t="s">
        <v>88</v>
      </c>
      <c r="K2349" s="12" t="s">
        <v>89</v>
      </c>
      <c r="L2349" s="12" t="s">
        <v>69</v>
      </c>
      <c r="M2349">
        <v>14.93</v>
      </c>
      <c r="N2349" s="12" t="s">
        <v>145</v>
      </c>
      <c r="O2349" s="12" t="s">
        <v>146</v>
      </c>
      <c r="P2349" s="12" t="s">
        <v>109</v>
      </c>
      <c r="Q2349" s="13">
        <v>45377</v>
      </c>
      <c r="R2349" s="13">
        <v>45410</v>
      </c>
      <c r="S2349">
        <v>2024</v>
      </c>
      <c r="T2349" s="12" t="s">
        <v>2941</v>
      </c>
      <c r="U2349">
        <v>110</v>
      </c>
      <c r="V2349">
        <v>123.8275</v>
      </c>
      <c r="W2349">
        <v>218.61</v>
      </c>
      <c r="X2349">
        <v>0</v>
      </c>
      <c r="Y2349">
        <v>0</v>
      </c>
      <c r="Z2349">
        <v>13621.03</v>
      </c>
      <c r="AA2349">
        <v>13839.64</v>
      </c>
      <c r="AB2349" s="12" t="s">
        <v>850</v>
      </c>
      <c r="AC2349">
        <v>123.8275</v>
      </c>
      <c r="AD2349">
        <v>1</v>
      </c>
      <c r="AE2349">
        <v>1</v>
      </c>
      <c r="AF2349">
        <v>0</v>
      </c>
      <c r="AG2349">
        <v>13621.03</v>
      </c>
      <c r="AH2349">
        <v>110</v>
      </c>
      <c r="AI2349">
        <v>109</v>
      </c>
      <c r="AJ2349">
        <v>1</v>
      </c>
      <c r="AK2349">
        <v>1</v>
      </c>
      <c r="AL2349">
        <v>1</v>
      </c>
      <c r="AM2349">
        <v>99.09</v>
      </c>
      <c r="AN2349">
        <v>126.9691</v>
      </c>
      <c r="AO2349">
        <v>123.83</v>
      </c>
      <c r="AP2349" s="13">
        <v>45407</v>
      </c>
      <c r="AQ2349">
        <v>-3</v>
      </c>
      <c r="AR2349">
        <v>1</v>
      </c>
    </row>
    <row r="2350" spans="1:44" x14ac:dyDescent="0.35">
      <c r="A2350" s="12" t="s">
        <v>3141</v>
      </c>
      <c r="B2350" s="12" t="s">
        <v>378</v>
      </c>
      <c r="C2350" s="12" t="s">
        <v>379</v>
      </c>
      <c r="D2350" s="12" t="s">
        <v>64</v>
      </c>
      <c r="E2350" s="12" t="s">
        <v>104</v>
      </c>
      <c r="F2350">
        <v>3</v>
      </c>
      <c r="G2350">
        <v>1</v>
      </c>
      <c r="H2350">
        <v>0</v>
      </c>
      <c r="I2350" s="12" t="s">
        <v>176</v>
      </c>
      <c r="J2350" s="12" t="s">
        <v>177</v>
      </c>
      <c r="K2350" s="12" t="s">
        <v>125</v>
      </c>
      <c r="L2350" s="12" t="s">
        <v>134</v>
      </c>
      <c r="M2350">
        <v>1.75</v>
      </c>
      <c r="N2350" s="12" t="s">
        <v>97</v>
      </c>
      <c r="O2350" s="12" t="s">
        <v>98</v>
      </c>
      <c r="P2350" s="12" t="s">
        <v>72</v>
      </c>
      <c r="Q2350" s="13">
        <v>45377</v>
      </c>
      <c r="R2350" s="13">
        <v>45393</v>
      </c>
      <c r="S2350">
        <v>2024</v>
      </c>
      <c r="T2350" s="12" t="s">
        <v>2941</v>
      </c>
      <c r="U2350">
        <v>335</v>
      </c>
      <c r="V2350">
        <v>17.375399999999999</v>
      </c>
      <c r="W2350">
        <v>98.11</v>
      </c>
      <c r="X2350">
        <v>0</v>
      </c>
      <c r="Y2350">
        <v>0</v>
      </c>
      <c r="Z2350">
        <v>5820.76</v>
      </c>
      <c r="AA2350">
        <v>5918.87</v>
      </c>
      <c r="AB2350" s="12" t="s">
        <v>201</v>
      </c>
      <c r="AD2350">
        <v>0</v>
      </c>
      <c r="AE2350">
        <v>0</v>
      </c>
      <c r="AH2350">
        <v>335</v>
      </c>
      <c r="AI2350">
        <v>334</v>
      </c>
      <c r="AJ2350">
        <v>1</v>
      </c>
      <c r="AK2350">
        <v>1</v>
      </c>
      <c r="AL2350">
        <v>1</v>
      </c>
      <c r="AM2350">
        <v>99.7</v>
      </c>
      <c r="AN2350">
        <v>17.7212</v>
      </c>
      <c r="AO2350">
        <v>17.38</v>
      </c>
      <c r="AP2350" s="13">
        <v>45392</v>
      </c>
      <c r="AQ2350">
        <v>-1</v>
      </c>
      <c r="AR2350">
        <v>1</v>
      </c>
    </row>
    <row r="2351" spans="1:44" x14ac:dyDescent="0.35">
      <c r="A2351" s="12" t="s">
        <v>3142</v>
      </c>
      <c r="B2351" s="12" t="s">
        <v>267</v>
      </c>
      <c r="C2351" s="12" t="s">
        <v>268</v>
      </c>
      <c r="D2351" s="12" t="s">
        <v>269</v>
      </c>
      <c r="E2351" s="12" t="s">
        <v>142</v>
      </c>
      <c r="F2351">
        <v>1</v>
      </c>
      <c r="G2351">
        <v>8</v>
      </c>
      <c r="H2351">
        <v>1</v>
      </c>
      <c r="I2351" s="12" t="s">
        <v>94</v>
      </c>
      <c r="J2351" s="12" t="s">
        <v>95</v>
      </c>
      <c r="K2351" s="12" t="s">
        <v>81</v>
      </c>
      <c r="L2351" s="12" t="s">
        <v>96</v>
      </c>
      <c r="M2351">
        <v>4.8099999999999996</v>
      </c>
      <c r="N2351" s="12" t="s">
        <v>159</v>
      </c>
      <c r="O2351" s="12" t="s">
        <v>160</v>
      </c>
      <c r="P2351" s="12" t="s">
        <v>137</v>
      </c>
      <c r="Q2351" s="13">
        <v>45377</v>
      </c>
      <c r="R2351" s="13">
        <v>45415</v>
      </c>
      <c r="S2351">
        <v>2024</v>
      </c>
      <c r="T2351" s="12" t="s">
        <v>2941</v>
      </c>
      <c r="U2351">
        <v>40</v>
      </c>
      <c r="V2351">
        <v>212.19399999999999</v>
      </c>
      <c r="W2351">
        <v>133</v>
      </c>
      <c r="X2351">
        <v>0</v>
      </c>
      <c r="Y2351">
        <v>0</v>
      </c>
      <c r="Z2351">
        <v>8487.76</v>
      </c>
      <c r="AA2351">
        <v>8620.76</v>
      </c>
      <c r="AB2351" s="12" t="s">
        <v>2878</v>
      </c>
      <c r="AC2351">
        <v>225.02719999999999</v>
      </c>
      <c r="AD2351">
        <v>1</v>
      </c>
      <c r="AE2351">
        <v>1</v>
      </c>
      <c r="AF2351">
        <v>-513.33000000000004</v>
      </c>
      <c r="AG2351">
        <v>9001.09</v>
      </c>
      <c r="AH2351">
        <v>40</v>
      </c>
      <c r="AI2351">
        <v>40</v>
      </c>
      <c r="AJ2351">
        <v>0</v>
      </c>
      <c r="AK2351">
        <v>1</v>
      </c>
      <c r="AL2351">
        <v>1</v>
      </c>
      <c r="AM2351">
        <v>100</v>
      </c>
      <c r="AN2351">
        <v>215.51900000000001</v>
      </c>
      <c r="AO2351">
        <v>0</v>
      </c>
      <c r="AP2351" s="13">
        <v>45414</v>
      </c>
      <c r="AQ2351">
        <v>-1</v>
      </c>
      <c r="AR2351">
        <v>1</v>
      </c>
    </row>
    <row r="2352" spans="1:44" x14ac:dyDescent="0.35">
      <c r="A2352" s="12" t="s">
        <v>3143</v>
      </c>
      <c r="B2352" s="12" t="s">
        <v>391</v>
      </c>
      <c r="C2352" s="12" t="s">
        <v>392</v>
      </c>
      <c r="D2352" s="12" t="s">
        <v>114</v>
      </c>
      <c r="E2352" s="12" t="s">
        <v>65</v>
      </c>
      <c r="F2352">
        <v>2</v>
      </c>
      <c r="G2352">
        <v>2</v>
      </c>
      <c r="H2352">
        <v>0</v>
      </c>
      <c r="I2352" s="12" t="s">
        <v>310</v>
      </c>
      <c r="J2352" s="12" t="s">
        <v>311</v>
      </c>
      <c r="K2352" s="12" t="s">
        <v>81</v>
      </c>
      <c r="L2352" s="12" t="s">
        <v>69</v>
      </c>
      <c r="M2352">
        <v>28.3</v>
      </c>
      <c r="N2352" s="12" t="s">
        <v>70</v>
      </c>
      <c r="O2352" s="12" t="s">
        <v>71</v>
      </c>
      <c r="P2352" s="12" t="s">
        <v>72</v>
      </c>
      <c r="Q2352" s="13">
        <v>45377</v>
      </c>
      <c r="R2352" s="13">
        <v>45415</v>
      </c>
      <c r="S2352">
        <v>2024</v>
      </c>
      <c r="T2352" s="12" t="s">
        <v>2941</v>
      </c>
      <c r="U2352">
        <v>149</v>
      </c>
      <c r="V2352">
        <v>220.328</v>
      </c>
      <c r="W2352">
        <v>261.89999999999998</v>
      </c>
      <c r="X2352">
        <v>0</v>
      </c>
      <c r="Y2352">
        <v>0</v>
      </c>
      <c r="Z2352">
        <v>32828.870000000003</v>
      </c>
      <c r="AA2352">
        <v>33090.769999999997</v>
      </c>
      <c r="AB2352" s="12" t="s">
        <v>2890</v>
      </c>
      <c r="AC2352">
        <v>220.328</v>
      </c>
      <c r="AD2352">
        <v>1</v>
      </c>
      <c r="AE2352">
        <v>1</v>
      </c>
      <c r="AF2352">
        <v>0</v>
      </c>
      <c r="AG2352">
        <v>32828.870000000003</v>
      </c>
      <c r="AH2352">
        <v>149</v>
      </c>
      <c r="AI2352">
        <v>148</v>
      </c>
      <c r="AJ2352">
        <v>1</v>
      </c>
      <c r="AK2352">
        <v>1</v>
      </c>
      <c r="AL2352">
        <v>1</v>
      </c>
      <c r="AM2352">
        <v>99.33</v>
      </c>
      <c r="AN2352">
        <v>223.58629999999999</v>
      </c>
      <c r="AO2352">
        <v>220.33</v>
      </c>
      <c r="AP2352" s="13">
        <v>45415</v>
      </c>
      <c r="AQ2352">
        <v>0</v>
      </c>
      <c r="AR2352">
        <v>1</v>
      </c>
    </row>
    <row r="2353" spans="1:44" x14ac:dyDescent="0.35">
      <c r="A2353" s="12" t="s">
        <v>3144</v>
      </c>
      <c r="B2353" s="12" t="s">
        <v>482</v>
      </c>
      <c r="C2353" s="12" t="s">
        <v>483</v>
      </c>
      <c r="D2353" s="12" t="s">
        <v>78</v>
      </c>
      <c r="E2353" s="12" t="s">
        <v>142</v>
      </c>
      <c r="F2353">
        <v>2</v>
      </c>
      <c r="G2353">
        <v>9</v>
      </c>
      <c r="H2353">
        <v>0</v>
      </c>
      <c r="I2353" s="12" t="s">
        <v>87</v>
      </c>
      <c r="J2353" s="12" t="s">
        <v>88</v>
      </c>
      <c r="K2353" s="12" t="s">
        <v>89</v>
      </c>
      <c r="L2353" s="12" t="s">
        <v>69</v>
      </c>
      <c r="M2353">
        <v>14.93</v>
      </c>
      <c r="N2353" s="12" t="s">
        <v>97</v>
      </c>
      <c r="O2353" s="12" t="s">
        <v>98</v>
      </c>
      <c r="P2353" s="12" t="s">
        <v>72</v>
      </c>
      <c r="Q2353" s="13">
        <v>45377</v>
      </c>
      <c r="R2353" s="13">
        <v>45416</v>
      </c>
      <c r="S2353">
        <v>2024</v>
      </c>
      <c r="T2353" s="12" t="s">
        <v>2941</v>
      </c>
      <c r="U2353">
        <v>109</v>
      </c>
      <c r="V2353">
        <v>47.101599999999998</v>
      </c>
      <c r="W2353">
        <v>121.42</v>
      </c>
      <c r="X2353">
        <v>0</v>
      </c>
      <c r="Y2353">
        <v>0</v>
      </c>
      <c r="Z2353">
        <v>5134.07</v>
      </c>
      <c r="AA2353">
        <v>5255.49</v>
      </c>
      <c r="AB2353" s="12" t="s">
        <v>3145</v>
      </c>
      <c r="AC2353">
        <v>47.101599999999998</v>
      </c>
      <c r="AD2353">
        <v>1</v>
      </c>
      <c r="AE2353">
        <v>1</v>
      </c>
      <c r="AF2353">
        <v>0</v>
      </c>
      <c r="AG2353">
        <v>5134.07</v>
      </c>
      <c r="AH2353">
        <v>109</v>
      </c>
      <c r="AI2353">
        <v>107</v>
      </c>
      <c r="AJ2353">
        <v>2</v>
      </c>
      <c r="AK2353">
        <v>1</v>
      </c>
      <c r="AL2353">
        <v>1</v>
      </c>
      <c r="AM2353">
        <v>98.17</v>
      </c>
      <c r="AN2353">
        <v>49.116799999999998</v>
      </c>
      <c r="AO2353">
        <v>94.2</v>
      </c>
      <c r="AP2353" s="13">
        <v>45416</v>
      </c>
      <c r="AQ2353">
        <v>0</v>
      </c>
      <c r="AR2353">
        <v>1</v>
      </c>
    </row>
    <row r="2354" spans="1:44" x14ac:dyDescent="0.35">
      <c r="A2354" s="12" t="s">
        <v>3146</v>
      </c>
      <c r="B2354" s="12" t="s">
        <v>972</v>
      </c>
      <c r="C2354" s="12" t="s">
        <v>973</v>
      </c>
      <c r="D2354" s="12" t="s">
        <v>130</v>
      </c>
      <c r="E2354" s="12" t="s">
        <v>142</v>
      </c>
      <c r="F2354">
        <v>2</v>
      </c>
      <c r="G2354">
        <v>9</v>
      </c>
      <c r="H2354">
        <v>0</v>
      </c>
      <c r="I2354" s="12" t="s">
        <v>66</v>
      </c>
      <c r="J2354" s="12" t="s">
        <v>67</v>
      </c>
      <c r="K2354" s="12" t="s">
        <v>68</v>
      </c>
      <c r="L2354" s="12" t="s">
        <v>69</v>
      </c>
      <c r="M2354">
        <v>17.66</v>
      </c>
      <c r="N2354" s="12" t="s">
        <v>159</v>
      </c>
      <c r="O2354" s="12" t="s">
        <v>160</v>
      </c>
      <c r="P2354" s="12" t="s">
        <v>137</v>
      </c>
      <c r="Q2354" s="13">
        <v>45377</v>
      </c>
      <c r="R2354" s="13">
        <v>45413</v>
      </c>
      <c r="S2354">
        <v>2024</v>
      </c>
      <c r="T2354" s="12" t="s">
        <v>2941</v>
      </c>
      <c r="U2354">
        <v>24</v>
      </c>
      <c r="V2354">
        <v>842.69190000000003</v>
      </c>
      <c r="W2354">
        <v>294.81</v>
      </c>
      <c r="X2354">
        <v>0</v>
      </c>
      <c r="Y2354">
        <v>0</v>
      </c>
      <c r="Z2354">
        <v>20224.61</v>
      </c>
      <c r="AA2354">
        <v>20519.419999999998</v>
      </c>
      <c r="AB2354" s="12" t="s">
        <v>1283</v>
      </c>
      <c r="AC2354">
        <v>842.69190000000003</v>
      </c>
      <c r="AD2354">
        <v>1</v>
      </c>
      <c r="AE2354">
        <v>1</v>
      </c>
      <c r="AF2354">
        <v>0</v>
      </c>
      <c r="AG2354">
        <v>20224.61</v>
      </c>
      <c r="AH2354">
        <v>24</v>
      </c>
      <c r="AI2354">
        <v>24</v>
      </c>
      <c r="AJ2354">
        <v>0</v>
      </c>
      <c r="AK2354">
        <v>1</v>
      </c>
      <c r="AL2354">
        <v>1</v>
      </c>
      <c r="AM2354">
        <v>100</v>
      </c>
      <c r="AN2354">
        <v>854.97569999999996</v>
      </c>
      <c r="AO2354">
        <v>0</v>
      </c>
      <c r="AP2354" s="13">
        <v>45410</v>
      </c>
      <c r="AQ2354">
        <v>-3</v>
      </c>
      <c r="AR2354">
        <v>1</v>
      </c>
    </row>
    <row r="2355" spans="1:44" x14ac:dyDescent="0.35">
      <c r="A2355" s="12" t="s">
        <v>3147</v>
      </c>
      <c r="B2355" s="12" t="s">
        <v>101</v>
      </c>
      <c r="C2355" s="12" t="s">
        <v>102</v>
      </c>
      <c r="D2355" s="12" t="s">
        <v>103</v>
      </c>
      <c r="E2355" s="12" t="s">
        <v>104</v>
      </c>
      <c r="F2355">
        <v>1</v>
      </c>
      <c r="G2355">
        <v>0</v>
      </c>
      <c r="H2355">
        <v>1</v>
      </c>
      <c r="I2355" s="12" t="s">
        <v>105</v>
      </c>
      <c r="J2355" s="12" t="s">
        <v>106</v>
      </c>
      <c r="K2355" s="12" t="s">
        <v>81</v>
      </c>
      <c r="L2355" s="12" t="s">
        <v>96</v>
      </c>
      <c r="M2355">
        <v>5.01</v>
      </c>
      <c r="N2355" s="12" t="s">
        <v>107</v>
      </c>
      <c r="O2355" s="12" t="s">
        <v>108</v>
      </c>
      <c r="P2355" s="12" t="s">
        <v>109</v>
      </c>
      <c r="Q2355" s="13">
        <v>45377</v>
      </c>
      <c r="R2355" s="13">
        <v>45394</v>
      </c>
      <c r="S2355">
        <v>2024</v>
      </c>
      <c r="T2355" s="12" t="s">
        <v>2941</v>
      </c>
      <c r="U2355">
        <v>51</v>
      </c>
      <c r="V2355">
        <v>205.32499999999999</v>
      </c>
      <c r="W2355">
        <v>121.53</v>
      </c>
      <c r="X2355">
        <v>0</v>
      </c>
      <c r="Y2355">
        <v>0</v>
      </c>
      <c r="Z2355">
        <v>10471.58</v>
      </c>
      <c r="AA2355">
        <v>10593.11</v>
      </c>
      <c r="AB2355" s="12" t="s">
        <v>2866</v>
      </c>
      <c r="AC2355">
        <v>205.32499999999999</v>
      </c>
      <c r="AD2355">
        <v>1</v>
      </c>
      <c r="AE2355">
        <v>1</v>
      </c>
      <c r="AF2355">
        <v>0</v>
      </c>
      <c r="AG2355">
        <v>10471.58</v>
      </c>
      <c r="AK2355">
        <v>0</v>
      </c>
      <c r="AL2355">
        <v>0</v>
      </c>
      <c r="AO2355">
        <v>0</v>
      </c>
      <c r="AP2355" s="13"/>
    </row>
    <row r="2356" spans="1:44" x14ac:dyDescent="0.35">
      <c r="A2356" s="12" t="s">
        <v>3148</v>
      </c>
      <c r="B2356" s="12" t="s">
        <v>347</v>
      </c>
      <c r="C2356" s="12" t="s">
        <v>348</v>
      </c>
      <c r="D2356" s="12" t="s">
        <v>78</v>
      </c>
      <c r="E2356" s="12" t="s">
        <v>104</v>
      </c>
      <c r="F2356">
        <v>3</v>
      </c>
      <c r="G2356">
        <v>1</v>
      </c>
      <c r="H2356">
        <v>0</v>
      </c>
      <c r="I2356" s="12" t="s">
        <v>87</v>
      </c>
      <c r="J2356" s="12" t="s">
        <v>88</v>
      </c>
      <c r="K2356" s="12" t="s">
        <v>89</v>
      </c>
      <c r="L2356" s="12" t="s">
        <v>69</v>
      </c>
      <c r="M2356">
        <v>14.93</v>
      </c>
      <c r="N2356" s="12" t="s">
        <v>97</v>
      </c>
      <c r="O2356" s="12" t="s">
        <v>98</v>
      </c>
      <c r="P2356" s="12" t="s">
        <v>72</v>
      </c>
      <c r="Q2356" s="13">
        <v>45378</v>
      </c>
      <c r="R2356" s="13">
        <v>45392</v>
      </c>
      <c r="S2356">
        <v>2024</v>
      </c>
      <c r="T2356" s="12" t="s">
        <v>2941</v>
      </c>
      <c r="U2356">
        <v>70</v>
      </c>
      <c r="V2356">
        <v>102.09350000000001</v>
      </c>
      <c r="W2356">
        <v>129.31</v>
      </c>
      <c r="X2356">
        <v>0</v>
      </c>
      <c r="Y2356">
        <v>0</v>
      </c>
      <c r="Z2356">
        <v>7146.55</v>
      </c>
      <c r="AA2356">
        <v>7275.86</v>
      </c>
      <c r="AB2356" s="12" t="s">
        <v>201</v>
      </c>
      <c r="AD2356">
        <v>0</v>
      </c>
      <c r="AE2356">
        <v>0</v>
      </c>
      <c r="AH2356">
        <v>70</v>
      </c>
      <c r="AI2356">
        <v>70</v>
      </c>
      <c r="AJ2356">
        <v>0</v>
      </c>
      <c r="AK2356">
        <v>1</v>
      </c>
      <c r="AL2356">
        <v>1</v>
      </c>
      <c r="AM2356">
        <v>100</v>
      </c>
      <c r="AN2356">
        <v>103.9408</v>
      </c>
      <c r="AO2356">
        <v>0</v>
      </c>
      <c r="AP2356" s="13">
        <v>45390</v>
      </c>
      <c r="AQ2356">
        <v>-2</v>
      </c>
      <c r="AR2356">
        <v>1</v>
      </c>
    </row>
    <row r="2357" spans="1:44" x14ac:dyDescent="0.35">
      <c r="A2357" s="12" t="s">
        <v>3149</v>
      </c>
      <c r="B2357" s="12" t="s">
        <v>1220</v>
      </c>
      <c r="C2357" s="12" t="s">
        <v>1221</v>
      </c>
      <c r="D2357" s="12" t="s">
        <v>175</v>
      </c>
      <c r="E2357" s="12" t="s">
        <v>104</v>
      </c>
      <c r="F2357">
        <v>3</v>
      </c>
      <c r="G2357">
        <v>1</v>
      </c>
      <c r="H2357">
        <v>0</v>
      </c>
      <c r="I2357" s="12" t="s">
        <v>251</v>
      </c>
      <c r="J2357" s="12" t="s">
        <v>252</v>
      </c>
      <c r="K2357" s="12" t="s">
        <v>133</v>
      </c>
      <c r="L2357" s="12" t="s">
        <v>69</v>
      </c>
      <c r="M2357">
        <v>34.49</v>
      </c>
      <c r="N2357" s="12" t="s">
        <v>107</v>
      </c>
      <c r="O2357" s="12" t="s">
        <v>108</v>
      </c>
      <c r="P2357" s="12" t="s">
        <v>109</v>
      </c>
      <c r="Q2357" s="13">
        <v>45378</v>
      </c>
      <c r="R2357" s="13">
        <v>45405</v>
      </c>
      <c r="S2357">
        <v>2024</v>
      </c>
      <c r="T2357" s="12" t="s">
        <v>2941</v>
      </c>
      <c r="U2357">
        <v>130</v>
      </c>
      <c r="V2357">
        <v>138.98759999999999</v>
      </c>
      <c r="W2357">
        <v>200.31</v>
      </c>
      <c r="X2357">
        <v>0</v>
      </c>
      <c r="Y2357">
        <v>0</v>
      </c>
      <c r="Z2357">
        <v>18068.39</v>
      </c>
      <c r="AA2357">
        <v>18268.7</v>
      </c>
      <c r="AB2357" s="12" t="s">
        <v>1438</v>
      </c>
      <c r="AC2357">
        <v>138.98759999999999</v>
      </c>
      <c r="AD2357">
        <v>1</v>
      </c>
      <c r="AE2357">
        <v>1</v>
      </c>
      <c r="AF2357">
        <v>0</v>
      </c>
      <c r="AG2357">
        <v>18068.39</v>
      </c>
      <c r="AH2357">
        <v>130</v>
      </c>
      <c r="AI2357">
        <v>128</v>
      </c>
      <c r="AJ2357">
        <v>2</v>
      </c>
      <c r="AK2357">
        <v>1</v>
      </c>
      <c r="AL2357">
        <v>1</v>
      </c>
      <c r="AM2357">
        <v>98.46</v>
      </c>
      <c r="AN2357">
        <v>142.7242</v>
      </c>
      <c r="AO2357">
        <v>277.98</v>
      </c>
      <c r="AP2357" s="13">
        <v>45402</v>
      </c>
      <c r="AQ2357">
        <v>-3</v>
      </c>
      <c r="AR2357">
        <v>1</v>
      </c>
    </row>
    <row r="2358" spans="1:44" x14ac:dyDescent="0.35">
      <c r="A2358" s="12" t="s">
        <v>3150</v>
      </c>
      <c r="B2358" s="12" t="s">
        <v>350</v>
      </c>
      <c r="C2358" s="12" t="s">
        <v>351</v>
      </c>
      <c r="D2358" s="12" t="s">
        <v>64</v>
      </c>
      <c r="E2358" s="12" t="s">
        <v>104</v>
      </c>
      <c r="F2358">
        <v>3</v>
      </c>
      <c r="G2358">
        <v>1</v>
      </c>
      <c r="H2358">
        <v>0</v>
      </c>
      <c r="I2358" s="12" t="s">
        <v>227</v>
      </c>
      <c r="J2358" s="12" t="s">
        <v>228</v>
      </c>
      <c r="K2358" s="12" t="s">
        <v>89</v>
      </c>
      <c r="L2358" s="12" t="s">
        <v>96</v>
      </c>
      <c r="M2358">
        <v>9.15</v>
      </c>
      <c r="N2358" s="12" t="s">
        <v>97</v>
      </c>
      <c r="O2358" s="12" t="s">
        <v>98</v>
      </c>
      <c r="P2358" s="12" t="s">
        <v>72</v>
      </c>
      <c r="Q2358" s="13">
        <v>45378</v>
      </c>
      <c r="R2358" s="13">
        <v>45390</v>
      </c>
      <c r="S2358">
        <v>2024</v>
      </c>
      <c r="T2358" s="12" t="s">
        <v>2941</v>
      </c>
      <c r="U2358">
        <v>116</v>
      </c>
      <c r="V2358">
        <v>8.0908999999999995</v>
      </c>
      <c r="W2358">
        <v>5.75</v>
      </c>
      <c r="X2358">
        <v>0</v>
      </c>
      <c r="Y2358">
        <v>0</v>
      </c>
      <c r="Z2358">
        <v>938.54</v>
      </c>
      <c r="AA2358">
        <v>944.29</v>
      </c>
      <c r="AB2358" s="12" t="s">
        <v>3151</v>
      </c>
      <c r="AC2358">
        <v>8.0908999999999995</v>
      </c>
      <c r="AD2358">
        <v>1</v>
      </c>
      <c r="AE2358">
        <v>1</v>
      </c>
      <c r="AF2358">
        <v>0</v>
      </c>
      <c r="AG2358">
        <v>938.54</v>
      </c>
      <c r="AH2358">
        <v>116</v>
      </c>
      <c r="AI2358">
        <v>115</v>
      </c>
      <c r="AJ2358">
        <v>1</v>
      </c>
      <c r="AK2358">
        <v>1</v>
      </c>
      <c r="AL2358">
        <v>1</v>
      </c>
      <c r="AM2358">
        <v>99.14</v>
      </c>
      <c r="AN2358">
        <v>8.2112999999999996</v>
      </c>
      <c r="AO2358">
        <v>8.09</v>
      </c>
      <c r="AP2358" s="13">
        <v>45390</v>
      </c>
      <c r="AQ2358">
        <v>0</v>
      </c>
      <c r="AR2358">
        <v>1</v>
      </c>
    </row>
    <row r="2359" spans="1:44" x14ac:dyDescent="0.35">
      <c r="A2359" s="12" t="s">
        <v>3152</v>
      </c>
      <c r="B2359" s="12" t="s">
        <v>62</v>
      </c>
      <c r="C2359" s="12" t="s">
        <v>63</v>
      </c>
      <c r="D2359" s="12" t="s">
        <v>64</v>
      </c>
      <c r="E2359" s="12" t="s">
        <v>65</v>
      </c>
      <c r="F2359">
        <v>1</v>
      </c>
      <c r="G2359">
        <v>2</v>
      </c>
      <c r="H2359">
        <v>1</v>
      </c>
      <c r="I2359" s="12" t="s">
        <v>66</v>
      </c>
      <c r="J2359" s="12" t="s">
        <v>67</v>
      </c>
      <c r="K2359" s="12" t="s">
        <v>68</v>
      </c>
      <c r="L2359" s="12" t="s">
        <v>69</v>
      </c>
      <c r="M2359">
        <v>17.66</v>
      </c>
      <c r="N2359" s="12" t="s">
        <v>97</v>
      </c>
      <c r="O2359" s="12" t="s">
        <v>98</v>
      </c>
      <c r="P2359" s="12" t="s">
        <v>72</v>
      </c>
      <c r="Q2359" s="13">
        <v>45378</v>
      </c>
      <c r="R2359" s="13">
        <v>45401</v>
      </c>
      <c r="S2359">
        <v>2024</v>
      </c>
      <c r="T2359" s="12" t="s">
        <v>2941</v>
      </c>
      <c r="U2359">
        <v>240</v>
      </c>
      <c r="V2359">
        <v>25.103000000000002</v>
      </c>
      <c r="W2359">
        <v>73.59</v>
      </c>
      <c r="X2359">
        <v>0</v>
      </c>
      <c r="Y2359">
        <v>0</v>
      </c>
      <c r="Z2359">
        <v>6024.72</v>
      </c>
      <c r="AA2359">
        <v>6098.31</v>
      </c>
      <c r="AB2359" s="12" t="s">
        <v>201</v>
      </c>
      <c r="AD2359">
        <v>0</v>
      </c>
      <c r="AE2359">
        <v>0</v>
      </c>
      <c r="AH2359">
        <v>240</v>
      </c>
      <c r="AI2359">
        <v>238</v>
      </c>
      <c r="AJ2359">
        <v>2</v>
      </c>
      <c r="AK2359">
        <v>1</v>
      </c>
      <c r="AL2359">
        <v>1</v>
      </c>
      <c r="AM2359">
        <v>99.17</v>
      </c>
      <c r="AN2359">
        <v>25.623200000000001</v>
      </c>
      <c r="AO2359">
        <v>50.21</v>
      </c>
      <c r="AP2359" s="13">
        <v>45399</v>
      </c>
      <c r="AQ2359">
        <v>-2</v>
      </c>
      <c r="AR2359">
        <v>1</v>
      </c>
    </row>
    <row r="2360" spans="1:44" x14ac:dyDescent="0.35">
      <c r="A2360" s="12" t="s">
        <v>3153</v>
      </c>
      <c r="B2360" s="12" t="s">
        <v>747</v>
      </c>
      <c r="C2360" s="12" t="s">
        <v>748</v>
      </c>
      <c r="D2360" s="12" t="s">
        <v>114</v>
      </c>
      <c r="E2360" s="12" t="s">
        <v>104</v>
      </c>
      <c r="F2360">
        <v>2</v>
      </c>
      <c r="G2360">
        <v>0</v>
      </c>
      <c r="H2360">
        <v>0</v>
      </c>
      <c r="I2360" s="12" t="s">
        <v>380</v>
      </c>
      <c r="J2360" s="12" t="s">
        <v>381</v>
      </c>
      <c r="K2360" s="12" t="s">
        <v>89</v>
      </c>
      <c r="L2360" s="12" t="s">
        <v>96</v>
      </c>
      <c r="M2360">
        <v>10.210000000000001</v>
      </c>
      <c r="N2360" s="12" t="s">
        <v>70</v>
      </c>
      <c r="O2360" s="12" t="s">
        <v>71</v>
      </c>
      <c r="P2360" s="12" t="s">
        <v>72</v>
      </c>
      <c r="Q2360" s="13">
        <v>45378</v>
      </c>
      <c r="R2360" s="13">
        <v>45400</v>
      </c>
      <c r="S2360">
        <v>2024</v>
      </c>
      <c r="T2360" s="12" t="s">
        <v>2941</v>
      </c>
      <c r="U2360">
        <v>88</v>
      </c>
      <c r="V2360">
        <v>242.0575</v>
      </c>
      <c r="W2360">
        <v>405.74</v>
      </c>
      <c r="X2360">
        <v>0</v>
      </c>
      <c r="Y2360">
        <v>0</v>
      </c>
      <c r="Z2360">
        <v>21301.06</v>
      </c>
      <c r="AA2360">
        <v>21706.799999999999</v>
      </c>
      <c r="AB2360" s="12" t="s">
        <v>3072</v>
      </c>
      <c r="AC2360">
        <v>242.0575</v>
      </c>
      <c r="AD2360">
        <v>1</v>
      </c>
      <c r="AE2360">
        <v>1</v>
      </c>
      <c r="AF2360">
        <v>0</v>
      </c>
      <c r="AG2360">
        <v>21301.06</v>
      </c>
      <c r="AH2360">
        <v>88</v>
      </c>
      <c r="AI2360">
        <v>87</v>
      </c>
      <c r="AJ2360">
        <v>1</v>
      </c>
      <c r="AK2360">
        <v>1</v>
      </c>
      <c r="AL2360">
        <v>1</v>
      </c>
      <c r="AM2360">
        <v>98.86</v>
      </c>
      <c r="AN2360">
        <v>249.5034</v>
      </c>
      <c r="AO2360">
        <v>242.06</v>
      </c>
      <c r="AP2360" s="13">
        <v>45399</v>
      </c>
      <c r="AQ2360">
        <v>-1</v>
      </c>
      <c r="AR2360">
        <v>1</v>
      </c>
    </row>
    <row r="2361" spans="1:44" x14ac:dyDescent="0.35">
      <c r="A2361" s="12" t="s">
        <v>3154</v>
      </c>
      <c r="B2361" s="12" t="s">
        <v>823</v>
      </c>
      <c r="C2361" s="12" t="s">
        <v>824</v>
      </c>
      <c r="D2361" s="12" t="s">
        <v>114</v>
      </c>
      <c r="E2361" s="12" t="s">
        <v>142</v>
      </c>
      <c r="F2361">
        <v>1</v>
      </c>
      <c r="G2361">
        <v>8</v>
      </c>
      <c r="H2361">
        <v>1</v>
      </c>
      <c r="I2361" s="12" t="s">
        <v>515</v>
      </c>
      <c r="J2361" s="12" t="s">
        <v>516</v>
      </c>
      <c r="K2361" s="12" t="s">
        <v>68</v>
      </c>
      <c r="L2361" s="12" t="s">
        <v>134</v>
      </c>
      <c r="M2361">
        <v>3.69</v>
      </c>
      <c r="N2361" s="12" t="s">
        <v>97</v>
      </c>
      <c r="O2361" s="12" t="s">
        <v>98</v>
      </c>
      <c r="P2361" s="12" t="s">
        <v>72</v>
      </c>
      <c r="Q2361" s="13">
        <v>45378</v>
      </c>
      <c r="R2361" s="13">
        <v>45414</v>
      </c>
      <c r="S2361">
        <v>2024</v>
      </c>
      <c r="T2361" s="12" t="s">
        <v>2941</v>
      </c>
      <c r="U2361">
        <v>21</v>
      </c>
      <c r="V2361">
        <v>361.73399999999998</v>
      </c>
      <c r="W2361">
        <v>189.72</v>
      </c>
      <c r="X2361">
        <v>0</v>
      </c>
      <c r="Y2361">
        <v>0</v>
      </c>
      <c r="Z2361">
        <v>7596.41</v>
      </c>
      <c r="AA2361">
        <v>7786.13</v>
      </c>
      <c r="AB2361" s="12" t="s">
        <v>825</v>
      </c>
      <c r="AC2361">
        <v>361.73399999999998</v>
      </c>
      <c r="AD2361">
        <v>1</v>
      </c>
      <c r="AE2361">
        <v>1</v>
      </c>
      <c r="AF2361">
        <v>0</v>
      </c>
      <c r="AG2361">
        <v>7596.41</v>
      </c>
      <c r="AH2361">
        <v>21</v>
      </c>
      <c r="AI2361">
        <v>20</v>
      </c>
      <c r="AJ2361">
        <v>1</v>
      </c>
      <c r="AK2361">
        <v>1</v>
      </c>
      <c r="AL2361">
        <v>1</v>
      </c>
      <c r="AM2361">
        <v>95.24</v>
      </c>
      <c r="AN2361">
        <v>389.30669999999998</v>
      </c>
      <c r="AO2361">
        <v>361.73</v>
      </c>
      <c r="AP2361" s="13">
        <v>45417</v>
      </c>
      <c r="AQ2361">
        <v>3</v>
      </c>
      <c r="AR2361">
        <v>0</v>
      </c>
    </row>
    <row r="2362" spans="1:44" x14ac:dyDescent="0.35">
      <c r="A2362" s="12" t="s">
        <v>3155</v>
      </c>
      <c r="B2362" s="12" t="s">
        <v>855</v>
      </c>
      <c r="C2362" s="12" t="s">
        <v>856</v>
      </c>
      <c r="D2362" s="12" t="s">
        <v>269</v>
      </c>
      <c r="E2362" s="12" t="s">
        <v>65</v>
      </c>
      <c r="F2362">
        <v>3</v>
      </c>
      <c r="G2362">
        <v>5</v>
      </c>
      <c r="H2362">
        <v>0</v>
      </c>
      <c r="I2362" s="12" t="s">
        <v>94</v>
      </c>
      <c r="J2362" s="12" t="s">
        <v>95</v>
      </c>
      <c r="K2362" s="12" t="s">
        <v>81</v>
      </c>
      <c r="L2362" s="12" t="s">
        <v>96</v>
      </c>
      <c r="M2362">
        <v>4.8099999999999996</v>
      </c>
      <c r="N2362" s="12" t="s">
        <v>135</v>
      </c>
      <c r="O2362" s="12" t="s">
        <v>136</v>
      </c>
      <c r="P2362" s="12" t="s">
        <v>137</v>
      </c>
      <c r="Q2362" s="13">
        <v>45378</v>
      </c>
      <c r="R2362" s="13">
        <v>45405</v>
      </c>
      <c r="S2362">
        <v>2024</v>
      </c>
      <c r="T2362" s="12" t="s">
        <v>2941</v>
      </c>
      <c r="U2362">
        <v>61</v>
      </c>
      <c r="V2362">
        <v>493.6902</v>
      </c>
      <c r="W2362">
        <v>428.24</v>
      </c>
      <c r="X2362">
        <v>0</v>
      </c>
      <c r="Y2362">
        <v>0</v>
      </c>
      <c r="Z2362">
        <v>30115.1</v>
      </c>
      <c r="AA2362">
        <v>30543.34</v>
      </c>
      <c r="AB2362" s="12" t="s">
        <v>857</v>
      </c>
      <c r="AC2362">
        <v>493.6902</v>
      </c>
      <c r="AD2362">
        <v>1</v>
      </c>
      <c r="AE2362">
        <v>1</v>
      </c>
      <c r="AF2362">
        <v>0</v>
      </c>
      <c r="AG2362">
        <v>30115.1</v>
      </c>
      <c r="AH2362">
        <v>61</v>
      </c>
      <c r="AI2362">
        <v>60</v>
      </c>
      <c r="AJ2362">
        <v>1</v>
      </c>
      <c r="AK2362">
        <v>1</v>
      </c>
      <c r="AL2362">
        <v>1</v>
      </c>
      <c r="AM2362">
        <v>98.36</v>
      </c>
      <c r="AN2362">
        <v>509.0557</v>
      </c>
      <c r="AO2362">
        <v>493.69</v>
      </c>
      <c r="AP2362" s="13">
        <v>45405</v>
      </c>
      <c r="AQ2362">
        <v>0</v>
      </c>
      <c r="AR2362">
        <v>1</v>
      </c>
    </row>
    <row r="2363" spans="1:44" x14ac:dyDescent="0.35">
      <c r="A2363" s="12" t="s">
        <v>3156</v>
      </c>
      <c r="B2363" s="12" t="s">
        <v>787</v>
      </c>
      <c r="C2363" s="12" t="s">
        <v>788</v>
      </c>
      <c r="D2363" s="12" t="s">
        <v>269</v>
      </c>
      <c r="E2363" s="12" t="s">
        <v>65</v>
      </c>
      <c r="F2363">
        <v>2</v>
      </c>
      <c r="G2363">
        <v>3</v>
      </c>
      <c r="H2363">
        <v>0</v>
      </c>
      <c r="I2363" s="12" t="s">
        <v>143</v>
      </c>
      <c r="J2363" s="12" t="s">
        <v>144</v>
      </c>
      <c r="K2363" s="12" t="s">
        <v>133</v>
      </c>
      <c r="L2363" s="12" t="s">
        <v>96</v>
      </c>
      <c r="M2363">
        <v>5.43</v>
      </c>
      <c r="N2363" s="12" t="s">
        <v>159</v>
      </c>
      <c r="O2363" s="12" t="s">
        <v>160</v>
      </c>
      <c r="P2363" s="12" t="s">
        <v>137</v>
      </c>
      <c r="Q2363" s="13">
        <v>45378</v>
      </c>
      <c r="R2363" s="13">
        <v>45416</v>
      </c>
      <c r="S2363">
        <v>2024</v>
      </c>
      <c r="T2363" s="12" t="s">
        <v>2941</v>
      </c>
      <c r="U2363">
        <v>148</v>
      </c>
      <c r="V2363">
        <v>354.36430000000001</v>
      </c>
      <c r="W2363">
        <v>797.37</v>
      </c>
      <c r="X2363">
        <v>0</v>
      </c>
      <c r="Y2363">
        <v>0</v>
      </c>
      <c r="Z2363">
        <v>52445.919999999998</v>
      </c>
      <c r="AA2363">
        <v>53243.29</v>
      </c>
      <c r="AB2363" s="12" t="s">
        <v>789</v>
      </c>
      <c r="AC2363">
        <v>354.36430000000001</v>
      </c>
      <c r="AD2363">
        <v>1</v>
      </c>
      <c r="AE2363">
        <v>1</v>
      </c>
      <c r="AF2363">
        <v>0</v>
      </c>
      <c r="AG2363">
        <v>52445.919999999998</v>
      </c>
      <c r="AH2363">
        <v>148</v>
      </c>
      <c r="AI2363">
        <v>148</v>
      </c>
      <c r="AJ2363">
        <v>0</v>
      </c>
      <c r="AK2363">
        <v>1</v>
      </c>
      <c r="AL2363">
        <v>1</v>
      </c>
      <c r="AM2363">
        <v>100</v>
      </c>
      <c r="AN2363">
        <v>359.75189999999998</v>
      </c>
      <c r="AO2363">
        <v>0</v>
      </c>
      <c r="AP2363" s="13">
        <v>45413</v>
      </c>
      <c r="AQ2363">
        <v>-3</v>
      </c>
      <c r="AR2363">
        <v>1</v>
      </c>
    </row>
    <row r="2364" spans="1:44" x14ac:dyDescent="0.35">
      <c r="A2364" s="12" t="s">
        <v>3157</v>
      </c>
      <c r="B2364" s="12" t="s">
        <v>1042</v>
      </c>
      <c r="C2364" s="12" t="s">
        <v>1043</v>
      </c>
      <c r="D2364" s="12" t="s">
        <v>269</v>
      </c>
      <c r="E2364" s="12" t="s">
        <v>104</v>
      </c>
      <c r="F2364">
        <v>2</v>
      </c>
      <c r="G2364">
        <v>0</v>
      </c>
      <c r="H2364">
        <v>0</v>
      </c>
      <c r="I2364" s="12" t="s">
        <v>199</v>
      </c>
      <c r="J2364" s="12" t="s">
        <v>200</v>
      </c>
      <c r="K2364" s="12" t="s">
        <v>68</v>
      </c>
      <c r="L2364" s="12" t="s">
        <v>96</v>
      </c>
      <c r="M2364">
        <v>9.4700000000000006</v>
      </c>
      <c r="N2364" s="12" t="s">
        <v>159</v>
      </c>
      <c r="O2364" s="12" t="s">
        <v>160</v>
      </c>
      <c r="P2364" s="12" t="s">
        <v>137</v>
      </c>
      <c r="Q2364" s="13">
        <v>45378</v>
      </c>
      <c r="R2364" s="13">
        <v>45394</v>
      </c>
      <c r="S2364">
        <v>2024</v>
      </c>
      <c r="T2364" s="12" t="s">
        <v>2941</v>
      </c>
      <c r="U2364">
        <v>45</v>
      </c>
      <c r="V2364">
        <v>290.76319999999998</v>
      </c>
      <c r="W2364">
        <v>202.73</v>
      </c>
      <c r="X2364">
        <v>0</v>
      </c>
      <c r="Y2364">
        <v>0</v>
      </c>
      <c r="Z2364">
        <v>13084.34</v>
      </c>
      <c r="AA2364">
        <v>13287.07</v>
      </c>
      <c r="AB2364" s="12" t="s">
        <v>1414</v>
      </c>
      <c r="AC2364">
        <v>290.76319999999998</v>
      </c>
      <c r="AD2364">
        <v>1</v>
      </c>
      <c r="AE2364">
        <v>1</v>
      </c>
      <c r="AF2364">
        <v>0</v>
      </c>
      <c r="AG2364">
        <v>13084.34</v>
      </c>
      <c r="AH2364">
        <v>45</v>
      </c>
      <c r="AI2364">
        <v>44</v>
      </c>
      <c r="AJ2364">
        <v>1</v>
      </c>
      <c r="AK2364">
        <v>1</v>
      </c>
      <c r="AL2364">
        <v>1</v>
      </c>
      <c r="AM2364">
        <v>97.78</v>
      </c>
      <c r="AN2364">
        <v>301.97899999999998</v>
      </c>
      <c r="AO2364">
        <v>290.76</v>
      </c>
      <c r="AP2364" s="13">
        <v>45396</v>
      </c>
      <c r="AQ2364">
        <v>2</v>
      </c>
      <c r="AR2364">
        <v>0</v>
      </c>
    </row>
    <row r="2365" spans="1:44" x14ac:dyDescent="0.35">
      <c r="A2365" s="12" t="s">
        <v>3158</v>
      </c>
      <c r="B2365" s="12" t="s">
        <v>837</v>
      </c>
      <c r="C2365" s="12" t="s">
        <v>838</v>
      </c>
      <c r="D2365" s="12" t="s">
        <v>114</v>
      </c>
      <c r="E2365" s="12" t="s">
        <v>104</v>
      </c>
      <c r="F2365">
        <v>2</v>
      </c>
      <c r="G2365">
        <v>0</v>
      </c>
      <c r="H2365">
        <v>0</v>
      </c>
      <c r="I2365" s="12" t="s">
        <v>199</v>
      </c>
      <c r="J2365" s="12" t="s">
        <v>200</v>
      </c>
      <c r="K2365" s="12" t="s">
        <v>68</v>
      </c>
      <c r="L2365" s="12" t="s">
        <v>96</v>
      </c>
      <c r="M2365">
        <v>9.4700000000000006</v>
      </c>
      <c r="N2365" s="12" t="s">
        <v>97</v>
      </c>
      <c r="O2365" s="12" t="s">
        <v>98</v>
      </c>
      <c r="P2365" s="12" t="s">
        <v>72</v>
      </c>
      <c r="Q2365" s="13">
        <v>45379</v>
      </c>
      <c r="R2365" s="13">
        <v>45393</v>
      </c>
      <c r="S2365">
        <v>2024</v>
      </c>
      <c r="T2365" s="12" t="s">
        <v>2941</v>
      </c>
      <c r="U2365">
        <v>28</v>
      </c>
      <c r="V2365">
        <v>71.121200000000002</v>
      </c>
      <c r="W2365">
        <v>49.33</v>
      </c>
      <c r="X2365">
        <v>0</v>
      </c>
      <c r="Y2365">
        <v>0</v>
      </c>
      <c r="Z2365">
        <v>1991.39</v>
      </c>
      <c r="AA2365">
        <v>2040.72</v>
      </c>
      <c r="AB2365" s="12" t="s">
        <v>839</v>
      </c>
      <c r="AC2365">
        <v>71.121200000000002</v>
      </c>
      <c r="AD2365">
        <v>1</v>
      </c>
      <c r="AE2365">
        <v>1</v>
      </c>
      <c r="AF2365">
        <v>0</v>
      </c>
      <c r="AG2365">
        <v>1991.39</v>
      </c>
      <c r="AH2365">
        <v>28</v>
      </c>
      <c r="AI2365">
        <v>27</v>
      </c>
      <c r="AJ2365">
        <v>1</v>
      </c>
      <c r="AK2365">
        <v>1</v>
      </c>
      <c r="AL2365">
        <v>1</v>
      </c>
      <c r="AM2365">
        <v>96.43</v>
      </c>
      <c r="AN2365">
        <v>75.582400000000007</v>
      </c>
      <c r="AO2365">
        <v>71.12</v>
      </c>
      <c r="AP2365" s="13">
        <v>45398</v>
      </c>
      <c r="AQ2365">
        <v>5</v>
      </c>
      <c r="AR2365">
        <v>0</v>
      </c>
    </row>
    <row r="2366" spans="1:44" x14ac:dyDescent="0.35">
      <c r="A2366" s="12" t="s">
        <v>3159</v>
      </c>
      <c r="B2366" s="12" t="s">
        <v>548</v>
      </c>
      <c r="C2366" s="12" t="s">
        <v>549</v>
      </c>
      <c r="D2366" s="12" t="s">
        <v>78</v>
      </c>
      <c r="E2366" s="12" t="s">
        <v>104</v>
      </c>
      <c r="F2366">
        <v>3</v>
      </c>
      <c r="G2366">
        <v>1</v>
      </c>
      <c r="H2366">
        <v>0</v>
      </c>
      <c r="I2366" s="12" t="s">
        <v>223</v>
      </c>
      <c r="J2366" s="12" t="s">
        <v>224</v>
      </c>
      <c r="K2366" s="12" t="s">
        <v>81</v>
      </c>
      <c r="L2366" s="12" t="s">
        <v>134</v>
      </c>
      <c r="M2366">
        <v>2.4900000000000002</v>
      </c>
      <c r="N2366" s="12" t="s">
        <v>70</v>
      </c>
      <c r="O2366" s="12" t="s">
        <v>71</v>
      </c>
      <c r="P2366" s="12" t="s">
        <v>72</v>
      </c>
      <c r="Q2366" s="13">
        <v>45379</v>
      </c>
      <c r="R2366" s="13">
        <v>45408</v>
      </c>
      <c r="S2366">
        <v>2024</v>
      </c>
      <c r="T2366" s="12" t="s">
        <v>2941</v>
      </c>
      <c r="U2366">
        <v>297</v>
      </c>
      <c r="V2366">
        <v>59.346200000000003</v>
      </c>
      <c r="W2366">
        <v>140.9</v>
      </c>
      <c r="X2366">
        <v>0</v>
      </c>
      <c r="Y2366">
        <v>0</v>
      </c>
      <c r="Z2366">
        <v>17625.82</v>
      </c>
      <c r="AA2366">
        <v>17766.72</v>
      </c>
      <c r="AB2366" s="12" t="s">
        <v>3127</v>
      </c>
      <c r="AC2366">
        <v>59.346200000000003</v>
      </c>
      <c r="AD2366">
        <v>1</v>
      </c>
      <c r="AE2366">
        <v>1</v>
      </c>
      <c r="AF2366">
        <v>0</v>
      </c>
      <c r="AG2366">
        <v>17625.82</v>
      </c>
      <c r="AH2366">
        <v>297</v>
      </c>
      <c r="AI2366">
        <v>290</v>
      </c>
      <c r="AJ2366">
        <v>7</v>
      </c>
      <c r="AK2366">
        <v>1</v>
      </c>
      <c r="AL2366">
        <v>1</v>
      </c>
      <c r="AM2366">
        <v>97.64</v>
      </c>
      <c r="AN2366">
        <v>61.264600000000002</v>
      </c>
      <c r="AO2366">
        <v>415.42</v>
      </c>
      <c r="AP2366" s="13">
        <v>45407</v>
      </c>
      <c r="AQ2366">
        <v>-1</v>
      </c>
      <c r="AR2366">
        <v>1</v>
      </c>
    </row>
    <row r="2367" spans="1:44" x14ac:dyDescent="0.35">
      <c r="A2367" s="12" t="s">
        <v>3160</v>
      </c>
      <c r="B2367" s="12" t="s">
        <v>876</v>
      </c>
      <c r="C2367" s="12" t="s">
        <v>877</v>
      </c>
      <c r="D2367" s="12" t="s">
        <v>269</v>
      </c>
      <c r="E2367" s="12" t="s">
        <v>142</v>
      </c>
      <c r="F2367">
        <v>3</v>
      </c>
      <c r="G2367">
        <v>11</v>
      </c>
      <c r="H2367">
        <v>0</v>
      </c>
      <c r="I2367" s="12" t="s">
        <v>310</v>
      </c>
      <c r="J2367" s="12" t="s">
        <v>311</v>
      </c>
      <c r="K2367" s="12" t="s">
        <v>81</v>
      </c>
      <c r="L2367" s="12" t="s">
        <v>69</v>
      </c>
      <c r="M2367">
        <v>28.3</v>
      </c>
      <c r="N2367" s="12" t="s">
        <v>159</v>
      </c>
      <c r="O2367" s="12" t="s">
        <v>160</v>
      </c>
      <c r="P2367" s="12" t="s">
        <v>137</v>
      </c>
      <c r="Q2367" s="13">
        <v>45379</v>
      </c>
      <c r="R2367" s="13">
        <v>45416</v>
      </c>
      <c r="S2367">
        <v>2024</v>
      </c>
      <c r="T2367" s="12" t="s">
        <v>2941</v>
      </c>
      <c r="U2367">
        <v>26</v>
      </c>
      <c r="V2367">
        <v>205.07480000000001</v>
      </c>
      <c r="W2367">
        <v>110.7</v>
      </c>
      <c r="X2367">
        <v>0</v>
      </c>
      <c r="Y2367">
        <v>0</v>
      </c>
      <c r="Z2367">
        <v>5331.94</v>
      </c>
      <c r="AA2367">
        <v>5442.64</v>
      </c>
      <c r="AB2367" s="12" t="s">
        <v>878</v>
      </c>
      <c r="AC2367">
        <v>205.07480000000001</v>
      </c>
      <c r="AD2367">
        <v>1</v>
      </c>
      <c r="AE2367">
        <v>1</v>
      </c>
      <c r="AF2367">
        <v>0</v>
      </c>
      <c r="AG2367">
        <v>5331.94</v>
      </c>
      <c r="AH2367">
        <v>26</v>
      </c>
      <c r="AI2367">
        <v>26</v>
      </c>
      <c r="AJ2367">
        <v>0</v>
      </c>
      <c r="AK2367">
        <v>1</v>
      </c>
      <c r="AL2367">
        <v>1</v>
      </c>
      <c r="AM2367">
        <v>100</v>
      </c>
      <c r="AN2367">
        <v>209.33250000000001</v>
      </c>
      <c r="AO2367">
        <v>0</v>
      </c>
      <c r="AP2367" s="13">
        <v>45415</v>
      </c>
      <c r="AQ2367">
        <v>-1</v>
      </c>
      <c r="AR2367">
        <v>1</v>
      </c>
    </row>
    <row r="2368" spans="1:44" x14ac:dyDescent="0.35">
      <c r="A2368" s="12" t="s">
        <v>3161</v>
      </c>
      <c r="B2368" s="12" t="s">
        <v>289</v>
      </c>
      <c r="C2368" s="12" t="s">
        <v>290</v>
      </c>
      <c r="D2368" s="12" t="s">
        <v>175</v>
      </c>
      <c r="E2368" s="12" t="s">
        <v>104</v>
      </c>
      <c r="F2368">
        <v>3</v>
      </c>
      <c r="G2368">
        <v>1</v>
      </c>
      <c r="H2368">
        <v>0</v>
      </c>
      <c r="I2368" s="12" t="s">
        <v>157</v>
      </c>
      <c r="J2368" s="12" t="s">
        <v>158</v>
      </c>
      <c r="K2368" s="12" t="s">
        <v>117</v>
      </c>
      <c r="L2368" s="12" t="s">
        <v>96</v>
      </c>
      <c r="M2368">
        <v>4.72</v>
      </c>
      <c r="N2368" s="12" t="s">
        <v>107</v>
      </c>
      <c r="O2368" s="12" t="s">
        <v>108</v>
      </c>
      <c r="P2368" s="12" t="s">
        <v>109</v>
      </c>
      <c r="Q2368" s="13">
        <v>45379</v>
      </c>
      <c r="R2368" s="13">
        <v>45396</v>
      </c>
      <c r="S2368">
        <v>2024</v>
      </c>
      <c r="T2368" s="12" t="s">
        <v>2941</v>
      </c>
      <c r="U2368">
        <v>53</v>
      </c>
      <c r="V2368">
        <v>184.24529999999999</v>
      </c>
      <c r="W2368">
        <v>221.22</v>
      </c>
      <c r="X2368">
        <v>0</v>
      </c>
      <c r="Y2368">
        <v>0</v>
      </c>
      <c r="Z2368">
        <v>9765</v>
      </c>
      <c r="AA2368">
        <v>9986.2199999999993</v>
      </c>
      <c r="AB2368" s="12" t="s">
        <v>2676</v>
      </c>
      <c r="AC2368">
        <v>184.24529999999999</v>
      </c>
      <c r="AD2368">
        <v>1</v>
      </c>
      <c r="AE2368">
        <v>1</v>
      </c>
      <c r="AF2368">
        <v>0</v>
      </c>
      <c r="AG2368">
        <v>9765</v>
      </c>
      <c r="AH2368">
        <v>53</v>
      </c>
      <c r="AI2368">
        <v>52</v>
      </c>
      <c r="AJ2368">
        <v>1</v>
      </c>
      <c r="AK2368">
        <v>1</v>
      </c>
      <c r="AL2368">
        <v>1</v>
      </c>
      <c r="AM2368">
        <v>98.11</v>
      </c>
      <c r="AN2368">
        <v>192.0427</v>
      </c>
      <c r="AO2368">
        <v>184.25</v>
      </c>
      <c r="AP2368" s="13">
        <v>45395</v>
      </c>
      <c r="AQ2368">
        <v>-1</v>
      </c>
      <c r="AR2368">
        <v>1</v>
      </c>
    </row>
    <row r="2369" spans="1:44" x14ac:dyDescent="0.35">
      <c r="A2369" s="12" t="s">
        <v>3162</v>
      </c>
      <c r="B2369" s="12" t="s">
        <v>712</v>
      </c>
      <c r="C2369" s="12" t="s">
        <v>713</v>
      </c>
      <c r="D2369" s="12" t="s">
        <v>103</v>
      </c>
      <c r="E2369" s="12" t="s">
        <v>104</v>
      </c>
      <c r="F2369">
        <v>2</v>
      </c>
      <c r="G2369">
        <v>0</v>
      </c>
      <c r="H2369">
        <v>0</v>
      </c>
      <c r="I2369" s="12" t="s">
        <v>199</v>
      </c>
      <c r="J2369" s="12" t="s">
        <v>200</v>
      </c>
      <c r="K2369" s="12" t="s">
        <v>68</v>
      </c>
      <c r="L2369" s="12" t="s">
        <v>96</v>
      </c>
      <c r="M2369">
        <v>9.4700000000000006</v>
      </c>
      <c r="N2369" s="12" t="s">
        <v>107</v>
      </c>
      <c r="O2369" s="12" t="s">
        <v>108</v>
      </c>
      <c r="P2369" s="12" t="s">
        <v>109</v>
      </c>
      <c r="Q2369" s="13">
        <v>45379</v>
      </c>
      <c r="R2369" s="13">
        <v>45405</v>
      </c>
      <c r="S2369">
        <v>2024</v>
      </c>
      <c r="T2369" s="12" t="s">
        <v>2941</v>
      </c>
      <c r="U2369">
        <v>125</v>
      </c>
      <c r="V2369">
        <v>228.44239999999999</v>
      </c>
      <c r="W2369">
        <v>377.34</v>
      </c>
      <c r="X2369">
        <v>0</v>
      </c>
      <c r="Y2369">
        <v>0</v>
      </c>
      <c r="Z2369">
        <v>28555.3</v>
      </c>
      <c r="AA2369">
        <v>28932.639999999999</v>
      </c>
      <c r="AB2369" s="12" t="s">
        <v>201</v>
      </c>
      <c r="AD2369">
        <v>0</v>
      </c>
      <c r="AE2369">
        <v>0</v>
      </c>
      <c r="AH2369">
        <v>125</v>
      </c>
      <c r="AI2369">
        <v>124</v>
      </c>
      <c r="AJ2369">
        <v>1</v>
      </c>
      <c r="AK2369">
        <v>1</v>
      </c>
      <c r="AL2369">
        <v>1</v>
      </c>
      <c r="AM2369">
        <v>99.2</v>
      </c>
      <c r="AN2369">
        <v>233.32769999999999</v>
      </c>
      <c r="AO2369">
        <v>228.44</v>
      </c>
      <c r="AP2369" s="13">
        <v>45404</v>
      </c>
      <c r="AQ2369">
        <v>-1</v>
      </c>
      <c r="AR2369">
        <v>1</v>
      </c>
    </row>
    <row r="2370" spans="1:44" x14ac:dyDescent="0.35">
      <c r="A2370" s="12" t="s">
        <v>3163</v>
      </c>
      <c r="B2370" s="12" t="s">
        <v>323</v>
      </c>
      <c r="C2370" s="12" t="s">
        <v>324</v>
      </c>
      <c r="D2370" s="12" t="s">
        <v>64</v>
      </c>
      <c r="E2370" s="12" t="s">
        <v>142</v>
      </c>
      <c r="F2370">
        <v>1</v>
      </c>
      <c r="G2370">
        <v>7</v>
      </c>
      <c r="H2370">
        <v>1</v>
      </c>
      <c r="I2370" s="12" t="s">
        <v>143</v>
      </c>
      <c r="J2370" s="12" t="s">
        <v>144</v>
      </c>
      <c r="K2370" s="12" t="s">
        <v>133</v>
      </c>
      <c r="L2370" s="12" t="s">
        <v>96</v>
      </c>
      <c r="M2370">
        <v>5.43</v>
      </c>
      <c r="N2370" s="12" t="s">
        <v>70</v>
      </c>
      <c r="O2370" s="12" t="s">
        <v>71</v>
      </c>
      <c r="P2370" s="12" t="s">
        <v>72</v>
      </c>
      <c r="Q2370" s="13">
        <v>45379</v>
      </c>
      <c r="R2370" s="13">
        <v>45420</v>
      </c>
      <c r="S2370">
        <v>2024</v>
      </c>
      <c r="T2370" s="12" t="s">
        <v>2941</v>
      </c>
      <c r="U2370">
        <v>402</v>
      </c>
      <c r="V2370">
        <v>39.364800000000002</v>
      </c>
      <c r="W2370">
        <v>139.43</v>
      </c>
      <c r="X2370">
        <v>0</v>
      </c>
      <c r="Y2370">
        <v>0</v>
      </c>
      <c r="Z2370">
        <v>15824.65</v>
      </c>
      <c r="AA2370">
        <v>15964.08</v>
      </c>
      <c r="AB2370" s="12" t="s">
        <v>2828</v>
      </c>
      <c r="AC2370">
        <v>39.364800000000002</v>
      </c>
      <c r="AD2370">
        <v>1</v>
      </c>
      <c r="AE2370">
        <v>1</v>
      </c>
      <c r="AF2370">
        <v>0</v>
      </c>
      <c r="AG2370">
        <v>15824.65</v>
      </c>
      <c r="AH2370">
        <v>402</v>
      </c>
      <c r="AI2370">
        <v>396</v>
      </c>
      <c r="AJ2370">
        <v>6</v>
      </c>
      <c r="AK2370">
        <v>1</v>
      </c>
      <c r="AL2370">
        <v>1</v>
      </c>
      <c r="AM2370">
        <v>98.51</v>
      </c>
      <c r="AN2370">
        <v>40.313299999999998</v>
      </c>
      <c r="AO2370">
        <v>236.19</v>
      </c>
      <c r="AP2370" s="13">
        <v>45419</v>
      </c>
      <c r="AQ2370">
        <v>-1</v>
      </c>
      <c r="AR2370">
        <v>1</v>
      </c>
    </row>
    <row r="2371" spans="1:44" x14ac:dyDescent="0.35">
      <c r="A2371" s="12" t="s">
        <v>3164</v>
      </c>
      <c r="B2371" s="12" t="s">
        <v>395</v>
      </c>
      <c r="C2371" s="12" t="s">
        <v>396</v>
      </c>
      <c r="D2371" s="12" t="s">
        <v>130</v>
      </c>
      <c r="E2371" s="12" t="s">
        <v>104</v>
      </c>
      <c r="F2371">
        <v>3</v>
      </c>
      <c r="G2371">
        <v>1</v>
      </c>
      <c r="H2371">
        <v>0</v>
      </c>
      <c r="I2371" s="12" t="s">
        <v>341</v>
      </c>
      <c r="J2371" s="12" t="s">
        <v>342</v>
      </c>
      <c r="K2371" s="12" t="s">
        <v>117</v>
      </c>
      <c r="L2371" s="12" t="s">
        <v>82</v>
      </c>
      <c r="M2371">
        <v>18.36</v>
      </c>
      <c r="N2371" s="12" t="s">
        <v>159</v>
      </c>
      <c r="O2371" s="12" t="s">
        <v>160</v>
      </c>
      <c r="P2371" s="12" t="s">
        <v>137</v>
      </c>
      <c r="Q2371" s="13">
        <v>45380</v>
      </c>
      <c r="R2371" s="13">
        <v>45400</v>
      </c>
      <c r="S2371">
        <v>2024</v>
      </c>
      <c r="T2371" s="12" t="s">
        <v>2941</v>
      </c>
      <c r="U2371">
        <v>77</v>
      </c>
      <c r="V2371">
        <v>174.20429999999999</v>
      </c>
      <c r="W2371">
        <v>333.94</v>
      </c>
      <c r="X2371">
        <v>0</v>
      </c>
      <c r="Y2371">
        <v>0</v>
      </c>
      <c r="Z2371">
        <v>13413.73</v>
      </c>
      <c r="AA2371">
        <v>13747.67</v>
      </c>
      <c r="AB2371" s="12" t="s">
        <v>2742</v>
      </c>
      <c r="AC2371">
        <v>174.20429999999999</v>
      </c>
      <c r="AD2371">
        <v>1</v>
      </c>
      <c r="AE2371">
        <v>1</v>
      </c>
      <c r="AF2371">
        <v>0</v>
      </c>
      <c r="AG2371">
        <v>13413.73</v>
      </c>
      <c r="AH2371">
        <v>77</v>
      </c>
      <c r="AI2371">
        <v>76</v>
      </c>
      <c r="AJ2371">
        <v>1</v>
      </c>
      <c r="AK2371">
        <v>1</v>
      </c>
      <c r="AL2371">
        <v>1</v>
      </c>
      <c r="AM2371">
        <v>98.7</v>
      </c>
      <c r="AN2371">
        <v>180.8904</v>
      </c>
      <c r="AO2371">
        <v>174.2</v>
      </c>
      <c r="AP2371" s="13">
        <v>45400</v>
      </c>
      <c r="AQ2371">
        <v>0</v>
      </c>
      <c r="AR2371">
        <v>1</v>
      </c>
    </row>
    <row r="2372" spans="1:44" x14ac:dyDescent="0.35">
      <c r="A2372" s="12" t="s">
        <v>3165</v>
      </c>
      <c r="B2372" s="12" t="s">
        <v>621</v>
      </c>
      <c r="C2372" s="12" t="s">
        <v>622</v>
      </c>
      <c r="D2372" s="12" t="s">
        <v>103</v>
      </c>
      <c r="E2372" s="12" t="s">
        <v>65</v>
      </c>
      <c r="F2372">
        <v>1</v>
      </c>
      <c r="G2372">
        <v>2</v>
      </c>
      <c r="H2372">
        <v>1</v>
      </c>
      <c r="I2372" s="12" t="s">
        <v>486</v>
      </c>
      <c r="J2372" s="12" t="s">
        <v>487</v>
      </c>
      <c r="K2372" s="12" t="s">
        <v>125</v>
      </c>
      <c r="L2372" s="12" t="s">
        <v>69</v>
      </c>
      <c r="M2372">
        <v>36.86</v>
      </c>
      <c r="N2372" s="12" t="s">
        <v>107</v>
      </c>
      <c r="O2372" s="12" t="s">
        <v>108</v>
      </c>
      <c r="P2372" s="12" t="s">
        <v>109</v>
      </c>
      <c r="Q2372" s="13">
        <v>45380</v>
      </c>
      <c r="R2372" s="13">
        <v>45410</v>
      </c>
      <c r="S2372">
        <v>2024</v>
      </c>
      <c r="T2372" s="12" t="s">
        <v>2941</v>
      </c>
      <c r="U2372">
        <v>85</v>
      </c>
      <c r="V2372">
        <v>201.08609999999999</v>
      </c>
      <c r="W2372">
        <v>183.43</v>
      </c>
      <c r="X2372">
        <v>0</v>
      </c>
      <c r="Y2372">
        <v>0</v>
      </c>
      <c r="Z2372">
        <v>17092.32</v>
      </c>
      <c r="AA2372">
        <v>17275.75</v>
      </c>
      <c r="AB2372" s="12" t="s">
        <v>2658</v>
      </c>
      <c r="AC2372">
        <v>201.08609999999999</v>
      </c>
      <c r="AD2372">
        <v>1</v>
      </c>
      <c r="AE2372">
        <v>1</v>
      </c>
      <c r="AF2372">
        <v>0</v>
      </c>
      <c r="AG2372">
        <v>17092.32</v>
      </c>
      <c r="AH2372">
        <v>85</v>
      </c>
      <c r="AI2372">
        <v>84</v>
      </c>
      <c r="AJ2372">
        <v>1</v>
      </c>
      <c r="AK2372">
        <v>1</v>
      </c>
      <c r="AL2372">
        <v>1</v>
      </c>
      <c r="AM2372">
        <v>98.82</v>
      </c>
      <c r="AN2372">
        <v>205.66370000000001</v>
      </c>
      <c r="AO2372">
        <v>201.09</v>
      </c>
      <c r="AP2372" s="13">
        <v>45409</v>
      </c>
      <c r="AQ2372">
        <v>-1</v>
      </c>
      <c r="AR2372">
        <v>1</v>
      </c>
    </row>
    <row r="2373" spans="1:44" x14ac:dyDescent="0.35">
      <c r="A2373" s="12" t="s">
        <v>3166</v>
      </c>
      <c r="B2373" s="12" t="s">
        <v>331</v>
      </c>
      <c r="C2373" s="12" t="s">
        <v>332</v>
      </c>
      <c r="D2373" s="12" t="s">
        <v>122</v>
      </c>
      <c r="E2373" s="12" t="s">
        <v>142</v>
      </c>
      <c r="F2373">
        <v>3</v>
      </c>
      <c r="G2373">
        <v>11</v>
      </c>
      <c r="H2373">
        <v>0</v>
      </c>
      <c r="I2373" s="12" t="s">
        <v>263</v>
      </c>
      <c r="J2373" s="12" t="s">
        <v>264</v>
      </c>
      <c r="K2373" s="12" t="s">
        <v>125</v>
      </c>
      <c r="L2373" s="12" t="s">
        <v>82</v>
      </c>
      <c r="M2373">
        <v>10.210000000000001</v>
      </c>
      <c r="N2373" s="12" t="s">
        <v>70</v>
      </c>
      <c r="O2373" s="12" t="s">
        <v>71</v>
      </c>
      <c r="P2373" s="12" t="s">
        <v>72</v>
      </c>
      <c r="Q2373" s="13">
        <v>45380</v>
      </c>
      <c r="R2373" s="13">
        <v>45425</v>
      </c>
      <c r="S2373">
        <v>2024</v>
      </c>
      <c r="T2373" s="12" t="s">
        <v>2941</v>
      </c>
      <c r="U2373">
        <v>1268</v>
      </c>
      <c r="V2373">
        <v>24.008700000000001</v>
      </c>
      <c r="W2373">
        <v>223.69</v>
      </c>
      <c r="X2373">
        <v>0</v>
      </c>
      <c r="Y2373">
        <v>0</v>
      </c>
      <c r="Z2373">
        <v>30443.03</v>
      </c>
      <c r="AA2373">
        <v>30666.720000000001</v>
      </c>
      <c r="AB2373" s="12" t="s">
        <v>2732</v>
      </c>
      <c r="AC2373">
        <v>24.008700000000001</v>
      </c>
      <c r="AD2373">
        <v>1</v>
      </c>
      <c r="AE2373">
        <v>1</v>
      </c>
      <c r="AF2373">
        <v>0</v>
      </c>
      <c r="AG2373">
        <v>30443.03</v>
      </c>
      <c r="AH2373">
        <v>1268</v>
      </c>
      <c r="AI2373">
        <v>1257</v>
      </c>
      <c r="AJ2373">
        <v>11</v>
      </c>
      <c r="AK2373">
        <v>1</v>
      </c>
      <c r="AL2373">
        <v>1</v>
      </c>
      <c r="AM2373">
        <v>99.13</v>
      </c>
      <c r="AN2373">
        <v>24.396799999999999</v>
      </c>
      <c r="AO2373">
        <v>264.10000000000002</v>
      </c>
      <c r="AP2373" s="13">
        <v>45422</v>
      </c>
      <c r="AQ2373">
        <v>-3</v>
      </c>
      <c r="AR2373">
        <v>1</v>
      </c>
    </row>
    <row r="2374" spans="1:44" x14ac:dyDescent="0.35">
      <c r="A2374" s="12" t="s">
        <v>3167</v>
      </c>
      <c r="B2374" s="12" t="s">
        <v>267</v>
      </c>
      <c r="C2374" s="12" t="s">
        <v>268</v>
      </c>
      <c r="D2374" s="12" t="s">
        <v>269</v>
      </c>
      <c r="E2374" s="12" t="s">
        <v>142</v>
      </c>
      <c r="F2374">
        <v>1</v>
      </c>
      <c r="G2374">
        <v>8</v>
      </c>
      <c r="H2374">
        <v>1</v>
      </c>
      <c r="I2374" s="12" t="s">
        <v>94</v>
      </c>
      <c r="J2374" s="12" t="s">
        <v>95</v>
      </c>
      <c r="K2374" s="12" t="s">
        <v>81</v>
      </c>
      <c r="L2374" s="12" t="s">
        <v>96</v>
      </c>
      <c r="M2374">
        <v>4.8099999999999996</v>
      </c>
      <c r="N2374" s="12" t="s">
        <v>135</v>
      </c>
      <c r="O2374" s="12" t="s">
        <v>136</v>
      </c>
      <c r="P2374" s="12" t="s">
        <v>137</v>
      </c>
      <c r="Q2374" s="13">
        <v>45380</v>
      </c>
      <c r="R2374" s="13">
        <v>45418</v>
      </c>
      <c r="S2374">
        <v>2024</v>
      </c>
      <c r="T2374" s="12" t="s">
        <v>2941</v>
      </c>
      <c r="U2374">
        <v>40</v>
      </c>
      <c r="V2374">
        <v>225.02719999999999</v>
      </c>
      <c r="W2374">
        <v>58.73</v>
      </c>
      <c r="X2374">
        <v>0</v>
      </c>
      <c r="Y2374">
        <v>0</v>
      </c>
      <c r="Z2374">
        <v>9001.09</v>
      </c>
      <c r="AA2374">
        <v>9059.82</v>
      </c>
      <c r="AB2374" s="12" t="s">
        <v>2878</v>
      </c>
      <c r="AC2374">
        <v>225.02719999999999</v>
      </c>
      <c r="AD2374">
        <v>1</v>
      </c>
      <c r="AE2374">
        <v>1</v>
      </c>
      <c r="AF2374">
        <v>0</v>
      </c>
      <c r="AG2374">
        <v>9001.09</v>
      </c>
      <c r="AH2374">
        <v>40</v>
      </c>
      <c r="AI2374">
        <v>40</v>
      </c>
      <c r="AJ2374">
        <v>0</v>
      </c>
      <c r="AK2374">
        <v>1</v>
      </c>
      <c r="AL2374">
        <v>1</v>
      </c>
      <c r="AM2374">
        <v>100</v>
      </c>
      <c r="AN2374">
        <v>226.49549999999999</v>
      </c>
      <c r="AO2374">
        <v>0</v>
      </c>
      <c r="AP2374" s="13">
        <v>45415</v>
      </c>
      <c r="AQ2374">
        <v>-3</v>
      </c>
      <c r="AR2374">
        <v>1</v>
      </c>
    </row>
    <row r="2375" spans="1:44" x14ac:dyDescent="0.35">
      <c r="A2375" s="12" t="s">
        <v>3168</v>
      </c>
      <c r="B2375" s="12" t="s">
        <v>732</v>
      </c>
      <c r="C2375" s="12" t="s">
        <v>733</v>
      </c>
      <c r="D2375" s="12" t="s">
        <v>114</v>
      </c>
      <c r="E2375" s="12" t="s">
        <v>104</v>
      </c>
      <c r="F2375">
        <v>3</v>
      </c>
      <c r="G2375">
        <v>1</v>
      </c>
      <c r="H2375">
        <v>0</v>
      </c>
      <c r="I2375" s="12" t="s">
        <v>199</v>
      </c>
      <c r="J2375" s="12" t="s">
        <v>200</v>
      </c>
      <c r="K2375" s="12" t="s">
        <v>68</v>
      </c>
      <c r="L2375" s="12" t="s">
        <v>96</v>
      </c>
      <c r="M2375">
        <v>9.4700000000000006</v>
      </c>
      <c r="N2375" s="12" t="s">
        <v>70</v>
      </c>
      <c r="O2375" s="12" t="s">
        <v>71</v>
      </c>
      <c r="P2375" s="12" t="s">
        <v>72</v>
      </c>
      <c r="Q2375" s="13">
        <v>45380</v>
      </c>
      <c r="R2375" s="13">
        <v>45406</v>
      </c>
      <c r="S2375">
        <v>2024</v>
      </c>
      <c r="T2375" s="12" t="s">
        <v>2941</v>
      </c>
      <c r="U2375">
        <v>122</v>
      </c>
      <c r="V2375">
        <v>314.15269999999998</v>
      </c>
      <c r="W2375">
        <v>566.01</v>
      </c>
      <c r="X2375">
        <v>0</v>
      </c>
      <c r="Y2375">
        <v>0</v>
      </c>
      <c r="Z2375">
        <v>38326.629999999997</v>
      </c>
      <c r="AA2375">
        <v>38892.639999999999</v>
      </c>
      <c r="AB2375" s="12" t="s">
        <v>734</v>
      </c>
      <c r="AC2375">
        <v>314.15269999999998</v>
      </c>
      <c r="AD2375">
        <v>1</v>
      </c>
      <c r="AE2375">
        <v>1</v>
      </c>
      <c r="AF2375">
        <v>0</v>
      </c>
      <c r="AG2375">
        <v>38326.629999999997</v>
      </c>
      <c r="AH2375">
        <v>122</v>
      </c>
      <c r="AI2375">
        <v>120</v>
      </c>
      <c r="AJ2375">
        <v>2</v>
      </c>
      <c r="AK2375">
        <v>1</v>
      </c>
      <c r="AL2375">
        <v>1</v>
      </c>
      <c r="AM2375">
        <v>98.36</v>
      </c>
      <c r="AN2375">
        <v>324.1053</v>
      </c>
      <c r="AO2375">
        <v>628.30999999999995</v>
      </c>
      <c r="AP2375" s="13">
        <v>45406</v>
      </c>
      <c r="AQ2375">
        <v>0</v>
      </c>
      <c r="AR2375">
        <v>1</v>
      </c>
    </row>
    <row r="2376" spans="1:44" x14ac:dyDescent="0.35">
      <c r="A2376" s="12" t="s">
        <v>3169</v>
      </c>
      <c r="B2376" s="12" t="s">
        <v>661</v>
      </c>
      <c r="C2376" s="12" t="s">
        <v>662</v>
      </c>
      <c r="D2376" s="12" t="s">
        <v>175</v>
      </c>
      <c r="E2376" s="12" t="s">
        <v>104</v>
      </c>
      <c r="F2376">
        <v>1</v>
      </c>
      <c r="G2376">
        <v>0</v>
      </c>
      <c r="H2376">
        <v>1</v>
      </c>
      <c r="I2376" s="12" t="s">
        <v>183</v>
      </c>
      <c r="J2376" s="12" t="s">
        <v>184</v>
      </c>
      <c r="K2376" s="12" t="s">
        <v>133</v>
      </c>
      <c r="L2376" s="12" t="s">
        <v>82</v>
      </c>
      <c r="M2376">
        <v>8.6199999999999992</v>
      </c>
      <c r="N2376" s="12" t="s">
        <v>145</v>
      </c>
      <c r="O2376" s="12" t="s">
        <v>146</v>
      </c>
      <c r="P2376" s="12" t="s">
        <v>109</v>
      </c>
      <c r="Q2376" s="13">
        <v>45380</v>
      </c>
      <c r="R2376" s="13">
        <v>45399</v>
      </c>
      <c r="S2376">
        <v>2024</v>
      </c>
      <c r="T2376" s="12" t="s">
        <v>2941</v>
      </c>
      <c r="U2376">
        <v>69</v>
      </c>
      <c r="V2376">
        <v>180.0376</v>
      </c>
      <c r="W2376">
        <v>87.16</v>
      </c>
      <c r="X2376">
        <v>0</v>
      </c>
      <c r="Y2376">
        <v>0</v>
      </c>
      <c r="Z2376">
        <v>12422.59</v>
      </c>
      <c r="AA2376">
        <v>12509.75</v>
      </c>
      <c r="AB2376" s="12" t="s">
        <v>2851</v>
      </c>
      <c r="AC2376">
        <v>180.0376</v>
      </c>
      <c r="AD2376">
        <v>1</v>
      </c>
      <c r="AE2376">
        <v>1</v>
      </c>
      <c r="AF2376">
        <v>0</v>
      </c>
      <c r="AG2376">
        <v>12422.59</v>
      </c>
      <c r="AH2376">
        <v>69</v>
      </c>
      <c r="AI2376">
        <v>68</v>
      </c>
      <c r="AJ2376">
        <v>1</v>
      </c>
      <c r="AK2376">
        <v>1</v>
      </c>
      <c r="AL2376">
        <v>1</v>
      </c>
      <c r="AM2376">
        <v>98.55</v>
      </c>
      <c r="AN2376">
        <v>183.96700000000001</v>
      </c>
      <c r="AO2376">
        <v>180.04</v>
      </c>
      <c r="AP2376" s="13">
        <v>45399</v>
      </c>
      <c r="AQ2376">
        <v>0</v>
      </c>
      <c r="AR2376">
        <v>1</v>
      </c>
    </row>
    <row r="2377" spans="1:44" x14ac:dyDescent="0.35">
      <c r="A2377" s="12" t="s">
        <v>3170</v>
      </c>
      <c r="B2377" s="12" t="s">
        <v>404</v>
      </c>
      <c r="C2377" s="12" t="s">
        <v>405</v>
      </c>
      <c r="D2377" s="12" t="s">
        <v>269</v>
      </c>
      <c r="E2377" s="12" t="s">
        <v>65</v>
      </c>
      <c r="F2377">
        <v>3</v>
      </c>
      <c r="G2377">
        <v>5</v>
      </c>
      <c r="H2377">
        <v>0</v>
      </c>
      <c r="I2377" s="12" t="s">
        <v>209</v>
      </c>
      <c r="J2377" s="12" t="s">
        <v>210</v>
      </c>
      <c r="K2377" s="12" t="s">
        <v>133</v>
      </c>
      <c r="L2377" s="12" t="s">
        <v>96</v>
      </c>
      <c r="M2377">
        <v>7.82</v>
      </c>
      <c r="N2377" s="12" t="s">
        <v>159</v>
      </c>
      <c r="O2377" s="12" t="s">
        <v>160</v>
      </c>
      <c r="P2377" s="12" t="s">
        <v>137</v>
      </c>
      <c r="Q2377" s="13">
        <v>45383</v>
      </c>
      <c r="R2377" s="13">
        <v>45417</v>
      </c>
      <c r="S2377">
        <v>2024</v>
      </c>
      <c r="T2377" s="12" t="s">
        <v>3171</v>
      </c>
      <c r="U2377">
        <v>115</v>
      </c>
      <c r="V2377">
        <v>430.1182</v>
      </c>
      <c r="W2377">
        <v>686.17</v>
      </c>
      <c r="X2377">
        <v>0</v>
      </c>
      <c r="Y2377">
        <v>0</v>
      </c>
      <c r="Z2377">
        <v>49463.59</v>
      </c>
      <c r="AA2377">
        <v>50149.760000000002</v>
      </c>
      <c r="AB2377" s="12" t="s">
        <v>3172</v>
      </c>
      <c r="AC2377">
        <v>430.1182</v>
      </c>
      <c r="AD2377">
        <v>1</v>
      </c>
      <c r="AE2377">
        <v>1</v>
      </c>
      <c r="AF2377">
        <v>0</v>
      </c>
      <c r="AG2377">
        <v>49463.59</v>
      </c>
      <c r="AH2377">
        <v>115</v>
      </c>
      <c r="AI2377">
        <v>114</v>
      </c>
      <c r="AJ2377">
        <v>1</v>
      </c>
      <c r="AK2377">
        <v>1</v>
      </c>
      <c r="AL2377">
        <v>1</v>
      </c>
      <c r="AM2377">
        <v>99.13</v>
      </c>
      <c r="AN2377">
        <v>439.91019999999997</v>
      </c>
      <c r="AO2377">
        <v>430.12</v>
      </c>
      <c r="AP2377" s="13">
        <v>45415</v>
      </c>
      <c r="AQ2377">
        <v>-2</v>
      </c>
      <c r="AR2377">
        <v>1</v>
      </c>
    </row>
    <row r="2378" spans="1:44" x14ac:dyDescent="0.35">
      <c r="A2378" s="12" t="s">
        <v>3173</v>
      </c>
      <c r="B2378" s="12" t="s">
        <v>519</v>
      </c>
      <c r="C2378" s="12" t="s">
        <v>520</v>
      </c>
      <c r="D2378" s="12" t="s">
        <v>78</v>
      </c>
      <c r="E2378" s="12" t="s">
        <v>65</v>
      </c>
      <c r="F2378">
        <v>2</v>
      </c>
      <c r="G2378">
        <v>3</v>
      </c>
      <c r="H2378">
        <v>0</v>
      </c>
      <c r="I2378" s="12" t="s">
        <v>66</v>
      </c>
      <c r="J2378" s="12" t="s">
        <v>67</v>
      </c>
      <c r="K2378" s="12" t="s">
        <v>68</v>
      </c>
      <c r="L2378" s="12" t="s">
        <v>69</v>
      </c>
      <c r="M2378">
        <v>17.66</v>
      </c>
      <c r="N2378" s="12" t="s">
        <v>97</v>
      </c>
      <c r="O2378" s="12" t="s">
        <v>98</v>
      </c>
      <c r="P2378" s="12" t="s">
        <v>72</v>
      </c>
      <c r="Q2378" s="13">
        <v>45383</v>
      </c>
      <c r="R2378" s="13">
        <v>45415</v>
      </c>
      <c r="S2378">
        <v>2024</v>
      </c>
      <c r="T2378" s="12" t="s">
        <v>3171</v>
      </c>
      <c r="U2378">
        <v>202</v>
      </c>
      <c r="V2378">
        <v>35.401600000000002</v>
      </c>
      <c r="W2378">
        <v>181.95</v>
      </c>
      <c r="X2378">
        <v>0</v>
      </c>
      <c r="Y2378">
        <v>0</v>
      </c>
      <c r="Z2378">
        <v>7151.12</v>
      </c>
      <c r="AA2378">
        <v>7333.07</v>
      </c>
      <c r="AB2378" s="12" t="s">
        <v>201</v>
      </c>
      <c r="AD2378">
        <v>0</v>
      </c>
      <c r="AE2378">
        <v>0</v>
      </c>
      <c r="AH2378">
        <v>202</v>
      </c>
      <c r="AI2378">
        <v>197</v>
      </c>
      <c r="AJ2378">
        <v>5</v>
      </c>
      <c r="AK2378">
        <v>1</v>
      </c>
      <c r="AL2378">
        <v>1</v>
      </c>
      <c r="AM2378">
        <v>97.52</v>
      </c>
      <c r="AN2378">
        <v>37.223700000000001</v>
      </c>
      <c r="AO2378">
        <v>177.01</v>
      </c>
      <c r="AP2378" s="13">
        <v>45415</v>
      </c>
      <c r="AQ2378">
        <v>0</v>
      </c>
      <c r="AR2378">
        <v>1</v>
      </c>
    </row>
    <row r="2379" spans="1:44" x14ac:dyDescent="0.35">
      <c r="A2379" s="12" t="s">
        <v>3174</v>
      </c>
      <c r="B2379" s="12" t="s">
        <v>331</v>
      </c>
      <c r="C2379" s="12" t="s">
        <v>332</v>
      </c>
      <c r="D2379" s="12" t="s">
        <v>122</v>
      </c>
      <c r="E2379" s="12" t="s">
        <v>142</v>
      </c>
      <c r="F2379">
        <v>3</v>
      </c>
      <c r="G2379">
        <v>11</v>
      </c>
      <c r="H2379">
        <v>0</v>
      </c>
      <c r="I2379" s="12" t="s">
        <v>263</v>
      </c>
      <c r="J2379" s="12" t="s">
        <v>264</v>
      </c>
      <c r="K2379" s="12" t="s">
        <v>125</v>
      </c>
      <c r="L2379" s="12" t="s">
        <v>82</v>
      </c>
      <c r="M2379">
        <v>10.210000000000001</v>
      </c>
      <c r="N2379" s="12" t="s">
        <v>70</v>
      </c>
      <c r="O2379" s="12" t="s">
        <v>71</v>
      </c>
      <c r="P2379" s="12" t="s">
        <v>72</v>
      </c>
      <c r="Q2379" s="13">
        <v>45383</v>
      </c>
      <c r="R2379" s="13">
        <v>45422</v>
      </c>
      <c r="S2379">
        <v>2024</v>
      </c>
      <c r="T2379" s="12" t="s">
        <v>3171</v>
      </c>
      <c r="U2379">
        <v>694</v>
      </c>
      <c r="V2379">
        <v>24.008700000000001</v>
      </c>
      <c r="W2379">
        <v>367.32</v>
      </c>
      <c r="X2379">
        <v>0</v>
      </c>
      <c r="Y2379">
        <v>0</v>
      </c>
      <c r="Z2379">
        <v>16662.04</v>
      </c>
      <c r="AA2379">
        <v>17029.36</v>
      </c>
      <c r="AB2379" s="12" t="s">
        <v>2732</v>
      </c>
      <c r="AC2379">
        <v>24.008700000000001</v>
      </c>
      <c r="AD2379">
        <v>1</v>
      </c>
      <c r="AE2379">
        <v>1</v>
      </c>
      <c r="AF2379">
        <v>0</v>
      </c>
      <c r="AG2379">
        <v>16662.04</v>
      </c>
      <c r="AH2379">
        <v>694</v>
      </c>
      <c r="AI2379">
        <v>692</v>
      </c>
      <c r="AJ2379">
        <v>2</v>
      </c>
      <c r="AK2379">
        <v>1</v>
      </c>
      <c r="AL2379">
        <v>1</v>
      </c>
      <c r="AM2379">
        <v>99.71</v>
      </c>
      <c r="AN2379">
        <v>24.608899999999998</v>
      </c>
      <c r="AO2379">
        <v>48.02</v>
      </c>
      <c r="AP2379" s="13">
        <v>45420</v>
      </c>
      <c r="AQ2379">
        <v>-2</v>
      </c>
      <c r="AR2379">
        <v>1</v>
      </c>
    </row>
    <row r="2380" spans="1:44" x14ac:dyDescent="0.35">
      <c r="A2380" s="12" t="s">
        <v>3175</v>
      </c>
      <c r="B2380" s="12" t="s">
        <v>809</v>
      </c>
      <c r="C2380" s="12" t="s">
        <v>810</v>
      </c>
      <c r="D2380" s="12" t="s">
        <v>114</v>
      </c>
      <c r="E2380" s="12" t="s">
        <v>65</v>
      </c>
      <c r="F2380">
        <v>3</v>
      </c>
      <c r="G2380">
        <v>5</v>
      </c>
      <c r="H2380">
        <v>0</v>
      </c>
      <c r="I2380" s="12" t="s">
        <v>811</v>
      </c>
      <c r="J2380" s="12" t="s">
        <v>812</v>
      </c>
      <c r="K2380" s="12" t="s">
        <v>117</v>
      </c>
      <c r="L2380" s="12" t="s">
        <v>69</v>
      </c>
      <c r="M2380">
        <v>26.4</v>
      </c>
      <c r="N2380" s="12" t="s">
        <v>97</v>
      </c>
      <c r="O2380" s="12" t="s">
        <v>98</v>
      </c>
      <c r="P2380" s="12" t="s">
        <v>72</v>
      </c>
      <c r="Q2380" s="13">
        <v>45383</v>
      </c>
      <c r="R2380" s="13">
        <v>45417</v>
      </c>
      <c r="S2380">
        <v>2024</v>
      </c>
      <c r="T2380" s="12" t="s">
        <v>3171</v>
      </c>
      <c r="U2380">
        <v>114</v>
      </c>
      <c r="V2380">
        <v>319.41250000000002</v>
      </c>
      <c r="W2380">
        <v>469.82</v>
      </c>
      <c r="X2380">
        <v>1184.69</v>
      </c>
      <c r="Y2380">
        <v>1</v>
      </c>
      <c r="Z2380">
        <v>36413.03</v>
      </c>
      <c r="AA2380">
        <v>38067.54</v>
      </c>
      <c r="AB2380" s="12" t="s">
        <v>3176</v>
      </c>
      <c r="AC2380">
        <v>319.41250000000002</v>
      </c>
      <c r="AD2380">
        <v>1</v>
      </c>
      <c r="AE2380">
        <v>1</v>
      </c>
      <c r="AF2380">
        <v>0</v>
      </c>
      <c r="AG2380">
        <v>36413.03</v>
      </c>
      <c r="AH2380">
        <v>114</v>
      </c>
      <c r="AI2380">
        <v>112</v>
      </c>
      <c r="AJ2380">
        <v>2</v>
      </c>
      <c r="AK2380">
        <v>1</v>
      </c>
      <c r="AL2380">
        <v>1</v>
      </c>
      <c r="AM2380">
        <v>98.25</v>
      </c>
      <c r="AN2380">
        <v>339.88869999999997</v>
      </c>
      <c r="AO2380">
        <v>638.83000000000004</v>
      </c>
      <c r="AP2380" s="13">
        <v>45416</v>
      </c>
      <c r="AQ2380">
        <v>-1</v>
      </c>
      <c r="AR2380">
        <v>1</v>
      </c>
    </row>
    <row r="2381" spans="1:44" x14ac:dyDescent="0.35">
      <c r="A2381" s="12" t="s">
        <v>3177</v>
      </c>
      <c r="B2381" s="12" t="s">
        <v>85</v>
      </c>
      <c r="C2381" s="12" t="s">
        <v>86</v>
      </c>
      <c r="D2381" s="12" t="s">
        <v>78</v>
      </c>
      <c r="E2381" s="12" t="s">
        <v>65</v>
      </c>
      <c r="F2381">
        <v>3</v>
      </c>
      <c r="G2381">
        <v>5</v>
      </c>
      <c r="H2381">
        <v>0</v>
      </c>
      <c r="I2381" s="12" t="s">
        <v>87</v>
      </c>
      <c r="J2381" s="12" t="s">
        <v>88</v>
      </c>
      <c r="K2381" s="12" t="s">
        <v>89</v>
      </c>
      <c r="L2381" s="12" t="s">
        <v>69</v>
      </c>
      <c r="M2381">
        <v>14.93</v>
      </c>
      <c r="N2381" s="12" t="s">
        <v>70</v>
      </c>
      <c r="O2381" s="12" t="s">
        <v>71</v>
      </c>
      <c r="P2381" s="12" t="s">
        <v>72</v>
      </c>
      <c r="Q2381" s="13">
        <v>45383</v>
      </c>
      <c r="R2381" s="13">
        <v>45411</v>
      </c>
      <c r="S2381">
        <v>2024</v>
      </c>
      <c r="T2381" s="12" t="s">
        <v>3171</v>
      </c>
      <c r="U2381">
        <v>151</v>
      </c>
      <c r="V2381">
        <v>145.97399999999999</v>
      </c>
      <c r="W2381">
        <v>294.33</v>
      </c>
      <c r="X2381">
        <v>0</v>
      </c>
      <c r="Y2381">
        <v>0</v>
      </c>
      <c r="Z2381">
        <v>22042.07</v>
      </c>
      <c r="AA2381">
        <v>22336.400000000001</v>
      </c>
      <c r="AB2381" s="12" t="s">
        <v>2621</v>
      </c>
      <c r="AC2381">
        <v>139.59649999999999</v>
      </c>
      <c r="AD2381">
        <v>1</v>
      </c>
      <c r="AE2381">
        <v>1</v>
      </c>
      <c r="AF2381">
        <v>963</v>
      </c>
      <c r="AG2381">
        <v>21079.07</v>
      </c>
      <c r="AH2381">
        <v>151</v>
      </c>
      <c r="AI2381">
        <v>147</v>
      </c>
      <c r="AJ2381">
        <v>4</v>
      </c>
      <c r="AK2381">
        <v>1</v>
      </c>
      <c r="AL2381">
        <v>1</v>
      </c>
      <c r="AM2381">
        <v>97.35</v>
      </c>
      <c r="AN2381">
        <v>151.94829999999999</v>
      </c>
      <c r="AO2381">
        <v>583.9</v>
      </c>
      <c r="AP2381" s="13">
        <v>45411</v>
      </c>
      <c r="AQ2381">
        <v>0</v>
      </c>
      <c r="AR2381">
        <v>1</v>
      </c>
    </row>
    <row r="2382" spans="1:44" x14ac:dyDescent="0.35">
      <c r="A2382" s="12" t="s">
        <v>3178</v>
      </c>
      <c r="B2382" s="12" t="s">
        <v>498</v>
      </c>
      <c r="C2382" s="12" t="s">
        <v>499</v>
      </c>
      <c r="D2382" s="12" t="s">
        <v>175</v>
      </c>
      <c r="E2382" s="12" t="s">
        <v>104</v>
      </c>
      <c r="F2382">
        <v>3</v>
      </c>
      <c r="G2382">
        <v>1</v>
      </c>
      <c r="H2382">
        <v>0</v>
      </c>
      <c r="I2382" s="12" t="s">
        <v>676</v>
      </c>
      <c r="J2382" s="12" t="s">
        <v>677</v>
      </c>
      <c r="K2382" s="12" t="s">
        <v>68</v>
      </c>
      <c r="L2382" s="12" t="s">
        <v>96</v>
      </c>
      <c r="M2382">
        <v>3.57</v>
      </c>
      <c r="N2382" s="12" t="s">
        <v>145</v>
      </c>
      <c r="O2382" s="12" t="s">
        <v>146</v>
      </c>
      <c r="P2382" s="12" t="s">
        <v>109</v>
      </c>
      <c r="Q2382" s="13">
        <v>45383</v>
      </c>
      <c r="R2382" s="13">
        <v>45396</v>
      </c>
      <c r="S2382">
        <v>2024</v>
      </c>
      <c r="T2382" s="12" t="s">
        <v>3171</v>
      </c>
      <c r="U2382">
        <v>22</v>
      </c>
      <c r="V2382">
        <v>259.09370000000001</v>
      </c>
      <c r="W2382">
        <v>36.619999999999997</v>
      </c>
      <c r="X2382">
        <v>0</v>
      </c>
      <c r="Y2382">
        <v>0</v>
      </c>
      <c r="Z2382">
        <v>5700.06</v>
      </c>
      <c r="AA2382">
        <v>5736.68</v>
      </c>
      <c r="AB2382" s="12" t="s">
        <v>3179</v>
      </c>
      <c r="AC2382">
        <v>259.09370000000001</v>
      </c>
      <c r="AD2382">
        <v>1</v>
      </c>
      <c r="AE2382">
        <v>1</v>
      </c>
      <c r="AF2382">
        <v>0</v>
      </c>
      <c r="AG2382">
        <v>5700.06</v>
      </c>
      <c r="AH2382">
        <v>22</v>
      </c>
      <c r="AI2382">
        <v>22</v>
      </c>
      <c r="AJ2382">
        <v>0</v>
      </c>
      <c r="AK2382">
        <v>1</v>
      </c>
      <c r="AL2382">
        <v>1</v>
      </c>
      <c r="AM2382">
        <v>100</v>
      </c>
      <c r="AN2382">
        <v>260.75819999999999</v>
      </c>
      <c r="AO2382">
        <v>0</v>
      </c>
      <c r="AP2382" s="13">
        <v>45396</v>
      </c>
      <c r="AQ2382">
        <v>0</v>
      </c>
      <c r="AR2382">
        <v>1</v>
      </c>
    </row>
    <row r="2383" spans="1:44" x14ac:dyDescent="0.35">
      <c r="A2383" s="12" t="s">
        <v>3180</v>
      </c>
      <c r="B2383" s="12" t="s">
        <v>101</v>
      </c>
      <c r="C2383" s="12" t="s">
        <v>102</v>
      </c>
      <c r="D2383" s="12" t="s">
        <v>103</v>
      </c>
      <c r="E2383" s="12" t="s">
        <v>104</v>
      </c>
      <c r="F2383">
        <v>1</v>
      </c>
      <c r="G2383">
        <v>0</v>
      </c>
      <c r="H2383">
        <v>1</v>
      </c>
      <c r="I2383" s="12" t="s">
        <v>105</v>
      </c>
      <c r="J2383" s="12" t="s">
        <v>106</v>
      </c>
      <c r="K2383" s="12" t="s">
        <v>81</v>
      </c>
      <c r="L2383" s="12" t="s">
        <v>96</v>
      </c>
      <c r="M2383">
        <v>5.01</v>
      </c>
      <c r="N2383" s="12" t="s">
        <v>145</v>
      </c>
      <c r="O2383" s="12" t="s">
        <v>146</v>
      </c>
      <c r="P2383" s="12" t="s">
        <v>109</v>
      </c>
      <c r="Q2383" s="13">
        <v>45384</v>
      </c>
      <c r="R2383" s="13">
        <v>45408</v>
      </c>
      <c r="S2383">
        <v>2024</v>
      </c>
      <c r="T2383" s="12" t="s">
        <v>3171</v>
      </c>
      <c r="U2383">
        <v>106</v>
      </c>
      <c r="V2383">
        <v>205.32499999999999</v>
      </c>
      <c r="W2383">
        <v>158.63</v>
      </c>
      <c r="X2383">
        <v>0</v>
      </c>
      <c r="Y2383">
        <v>0</v>
      </c>
      <c r="Z2383">
        <v>21764.45</v>
      </c>
      <c r="AA2383">
        <v>21923.08</v>
      </c>
      <c r="AB2383" s="12" t="s">
        <v>2866</v>
      </c>
      <c r="AC2383">
        <v>205.32499999999999</v>
      </c>
      <c r="AD2383">
        <v>1</v>
      </c>
      <c r="AE2383">
        <v>1</v>
      </c>
      <c r="AF2383">
        <v>0</v>
      </c>
      <c r="AG2383">
        <v>21764.45</v>
      </c>
      <c r="AH2383">
        <v>106</v>
      </c>
      <c r="AI2383">
        <v>105</v>
      </c>
      <c r="AJ2383">
        <v>1</v>
      </c>
      <c r="AK2383">
        <v>1</v>
      </c>
      <c r="AL2383">
        <v>1</v>
      </c>
      <c r="AM2383">
        <v>99.06</v>
      </c>
      <c r="AN2383">
        <v>208.7912</v>
      </c>
      <c r="AO2383">
        <v>205.33</v>
      </c>
      <c r="AP2383" s="13">
        <v>45405</v>
      </c>
      <c r="AQ2383">
        <v>-3</v>
      </c>
      <c r="AR2383">
        <v>1</v>
      </c>
    </row>
    <row r="2384" spans="1:44" x14ac:dyDescent="0.35">
      <c r="A2384" s="12" t="s">
        <v>3181</v>
      </c>
      <c r="B2384" s="12" t="s">
        <v>472</v>
      </c>
      <c r="C2384" s="12" t="s">
        <v>473</v>
      </c>
      <c r="D2384" s="12" t="s">
        <v>122</v>
      </c>
      <c r="E2384" s="12" t="s">
        <v>142</v>
      </c>
      <c r="F2384">
        <v>2</v>
      </c>
      <c r="G2384">
        <v>9</v>
      </c>
      <c r="H2384">
        <v>0</v>
      </c>
      <c r="I2384" s="12" t="s">
        <v>209</v>
      </c>
      <c r="J2384" s="12" t="s">
        <v>210</v>
      </c>
      <c r="K2384" s="12" t="s">
        <v>133</v>
      </c>
      <c r="L2384" s="12" t="s">
        <v>96</v>
      </c>
      <c r="M2384">
        <v>7.82</v>
      </c>
      <c r="N2384" s="12" t="s">
        <v>97</v>
      </c>
      <c r="O2384" s="12" t="s">
        <v>98</v>
      </c>
      <c r="P2384" s="12" t="s">
        <v>72</v>
      </c>
      <c r="Q2384" s="13">
        <v>45384</v>
      </c>
      <c r="R2384" s="13">
        <v>45427</v>
      </c>
      <c r="S2384">
        <v>2024</v>
      </c>
      <c r="T2384" s="12" t="s">
        <v>3171</v>
      </c>
      <c r="U2384">
        <v>1018</v>
      </c>
      <c r="V2384">
        <v>46.789099999999998</v>
      </c>
      <c r="W2384">
        <v>566.04999999999995</v>
      </c>
      <c r="X2384">
        <v>0</v>
      </c>
      <c r="Y2384">
        <v>0</v>
      </c>
      <c r="Z2384">
        <v>47631.3</v>
      </c>
      <c r="AA2384">
        <v>48197.35</v>
      </c>
      <c r="AB2384" s="12" t="s">
        <v>2966</v>
      </c>
      <c r="AC2384">
        <v>46.789099999999998</v>
      </c>
      <c r="AD2384">
        <v>1</v>
      </c>
      <c r="AE2384">
        <v>1</v>
      </c>
      <c r="AF2384">
        <v>0</v>
      </c>
      <c r="AG2384">
        <v>47631.3</v>
      </c>
      <c r="AH2384">
        <v>1018</v>
      </c>
      <c r="AI2384">
        <v>1016</v>
      </c>
      <c r="AJ2384">
        <v>2</v>
      </c>
      <c r="AK2384">
        <v>1</v>
      </c>
      <c r="AL2384">
        <v>1</v>
      </c>
      <c r="AM2384">
        <v>99.8</v>
      </c>
      <c r="AN2384">
        <v>47.438299999999998</v>
      </c>
      <c r="AO2384">
        <v>93.58</v>
      </c>
      <c r="AP2384" s="13">
        <v>45424</v>
      </c>
      <c r="AQ2384">
        <v>-3</v>
      </c>
      <c r="AR2384">
        <v>1</v>
      </c>
    </row>
    <row r="2385" spans="1:44" x14ac:dyDescent="0.35">
      <c r="A2385" s="12" t="s">
        <v>3182</v>
      </c>
      <c r="B2385" s="12" t="s">
        <v>477</v>
      </c>
      <c r="C2385" s="12" t="s">
        <v>478</v>
      </c>
      <c r="D2385" s="12" t="s">
        <v>130</v>
      </c>
      <c r="E2385" s="12" t="s">
        <v>104</v>
      </c>
      <c r="F2385">
        <v>3</v>
      </c>
      <c r="G2385">
        <v>1</v>
      </c>
      <c r="H2385">
        <v>0</v>
      </c>
      <c r="I2385" s="12" t="s">
        <v>515</v>
      </c>
      <c r="J2385" s="12" t="s">
        <v>516</v>
      </c>
      <c r="K2385" s="12" t="s">
        <v>68</v>
      </c>
      <c r="L2385" s="12" t="s">
        <v>134</v>
      </c>
      <c r="M2385">
        <v>3.69</v>
      </c>
      <c r="N2385" s="12" t="s">
        <v>159</v>
      </c>
      <c r="O2385" s="12" t="s">
        <v>160</v>
      </c>
      <c r="P2385" s="12" t="s">
        <v>137</v>
      </c>
      <c r="Q2385" s="13">
        <v>45384</v>
      </c>
      <c r="R2385" s="13">
        <v>45406</v>
      </c>
      <c r="S2385">
        <v>2024</v>
      </c>
      <c r="T2385" s="12" t="s">
        <v>3171</v>
      </c>
      <c r="U2385">
        <v>89</v>
      </c>
      <c r="V2385">
        <v>715.42190000000005</v>
      </c>
      <c r="W2385">
        <v>646.04999999999995</v>
      </c>
      <c r="X2385">
        <v>0</v>
      </c>
      <c r="Y2385">
        <v>0</v>
      </c>
      <c r="Z2385">
        <v>63672.55</v>
      </c>
      <c r="AA2385">
        <v>64318.6</v>
      </c>
      <c r="AB2385" s="12" t="s">
        <v>3183</v>
      </c>
      <c r="AC2385">
        <v>715.42190000000005</v>
      </c>
      <c r="AD2385">
        <v>1</v>
      </c>
      <c r="AE2385">
        <v>1</v>
      </c>
      <c r="AF2385">
        <v>0</v>
      </c>
      <c r="AG2385">
        <v>63672.55</v>
      </c>
      <c r="AH2385">
        <v>89</v>
      </c>
      <c r="AI2385">
        <v>88</v>
      </c>
      <c r="AJ2385">
        <v>1</v>
      </c>
      <c r="AK2385">
        <v>1</v>
      </c>
      <c r="AL2385">
        <v>1</v>
      </c>
      <c r="AM2385">
        <v>98.88</v>
      </c>
      <c r="AN2385">
        <v>730.89319999999998</v>
      </c>
      <c r="AO2385">
        <v>715.42</v>
      </c>
      <c r="AP2385" s="13">
        <v>45415</v>
      </c>
      <c r="AQ2385">
        <v>9</v>
      </c>
      <c r="AR2385">
        <v>0</v>
      </c>
    </row>
    <row r="2386" spans="1:44" x14ac:dyDescent="0.35">
      <c r="A2386" s="12" t="s">
        <v>3184</v>
      </c>
      <c r="B2386" s="12" t="s">
        <v>362</v>
      </c>
      <c r="C2386" s="12" t="s">
        <v>363</v>
      </c>
      <c r="D2386" s="12" t="s">
        <v>78</v>
      </c>
      <c r="E2386" s="12" t="s">
        <v>104</v>
      </c>
      <c r="F2386">
        <v>3</v>
      </c>
      <c r="G2386">
        <v>0</v>
      </c>
      <c r="H2386">
        <v>0</v>
      </c>
      <c r="I2386" s="12" t="s">
        <v>157</v>
      </c>
      <c r="J2386" s="12" t="s">
        <v>158</v>
      </c>
      <c r="K2386" s="12" t="s">
        <v>117</v>
      </c>
      <c r="L2386" s="12" t="s">
        <v>96</v>
      </c>
      <c r="M2386">
        <v>4.72</v>
      </c>
      <c r="N2386" s="12" t="s">
        <v>70</v>
      </c>
      <c r="O2386" s="12" t="s">
        <v>71</v>
      </c>
      <c r="P2386" s="12" t="s">
        <v>72</v>
      </c>
      <c r="Q2386" s="13">
        <v>45384</v>
      </c>
      <c r="R2386" s="13">
        <v>45398</v>
      </c>
      <c r="S2386">
        <v>2024</v>
      </c>
      <c r="T2386" s="12" t="s">
        <v>3171</v>
      </c>
      <c r="U2386">
        <v>75</v>
      </c>
      <c r="V2386">
        <v>59.830500000000001</v>
      </c>
      <c r="W2386">
        <v>41.33</v>
      </c>
      <c r="X2386">
        <v>0</v>
      </c>
      <c r="Y2386">
        <v>0</v>
      </c>
      <c r="Z2386">
        <v>4487.29</v>
      </c>
      <c r="AA2386">
        <v>4528.62</v>
      </c>
      <c r="AB2386" s="12" t="s">
        <v>3185</v>
      </c>
      <c r="AC2386">
        <v>59.830500000000001</v>
      </c>
      <c r="AD2386">
        <v>1</v>
      </c>
      <c r="AE2386">
        <v>1</v>
      </c>
      <c r="AF2386">
        <v>0</v>
      </c>
      <c r="AG2386">
        <v>4487.29</v>
      </c>
      <c r="AH2386">
        <v>75</v>
      </c>
      <c r="AI2386">
        <v>74</v>
      </c>
      <c r="AJ2386">
        <v>1</v>
      </c>
      <c r="AK2386">
        <v>1</v>
      </c>
      <c r="AL2386">
        <v>1</v>
      </c>
      <c r="AM2386">
        <v>98.67</v>
      </c>
      <c r="AN2386">
        <v>61.197499999999998</v>
      </c>
      <c r="AO2386">
        <v>59.83</v>
      </c>
      <c r="AP2386" s="13">
        <v>45396</v>
      </c>
      <c r="AQ2386">
        <v>-2</v>
      </c>
      <c r="AR2386">
        <v>1</v>
      </c>
    </row>
    <row r="2387" spans="1:44" x14ac:dyDescent="0.35">
      <c r="A2387" s="12" t="s">
        <v>3186</v>
      </c>
      <c r="B2387" s="12" t="s">
        <v>482</v>
      </c>
      <c r="C2387" s="12" t="s">
        <v>483</v>
      </c>
      <c r="D2387" s="12" t="s">
        <v>78</v>
      </c>
      <c r="E2387" s="12" t="s">
        <v>142</v>
      </c>
      <c r="F2387">
        <v>2</v>
      </c>
      <c r="G2387">
        <v>9</v>
      </c>
      <c r="H2387">
        <v>0</v>
      </c>
      <c r="I2387" s="12" t="s">
        <v>87</v>
      </c>
      <c r="J2387" s="12" t="s">
        <v>88</v>
      </c>
      <c r="K2387" s="12" t="s">
        <v>89</v>
      </c>
      <c r="L2387" s="12" t="s">
        <v>69</v>
      </c>
      <c r="M2387">
        <v>14.93</v>
      </c>
      <c r="N2387" s="12" t="s">
        <v>70</v>
      </c>
      <c r="O2387" s="12" t="s">
        <v>71</v>
      </c>
      <c r="P2387" s="12" t="s">
        <v>72</v>
      </c>
      <c r="Q2387" s="13">
        <v>45384</v>
      </c>
      <c r="R2387" s="13">
        <v>45422</v>
      </c>
      <c r="S2387">
        <v>2024</v>
      </c>
      <c r="T2387" s="12" t="s">
        <v>3171</v>
      </c>
      <c r="U2387">
        <v>90</v>
      </c>
      <c r="V2387">
        <v>47.101599999999998</v>
      </c>
      <c r="W2387">
        <v>69.66</v>
      </c>
      <c r="X2387">
        <v>0</v>
      </c>
      <c r="Y2387">
        <v>0</v>
      </c>
      <c r="Z2387">
        <v>4239.1400000000003</v>
      </c>
      <c r="AA2387">
        <v>4308.8</v>
      </c>
      <c r="AB2387" s="12" t="s">
        <v>3145</v>
      </c>
      <c r="AC2387">
        <v>47.101599999999998</v>
      </c>
      <c r="AD2387">
        <v>1</v>
      </c>
      <c r="AE2387">
        <v>1</v>
      </c>
      <c r="AF2387">
        <v>0</v>
      </c>
      <c r="AG2387">
        <v>4239.1400000000003</v>
      </c>
      <c r="AH2387">
        <v>90</v>
      </c>
      <c r="AI2387">
        <v>89</v>
      </c>
      <c r="AJ2387">
        <v>1</v>
      </c>
      <c r="AK2387">
        <v>1</v>
      </c>
      <c r="AL2387">
        <v>1</v>
      </c>
      <c r="AM2387">
        <v>98.89</v>
      </c>
      <c r="AN2387">
        <v>48.413499999999999</v>
      </c>
      <c r="AO2387">
        <v>47.1</v>
      </c>
      <c r="AP2387" s="13">
        <v>45422</v>
      </c>
      <c r="AQ2387">
        <v>0</v>
      </c>
      <c r="AR2387">
        <v>1</v>
      </c>
    </row>
    <row r="2388" spans="1:44" x14ac:dyDescent="0.35">
      <c r="A2388" s="12" t="s">
        <v>3187</v>
      </c>
      <c r="B2388" s="12" t="s">
        <v>587</v>
      </c>
      <c r="C2388" s="12" t="s">
        <v>588</v>
      </c>
      <c r="D2388" s="12" t="s">
        <v>122</v>
      </c>
      <c r="E2388" s="12" t="s">
        <v>104</v>
      </c>
      <c r="F2388">
        <v>2</v>
      </c>
      <c r="G2388">
        <v>0</v>
      </c>
      <c r="H2388">
        <v>0</v>
      </c>
      <c r="I2388" s="12" t="s">
        <v>486</v>
      </c>
      <c r="J2388" s="12" t="s">
        <v>487</v>
      </c>
      <c r="K2388" s="12" t="s">
        <v>125</v>
      </c>
      <c r="L2388" s="12" t="s">
        <v>69</v>
      </c>
      <c r="M2388">
        <v>36.86</v>
      </c>
      <c r="N2388" s="12" t="s">
        <v>70</v>
      </c>
      <c r="O2388" s="12" t="s">
        <v>71</v>
      </c>
      <c r="P2388" s="12" t="s">
        <v>72</v>
      </c>
      <c r="Q2388" s="13">
        <v>45384</v>
      </c>
      <c r="R2388" s="13">
        <v>45412</v>
      </c>
      <c r="S2388">
        <v>2024</v>
      </c>
      <c r="T2388" s="12" t="s">
        <v>3171</v>
      </c>
      <c r="U2388">
        <v>1832</v>
      </c>
      <c r="V2388">
        <v>11.9803</v>
      </c>
      <c r="W2388">
        <v>517.79</v>
      </c>
      <c r="X2388">
        <v>0</v>
      </c>
      <c r="Y2388">
        <v>0</v>
      </c>
      <c r="Z2388">
        <v>21947.91</v>
      </c>
      <c r="AA2388">
        <v>22465.7</v>
      </c>
      <c r="AB2388" s="12" t="s">
        <v>3188</v>
      </c>
      <c r="AC2388">
        <v>11.9803</v>
      </c>
      <c r="AD2388">
        <v>1</v>
      </c>
      <c r="AE2388">
        <v>1</v>
      </c>
      <c r="AF2388">
        <v>0</v>
      </c>
      <c r="AG2388">
        <v>21947.91</v>
      </c>
      <c r="AH2388">
        <v>1832</v>
      </c>
      <c r="AI2388">
        <v>1812</v>
      </c>
      <c r="AJ2388">
        <v>20</v>
      </c>
      <c r="AK2388">
        <v>1</v>
      </c>
      <c r="AL2388">
        <v>1</v>
      </c>
      <c r="AM2388">
        <v>98.91</v>
      </c>
      <c r="AN2388">
        <v>12.398300000000001</v>
      </c>
      <c r="AO2388">
        <v>239.61</v>
      </c>
      <c r="AP2388" s="13">
        <v>45417</v>
      </c>
      <c r="AQ2388">
        <v>5</v>
      </c>
      <c r="AR2388">
        <v>0</v>
      </c>
    </row>
    <row r="2389" spans="1:44" x14ac:dyDescent="0.35">
      <c r="A2389" s="12" t="s">
        <v>3189</v>
      </c>
      <c r="B2389" s="12" t="s">
        <v>221</v>
      </c>
      <c r="C2389" s="12" t="s">
        <v>222</v>
      </c>
      <c r="D2389" s="12" t="s">
        <v>114</v>
      </c>
      <c r="E2389" s="12" t="s">
        <v>142</v>
      </c>
      <c r="F2389">
        <v>3</v>
      </c>
      <c r="G2389">
        <v>11</v>
      </c>
      <c r="H2389">
        <v>0</v>
      </c>
      <c r="I2389" s="12" t="s">
        <v>105</v>
      </c>
      <c r="J2389" s="12" t="s">
        <v>106</v>
      </c>
      <c r="K2389" s="12" t="s">
        <v>81</v>
      </c>
      <c r="L2389" s="12" t="s">
        <v>96</v>
      </c>
      <c r="M2389">
        <v>5.01</v>
      </c>
      <c r="N2389" s="12" t="s">
        <v>97</v>
      </c>
      <c r="O2389" s="12" t="s">
        <v>98</v>
      </c>
      <c r="P2389" s="12" t="s">
        <v>72</v>
      </c>
      <c r="Q2389" s="13">
        <v>45384</v>
      </c>
      <c r="R2389" s="13">
        <v>45419</v>
      </c>
      <c r="S2389">
        <v>2024</v>
      </c>
      <c r="T2389" s="12" t="s">
        <v>3171</v>
      </c>
      <c r="U2389">
        <v>17</v>
      </c>
      <c r="V2389">
        <v>239.12260000000001</v>
      </c>
      <c r="W2389">
        <v>75.650000000000006</v>
      </c>
      <c r="X2389">
        <v>0</v>
      </c>
      <c r="Y2389">
        <v>0</v>
      </c>
      <c r="Z2389">
        <v>4065.08</v>
      </c>
      <c r="AA2389">
        <v>4140.7299999999996</v>
      </c>
      <c r="AB2389" s="12" t="s">
        <v>2818</v>
      </c>
      <c r="AC2389">
        <v>239.12260000000001</v>
      </c>
      <c r="AD2389">
        <v>1</v>
      </c>
      <c r="AE2389">
        <v>1</v>
      </c>
      <c r="AF2389">
        <v>0</v>
      </c>
      <c r="AG2389">
        <v>4065.08</v>
      </c>
      <c r="AH2389">
        <v>17</v>
      </c>
      <c r="AI2389">
        <v>17</v>
      </c>
      <c r="AJ2389">
        <v>0</v>
      </c>
      <c r="AK2389">
        <v>1</v>
      </c>
      <c r="AL2389">
        <v>1</v>
      </c>
      <c r="AM2389">
        <v>100</v>
      </c>
      <c r="AN2389">
        <v>243.57259999999999</v>
      </c>
      <c r="AO2389">
        <v>0</v>
      </c>
      <c r="AP2389" s="13">
        <v>45417</v>
      </c>
      <c r="AQ2389">
        <v>-2</v>
      </c>
      <c r="AR2389">
        <v>1</v>
      </c>
    </row>
    <row r="2390" spans="1:44" x14ac:dyDescent="0.35">
      <c r="A2390" s="12" t="s">
        <v>3190</v>
      </c>
      <c r="B2390" s="12" t="s">
        <v>706</v>
      </c>
      <c r="C2390" s="12" t="s">
        <v>707</v>
      </c>
      <c r="D2390" s="12" t="s">
        <v>130</v>
      </c>
      <c r="E2390" s="12" t="s">
        <v>142</v>
      </c>
      <c r="F2390">
        <v>1</v>
      </c>
      <c r="G2390">
        <v>8</v>
      </c>
      <c r="H2390">
        <v>1</v>
      </c>
      <c r="I2390" s="12" t="s">
        <v>263</v>
      </c>
      <c r="J2390" s="12" t="s">
        <v>264</v>
      </c>
      <c r="K2390" s="12" t="s">
        <v>125</v>
      </c>
      <c r="L2390" s="12" t="s">
        <v>82</v>
      </c>
      <c r="M2390">
        <v>10.210000000000001</v>
      </c>
      <c r="N2390" s="12" t="s">
        <v>159</v>
      </c>
      <c r="O2390" s="12" t="s">
        <v>160</v>
      </c>
      <c r="P2390" s="12" t="s">
        <v>137</v>
      </c>
      <c r="Q2390" s="13">
        <v>45385</v>
      </c>
      <c r="R2390" s="13">
        <v>45422</v>
      </c>
      <c r="S2390">
        <v>2024</v>
      </c>
      <c r="T2390" s="12" t="s">
        <v>3171</v>
      </c>
      <c r="U2390">
        <v>26</v>
      </c>
      <c r="V2390">
        <v>261.39519999999999</v>
      </c>
      <c r="W2390">
        <v>75.13</v>
      </c>
      <c r="X2390">
        <v>214.65</v>
      </c>
      <c r="Y2390">
        <v>1</v>
      </c>
      <c r="Z2390">
        <v>6796.28</v>
      </c>
      <c r="AA2390">
        <v>7086.06</v>
      </c>
      <c r="AB2390" s="12" t="s">
        <v>708</v>
      </c>
      <c r="AC2390">
        <v>277.71210000000002</v>
      </c>
      <c r="AD2390">
        <v>1</v>
      </c>
      <c r="AE2390">
        <v>1</v>
      </c>
      <c r="AF2390">
        <v>-424.24</v>
      </c>
      <c r="AG2390">
        <v>7220.51</v>
      </c>
      <c r="AH2390">
        <v>26</v>
      </c>
      <c r="AI2390">
        <v>26</v>
      </c>
      <c r="AJ2390">
        <v>0</v>
      </c>
      <c r="AK2390">
        <v>1</v>
      </c>
      <c r="AL2390">
        <v>1</v>
      </c>
      <c r="AM2390">
        <v>100</v>
      </c>
      <c r="AN2390">
        <v>272.54059999999998</v>
      </c>
      <c r="AO2390">
        <v>0</v>
      </c>
      <c r="AP2390" s="13">
        <v>45422</v>
      </c>
      <c r="AQ2390">
        <v>0</v>
      </c>
      <c r="AR2390">
        <v>1</v>
      </c>
    </row>
    <row r="2391" spans="1:44" x14ac:dyDescent="0.35">
      <c r="A2391" s="12" t="s">
        <v>3191</v>
      </c>
      <c r="B2391" s="12" t="s">
        <v>408</v>
      </c>
      <c r="C2391" s="12" t="s">
        <v>409</v>
      </c>
      <c r="D2391" s="12" t="s">
        <v>130</v>
      </c>
      <c r="E2391" s="12" t="s">
        <v>65</v>
      </c>
      <c r="F2391">
        <v>3</v>
      </c>
      <c r="G2391">
        <v>5</v>
      </c>
      <c r="H2391">
        <v>0</v>
      </c>
      <c r="I2391" s="12" t="s">
        <v>105</v>
      </c>
      <c r="J2391" s="12" t="s">
        <v>106</v>
      </c>
      <c r="K2391" s="12" t="s">
        <v>81</v>
      </c>
      <c r="L2391" s="12" t="s">
        <v>96</v>
      </c>
      <c r="M2391">
        <v>5.01</v>
      </c>
      <c r="N2391" s="12" t="s">
        <v>135</v>
      </c>
      <c r="O2391" s="12" t="s">
        <v>136</v>
      </c>
      <c r="P2391" s="12" t="s">
        <v>137</v>
      </c>
      <c r="Q2391" s="13">
        <v>45385</v>
      </c>
      <c r="R2391" s="13">
        <v>45422</v>
      </c>
      <c r="S2391">
        <v>2024</v>
      </c>
      <c r="T2391" s="12" t="s">
        <v>3171</v>
      </c>
      <c r="U2391">
        <v>136</v>
      </c>
      <c r="V2391">
        <v>746.87909999999999</v>
      </c>
      <c r="W2391">
        <v>1974.79</v>
      </c>
      <c r="X2391">
        <v>3100.73</v>
      </c>
      <c r="Y2391">
        <v>1</v>
      </c>
      <c r="Z2391">
        <v>101575.56</v>
      </c>
      <c r="AA2391">
        <v>106651.08</v>
      </c>
      <c r="AB2391" s="12" t="s">
        <v>3038</v>
      </c>
      <c r="AC2391">
        <v>746.87909999999999</v>
      </c>
      <c r="AD2391">
        <v>1</v>
      </c>
      <c r="AE2391">
        <v>1</v>
      </c>
      <c r="AF2391">
        <v>0</v>
      </c>
      <c r="AG2391">
        <v>101575.56</v>
      </c>
      <c r="AH2391">
        <v>136</v>
      </c>
      <c r="AI2391">
        <v>136</v>
      </c>
      <c r="AJ2391">
        <v>0</v>
      </c>
      <c r="AK2391">
        <v>1</v>
      </c>
      <c r="AL2391">
        <v>1</v>
      </c>
      <c r="AM2391">
        <v>100</v>
      </c>
      <c r="AN2391">
        <v>784.19910000000004</v>
      </c>
      <c r="AO2391">
        <v>0</v>
      </c>
      <c r="AP2391" s="13">
        <v>45422</v>
      </c>
      <c r="AQ2391">
        <v>0</v>
      </c>
      <c r="AR2391">
        <v>1</v>
      </c>
    </row>
    <row r="2392" spans="1:44" x14ac:dyDescent="0.35">
      <c r="A2392" s="12" t="s">
        <v>3192</v>
      </c>
      <c r="B2392" s="12" t="s">
        <v>909</v>
      </c>
      <c r="C2392" s="12" t="s">
        <v>910</v>
      </c>
      <c r="D2392" s="12" t="s">
        <v>269</v>
      </c>
      <c r="E2392" s="12" t="s">
        <v>65</v>
      </c>
      <c r="F2392">
        <v>3</v>
      </c>
      <c r="G2392">
        <v>4</v>
      </c>
      <c r="H2392">
        <v>0</v>
      </c>
      <c r="I2392" s="12" t="s">
        <v>199</v>
      </c>
      <c r="J2392" s="12" t="s">
        <v>200</v>
      </c>
      <c r="K2392" s="12" t="s">
        <v>68</v>
      </c>
      <c r="L2392" s="12" t="s">
        <v>96</v>
      </c>
      <c r="M2392">
        <v>9.4700000000000006</v>
      </c>
      <c r="N2392" s="12" t="s">
        <v>135</v>
      </c>
      <c r="O2392" s="12" t="s">
        <v>136</v>
      </c>
      <c r="P2392" s="12" t="s">
        <v>137</v>
      </c>
      <c r="Q2392" s="13">
        <v>45385</v>
      </c>
      <c r="R2392" s="13">
        <v>45413</v>
      </c>
      <c r="S2392">
        <v>2024</v>
      </c>
      <c r="T2392" s="12" t="s">
        <v>3171</v>
      </c>
      <c r="U2392">
        <v>69</v>
      </c>
      <c r="V2392">
        <v>101.92870000000001</v>
      </c>
      <c r="W2392">
        <v>179.07</v>
      </c>
      <c r="X2392">
        <v>0</v>
      </c>
      <c r="Y2392">
        <v>0</v>
      </c>
      <c r="Z2392">
        <v>7033.08</v>
      </c>
      <c r="AA2392">
        <v>7212.15</v>
      </c>
      <c r="AB2392" s="12" t="s">
        <v>911</v>
      </c>
      <c r="AC2392">
        <v>108.32040000000001</v>
      </c>
      <c r="AD2392">
        <v>1</v>
      </c>
      <c r="AE2392">
        <v>1</v>
      </c>
      <c r="AF2392">
        <v>-441.03</v>
      </c>
      <c r="AG2392">
        <v>7474.11</v>
      </c>
      <c r="AH2392">
        <v>69</v>
      </c>
      <c r="AI2392">
        <v>69</v>
      </c>
      <c r="AJ2392">
        <v>0</v>
      </c>
      <c r="AK2392">
        <v>1</v>
      </c>
      <c r="AL2392">
        <v>1</v>
      </c>
      <c r="AM2392">
        <v>100</v>
      </c>
      <c r="AN2392">
        <v>104.5239</v>
      </c>
      <c r="AO2392">
        <v>0</v>
      </c>
      <c r="AP2392" s="13">
        <v>45412</v>
      </c>
      <c r="AQ2392">
        <v>-1</v>
      </c>
      <c r="AR2392">
        <v>1</v>
      </c>
    </row>
    <row r="2393" spans="1:44" x14ac:dyDescent="0.35">
      <c r="A2393" s="12" t="s">
        <v>3193</v>
      </c>
      <c r="B2393" s="12" t="s">
        <v>273</v>
      </c>
      <c r="C2393" s="12" t="s">
        <v>274</v>
      </c>
      <c r="D2393" s="12" t="s">
        <v>175</v>
      </c>
      <c r="E2393" s="12" t="s">
        <v>104</v>
      </c>
      <c r="F2393">
        <v>3</v>
      </c>
      <c r="G2393">
        <v>1</v>
      </c>
      <c r="H2393">
        <v>0</v>
      </c>
      <c r="I2393" s="12" t="s">
        <v>341</v>
      </c>
      <c r="J2393" s="12" t="s">
        <v>342</v>
      </c>
      <c r="K2393" s="12" t="s">
        <v>117</v>
      </c>
      <c r="L2393" s="12" t="s">
        <v>82</v>
      </c>
      <c r="M2393">
        <v>18.36</v>
      </c>
      <c r="N2393" s="12" t="s">
        <v>145</v>
      </c>
      <c r="O2393" s="12" t="s">
        <v>146</v>
      </c>
      <c r="P2393" s="12" t="s">
        <v>109</v>
      </c>
      <c r="Q2393" s="13">
        <v>45385</v>
      </c>
      <c r="R2393" s="13">
        <v>45399</v>
      </c>
      <c r="S2393">
        <v>2024</v>
      </c>
      <c r="T2393" s="12" t="s">
        <v>3171</v>
      </c>
      <c r="U2393">
        <v>30</v>
      </c>
      <c r="V2393">
        <v>104.82599999999999</v>
      </c>
      <c r="W2393">
        <v>39.380000000000003</v>
      </c>
      <c r="X2393">
        <v>0</v>
      </c>
      <c r="Y2393">
        <v>0</v>
      </c>
      <c r="Z2393">
        <v>3144.78</v>
      </c>
      <c r="AA2393">
        <v>3184.16</v>
      </c>
      <c r="AB2393" s="12" t="s">
        <v>3194</v>
      </c>
      <c r="AC2393">
        <v>104.82599999999999</v>
      </c>
      <c r="AD2393">
        <v>1</v>
      </c>
      <c r="AE2393">
        <v>1</v>
      </c>
      <c r="AF2393">
        <v>0</v>
      </c>
      <c r="AG2393">
        <v>3144.78</v>
      </c>
      <c r="AH2393">
        <v>30</v>
      </c>
      <c r="AI2393">
        <v>30</v>
      </c>
      <c r="AJ2393">
        <v>0</v>
      </c>
      <c r="AK2393">
        <v>1</v>
      </c>
      <c r="AL2393">
        <v>1</v>
      </c>
      <c r="AM2393">
        <v>100</v>
      </c>
      <c r="AN2393">
        <v>106.1387</v>
      </c>
      <c r="AO2393">
        <v>0</v>
      </c>
      <c r="AP2393" s="13">
        <v>45399</v>
      </c>
      <c r="AQ2393">
        <v>0</v>
      </c>
      <c r="AR2393">
        <v>1</v>
      </c>
    </row>
    <row r="2394" spans="1:44" x14ac:dyDescent="0.35">
      <c r="A2394" s="12" t="s">
        <v>3195</v>
      </c>
      <c r="B2394" s="12" t="s">
        <v>990</v>
      </c>
      <c r="C2394" s="12" t="s">
        <v>991</v>
      </c>
      <c r="D2394" s="12" t="s">
        <v>122</v>
      </c>
      <c r="E2394" s="12" t="s">
        <v>142</v>
      </c>
      <c r="F2394">
        <v>1</v>
      </c>
      <c r="G2394">
        <v>6</v>
      </c>
      <c r="H2394">
        <v>1</v>
      </c>
      <c r="I2394" s="12" t="s">
        <v>217</v>
      </c>
      <c r="J2394" s="12" t="s">
        <v>218</v>
      </c>
      <c r="K2394" s="12" t="s">
        <v>68</v>
      </c>
      <c r="L2394" s="12" t="s">
        <v>82</v>
      </c>
      <c r="M2394">
        <v>14.24</v>
      </c>
      <c r="N2394" s="12" t="s">
        <v>97</v>
      </c>
      <c r="O2394" s="12" t="s">
        <v>98</v>
      </c>
      <c r="P2394" s="12" t="s">
        <v>72</v>
      </c>
      <c r="Q2394" s="13">
        <v>45385</v>
      </c>
      <c r="R2394" s="13">
        <v>45433</v>
      </c>
      <c r="S2394">
        <v>2024</v>
      </c>
      <c r="T2394" s="12" t="s">
        <v>3171</v>
      </c>
      <c r="U2394">
        <v>1549</v>
      </c>
      <c r="V2394">
        <v>33.697499999999998</v>
      </c>
      <c r="W2394">
        <v>1325.77</v>
      </c>
      <c r="X2394">
        <v>0</v>
      </c>
      <c r="Y2394">
        <v>0</v>
      </c>
      <c r="Z2394">
        <v>52197.43</v>
      </c>
      <c r="AA2394">
        <v>53523.199999999997</v>
      </c>
      <c r="AB2394" s="12" t="s">
        <v>992</v>
      </c>
      <c r="AC2394">
        <v>33.697499999999998</v>
      </c>
      <c r="AD2394">
        <v>1</v>
      </c>
      <c r="AE2394">
        <v>1</v>
      </c>
      <c r="AF2394">
        <v>0</v>
      </c>
      <c r="AG2394">
        <v>52197.43</v>
      </c>
      <c r="AH2394">
        <v>1549</v>
      </c>
      <c r="AI2394">
        <v>1535</v>
      </c>
      <c r="AJ2394">
        <v>14</v>
      </c>
      <c r="AK2394">
        <v>1</v>
      </c>
      <c r="AL2394">
        <v>1</v>
      </c>
      <c r="AM2394">
        <v>99.1</v>
      </c>
      <c r="AN2394">
        <v>34.868499999999997</v>
      </c>
      <c r="AO2394">
        <v>471.77</v>
      </c>
      <c r="AP2394" s="13">
        <v>45430</v>
      </c>
      <c r="AQ2394">
        <v>-3</v>
      </c>
      <c r="AR2394">
        <v>1</v>
      </c>
    </row>
    <row r="2395" spans="1:44" x14ac:dyDescent="0.35">
      <c r="A2395" s="12" t="s">
        <v>3196</v>
      </c>
      <c r="B2395" s="12" t="s">
        <v>193</v>
      </c>
      <c r="C2395" s="12" t="s">
        <v>194</v>
      </c>
      <c r="D2395" s="12" t="s">
        <v>114</v>
      </c>
      <c r="E2395" s="12" t="s">
        <v>65</v>
      </c>
      <c r="F2395">
        <v>3</v>
      </c>
      <c r="G2395">
        <v>4</v>
      </c>
      <c r="H2395">
        <v>0</v>
      </c>
      <c r="I2395" s="12" t="s">
        <v>195</v>
      </c>
      <c r="J2395" s="12" t="s">
        <v>196</v>
      </c>
      <c r="K2395" s="12" t="s">
        <v>117</v>
      </c>
      <c r="L2395" s="12" t="s">
        <v>134</v>
      </c>
      <c r="M2395">
        <v>4.7699999999999996</v>
      </c>
      <c r="N2395" s="12" t="s">
        <v>70</v>
      </c>
      <c r="O2395" s="12" t="s">
        <v>71</v>
      </c>
      <c r="P2395" s="12" t="s">
        <v>72</v>
      </c>
      <c r="Q2395" s="13">
        <v>45385</v>
      </c>
      <c r="R2395" s="13">
        <v>45406</v>
      </c>
      <c r="S2395">
        <v>2024</v>
      </c>
      <c r="T2395" s="12" t="s">
        <v>3171</v>
      </c>
      <c r="U2395">
        <v>10</v>
      </c>
      <c r="V2395">
        <v>109.2728</v>
      </c>
      <c r="W2395">
        <v>14.45</v>
      </c>
      <c r="X2395">
        <v>0</v>
      </c>
      <c r="Y2395">
        <v>0</v>
      </c>
      <c r="Z2395">
        <v>1092.73</v>
      </c>
      <c r="AA2395">
        <v>1107.18</v>
      </c>
      <c r="AB2395" s="12" t="s">
        <v>3197</v>
      </c>
      <c r="AC2395">
        <v>105.8943</v>
      </c>
      <c r="AD2395">
        <v>1</v>
      </c>
      <c r="AE2395">
        <v>1</v>
      </c>
      <c r="AF2395">
        <v>33.79</v>
      </c>
      <c r="AG2395">
        <v>1058.94</v>
      </c>
      <c r="AH2395">
        <v>10</v>
      </c>
      <c r="AI2395">
        <v>10</v>
      </c>
      <c r="AJ2395">
        <v>0</v>
      </c>
      <c r="AK2395">
        <v>1</v>
      </c>
      <c r="AL2395">
        <v>1</v>
      </c>
      <c r="AM2395">
        <v>100</v>
      </c>
      <c r="AN2395">
        <v>110.7178</v>
      </c>
      <c r="AO2395">
        <v>0</v>
      </c>
      <c r="AP2395" s="13">
        <v>45403</v>
      </c>
      <c r="AQ2395">
        <v>-3</v>
      </c>
      <c r="AR2395">
        <v>1</v>
      </c>
    </row>
    <row r="2396" spans="1:44" x14ac:dyDescent="0.35">
      <c r="A2396" s="12" t="s">
        <v>3198</v>
      </c>
      <c r="B2396" s="12" t="s">
        <v>447</v>
      </c>
      <c r="C2396" s="12" t="s">
        <v>448</v>
      </c>
      <c r="D2396" s="12" t="s">
        <v>269</v>
      </c>
      <c r="E2396" s="12" t="s">
        <v>65</v>
      </c>
      <c r="F2396">
        <v>2</v>
      </c>
      <c r="G2396">
        <v>2</v>
      </c>
      <c r="H2396">
        <v>0</v>
      </c>
      <c r="I2396" s="12" t="s">
        <v>176</v>
      </c>
      <c r="J2396" s="12" t="s">
        <v>177</v>
      </c>
      <c r="K2396" s="12" t="s">
        <v>125</v>
      </c>
      <c r="L2396" s="12" t="s">
        <v>134</v>
      </c>
      <c r="M2396">
        <v>1.75</v>
      </c>
      <c r="N2396" s="12" t="s">
        <v>159</v>
      </c>
      <c r="O2396" s="12" t="s">
        <v>160</v>
      </c>
      <c r="P2396" s="12" t="s">
        <v>137</v>
      </c>
      <c r="Q2396" s="13">
        <v>45385</v>
      </c>
      <c r="R2396" s="13">
        <v>45410</v>
      </c>
      <c r="S2396">
        <v>2024</v>
      </c>
      <c r="T2396" s="12" t="s">
        <v>3171</v>
      </c>
      <c r="U2396">
        <v>47</v>
      </c>
      <c r="V2396">
        <v>388.26799999999997</v>
      </c>
      <c r="W2396">
        <v>139.69</v>
      </c>
      <c r="X2396">
        <v>0</v>
      </c>
      <c r="Y2396">
        <v>0</v>
      </c>
      <c r="Z2396">
        <v>18248.599999999999</v>
      </c>
      <c r="AA2396">
        <v>18388.29</v>
      </c>
      <c r="AB2396" s="12" t="s">
        <v>3199</v>
      </c>
      <c r="AC2396">
        <v>377.7842</v>
      </c>
      <c r="AD2396">
        <v>1</v>
      </c>
      <c r="AE2396">
        <v>1</v>
      </c>
      <c r="AF2396">
        <v>492.74</v>
      </c>
      <c r="AG2396">
        <v>17755.86</v>
      </c>
      <c r="AH2396">
        <v>47</v>
      </c>
      <c r="AI2396">
        <v>46</v>
      </c>
      <c r="AJ2396">
        <v>1</v>
      </c>
      <c r="AK2396">
        <v>1</v>
      </c>
      <c r="AL2396">
        <v>1</v>
      </c>
      <c r="AM2396">
        <v>97.87</v>
      </c>
      <c r="AN2396">
        <v>399.74529999999999</v>
      </c>
      <c r="AO2396">
        <v>388.27</v>
      </c>
      <c r="AP2396" s="13">
        <v>45417</v>
      </c>
      <c r="AQ2396">
        <v>7</v>
      </c>
      <c r="AR2396">
        <v>0</v>
      </c>
    </row>
    <row r="2397" spans="1:44" x14ac:dyDescent="0.35">
      <c r="A2397" s="12" t="s">
        <v>3200</v>
      </c>
      <c r="B2397" s="12" t="s">
        <v>238</v>
      </c>
      <c r="C2397" s="12" t="s">
        <v>239</v>
      </c>
      <c r="D2397" s="12" t="s">
        <v>122</v>
      </c>
      <c r="E2397" s="12" t="s">
        <v>65</v>
      </c>
      <c r="F2397">
        <v>3</v>
      </c>
      <c r="G2397">
        <v>4</v>
      </c>
      <c r="H2397">
        <v>0</v>
      </c>
      <c r="I2397" s="12" t="s">
        <v>79</v>
      </c>
      <c r="J2397" s="12" t="s">
        <v>80</v>
      </c>
      <c r="K2397" s="12" t="s">
        <v>81</v>
      </c>
      <c r="L2397" s="12" t="s">
        <v>82</v>
      </c>
      <c r="M2397">
        <v>12.07</v>
      </c>
      <c r="N2397" s="12" t="s">
        <v>97</v>
      </c>
      <c r="O2397" s="12" t="s">
        <v>98</v>
      </c>
      <c r="P2397" s="12" t="s">
        <v>72</v>
      </c>
      <c r="Q2397" s="13">
        <v>45385</v>
      </c>
      <c r="R2397" s="13">
        <v>45414</v>
      </c>
      <c r="S2397">
        <v>2024</v>
      </c>
      <c r="T2397" s="12" t="s">
        <v>3171</v>
      </c>
      <c r="U2397">
        <v>1001</v>
      </c>
      <c r="V2397">
        <v>35.6462</v>
      </c>
      <c r="W2397">
        <v>692.32</v>
      </c>
      <c r="X2397">
        <v>0</v>
      </c>
      <c r="Y2397">
        <v>0</v>
      </c>
      <c r="Z2397">
        <v>35681.85</v>
      </c>
      <c r="AA2397">
        <v>36374.17</v>
      </c>
      <c r="AB2397" s="12" t="s">
        <v>2688</v>
      </c>
      <c r="AC2397">
        <v>35.6462</v>
      </c>
      <c r="AD2397">
        <v>1</v>
      </c>
      <c r="AE2397">
        <v>1</v>
      </c>
      <c r="AF2397">
        <v>0</v>
      </c>
      <c r="AG2397">
        <v>35681.85</v>
      </c>
      <c r="AH2397">
        <v>1001</v>
      </c>
      <c r="AI2397">
        <v>992</v>
      </c>
      <c r="AJ2397">
        <v>9</v>
      </c>
      <c r="AK2397">
        <v>1</v>
      </c>
      <c r="AL2397">
        <v>1</v>
      </c>
      <c r="AM2397">
        <v>99.1</v>
      </c>
      <c r="AN2397">
        <v>36.667499999999997</v>
      </c>
      <c r="AO2397">
        <v>320.82</v>
      </c>
      <c r="AP2397" s="13">
        <v>45414</v>
      </c>
      <c r="AQ2397">
        <v>0</v>
      </c>
      <c r="AR2397">
        <v>1</v>
      </c>
    </row>
    <row r="2398" spans="1:44" x14ac:dyDescent="0.35">
      <c r="A2398" s="12" t="s">
        <v>3201</v>
      </c>
      <c r="B2398" s="12" t="s">
        <v>317</v>
      </c>
      <c r="C2398" s="12" t="s">
        <v>318</v>
      </c>
      <c r="D2398" s="12" t="s">
        <v>64</v>
      </c>
      <c r="E2398" s="12" t="s">
        <v>104</v>
      </c>
      <c r="F2398">
        <v>2</v>
      </c>
      <c r="G2398">
        <v>0</v>
      </c>
      <c r="H2398">
        <v>0</v>
      </c>
      <c r="I2398" s="12" t="s">
        <v>169</v>
      </c>
      <c r="J2398" s="12" t="s">
        <v>170</v>
      </c>
      <c r="K2398" s="12" t="s">
        <v>89</v>
      </c>
      <c r="L2398" s="12" t="s">
        <v>134</v>
      </c>
      <c r="M2398">
        <v>1.37</v>
      </c>
      <c r="N2398" s="12" t="s">
        <v>70</v>
      </c>
      <c r="O2398" s="12" t="s">
        <v>71</v>
      </c>
      <c r="P2398" s="12" t="s">
        <v>72</v>
      </c>
      <c r="Q2398" s="13">
        <v>45386</v>
      </c>
      <c r="R2398" s="13">
        <v>45408</v>
      </c>
      <c r="S2398">
        <v>2024</v>
      </c>
      <c r="T2398" s="12" t="s">
        <v>3171</v>
      </c>
      <c r="U2398">
        <v>603</v>
      </c>
      <c r="V2398">
        <v>15.835699999999999</v>
      </c>
      <c r="W2398">
        <v>188.53</v>
      </c>
      <c r="X2398">
        <v>0</v>
      </c>
      <c r="Y2398">
        <v>0</v>
      </c>
      <c r="Z2398">
        <v>9548.93</v>
      </c>
      <c r="AA2398">
        <v>9737.4599999999991</v>
      </c>
      <c r="AB2398" s="12" t="s">
        <v>3006</v>
      </c>
      <c r="AC2398">
        <v>15.835699999999999</v>
      </c>
      <c r="AD2398">
        <v>1</v>
      </c>
      <c r="AE2398">
        <v>1</v>
      </c>
      <c r="AF2398">
        <v>0</v>
      </c>
      <c r="AG2398">
        <v>9548.93</v>
      </c>
      <c r="AH2398">
        <v>603</v>
      </c>
      <c r="AI2398">
        <v>600</v>
      </c>
      <c r="AJ2398">
        <v>3</v>
      </c>
      <c r="AK2398">
        <v>1</v>
      </c>
      <c r="AL2398">
        <v>1</v>
      </c>
      <c r="AM2398">
        <v>99.5</v>
      </c>
      <c r="AN2398">
        <v>16.229099999999999</v>
      </c>
      <c r="AO2398">
        <v>47.51</v>
      </c>
      <c r="AP2398" s="13">
        <v>45408</v>
      </c>
      <c r="AQ2398">
        <v>0</v>
      </c>
      <c r="AR2398">
        <v>1</v>
      </c>
    </row>
    <row r="2399" spans="1:44" x14ac:dyDescent="0.35">
      <c r="A2399" s="12" t="s">
        <v>3202</v>
      </c>
      <c r="B2399" s="12" t="s">
        <v>544</v>
      </c>
      <c r="C2399" s="12" t="s">
        <v>545</v>
      </c>
      <c r="D2399" s="12" t="s">
        <v>175</v>
      </c>
      <c r="E2399" s="12" t="s">
        <v>65</v>
      </c>
      <c r="F2399">
        <v>3</v>
      </c>
      <c r="G2399">
        <v>5</v>
      </c>
      <c r="H2399">
        <v>0</v>
      </c>
      <c r="I2399" s="12" t="s">
        <v>66</v>
      </c>
      <c r="J2399" s="12" t="s">
        <v>67</v>
      </c>
      <c r="K2399" s="12" t="s">
        <v>68</v>
      </c>
      <c r="L2399" s="12" t="s">
        <v>69</v>
      </c>
      <c r="M2399">
        <v>17.66</v>
      </c>
      <c r="N2399" s="12" t="s">
        <v>107</v>
      </c>
      <c r="O2399" s="12" t="s">
        <v>108</v>
      </c>
      <c r="P2399" s="12" t="s">
        <v>109</v>
      </c>
      <c r="Q2399" s="13">
        <v>45386</v>
      </c>
      <c r="R2399" s="13">
        <v>45417</v>
      </c>
      <c r="S2399">
        <v>2024</v>
      </c>
      <c r="T2399" s="12" t="s">
        <v>3171</v>
      </c>
      <c r="U2399">
        <v>94</v>
      </c>
      <c r="V2399">
        <v>159.28129999999999</v>
      </c>
      <c r="W2399">
        <v>256.08</v>
      </c>
      <c r="X2399">
        <v>0</v>
      </c>
      <c r="Y2399">
        <v>0</v>
      </c>
      <c r="Z2399">
        <v>14972.44</v>
      </c>
      <c r="AA2399">
        <v>15228.52</v>
      </c>
      <c r="AB2399" s="12" t="s">
        <v>201</v>
      </c>
      <c r="AD2399">
        <v>0</v>
      </c>
      <c r="AE2399">
        <v>0</v>
      </c>
      <c r="AH2399">
        <v>94</v>
      </c>
      <c r="AI2399">
        <v>94</v>
      </c>
      <c r="AJ2399">
        <v>0</v>
      </c>
      <c r="AK2399">
        <v>1</v>
      </c>
      <c r="AL2399">
        <v>1</v>
      </c>
      <c r="AM2399">
        <v>100</v>
      </c>
      <c r="AN2399">
        <v>162.00559999999999</v>
      </c>
      <c r="AO2399">
        <v>0</v>
      </c>
      <c r="AP2399" s="13">
        <v>45417</v>
      </c>
      <c r="AQ2399">
        <v>0</v>
      </c>
      <c r="AR2399">
        <v>1</v>
      </c>
    </row>
    <row r="2400" spans="1:44" x14ac:dyDescent="0.35">
      <c r="A2400" s="12" t="s">
        <v>3203</v>
      </c>
      <c r="B2400" s="12" t="s">
        <v>802</v>
      </c>
      <c r="C2400" s="12" t="s">
        <v>803</v>
      </c>
      <c r="D2400" s="12" t="s">
        <v>114</v>
      </c>
      <c r="E2400" s="12" t="s">
        <v>65</v>
      </c>
      <c r="F2400">
        <v>3</v>
      </c>
      <c r="G2400">
        <v>5</v>
      </c>
      <c r="H2400">
        <v>0</v>
      </c>
      <c r="I2400" s="12" t="s">
        <v>804</v>
      </c>
      <c r="J2400" s="12" t="s">
        <v>342</v>
      </c>
      <c r="K2400" s="12" t="s">
        <v>117</v>
      </c>
      <c r="L2400" s="12" t="s">
        <v>69</v>
      </c>
      <c r="M2400">
        <v>30.07</v>
      </c>
      <c r="N2400" s="12" t="s">
        <v>70</v>
      </c>
      <c r="O2400" s="12" t="s">
        <v>71</v>
      </c>
      <c r="P2400" s="12" t="s">
        <v>72</v>
      </c>
      <c r="Q2400" s="13">
        <v>45386</v>
      </c>
      <c r="R2400" s="13">
        <v>45424</v>
      </c>
      <c r="S2400">
        <v>2024</v>
      </c>
      <c r="T2400" s="12" t="s">
        <v>3171</v>
      </c>
      <c r="U2400">
        <v>144</v>
      </c>
      <c r="V2400">
        <v>396.80059999999997</v>
      </c>
      <c r="W2400">
        <v>713.44</v>
      </c>
      <c r="X2400">
        <v>0</v>
      </c>
      <c r="Y2400">
        <v>0</v>
      </c>
      <c r="Z2400">
        <v>57139.29</v>
      </c>
      <c r="AA2400">
        <v>57852.73</v>
      </c>
      <c r="AB2400" s="12" t="s">
        <v>201</v>
      </c>
      <c r="AD2400">
        <v>0</v>
      </c>
      <c r="AE2400">
        <v>0</v>
      </c>
      <c r="AH2400">
        <v>144</v>
      </c>
      <c r="AI2400">
        <v>141</v>
      </c>
      <c r="AJ2400">
        <v>3</v>
      </c>
      <c r="AK2400">
        <v>1</v>
      </c>
      <c r="AL2400">
        <v>1</v>
      </c>
      <c r="AM2400">
        <v>97.92</v>
      </c>
      <c r="AN2400">
        <v>410.303</v>
      </c>
      <c r="AO2400">
        <v>1190.4000000000001</v>
      </c>
      <c r="AP2400" s="13">
        <v>45423</v>
      </c>
      <c r="AQ2400">
        <v>-1</v>
      </c>
      <c r="AR2400">
        <v>1</v>
      </c>
    </row>
    <row r="2401" spans="1:44" x14ac:dyDescent="0.35">
      <c r="A2401" s="12" t="s">
        <v>3204</v>
      </c>
      <c r="B2401" s="12" t="s">
        <v>569</v>
      </c>
      <c r="C2401" s="12" t="s">
        <v>570</v>
      </c>
      <c r="D2401" s="12" t="s">
        <v>114</v>
      </c>
      <c r="E2401" s="12" t="s">
        <v>142</v>
      </c>
      <c r="F2401">
        <v>1</v>
      </c>
      <c r="G2401">
        <v>6</v>
      </c>
      <c r="H2401">
        <v>1</v>
      </c>
      <c r="I2401" s="12" t="s">
        <v>123</v>
      </c>
      <c r="J2401" s="12" t="s">
        <v>124</v>
      </c>
      <c r="K2401" s="12" t="s">
        <v>125</v>
      </c>
      <c r="L2401" s="12" t="s">
        <v>82</v>
      </c>
      <c r="M2401">
        <v>6.75</v>
      </c>
      <c r="N2401" s="12" t="s">
        <v>70</v>
      </c>
      <c r="O2401" s="12" t="s">
        <v>71</v>
      </c>
      <c r="P2401" s="12" t="s">
        <v>72</v>
      </c>
      <c r="Q2401" s="13">
        <v>45386</v>
      </c>
      <c r="R2401" s="13">
        <v>45436</v>
      </c>
      <c r="S2401">
        <v>2024</v>
      </c>
      <c r="T2401" s="12" t="s">
        <v>3171</v>
      </c>
      <c r="U2401">
        <v>127</v>
      </c>
      <c r="V2401">
        <v>349.07319999999999</v>
      </c>
      <c r="W2401">
        <v>763.53</v>
      </c>
      <c r="X2401">
        <v>0</v>
      </c>
      <c r="Y2401">
        <v>0</v>
      </c>
      <c r="Z2401">
        <v>44332.3</v>
      </c>
      <c r="AA2401">
        <v>45095.83</v>
      </c>
      <c r="AB2401" s="12" t="s">
        <v>3205</v>
      </c>
      <c r="AC2401">
        <v>349.07319999999999</v>
      </c>
      <c r="AD2401">
        <v>1</v>
      </c>
      <c r="AE2401">
        <v>1</v>
      </c>
      <c r="AF2401">
        <v>0</v>
      </c>
      <c r="AG2401">
        <v>44332.3</v>
      </c>
      <c r="AH2401">
        <v>127</v>
      </c>
      <c r="AI2401">
        <v>126</v>
      </c>
      <c r="AJ2401">
        <v>1</v>
      </c>
      <c r="AK2401">
        <v>1</v>
      </c>
      <c r="AL2401">
        <v>1</v>
      </c>
      <c r="AM2401">
        <v>99.21</v>
      </c>
      <c r="AN2401">
        <v>357.90339999999998</v>
      </c>
      <c r="AO2401">
        <v>349.07</v>
      </c>
      <c r="AP2401" s="13">
        <v>45433</v>
      </c>
      <c r="AQ2401">
        <v>-3</v>
      </c>
      <c r="AR2401">
        <v>1</v>
      </c>
    </row>
    <row r="2402" spans="1:44" x14ac:dyDescent="0.35">
      <c r="A2402" s="12" t="s">
        <v>3206</v>
      </c>
      <c r="B2402" s="12" t="s">
        <v>378</v>
      </c>
      <c r="C2402" s="12" t="s">
        <v>379</v>
      </c>
      <c r="D2402" s="12" t="s">
        <v>64</v>
      </c>
      <c r="E2402" s="12" t="s">
        <v>104</v>
      </c>
      <c r="F2402">
        <v>3</v>
      </c>
      <c r="G2402">
        <v>1</v>
      </c>
      <c r="H2402">
        <v>0</v>
      </c>
      <c r="I2402" s="12" t="s">
        <v>380</v>
      </c>
      <c r="J2402" s="12" t="s">
        <v>381</v>
      </c>
      <c r="K2402" s="12" t="s">
        <v>89</v>
      </c>
      <c r="L2402" s="12" t="s">
        <v>96</v>
      </c>
      <c r="M2402">
        <v>10.210000000000001</v>
      </c>
      <c r="N2402" s="12" t="s">
        <v>97</v>
      </c>
      <c r="O2402" s="12" t="s">
        <v>98</v>
      </c>
      <c r="P2402" s="12" t="s">
        <v>72</v>
      </c>
      <c r="Q2402" s="13">
        <v>45386</v>
      </c>
      <c r="R2402" s="13">
        <v>45398</v>
      </c>
      <c r="S2402">
        <v>2024</v>
      </c>
      <c r="T2402" s="12" t="s">
        <v>3171</v>
      </c>
      <c r="U2402">
        <v>120</v>
      </c>
      <c r="V2402">
        <v>15.734999999999999</v>
      </c>
      <c r="W2402">
        <v>47.32</v>
      </c>
      <c r="X2402">
        <v>0</v>
      </c>
      <c r="Y2402">
        <v>0</v>
      </c>
      <c r="Z2402">
        <v>1888.2</v>
      </c>
      <c r="AA2402">
        <v>1935.52</v>
      </c>
      <c r="AB2402" s="12" t="s">
        <v>2847</v>
      </c>
      <c r="AC2402">
        <v>15.734999999999999</v>
      </c>
      <c r="AD2402">
        <v>1</v>
      </c>
      <c r="AE2402">
        <v>1</v>
      </c>
      <c r="AF2402">
        <v>0</v>
      </c>
      <c r="AG2402">
        <v>1888.2</v>
      </c>
      <c r="AH2402">
        <v>120</v>
      </c>
      <c r="AI2402">
        <v>118</v>
      </c>
      <c r="AJ2402">
        <v>2</v>
      </c>
      <c r="AK2402">
        <v>1</v>
      </c>
      <c r="AL2402">
        <v>1</v>
      </c>
      <c r="AM2402">
        <v>98.33</v>
      </c>
      <c r="AN2402">
        <v>16.402699999999999</v>
      </c>
      <c r="AO2402">
        <v>31.47</v>
      </c>
      <c r="AP2402" s="13">
        <v>45396</v>
      </c>
      <c r="AQ2402">
        <v>-2</v>
      </c>
      <c r="AR2402">
        <v>1</v>
      </c>
    </row>
    <row r="2403" spans="1:44" x14ac:dyDescent="0.35">
      <c r="A2403" s="12" t="s">
        <v>3207</v>
      </c>
      <c r="B2403" s="12" t="s">
        <v>420</v>
      </c>
      <c r="C2403" s="12" t="s">
        <v>421</v>
      </c>
      <c r="D2403" s="12" t="s">
        <v>269</v>
      </c>
      <c r="E2403" s="12" t="s">
        <v>104</v>
      </c>
      <c r="F2403">
        <v>2</v>
      </c>
      <c r="G2403">
        <v>0</v>
      </c>
      <c r="H2403">
        <v>0</v>
      </c>
      <c r="I2403" s="12" t="s">
        <v>335</v>
      </c>
      <c r="J2403" s="12" t="s">
        <v>336</v>
      </c>
      <c r="K2403" s="12" t="s">
        <v>89</v>
      </c>
      <c r="L2403" s="12" t="s">
        <v>82</v>
      </c>
      <c r="M2403">
        <v>16</v>
      </c>
      <c r="N2403" s="12" t="s">
        <v>159</v>
      </c>
      <c r="O2403" s="12" t="s">
        <v>160</v>
      </c>
      <c r="P2403" s="12" t="s">
        <v>137</v>
      </c>
      <c r="Q2403" s="13">
        <v>45386</v>
      </c>
      <c r="R2403" s="13">
        <v>45415</v>
      </c>
      <c r="S2403">
        <v>2024</v>
      </c>
      <c r="T2403" s="12" t="s">
        <v>3171</v>
      </c>
      <c r="U2403">
        <v>144</v>
      </c>
      <c r="V2403">
        <v>146.46350000000001</v>
      </c>
      <c r="W2403">
        <v>280.95</v>
      </c>
      <c r="X2403">
        <v>0</v>
      </c>
      <c r="Y2403">
        <v>0</v>
      </c>
      <c r="Z2403">
        <v>21090.74</v>
      </c>
      <c r="AA2403">
        <v>21371.69</v>
      </c>
      <c r="AB2403" s="12" t="s">
        <v>3027</v>
      </c>
      <c r="AC2403">
        <v>146.46350000000001</v>
      </c>
      <c r="AD2403">
        <v>1</v>
      </c>
      <c r="AE2403">
        <v>1</v>
      </c>
      <c r="AF2403">
        <v>0</v>
      </c>
      <c r="AG2403">
        <v>21090.74</v>
      </c>
      <c r="AH2403">
        <v>144</v>
      </c>
      <c r="AI2403">
        <v>143</v>
      </c>
      <c r="AJ2403">
        <v>1</v>
      </c>
      <c r="AK2403">
        <v>1</v>
      </c>
      <c r="AL2403">
        <v>1</v>
      </c>
      <c r="AM2403">
        <v>99.31</v>
      </c>
      <c r="AN2403">
        <v>149.45240000000001</v>
      </c>
      <c r="AO2403">
        <v>146.46</v>
      </c>
      <c r="AP2403" s="13">
        <v>45420</v>
      </c>
      <c r="AQ2403">
        <v>5</v>
      </c>
      <c r="AR2403">
        <v>0</v>
      </c>
    </row>
    <row r="2404" spans="1:44" x14ac:dyDescent="0.35">
      <c r="A2404" s="12" t="s">
        <v>3208</v>
      </c>
      <c r="B2404" s="12" t="s">
        <v>990</v>
      </c>
      <c r="C2404" s="12" t="s">
        <v>991</v>
      </c>
      <c r="D2404" s="12" t="s">
        <v>122</v>
      </c>
      <c r="E2404" s="12" t="s">
        <v>142</v>
      </c>
      <c r="F2404">
        <v>1</v>
      </c>
      <c r="G2404">
        <v>6</v>
      </c>
      <c r="H2404">
        <v>1</v>
      </c>
      <c r="I2404" s="12" t="s">
        <v>217</v>
      </c>
      <c r="J2404" s="12" t="s">
        <v>218</v>
      </c>
      <c r="K2404" s="12" t="s">
        <v>68</v>
      </c>
      <c r="L2404" s="12" t="s">
        <v>82</v>
      </c>
      <c r="M2404">
        <v>14.24</v>
      </c>
      <c r="N2404" s="12" t="s">
        <v>70</v>
      </c>
      <c r="O2404" s="12" t="s">
        <v>71</v>
      </c>
      <c r="P2404" s="12" t="s">
        <v>72</v>
      </c>
      <c r="Q2404" s="13">
        <v>45386</v>
      </c>
      <c r="R2404" s="13">
        <v>45430</v>
      </c>
      <c r="S2404">
        <v>2024</v>
      </c>
      <c r="T2404" s="12" t="s">
        <v>3171</v>
      </c>
      <c r="U2404">
        <v>1183</v>
      </c>
      <c r="V2404">
        <v>33.697499999999998</v>
      </c>
      <c r="W2404">
        <v>590.66</v>
      </c>
      <c r="X2404">
        <v>0</v>
      </c>
      <c r="Y2404">
        <v>0</v>
      </c>
      <c r="Z2404">
        <v>39864.14</v>
      </c>
      <c r="AA2404">
        <v>40454.800000000003</v>
      </c>
      <c r="AB2404" s="12" t="s">
        <v>992</v>
      </c>
      <c r="AC2404">
        <v>33.697499999999998</v>
      </c>
      <c r="AD2404">
        <v>1</v>
      </c>
      <c r="AE2404">
        <v>1</v>
      </c>
      <c r="AF2404">
        <v>0</v>
      </c>
      <c r="AG2404">
        <v>39864.14</v>
      </c>
      <c r="AH2404">
        <v>1183</v>
      </c>
      <c r="AI2404">
        <v>1178</v>
      </c>
      <c r="AJ2404">
        <v>5</v>
      </c>
      <c r="AK2404">
        <v>1</v>
      </c>
      <c r="AL2404">
        <v>1</v>
      </c>
      <c r="AM2404">
        <v>99.58</v>
      </c>
      <c r="AN2404">
        <v>34.341900000000003</v>
      </c>
      <c r="AO2404">
        <v>168.49</v>
      </c>
      <c r="AP2404" s="13">
        <v>45430</v>
      </c>
      <c r="AQ2404">
        <v>0</v>
      </c>
      <c r="AR2404">
        <v>1</v>
      </c>
    </row>
    <row r="2405" spans="1:44" x14ac:dyDescent="0.35">
      <c r="A2405" s="12" t="s">
        <v>3209</v>
      </c>
      <c r="B2405" s="12" t="s">
        <v>92</v>
      </c>
      <c r="C2405" s="12" t="s">
        <v>93</v>
      </c>
      <c r="D2405" s="12" t="s">
        <v>64</v>
      </c>
      <c r="E2405" s="12" t="s">
        <v>65</v>
      </c>
      <c r="F2405">
        <v>3</v>
      </c>
      <c r="G2405">
        <v>5</v>
      </c>
      <c r="H2405">
        <v>0</v>
      </c>
      <c r="I2405" s="12" t="s">
        <v>94</v>
      </c>
      <c r="J2405" s="12" t="s">
        <v>95</v>
      </c>
      <c r="K2405" s="12" t="s">
        <v>81</v>
      </c>
      <c r="L2405" s="12" t="s">
        <v>96</v>
      </c>
      <c r="M2405">
        <v>4.8099999999999996</v>
      </c>
      <c r="N2405" s="12" t="s">
        <v>70</v>
      </c>
      <c r="O2405" s="12" t="s">
        <v>71</v>
      </c>
      <c r="P2405" s="12" t="s">
        <v>72</v>
      </c>
      <c r="Q2405" s="13">
        <v>45386</v>
      </c>
      <c r="R2405" s="13">
        <v>45421</v>
      </c>
      <c r="S2405">
        <v>2024</v>
      </c>
      <c r="T2405" s="12" t="s">
        <v>3171</v>
      </c>
      <c r="U2405">
        <v>846</v>
      </c>
      <c r="V2405">
        <v>24.435099999999998</v>
      </c>
      <c r="W2405">
        <v>451.63</v>
      </c>
      <c r="X2405">
        <v>0</v>
      </c>
      <c r="Y2405">
        <v>0</v>
      </c>
      <c r="Z2405">
        <v>20672.09</v>
      </c>
      <c r="AA2405">
        <v>21123.72</v>
      </c>
      <c r="AB2405" s="12" t="s">
        <v>2802</v>
      </c>
      <c r="AC2405">
        <v>23.8764</v>
      </c>
      <c r="AD2405">
        <v>1</v>
      </c>
      <c r="AE2405">
        <v>1</v>
      </c>
      <c r="AF2405">
        <v>472.66</v>
      </c>
      <c r="AG2405">
        <v>20199.43</v>
      </c>
      <c r="AH2405">
        <v>846</v>
      </c>
      <c r="AI2405">
        <v>839</v>
      </c>
      <c r="AJ2405">
        <v>7</v>
      </c>
      <c r="AK2405">
        <v>1</v>
      </c>
      <c r="AL2405">
        <v>1</v>
      </c>
      <c r="AM2405">
        <v>99.17</v>
      </c>
      <c r="AN2405">
        <v>25.177299999999999</v>
      </c>
      <c r="AO2405">
        <v>171.05</v>
      </c>
      <c r="AP2405" s="13">
        <v>45421</v>
      </c>
      <c r="AQ2405">
        <v>0</v>
      </c>
      <c r="AR2405">
        <v>1</v>
      </c>
    </row>
    <row r="2406" spans="1:44" x14ac:dyDescent="0.35">
      <c r="A2406" s="12" t="s">
        <v>3210</v>
      </c>
      <c r="B2406" s="12" t="s">
        <v>640</v>
      </c>
      <c r="C2406" s="12" t="s">
        <v>641</v>
      </c>
      <c r="D2406" s="12" t="s">
        <v>130</v>
      </c>
      <c r="E2406" s="12" t="s">
        <v>104</v>
      </c>
      <c r="F2406">
        <v>3</v>
      </c>
      <c r="G2406">
        <v>0</v>
      </c>
      <c r="H2406">
        <v>0</v>
      </c>
      <c r="I2406" s="12" t="s">
        <v>209</v>
      </c>
      <c r="J2406" s="12" t="s">
        <v>210</v>
      </c>
      <c r="K2406" s="12" t="s">
        <v>133</v>
      </c>
      <c r="L2406" s="12" t="s">
        <v>96</v>
      </c>
      <c r="M2406">
        <v>7.82</v>
      </c>
      <c r="N2406" s="12" t="s">
        <v>135</v>
      </c>
      <c r="O2406" s="12" t="s">
        <v>136</v>
      </c>
      <c r="P2406" s="12" t="s">
        <v>137</v>
      </c>
      <c r="Q2406" s="13">
        <v>45386</v>
      </c>
      <c r="R2406" s="13">
        <v>45405</v>
      </c>
      <c r="S2406">
        <v>2024</v>
      </c>
      <c r="T2406" s="12" t="s">
        <v>3171</v>
      </c>
      <c r="U2406">
        <v>68</v>
      </c>
      <c r="V2406">
        <v>977.20889999999997</v>
      </c>
      <c r="W2406">
        <v>1204.29</v>
      </c>
      <c r="X2406">
        <v>0</v>
      </c>
      <c r="Y2406">
        <v>0</v>
      </c>
      <c r="Z2406">
        <v>66450.210000000006</v>
      </c>
      <c r="AA2406">
        <v>67654.5</v>
      </c>
      <c r="AB2406" s="12" t="s">
        <v>3211</v>
      </c>
      <c r="AC2406">
        <v>977.20889999999997</v>
      </c>
      <c r="AD2406">
        <v>1</v>
      </c>
      <c r="AE2406">
        <v>1</v>
      </c>
      <c r="AF2406">
        <v>0</v>
      </c>
      <c r="AG2406">
        <v>66450.210000000006</v>
      </c>
      <c r="AH2406">
        <v>68</v>
      </c>
      <c r="AI2406">
        <v>67</v>
      </c>
      <c r="AJ2406">
        <v>1</v>
      </c>
      <c r="AK2406">
        <v>1</v>
      </c>
      <c r="AL2406">
        <v>1</v>
      </c>
      <c r="AM2406">
        <v>98.53</v>
      </c>
      <c r="AN2406">
        <v>1009.7686</v>
      </c>
      <c r="AO2406">
        <v>977.21</v>
      </c>
      <c r="AP2406" s="13">
        <v>45404</v>
      </c>
      <c r="AQ2406">
        <v>-1</v>
      </c>
      <c r="AR2406">
        <v>1</v>
      </c>
    </row>
    <row r="2407" spans="1:44" x14ac:dyDescent="0.35">
      <c r="A2407" s="12" t="s">
        <v>3212</v>
      </c>
      <c r="B2407" s="12" t="s">
        <v>221</v>
      </c>
      <c r="C2407" s="12" t="s">
        <v>222</v>
      </c>
      <c r="D2407" s="12" t="s">
        <v>114</v>
      </c>
      <c r="E2407" s="12" t="s">
        <v>142</v>
      </c>
      <c r="F2407">
        <v>3</v>
      </c>
      <c r="G2407">
        <v>11</v>
      </c>
      <c r="H2407">
        <v>0</v>
      </c>
      <c r="I2407" s="12" t="s">
        <v>151</v>
      </c>
      <c r="J2407" s="12" t="s">
        <v>152</v>
      </c>
      <c r="K2407" s="12" t="s">
        <v>125</v>
      </c>
      <c r="L2407" s="12" t="s">
        <v>69</v>
      </c>
      <c r="M2407">
        <v>36.479999999999997</v>
      </c>
      <c r="N2407" s="12" t="s">
        <v>97</v>
      </c>
      <c r="O2407" s="12" t="s">
        <v>98</v>
      </c>
      <c r="P2407" s="12" t="s">
        <v>72</v>
      </c>
      <c r="Q2407" s="13">
        <v>45386</v>
      </c>
      <c r="R2407" s="13">
        <v>45430</v>
      </c>
      <c r="S2407">
        <v>2024</v>
      </c>
      <c r="T2407" s="12" t="s">
        <v>3171</v>
      </c>
      <c r="U2407">
        <v>83</v>
      </c>
      <c r="V2407">
        <v>243.6097</v>
      </c>
      <c r="W2407">
        <v>281.98</v>
      </c>
      <c r="X2407">
        <v>0</v>
      </c>
      <c r="Y2407">
        <v>0</v>
      </c>
      <c r="Z2407">
        <v>20219.61</v>
      </c>
      <c r="AA2407">
        <v>20501.59</v>
      </c>
      <c r="AB2407" s="12" t="s">
        <v>201</v>
      </c>
      <c r="AD2407">
        <v>0</v>
      </c>
      <c r="AE2407">
        <v>0</v>
      </c>
      <c r="AH2407">
        <v>83</v>
      </c>
      <c r="AI2407">
        <v>81</v>
      </c>
      <c r="AJ2407">
        <v>2</v>
      </c>
      <c r="AK2407">
        <v>1</v>
      </c>
      <c r="AL2407">
        <v>1</v>
      </c>
      <c r="AM2407">
        <v>97.59</v>
      </c>
      <c r="AN2407">
        <v>253.10599999999999</v>
      </c>
      <c r="AO2407">
        <v>487.22</v>
      </c>
      <c r="AP2407" s="13">
        <v>45430</v>
      </c>
      <c r="AQ2407">
        <v>0</v>
      </c>
      <c r="AR2407">
        <v>1</v>
      </c>
    </row>
    <row r="2408" spans="1:44" x14ac:dyDescent="0.35">
      <c r="A2408" s="12" t="s">
        <v>3213</v>
      </c>
      <c r="B2408" s="12" t="s">
        <v>101</v>
      </c>
      <c r="C2408" s="12" t="s">
        <v>102</v>
      </c>
      <c r="D2408" s="12" t="s">
        <v>103</v>
      </c>
      <c r="E2408" s="12" t="s">
        <v>104</v>
      </c>
      <c r="F2408">
        <v>1</v>
      </c>
      <c r="G2408">
        <v>0</v>
      </c>
      <c r="H2408">
        <v>1</v>
      </c>
      <c r="I2408" s="12" t="s">
        <v>105</v>
      </c>
      <c r="J2408" s="12" t="s">
        <v>106</v>
      </c>
      <c r="K2408" s="12" t="s">
        <v>81</v>
      </c>
      <c r="L2408" s="12" t="s">
        <v>96</v>
      </c>
      <c r="M2408">
        <v>5.01</v>
      </c>
      <c r="N2408" s="12" t="s">
        <v>107</v>
      </c>
      <c r="O2408" s="12" t="s">
        <v>108</v>
      </c>
      <c r="P2408" s="12" t="s">
        <v>109</v>
      </c>
      <c r="Q2408" s="13">
        <v>45387</v>
      </c>
      <c r="R2408" s="13">
        <v>45408</v>
      </c>
      <c r="S2408">
        <v>2024</v>
      </c>
      <c r="T2408" s="12" t="s">
        <v>3171</v>
      </c>
      <c r="U2408">
        <v>81</v>
      </c>
      <c r="V2408">
        <v>205.32499999999999</v>
      </c>
      <c r="W2408">
        <v>267.02</v>
      </c>
      <c r="X2408">
        <v>0</v>
      </c>
      <c r="Y2408">
        <v>0</v>
      </c>
      <c r="Z2408">
        <v>16631.330000000002</v>
      </c>
      <c r="AA2408">
        <v>16898.349999999999</v>
      </c>
      <c r="AB2408" s="12" t="s">
        <v>2866</v>
      </c>
      <c r="AC2408">
        <v>205.32499999999999</v>
      </c>
      <c r="AD2408">
        <v>1</v>
      </c>
      <c r="AE2408">
        <v>1</v>
      </c>
      <c r="AF2408">
        <v>0</v>
      </c>
      <c r="AG2408">
        <v>16631.330000000002</v>
      </c>
      <c r="AH2408">
        <v>81</v>
      </c>
      <c r="AI2408">
        <v>80</v>
      </c>
      <c r="AJ2408">
        <v>1</v>
      </c>
      <c r="AK2408">
        <v>1</v>
      </c>
      <c r="AL2408">
        <v>1</v>
      </c>
      <c r="AM2408">
        <v>98.77</v>
      </c>
      <c r="AN2408">
        <v>211.22929999999999</v>
      </c>
      <c r="AO2408">
        <v>205.33</v>
      </c>
      <c r="AP2408" s="13">
        <v>45408</v>
      </c>
      <c r="AQ2408">
        <v>0</v>
      </c>
      <c r="AR2408">
        <v>1</v>
      </c>
    </row>
    <row r="2409" spans="1:44" x14ac:dyDescent="0.35">
      <c r="A2409" s="12" t="s">
        <v>3214</v>
      </c>
      <c r="B2409" s="12" t="s">
        <v>548</v>
      </c>
      <c r="C2409" s="12" t="s">
        <v>549</v>
      </c>
      <c r="D2409" s="12" t="s">
        <v>78</v>
      </c>
      <c r="E2409" s="12" t="s">
        <v>104</v>
      </c>
      <c r="F2409">
        <v>3</v>
      </c>
      <c r="G2409">
        <v>1</v>
      </c>
      <c r="H2409">
        <v>0</v>
      </c>
      <c r="I2409" s="12" t="s">
        <v>223</v>
      </c>
      <c r="J2409" s="12" t="s">
        <v>224</v>
      </c>
      <c r="K2409" s="12" t="s">
        <v>81</v>
      </c>
      <c r="L2409" s="12" t="s">
        <v>134</v>
      </c>
      <c r="M2409">
        <v>2.4900000000000002</v>
      </c>
      <c r="N2409" s="12" t="s">
        <v>70</v>
      </c>
      <c r="O2409" s="12" t="s">
        <v>71</v>
      </c>
      <c r="P2409" s="12" t="s">
        <v>72</v>
      </c>
      <c r="Q2409" s="13">
        <v>45387</v>
      </c>
      <c r="R2409" s="13">
        <v>45415</v>
      </c>
      <c r="S2409">
        <v>2024</v>
      </c>
      <c r="T2409" s="12" t="s">
        <v>3171</v>
      </c>
      <c r="U2409">
        <v>274</v>
      </c>
      <c r="V2409">
        <v>59.346200000000003</v>
      </c>
      <c r="W2409">
        <v>174.25</v>
      </c>
      <c r="X2409">
        <v>0</v>
      </c>
      <c r="Y2409">
        <v>0</v>
      </c>
      <c r="Z2409">
        <v>16260.86</v>
      </c>
      <c r="AA2409">
        <v>16435.11</v>
      </c>
      <c r="AB2409" s="12" t="s">
        <v>3127</v>
      </c>
      <c r="AC2409">
        <v>59.346200000000003</v>
      </c>
      <c r="AD2409">
        <v>1</v>
      </c>
      <c r="AE2409">
        <v>1</v>
      </c>
      <c r="AF2409">
        <v>0</v>
      </c>
      <c r="AG2409">
        <v>16260.86</v>
      </c>
      <c r="AH2409">
        <v>274</v>
      </c>
      <c r="AI2409">
        <v>271</v>
      </c>
      <c r="AJ2409">
        <v>3</v>
      </c>
      <c r="AK2409">
        <v>1</v>
      </c>
      <c r="AL2409">
        <v>1</v>
      </c>
      <c r="AM2409">
        <v>98.91</v>
      </c>
      <c r="AN2409">
        <v>60.6462</v>
      </c>
      <c r="AO2409">
        <v>178.04</v>
      </c>
      <c r="AP2409" s="13">
        <v>45415</v>
      </c>
      <c r="AQ2409">
        <v>0</v>
      </c>
      <c r="AR2409">
        <v>1</v>
      </c>
    </row>
    <row r="2410" spans="1:44" x14ac:dyDescent="0.35">
      <c r="A2410" s="12" t="s">
        <v>3215</v>
      </c>
      <c r="B2410" s="12" t="s">
        <v>395</v>
      </c>
      <c r="C2410" s="12" t="s">
        <v>396</v>
      </c>
      <c r="D2410" s="12" t="s">
        <v>130</v>
      </c>
      <c r="E2410" s="12" t="s">
        <v>104</v>
      </c>
      <c r="F2410">
        <v>3</v>
      </c>
      <c r="G2410">
        <v>1</v>
      </c>
      <c r="H2410">
        <v>0</v>
      </c>
      <c r="I2410" s="12" t="s">
        <v>341</v>
      </c>
      <c r="J2410" s="12" t="s">
        <v>342</v>
      </c>
      <c r="K2410" s="12" t="s">
        <v>117</v>
      </c>
      <c r="L2410" s="12" t="s">
        <v>82</v>
      </c>
      <c r="M2410">
        <v>18.36</v>
      </c>
      <c r="N2410" s="12" t="s">
        <v>135</v>
      </c>
      <c r="O2410" s="12" t="s">
        <v>136</v>
      </c>
      <c r="P2410" s="12" t="s">
        <v>137</v>
      </c>
      <c r="Q2410" s="13">
        <v>45387</v>
      </c>
      <c r="R2410" s="13">
        <v>45407</v>
      </c>
      <c r="S2410">
        <v>2024</v>
      </c>
      <c r="T2410" s="12" t="s">
        <v>3171</v>
      </c>
      <c r="U2410">
        <v>77</v>
      </c>
      <c r="V2410">
        <v>174.20429999999999</v>
      </c>
      <c r="W2410">
        <v>188.52</v>
      </c>
      <c r="X2410">
        <v>0</v>
      </c>
      <c r="Y2410">
        <v>0</v>
      </c>
      <c r="Z2410">
        <v>13413.73</v>
      </c>
      <c r="AA2410">
        <v>13602.25</v>
      </c>
      <c r="AB2410" s="12" t="s">
        <v>2742</v>
      </c>
      <c r="AC2410">
        <v>174.20429999999999</v>
      </c>
      <c r="AD2410">
        <v>1</v>
      </c>
      <c r="AE2410">
        <v>1</v>
      </c>
      <c r="AF2410">
        <v>0</v>
      </c>
      <c r="AG2410">
        <v>13413.73</v>
      </c>
      <c r="AH2410">
        <v>77</v>
      </c>
      <c r="AI2410">
        <v>76</v>
      </c>
      <c r="AJ2410">
        <v>1</v>
      </c>
      <c r="AK2410">
        <v>1</v>
      </c>
      <c r="AL2410">
        <v>1</v>
      </c>
      <c r="AM2410">
        <v>98.7</v>
      </c>
      <c r="AN2410">
        <v>178.977</v>
      </c>
      <c r="AO2410">
        <v>174.2</v>
      </c>
      <c r="AP2410" s="13">
        <v>45407</v>
      </c>
      <c r="AQ2410">
        <v>0</v>
      </c>
      <c r="AR2410">
        <v>1</v>
      </c>
    </row>
    <row r="2411" spans="1:44" x14ac:dyDescent="0.35">
      <c r="A2411" s="12" t="s">
        <v>3216</v>
      </c>
      <c r="B2411" s="12" t="s">
        <v>617</v>
      </c>
      <c r="C2411" s="12" t="s">
        <v>618</v>
      </c>
      <c r="D2411" s="12" t="s">
        <v>78</v>
      </c>
      <c r="E2411" s="12" t="s">
        <v>65</v>
      </c>
      <c r="F2411">
        <v>2</v>
      </c>
      <c r="G2411">
        <v>4</v>
      </c>
      <c r="H2411">
        <v>0</v>
      </c>
      <c r="I2411" s="12" t="s">
        <v>341</v>
      </c>
      <c r="J2411" s="12" t="s">
        <v>342</v>
      </c>
      <c r="K2411" s="12" t="s">
        <v>117</v>
      </c>
      <c r="L2411" s="12" t="s">
        <v>82</v>
      </c>
      <c r="M2411">
        <v>18.36</v>
      </c>
      <c r="N2411" s="12" t="s">
        <v>70</v>
      </c>
      <c r="O2411" s="12" t="s">
        <v>71</v>
      </c>
      <c r="P2411" s="12" t="s">
        <v>72</v>
      </c>
      <c r="Q2411" s="13">
        <v>45387</v>
      </c>
      <c r="R2411" s="13">
        <v>45408</v>
      </c>
      <c r="S2411">
        <v>2024</v>
      </c>
      <c r="T2411" s="12" t="s">
        <v>3171</v>
      </c>
      <c r="U2411">
        <v>49</v>
      </c>
      <c r="V2411">
        <v>102.4909</v>
      </c>
      <c r="W2411">
        <v>122.21</v>
      </c>
      <c r="X2411">
        <v>0</v>
      </c>
      <c r="Y2411">
        <v>0</v>
      </c>
      <c r="Z2411">
        <v>5022.05</v>
      </c>
      <c r="AA2411">
        <v>5144.26</v>
      </c>
      <c r="AB2411" s="12" t="s">
        <v>3217</v>
      </c>
      <c r="AC2411">
        <v>102.4909</v>
      </c>
      <c r="AD2411">
        <v>1</v>
      </c>
      <c r="AE2411">
        <v>1</v>
      </c>
      <c r="AF2411">
        <v>0</v>
      </c>
      <c r="AG2411">
        <v>5022.05</v>
      </c>
      <c r="AH2411">
        <v>49</v>
      </c>
      <c r="AI2411">
        <v>49</v>
      </c>
      <c r="AJ2411">
        <v>0</v>
      </c>
      <c r="AK2411">
        <v>1</v>
      </c>
      <c r="AL2411">
        <v>1</v>
      </c>
      <c r="AM2411">
        <v>100</v>
      </c>
      <c r="AN2411">
        <v>104.985</v>
      </c>
      <c r="AO2411">
        <v>0</v>
      </c>
      <c r="AP2411" s="13">
        <v>45408</v>
      </c>
      <c r="AQ2411">
        <v>0</v>
      </c>
      <c r="AR2411">
        <v>1</v>
      </c>
    </row>
    <row r="2412" spans="1:44" x14ac:dyDescent="0.35">
      <c r="A2412" s="12" t="s">
        <v>3218</v>
      </c>
      <c r="B2412" s="12" t="s">
        <v>241</v>
      </c>
      <c r="C2412" s="12" t="s">
        <v>242</v>
      </c>
      <c r="D2412" s="12" t="s">
        <v>103</v>
      </c>
      <c r="E2412" s="12" t="s">
        <v>142</v>
      </c>
      <c r="F2412">
        <v>3</v>
      </c>
      <c r="G2412">
        <v>11</v>
      </c>
      <c r="H2412">
        <v>0</v>
      </c>
      <c r="I2412" s="12" t="s">
        <v>243</v>
      </c>
      <c r="J2412" s="12" t="s">
        <v>244</v>
      </c>
      <c r="K2412" s="12" t="s">
        <v>81</v>
      </c>
      <c r="L2412" s="12" t="s">
        <v>82</v>
      </c>
      <c r="M2412">
        <v>9.2200000000000006</v>
      </c>
      <c r="N2412" s="12" t="s">
        <v>107</v>
      </c>
      <c r="O2412" s="12" t="s">
        <v>108</v>
      </c>
      <c r="P2412" s="12" t="s">
        <v>109</v>
      </c>
      <c r="Q2412" s="13">
        <v>45387</v>
      </c>
      <c r="R2412" s="13">
        <v>45427</v>
      </c>
      <c r="S2412">
        <v>2024</v>
      </c>
      <c r="T2412" s="12" t="s">
        <v>3171</v>
      </c>
      <c r="U2412">
        <v>52</v>
      </c>
      <c r="V2412">
        <v>191.95740000000001</v>
      </c>
      <c r="W2412">
        <v>151.47999999999999</v>
      </c>
      <c r="X2412">
        <v>0</v>
      </c>
      <c r="Y2412">
        <v>0</v>
      </c>
      <c r="Z2412">
        <v>9981.7800000000007</v>
      </c>
      <c r="AA2412">
        <v>10133.26</v>
      </c>
      <c r="AB2412" s="12" t="s">
        <v>201</v>
      </c>
      <c r="AD2412">
        <v>0</v>
      </c>
      <c r="AE2412">
        <v>0</v>
      </c>
      <c r="AH2412">
        <v>52</v>
      </c>
      <c r="AI2412">
        <v>51</v>
      </c>
      <c r="AJ2412">
        <v>1</v>
      </c>
      <c r="AK2412">
        <v>1</v>
      </c>
      <c r="AL2412">
        <v>1</v>
      </c>
      <c r="AM2412">
        <v>98.08</v>
      </c>
      <c r="AN2412">
        <v>198.69149999999999</v>
      </c>
      <c r="AO2412">
        <v>191.96</v>
      </c>
      <c r="AP2412" s="13">
        <v>45427</v>
      </c>
      <c r="AQ2412">
        <v>0</v>
      </c>
      <c r="AR2412">
        <v>1</v>
      </c>
    </row>
    <row r="2413" spans="1:44" x14ac:dyDescent="0.35">
      <c r="A2413" s="12" t="s">
        <v>3219</v>
      </c>
      <c r="B2413" s="12" t="s">
        <v>249</v>
      </c>
      <c r="C2413" s="12" t="s">
        <v>250</v>
      </c>
      <c r="D2413" s="12" t="s">
        <v>64</v>
      </c>
      <c r="E2413" s="12" t="s">
        <v>65</v>
      </c>
      <c r="F2413">
        <v>2</v>
      </c>
      <c r="G2413">
        <v>3</v>
      </c>
      <c r="H2413">
        <v>0</v>
      </c>
      <c r="I2413" s="12" t="s">
        <v>251</v>
      </c>
      <c r="J2413" s="12" t="s">
        <v>252</v>
      </c>
      <c r="K2413" s="12" t="s">
        <v>133</v>
      </c>
      <c r="L2413" s="12" t="s">
        <v>69</v>
      </c>
      <c r="M2413">
        <v>34.49</v>
      </c>
      <c r="N2413" s="12" t="s">
        <v>70</v>
      </c>
      <c r="O2413" s="12" t="s">
        <v>71</v>
      </c>
      <c r="P2413" s="12" t="s">
        <v>72</v>
      </c>
      <c r="Q2413" s="13">
        <v>45387</v>
      </c>
      <c r="R2413" s="13">
        <v>45421</v>
      </c>
      <c r="S2413">
        <v>2024</v>
      </c>
      <c r="T2413" s="12" t="s">
        <v>3171</v>
      </c>
      <c r="U2413">
        <v>763</v>
      </c>
      <c r="V2413">
        <v>10.292</v>
      </c>
      <c r="W2413">
        <v>151.19</v>
      </c>
      <c r="X2413">
        <v>0</v>
      </c>
      <c r="Y2413">
        <v>0</v>
      </c>
      <c r="Z2413">
        <v>7852.8</v>
      </c>
      <c r="AA2413">
        <v>8003.99</v>
      </c>
      <c r="AB2413" s="12" t="s">
        <v>2747</v>
      </c>
      <c r="AC2413">
        <v>10.292</v>
      </c>
      <c r="AD2413">
        <v>1</v>
      </c>
      <c r="AE2413">
        <v>1</v>
      </c>
      <c r="AF2413">
        <v>0</v>
      </c>
      <c r="AG2413">
        <v>7852.8</v>
      </c>
      <c r="AH2413">
        <v>763</v>
      </c>
      <c r="AI2413">
        <v>751</v>
      </c>
      <c r="AJ2413">
        <v>12</v>
      </c>
      <c r="AK2413">
        <v>1</v>
      </c>
      <c r="AL2413">
        <v>1</v>
      </c>
      <c r="AM2413">
        <v>98.43</v>
      </c>
      <c r="AN2413">
        <v>10.6578</v>
      </c>
      <c r="AO2413">
        <v>123.5</v>
      </c>
      <c r="AP2413" s="13">
        <v>45423</v>
      </c>
      <c r="AQ2413">
        <v>2</v>
      </c>
      <c r="AR2413">
        <v>0</v>
      </c>
    </row>
    <row r="2414" spans="1:44" x14ac:dyDescent="0.35">
      <c r="A2414" s="12" t="s">
        <v>3220</v>
      </c>
      <c r="B2414" s="12" t="s">
        <v>140</v>
      </c>
      <c r="C2414" s="12" t="s">
        <v>141</v>
      </c>
      <c r="D2414" s="12" t="s">
        <v>103</v>
      </c>
      <c r="E2414" s="12" t="s">
        <v>142</v>
      </c>
      <c r="F2414">
        <v>1</v>
      </c>
      <c r="G2414">
        <v>7</v>
      </c>
      <c r="H2414">
        <v>1</v>
      </c>
      <c r="I2414" s="12" t="s">
        <v>143</v>
      </c>
      <c r="J2414" s="12" t="s">
        <v>144</v>
      </c>
      <c r="K2414" s="12" t="s">
        <v>133</v>
      </c>
      <c r="L2414" s="12" t="s">
        <v>96</v>
      </c>
      <c r="M2414">
        <v>5.43</v>
      </c>
      <c r="N2414" s="12" t="s">
        <v>145</v>
      </c>
      <c r="O2414" s="12" t="s">
        <v>146</v>
      </c>
      <c r="P2414" s="12" t="s">
        <v>109</v>
      </c>
      <c r="Q2414" s="13">
        <v>45387</v>
      </c>
      <c r="R2414" s="13">
        <v>45429</v>
      </c>
      <c r="S2414">
        <v>2024</v>
      </c>
      <c r="T2414" s="12" t="s">
        <v>3171</v>
      </c>
      <c r="U2414">
        <v>69</v>
      </c>
      <c r="V2414">
        <v>211.35810000000001</v>
      </c>
      <c r="W2414">
        <v>199.14</v>
      </c>
      <c r="X2414">
        <v>0</v>
      </c>
      <c r="Y2414">
        <v>0</v>
      </c>
      <c r="Z2414">
        <v>14583.71</v>
      </c>
      <c r="AA2414">
        <v>14782.85</v>
      </c>
      <c r="AB2414" s="12" t="s">
        <v>2815</v>
      </c>
      <c r="AC2414">
        <v>211.35810000000001</v>
      </c>
      <c r="AD2414">
        <v>1</v>
      </c>
      <c r="AE2414">
        <v>1</v>
      </c>
      <c r="AF2414">
        <v>0</v>
      </c>
      <c r="AG2414">
        <v>14583.71</v>
      </c>
      <c r="AH2414">
        <v>69</v>
      </c>
      <c r="AI2414">
        <v>68</v>
      </c>
      <c r="AJ2414">
        <v>1</v>
      </c>
      <c r="AK2414">
        <v>1</v>
      </c>
      <c r="AL2414">
        <v>1</v>
      </c>
      <c r="AM2414">
        <v>98.55</v>
      </c>
      <c r="AN2414">
        <v>217.3948</v>
      </c>
      <c r="AO2414">
        <v>211.36</v>
      </c>
      <c r="AP2414" s="13">
        <v>45426</v>
      </c>
      <c r="AQ2414">
        <v>-3</v>
      </c>
      <c r="AR2414">
        <v>1</v>
      </c>
    </row>
    <row r="2415" spans="1:44" x14ac:dyDescent="0.35">
      <c r="A2415" s="12" t="s">
        <v>3221</v>
      </c>
      <c r="B2415" s="12" t="s">
        <v>736</v>
      </c>
      <c r="C2415" s="12" t="s">
        <v>737</v>
      </c>
      <c r="D2415" s="12" t="s">
        <v>64</v>
      </c>
      <c r="E2415" s="12" t="s">
        <v>104</v>
      </c>
      <c r="F2415">
        <v>3</v>
      </c>
      <c r="G2415">
        <v>1</v>
      </c>
      <c r="H2415">
        <v>0</v>
      </c>
      <c r="I2415" s="12" t="s">
        <v>131</v>
      </c>
      <c r="J2415" s="12" t="s">
        <v>132</v>
      </c>
      <c r="K2415" s="12" t="s">
        <v>133</v>
      </c>
      <c r="L2415" s="12" t="s">
        <v>134</v>
      </c>
      <c r="M2415">
        <v>1.51</v>
      </c>
      <c r="N2415" s="12" t="s">
        <v>97</v>
      </c>
      <c r="O2415" s="12" t="s">
        <v>98</v>
      </c>
      <c r="P2415" s="12" t="s">
        <v>72</v>
      </c>
      <c r="Q2415" s="13">
        <v>45387</v>
      </c>
      <c r="R2415" s="13">
        <v>45414</v>
      </c>
      <c r="S2415">
        <v>2024</v>
      </c>
      <c r="T2415" s="12" t="s">
        <v>3171</v>
      </c>
      <c r="U2415">
        <v>854</v>
      </c>
      <c r="V2415">
        <v>27.351099999999999</v>
      </c>
      <c r="W2415">
        <v>163.6</v>
      </c>
      <c r="X2415">
        <v>0</v>
      </c>
      <c r="Y2415">
        <v>0</v>
      </c>
      <c r="Z2415">
        <v>23357.84</v>
      </c>
      <c r="AA2415">
        <v>23521.439999999999</v>
      </c>
      <c r="AB2415" s="12" t="s">
        <v>201</v>
      </c>
      <c r="AD2415">
        <v>0</v>
      </c>
      <c r="AE2415">
        <v>0</v>
      </c>
      <c r="AH2415">
        <v>854</v>
      </c>
      <c r="AI2415">
        <v>840</v>
      </c>
      <c r="AJ2415">
        <v>14</v>
      </c>
      <c r="AK2415">
        <v>1</v>
      </c>
      <c r="AL2415">
        <v>1</v>
      </c>
      <c r="AM2415">
        <v>98.36</v>
      </c>
      <c r="AN2415">
        <v>28.0017</v>
      </c>
      <c r="AO2415">
        <v>382.92</v>
      </c>
      <c r="AP2415" s="13">
        <v>45414</v>
      </c>
      <c r="AQ2415">
        <v>0</v>
      </c>
      <c r="AR2415">
        <v>1</v>
      </c>
    </row>
    <row r="2416" spans="1:44" x14ac:dyDescent="0.35">
      <c r="A2416" s="12" t="s">
        <v>3222</v>
      </c>
      <c r="B2416" s="12" t="s">
        <v>494</v>
      </c>
      <c r="C2416" s="12" t="s">
        <v>495</v>
      </c>
      <c r="D2416" s="12" t="s">
        <v>175</v>
      </c>
      <c r="E2416" s="12" t="s">
        <v>65</v>
      </c>
      <c r="F2416">
        <v>2</v>
      </c>
      <c r="G2416">
        <v>3</v>
      </c>
      <c r="H2416">
        <v>0</v>
      </c>
      <c r="I2416" s="12" t="s">
        <v>515</v>
      </c>
      <c r="J2416" s="12" t="s">
        <v>516</v>
      </c>
      <c r="K2416" s="12" t="s">
        <v>68</v>
      </c>
      <c r="L2416" s="12" t="s">
        <v>134</v>
      </c>
      <c r="M2416">
        <v>3.69</v>
      </c>
      <c r="N2416" s="12" t="s">
        <v>107</v>
      </c>
      <c r="O2416" s="12" t="s">
        <v>108</v>
      </c>
      <c r="P2416" s="12" t="s">
        <v>109</v>
      </c>
      <c r="Q2416" s="13">
        <v>45387</v>
      </c>
      <c r="R2416" s="13">
        <v>45420</v>
      </c>
      <c r="S2416">
        <v>2024</v>
      </c>
      <c r="T2416" s="12" t="s">
        <v>3171</v>
      </c>
      <c r="U2416">
        <v>103</v>
      </c>
      <c r="V2416">
        <v>157.60329999999999</v>
      </c>
      <c r="W2416">
        <v>292.85000000000002</v>
      </c>
      <c r="X2416">
        <v>529.01</v>
      </c>
      <c r="Y2416">
        <v>1</v>
      </c>
      <c r="Z2416">
        <v>16233.14</v>
      </c>
      <c r="AA2416">
        <v>17055</v>
      </c>
      <c r="AB2416" s="12" t="s">
        <v>2807</v>
      </c>
      <c r="AC2416">
        <v>157.60329999999999</v>
      </c>
      <c r="AD2416">
        <v>1</v>
      </c>
      <c r="AE2416">
        <v>1</v>
      </c>
      <c r="AF2416">
        <v>0</v>
      </c>
      <c r="AG2416">
        <v>16233.14</v>
      </c>
      <c r="AH2416">
        <v>103</v>
      </c>
      <c r="AI2416">
        <v>102</v>
      </c>
      <c r="AJ2416">
        <v>1</v>
      </c>
      <c r="AK2416">
        <v>1</v>
      </c>
      <c r="AL2416">
        <v>1</v>
      </c>
      <c r="AM2416">
        <v>99.03</v>
      </c>
      <c r="AN2416">
        <v>167.20590000000001</v>
      </c>
      <c r="AO2416">
        <v>157.6</v>
      </c>
      <c r="AP2416" s="13">
        <v>45419</v>
      </c>
      <c r="AQ2416">
        <v>-1</v>
      </c>
      <c r="AR2416">
        <v>1</v>
      </c>
    </row>
    <row r="2417" spans="1:44" x14ac:dyDescent="0.35">
      <c r="A2417" s="12" t="s">
        <v>3223</v>
      </c>
      <c r="B2417" s="12" t="s">
        <v>404</v>
      </c>
      <c r="C2417" s="12" t="s">
        <v>405</v>
      </c>
      <c r="D2417" s="12" t="s">
        <v>269</v>
      </c>
      <c r="E2417" s="12" t="s">
        <v>65</v>
      </c>
      <c r="F2417">
        <v>3</v>
      </c>
      <c r="G2417">
        <v>5</v>
      </c>
      <c r="H2417">
        <v>0</v>
      </c>
      <c r="I2417" s="12" t="s">
        <v>209</v>
      </c>
      <c r="J2417" s="12" t="s">
        <v>210</v>
      </c>
      <c r="K2417" s="12" t="s">
        <v>133</v>
      </c>
      <c r="L2417" s="12" t="s">
        <v>96</v>
      </c>
      <c r="M2417">
        <v>7.82</v>
      </c>
      <c r="N2417" s="12" t="s">
        <v>159</v>
      </c>
      <c r="O2417" s="12" t="s">
        <v>160</v>
      </c>
      <c r="P2417" s="12" t="s">
        <v>137</v>
      </c>
      <c r="Q2417" s="13">
        <v>45390</v>
      </c>
      <c r="R2417" s="13">
        <v>45426</v>
      </c>
      <c r="S2417">
        <v>2024</v>
      </c>
      <c r="T2417" s="12" t="s">
        <v>3171</v>
      </c>
      <c r="U2417">
        <v>128</v>
      </c>
      <c r="V2417">
        <v>430.1182</v>
      </c>
      <c r="W2417">
        <v>725.71</v>
      </c>
      <c r="X2417">
        <v>0</v>
      </c>
      <c r="Y2417">
        <v>0</v>
      </c>
      <c r="Z2417">
        <v>55055.13</v>
      </c>
      <c r="AA2417">
        <v>55780.84</v>
      </c>
      <c r="AB2417" s="12" t="s">
        <v>3172</v>
      </c>
      <c r="AC2417">
        <v>430.1182</v>
      </c>
      <c r="AD2417">
        <v>1</v>
      </c>
      <c r="AE2417">
        <v>1</v>
      </c>
      <c r="AF2417">
        <v>0</v>
      </c>
      <c r="AG2417">
        <v>55055.13</v>
      </c>
      <c r="AH2417">
        <v>128</v>
      </c>
      <c r="AI2417">
        <v>126</v>
      </c>
      <c r="AJ2417">
        <v>2</v>
      </c>
      <c r="AK2417">
        <v>1</v>
      </c>
      <c r="AL2417">
        <v>1</v>
      </c>
      <c r="AM2417">
        <v>98.44</v>
      </c>
      <c r="AN2417">
        <v>442.70510000000002</v>
      </c>
      <c r="AO2417">
        <v>860.24</v>
      </c>
      <c r="AP2417" s="13">
        <v>45434</v>
      </c>
      <c r="AQ2417">
        <v>8</v>
      </c>
      <c r="AR2417">
        <v>0</v>
      </c>
    </row>
    <row r="2418" spans="1:44" x14ac:dyDescent="0.35">
      <c r="A2418" s="12" t="s">
        <v>3224</v>
      </c>
      <c r="B2418" s="12" t="s">
        <v>766</v>
      </c>
      <c r="C2418" s="12" t="s">
        <v>767</v>
      </c>
      <c r="D2418" s="12" t="s">
        <v>175</v>
      </c>
      <c r="E2418" s="12" t="s">
        <v>65</v>
      </c>
      <c r="F2418">
        <v>3</v>
      </c>
      <c r="G2418">
        <v>5</v>
      </c>
      <c r="H2418">
        <v>0</v>
      </c>
      <c r="I2418" s="12" t="s">
        <v>87</v>
      </c>
      <c r="J2418" s="12" t="s">
        <v>88</v>
      </c>
      <c r="K2418" s="12" t="s">
        <v>89</v>
      </c>
      <c r="L2418" s="12" t="s">
        <v>69</v>
      </c>
      <c r="M2418">
        <v>14.93</v>
      </c>
      <c r="N2418" s="12" t="s">
        <v>107</v>
      </c>
      <c r="O2418" s="12" t="s">
        <v>108</v>
      </c>
      <c r="P2418" s="12" t="s">
        <v>109</v>
      </c>
      <c r="Q2418" s="13">
        <v>45390</v>
      </c>
      <c r="R2418" s="13">
        <v>45411</v>
      </c>
      <c r="S2418">
        <v>2024</v>
      </c>
      <c r="T2418" s="12" t="s">
        <v>3171</v>
      </c>
      <c r="U2418">
        <v>14</v>
      </c>
      <c r="V2418">
        <v>81.825500000000005</v>
      </c>
      <c r="W2418">
        <v>28.53</v>
      </c>
      <c r="X2418">
        <v>0</v>
      </c>
      <c r="Y2418">
        <v>0</v>
      </c>
      <c r="Z2418">
        <v>1145.56</v>
      </c>
      <c r="AA2418">
        <v>1174.0899999999999</v>
      </c>
      <c r="AB2418" s="12" t="s">
        <v>3225</v>
      </c>
      <c r="AC2418">
        <v>81.825500000000005</v>
      </c>
      <c r="AD2418">
        <v>1</v>
      </c>
      <c r="AE2418">
        <v>1</v>
      </c>
      <c r="AF2418">
        <v>0</v>
      </c>
      <c r="AG2418">
        <v>1145.56</v>
      </c>
      <c r="AH2418">
        <v>14</v>
      </c>
      <c r="AI2418">
        <v>14</v>
      </c>
      <c r="AJ2418">
        <v>0</v>
      </c>
      <c r="AK2418">
        <v>1</v>
      </c>
      <c r="AL2418">
        <v>1</v>
      </c>
      <c r="AM2418">
        <v>100</v>
      </c>
      <c r="AN2418">
        <v>83.863399999999999</v>
      </c>
      <c r="AO2418">
        <v>0</v>
      </c>
      <c r="AP2418" s="13">
        <v>45418</v>
      </c>
      <c r="AQ2418">
        <v>7</v>
      </c>
      <c r="AR2418">
        <v>0</v>
      </c>
    </row>
    <row r="2419" spans="1:44" x14ac:dyDescent="0.35">
      <c r="A2419" s="12" t="s">
        <v>3226</v>
      </c>
      <c r="B2419" s="12" t="s">
        <v>1054</v>
      </c>
      <c r="C2419" s="12" t="s">
        <v>1055</v>
      </c>
      <c r="D2419" s="12" t="s">
        <v>122</v>
      </c>
      <c r="E2419" s="12" t="s">
        <v>65</v>
      </c>
      <c r="F2419">
        <v>1</v>
      </c>
      <c r="G2419">
        <v>2</v>
      </c>
      <c r="H2419">
        <v>1</v>
      </c>
      <c r="I2419" s="12" t="s">
        <v>176</v>
      </c>
      <c r="J2419" s="12" t="s">
        <v>177</v>
      </c>
      <c r="K2419" s="12" t="s">
        <v>125</v>
      </c>
      <c r="L2419" s="12" t="s">
        <v>134</v>
      </c>
      <c r="M2419">
        <v>1.75</v>
      </c>
      <c r="N2419" s="12" t="s">
        <v>97</v>
      </c>
      <c r="O2419" s="12" t="s">
        <v>98</v>
      </c>
      <c r="P2419" s="12" t="s">
        <v>72</v>
      </c>
      <c r="Q2419" s="13">
        <v>45390</v>
      </c>
      <c r="R2419" s="13">
        <v>45414</v>
      </c>
      <c r="S2419">
        <v>2024</v>
      </c>
      <c r="T2419" s="12" t="s">
        <v>3171</v>
      </c>
      <c r="U2419">
        <v>557</v>
      </c>
      <c r="V2419">
        <v>45.850499999999997</v>
      </c>
      <c r="W2419">
        <v>228.94</v>
      </c>
      <c r="X2419">
        <v>0</v>
      </c>
      <c r="Y2419">
        <v>0</v>
      </c>
      <c r="Z2419">
        <v>25538.73</v>
      </c>
      <c r="AA2419">
        <v>25767.67</v>
      </c>
      <c r="AB2419" s="12" t="s">
        <v>3227</v>
      </c>
      <c r="AC2419">
        <v>45.850499999999997</v>
      </c>
      <c r="AD2419">
        <v>1</v>
      </c>
      <c r="AE2419">
        <v>1</v>
      </c>
      <c r="AF2419">
        <v>0</v>
      </c>
      <c r="AG2419">
        <v>25538.73</v>
      </c>
      <c r="AH2419">
        <v>557</v>
      </c>
      <c r="AI2419">
        <v>555</v>
      </c>
      <c r="AJ2419">
        <v>2</v>
      </c>
      <c r="AK2419">
        <v>1</v>
      </c>
      <c r="AL2419">
        <v>1</v>
      </c>
      <c r="AM2419">
        <v>99.64</v>
      </c>
      <c r="AN2419">
        <v>46.428199999999997</v>
      </c>
      <c r="AO2419">
        <v>91.7</v>
      </c>
      <c r="AP2419" s="13">
        <v>45414</v>
      </c>
      <c r="AQ2419">
        <v>0</v>
      </c>
      <c r="AR2419">
        <v>1</v>
      </c>
    </row>
    <row r="2420" spans="1:44" x14ac:dyDescent="0.35">
      <c r="A2420" s="12" t="s">
        <v>3228</v>
      </c>
      <c r="B2420" s="12" t="s">
        <v>241</v>
      </c>
      <c r="C2420" s="12" t="s">
        <v>242</v>
      </c>
      <c r="D2420" s="12" t="s">
        <v>103</v>
      </c>
      <c r="E2420" s="12" t="s">
        <v>142</v>
      </c>
      <c r="F2420">
        <v>3</v>
      </c>
      <c r="G2420">
        <v>11</v>
      </c>
      <c r="H2420">
        <v>0</v>
      </c>
      <c r="I2420" s="12" t="s">
        <v>243</v>
      </c>
      <c r="J2420" s="12" t="s">
        <v>244</v>
      </c>
      <c r="K2420" s="12" t="s">
        <v>81</v>
      </c>
      <c r="L2420" s="12" t="s">
        <v>82</v>
      </c>
      <c r="M2420">
        <v>9.2200000000000006</v>
      </c>
      <c r="N2420" s="12" t="s">
        <v>145</v>
      </c>
      <c r="O2420" s="12" t="s">
        <v>146</v>
      </c>
      <c r="P2420" s="12" t="s">
        <v>109</v>
      </c>
      <c r="Q2420" s="13">
        <v>45390</v>
      </c>
      <c r="R2420" s="13">
        <v>45433</v>
      </c>
      <c r="S2420">
        <v>2024</v>
      </c>
      <c r="T2420" s="12" t="s">
        <v>3171</v>
      </c>
      <c r="U2420">
        <v>73</v>
      </c>
      <c r="V2420">
        <v>189.34889999999999</v>
      </c>
      <c r="W2420">
        <v>261.3</v>
      </c>
      <c r="X2420">
        <v>0</v>
      </c>
      <c r="Y2420">
        <v>0</v>
      </c>
      <c r="Z2420">
        <v>13822.47</v>
      </c>
      <c r="AA2420">
        <v>14083.77</v>
      </c>
      <c r="AB2420" s="12" t="s">
        <v>201</v>
      </c>
      <c r="AD2420">
        <v>0</v>
      </c>
      <c r="AE2420">
        <v>0</v>
      </c>
      <c r="AH2420">
        <v>73</v>
      </c>
      <c r="AI2420">
        <v>72</v>
      </c>
      <c r="AJ2420">
        <v>1</v>
      </c>
      <c r="AK2420">
        <v>1</v>
      </c>
      <c r="AL2420">
        <v>1</v>
      </c>
      <c r="AM2420">
        <v>98.63</v>
      </c>
      <c r="AN2420">
        <v>195.6079</v>
      </c>
      <c r="AO2420">
        <v>189.35</v>
      </c>
      <c r="AP2420" s="13">
        <v>45433</v>
      </c>
      <c r="AQ2420">
        <v>0</v>
      </c>
      <c r="AR2420">
        <v>1</v>
      </c>
    </row>
    <row r="2421" spans="1:44" x14ac:dyDescent="0.35">
      <c r="A2421" s="12" t="s">
        <v>3229</v>
      </c>
      <c r="B2421" s="12" t="s">
        <v>167</v>
      </c>
      <c r="C2421" s="12" t="s">
        <v>168</v>
      </c>
      <c r="D2421" s="12" t="s">
        <v>64</v>
      </c>
      <c r="E2421" s="12" t="s">
        <v>104</v>
      </c>
      <c r="F2421">
        <v>3</v>
      </c>
      <c r="G2421">
        <v>1</v>
      </c>
      <c r="H2421">
        <v>0</v>
      </c>
      <c r="I2421" s="12" t="s">
        <v>243</v>
      </c>
      <c r="J2421" s="12" t="s">
        <v>244</v>
      </c>
      <c r="K2421" s="12" t="s">
        <v>81</v>
      </c>
      <c r="L2421" s="12" t="s">
        <v>82</v>
      </c>
      <c r="M2421">
        <v>9.2200000000000006</v>
      </c>
      <c r="N2421" s="12" t="s">
        <v>97</v>
      </c>
      <c r="O2421" s="12" t="s">
        <v>98</v>
      </c>
      <c r="P2421" s="12" t="s">
        <v>72</v>
      </c>
      <c r="Q2421" s="13">
        <v>45390</v>
      </c>
      <c r="R2421" s="13">
        <v>45418</v>
      </c>
      <c r="S2421">
        <v>2024</v>
      </c>
      <c r="T2421" s="12" t="s">
        <v>3171</v>
      </c>
      <c r="U2421">
        <v>946</v>
      </c>
      <c r="V2421">
        <v>28.008600000000001</v>
      </c>
      <c r="W2421">
        <v>285.10000000000002</v>
      </c>
      <c r="X2421">
        <v>0</v>
      </c>
      <c r="Y2421">
        <v>0</v>
      </c>
      <c r="Z2421">
        <v>26496.14</v>
      </c>
      <c r="AA2421">
        <v>26781.24</v>
      </c>
      <c r="AB2421" s="12" t="s">
        <v>201</v>
      </c>
      <c r="AD2421">
        <v>0</v>
      </c>
      <c r="AE2421">
        <v>0</v>
      </c>
      <c r="AH2421">
        <v>946</v>
      </c>
      <c r="AI2421">
        <v>932</v>
      </c>
      <c r="AJ2421">
        <v>14</v>
      </c>
      <c r="AK2421">
        <v>1</v>
      </c>
      <c r="AL2421">
        <v>1</v>
      </c>
      <c r="AM2421">
        <v>98.52</v>
      </c>
      <c r="AN2421">
        <v>28.735199999999999</v>
      </c>
      <c r="AO2421">
        <v>392.12</v>
      </c>
      <c r="AP2421" s="13">
        <v>45416</v>
      </c>
      <c r="AQ2421">
        <v>-2</v>
      </c>
      <c r="AR2421">
        <v>1</v>
      </c>
    </row>
    <row r="2422" spans="1:44" x14ac:dyDescent="0.35">
      <c r="A2422" s="12" t="s">
        <v>3230</v>
      </c>
      <c r="B2422" s="12" t="s">
        <v>442</v>
      </c>
      <c r="C2422" s="12" t="s">
        <v>443</v>
      </c>
      <c r="D2422" s="12" t="s">
        <v>130</v>
      </c>
      <c r="E2422" s="12" t="s">
        <v>65</v>
      </c>
      <c r="F2422">
        <v>3</v>
      </c>
      <c r="G2422">
        <v>4</v>
      </c>
      <c r="H2422">
        <v>0</v>
      </c>
      <c r="I2422" s="12" t="s">
        <v>251</v>
      </c>
      <c r="J2422" s="12" t="s">
        <v>252</v>
      </c>
      <c r="K2422" s="12" t="s">
        <v>133</v>
      </c>
      <c r="L2422" s="12" t="s">
        <v>69</v>
      </c>
      <c r="M2422">
        <v>34.49</v>
      </c>
      <c r="N2422" s="12" t="s">
        <v>135</v>
      </c>
      <c r="O2422" s="12" t="s">
        <v>136</v>
      </c>
      <c r="P2422" s="12" t="s">
        <v>137</v>
      </c>
      <c r="Q2422" s="13">
        <v>45390</v>
      </c>
      <c r="R2422" s="13">
        <v>45425</v>
      </c>
      <c r="S2422">
        <v>2024</v>
      </c>
      <c r="T2422" s="12" t="s">
        <v>3171</v>
      </c>
      <c r="U2422">
        <v>123</v>
      </c>
      <c r="V2422">
        <v>560.57730000000004</v>
      </c>
      <c r="W2422">
        <v>1635.65</v>
      </c>
      <c r="X2422">
        <v>0</v>
      </c>
      <c r="Y2422">
        <v>0</v>
      </c>
      <c r="Z2422">
        <v>68951.009999999995</v>
      </c>
      <c r="AA2422">
        <v>70586.66</v>
      </c>
      <c r="AB2422" s="12" t="s">
        <v>3116</v>
      </c>
      <c r="AC2422">
        <v>560.57730000000004</v>
      </c>
      <c r="AD2422">
        <v>1</v>
      </c>
      <c r="AE2422">
        <v>1</v>
      </c>
      <c r="AF2422">
        <v>0</v>
      </c>
      <c r="AG2422">
        <v>68951.009999999995</v>
      </c>
      <c r="AH2422">
        <v>123</v>
      </c>
      <c r="AI2422">
        <v>122</v>
      </c>
      <c r="AJ2422">
        <v>1</v>
      </c>
      <c r="AK2422">
        <v>1</v>
      </c>
      <c r="AL2422">
        <v>1</v>
      </c>
      <c r="AM2422">
        <v>99.19</v>
      </c>
      <c r="AN2422">
        <v>578.57920000000001</v>
      </c>
      <c r="AO2422">
        <v>560.58000000000004</v>
      </c>
      <c r="AP2422" s="13">
        <v>45428</v>
      </c>
      <c r="AQ2422">
        <v>3</v>
      </c>
      <c r="AR2422">
        <v>0</v>
      </c>
    </row>
    <row r="2423" spans="1:44" x14ac:dyDescent="0.35">
      <c r="A2423" s="12" t="s">
        <v>3231</v>
      </c>
      <c r="B2423" s="12" t="s">
        <v>494</v>
      </c>
      <c r="C2423" s="12" t="s">
        <v>495</v>
      </c>
      <c r="D2423" s="12" t="s">
        <v>175</v>
      </c>
      <c r="E2423" s="12" t="s">
        <v>65</v>
      </c>
      <c r="F2423">
        <v>2</v>
      </c>
      <c r="G2423">
        <v>3</v>
      </c>
      <c r="H2423">
        <v>0</v>
      </c>
      <c r="I2423" s="12" t="s">
        <v>515</v>
      </c>
      <c r="J2423" s="12" t="s">
        <v>516</v>
      </c>
      <c r="K2423" s="12" t="s">
        <v>68</v>
      </c>
      <c r="L2423" s="12" t="s">
        <v>134</v>
      </c>
      <c r="M2423">
        <v>3.69</v>
      </c>
      <c r="N2423" s="12" t="s">
        <v>107</v>
      </c>
      <c r="O2423" s="12" t="s">
        <v>108</v>
      </c>
      <c r="P2423" s="12" t="s">
        <v>109</v>
      </c>
      <c r="Q2423" s="13">
        <v>45390</v>
      </c>
      <c r="R2423" s="13">
        <v>45411</v>
      </c>
      <c r="S2423">
        <v>2024</v>
      </c>
      <c r="T2423" s="12" t="s">
        <v>3171</v>
      </c>
      <c r="U2423">
        <v>11</v>
      </c>
      <c r="V2423">
        <v>157.60329999999999</v>
      </c>
      <c r="W2423">
        <v>32.31</v>
      </c>
      <c r="X2423">
        <v>0</v>
      </c>
      <c r="Y2423">
        <v>0</v>
      </c>
      <c r="Z2423">
        <v>1733.64</v>
      </c>
      <c r="AA2423">
        <v>1765.95</v>
      </c>
      <c r="AB2423" s="12" t="s">
        <v>2807</v>
      </c>
      <c r="AC2423">
        <v>157.60329999999999</v>
      </c>
      <c r="AD2423">
        <v>1</v>
      </c>
      <c r="AE2423">
        <v>1</v>
      </c>
      <c r="AF2423">
        <v>0</v>
      </c>
      <c r="AG2423">
        <v>1733.64</v>
      </c>
      <c r="AH2423">
        <v>11</v>
      </c>
      <c r="AI2423">
        <v>11</v>
      </c>
      <c r="AJ2423">
        <v>0</v>
      </c>
      <c r="AK2423">
        <v>1</v>
      </c>
      <c r="AL2423">
        <v>1</v>
      </c>
      <c r="AM2423">
        <v>100</v>
      </c>
      <c r="AN2423">
        <v>160.54060000000001</v>
      </c>
      <c r="AO2423">
        <v>0</v>
      </c>
      <c r="AP2423" s="13">
        <v>45411</v>
      </c>
      <c r="AQ2423">
        <v>0</v>
      </c>
      <c r="AR2423">
        <v>1</v>
      </c>
    </row>
    <row r="2424" spans="1:44" x14ac:dyDescent="0.35">
      <c r="A2424" s="12" t="s">
        <v>3232</v>
      </c>
      <c r="B2424" s="12" t="s">
        <v>433</v>
      </c>
      <c r="C2424" s="12" t="s">
        <v>434</v>
      </c>
      <c r="D2424" s="12" t="s">
        <v>78</v>
      </c>
      <c r="E2424" s="12" t="s">
        <v>65</v>
      </c>
      <c r="F2424">
        <v>2</v>
      </c>
      <c r="G2424">
        <v>4</v>
      </c>
      <c r="H2424">
        <v>0</v>
      </c>
      <c r="I2424" s="12" t="s">
        <v>243</v>
      </c>
      <c r="J2424" s="12" t="s">
        <v>244</v>
      </c>
      <c r="K2424" s="12" t="s">
        <v>81</v>
      </c>
      <c r="L2424" s="12" t="s">
        <v>82</v>
      </c>
      <c r="M2424">
        <v>9.2200000000000006</v>
      </c>
      <c r="N2424" s="12" t="s">
        <v>97</v>
      </c>
      <c r="O2424" s="12" t="s">
        <v>98</v>
      </c>
      <c r="P2424" s="12" t="s">
        <v>72</v>
      </c>
      <c r="Q2424" s="13">
        <v>45390</v>
      </c>
      <c r="R2424" s="13">
        <v>45415</v>
      </c>
      <c r="S2424">
        <v>2024</v>
      </c>
      <c r="T2424" s="12" t="s">
        <v>3171</v>
      </c>
      <c r="U2424">
        <v>109</v>
      </c>
      <c r="V2424">
        <v>72.334800000000001</v>
      </c>
      <c r="W2424">
        <v>121.62</v>
      </c>
      <c r="X2424">
        <v>0</v>
      </c>
      <c r="Y2424">
        <v>0</v>
      </c>
      <c r="Z2424">
        <v>7884.49</v>
      </c>
      <c r="AA2424">
        <v>8006.11</v>
      </c>
      <c r="AB2424" s="12" t="s">
        <v>3109</v>
      </c>
      <c r="AC2424">
        <v>72.334800000000001</v>
      </c>
      <c r="AD2424">
        <v>1</v>
      </c>
      <c r="AE2424">
        <v>1</v>
      </c>
      <c r="AF2424">
        <v>0</v>
      </c>
      <c r="AG2424">
        <v>7884.49</v>
      </c>
      <c r="AH2424">
        <v>109</v>
      </c>
      <c r="AI2424">
        <v>107</v>
      </c>
      <c r="AJ2424">
        <v>2</v>
      </c>
      <c r="AK2424">
        <v>1</v>
      </c>
      <c r="AL2424">
        <v>1</v>
      </c>
      <c r="AM2424">
        <v>98.17</v>
      </c>
      <c r="AN2424">
        <v>74.823499999999996</v>
      </c>
      <c r="AO2424">
        <v>144.66999999999999</v>
      </c>
      <c r="AP2424" s="13">
        <v>45423</v>
      </c>
      <c r="AQ2424">
        <v>8</v>
      </c>
      <c r="AR2424">
        <v>0</v>
      </c>
    </row>
    <row r="2425" spans="1:44" x14ac:dyDescent="0.35">
      <c r="A2425" s="12" t="s">
        <v>3233</v>
      </c>
      <c r="B2425" s="12" t="s">
        <v>490</v>
      </c>
      <c r="C2425" s="12" t="s">
        <v>491</v>
      </c>
      <c r="D2425" s="12" t="s">
        <v>130</v>
      </c>
      <c r="E2425" s="12" t="s">
        <v>104</v>
      </c>
      <c r="F2425">
        <v>3</v>
      </c>
      <c r="G2425">
        <v>1</v>
      </c>
      <c r="H2425">
        <v>0</v>
      </c>
      <c r="I2425" s="12" t="s">
        <v>176</v>
      </c>
      <c r="J2425" s="12" t="s">
        <v>177</v>
      </c>
      <c r="K2425" s="12" t="s">
        <v>125</v>
      </c>
      <c r="L2425" s="12" t="s">
        <v>134</v>
      </c>
      <c r="M2425">
        <v>1.75</v>
      </c>
      <c r="N2425" s="12" t="s">
        <v>135</v>
      </c>
      <c r="O2425" s="12" t="s">
        <v>136</v>
      </c>
      <c r="P2425" s="12" t="s">
        <v>137</v>
      </c>
      <c r="Q2425" s="13">
        <v>45391</v>
      </c>
      <c r="R2425" s="13">
        <v>45413</v>
      </c>
      <c r="S2425">
        <v>2024</v>
      </c>
      <c r="T2425" s="12" t="s">
        <v>3171</v>
      </c>
      <c r="U2425">
        <v>91</v>
      </c>
      <c r="V2425">
        <v>264.23239999999998</v>
      </c>
      <c r="W2425">
        <v>507.23</v>
      </c>
      <c r="X2425">
        <v>0</v>
      </c>
      <c r="Y2425">
        <v>0</v>
      </c>
      <c r="Z2425">
        <v>24045.15</v>
      </c>
      <c r="AA2425">
        <v>24552.38</v>
      </c>
      <c r="AB2425" s="12" t="s">
        <v>3122</v>
      </c>
      <c r="AC2425">
        <v>264.23239999999998</v>
      </c>
      <c r="AD2425">
        <v>1</v>
      </c>
      <c r="AE2425">
        <v>1</v>
      </c>
      <c r="AF2425">
        <v>0</v>
      </c>
      <c r="AG2425">
        <v>24045.15</v>
      </c>
      <c r="AH2425">
        <v>91</v>
      </c>
      <c r="AI2425">
        <v>90</v>
      </c>
      <c r="AJ2425">
        <v>1</v>
      </c>
      <c r="AK2425">
        <v>1</v>
      </c>
      <c r="AL2425">
        <v>1</v>
      </c>
      <c r="AM2425">
        <v>98.9</v>
      </c>
      <c r="AN2425">
        <v>272.80419999999998</v>
      </c>
      <c r="AO2425">
        <v>264.23</v>
      </c>
      <c r="AP2425" s="13">
        <v>45411</v>
      </c>
      <c r="AQ2425">
        <v>-2</v>
      </c>
      <c r="AR2425">
        <v>1</v>
      </c>
    </row>
    <row r="2426" spans="1:44" x14ac:dyDescent="0.35">
      <c r="A2426" s="12" t="s">
        <v>3234</v>
      </c>
      <c r="B2426" s="12" t="s">
        <v>255</v>
      </c>
      <c r="C2426" s="12" t="s">
        <v>256</v>
      </c>
      <c r="D2426" s="12" t="s">
        <v>103</v>
      </c>
      <c r="E2426" s="12" t="s">
        <v>65</v>
      </c>
      <c r="F2426">
        <v>2</v>
      </c>
      <c r="G2426">
        <v>4</v>
      </c>
      <c r="H2426">
        <v>0</v>
      </c>
      <c r="I2426" s="12" t="s">
        <v>143</v>
      </c>
      <c r="J2426" s="12" t="s">
        <v>144</v>
      </c>
      <c r="K2426" s="12" t="s">
        <v>133</v>
      </c>
      <c r="L2426" s="12" t="s">
        <v>96</v>
      </c>
      <c r="M2426">
        <v>5.43</v>
      </c>
      <c r="N2426" s="12" t="s">
        <v>107</v>
      </c>
      <c r="O2426" s="12" t="s">
        <v>108</v>
      </c>
      <c r="P2426" s="12" t="s">
        <v>109</v>
      </c>
      <c r="Q2426" s="13">
        <v>45391</v>
      </c>
      <c r="R2426" s="13">
        <v>45425</v>
      </c>
      <c r="S2426">
        <v>2024</v>
      </c>
      <c r="T2426" s="12" t="s">
        <v>3171</v>
      </c>
      <c r="U2426">
        <v>116</v>
      </c>
      <c r="V2426">
        <v>95.073300000000003</v>
      </c>
      <c r="W2426">
        <v>142.28</v>
      </c>
      <c r="X2426">
        <v>0</v>
      </c>
      <c r="Y2426">
        <v>0</v>
      </c>
      <c r="Z2426">
        <v>11028.5</v>
      </c>
      <c r="AA2426">
        <v>11170.78</v>
      </c>
      <c r="AB2426" s="12" t="s">
        <v>2616</v>
      </c>
      <c r="AC2426">
        <v>95.073300000000003</v>
      </c>
      <c r="AD2426">
        <v>1</v>
      </c>
      <c r="AE2426">
        <v>1</v>
      </c>
      <c r="AF2426">
        <v>0</v>
      </c>
      <c r="AG2426">
        <v>11028.5</v>
      </c>
      <c r="AH2426">
        <v>116</v>
      </c>
      <c r="AI2426">
        <v>116</v>
      </c>
      <c r="AJ2426">
        <v>0</v>
      </c>
      <c r="AK2426">
        <v>1</v>
      </c>
      <c r="AL2426">
        <v>1</v>
      </c>
      <c r="AM2426">
        <v>100</v>
      </c>
      <c r="AN2426">
        <v>96.299899999999994</v>
      </c>
      <c r="AO2426">
        <v>0</v>
      </c>
      <c r="AP2426" s="13">
        <v>45433</v>
      </c>
      <c r="AQ2426">
        <v>8</v>
      </c>
      <c r="AR2426">
        <v>0</v>
      </c>
    </row>
    <row r="2427" spans="1:44" x14ac:dyDescent="0.35">
      <c r="A2427" s="12" t="s">
        <v>3235</v>
      </c>
      <c r="B2427" s="12" t="s">
        <v>238</v>
      </c>
      <c r="C2427" s="12" t="s">
        <v>239</v>
      </c>
      <c r="D2427" s="12" t="s">
        <v>122</v>
      </c>
      <c r="E2427" s="12" t="s">
        <v>65</v>
      </c>
      <c r="F2427">
        <v>3</v>
      </c>
      <c r="G2427">
        <v>4</v>
      </c>
      <c r="H2427">
        <v>0</v>
      </c>
      <c r="I2427" s="12" t="s">
        <v>79</v>
      </c>
      <c r="J2427" s="12" t="s">
        <v>80</v>
      </c>
      <c r="K2427" s="12" t="s">
        <v>81</v>
      </c>
      <c r="L2427" s="12" t="s">
        <v>82</v>
      </c>
      <c r="M2427">
        <v>12.07</v>
      </c>
      <c r="N2427" s="12" t="s">
        <v>70</v>
      </c>
      <c r="O2427" s="12" t="s">
        <v>71</v>
      </c>
      <c r="P2427" s="12" t="s">
        <v>72</v>
      </c>
      <c r="Q2427" s="13">
        <v>45391</v>
      </c>
      <c r="R2427" s="13">
        <v>45421</v>
      </c>
      <c r="S2427">
        <v>2024</v>
      </c>
      <c r="T2427" s="12" t="s">
        <v>3171</v>
      </c>
      <c r="U2427">
        <v>1198</v>
      </c>
      <c r="V2427">
        <v>35.6462</v>
      </c>
      <c r="W2427">
        <v>425.11</v>
      </c>
      <c r="X2427">
        <v>0</v>
      </c>
      <c r="Y2427">
        <v>0</v>
      </c>
      <c r="Z2427">
        <v>42704.15</v>
      </c>
      <c r="AA2427">
        <v>43129.26</v>
      </c>
      <c r="AB2427" s="12" t="s">
        <v>2688</v>
      </c>
      <c r="AC2427">
        <v>35.6462</v>
      </c>
      <c r="AD2427">
        <v>1</v>
      </c>
      <c r="AE2427">
        <v>1</v>
      </c>
      <c r="AF2427">
        <v>0</v>
      </c>
      <c r="AG2427">
        <v>42704.15</v>
      </c>
      <c r="AH2427">
        <v>1198</v>
      </c>
      <c r="AI2427">
        <v>1194</v>
      </c>
      <c r="AJ2427">
        <v>4</v>
      </c>
      <c r="AK2427">
        <v>1</v>
      </c>
      <c r="AL2427">
        <v>1</v>
      </c>
      <c r="AM2427">
        <v>99.67</v>
      </c>
      <c r="AN2427">
        <v>36.121699999999997</v>
      </c>
      <c r="AO2427">
        <v>142.58000000000001</v>
      </c>
      <c r="AP2427" s="13">
        <v>45420</v>
      </c>
      <c r="AQ2427">
        <v>-1</v>
      </c>
      <c r="AR2427">
        <v>1</v>
      </c>
    </row>
    <row r="2428" spans="1:44" x14ac:dyDescent="0.35">
      <c r="A2428" s="12" t="s">
        <v>3236</v>
      </c>
      <c r="B2428" s="12" t="s">
        <v>437</v>
      </c>
      <c r="C2428" s="12" t="s">
        <v>438</v>
      </c>
      <c r="D2428" s="12" t="s">
        <v>269</v>
      </c>
      <c r="E2428" s="12" t="s">
        <v>65</v>
      </c>
      <c r="F2428">
        <v>2</v>
      </c>
      <c r="G2428">
        <v>4</v>
      </c>
      <c r="H2428">
        <v>0</v>
      </c>
      <c r="I2428" s="12" t="s">
        <v>115</v>
      </c>
      <c r="J2428" s="12" t="s">
        <v>116</v>
      </c>
      <c r="K2428" s="12" t="s">
        <v>117</v>
      </c>
      <c r="L2428" s="12" t="s">
        <v>82</v>
      </c>
      <c r="M2428">
        <v>17.170000000000002</v>
      </c>
      <c r="N2428" s="12" t="s">
        <v>135</v>
      </c>
      <c r="O2428" s="12" t="s">
        <v>136</v>
      </c>
      <c r="P2428" s="12" t="s">
        <v>137</v>
      </c>
      <c r="Q2428" s="13">
        <v>45392</v>
      </c>
      <c r="R2428" s="13">
        <v>45422</v>
      </c>
      <c r="S2428">
        <v>2024</v>
      </c>
      <c r="T2428" s="12" t="s">
        <v>3171</v>
      </c>
      <c r="U2428">
        <v>81</v>
      </c>
      <c r="V2428">
        <v>440.05549999999999</v>
      </c>
      <c r="W2428">
        <v>321.35000000000002</v>
      </c>
      <c r="X2428">
        <v>0</v>
      </c>
      <c r="Y2428">
        <v>0</v>
      </c>
      <c r="Z2428">
        <v>35644.5</v>
      </c>
      <c r="AA2428">
        <v>35965.85</v>
      </c>
      <c r="AB2428" s="12" t="s">
        <v>2670</v>
      </c>
      <c r="AC2428">
        <v>440.05549999999999</v>
      </c>
      <c r="AD2428">
        <v>1</v>
      </c>
      <c r="AE2428">
        <v>1</v>
      </c>
      <c r="AF2428">
        <v>0</v>
      </c>
      <c r="AG2428">
        <v>35644.5</v>
      </c>
      <c r="AH2428">
        <v>81</v>
      </c>
      <c r="AI2428">
        <v>81</v>
      </c>
      <c r="AJ2428">
        <v>0</v>
      </c>
      <c r="AK2428">
        <v>1</v>
      </c>
      <c r="AL2428">
        <v>1</v>
      </c>
      <c r="AM2428">
        <v>100</v>
      </c>
      <c r="AN2428">
        <v>444.02280000000002</v>
      </c>
      <c r="AO2428">
        <v>0</v>
      </c>
      <c r="AP2428" s="13">
        <v>45419</v>
      </c>
      <c r="AQ2428">
        <v>-3</v>
      </c>
      <c r="AR2428">
        <v>1</v>
      </c>
    </row>
    <row r="2429" spans="1:44" x14ac:dyDescent="0.35">
      <c r="A2429" s="12" t="s">
        <v>3237</v>
      </c>
      <c r="B2429" s="12" t="s">
        <v>565</v>
      </c>
      <c r="C2429" s="12" t="s">
        <v>566</v>
      </c>
      <c r="D2429" s="12" t="s">
        <v>122</v>
      </c>
      <c r="E2429" s="12" t="s">
        <v>104</v>
      </c>
      <c r="F2429">
        <v>3</v>
      </c>
      <c r="G2429">
        <v>1</v>
      </c>
      <c r="H2429">
        <v>0</v>
      </c>
      <c r="I2429" s="12" t="s">
        <v>87</v>
      </c>
      <c r="J2429" s="12" t="s">
        <v>88</v>
      </c>
      <c r="K2429" s="12" t="s">
        <v>89</v>
      </c>
      <c r="L2429" s="12" t="s">
        <v>69</v>
      </c>
      <c r="M2429">
        <v>14.93</v>
      </c>
      <c r="N2429" s="12" t="s">
        <v>70</v>
      </c>
      <c r="O2429" s="12" t="s">
        <v>71</v>
      </c>
      <c r="P2429" s="12" t="s">
        <v>72</v>
      </c>
      <c r="Q2429" s="13">
        <v>45392</v>
      </c>
      <c r="R2429" s="13">
        <v>45405</v>
      </c>
      <c r="S2429">
        <v>2024</v>
      </c>
      <c r="T2429" s="12" t="s">
        <v>3171</v>
      </c>
      <c r="U2429">
        <v>376</v>
      </c>
      <c r="V2429">
        <v>34.7179</v>
      </c>
      <c r="W2429">
        <v>301.24</v>
      </c>
      <c r="X2429">
        <v>0</v>
      </c>
      <c r="Y2429">
        <v>0</v>
      </c>
      <c r="Z2429">
        <v>13053.93</v>
      </c>
      <c r="AA2429">
        <v>13355.17</v>
      </c>
      <c r="AB2429" s="12" t="s">
        <v>3238</v>
      </c>
      <c r="AC2429">
        <v>34.7179</v>
      </c>
      <c r="AD2429">
        <v>1</v>
      </c>
      <c r="AE2429">
        <v>1</v>
      </c>
      <c r="AF2429">
        <v>0</v>
      </c>
      <c r="AG2429">
        <v>13053.93</v>
      </c>
      <c r="AH2429">
        <v>376</v>
      </c>
      <c r="AI2429">
        <v>374</v>
      </c>
      <c r="AJ2429">
        <v>2</v>
      </c>
      <c r="AK2429">
        <v>1</v>
      </c>
      <c r="AL2429">
        <v>1</v>
      </c>
      <c r="AM2429">
        <v>99.47</v>
      </c>
      <c r="AN2429">
        <v>35.709000000000003</v>
      </c>
      <c r="AO2429">
        <v>69.44</v>
      </c>
      <c r="AP2429" s="13">
        <v>45402</v>
      </c>
      <c r="AQ2429">
        <v>-3</v>
      </c>
      <c r="AR2429">
        <v>1</v>
      </c>
    </row>
    <row r="2430" spans="1:44" x14ac:dyDescent="0.35">
      <c r="A2430" s="12" t="s">
        <v>3239</v>
      </c>
      <c r="B2430" s="12" t="s">
        <v>261</v>
      </c>
      <c r="C2430" s="12" t="s">
        <v>262</v>
      </c>
      <c r="D2430" s="12" t="s">
        <v>114</v>
      </c>
      <c r="E2430" s="12" t="s">
        <v>142</v>
      </c>
      <c r="F2430">
        <v>1</v>
      </c>
      <c r="G2430">
        <v>8</v>
      </c>
      <c r="H2430">
        <v>1</v>
      </c>
      <c r="I2430" s="12" t="s">
        <v>263</v>
      </c>
      <c r="J2430" s="12" t="s">
        <v>264</v>
      </c>
      <c r="K2430" s="12" t="s">
        <v>125</v>
      </c>
      <c r="L2430" s="12" t="s">
        <v>82</v>
      </c>
      <c r="M2430">
        <v>10.210000000000001</v>
      </c>
      <c r="N2430" s="12" t="s">
        <v>97</v>
      </c>
      <c r="O2430" s="12" t="s">
        <v>98</v>
      </c>
      <c r="P2430" s="12" t="s">
        <v>72</v>
      </c>
      <c r="Q2430" s="13">
        <v>45392</v>
      </c>
      <c r="R2430" s="13">
        <v>45433</v>
      </c>
      <c r="S2430">
        <v>2024</v>
      </c>
      <c r="T2430" s="12" t="s">
        <v>3171</v>
      </c>
      <c r="U2430">
        <v>60</v>
      </c>
      <c r="V2430">
        <v>142.077</v>
      </c>
      <c r="W2430">
        <v>186.55</v>
      </c>
      <c r="X2430">
        <v>0</v>
      </c>
      <c r="Y2430">
        <v>0</v>
      </c>
      <c r="Z2430">
        <v>8524.6200000000008</v>
      </c>
      <c r="AA2430">
        <v>8711.17</v>
      </c>
      <c r="AB2430" s="12" t="s">
        <v>2655</v>
      </c>
      <c r="AC2430">
        <v>137.84569999999999</v>
      </c>
      <c r="AD2430">
        <v>1</v>
      </c>
      <c r="AE2430">
        <v>1</v>
      </c>
      <c r="AF2430">
        <v>253.88</v>
      </c>
      <c r="AG2430">
        <v>8270.74</v>
      </c>
      <c r="AH2430">
        <v>60</v>
      </c>
      <c r="AI2430">
        <v>60</v>
      </c>
      <c r="AJ2430">
        <v>0</v>
      </c>
      <c r="AK2430">
        <v>1</v>
      </c>
      <c r="AL2430">
        <v>1</v>
      </c>
      <c r="AM2430">
        <v>100</v>
      </c>
      <c r="AN2430">
        <v>145.18620000000001</v>
      </c>
      <c r="AO2430">
        <v>0</v>
      </c>
      <c r="AP2430" s="13">
        <v>45437</v>
      </c>
      <c r="AQ2430">
        <v>4</v>
      </c>
      <c r="AR2430">
        <v>0</v>
      </c>
    </row>
    <row r="2431" spans="1:44" x14ac:dyDescent="0.35">
      <c r="A2431" s="12" t="s">
        <v>3240</v>
      </c>
      <c r="B2431" s="12" t="s">
        <v>685</v>
      </c>
      <c r="C2431" s="12" t="s">
        <v>686</v>
      </c>
      <c r="D2431" s="12" t="s">
        <v>175</v>
      </c>
      <c r="E2431" s="12" t="s">
        <v>104</v>
      </c>
      <c r="F2431">
        <v>2</v>
      </c>
      <c r="G2431">
        <v>0</v>
      </c>
      <c r="H2431">
        <v>0</v>
      </c>
      <c r="I2431" s="12" t="s">
        <v>195</v>
      </c>
      <c r="J2431" s="12" t="s">
        <v>196</v>
      </c>
      <c r="K2431" s="12" t="s">
        <v>117</v>
      </c>
      <c r="L2431" s="12" t="s">
        <v>134</v>
      </c>
      <c r="M2431">
        <v>4.7699999999999996</v>
      </c>
      <c r="N2431" s="12" t="s">
        <v>145</v>
      </c>
      <c r="O2431" s="12" t="s">
        <v>146</v>
      </c>
      <c r="P2431" s="12" t="s">
        <v>109</v>
      </c>
      <c r="Q2431" s="13">
        <v>45392</v>
      </c>
      <c r="R2431" s="13">
        <v>45414</v>
      </c>
      <c r="S2431">
        <v>2024</v>
      </c>
      <c r="T2431" s="12" t="s">
        <v>3171</v>
      </c>
      <c r="U2431">
        <v>92</v>
      </c>
      <c r="V2431">
        <v>221.7345</v>
      </c>
      <c r="W2431">
        <v>273.87</v>
      </c>
      <c r="X2431">
        <v>0</v>
      </c>
      <c r="Y2431">
        <v>0</v>
      </c>
      <c r="Z2431">
        <v>20399.57</v>
      </c>
      <c r="AA2431">
        <v>20673.439999999999</v>
      </c>
      <c r="AB2431" s="12" t="s">
        <v>3241</v>
      </c>
      <c r="AC2431">
        <v>221.7345</v>
      </c>
      <c r="AD2431">
        <v>1</v>
      </c>
      <c r="AE2431">
        <v>1</v>
      </c>
      <c r="AF2431">
        <v>0</v>
      </c>
      <c r="AG2431">
        <v>20399.57</v>
      </c>
      <c r="AH2431">
        <v>92</v>
      </c>
      <c r="AI2431">
        <v>91</v>
      </c>
      <c r="AJ2431">
        <v>1</v>
      </c>
      <c r="AK2431">
        <v>1</v>
      </c>
      <c r="AL2431">
        <v>1</v>
      </c>
      <c r="AM2431">
        <v>98.91</v>
      </c>
      <c r="AN2431">
        <v>227.1807</v>
      </c>
      <c r="AO2431">
        <v>221.73</v>
      </c>
      <c r="AP2431" s="13">
        <v>45415</v>
      </c>
      <c r="AQ2431">
        <v>1</v>
      </c>
      <c r="AR2431">
        <v>0</v>
      </c>
    </row>
    <row r="2432" spans="1:44" x14ac:dyDescent="0.35">
      <c r="A2432" s="12" t="s">
        <v>3242</v>
      </c>
      <c r="B2432" s="12" t="s">
        <v>617</v>
      </c>
      <c r="C2432" s="12" t="s">
        <v>618</v>
      </c>
      <c r="D2432" s="12" t="s">
        <v>78</v>
      </c>
      <c r="E2432" s="12" t="s">
        <v>65</v>
      </c>
      <c r="F2432">
        <v>2</v>
      </c>
      <c r="G2432">
        <v>4</v>
      </c>
      <c r="H2432">
        <v>0</v>
      </c>
      <c r="I2432" s="12" t="s">
        <v>341</v>
      </c>
      <c r="J2432" s="12" t="s">
        <v>342</v>
      </c>
      <c r="K2432" s="12" t="s">
        <v>117</v>
      </c>
      <c r="L2432" s="12" t="s">
        <v>82</v>
      </c>
      <c r="M2432">
        <v>18.36</v>
      </c>
      <c r="N2432" s="12" t="s">
        <v>70</v>
      </c>
      <c r="O2432" s="12" t="s">
        <v>71</v>
      </c>
      <c r="P2432" s="12" t="s">
        <v>72</v>
      </c>
      <c r="Q2432" s="13">
        <v>45392</v>
      </c>
      <c r="R2432" s="13">
        <v>45421</v>
      </c>
      <c r="S2432">
        <v>2024</v>
      </c>
      <c r="T2432" s="12" t="s">
        <v>3171</v>
      </c>
      <c r="U2432">
        <v>155</v>
      </c>
      <c r="V2432">
        <v>102.4909</v>
      </c>
      <c r="W2432">
        <v>357.11</v>
      </c>
      <c r="X2432">
        <v>0</v>
      </c>
      <c r="Y2432">
        <v>0</v>
      </c>
      <c r="Z2432">
        <v>15886.09</v>
      </c>
      <c r="AA2432">
        <v>16243.2</v>
      </c>
      <c r="AB2432" s="12" t="s">
        <v>3217</v>
      </c>
      <c r="AC2432">
        <v>102.4909</v>
      </c>
      <c r="AD2432">
        <v>1</v>
      </c>
      <c r="AE2432">
        <v>1</v>
      </c>
      <c r="AF2432">
        <v>0</v>
      </c>
      <c r="AG2432">
        <v>15886.09</v>
      </c>
      <c r="AH2432">
        <v>155</v>
      </c>
      <c r="AI2432">
        <v>154</v>
      </c>
      <c r="AJ2432">
        <v>1</v>
      </c>
      <c r="AK2432">
        <v>1</v>
      </c>
      <c r="AL2432">
        <v>1</v>
      </c>
      <c r="AM2432">
        <v>99.35</v>
      </c>
      <c r="AN2432">
        <v>105.4753</v>
      </c>
      <c r="AO2432">
        <v>102.49</v>
      </c>
      <c r="AP2432" s="13">
        <v>45421</v>
      </c>
      <c r="AQ2432">
        <v>0</v>
      </c>
      <c r="AR2432">
        <v>1</v>
      </c>
    </row>
    <row r="2433" spans="1:44" x14ac:dyDescent="0.35">
      <c r="A2433" s="12" t="s">
        <v>3243</v>
      </c>
      <c r="B2433" s="12" t="s">
        <v>173</v>
      </c>
      <c r="C2433" s="12" t="s">
        <v>174</v>
      </c>
      <c r="D2433" s="12" t="s">
        <v>175</v>
      </c>
      <c r="E2433" s="12" t="s">
        <v>104</v>
      </c>
      <c r="F2433">
        <v>3</v>
      </c>
      <c r="G2433">
        <v>1</v>
      </c>
      <c r="H2433">
        <v>0</v>
      </c>
      <c r="I2433" s="12" t="s">
        <v>176</v>
      </c>
      <c r="J2433" s="12" t="s">
        <v>177</v>
      </c>
      <c r="K2433" s="12" t="s">
        <v>125</v>
      </c>
      <c r="L2433" s="12" t="s">
        <v>134</v>
      </c>
      <c r="M2433">
        <v>1.75</v>
      </c>
      <c r="N2433" s="12" t="s">
        <v>107</v>
      </c>
      <c r="O2433" s="12" t="s">
        <v>108</v>
      </c>
      <c r="P2433" s="12" t="s">
        <v>109</v>
      </c>
      <c r="Q2433" s="13">
        <v>45392</v>
      </c>
      <c r="R2433" s="13">
        <v>45411</v>
      </c>
      <c r="S2433">
        <v>2024</v>
      </c>
      <c r="T2433" s="12" t="s">
        <v>3171</v>
      </c>
      <c r="U2433">
        <v>66</v>
      </c>
      <c r="V2433">
        <v>75.626000000000005</v>
      </c>
      <c r="W2433">
        <v>101.02</v>
      </c>
      <c r="X2433">
        <v>0</v>
      </c>
      <c r="Y2433">
        <v>0</v>
      </c>
      <c r="Z2433">
        <v>4991.32</v>
      </c>
      <c r="AA2433">
        <v>5092.34</v>
      </c>
      <c r="AB2433" s="12" t="s">
        <v>2717</v>
      </c>
      <c r="AC2433">
        <v>75.626000000000005</v>
      </c>
      <c r="AD2433">
        <v>1</v>
      </c>
      <c r="AE2433">
        <v>1</v>
      </c>
      <c r="AF2433">
        <v>0</v>
      </c>
      <c r="AG2433">
        <v>4991.32</v>
      </c>
      <c r="AH2433">
        <v>66</v>
      </c>
      <c r="AI2433">
        <v>65</v>
      </c>
      <c r="AJ2433">
        <v>1</v>
      </c>
      <c r="AK2433">
        <v>1</v>
      </c>
      <c r="AL2433">
        <v>1</v>
      </c>
      <c r="AM2433">
        <v>98.48</v>
      </c>
      <c r="AN2433">
        <v>78.343599999999995</v>
      </c>
      <c r="AO2433">
        <v>75.63</v>
      </c>
      <c r="AP2433" s="13">
        <v>45408</v>
      </c>
      <c r="AQ2433">
        <v>-3</v>
      </c>
      <c r="AR2433">
        <v>1</v>
      </c>
    </row>
    <row r="2434" spans="1:44" x14ac:dyDescent="0.35">
      <c r="A2434" s="12" t="s">
        <v>3244</v>
      </c>
      <c r="B2434" s="12" t="s">
        <v>339</v>
      </c>
      <c r="C2434" s="12" t="s">
        <v>340</v>
      </c>
      <c r="D2434" s="12" t="s">
        <v>103</v>
      </c>
      <c r="E2434" s="12" t="s">
        <v>142</v>
      </c>
      <c r="F2434">
        <v>2</v>
      </c>
      <c r="G2434">
        <v>9</v>
      </c>
      <c r="H2434">
        <v>0</v>
      </c>
      <c r="I2434" s="12" t="s">
        <v>341</v>
      </c>
      <c r="J2434" s="12" t="s">
        <v>342</v>
      </c>
      <c r="K2434" s="12" t="s">
        <v>117</v>
      </c>
      <c r="L2434" s="12" t="s">
        <v>82</v>
      </c>
      <c r="M2434">
        <v>18.36</v>
      </c>
      <c r="N2434" s="12" t="s">
        <v>145</v>
      </c>
      <c r="O2434" s="12" t="s">
        <v>146</v>
      </c>
      <c r="P2434" s="12" t="s">
        <v>109</v>
      </c>
      <c r="Q2434" s="13">
        <v>45392</v>
      </c>
      <c r="R2434" s="13">
        <v>45440</v>
      </c>
      <c r="S2434">
        <v>2024</v>
      </c>
      <c r="T2434" s="12" t="s">
        <v>3171</v>
      </c>
      <c r="U2434">
        <v>116</v>
      </c>
      <c r="V2434">
        <v>243.0204</v>
      </c>
      <c r="W2434">
        <v>285.83999999999997</v>
      </c>
      <c r="X2434">
        <v>0</v>
      </c>
      <c r="Y2434">
        <v>0</v>
      </c>
      <c r="Z2434">
        <v>28190.37</v>
      </c>
      <c r="AA2434">
        <v>28476.21</v>
      </c>
      <c r="AB2434" s="12" t="s">
        <v>2954</v>
      </c>
      <c r="AC2434">
        <v>243.0204</v>
      </c>
      <c r="AD2434">
        <v>1</v>
      </c>
      <c r="AE2434">
        <v>1</v>
      </c>
      <c r="AF2434">
        <v>0</v>
      </c>
      <c r="AG2434">
        <v>28190.37</v>
      </c>
      <c r="AH2434">
        <v>116</v>
      </c>
      <c r="AI2434">
        <v>115</v>
      </c>
      <c r="AJ2434">
        <v>1</v>
      </c>
      <c r="AK2434">
        <v>1</v>
      </c>
      <c r="AL2434">
        <v>1</v>
      </c>
      <c r="AM2434">
        <v>99.14</v>
      </c>
      <c r="AN2434">
        <v>247.61920000000001</v>
      </c>
      <c r="AO2434">
        <v>243.02</v>
      </c>
      <c r="AP2434" s="13">
        <v>45438</v>
      </c>
      <c r="AQ2434">
        <v>-2</v>
      </c>
      <c r="AR2434">
        <v>1</v>
      </c>
    </row>
    <row r="2435" spans="1:44" x14ac:dyDescent="0.35">
      <c r="A2435" s="12" t="s">
        <v>3245</v>
      </c>
      <c r="B2435" s="12" t="s">
        <v>490</v>
      </c>
      <c r="C2435" s="12" t="s">
        <v>491</v>
      </c>
      <c r="D2435" s="12" t="s">
        <v>130</v>
      </c>
      <c r="E2435" s="12" t="s">
        <v>104</v>
      </c>
      <c r="F2435">
        <v>3</v>
      </c>
      <c r="G2435">
        <v>1</v>
      </c>
      <c r="H2435">
        <v>0</v>
      </c>
      <c r="I2435" s="12" t="s">
        <v>176</v>
      </c>
      <c r="J2435" s="12" t="s">
        <v>177</v>
      </c>
      <c r="K2435" s="12" t="s">
        <v>125</v>
      </c>
      <c r="L2435" s="12" t="s">
        <v>134</v>
      </c>
      <c r="M2435">
        <v>1.75</v>
      </c>
      <c r="N2435" s="12" t="s">
        <v>135</v>
      </c>
      <c r="O2435" s="12" t="s">
        <v>136</v>
      </c>
      <c r="P2435" s="12" t="s">
        <v>137</v>
      </c>
      <c r="Q2435" s="13">
        <v>45392</v>
      </c>
      <c r="R2435" s="13">
        <v>45413</v>
      </c>
      <c r="S2435">
        <v>2024</v>
      </c>
      <c r="T2435" s="12" t="s">
        <v>3171</v>
      </c>
      <c r="U2435">
        <v>87</v>
      </c>
      <c r="V2435">
        <v>264.23239999999998</v>
      </c>
      <c r="W2435">
        <v>411.4</v>
      </c>
      <c r="X2435">
        <v>0</v>
      </c>
      <c r="Y2435">
        <v>0</v>
      </c>
      <c r="Z2435">
        <v>22988.22</v>
      </c>
      <c r="AA2435">
        <v>23399.62</v>
      </c>
      <c r="AB2435" s="12" t="s">
        <v>3122</v>
      </c>
      <c r="AC2435">
        <v>264.23239999999998</v>
      </c>
      <c r="AD2435">
        <v>1</v>
      </c>
      <c r="AE2435">
        <v>1</v>
      </c>
      <c r="AF2435">
        <v>0</v>
      </c>
      <c r="AG2435">
        <v>22988.22</v>
      </c>
      <c r="AH2435">
        <v>87</v>
      </c>
      <c r="AI2435">
        <v>86</v>
      </c>
      <c r="AJ2435">
        <v>1</v>
      </c>
      <c r="AK2435">
        <v>1</v>
      </c>
      <c r="AL2435">
        <v>1</v>
      </c>
      <c r="AM2435">
        <v>98.85</v>
      </c>
      <c r="AN2435">
        <v>272.08859999999999</v>
      </c>
      <c r="AO2435">
        <v>264.23</v>
      </c>
      <c r="AP2435" s="13">
        <v>45410</v>
      </c>
      <c r="AQ2435">
        <v>-3</v>
      </c>
      <c r="AR2435">
        <v>1</v>
      </c>
    </row>
    <row r="2436" spans="1:44" x14ac:dyDescent="0.35">
      <c r="A2436" s="12" t="s">
        <v>3246</v>
      </c>
      <c r="B2436" s="12" t="s">
        <v>732</v>
      </c>
      <c r="C2436" s="12" t="s">
        <v>733</v>
      </c>
      <c r="D2436" s="12" t="s">
        <v>114</v>
      </c>
      <c r="E2436" s="12" t="s">
        <v>104</v>
      </c>
      <c r="F2436">
        <v>3</v>
      </c>
      <c r="G2436">
        <v>1</v>
      </c>
      <c r="H2436">
        <v>0</v>
      </c>
      <c r="I2436" s="12" t="s">
        <v>251</v>
      </c>
      <c r="J2436" s="12" t="s">
        <v>252</v>
      </c>
      <c r="K2436" s="12" t="s">
        <v>133</v>
      </c>
      <c r="L2436" s="12" t="s">
        <v>69</v>
      </c>
      <c r="M2436">
        <v>34.49</v>
      </c>
      <c r="N2436" s="12" t="s">
        <v>97</v>
      </c>
      <c r="O2436" s="12" t="s">
        <v>98</v>
      </c>
      <c r="P2436" s="12" t="s">
        <v>72</v>
      </c>
      <c r="Q2436" s="13">
        <v>45392</v>
      </c>
      <c r="R2436" s="13">
        <v>45412</v>
      </c>
      <c r="S2436">
        <v>2024</v>
      </c>
      <c r="T2436" s="12" t="s">
        <v>3171</v>
      </c>
      <c r="U2436">
        <v>74</v>
      </c>
      <c r="V2436">
        <v>304.44779999999997</v>
      </c>
      <c r="W2436">
        <v>334.03</v>
      </c>
      <c r="X2436">
        <v>686.04</v>
      </c>
      <c r="Y2436">
        <v>1</v>
      </c>
      <c r="Z2436">
        <v>22529.14</v>
      </c>
      <c r="AA2436">
        <v>23549.21</v>
      </c>
      <c r="AB2436" s="12" t="s">
        <v>3247</v>
      </c>
      <c r="AC2436">
        <v>304.44779999999997</v>
      </c>
      <c r="AD2436">
        <v>1</v>
      </c>
      <c r="AE2436">
        <v>1</v>
      </c>
      <c r="AF2436">
        <v>0</v>
      </c>
      <c r="AG2436">
        <v>22529.14</v>
      </c>
      <c r="AH2436">
        <v>74</v>
      </c>
      <c r="AI2436">
        <v>72</v>
      </c>
      <c r="AJ2436">
        <v>2</v>
      </c>
      <c r="AK2436">
        <v>1</v>
      </c>
      <c r="AL2436">
        <v>1</v>
      </c>
      <c r="AM2436">
        <v>97.3</v>
      </c>
      <c r="AN2436">
        <v>327.07229999999998</v>
      </c>
      <c r="AO2436">
        <v>608.9</v>
      </c>
      <c r="AP2436" s="13">
        <v>45413</v>
      </c>
      <c r="AQ2436">
        <v>1</v>
      </c>
      <c r="AR2436">
        <v>0</v>
      </c>
    </row>
    <row r="2437" spans="1:44" x14ac:dyDescent="0.35">
      <c r="A2437" s="12" t="s">
        <v>3248</v>
      </c>
      <c r="B2437" s="12" t="s">
        <v>957</v>
      </c>
      <c r="C2437" s="12" t="s">
        <v>958</v>
      </c>
      <c r="D2437" s="12" t="s">
        <v>103</v>
      </c>
      <c r="E2437" s="12" t="s">
        <v>142</v>
      </c>
      <c r="F2437">
        <v>1</v>
      </c>
      <c r="G2437">
        <v>7</v>
      </c>
      <c r="H2437">
        <v>1</v>
      </c>
      <c r="I2437" s="12" t="s">
        <v>183</v>
      </c>
      <c r="J2437" s="12" t="s">
        <v>184</v>
      </c>
      <c r="K2437" s="12" t="s">
        <v>133</v>
      </c>
      <c r="L2437" s="12" t="s">
        <v>82</v>
      </c>
      <c r="M2437">
        <v>8.6199999999999992</v>
      </c>
      <c r="N2437" s="12" t="s">
        <v>145</v>
      </c>
      <c r="O2437" s="12" t="s">
        <v>146</v>
      </c>
      <c r="P2437" s="12" t="s">
        <v>109</v>
      </c>
      <c r="Q2437" s="13">
        <v>45392</v>
      </c>
      <c r="R2437" s="13">
        <v>45428</v>
      </c>
      <c r="S2437">
        <v>2024</v>
      </c>
      <c r="T2437" s="12" t="s">
        <v>3171</v>
      </c>
      <c r="U2437">
        <v>18</v>
      </c>
      <c r="V2437">
        <v>193.65539999999999</v>
      </c>
      <c r="W2437">
        <v>86.76</v>
      </c>
      <c r="X2437">
        <v>0</v>
      </c>
      <c r="Y2437">
        <v>0</v>
      </c>
      <c r="Z2437">
        <v>3485.8</v>
      </c>
      <c r="AA2437">
        <v>3572.56</v>
      </c>
      <c r="AB2437" s="12" t="s">
        <v>3249</v>
      </c>
      <c r="AC2437">
        <v>193.65539999999999</v>
      </c>
      <c r="AD2437">
        <v>1</v>
      </c>
      <c r="AE2437">
        <v>1</v>
      </c>
      <c r="AF2437">
        <v>0</v>
      </c>
      <c r="AG2437">
        <v>3485.8</v>
      </c>
      <c r="AH2437">
        <v>18</v>
      </c>
      <c r="AI2437">
        <v>18</v>
      </c>
      <c r="AJ2437">
        <v>0</v>
      </c>
      <c r="AK2437">
        <v>1</v>
      </c>
      <c r="AL2437">
        <v>1</v>
      </c>
      <c r="AM2437">
        <v>100</v>
      </c>
      <c r="AN2437">
        <v>198.47540000000001</v>
      </c>
      <c r="AO2437">
        <v>0</v>
      </c>
      <c r="AP2437" s="13">
        <v>45427</v>
      </c>
      <c r="AQ2437">
        <v>-1</v>
      </c>
      <c r="AR2437">
        <v>1</v>
      </c>
    </row>
    <row r="2438" spans="1:44" x14ac:dyDescent="0.35">
      <c r="A2438" s="12" t="s">
        <v>3250</v>
      </c>
      <c r="B2438" s="12" t="s">
        <v>736</v>
      </c>
      <c r="C2438" s="12" t="s">
        <v>737</v>
      </c>
      <c r="D2438" s="12" t="s">
        <v>64</v>
      </c>
      <c r="E2438" s="12" t="s">
        <v>104</v>
      </c>
      <c r="F2438">
        <v>3</v>
      </c>
      <c r="G2438">
        <v>1</v>
      </c>
      <c r="H2438">
        <v>0</v>
      </c>
      <c r="I2438" s="12" t="s">
        <v>94</v>
      </c>
      <c r="J2438" s="12" t="s">
        <v>95</v>
      </c>
      <c r="K2438" s="12" t="s">
        <v>81</v>
      </c>
      <c r="L2438" s="12" t="s">
        <v>96</v>
      </c>
      <c r="M2438">
        <v>4.8099999999999996</v>
      </c>
      <c r="N2438" s="12" t="s">
        <v>70</v>
      </c>
      <c r="O2438" s="12" t="s">
        <v>71</v>
      </c>
      <c r="P2438" s="12" t="s">
        <v>72</v>
      </c>
      <c r="Q2438" s="13">
        <v>45392</v>
      </c>
      <c r="R2438" s="13">
        <v>45416</v>
      </c>
      <c r="S2438">
        <v>2024</v>
      </c>
      <c r="T2438" s="12" t="s">
        <v>3171</v>
      </c>
      <c r="U2438">
        <v>704</v>
      </c>
      <c r="V2438">
        <v>22.894600000000001</v>
      </c>
      <c r="W2438">
        <v>177.59</v>
      </c>
      <c r="X2438">
        <v>0</v>
      </c>
      <c r="Y2438">
        <v>0</v>
      </c>
      <c r="Z2438">
        <v>16117.8</v>
      </c>
      <c r="AA2438">
        <v>16295.39</v>
      </c>
      <c r="AB2438" s="12" t="s">
        <v>3251</v>
      </c>
      <c r="AC2438">
        <v>22.894600000000001</v>
      </c>
      <c r="AD2438">
        <v>1</v>
      </c>
      <c r="AE2438">
        <v>1</v>
      </c>
      <c r="AF2438">
        <v>0</v>
      </c>
      <c r="AG2438">
        <v>16117.8</v>
      </c>
      <c r="AH2438">
        <v>704</v>
      </c>
      <c r="AI2438">
        <v>694</v>
      </c>
      <c r="AJ2438">
        <v>10</v>
      </c>
      <c r="AK2438">
        <v>1</v>
      </c>
      <c r="AL2438">
        <v>1</v>
      </c>
      <c r="AM2438">
        <v>98.58</v>
      </c>
      <c r="AN2438">
        <v>23.480399999999999</v>
      </c>
      <c r="AO2438">
        <v>228.95</v>
      </c>
      <c r="AP2438" s="13">
        <v>45413</v>
      </c>
      <c r="AQ2438">
        <v>-3</v>
      </c>
      <c r="AR2438">
        <v>1</v>
      </c>
    </row>
    <row r="2439" spans="1:44" x14ac:dyDescent="0.35">
      <c r="A2439" s="12" t="s">
        <v>3252</v>
      </c>
      <c r="B2439" s="12" t="s">
        <v>1166</v>
      </c>
      <c r="C2439" s="12" t="s">
        <v>1167</v>
      </c>
      <c r="D2439" s="12" t="s">
        <v>175</v>
      </c>
      <c r="E2439" s="12" t="s">
        <v>65</v>
      </c>
      <c r="F2439">
        <v>3</v>
      </c>
      <c r="G2439">
        <v>5</v>
      </c>
      <c r="H2439">
        <v>0</v>
      </c>
      <c r="I2439" s="12" t="s">
        <v>143</v>
      </c>
      <c r="J2439" s="12" t="s">
        <v>144</v>
      </c>
      <c r="K2439" s="12" t="s">
        <v>133</v>
      </c>
      <c r="L2439" s="12" t="s">
        <v>96</v>
      </c>
      <c r="M2439">
        <v>5.43</v>
      </c>
      <c r="N2439" s="12" t="s">
        <v>107</v>
      </c>
      <c r="O2439" s="12" t="s">
        <v>108</v>
      </c>
      <c r="P2439" s="12" t="s">
        <v>109</v>
      </c>
      <c r="Q2439" s="13">
        <v>45392</v>
      </c>
      <c r="R2439" s="13">
        <v>45427</v>
      </c>
      <c r="S2439">
        <v>2024</v>
      </c>
      <c r="T2439" s="12" t="s">
        <v>3171</v>
      </c>
      <c r="U2439">
        <v>119</v>
      </c>
      <c r="V2439">
        <v>262.95330000000001</v>
      </c>
      <c r="W2439">
        <v>524.28</v>
      </c>
      <c r="X2439">
        <v>0</v>
      </c>
      <c r="Y2439">
        <v>0</v>
      </c>
      <c r="Z2439">
        <v>31291.439999999999</v>
      </c>
      <c r="AA2439">
        <v>31815.72</v>
      </c>
      <c r="AB2439" s="12" t="s">
        <v>1168</v>
      </c>
      <c r="AC2439">
        <v>248.16210000000001</v>
      </c>
      <c r="AD2439">
        <v>1</v>
      </c>
      <c r="AE2439">
        <v>1</v>
      </c>
      <c r="AF2439">
        <v>1760.15</v>
      </c>
      <c r="AG2439">
        <v>29531.29</v>
      </c>
      <c r="AH2439">
        <v>119</v>
      </c>
      <c r="AI2439">
        <v>117</v>
      </c>
      <c r="AJ2439">
        <v>2</v>
      </c>
      <c r="AK2439">
        <v>1</v>
      </c>
      <c r="AL2439">
        <v>1</v>
      </c>
      <c r="AM2439">
        <v>98.32</v>
      </c>
      <c r="AN2439">
        <v>271.92930000000001</v>
      </c>
      <c r="AO2439">
        <v>525.91</v>
      </c>
      <c r="AP2439" s="13">
        <v>45427</v>
      </c>
      <c r="AQ2439">
        <v>0</v>
      </c>
      <c r="AR2439">
        <v>1</v>
      </c>
    </row>
    <row r="2440" spans="1:44" x14ac:dyDescent="0.35">
      <c r="A2440" s="12" t="s">
        <v>3253</v>
      </c>
      <c r="B2440" s="12" t="s">
        <v>941</v>
      </c>
      <c r="C2440" s="12" t="s">
        <v>942</v>
      </c>
      <c r="D2440" s="12" t="s">
        <v>130</v>
      </c>
      <c r="E2440" s="12" t="s">
        <v>104</v>
      </c>
      <c r="F2440">
        <v>2</v>
      </c>
      <c r="G2440">
        <v>0</v>
      </c>
      <c r="H2440">
        <v>0</v>
      </c>
      <c r="I2440" s="12" t="s">
        <v>131</v>
      </c>
      <c r="J2440" s="12" t="s">
        <v>132</v>
      </c>
      <c r="K2440" s="12" t="s">
        <v>133</v>
      </c>
      <c r="L2440" s="12" t="s">
        <v>134</v>
      </c>
      <c r="M2440">
        <v>1.51</v>
      </c>
      <c r="N2440" s="12" t="s">
        <v>135</v>
      </c>
      <c r="O2440" s="12" t="s">
        <v>136</v>
      </c>
      <c r="P2440" s="12" t="s">
        <v>137</v>
      </c>
      <c r="Q2440" s="13">
        <v>45392</v>
      </c>
      <c r="R2440" s="13">
        <v>45416</v>
      </c>
      <c r="S2440">
        <v>2024</v>
      </c>
      <c r="T2440" s="12" t="s">
        <v>3171</v>
      </c>
      <c r="U2440">
        <v>108</v>
      </c>
      <c r="V2440">
        <v>990.29020000000003</v>
      </c>
      <c r="W2440">
        <v>1189.28</v>
      </c>
      <c r="X2440">
        <v>0</v>
      </c>
      <c r="Y2440">
        <v>0</v>
      </c>
      <c r="Z2440">
        <v>106951.34</v>
      </c>
      <c r="AA2440">
        <v>108140.62</v>
      </c>
      <c r="AB2440" s="12" t="s">
        <v>943</v>
      </c>
      <c r="AC2440">
        <v>990.29020000000003</v>
      </c>
      <c r="AD2440">
        <v>1</v>
      </c>
      <c r="AE2440">
        <v>1</v>
      </c>
      <c r="AF2440">
        <v>0</v>
      </c>
      <c r="AG2440">
        <v>106951.34</v>
      </c>
      <c r="AH2440">
        <v>108</v>
      </c>
      <c r="AI2440">
        <v>98</v>
      </c>
      <c r="AJ2440">
        <v>10</v>
      </c>
      <c r="AK2440">
        <v>1</v>
      </c>
      <c r="AL2440">
        <v>1</v>
      </c>
      <c r="AM2440">
        <v>90.74</v>
      </c>
      <c r="AN2440">
        <v>1103.4757</v>
      </c>
      <c r="AO2440">
        <v>9902.9</v>
      </c>
      <c r="AP2440" s="13">
        <v>45413</v>
      </c>
      <c r="AQ2440">
        <v>-3</v>
      </c>
      <c r="AR2440">
        <v>1</v>
      </c>
    </row>
    <row r="2441" spans="1:44" x14ac:dyDescent="0.35">
      <c r="A2441" s="12" t="s">
        <v>3254</v>
      </c>
      <c r="B2441" s="12" t="s">
        <v>391</v>
      </c>
      <c r="C2441" s="12" t="s">
        <v>392</v>
      </c>
      <c r="D2441" s="12" t="s">
        <v>114</v>
      </c>
      <c r="E2441" s="12" t="s">
        <v>65</v>
      </c>
      <c r="F2441">
        <v>2</v>
      </c>
      <c r="G2441">
        <v>2</v>
      </c>
      <c r="H2441">
        <v>0</v>
      </c>
      <c r="I2441" s="12" t="s">
        <v>310</v>
      </c>
      <c r="J2441" s="12" t="s">
        <v>311</v>
      </c>
      <c r="K2441" s="12" t="s">
        <v>81</v>
      </c>
      <c r="L2441" s="12" t="s">
        <v>69</v>
      </c>
      <c r="M2441">
        <v>28.3</v>
      </c>
      <c r="N2441" s="12" t="s">
        <v>70</v>
      </c>
      <c r="O2441" s="12" t="s">
        <v>71</v>
      </c>
      <c r="P2441" s="12" t="s">
        <v>72</v>
      </c>
      <c r="Q2441" s="13">
        <v>45392</v>
      </c>
      <c r="R2441" s="13">
        <v>45415</v>
      </c>
      <c r="S2441">
        <v>2024</v>
      </c>
      <c r="T2441" s="12" t="s">
        <v>3171</v>
      </c>
      <c r="U2441">
        <v>26</v>
      </c>
      <c r="V2441">
        <v>220.328</v>
      </c>
      <c r="W2441">
        <v>94.16</v>
      </c>
      <c r="X2441">
        <v>0</v>
      </c>
      <c r="Y2441">
        <v>0</v>
      </c>
      <c r="Z2441">
        <v>5728.53</v>
      </c>
      <c r="AA2441">
        <v>5822.69</v>
      </c>
      <c r="AB2441" s="12" t="s">
        <v>2890</v>
      </c>
      <c r="AC2441">
        <v>220.328</v>
      </c>
      <c r="AD2441">
        <v>1</v>
      </c>
      <c r="AE2441">
        <v>1</v>
      </c>
      <c r="AF2441">
        <v>0</v>
      </c>
      <c r="AG2441">
        <v>5728.53</v>
      </c>
      <c r="AH2441">
        <v>26</v>
      </c>
      <c r="AI2441">
        <v>26</v>
      </c>
      <c r="AJ2441">
        <v>0</v>
      </c>
      <c r="AK2441">
        <v>1</v>
      </c>
      <c r="AL2441">
        <v>1</v>
      </c>
      <c r="AM2441">
        <v>100</v>
      </c>
      <c r="AN2441">
        <v>223.9495</v>
      </c>
      <c r="AO2441">
        <v>0</v>
      </c>
      <c r="AP2441" s="13">
        <v>45412</v>
      </c>
      <c r="AQ2441">
        <v>-3</v>
      </c>
      <c r="AR2441">
        <v>1</v>
      </c>
    </row>
    <row r="2442" spans="1:44" x14ac:dyDescent="0.35">
      <c r="A2442" s="12" t="s">
        <v>3255</v>
      </c>
      <c r="B2442" s="12" t="s">
        <v>437</v>
      </c>
      <c r="C2442" s="12" t="s">
        <v>438</v>
      </c>
      <c r="D2442" s="12" t="s">
        <v>269</v>
      </c>
      <c r="E2442" s="12" t="s">
        <v>65</v>
      </c>
      <c r="F2442">
        <v>2</v>
      </c>
      <c r="G2442">
        <v>4</v>
      </c>
      <c r="H2442">
        <v>0</v>
      </c>
      <c r="I2442" s="12" t="s">
        <v>115</v>
      </c>
      <c r="J2442" s="12" t="s">
        <v>116</v>
      </c>
      <c r="K2442" s="12" t="s">
        <v>117</v>
      </c>
      <c r="L2442" s="12" t="s">
        <v>82</v>
      </c>
      <c r="M2442">
        <v>17.170000000000002</v>
      </c>
      <c r="N2442" s="12" t="s">
        <v>159</v>
      </c>
      <c r="O2442" s="12" t="s">
        <v>160</v>
      </c>
      <c r="P2442" s="12" t="s">
        <v>137</v>
      </c>
      <c r="Q2442" s="13">
        <v>45393</v>
      </c>
      <c r="R2442" s="13">
        <v>45429</v>
      </c>
      <c r="S2442">
        <v>2024</v>
      </c>
      <c r="T2442" s="12" t="s">
        <v>3171</v>
      </c>
      <c r="U2442">
        <v>130</v>
      </c>
      <c r="V2442">
        <v>440.05549999999999</v>
      </c>
      <c r="W2442">
        <v>655.20000000000005</v>
      </c>
      <c r="X2442">
        <v>0</v>
      </c>
      <c r="Y2442">
        <v>0</v>
      </c>
      <c r="Z2442">
        <v>57207.22</v>
      </c>
      <c r="AA2442">
        <v>57862.42</v>
      </c>
      <c r="AB2442" s="12" t="s">
        <v>2670</v>
      </c>
      <c r="AC2442">
        <v>440.05549999999999</v>
      </c>
      <c r="AD2442">
        <v>1</v>
      </c>
      <c r="AE2442">
        <v>1</v>
      </c>
      <c r="AF2442">
        <v>0</v>
      </c>
      <c r="AG2442">
        <v>57207.22</v>
      </c>
      <c r="AH2442">
        <v>130</v>
      </c>
      <c r="AI2442">
        <v>128</v>
      </c>
      <c r="AJ2442">
        <v>2</v>
      </c>
      <c r="AK2442">
        <v>1</v>
      </c>
      <c r="AL2442">
        <v>1</v>
      </c>
      <c r="AM2442">
        <v>98.46</v>
      </c>
      <c r="AN2442">
        <v>452.05009999999999</v>
      </c>
      <c r="AO2442">
        <v>880.11</v>
      </c>
      <c r="AP2442" s="13">
        <v>45428</v>
      </c>
      <c r="AQ2442">
        <v>-1</v>
      </c>
      <c r="AR2442">
        <v>1</v>
      </c>
    </row>
    <row r="2443" spans="1:44" x14ac:dyDescent="0.35">
      <c r="A2443" s="12" t="s">
        <v>3256</v>
      </c>
      <c r="B2443" s="12" t="s">
        <v>513</v>
      </c>
      <c r="C2443" s="12" t="s">
        <v>514</v>
      </c>
      <c r="D2443" s="12" t="s">
        <v>269</v>
      </c>
      <c r="E2443" s="12" t="s">
        <v>65</v>
      </c>
      <c r="F2443">
        <v>1</v>
      </c>
      <c r="G2443">
        <v>2</v>
      </c>
      <c r="H2443">
        <v>1</v>
      </c>
      <c r="I2443" s="12" t="s">
        <v>515</v>
      </c>
      <c r="J2443" s="12" t="s">
        <v>516</v>
      </c>
      <c r="K2443" s="12" t="s">
        <v>68</v>
      </c>
      <c r="L2443" s="12" t="s">
        <v>134</v>
      </c>
      <c r="M2443">
        <v>3.69</v>
      </c>
      <c r="N2443" s="12" t="s">
        <v>135</v>
      </c>
      <c r="O2443" s="12" t="s">
        <v>136</v>
      </c>
      <c r="P2443" s="12" t="s">
        <v>137</v>
      </c>
      <c r="Q2443" s="13">
        <v>45393</v>
      </c>
      <c r="R2443" s="13">
        <v>45422</v>
      </c>
      <c r="S2443">
        <v>2024</v>
      </c>
      <c r="T2443" s="12" t="s">
        <v>3171</v>
      </c>
      <c r="U2443">
        <v>78</v>
      </c>
      <c r="V2443">
        <v>218.57509999999999</v>
      </c>
      <c r="W2443">
        <v>364.56</v>
      </c>
      <c r="X2443">
        <v>0</v>
      </c>
      <c r="Y2443">
        <v>0</v>
      </c>
      <c r="Z2443">
        <v>17048.86</v>
      </c>
      <c r="AA2443">
        <v>17413.419999999998</v>
      </c>
      <c r="AB2443" s="12" t="s">
        <v>201</v>
      </c>
      <c r="AD2443">
        <v>0</v>
      </c>
      <c r="AE2443">
        <v>0</v>
      </c>
      <c r="AH2443">
        <v>78</v>
      </c>
      <c r="AI2443">
        <v>77</v>
      </c>
      <c r="AJ2443">
        <v>1</v>
      </c>
      <c r="AK2443">
        <v>1</v>
      </c>
      <c r="AL2443">
        <v>1</v>
      </c>
      <c r="AM2443">
        <v>98.72</v>
      </c>
      <c r="AN2443">
        <v>226.14830000000001</v>
      </c>
      <c r="AO2443">
        <v>218.58</v>
      </c>
      <c r="AP2443" s="13">
        <v>45422</v>
      </c>
      <c r="AQ2443">
        <v>0</v>
      </c>
      <c r="AR2443">
        <v>1</v>
      </c>
    </row>
    <row r="2444" spans="1:44" x14ac:dyDescent="0.35">
      <c r="A2444" s="12" t="s">
        <v>3257</v>
      </c>
      <c r="B2444" s="12" t="s">
        <v>261</v>
      </c>
      <c r="C2444" s="12" t="s">
        <v>262</v>
      </c>
      <c r="D2444" s="12" t="s">
        <v>114</v>
      </c>
      <c r="E2444" s="12" t="s">
        <v>142</v>
      </c>
      <c r="F2444">
        <v>1</v>
      </c>
      <c r="G2444">
        <v>8</v>
      </c>
      <c r="H2444">
        <v>1</v>
      </c>
      <c r="I2444" s="12" t="s">
        <v>263</v>
      </c>
      <c r="J2444" s="12" t="s">
        <v>264</v>
      </c>
      <c r="K2444" s="12" t="s">
        <v>125</v>
      </c>
      <c r="L2444" s="12" t="s">
        <v>82</v>
      </c>
      <c r="M2444">
        <v>10.210000000000001</v>
      </c>
      <c r="N2444" s="12" t="s">
        <v>70</v>
      </c>
      <c r="O2444" s="12" t="s">
        <v>71</v>
      </c>
      <c r="P2444" s="12" t="s">
        <v>72</v>
      </c>
      <c r="Q2444" s="13">
        <v>45393</v>
      </c>
      <c r="R2444" s="13">
        <v>45441</v>
      </c>
      <c r="S2444">
        <v>2024</v>
      </c>
      <c r="T2444" s="12" t="s">
        <v>3171</v>
      </c>
      <c r="U2444">
        <v>112</v>
      </c>
      <c r="V2444">
        <v>137.84569999999999</v>
      </c>
      <c r="W2444">
        <v>160.29</v>
      </c>
      <c r="X2444">
        <v>0</v>
      </c>
      <c r="Y2444">
        <v>0</v>
      </c>
      <c r="Z2444">
        <v>15438.72</v>
      </c>
      <c r="AA2444">
        <v>15599.01</v>
      </c>
      <c r="AB2444" s="12" t="s">
        <v>2655</v>
      </c>
      <c r="AC2444">
        <v>137.84569999999999</v>
      </c>
      <c r="AD2444">
        <v>1</v>
      </c>
      <c r="AE2444">
        <v>1</v>
      </c>
      <c r="AF2444">
        <v>0</v>
      </c>
      <c r="AG2444">
        <v>15438.72</v>
      </c>
      <c r="AH2444">
        <v>112</v>
      </c>
      <c r="AI2444">
        <v>111</v>
      </c>
      <c r="AJ2444">
        <v>1</v>
      </c>
      <c r="AK2444">
        <v>1</v>
      </c>
      <c r="AL2444">
        <v>1</v>
      </c>
      <c r="AM2444">
        <v>99.11</v>
      </c>
      <c r="AN2444">
        <v>140.5316</v>
      </c>
      <c r="AO2444">
        <v>137.85</v>
      </c>
      <c r="AP2444" s="13">
        <v>45440</v>
      </c>
      <c r="AQ2444">
        <v>-1</v>
      </c>
      <c r="AR2444">
        <v>1</v>
      </c>
    </row>
    <row r="2445" spans="1:44" x14ac:dyDescent="0.35">
      <c r="A2445" s="12" t="s">
        <v>3258</v>
      </c>
      <c r="B2445" s="12" t="s">
        <v>909</v>
      </c>
      <c r="C2445" s="12" t="s">
        <v>910</v>
      </c>
      <c r="D2445" s="12" t="s">
        <v>269</v>
      </c>
      <c r="E2445" s="12" t="s">
        <v>65</v>
      </c>
      <c r="F2445">
        <v>3</v>
      </c>
      <c r="G2445">
        <v>4</v>
      </c>
      <c r="H2445">
        <v>0</v>
      </c>
      <c r="I2445" s="12" t="s">
        <v>199</v>
      </c>
      <c r="J2445" s="12" t="s">
        <v>200</v>
      </c>
      <c r="K2445" s="12" t="s">
        <v>68</v>
      </c>
      <c r="L2445" s="12" t="s">
        <v>96</v>
      </c>
      <c r="M2445">
        <v>9.4700000000000006</v>
      </c>
      <c r="N2445" s="12" t="s">
        <v>135</v>
      </c>
      <c r="O2445" s="12" t="s">
        <v>136</v>
      </c>
      <c r="P2445" s="12" t="s">
        <v>137</v>
      </c>
      <c r="Q2445" s="13">
        <v>45393</v>
      </c>
      <c r="R2445" s="13">
        <v>45429</v>
      </c>
      <c r="S2445">
        <v>2024</v>
      </c>
      <c r="T2445" s="12" t="s">
        <v>3171</v>
      </c>
      <c r="U2445">
        <v>132</v>
      </c>
      <c r="V2445">
        <v>108.32040000000001</v>
      </c>
      <c r="W2445">
        <v>367.41</v>
      </c>
      <c r="X2445">
        <v>0</v>
      </c>
      <c r="Y2445">
        <v>0</v>
      </c>
      <c r="Z2445">
        <v>14298.29</v>
      </c>
      <c r="AA2445">
        <v>14665.7</v>
      </c>
      <c r="AB2445" s="12" t="s">
        <v>911</v>
      </c>
      <c r="AC2445">
        <v>108.32040000000001</v>
      </c>
      <c r="AD2445">
        <v>1</v>
      </c>
      <c r="AE2445">
        <v>1</v>
      </c>
      <c r="AF2445">
        <v>0</v>
      </c>
      <c r="AG2445">
        <v>14298.29</v>
      </c>
      <c r="AH2445">
        <v>132</v>
      </c>
      <c r="AI2445">
        <v>131</v>
      </c>
      <c r="AJ2445">
        <v>1</v>
      </c>
      <c r="AK2445">
        <v>1</v>
      </c>
      <c r="AL2445">
        <v>1</v>
      </c>
      <c r="AM2445">
        <v>99.24</v>
      </c>
      <c r="AN2445">
        <v>111.95189999999999</v>
      </c>
      <c r="AO2445">
        <v>108.32</v>
      </c>
      <c r="AP2445" s="13">
        <v>45428</v>
      </c>
      <c r="AQ2445">
        <v>-1</v>
      </c>
      <c r="AR2445">
        <v>1</v>
      </c>
    </row>
    <row r="2446" spans="1:44" x14ac:dyDescent="0.35">
      <c r="A2446" s="12" t="s">
        <v>3259</v>
      </c>
      <c r="B2446" s="12" t="s">
        <v>339</v>
      </c>
      <c r="C2446" s="12" t="s">
        <v>340</v>
      </c>
      <c r="D2446" s="12" t="s">
        <v>103</v>
      </c>
      <c r="E2446" s="12" t="s">
        <v>142</v>
      </c>
      <c r="F2446">
        <v>2</v>
      </c>
      <c r="G2446">
        <v>9</v>
      </c>
      <c r="H2446">
        <v>0</v>
      </c>
      <c r="I2446" s="12" t="s">
        <v>169</v>
      </c>
      <c r="J2446" s="12" t="s">
        <v>170</v>
      </c>
      <c r="K2446" s="12" t="s">
        <v>89</v>
      </c>
      <c r="L2446" s="12" t="s">
        <v>134</v>
      </c>
      <c r="M2446">
        <v>1.37</v>
      </c>
      <c r="N2446" s="12" t="s">
        <v>107</v>
      </c>
      <c r="O2446" s="12" t="s">
        <v>108</v>
      </c>
      <c r="P2446" s="12" t="s">
        <v>109</v>
      </c>
      <c r="Q2446" s="13">
        <v>45393</v>
      </c>
      <c r="R2446" s="13">
        <v>45437</v>
      </c>
      <c r="S2446">
        <v>2024</v>
      </c>
      <c r="T2446" s="12" t="s">
        <v>3171</v>
      </c>
      <c r="U2446">
        <v>81</v>
      </c>
      <c r="V2446">
        <v>243.06290000000001</v>
      </c>
      <c r="W2446">
        <v>493.89</v>
      </c>
      <c r="X2446">
        <v>602.91999999999996</v>
      </c>
      <c r="Y2446">
        <v>1</v>
      </c>
      <c r="Z2446">
        <v>19688.09</v>
      </c>
      <c r="AA2446">
        <v>20784.900000000001</v>
      </c>
      <c r="AB2446" s="12" t="s">
        <v>2786</v>
      </c>
      <c r="AC2446">
        <v>243.06290000000001</v>
      </c>
      <c r="AD2446">
        <v>1</v>
      </c>
      <c r="AE2446">
        <v>1</v>
      </c>
      <c r="AF2446">
        <v>0</v>
      </c>
      <c r="AG2446">
        <v>19688.09</v>
      </c>
      <c r="AH2446">
        <v>81</v>
      </c>
      <c r="AI2446">
        <v>80</v>
      </c>
      <c r="AJ2446">
        <v>1</v>
      </c>
      <c r="AK2446">
        <v>1</v>
      </c>
      <c r="AL2446">
        <v>1</v>
      </c>
      <c r="AM2446">
        <v>98.77</v>
      </c>
      <c r="AN2446">
        <v>259.81130000000002</v>
      </c>
      <c r="AO2446">
        <v>243.06</v>
      </c>
      <c r="AP2446" s="13">
        <v>45435</v>
      </c>
      <c r="AQ2446">
        <v>-2</v>
      </c>
      <c r="AR2446">
        <v>1</v>
      </c>
    </row>
    <row r="2447" spans="1:44" x14ac:dyDescent="0.35">
      <c r="A2447" s="12" t="s">
        <v>3260</v>
      </c>
      <c r="B2447" s="12" t="s">
        <v>952</v>
      </c>
      <c r="C2447" s="12" t="s">
        <v>953</v>
      </c>
      <c r="D2447" s="12" t="s">
        <v>64</v>
      </c>
      <c r="E2447" s="12" t="s">
        <v>142</v>
      </c>
      <c r="F2447">
        <v>1</v>
      </c>
      <c r="G2447">
        <v>8</v>
      </c>
      <c r="H2447">
        <v>1</v>
      </c>
      <c r="I2447" s="12" t="s">
        <v>131</v>
      </c>
      <c r="J2447" s="12" t="s">
        <v>132</v>
      </c>
      <c r="K2447" s="12" t="s">
        <v>133</v>
      </c>
      <c r="L2447" s="12" t="s">
        <v>134</v>
      </c>
      <c r="M2447">
        <v>1.51</v>
      </c>
      <c r="N2447" s="12" t="s">
        <v>97</v>
      </c>
      <c r="O2447" s="12" t="s">
        <v>98</v>
      </c>
      <c r="P2447" s="12" t="s">
        <v>72</v>
      </c>
      <c r="Q2447" s="13">
        <v>45393</v>
      </c>
      <c r="R2447" s="13">
        <v>45431</v>
      </c>
      <c r="S2447">
        <v>2024</v>
      </c>
      <c r="T2447" s="12" t="s">
        <v>3171</v>
      </c>
      <c r="U2447">
        <v>260</v>
      </c>
      <c r="V2447">
        <v>31.110399999999998</v>
      </c>
      <c r="W2447">
        <v>81.22</v>
      </c>
      <c r="X2447">
        <v>0</v>
      </c>
      <c r="Y2447">
        <v>0</v>
      </c>
      <c r="Z2447">
        <v>8088.7</v>
      </c>
      <c r="AA2447">
        <v>8169.92</v>
      </c>
      <c r="AB2447" s="12" t="s">
        <v>3261</v>
      </c>
      <c r="AC2447">
        <v>31.110399999999998</v>
      </c>
      <c r="AD2447">
        <v>1</v>
      </c>
      <c r="AE2447">
        <v>1</v>
      </c>
      <c r="AF2447">
        <v>0</v>
      </c>
      <c r="AG2447">
        <v>8088.7</v>
      </c>
      <c r="AH2447">
        <v>260</v>
      </c>
      <c r="AI2447">
        <v>256</v>
      </c>
      <c r="AJ2447">
        <v>4</v>
      </c>
      <c r="AK2447">
        <v>1</v>
      </c>
      <c r="AL2447">
        <v>1</v>
      </c>
      <c r="AM2447">
        <v>98.46</v>
      </c>
      <c r="AN2447">
        <v>31.913799999999998</v>
      </c>
      <c r="AO2447">
        <v>124.44</v>
      </c>
      <c r="AP2447" s="13">
        <v>45429</v>
      </c>
      <c r="AQ2447">
        <v>-2</v>
      </c>
      <c r="AR2447">
        <v>1</v>
      </c>
    </row>
    <row r="2448" spans="1:44" x14ac:dyDescent="0.35">
      <c r="A2448" s="12" t="s">
        <v>3262</v>
      </c>
      <c r="B2448" s="12" t="s">
        <v>231</v>
      </c>
      <c r="C2448" s="12" t="s">
        <v>232</v>
      </c>
      <c r="D2448" s="12" t="s">
        <v>130</v>
      </c>
      <c r="E2448" s="12" t="s">
        <v>65</v>
      </c>
      <c r="F2448">
        <v>1</v>
      </c>
      <c r="G2448">
        <v>2</v>
      </c>
      <c r="H2448">
        <v>1</v>
      </c>
      <c r="I2448" s="12" t="s">
        <v>233</v>
      </c>
      <c r="J2448" s="12" t="s">
        <v>234</v>
      </c>
      <c r="K2448" s="12" t="s">
        <v>125</v>
      </c>
      <c r="L2448" s="12" t="s">
        <v>96</v>
      </c>
      <c r="M2448">
        <v>3.73</v>
      </c>
      <c r="N2448" s="12" t="s">
        <v>159</v>
      </c>
      <c r="O2448" s="12" t="s">
        <v>160</v>
      </c>
      <c r="P2448" s="12" t="s">
        <v>137</v>
      </c>
      <c r="Q2448" s="13">
        <v>45393</v>
      </c>
      <c r="R2448" s="13">
        <v>45428</v>
      </c>
      <c r="S2448">
        <v>2024</v>
      </c>
      <c r="T2448" s="12" t="s">
        <v>3171</v>
      </c>
      <c r="U2448">
        <v>119</v>
      </c>
      <c r="V2448">
        <v>467.2353</v>
      </c>
      <c r="W2448">
        <v>344.65</v>
      </c>
      <c r="X2448">
        <v>0</v>
      </c>
      <c r="Y2448">
        <v>0</v>
      </c>
      <c r="Z2448">
        <v>55601</v>
      </c>
      <c r="AA2448">
        <v>55945.65</v>
      </c>
      <c r="AB2448" s="12" t="s">
        <v>201</v>
      </c>
      <c r="AD2448">
        <v>0</v>
      </c>
      <c r="AE2448">
        <v>0</v>
      </c>
      <c r="AH2448">
        <v>119</v>
      </c>
      <c r="AI2448">
        <v>119</v>
      </c>
      <c r="AJ2448">
        <v>0</v>
      </c>
      <c r="AK2448">
        <v>1</v>
      </c>
      <c r="AL2448">
        <v>1</v>
      </c>
      <c r="AM2448">
        <v>100</v>
      </c>
      <c r="AN2448">
        <v>470.13150000000002</v>
      </c>
      <c r="AO2448">
        <v>0</v>
      </c>
      <c r="AP2448" s="13">
        <v>45428</v>
      </c>
      <c r="AQ2448">
        <v>0</v>
      </c>
      <c r="AR2448">
        <v>1</v>
      </c>
    </row>
    <row r="2449" spans="1:44" x14ac:dyDescent="0.35">
      <c r="A2449" s="12" t="s">
        <v>3263</v>
      </c>
      <c r="B2449" s="12" t="s">
        <v>855</v>
      </c>
      <c r="C2449" s="12" t="s">
        <v>856</v>
      </c>
      <c r="D2449" s="12" t="s">
        <v>269</v>
      </c>
      <c r="E2449" s="12" t="s">
        <v>65</v>
      </c>
      <c r="F2449">
        <v>3</v>
      </c>
      <c r="G2449">
        <v>5</v>
      </c>
      <c r="H2449">
        <v>0</v>
      </c>
      <c r="I2449" s="12" t="s">
        <v>66</v>
      </c>
      <c r="J2449" s="12" t="s">
        <v>67</v>
      </c>
      <c r="K2449" s="12" t="s">
        <v>68</v>
      </c>
      <c r="L2449" s="12" t="s">
        <v>69</v>
      </c>
      <c r="M2449">
        <v>17.66</v>
      </c>
      <c r="N2449" s="12" t="s">
        <v>159</v>
      </c>
      <c r="O2449" s="12" t="s">
        <v>160</v>
      </c>
      <c r="P2449" s="12" t="s">
        <v>137</v>
      </c>
      <c r="Q2449" s="13">
        <v>45393</v>
      </c>
      <c r="R2449" s="13">
        <v>45430</v>
      </c>
      <c r="S2449">
        <v>2024</v>
      </c>
      <c r="T2449" s="12" t="s">
        <v>3171</v>
      </c>
      <c r="U2449">
        <v>138</v>
      </c>
      <c r="V2449">
        <v>460.41379999999998</v>
      </c>
      <c r="W2449">
        <v>456.35</v>
      </c>
      <c r="X2449">
        <v>0</v>
      </c>
      <c r="Y2449">
        <v>0</v>
      </c>
      <c r="Z2449">
        <v>63537.1</v>
      </c>
      <c r="AA2449">
        <v>63993.45</v>
      </c>
      <c r="AB2449" s="12" t="s">
        <v>3264</v>
      </c>
      <c r="AC2449">
        <v>460.41379999999998</v>
      </c>
      <c r="AD2449">
        <v>1</v>
      </c>
      <c r="AE2449">
        <v>1</v>
      </c>
      <c r="AF2449">
        <v>0</v>
      </c>
      <c r="AG2449">
        <v>63537.1</v>
      </c>
      <c r="AH2449">
        <v>138</v>
      </c>
      <c r="AI2449">
        <v>137</v>
      </c>
      <c r="AJ2449">
        <v>1</v>
      </c>
      <c r="AK2449">
        <v>1</v>
      </c>
      <c r="AL2449">
        <v>1</v>
      </c>
      <c r="AM2449">
        <v>99.28</v>
      </c>
      <c r="AN2449">
        <v>467.10550000000001</v>
      </c>
      <c r="AO2449">
        <v>460.41</v>
      </c>
      <c r="AP2449" s="13">
        <v>45429</v>
      </c>
      <c r="AQ2449">
        <v>-1</v>
      </c>
      <c r="AR2449">
        <v>1</v>
      </c>
    </row>
    <row r="2450" spans="1:44" x14ac:dyDescent="0.35">
      <c r="A2450" s="12" t="s">
        <v>3265</v>
      </c>
      <c r="B2450" s="12" t="s">
        <v>1179</v>
      </c>
      <c r="C2450" s="12" t="s">
        <v>1180</v>
      </c>
      <c r="D2450" s="12" t="s">
        <v>122</v>
      </c>
      <c r="E2450" s="12" t="s">
        <v>142</v>
      </c>
      <c r="F2450">
        <v>1</v>
      </c>
      <c r="G2450">
        <v>8</v>
      </c>
      <c r="H2450">
        <v>1</v>
      </c>
      <c r="I2450" s="12" t="s">
        <v>143</v>
      </c>
      <c r="J2450" s="12" t="s">
        <v>144</v>
      </c>
      <c r="K2450" s="12" t="s">
        <v>133</v>
      </c>
      <c r="L2450" s="12" t="s">
        <v>96</v>
      </c>
      <c r="M2450">
        <v>5.43</v>
      </c>
      <c r="N2450" s="12" t="s">
        <v>70</v>
      </c>
      <c r="O2450" s="12" t="s">
        <v>71</v>
      </c>
      <c r="P2450" s="12" t="s">
        <v>72</v>
      </c>
      <c r="Q2450" s="13">
        <v>45393</v>
      </c>
      <c r="R2450" s="13">
        <v>45437</v>
      </c>
      <c r="S2450">
        <v>2024</v>
      </c>
      <c r="T2450" s="12" t="s">
        <v>3171</v>
      </c>
      <c r="U2450">
        <v>1188</v>
      </c>
      <c r="V2450">
        <v>52.441499999999998</v>
      </c>
      <c r="W2450">
        <v>1397.45</v>
      </c>
      <c r="X2450">
        <v>0</v>
      </c>
      <c r="Y2450">
        <v>0</v>
      </c>
      <c r="Z2450">
        <v>62300.5</v>
      </c>
      <c r="AA2450">
        <v>63697.95</v>
      </c>
      <c r="AB2450" s="12" t="s">
        <v>3049</v>
      </c>
      <c r="AC2450">
        <v>52.441499999999998</v>
      </c>
      <c r="AD2450">
        <v>1</v>
      </c>
      <c r="AE2450">
        <v>1</v>
      </c>
      <c r="AF2450">
        <v>0</v>
      </c>
      <c r="AG2450">
        <v>62300.5</v>
      </c>
      <c r="AH2450">
        <v>1188</v>
      </c>
      <c r="AI2450">
        <v>1181</v>
      </c>
      <c r="AJ2450">
        <v>7</v>
      </c>
      <c r="AK2450">
        <v>1</v>
      </c>
      <c r="AL2450">
        <v>1</v>
      </c>
      <c r="AM2450">
        <v>99.41</v>
      </c>
      <c r="AN2450">
        <v>53.935600000000001</v>
      </c>
      <c r="AO2450">
        <v>367.09</v>
      </c>
      <c r="AP2450" s="13">
        <v>45437</v>
      </c>
      <c r="AQ2450">
        <v>0</v>
      </c>
      <c r="AR2450">
        <v>1</v>
      </c>
    </row>
    <row r="2451" spans="1:44" x14ac:dyDescent="0.35">
      <c r="A2451" s="12" t="s">
        <v>3266</v>
      </c>
      <c r="B2451" s="12" t="s">
        <v>215</v>
      </c>
      <c r="C2451" s="12" t="s">
        <v>216</v>
      </c>
      <c r="D2451" s="12" t="s">
        <v>122</v>
      </c>
      <c r="E2451" s="12" t="s">
        <v>142</v>
      </c>
      <c r="F2451">
        <v>3</v>
      </c>
      <c r="G2451">
        <v>11</v>
      </c>
      <c r="H2451">
        <v>0</v>
      </c>
      <c r="I2451" s="12" t="s">
        <v>217</v>
      </c>
      <c r="J2451" s="12" t="s">
        <v>218</v>
      </c>
      <c r="K2451" s="12" t="s">
        <v>68</v>
      </c>
      <c r="L2451" s="12" t="s">
        <v>82</v>
      </c>
      <c r="M2451">
        <v>14.24</v>
      </c>
      <c r="N2451" s="12" t="s">
        <v>97</v>
      </c>
      <c r="O2451" s="12" t="s">
        <v>98</v>
      </c>
      <c r="P2451" s="12" t="s">
        <v>72</v>
      </c>
      <c r="Q2451" s="13">
        <v>45393</v>
      </c>
      <c r="R2451" s="13">
        <v>45434</v>
      </c>
      <c r="S2451">
        <v>2024</v>
      </c>
      <c r="T2451" s="12" t="s">
        <v>3171</v>
      </c>
      <c r="U2451">
        <v>823</v>
      </c>
      <c r="V2451">
        <v>14.797000000000001</v>
      </c>
      <c r="W2451">
        <v>158.68</v>
      </c>
      <c r="X2451">
        <v>0</v>
      </c>
      <c r="Y2451">
        <v>0</v>
      </c>
      <c r="Z2451">
        <v>12177.93</v>
      </c>
      <c r="AA2451">
        <v>12336.61</v>
      </c>
      <c r="AB2451" s="12" t="s">
        <v>2696</v>
      </c>
      <c r="AC2451">
        <v>14.797000000000001</v>
      </c>
      <c r="AD2451">
        <v>1</v>
      </c>
      <c r="AE2451">
        <v>1</v>
      </c>
      <c r="AF2451">
        <v>0</v>
      </c>
      <c r="AG2451">
        <v>12177.93</v>
      </c>
      <c r="AH2451">
        <v>823</v>
      </c>
      <c r="AI2451">
        <v>814</v>
      </c>
      <c r="AJ2451">
        <v>9</v>
      </c>
      <c r="AK2451">
        <v>1</v>
      </c>
      <c r="AL2451">
        <v>1</v>
      </c>
      <c r="AM2451">
        <v>98.91</v>
      </c>
      <c r="AN2451">
        <v>15.1555</v>
      </c>
      <c r="AO2451">
        <v>133.16999999999999</v>
      </c>
      <c r="AP2451" s="13">
        <v>45431</v>
      </c>
      <c r="AQ2451">
        <v>-3</v>
      </c>
      <c r="AR2451">
        <v>1</v>
      </c>
    </row>
    <row r="2452" spans="1:44" x14ac:dyDescent="0.35">
      <c r="A2452" s="12" t="s">
        <v>3267</v>
      </c>
      <c r="B2452" s="12" t="s">
        <v>238</v>
      </c>
      <c r="C2452" s="12" t="s">
        <v>239</v>
      </c>
      <c r="D2452" s="12" t="s">
        <v>122</v>
      </c>
      <c r="E2452" s="12" t="s">
        <v>65</v>
      </c>
      <c r="F2452">
        <v>3</v>
      </c>
      <c r="G2452">
        <v>4</v>
      </c>
      <c r="H2452">
        <v>0</v>
      </c>
      <c r="I2452" s="12" t="s">
        <v>79</v>
      </c>
      <c r="J2452" s="12" t="s">
        <v>80</v>
      </c>
      <c r="K2452" s="12" t="s">
        <v>81</v>
      </c>
      <c r="L2452" s="12" t="s">
        <v>82</v>
      </c>
      <c r="M2452">
        <v>12.07</v>
      </c>
      <c r="N2452" s="12" t="s">
        <v>70</v>
      </c>
      <c r="O2452" s="12" t="s">
        <v>71</v>
      </c>
      <c r="P2452" s="12" t="s">
        <v>72</v>
      </c>
      <c r="Q2452" s="13">
        <v>45393</v>
      </c>
      <c r="R2452" s="13">
        <v>45424</v>
      </c>
      <c r="S2452">
        <v>2024</v>
      </c>
      <c r="T2452" s="12" t="s">
        <v>3171</v>
      </c>
      <c r="U2452">
        <v>1219</v>
      </c>
      <c r="V2452">
        <v>35.6462</v>
      </c>
      <c r="W2452">
        <v>1040.95</v>
      </c>
      <c r="X2452">
        <v>0</v>
      </c>
      <c r="Y2452">
        <v>0</v>
      </c>
      <c r="Z2452">
        <v>43452.72</v>
      </c>
      <c r="AA2452">
        <v>44493.67</v>
      </c>
      <c r="AB2452" s="12" t="s">
        <v>2688</v>
      </c>
      <c r="AC2452">
        <v>35.6462</v>
      </c>
      <c r="AD2452">
        <v>1</v>
      </c>
      <c r="AE2452">
        <v>1</v>
      </c>
      <c r="AF2452">
        <v>0</v>
      </c>
      <c r="AG2452">
        <v>43452.72</v>
      </c>
      <c r="AH2452">
        <v>1219</v>
      </c>
      <c r="AI2452">
        <v>1208</v>
      </c>
      <c r="AJ2452">
        <v>11</v>
      </c>
      <c r="AK2452">
        <v>1</v>
      </c>
      <c r="AL2452">
        <v>1</v>
      </c>
      <c r="AM2452">
        <v>99.1</v>
      </c>
      <c r="AN2452">
        <v>36.832500000000003</v>
      </c>
      <c r="AO2452">
        <v>392.11</v>
      </c>
      <c r="AP2452" s="13">
        <v>45423</v>
      </c>
      <c r="AQ2452">
        <v>-1</v>
      </c>
      <c r="AR2452">
        <v>1</v>
      </c>
    </row>
    <row r="2453" spans="1:44" x14ac:dyDescent="0.35">
      <c r="A2453" s="12" t="s">
        <v>3268</v>
      </c>
      <c r="B2453" s="12" t="s">
        <v>1108</v>
      </c>
      <c r="C2453" s="12" t="s">
        <v>1109</v>
      </c>
      <c r="D2453" s="12" t="s">
        <v>103</v>
      </c>
      <c r="E2453" s="12" t="s">
        <v>65</v>
      </c>
      <c r="F2453">
        <v>3</v>
      </c>
      <c r="G2453">
        <v>4</v>
      </c>
      <c r="H2453">
        <v>0</v>
      </c>
      <c r="I2453" s="12" t="s">
        <v>79</v>
      </c>
      <c r="J2453" s="12" t="s">
        <v>80</v>
      </c>
      <c r="K2453" s="12" t="s">
        <v>81</v>
      </c>
      <c r="L2453" s="12" t="s">
        <v>82</v>
      </c>
      <c r="M2453">
        <v>12.07</v>
      </c>
      <c r="N2453" s="12" t="s">
        <v>145</v>
      </c>
      <c r="O2453" s="12" t="s">
        <v>146</v>
      </c>
      <c r="P2453" s="12" t="s">
        <v>109</v>
      </c>
      <c r="Q2453" s="13">
        <v>45394</v>
      </c>
      <c r="R2453" s="13">
        <v>45428</v>
      </c>
      <c r="S2453">
        <v>2024</v>
      </c>
      <c r="T2453" s="12" t="s">
        <v>3171</v>
      </c>
      <c r="U2453">
        <v>113</v>
      </c>
      <c r="V2453">
        <v>85.889600000000002</v>
      </c>
      <c r="W2453">
        <v>109.01</v>
      </c>
      <c r="X2453">
        <v>0</v>
      </c>
      <c r="Y2453">
        <v>0</v>
      </c>
      <c r="Z2453">
        <v>9705.52</v>
      </c>
      <c r="AA2453">
        <v>9814.5300000000007</v>
      </c>
      <c r="AB2453" s="12" t="s">
        <v>3269</v>
      </c>
      <c r="AC2453">
        <v>85.889600000000002</v>
      </c>
      <c r="AD2453">
        <v>1</v>
      </c>
      <c r="AE2453">
        <v>1</v>
      </c>
      <c r="AF2453">
        <v>0</v>
      </c>
      <c r="AG2453">
        <v>9705.52</v>
      </c>
      <c r="AH2453">
        <v>113</v>
      </c>
      <c r="AI2453">
        <v>111</v>
      </c>
      <c r="AJ2453">
        <v>2</v>
      </c>
      <c r="AK2453">
        <v>1</v>
      </c>
      <c r="AL2453">
        <v>1</v>
      </c>
      <c r="AM2453">
        <v>98.23</v>
      </c>
      <c r="AN2453">
        <v>88.419200000000004</v>
      </c>
      <c r="AO2453">
        <v>171.78</v>
      </c>
      <c r="AP2453" s="13">
        <v>45427</v>
      </c>
      <c r="AQ2453">
        <v>-1</v>
      </c>
      <c r="AR2453">
        <v>1</v>
      </c>
    </row>
    <row r="2454" spans="1:44" x14ac:dyDescent="0.35">
      <c r="A2454" s="12" t="s">
        <v>3270</v>
      </c>
      <c r="B2454" s="12" t="s">
        <v>76</v>
      </c>
      <c r="C2454" s="12" t="s">
        <v>77</v>
      </c>
      <c r="D2454" s="12" t="s">
        <v>78</v>
      </c>
      <c r="E2454" s="12" t="s">
        <v>65</v>
      </c>
      <c r="F2454">
        <v>2</v>
      </c>
      <c r="G2454">
        <v>4</v>
      </c>
      <c r="H2454">
        <v>0</v>
      </c>
      <c r="I2454" s="12" t="s">
        <v>79</v>
      </c>
      <c r="J2454" s="12" t="s">
        <v>80</v>
      </c>
      <c r="K2454" s="12" t="s">
        <v>81</v>
      </c>
      <c r="L2454" s="12" t="s">
        <v>82</v>
      </c>
      <c r="M2454">
        <v>12.07</v>
      </c>
      <c r="N2454" s="12" t="s">
        <v>70</v>
      </c>
      <c r="O2454" s="12" t="s">
        <v>71</v>
      </c>
      <c r="P2454" s="12" t="s">
        <v>72</v>
      </c>
      <c r="Q2454" s="13">
        <v>45394</v>
      </c>
      <c r="R2454" s="13">
        <v>45417</v>
      </c>
      <c r="S2454">
        <v>2024</v>
      </c>
      <c r="T2454" s="12" t="s">
        <v>3171</v>
      </c>
      <c r="U2454">
        <v>73</v>
      </c>
      <c r="V2454">
        <v>45.034100000000002</v>
      </c>
      <c r="W2454">
        <v>42.7</v>
      </c>
      <c r="X2454">
        <v>0</v>
      </c>
      <c r="Y2454">
        <v>0</v>
      </c>
      <c r="Z2454">
        <v>3287.49</v>
      </c>
      <c r="AA2454">
        <v>3330.19</v>
      </c>
      <c r="AB2454" s="12" t="s">
        <v>2672</v>
      </c>
      <c r="AC2454">
        <v>45.034100000000002</v>
      </c>
      <c r="AD2454">
        <v>1</v>
      </c>
      <c r="AE2454">
        <v>1</v>
      </c>
      <c r="AF2454">
        <v>0</v>
      </c>
      <c r="AG2454">
        <v>3287.49</v>
      </c>
      <c r="AH2454">
        <v>73</v>
      </c>
      <c r="AI2454">
        <v>71</v>
      </c>
      <c r="AJ2454">
        <v>2</v>
      </c>
      <c r="AK2454">
        <v>1</v>
      </c>
      <c r="AL2454">
        <v>1</v>
      </c>
      <c r="AM2454">
        <v>97.26</v>
      </c>
      <c r="AN2454">
        <v>46.9041</v>
      </c>
      <c r="AO2454">
        <v>90.07</v>
      </c>
      <c r="AP2454" s="13">
        <v>45414</v>
      </c>
      <c r="AQ2454">
        <v>-3</v>
      </c>
      <c r="AR2454">
        <v>1</v>
      </c>
    </row>
    <row r="2455" spans="1:44" x14ac:dyDescent="0.35">
      <c r="A2455" s="12" t="s">
        <v>3271</v>
      </c>
      <c r="B2455" s="12" t="s">
        <v>613</v>
      </c>
      <c r="C2455" s="12" t="s">
        <v>614</v>
      </c>
      <c r="D2455" s="12" t="s">
        <v>130</v>
      </c>
      <c r="E2455" s="12" t="s">
        <v>104</v>
      </c>
      <c r="F2455">
        <v>3</v>
      </c>
      <c r="G2455">
        <v>1</v>
      </c>
      <c r="H2455">
        <v>0</v>
      </c>
      <c r="I2455" s="12" t="s">
        <v>66</v>
      </c>
      <c r="J2455" s="12" t="s">
        <v>67</v>
      </c>
      <c r="K2455" s="12" t="s">
        <v>68</v>
      </c>
      <c r="L2455" s="12" t="s">
        <v>69</v>
      </c>
      <c r="M2455">
        <v>17.66</v>
      </c>
      <c r="N2455" s="12" t="s">
        <v>135</v>
      </c>
      <c r="O2455" s="12" t="s">
        <v>136</v>
      </c>
      <c r="P2455" s="12" t="s">
        <v>137</v>
      </c>
      <c r="Q2455" s="13">
        <v>45394</v>
      </c>
      <c r="R2455" s="13">
        <v>45406</v>
      </c>
      <c r="S2455">
        <v>2024</v>
      </c>
      <c r="T2455" s="12" t="s">
        <v>3171</v>
      </c>
      <c r="U2455">
        <v>10</v>
      </c>
      <c r="V2455">
        <v>173.59219999999999</v>
      </c>
      <c r="W2455">
        <v>30.75</v>
      </c>
      <c r="X2455">
        <v>0</v>
      </c>
      <c r="Y2455">
        <v>0</v>
      </c>
      <c r="Z2455">
        <v>1735.92</v>
      </c>
      <c r="AA2455">
        <v>1766.67</v>
      </c>
      <c r="AB2455" s="12" t="s">
        <v>3097</v>
      </c>
      <c r="AC2455">
        <v>173.59219999999999</v>
      </c>
      <c r="AD2455">
        <v>1</v>
      </c>
      <c r="AE2455">
        <v>1</v>
      </c>
      <c r="AF2455">
        <v>0</v>
      </c>
      <c r="AG2455">
        <v>1735.92</v>
      </c>
      <c r="AH2455">
        <v>10</v>
      </c>
      <c r="AI2455">
        <v>10</v>
      </c>
      <c r="AJ2455">
        <v>0</v>
      </c>
      <c r="AK2455">
        <v>1</v>
      </c>
      <c r="AL2455">
        <v>1</v>
      </c>
      <c r="AM2455">
        <v>100</v>
      </c>
      <c r="AN2455">
        <v>176.66720000000001</v>
      </c>
      <c r="AO2455">
        <v>0</v>
      </c>
      <c r="AP2455" s="13">
        <v>45416</v>
      </c>
      <c r="AQ2455">
        <v>10</v>
      </c>
      <c r="AR2455">
        <v>0</v>
      </c>
    </row>
    <row r="2456" spans="1:44" x14ac:dyDescent="0.35">
      <c r="A2456" s="12" t="s">
        <v>3272</v>
      </c>
      <c r="B2456" s="12" t="s">
        <v>120</v>
      </c>
      <c r="C2456" s="12" t="s">
        <v>121</v>
      </c>
      <c r="D2456" s="12" t="s">
        <v>122</v>
      </c>
      <c r="E2456" s="12" t="s">
        <v>65</v>
      </c>
      <c r="F2456">
        <v>3</v>
      </c>
      <c r="G2456">
        <v>4</v>
      </c>
      <c r="H2456">
        <v>0</v>
      </c>
      <c r="I2456" s="12" t="s">
        <v>209</v>
      </c>
      <c r="J2456" s="12" t="s">
        <v>210</v>
      </c>
      <c r="K2456" s="12" t="s">
        <v>133</v>
      </c>
      <c r="L2456" s="12" t="s">
        <v>96</v>
      </c>
      <c r="M2456">
        <v>7.82</v>
      </c>
      <c r="N2456" s="12" t="s">
        <v>97</v>
      </c>
      <c r="O2456" s="12" t="s">
        <v>98</v>
      </c>
      <c r="P2456" s="12" t="s">
        <v>72</v>
      </c>
      <c r="Q2456" s="13">
        <v>45394</v>
      </c>
      <c r="R2456" s="13">
        <v>45420</v>
      </c>
      <c r="S2456">
        <v>2024</v>
      </c>
      <c r="T2456" s="12" t="s">
        <v>3171</v>
      </c>
      <c r="U2456">
        <v>733</v>
      </c>
      <c r="V2456">
        <v>60.143300000000004</v>
      </c>
      <c r="W2456">
        <v>694.74</v>
      </c>
      <c r="X2456">
        <v>0</v>
      </c>
      <c r="Y2456">
        <v>0</v>
      </c>
      <c r="Z2456">
        <v>44085.04</v>
      </c>
      <c r="AA2456">
        <v>44779.78</v>
      </c>
      <c r="AB2456" s="12" t="s">
        <v>201</v>
      </c>
      <c r="AD2456">
        <v>0</v>
      </c>
      <c r="AE2456">
        <v>0</v>
      </c>
      <c r="AH2456">
        <v>733</v>
      </c>
      <c r="AI2456">
        <v>727</v>
      </c>
      <c r="AJ2456">
        <v>6</v>
      </c>
      <c r="AK2456">
        <v>1</v>
      </c>
      <c r="AL2456">
        <v>1</v>
      </c>
      <c r="AM2456">
        <v>99.18</v>
      </c>
      <c r="AN2456">
        <v>61.595300000000002</v>
      </c>
      <c r="AO2456">
        <v>360.86</v>
      </c>
      <c r="AP2456" s="13">
        <v>45420</v>
      </c>
      <c r="AQ2456">
        <v>0</v>
      </c>
      <c r="AR2456">
        <v>1</v>
      </c>
    </row>
    <row r="2457" spans="1:44" x14ac:dyDescent="0.35">
      <c r="A2457" s="12" t="s">
        <v>3273</v>
      </c>
      <c r="B2457" s="12" t="s">
        <v>519</v>
      </c>
      <c r="C2457" s="12" t="s">
        <v>520</v>
      </c>
      <c r="D2457" s="12" t="s">
        <v>78</v>
      </c>
      <c r="E2457" s="12" t="s">
        <v>65</v>
      </c>
      <c r="F2457">
        <v>2</v>
      </c>
      <c r="G2457">
        <v>3</v>
      </c>
      <c r="H2457">
        <v>0</v>
      </c>
      <c r="I2457" s="12" t="s">
        <v>143</v>
      </c>
      <c r="J2457" s="12" t="s">
        <v>144</v>
      </c>
      <c r="K2457" s="12" t="s">
        <v>133</v>
      </c>
      <c r="L2457" s="12" t="s">
        <v>96</v>
      </c>
      <c r="M2457">
        <v>5.43</v>
      </c>
      <c r="N2457" s="12" t="s">
        <v>70</v>
      </c>
      <c r="O2457" s="12" t="s">
        <v>71</v>
      </c>
      <c r="P2457" s="12" t="s">
        <v>72</v>
      </c>
      <c r="Q2457" s="13">
        <v>45394</v>
      </c>
      <c r="R2457" s="13">
        <v>45422</v>
      </c>
      <c r="S2457">
        <v>2024</v>
      </c>
      <c r="T2457" s="12" t="s">
        <v>3171</v>
      </c>
      <c r="U2457">
        <v>144</v>
      </c>
      <c r="V2457">
        <v>30.1342</v>
      </c>
      <c r="W2457">
        <v>32.04</v>
      </c>
      <c r="X2457">
        <v>132.91</v>
      </c>
      <c r="Y2457">
        <v>1</v>
      </c>
      <c r="Z2457">
        <v>4339.32</v>
      </c>
      <c r="AA2457">
        <v>4504.2700000000004</v>
      </c>
      <c r="AB2457" s="12" t="s">
        <v>3130</v>
      </c>
      <c r="AC2457">
        <v>30.1342</v>
      </c>
      <c r="AD2457">
        <v>1</v>
      </c>
      <c r="AE2457">
        <v>1</v>
      </c>
      <c r="AF2457">
        <v>0</v>
      </c>
      <c r="AG2457">
        <v>4339.32</v>
      </c>
      <c r="AH2457">
        <v>144</v>
      </c>
      <c r="AI2457">
        <v>141</v>
      </c>
      <c r="AJ2457">
        <v>3</v>
      </c>
      <c r="AK2457">
        <v>1</v>
      </c>
      <c r="AL2457">
        <v>1</v>
      </c>
      <c r="AM2457">
        <v>97.92</v>
      </c>
      <c r="AN2457">
        <v>31.9452</v>
      </c>
      <c r="AO2457">
        <v>90.4</v>
      </c>
      <c r="AP2457" s="13">
        <v>45421</v>
      </c>
      <c r="AQ2457">
        <v>-1</v>
      </c>
      <c r="AR2457">
        <v>1</v>
      </c>
    </row>
    <row r="2458" spans="1:44" x14ac:dyDescent="0.35">
      <c r="A2458" s="12" t="s">
        <v>3274</v>
      </c>
      <c r="B2458" s="12" t="s">
        <v>215</v>
      </c>
      <c r="C2458" s="12" t="s">
        <v>216</v>
      </c>
      <c r="D2458" s="12" t="s">
        <v>122</v>
      </c>
      <c r="E2458" s="12" t="s">
        <v>142</v>
      </c>
      <c r="F2458">
        <v>3</v>
      </c>
      <c r="G2458">
        <v>11</v>
      </c>
      <c r="H2458">
        <v>0</v>
      </c>
      <c r="I2458" s="12" t="s">
        <v>176</v>
      </c>
      <c r="J2458" s="12" t="s">
        <v>177</v>
      </c>
      <c r="K2458" s="12" t="s">
        <v>125</v>
      </c>
      <c r="L2458" s="12" t="s">
        <v>134</v>
      </c>
      <c r="M2458">
        <v>1.75</v>
      </c>
      <c r="N2458" s="12" t="s">
        <v>97</v>
      </c>
      <c r="O2458" s="12" t="s">
        <v>98</v>
      </c>
      <c r="P2458" s="12" t="s">
        <v>72</v>
      </c>
      <c r="Q2458" s="13">
        <v>45394</v>
      </c>
      <c r="R2458" s="13">
        <v>45434</v>
      </c>
      <c r="S2458">
        <v>2024</v>
      </c>
      <c r="T2458" s="12" t="s">
        <v>3171</v>
      </c>
      <c r="U2458">
        <v>747</v>
      </c>
      <c r="V2458">
        <v>15.4514</v>
      </c>
      <c r="W2458">
        <v>232.2</v>
      </c>
      <c r="X2458">
        <v>0</v>
      </c>
      <c r="Y2458">
        <v>0</v>
      </c>
      <c r="Z2458">
        <v>11542.2</v>
      </c>
      <c r="AA2458">
        <v>11774.4</v>
      </c>
      <c r="AB2458" s="12" t="s">
        <v>2938</v>
      </c>
      <c r="AC2458">
        <v>15.4514</v>
      </c>
      <c r="AD2458">
        <v>1</v>
      </c>
      <c r="AE2458">
        <v>1</v>
      </c>
      <c r="AF2458">
        <v>0</v>
      </c>
      <c r="AG2458">
        <v>11542.2</v>
      </c>
      <c r="AH2458">
        <v>747</v>
      </c>
      <c r="AI2458">
        <v>739</v>
      </c>
      <c r="AJ2458">
        <v>8</v>
      </c>
      <c r="AK2458">
        <v>1</v>
      </c>
      <c r="AL2458">
        <v>1</v>
      </c>
      <c r="AM2458">
        <v>98.93</v>
      </c>
      <c r="AN2458">
        <v>15.9329</v>
      </c>
      <c r="AO2458">
        <v>123.61</v>
      </c>
      <c r="AP2458" s="13">
        <v>45442</v>
      </c>
      <c r="AQ2458">
        <v>8</v>
      </c>
      <c r="AR2458">
        <v>0</v>
      </c>
    </row>
    <row r="2459" spans="1:44" x14ac:dyDescent="0.35">
      <c r="A2459" s="12" t="s">
        <v>3275</v>
      </c>
      <c r="B2459" s="12" t="s">
        <v>221</v>
      </c>
      <c r="C2459" s="12" t="s">
        <v>222</v>
      </c>
      <c r="D2459" s="12" t="s">
        <v>114</v>
      </c>
      <c r="E2459" s="12" t="s">
        <v>142</v>
      </c>
      <c r="F2459">
        <v>3</v>
      </c>
      <c r="G2459">
        <v>11</v>
      </c>
      <c r="H2459">
        <v>0</v>
      </c>
      <c r="I2459" s="12" t="s">
        <v>105</v>
      </c>
      <c r="J2459" s="12" t="s">
        <v>106</v>
      </c>
      <c r="K2459" s="12" t="s">
        <v>81</v>
      </c>
      <c r="L2459" s="12" t="s">
        <v>96</v>
      </c>
      <c r="M2459">
        <v>5.01</v>
      </c>
      <c r="N2459" s="12" t="s">
        <v>70</v>
      </c>
      <c r="O2459" s="12" t="s">
        <v>71</v>
      </c>
      <c r="P2459" s="12" t="s">
        <v>72</v>
      </c>
      <c r="Q2459" s="13">
        <v>45394</v>
      </c>
      <c r="R2459" s="13">
        <v>45437</v>
      </c>
      <c r="S2459">
        <v>2024</v>
      </c>
      <c r="T2459" s="12" t="s">
        <v>3171</v>
      </c>
      <c r="U2459">
        <v>78</v>
      </c>
      <c r="V2459">
        <v>245.1593</v>
      </c>
      <c r="W2459">
        <v>137.81</v>
      </c>
      <c r="X2459">
        <v>0</v>
      </c>
      <c r="Y2459">
        <v>0</v>
      </c>
      <c r="Z2459">
        <v>19122.43</v>
      </c>
      <c r="AA2459">
        <v>19260.240000000002</v>
      </c>
      <c r="AB2459" s="12" t="s">
        <v>2818</v>
      </c>
      <c r="AC2459">
        <v>239.12260000000001</v>
      </c>
      <c r="AD2459">
        <v>1</v>
      </c>
      <c r="AE2459">
        <v>1</v>
      </c>
      <c r="AF2459">
        <v>470.86</v>
      </c>
      <c r="AG2459">
        <v>18651.560000000001</v>
      </c>
      <c r="AH2459">
        <v>78</v>
      </c>
      <c r="AI2459">
        <v>76</v>
      </c>
      <c r="AJ2459">
        <v>2</v>
      </c>
      <c r="AK2459">
        <v>1</v>
      </c>
      <c r="AL2459">
        <v>1</v>
      </c>
      <c r="AM2459">
        <v>97.44</v>
      </c>
      <c r="AN2459">
        <v>253.42420000000001</v>
      </c>
      <c r="AO2459">
        <v>490.32</v>
      </c>
      <c r="AP2459" s="13">
        <v>45435</v>
      </c>
      <c r="AQ2459">
        <v>-2</v>
      </c>
      <c r="AR2459">
        <v>1</v>
      </c>
    </row>
    <row r="2460" spans="1:44" x14ac:dyDescent="0.35">
      <c r="A2460" s="12" t="s">
        <v>3276</v>
      </c>
      <c r="B2460" s="12" t="s">
        <v>670</v>
      </c>
      <c r="C2460" s="12" t="s">
        <v>671</v>
      </c>
      <c r="D2460" s="12" t="s">
        <v>175</v>
      </c>
      <c r="E2460" s="12" t="s">
        <v>142</v>
      </c>
      <c r="F2460">
        <v>2</v>
      </c>
      <c r="G2460">
        <v>9</v>
      </c>
      <c r="H2460">
        <v>0</v>
      </c>
      <c r="I2460" s="12" t="s">
        <v>105</v>
      </c>
      <c r="J2460" s="12" t="s">
        <v>106</v>
      </c>
      <c r="K2460" s="12" t="s">
        <v>81</v>
      </c>
      <c r="L2460" s="12" t="s">
        <v>96</v>
      </c>
      <c r="M2460">
        <v>5.01</v>
      </c>
      <c r="N2460" s="12" t="s">
        <v>145</v>
      </c>
      <c r="O2460" s="12" t="s">
        <v>146</v>
      </c>
      <c r="P2460" s="12" t="s">
        <v>109</v>
      </c>
      <c r="Q2460" s="13">
        <v>45394</v>
      </c>
      <c r="R2460" s="13">
        <v>45436</v>
      </c>
      <c r="S2460">
        <v>2024</v>
      </c>
      <c r="T2460" s="12" t="s">
        <v>3171</v>
      </c>
      <c r="U2460">
        <v>69</v>
      </c>
      <c r="V2460">
        <v>147.4665</v>
      </c>
      <c r="W2460">
        <v>238.24</v>
      </c>
      <c r="X2460">
        <v>0</v>
      </c>
      <c r="Y2460">
        <v>0</v>
      </c>
      <c r="Z2460">
        <v>10175.19</v>
      </c>
      <c r="AA2460">
        <v>10413.43</v>
      </c>
      <c r="AB2460" s="12" t="s">
        <v>3277</v>
      </c>
      <c r="AC2460">
        <v>147.4665</v>
      </c>
      <c r="AD2460">
        <v>1</v>
      </c>
      <c r="AE2460">
        <v>1</v>
      </c>
      <c r="AF2460">
        <v>0</v>
      </c>
      <c r="AG2460">
        <v>10175.19</v>
      </c>
      <c r="AH2460">
        <v>69</v>
      </c>
      <c r="AI2460">
        <v>68</v>
      </c>
      <c r="AJ2460">
        <v>1</v>
      </c>
      <c r="AK2460">
        <v>1</v>
      </c>
      <c r="AL2460">
        <v>1</v>
      </c>
      <c r="AM2460">
        <v>98.55</v>
      </c>
      <c r="AN2460">
        <v>153.1387</v>
      </c>
      <c r="AO2460">
        <v>147.47</v>
      </c>
      <c r="AP2460" s="13">
        <v>45435</v>
      </c>
      <c r="AQ2460">
        <v>-1</v>
      </c>
      <c r="AR2460">
        <v>1</v>
      </c>
    </row>
    <row r="2461" spans="1:44" x14ac:dyDescent="0.35">
      <c r="A2461" s="12" t="s">
        <v>3278</v>
      </c>
      <c r="B2461" s="12" t="s">
        <v>621</v>
      </c>
      <c r="C2461" s="12" t="s">
        <v>622</v>
      </c>
      <c r="D2461" s="12" t="s">
        <v>103</v>
      </c>
      <c r="E2461" s="12" t="s">
        <v>65</v>
      </c>
      <c r="F2461">
        <v>1</v>
      </c>
      <c r="G2461">
        <v>2</v>
      </c>
      <c r="H2461">
        <v>1</v>
      </c>
      <c r="I2461" s="12" t="s">
        <v>486</v>
      </c>
      <c r="J2461" s="12" t="s">
        <v>487</v>
      </c>
      <c r="K2461" s="12" t="s">
        <v>125</v>
      </c>
      <c r="L2461" s="12" t="s">
        <v>69</v>
      </c>
      <c r="M2461">
        <v>36.86</v>
      </c>
      <c r="N2461" s="12" t="s">
        <v>145</v>
      </c>
      <c r="O2461" s="12" t="s">
        <v>146</v>
      </c>
      <c r="P2461" s="12" t="s">
        <v>109</v>
      </c>
      <c r="Q2461" s="13">
        <v>45397</v>
      </c>
      <c r="R2461" s="13">
        <v>45423</v>
      </c>
      <c r="S2461">
        <v>2024</v>
      </c>
      <c r="T2461" s="12" t="s">
        <v>3171</v>
      </c>
      <c r="U2461">
        <v>55</v>
      </c>
      <c r="V2461">
        <v>201.08609999999999</v>
      </c>
      <c r="W2461">
        <v>94.84</v>
      </c>
      <c r="X2461">
        <v>0</v>
      </c>
      <c r="Y2461">
        <v>0</v>
      </c>
      <c r="Z2461">
        <v>11059.74</v>
      </c>
      <c r="AA2461">
        <v>11154.58</v>
      </c>
      <c r="AB2461" s="12" t="s">
        <v>2658</v>
      </c>
      <c r="AC2461">
        <v>201.08609999999999</v>
      </c>
      <c r="AD2461">
        <v>1</v>
      </c>
      <c r="AE2461">
        <v>1</v>
      </c>
      <c r="AF2461">
        <v>0</v>
      </c>
      <c r="AG2461">
        <v>11059.74</v>
      </c>
      <c r="AH2461">
        <v>55</v>
      </c>
      <c r="AI2461">
        <v>55</v>
      </c>
      <c r="AJ2461">
        <v>0</v>
      </c>
      <c r="AK2461">
        <v>1</v>
      </c>
      <c r="AL2461">
        <v>1</v>
      </c>
      <c r="AM2461">
        <v>100</v>
      </c>
      <c r="AN2461">
        <v>202.81049999999999</v>
      </c>
      <c r="AO2461">
        <v>0</v>
      </c>
      <c r="AP2461" s="13">
        <v>45430</v>
      </c>
      <c r="AQ2461">
        <v>7</v>
      </c>
      <c r="AR2461">
        <v>0</v>
      </c>
    </row>
    <row r="2462" spans="1:44" x14ac:dyDescent="0.35">
      <c r="A2462" s="12" t="s">
        <v>3279</v>
      </c>
      <c r="B2462" s="12" t="s">
        <v>378</v>
      </c>
      <c r="C2462" s="12" t="s">
        <v>379</v>
      </c>
      <c r="D2462" s="12" t="s">
        <v>64</v>
      </c>
      <c r="E2462" s="12" t="s">
        <v>104</v>
      </c>
      <c r="F2462">
        <v>3</v>
      </c>
      <c r="G2462">
        <v>1</v>
      </c>
      <c r="H2462">
        <v>0</v>
      </c>
      <c r="I2462" s="12" t="s">
        <v>380</v>
      </c>
      <c r="J2462" s="12" t="s">
        <v>381</v>
      </c>
      <c r="K2462" s="12" t="s">
        <v>89</v>
      </c>
      <c r="L2462" s="12" t="s">
        <v>96</v>
      </c>
      <c r="M2462">
        <v>10.210000000000001</v>
      </c>
      <c r="N2462" s="12" t="s">
        <v>97</v>
      </c>
      <c r="O2462" s="12" t="s">
        <v>98</v>
      </c>
      <c r="P2462" s="12" t="s">
        <v>72</v>
      </c>
      <c r="Q2462" s="13">
        <v>45397</v>
      </c>
      <c r="R2462" s="13">
        <v>45420</v>
      </c>
      <c r="S2462">
        <v>2024</v>
      </c>
      <c r="T2462" s="12" t="s">
        <v>3171</v>
      </c>
      <c r="U2462">
        <v>674</v>
      </c>
      <c r="V2462">
        <v>14.8269</v>
      </c>
      <c r="W2462">
        <v>259.13</v>
      </c>
      <c r="X2462">
        <v>0</v>
      </c>
      <c r="Y2462">
        <v>0</v>
      </c>
      <c r="Z2462">
        <v>9993.33</v>
      </c>
      <c r="AA2462">
        <v>10252.459999999999</v>
      </c>
      <c r="AB2462" s="12" t="s">
        <v>2847</v>
      </c>
      <c r="AC2462">
        <v>15.734999999999999</v>
      </c>
      <c r="AD2462">
        <v>1</v>
      </c>
      <c r="AE2462">
        <v>1</v>
      </c>
      <c r="AF2462">
        <v>-612.05999999999995</v>
      </c>
      <c r="AG2462">
        <v>10605.39</v>
      </c>
      <c r="AH2462">
        <v>674</v>
      </c>
      <c r="AI2462">
        <v>664</v>
      </c>
      <c r="AJ2462">
        <v>10</v>
      </c>
      <c r="AK2462">
        <v>1</v>
      </c>
      <c r="AL2462">
        <v>1</v>
      </c>
      <c r="AM2462">
        <v>98.52</v>
      </c>
      <c r="AN2462">
        <v>15.4405</v>
      </c>
      <c r="AO2462">
        <v>148.27000000000001</v>
      </c>
      <c r="AP2462" s="13">
        <v>45419</v>
      </c>
      <c r="AQ2462">
        <v>-1</v>
      </c>
      <c r="AR2462">
        <v>1</v>
      </c>
    </row>
    <row r="2463" spans="1:44" x14ac:dyDescent="0.35">
      <c r="A2463" s="12" t="s">
        <v>3280</v>
      </c>
      <c r="B2463" s="12" t="s">
        <v>289</v>
      </c>
      <c r="C2463" s="12" t="s">
        <v>290</v>
      </c>
      <c r="D2463" s="12" t="s">
        <v>175</v>
      </c>
      <c r="E2463" s="12" t="s">
        <v>104</v>
      </c>
      <c r="F2463">
        <v>3</v>
      </c>
      <c r="G2463">
        <v>1</v>
      </c>
      <c r="H2463">
        <v>0</v>
      </c>
      <c r="I2463" s="12" t="s">
        <v>359</v>
      </c>
      <c r="J2463" s="12" t="s">
        <v>360</v>
      </c>
      <c r="K2463" s="12" t="s">
        <v>133</v>
      </c>
      <c r="L2463" s="12" t="s">
        <v>82</v>
      </c>
      <c r="M2463">
        <v>12.65</v>
      </c>
      <c r="N2463" s="12" t="s">
        <v>145</v>
      </c>
      <c r="O2463" s="12" t="s">
        <v>146</v>
      </c>
      <c r="P2463" s="12" t="s">
        <v>109</v>
      </c>
      <c r="Q2463" s="13">
        <v>45397</v>
      </c>
      <c r="R2463" s="13">
        <v>45416</v>
      </c>
      <c r="S2463">
        <v>2024</v>
      </c>
      <c r="T2463" s="12" t="s">
        <v>3171</v>
      </c>
      <c r="U2463">
        <v>71</v>
      </c>
      <c r="V2463">
        <v>190.43559999999999</v>
      </c>
      <c r="W2463">
        <v>170.47</v>
      </c>
      <c r="X2463">
        <v>0</v>
      </c>
      <c r="Y2463">
        <v>0</v>
      </c>
      <c r="Z2463">
        <v>13520.93</v>
      </c>
      <c r="AA2463">
        <v>13691.4</v>
      </c>
      <c r="AB2463" s="12" t="s">
        <v>2723</v>
      </c>
      <c r="AC2463">
        <v>190.43559999999999</v>
      </c>
      <c r="AD2463">
        <v>1</v>
      </c>
      <c r="AE2463">
        <v>1</v>
      </c>
      <c r="AF2463">
        <v>0</v>
      </c>
      <c r="AG2463">
        <v>13520.93</v>
      </c>
      <c r="AH2463">
        <v>71</v>
      </c>
      <c r="AI2463">
        <v>70</v>
      </c>
      <c r="AJ2463">
        <v>1</v>
      </c>
      <c r="AK2463">
        <v>1</v>
      </c>
      <c r="AL2463">
        <v>1</v>
      </c>
      <c r="AM2463">
        <v>98.59</v>
      </c>
      <c r="AN2463">
        <v>195.59139999999999</v>
      </c>
      <c r="AO2463">
        <v>190.44</v>
      </c>
      <c r="AP2463" s="13">
        <v>45416</v>
      </c>
      <c r="AQ2463">
        <v>0</v>
      </c>
      <c r="AR2463">
        <v>1</v>
      </c>
    </row>
    <row r="2464" spans="1:44" x14ac:dyDescent="0.35">
      <c r="A2464" s="12" t="s">
        <v>3281</v>
      </c>
      <c r="B2464" s="12" t="s">
        <v>640</v>
      </c>
      <c r="C2464" s="12" t="s">
        <v>641</v>
      </c>
      <c r="D2464" s="12" t="s">
        <v>130</v>
      </c>
      <c r="E2464" s="12" t="s">
        <v>104</v>
      </c>
      <c r="F2464">
        <v>3</v>
      </c>
      <c r="G2464">
        <v>0</v>
      </c>
      <c r="H2464">
        <v>0</v>
      </c>
      <c r="I2464" s="12" t="s">
        <v>209</v>
      </c>
      <c r="J2464" s="12" t="s">
        <v>210</v>
      </c>
      <c r="K2464" s="12" t="s">
        <v>133</v>
      </c>
      <c r="L2464" s="12" t="s">
        <v>96</v>
      </c>
      <c r="M2464">
        <v>7.82</v>
      </c>
      <c r="N2464" s="12" t="s">
        <v>135</v>
      </c>
      <c r="O2464" s="12" t="s">
        <v>136</v>
      </c>
      <c r="P2464" s="12" t="s">
        <v>137</v>
      </c>
      <c r="Q2464" s="13">
        <v>45397</v>
      </c>
      <c r="R2464" s="13">
        <v>45426</v>
      </c>
      <c r="S2464">
        <v>2024</v>
      </c>
      <c r="T2464" s="12" t="s">
        <v>3171</v>
      </c>
      <c r="U2464">
        <v>144</v>
      </c>
      <c r="V2464">
        <v>977.20889999999997</v>
      </c>
      <c r="W2464">
        <v>1016.92</v>
      </c>
      <c r="X2464">
        <v>0</v>
      </c>
      <c r="Y2464">
        <v>0</v>
      </c>
      <c r="Z2464">
        <v>140718.07999999999</v>
      </c>
      <c r="AA2464">
        <v>141735</v>
      </c>
      <c r="AB2464" s="12" t="s">
        <v>3211</v>
      </c>
      <c r="AC2464">
        <v>977.20889999999997</v>
      </c>
      <c r="AD2464">
        <v>1</v>
      </c>
      <c r="AE2464">
        <v>1</v>
      </c>
      <c r="AF2464">
        <v>0</v>
      </c>
      <c r="AG2464">
        <v>140718.07999999999</v>
      </c>
      <c r="AH2464">
        <v>144</v>
      </c>
      <c r="AI2464">
        <v>142</v>
      </c>
      <c r="AJ2464">
        <v>2</v>
      </c>
      <c r="AK2464">
        <v>1</v>
      </c>
      <c r="AL2464">
        <v>1</v>
      </c>
      <c r="AM2464">
        <v>98.61</v>
      </c>
      <c r="AN2464">
        <v>998.13379999999995</v>
      </c>
      <c r="AO2464">
        <v>1954.42</v>
      </c>
      <c r="AP2464" s="13">
        <v>45426</v>
      </c>
      <c r="AQ2464">
        <v>0</v>
      </c>
      <c r="AR2464">
        <v>1</v>
      </c>
    </row>
    <row r="2465" spans="1:44" x14ac:dyDescent="0.35">
      <c r="A2465" s="12" t="s">
        <v>3282</v>
      </c>
      <c r="B2465" s="12" t="s">
        <v>712</v>
      </c>
      <c r="C2465" s="12" t="s">
        <v>713</v>
      </c>
      <c r="D2465" s="12" t="s">
        <v>103</v>
      </c>
      <c r="E2465" s="12" t="s">
        <v>104</v>
      </c>
      <c r="F2465">
        <v>2</v>
      </c>
      <c r="G2465">
        <v>0</v>
      </c>
      <c r="H2465">
        <v>0</v>
      </c>
      <c r="I2465" s="12" t="s">
        <v>199</v>
      </c>
      <c r="J2465" s="12" t="s">
        <v>200</v>
      </c>
      <c r="K2465" s="12" t="s">
        <v>68</v>
      </c>
      <c r="L2465" s="12" t="s">
        <v>96</v>
      </c>
      <c r="M2465">
        <v>9.4700000000000006</v>
      </c>
      <c r="N2465" s="12" t="s">
        <v>107</v>
      </c>
      <c r="O2465" s="12" t="s">
        <v>108</v>
      </c>
      <c r="P2465" s="12" t="s">
        <v>109</v>
      </c>
      <c r="Q2465" s="13">
        <v>45397</v>
      </c>
      <c r="R2465" s="13">
        <v>45420</v>
      </c>
      <c r="S2465">
        <v>2024</v>
      </c>
      <c r="T2465" s="12" t="s">
        <v>3171</v>
      </c>
      <c r="U2465">
        <v>102</v>
      </c>
      <c r="V2465">
        <v>209.47280000000001</v>
      </c>
      <c r="W2465">
        <v>267.43</v>
      </c>
      <c r="X2465">
        <v>0</v>
      </c>
      <c r="Y2465">
        <v>0</v>
      </c>
      <c r="Z2465">
        <v>21366.23</v>
      </c>
      <c r="AA2465">
        <v>21633.66</v>
      </c>
      <c r="AB2465" s="12" t="s">
        <v>201</v>
      </c>
      <c r="AD2465">
        <v>0</v>
      </c>
      <c r="AE2465">
        <v>0</v>
      </c>
      <c r="AH2465">
        <v>102</v>
      </c>
      <c r="AI2465">
        <v>100</v>
      </c>
      <c r="AJ2465">
        <v>2</v>
      </c>
      <c r="AK2465">
        <v>1</v>
      </c>
      <c r="AL2465">
        <v>1</v>
      </c>
      <c r="AM2465">
        <v>98.04</v>
      </c>
      <c r="AN2465">
        <v>216.3366</v>
      </c>
      <c r="AO2465">
        <v>418.95</v>
      </c>
      <c r="AP2465" s="13">
        <v>45417</v>
      </c>
      <c r="AQ2465">
        <v>-3</v>
      </c>
      <c r="AR2465">
        <v>1</v>
      </c>
    </row>
    <row r="2466" spans="1:44" x14ac:dyDescent="0.35">
      <c r="A2466" s="12" t="s">
        <v>3283</v>
      </c>
      <c r="B2466" s="12" t="s">
        <v>902</v>
      </c>
      <c r="C2466" s="12" t="s">
        <v>903</v>
      </c>
      <c r="D2466" s="12" t="s">
        <v>122</v>
      </c>
      <c r="E2466" s="12" t="s">
        <v>142</v>
      </c>
      <c r="F2466">
        <v>1</v>
      </c>
      <c r="G2466">
        <v>6</v>
      </c>
      <c r="H2466">
        <v>1</v>
      </c>
      <c r="I2466" s="12" t="s">
        <v>105</v>
      </c>
      <c r="J2466" s="12" t="s">
        <v>106</v>
      </c>
      <c r="K2466" s="12" t="s">
        <v>81</v>
      </c>
      <c r="L2466" s="12" t="s">
        <v>96</v>
      </c>
      <c r="M2466">
        <v>5.01</v>
      </c>
      <c r="N2466" s="12" t="s">
        <v>70</v>
      </c>
      <c r="O2466" s="12" t="s">
        <v>71</v>
      </c>
      <c r="P2466" s="12" t="s">
        <v>72</v>
      </c>
      <c r="Q2466" s="13">
        <v>45397</v>
      </c>
      <c r="R2466" s="13">
        <v>45447</v>
      </c>
      <c r="S2466">
        <v>2024</v>
      </c>
      <c r="T2466" s="12" t="s">
        <v>3171</v>
      </c>
      <c r="U2466">
        <v>1791</v>
      </c>
      <c r="V2466">
        <v>41.6892</v>
      </c>
      <c r="W2466">
        <v>668.35</v>
      </c>
      <c r="X2466">
        <v>0</v>
      </c>
      <c r="Y2466">
        <v>0</v>
      </c>
      <c r="Z2466">
        <v>74665.36</v>
      </c>
      <c r="AA2466">
        <v>75333.710000000006</v>
      </c>
      <c r="AB2466" s="12" t="s">
        <v>3284</v>
      </c>
      <c r="AC2466">
        <v>41.6892</v>
      </c>
      <c r="AD2466">
        <v>1</v>
      </c>
      <c r="AE2466">
        <v>1</v>
      </c>
      <c r="AF2466">
        <v>0</v>
      </c>
      <c r="AG2466">
        <v>74665.36</v>
      </c>
      <c r="AH2466">
        <v>1791</v>
      </c>
      <c r="AI2466">
        <v>1786</v>
      </c>
      <c r="AJ2466">
        <v>5</v>
      </c>
      <c r="AK2466">
        <v>1</v>
      </c>
      <c r="AL2466">
        <v>1</v>
      </c>
      <c r="AM2466">
        <v>99.72</v>
      </c>
      <c r="AN2466">
        <v>42.180100000000003</v>
      </c>
      <c r="AO2466">
        <v>208.45</v>
      </c>
      <c r="AP2466" s="13">
        <v>45446</v>
      </c>
      <c r="AQ2466">
        <v>-1</v>
      </c>
      <c r="AR2466">
        <v>1</v>
      </c>
    </row>
    <row r="2467" spans="1:44" x14ac:dyDescent="0.35">
      <c r="A2467" s="12" t="s">
        <v>3285</v>
      </c>
      <c r="B2467" s="12" t="s">
        <v>509</v>
      </c>
      <c r="C2467" s="12" t="s">
        <v>510</v>
      </c>
      <c r="D2467" s="12" t="s">
        <v>78</v>
      </c>
      <c r="E2467" s="12" t="s">
        <v>142</v>
      </c>
      <c r="F2467">
        <v>3</v>
      </c>
      <c r="G2467">
        <v>11</v>
      </c>
      <c r="H2467">
        <v>0</v>
      </c>
      <c r="I2467" s="12" t="s">
        <v>275</v>
      </c>
      <c r="J2467" s="12" t="s">
        <v>276</v>
      </c>
      <c r="K2467" s="12" t="s">
        <v>89</v>
      </c>
      <c r="L2467" s="12" t="s">
        <v>82</v>
      </c>
      <c r="M2467">
        <v>14.26</v>
      </c>
      <c r="N2467" s="12" t="s">
        <v>97</v>
      </c>
      <c r="O2467" s="12" t="s">
        <v>98</v>
      </c>
      <c r="P2467" s="12" t="s">
        <v>72</v>
      </c>
      <c r="Q2467" s="13">
        <v>45397</v>
      </c>
      <c r="R2467" s="13">
        <v>45437</v>
      </c>
      <c r="S2467">
        <v>2024</v>
      </c>
      <c r="T2467" s="12" t="s">
        <v>3171</v>
      </c>
      <c r="U2467">
        <v>122</v>
      </c>
      <c r="V2467">
        <v>136.8672</v>
      </c>
      <c r="W2467">
        <v>332.97</v>
      </c>
      <c r="X2467">
        <v>533.87</v>
      </c>
      <c r="Y2467">
        <v>1</v>
      </c>
      <c r="Z2467">
        <v>16697.8</v>
      </c>
      <c r="AA2467">
        <v>17564.64</v>
      </c>
      <c r="AB2467" s="12" t="s">
        <v>3286</v>
      </c>
      <c r="AC2467">
        <v>136.8672</v>
      </c>
      <c r="AD2467">
        <v>1</v>
      </c>
      <c r="AE2467">
        <v>1</v>
      </c>
      <c r="AF2467">
        <v>0</v>
      </c>
      <c r="AG2467">
        <v>16697.8</v>
      </c>
      <c r="AH2467">
        <v>122</v>
      </c>
      <c r="AI2467">
        <v>121</v>
      </c>
      <c r="AJ2467">
        <v>1</v>
      </c>
      <c r="AK2467">
        <v>1</v>
      </c>
      <c r="AL2467">
        <v>1</v>
      </c>
      <c r="AM2467">
        <v>99.18</v>
      </c>
      <c r="AN2467">
        <v>145.16229999999999</v>
      </c>
      <c r="AO2467">
        <v>136.87</v>
      </c>
      <c r="AP2467" s="13">
        <v>45440</v>
      </c>
      <c r="AQ2467">
        <v>3</v>
      </c>
      <c r="AR2467">
        <v>0</v>
      </c>
    </row>
    <row r="2468" spans="1:44" x14ac:dyDescent="0.35">
      <c r="A2468" s="12" t="s">
        <v>3287</v>
      </c>
      <c r="B2468" s="12" t="s">
        <v>802</v>
      </c>
      <c r="C2468" s="12" t="s">
        <v>803</v>
      </c>
      <c r="D2468" s="12" t="s">
        <v>114</v>
      </c>
      <c r="E2468" s="12" t="s">
        <v>65</v>
      </c>
      <c r="F2468">
        <v>3</v>
      </c>
      <c r="G2468">
        <v>5</v>
      </c>
      <c r="H2468">
        <v>0</v>
      </c>
      <c r="I2468" s="12" t="s">
        <v>804</v>
      </c>
      <c r="J2468" s="12" t="s">
        <v>342</v>
      </c>
      <c r="K2468" s="12" t="s">
        <v>117</v>
      </c>
      <c r="L2468" s="12" t="s">
        <v>69</v>
      </c>
      <c r="M2468">
        <v>30.07</v>
      </c>
      <c r="N2468" s="12" t="s">
        <v>70</v>
      </c>
      <c r="O2468" s="12" t="s">
        <v>71</v>
      </c>
      <c r="P2468" s="12" t="s">
        <v>72</v>
      </c>
      <c r="Q2468" s="13">
        <v>45398</v>
      </c>
      <c r="R2468" s="13">
        <v>45421</v>
      </c>
      <c r="S2468">
        <v>2024</v>
      </c>
      <c r="T2468" s="12" t="s">
        <v>3171</v>
      </c>
      <c r="U2468">
        <v>27</v>
      </c>
      <c r="V2468">
        <v>352.27749999999997</v>
      </c>
      <c r="W2468">
        <v>74.959999999999994</v>
      </c>
      <c r="X2468">
        <v>0</v>
      </c>
      <c r="Y2468">
        <v>0</v>
      </c>
      <c r="Z2468">
        <v>9511.49</v>
      </c>
      <c r="AA2468">
        <v>9586.4500000000007</v>
      </c>
      <c r="AB2468" s="12" t="s">
        <v>201</v>
      </c>
      <c r="AD2468">
        <v>0</v>
      </c>
      <c r="AE2468">
        <v>0</v>
      </c>
      <c r="AH2468">
        <v>27</v>
      </c>
      <c r="AI2468">
        <v>27</v>
      </c>
      <c r="AJ2468">
        <v>0</v>
      </c>
      <c r="AK2468">
        <v>1</v>
      </c>
      <c r="AL2468">
        <v>1</v>
      </c>
      <c r="AM2468">
        <v>100</v>
      </c>
      <c r="AN2468">
        <v>355.05380000000002</v>
      </c>
      <c r="AO2468">
        <v>0</v>
      </c>
      <c r="AP2468" s="13">
        <v>45430</v>
      </c>
      <c r="AQ2468">
        <v>9</v>
      </c>
      <c r="AR2468">
        <v>0</v>
      </c>
    </row>
    <row r="2469" spans="1:44" x14ac:dyDescent="0.35">
      <c r="A2469" s="12" t="s">
        <v>3288</v>
      </c>
      <c r="B2469" s="12" t="s">
        <v>347</v>
      </c>
      <c r="C2469" s="12" t="s">
        <v>348</v>
      </c>
      <c r="D2469" s="12" t="s">
        <v>78</v>
      </c>
      <c r="E2469" s="12" t="s">
        <v>104</v>
      </c>
      <c r="F2469">
        <v>3</v>
      </c>
      <c r="G2469">
        <v>1</v>
      </c>
      <c r="H2469">
        <v>0</v>
      </c>
      <c r="I2469" s="12" t="s">
        <v>105</v>
      </c>
      <c r="J2469" s="12" t="s">
        <v>106</v>
      </c>
      <c r="K2469" s="12" t="s">
        <v>81</v>
      </c>
      <c r="L2469" s="12" t="s">
        <v>96</v>
      </c>
      <c r="M2469">
        <v>5.01</v>
      </c>
      <c r="N2469" s="12" t="s">
        <v>70</v>
      </c>
      <c r="O2469" s="12" t="s">
        <v>71</v>
      </c>
      <c r="P2469" s="12" t="s">
        <v>72</v>
      </c>
      <c r="Q2469" s="13">
        <v>45398</v>
      </c>
      <c r="R2469" s="13">
        <v>45426</v>
      </c>
      <c r="S2469">
        <v>2024</v>
      </c>
      <c r="T2469" s="12" t="s">
        <v>3171</v>
      </c>
      <c r="U2469">
        <v>284</v>
      </c>
      <c r="V2469">
        <v>104.09869999999999</v>
      </c>
      <c r="W2469">
        <v>517.46</v>
      </c>
      <c r="X2469">
        <v>0</v>
      </c>
      <c r="Y2469">
        <v>0</v>
      </c>
      <c r="Z2469">
        <v>29564.03</v>
      </c>
      <c r="AA2469">
        <v>30081.49</v>
      </c>
      <c r="AB2469" s="12" t="s">
        <v>2996</v>
      </c>
      <c r="AC2469">
        <v>100.28740000000001</v>
      </c>
      <c r="AD2469">
        <v>1</v>
      </c>
      <c r="AE2469">
        <v>1</v>
      </c>
      <c r="AF2469">
        <v>1082.4100000000001</v>
      </c>
      <c r="AG2469">
        <v>28481.62</v>
      </c>
      <c r="AH2469">
        <v>284</v>
      </c>
      <c r="AI2469">
        <v>277</v>
      </c>
      <c r="AJ2469">
        <v>7</v>
      </c>
      <c r="AK2469">
        <v>1</v>
      </c>
      <c r="AL2469">
        <v>1</v>
      </c>
      <c r="AM2469">
        <v>97.54</v>
      </c>
      <c r="AN2469">
        <v>108.59739999999999</v>
      </c>
      <c r="AO2469">
        <v>728.69</v>
      </c>
      <c r="AP2469" s="13">
        <v>45426</v>
      </c>
      <c r="AQ2469">
        <v>0</v>
      </c>
      <c r="AR2469">
        <v>1</v>
      </c>
    </row>
    <row r="2470" spans="1:44" x14ac:dyDescent="0.35">
      <c r="A2470" s="12" t="s">
        <v>3289</v>
      </c>
      <c r="B2470" s="12" t="s">
        <v>963</v>
      </c>
      <c r="C2470" s="12" t="s">
        <v>964</v>
      </c>
      <c r="D2470" s="12" t="s">
        <v>114</v>
      </c>
      <c r="E2470" s="12" t="s">
        <v>142</v>
      </c>
      <c r="F2470">
        <v>1</v>
      </c>
      <c r="G2470">
        <v>6</v>
      </c>
      <c r="H2470">
        <v>1</v>
      </c>
      <c r="I2470" s="12" t="s">
        <v>176</v>
      </c>
      <c r="J2470" s="12" t="s">
        <v>177</v>
      </c>
      <c r="K2470" s="12" t="s">
        <v>125</v>
      </c>
      <c r="L2470" s="12" t="s">
        <v>134</v>
      </c>
      <c r="M2470">
        <v>1.75</v>
      </c>
      <c r="N2470" s="12" t="s">
        <v>97</v>
      </c>
      <c r="O2470" s="12" t="s">
        <v>98</v>
      </c>
      <c r="P2470" s="12" t="s">
        <v>72</v>
      </c>
      <c r="Q2470" s="13">
        <v>45398</v>
      </c>
      <c r="R2470" s="13">
        <v>45447</v>
      </c>
      <c r="S2470">
        <v>2024</v>
      </c>
      <c r="T2470" s="12" t="s">
        <v>3171</v>
      </c>
      <c r="U2470">
        <v>123</v>
      </c>
      <c r="V2470">
        <v>199.21100000000001</v>
      </c>
      <c r="W2470">
        <v>303.2</v>
      </c>
      <c r="X2470">
        <v>0</v>
      </c>
      <c r="Y2470">
        <v>0</v>
      </c>
      <c r="Z2470">
        <v>24502.95</v>
      </c>
      <c r="AA2470">
        <v>24806.15</v>
      </c>
      <c r="AB2470" s="12" t="s">
        <v>3290</v>
      </c>
      <c r="AC2470">
        <v>194.16829999999999</v>
      </c>
      <c r="AD2470">
        <v>1</v>
      </c>
      <c r="AE2470">
        <v>1</v>
      </c>
      <c r="AF2470">
        <v>620.25</v>
      </c>
      <c r="AG2470">
        <v>23882.7</v>
      </c>
      <c r="AH2470">
        <v>123</v>
      </c>
      <c r="AI2470">
        <v>120</v>
      </c>
      <c r="AJ2470">
        <v>3</v>
      </c>
      <c r="AK2470">
        <v>1</v>
      </c>
      <c r="AL2470">
        <v>1</v>
      </c>
      <c r="AM2470">
        <v>97.56</v>
      </c>
      <c r="AN2470">
        <v>206.71789999999999</v>
      </c>
      <c r="AO2470">
        <v>597.63</v>
      </c>
      <c r="AP2470" s="13">
        <v>45446</v>
      </c>
      <c r="AQ2470">
        <v>-1</v>
      </c>
      <c r="AR2470">
        <v>1</v>
      </c>
    </row>
    <row r="2471" spans="1:44" x14ac:dyDescent="0.35">
      <c r="A2471" s="12" t="s">
        <v>3291</v>
      </c>
      <c r="B2471" s="12" t="s">
        <v>472</v>
      </c>
      <c r="C2471" s="12" t="s">
        <v>473</v>
      </c>
      <c r="D2471" s="12" t="s">
        <v>122</v>
      </c>
      <c r="E2471" s="12" t="s">
        <v>142</v>
      </c>
      <c r="F2471">
        <v>2</v>
      </c>
      <c r="G2471">
        <v>9</v>
      </c>
      <c r="H2471">
        <v>0</v>
      </c>
      <c r="I2471" s="12" t="s">
        <v>209</v>
      </c>
      <c r="J2471" s="12" t="s">
        <v>210</v>
      </c>
      <c r="K2471" s="12" t="s">
        <v>133</v>
      </c>
      <c r="L2471" s="12" t="s">
        <v>96</v>
      </c>
      <c r="M2471">
        <v>7.82</v>
      </c>
      <c r="N2471" s="12" t="s">
        <v>97</v>
      </c>
      <c r="O2471" s="12" t="s">
        <v>98</v>
      </c>
      <c r="P2471" s="12" t="s">
        <v>72</v>
      </c>
      <c r="Q2471" s="13">
        <v>45398</v>
      </c>
      <c r="R2471" s="13">
        <v>45449</v>
      </c>
      <c r="S2471">
        <v>2024</v>
      </c>
      <c r="T2471" s="12" t="s">
        <v>3171</v>
      </c>
      <c r="U2471">
        <v>1824</v>
      </c>
      <c r="V2471">
        <v>44.099800000000002</v>
      </c>
      <c r="W2471">
        <v>1963.53</v>
      </c>
      <c r="X2471">
        <v>0</v>
      </c>
      <c r="Y2471">
        <v>0</v>
      </c>
      <c r="Z2471">
        <v>80438.039999999994</v>
      </c>
      <c r="AA2471">
        <v>82401.570000000007</v>
      </c>
      <c r="AB2471" s="12" t="s">
        <v>2966</v>
      </c>
      <c r="AC2471">
        <v>46.789099999999998</v>
      </c>
      <c r="AD2471">
        <v>1</v>
      </c>
      <c r="AE2471">
        <v>1</v>
      </c>
      <c r="AF2471">
        <v>-4905.28</v>
      </c>
      <c r="AG2471">
        <v>85343.32</v>
      </c>
      <c r="AH2471">
        <v>1824</v>
      </c>
      <c r="AI2471">
        <v>1816</v>
      </c>
      <c r="AJ2471">
        <v>8</v>
      </c>
      <c r="AK2471">
        <v>1</v>
      </c>
      <c r="AL2471">
        <v>1</v>
      </c>
      <c r="AM2471">
        <v>99.56</v>
      </c>
      <c r="AN2471">
        <v>45.375300000000003</v>
      </c>
      <c r="AO2471">
        <v>352.8</v>
      </c>
      <c r="AP2471" s="13">
        <v>45447</v>
      </c>
      <c r="AQ2471">
        <v>-2</v>
      </c>
      <c r="AR2471">
        <v>1</v>
      </c>
    </row>
    <row r="2472" spans="1:44" x14ac:dyDescent="0.35">
      <c r="A2472" s="12" t="s">
        <v>3292</v>
      </c>
      <c r="B2472" s="12" t="s">
        <v>76</v>
      </c>
      <c r="C2472" s="12" t="s">
        <v>77</v>
      </c>
      <c r="D2472" s="12" t="s">
        <v>78</v>
      </c>
      <c r="E2472" s="12" t="s">
        <v>65</v>
      </c>
      <c r="F2472">
        <v>2</v>
      </c>
      <c r="G2472">
        <v>4</v>
      </c>
      <c r="H2472">
        <v>0</v>
      </c>
      <c r="I2472" s="12" t="s">
        <v>79</v>
      </c>
      <c r="J2472" s="12" t="s">
        <v>80</v>
      </c>
      <c r="K2472" s="12" t="s">
        <v>81</v>
      </c>
      <c r="L2472" s="12" t="s">
        <v>82</v>
      </c>
      <c r="M2472">
        <v>12.07</v>
      </c>
      <c r="N2472" s="12" t="s">
        <v>70</v>
      </c>
      <c r="O2472" s="12" t="s">
        <v>71</v>
      </c>
      <c r="P2472" s="12" t="s">
        <v>72</v>
      </c>
      <c r="Q2472" s="13">
        <v>45398</v>
      </c>
      <c r="R2472" s="13">
        <v>45431</v>
      </c>
      <c r="S2472">
        <v>2024</v>
      </c>
      <c r="T2472" s="12" t="s">
        <v>3171</v>
      </c>
      <c r="U2472">
        <v>226</v>
      </c>
      <c r="V2472">
        <v>45.034100000000002</v>
      </c>
      <c r="W2472">
        <v>123.62</v>
      </c>
      <c r="X2472">
        <v>0</v>
      </c>
      <c r="Y2472">
        <v>0</v>
      </c>
      <c r="Z2472">
        <v>10177.709999999999</v>
      </c>
      <c r="AA2472">
        <v>10301.33</v>
      </c>
      <c r="AB2472" s="12" t="s">
        <v>2672</v>
      </c>
      <c r="AC2472">
        <v>45.034100000000002</v>
      </c>
      <c r="AD2472">
        <v>1</v>
      </c>
      <c r="AE2472">
        <v>1</v>
      </c>
      <c r="AF2472">
        <v>0</v>
      </c>
      <c r="AG2472">
        <v>10177.709999999999</v>
      </c>
      <c r="AH2472">
        <v>226</v>
      </c>
      <c r="AI2472">
        <v>221</v>
      </c>
      <c r="AJ2472">
        <v>5</v>
      </c>
      <c r="AK2472">
        <v>1</v>
      </c>
      <c r="AL2472">
        <v>1</v>
      </c>
      <c r="AM2472">
        <v>97.79</v>
      </c>
      <c r="AN2472">
        <v>46.612299999999998</v>
      </c>
      <c r="AO2472">
        <v>225.17</v>
      </c>
      <c r="AP2472" s="13">
        <v>45439</v>
      </c>
      <c r="AQ2472">
        <v>8</v>
      </c>
      <c r="AR2472">
        <v>0</v>
      </c>
    </row>
    <row r="2473" spans="1:44" x14ac:dyDescent="0.35">
      <c r="A2473" s="12" t="s">
        <v>3293</v>
      </c>
      <c r="B2473" s="12" t="s">
        <v>990</v>
      </c>
      <c r="C2473" s="12" t="s">
        <v>991</v>
      </c>
      <c r="D2473" s="12" t="s">
        <v>122</v>
      </c>
      <c r="E2473" s="12" t="s">
        <v>142</v>
      </c>
      <c r="F2473">
        <v>1</v>
      </c>
      <c r="G2473">
        <v>6</v>
      </c>
      <c r="H2473">
        <v>1</v>
      </c>
      <c r="I2473" s="12" t="s">
        <v>217</v>
      </c>
      <c r="J2473" s="12" t="s">
        <v>218</v>
      </c>
      <c r="K2473" s="12" t="s">
        <v>68</v>
      </c>
      <c r="L2473" s="12" t="s">
        <v>82</v>
      </c>
      <c r="M2473">
        <v>14.24</v>
      </c>
      <c r="N2473" s="12" t="s">
        <v>97</v>
      </c>
      <c r="O2473" s="12" t="s">
        <v>98</v>
      </c>
      <c r="P2473" s="12" t="s">
        <v>72</v>
      </c>
      <c r="Q2473" s="13">
        <v>45398</v>
      </c>
      <c r="R2473" s="13">
        <v>45444</v>
      </c>
      <c r="S2473">
        <v>2024</v>
      </c>
      <c r="T2473" s="12" t="s">
        <v>3171</v>
      </c>
      <c r="U2473">
        <v>1356</v>
      </c>
      <c r="V2473">
        <v>33.697499999999998</v>
      </c>
      <c r="W2473">
        <v>335.86</v>
      </c>
      <c r="X2473">
        <v>0</v>
      </c>
      <c r="Y2473">
        <v>0</v>
      </c>
      <c r="Z2473">
        <v>45693.81</v>
      </c>
      <c r="AA2473">
        <v>46029.67</v>
      </c>
      <c r="AB2473" s="12" t="s">
        <v>992</v>
      </c>
      <c r="AC2473">
        <v>33.697499999999998</v>
      </c>
      <c r="AD2473">
        <v>1</v>
      </c>
      <c r="AE2473">
        <v>1</v>
      </c>
      <c r="AF2473">
        <v>0</v>
      </c>
      <c r="AG2473">
        <v>45693.81</v>
      </c>
      <c r="AH2473">
        <v>1356</v>
      </c>
      <c r="AI2473">
        <v>1345</v>
      </c>
      <c r="AJ2473">
        <v>11</v>
      </c>
      <c r="AK2473">
        <v>1</v>
      </c>
      <c r="AL2473">
        <v>1</v>
      </c>
      <c r="AM2473">
        <v>99.19</v>
      </c>
      <c r="AN2473">
        <v>34.222799999999999</v>
      </c>
      <c r="AO2473">
        <v>370.67</v>
      </c>
      <c r="AP2473" s="13">
        <v>45453</v>
      </c>
      <c r="AQ2473">
        <v>9</v>
      </c>
      <c r="AR2473">
        <v>0</v>
      </c>
    </row>
    <row r="2474" spans="1:44" x14ac:dyDescent="0.35">
      <c r="A2474" s="12" t="s">
        <v>3294</v>
      </c>
      <c r="B2474" s="12" t="s">
        <v>732</v>
      </c>
      <c r="C2474" s="12" t="s">
        <v>733</v>
      </c>
      <c r="D2474" s="12" t="s">
        <v>114</v>
      </c>
      <c r="E2474" s="12" t="s">
        <v>104</v>
      </c>
      <c r="F2474">
        <v>3</v>
      </c>
      <c r="G2474">
        <v>1</v>
      </c>
      <c r="H2474">
        <v>0</v>
      </c>
      <c r="I2474" s="12" t="s">
        <v>199</v>
      </c>
      <c r="J2474" s="12" t="s">
        <v>200</v>
      </c>
      <c r="K2474" s="12" t="s">
        <v>68</v>
      </c>
      <c r="L2474" s="12" t="s">
        <v>96</v>
      </c>
      <c r="M2474">
        <v>9.4700000000000006</v>
      </c>
      <c r="N2474" s="12" t="s">
        <v>70</v>
      </c>
      <c r="O2474" s="12" t="s">
        <v>71</v>
      </c>
      <c r="P2474" s="12" t="s">
        <v>72</v>
      </c>
      <c r="Q2474" s="13">
        <v>45398</v>
      </c>
      <c r="R2474" s="13">
        <v>45416</v>
      </c>
      <c r="S2474">
        <v>2024</v>
      </c>
      <c r="T2474" s="12" t="s">
        <v>3171</v>
      </c>
      <c r="U2474">
        <v>58</v>
      </c>
      <c r="V2474">
        <v>286.32310000000001</v>
      </c>
      <c r="W2474">
        <v>246.68</v>
      </c>
      <c r="X2474">
        <v>0</v>
      </c>
      <c r="Y2474">
        <v>0</v>
      </c>
      <c r="Z2474">
        <v>16606.740000000002</v>
      </c>
      <c r="AA2474">
        <v>16853.419999999998</v>
      </c>
      <c r="AB2474" s="12" t="s">
        <v>3295</v>
      </c>
      <c r="AC2474">
        <v>304.28100000000001</v>
      </c>
      <c r="AD2474">
        <v>1</v>
      </c>
      <c r="AE2474">
        <v>1</v>
      </c>
      <c r="AF2474">
        <v>-1041.56</v>
      </c>
      <c r="AG2474">
        <v>17648.3</v>
      </c>
      <c r="AH2474">
        <v>58</v>
      </c>
      <c r="AI2474">
        <v>57</v>
      </c>
      <c r="AJ2474">
        <v>1</v>
      </c>
      <c r="AK2474">
        <v>1</v>
      </c>
      <c r="AL2474">
        <v>1</v>
      </c>
      <c r="AM2474">
        <v>98.28</v>
      </c>
      <c r="AN2474">
        <v>295.67399999999998</v>
      </c>
      <c r="AO2474">
        <v>286.32</v>
      </c>
      <c r="AP2474" s="13">
        <v>45424</v>
      </c>
      <c r="AQ2474">
        <v>8</v>
      </c>
      <c r="AR2474">
        <v>0</v>
      </c>
    </row>
    <row r="2475" spans="1:44" x14ac:dyDescent="0.35">
      <c r="A2475" s="12" t="s">
        <v>3296</v>
      </c>
      <c r="B2475" s="12" t="s">
        <v>92</v>
      </c>
      <c r="C2475" s="12" t="s">
        <v>93</v>
      </c>
      <c r="D2475" s="12" t="s">
        <v>64</v>
      </c>
      <c r="E2475" s="12" t="s">
        <v>65</v>
      </c>
      <c r="F2475">
        <v>3</v>
      </c>
      <c r="G2475">
        <v>5</v>
      </c>
      <c r="H2475">
        <v>0</v>
      </c>
      <c r="I2475" s="12" t="s">
        <v>94</v>
      </c>
      <c r="J2475" s="12" t="s">
        <v>95</v>
      </c>
      <c r="K2475" s="12" t="s">
        <v>81</v>
      </c>
      <c r="L2475" s="12" t="s">
        <v>96</v>
      </c>
      <c r="M2475">
        <v>4.8099999999999996</v>
      </c>
      <c r="N2475" s="12" t="s">
        <v>70</v>
      </c>
      <c r="O2475" s="12" t="s">
        <v>71</v>
      </c>
      <c r="P2475" s="12" t="s">
        <v>72</v>
      </c>
      <c r="Q2475" s="13">
        <v>45398</v>
      </c>
      <c r="R2475" s="13">
        <v>45433</v>
      </c>
      <c r="S2475">
        <v>2024</v>
      </c>
      <c r="T2475" s="12" t="s">
        <v>3171</v>
      </c>
      <c r="U2475">
        <v>816</v>
      </c>
      <c r="V2475">
        <v>23.8764</v>
      </c>
      <c r="W2475">
        <v>373.1</v>
      </c>
      <c r="X2475">
        <v>0</v>
      </c>
      <c r="Y2475">
        <v>0</v>
      </c>
      <c r="Z2475">
        <v>19483.14</v>
      </c>
      <c r="AA2475">
        <v>19856.240000000002</v>
      </c>
      <c r="AB2475" s="12" t="s">
        <v>2802</v>
      </c>
      <c r="AC2475">
        <v>23.8764</v>
      </c>
      <c r="AD2475">
        <v>1</v>
      </c>
      <c r="AE2475">
        <v>1</v>
      </c>
      <c r="AF2475">
        <v>0</v>
      </c>
      <c r="AG2475">
        <v>19483.14</v>
      </c>
      <c r="AH2475">
        <v>816</v>
      </c>
      <c r="AI2475">
        <v>804</v>
      </c>
      <c r="AJ2475">
        <v>12</v>
      </c>
      <c r="AK2475">
        <v>1</v>
      </c>
      <c r="AL2475">
        <v>1</v>
      </c>
      <c r="AM2475">
        <v>98.53</v>
      </c>
      <c r="AN2475">
        <v>24.6968</v>
      </c>
      <c r="AO2475">
        <v>286.52</v>
      </c>
      <c r="AP2475" s="13">
        <v>45432</v>
      </c>
      <c r="AQ2475">
        <v>-1</v>
      </c>
      <c r="AR2475">
        <v>1</v>
      </c>
    </row>
    <row r="2476" spans="1:44" x14ac:dyDescent="0.35">
      <c r="A2476" s="12" t="s">
        <v>3297</v>
      </c>
      <c r="B2476" s="12" t="s">
        <v>231</v>
      </c>
      <c r="C2476" s="12" t="s">
        <v>232</v>
      </c>
      <c r="D2476" s="12" t="s">
        <v>130</v>
      </c>
      <c r="E2476" s="12" t="s">
        <v>65</v>
      </c>
      <c r="F2476">
        <v>1</v>
      </c>
      <c r="G2476">
        <v>2</v>
      </c>
      <c r="H2476">
        <v>1</v>
      </c>
      <c r="I2476" s="12" t="s">
        <v>233</v>
      </c>
      <c r="J2476" s="12" t="s">
        <v>234</v>
      </c>
      <c r="K2476" s="12" t="s">
        <v>125</v>
      </c>
      <c r="L2476" s="12" t="s">
        <v>96</v>
      </c>
      <c r="M2476">
        <v>3.73</v>
      </c>
      <c r="N2476" s="12" t="s">
        <v>159</v>
      </c>
      <c r="O2476" s="12" t="s">
        <v>160</v>
      </c>
      <c r="P2476" s="12" t="s">
        <v>137</v>
      </c>
      <c r="Q2476" s="13">
        <v>45398</v>
      </c>
      <c r="R2476" s="13">
        <v>45429</v>
      </c>
      <c r="S2476">
        <v>2024</v>
      </c>
      <c r="T2476" s="12" t="s">
        <v>3171</v>
      </c>
      <c r="U2476">
        <v>88</v>
      </c>
      <c r="V2476">
        <v>463.51690000000002</v>
      </c>
      <c r="W2476">
        <v>391.44</v>
      </c>
      <c r="X2476">
        <v>0</v>
      </c>
      <c r="Y2476">
        <v>0</v>
      </c>
      <c r="Z2476">
        <v>40789.49</v>
      </c>
      <c r="AA2476">
        <v>41180.93</v>
      </c>
      <c r="AB2476" s="12" t="s">
        <v>201</v>
      </c>
      <c r="AD2476">
        <v>0</v>
      </c>
      <c r="AE2476">
        <v>0</v>
      </c>
      <c r="AH2476">
        <v>88</v>
      </c>
      <c r="AI2476">
        <v>87</v>
      </c>
      <c r="AJ2476">
        <v>1</v>
      </c>
      <c r="AK2476">
        <v>1</v>
      </c>
      <c r="AL2476">
        <v>1</v>
      </c>
      <c r="AM2476">
        <v>98.86</v>
      </c>
      <c r="AN2476">
        <v>473.34399999999999</v>
      </c>
      <c r="AO2476">
        <v>463.52</v>
      </c>
      <c r="AP2476" s="13">
        <v>45426</v>
      </c>
      <c r="AQ2476">
        <v>-3</v>
      </c>
      <c r="AR2476">
        <v>1</v>
      </c>
    </row>
    <row r="2477" spans="1:44" x14ac:dyDescent="0.35">
      <c r="A2477" s="12" t="s">
        <v>3298</v>
      </c>
      <c r="B2477" s="12" t="s">
        <v>323</v>
      </c>
      <c r="C2477" s="12" t="s">
        <v>324</v>
      </c>
      <c r="D2477" s="12" t="s">
        <v>64</v>
      </c>
      <c r="E2477" s="12" t="s">
        <v>142</v>
      </c>
      <c r="F2477">
        <v>1</v>
      </c>
      <c r="G2477">
        <v>7</v>
      </c>
      <c r="H2477">
        <v>1</v>
      </c>
      <c r="I2477" s="12" t="s">
        <v>143</v>
      </c>
      <c r="J2477" s="12" t="s">
        <v>144</v>
      </c>
      <c r="K2477" s="12" t="s">
        <v>133</v>
      </c>
      <c r="L2477" s="12" t="s">
        <v>96</v>
      </c>
      <c r="M2477">
        <v>5.43</v>
      </c>
      <c r="N2477" s="12" t="s">
        <v>97</v>
      </c>
      <c r="O2477" s="12" t="s">
        <v>98</v>
      </c>
      <c r="P2477" s="12" t="s">
        <v>72</v>
      </c>
      <c r="Q2477" s="13">
        <v>45398</v>
      </c>
      <c r="R2477" s="13">
        <v>45437</v>
      </c>
      <c r="S2477">
        <v>2024</v>
      </c>
      <c r="T2477" s="12" t="s">
        <v>3171</v>
      </c>
      <c r="U2477">
        <v>324</v>
      </c>
      <c r="V2477">
        <v>39.364800000000002</v>
      </c>
      <c r="W2477">
        <v>305.83</v>
      </c>
      <c r="X2477">
        <v>0</v>
      </c>
      <c r="Y2477">
        <v>0</v>
      </c>
      <c r="Z2477">
        <v>12754.2</v>
      </c>
      <c r="AA2477">
        <v>13060.03</v>
      </c>
      <c r="AB2477" s="12" t="s">
        <v>2828</v>
      </c>
      <c r="AC2477">
        <v>39.364800000000002</v>
      </c>
      <c r="AD2477">
        <v>1</v>
      </c>
      <c r="AE2477">
        <v>1</v>
      </c>
      <c r="AF2477">
        <v>0</v>
      </c>
      <c r="AG2477">
        <v>12754.2</v>
      </c>
      <c r="AH2477">
        <v>324</v>
      </c>
      <c r="AI2477">
        <v>323</v>
      </c>
      <c r="AJ2477">
        <v>1</v>
      </c>
      <c r="AK2477">
        <v>1</v>
      </c>
      <c r="AL2477">
        <v>1</v>
      </c>
      <c r="AM2477">
        <v>99.69</v>
      </c>
      <c r="AN2477">
        <v>40.433500000000002</v>
      </c>
      <c r="AO2477">
        <v>39.36</v>
      </c>
      <c r="AP2477" s="13">
        <v>45436</v>
      </c>
      <c r="AQ2477">
        <v>-1</v>
      </c>
      <c r="AR2477">
        <v>1</v>
      </c>
    </row>
    <row r="2478" spans="1:44" x14ac:dyDescent="0.35">
      <c r="A2478" s="12" t="s">
        <v>3299</v>
      </c>
      <c r="B2478" s="12" t="s">
        <v>238</v>
      </c>
      <c r="C2478" s="12" t="s">
        <v>239</v>
      </c>
      <c r="D2478" s="12" t="s">
        <v>122</v>
      </c>
      <c r="E2478" s="12" t="s">
        <v>65</v>
      </c>
      <c r="F2478">
        <v>3</v>
      </c>
      <c r="G2478">
        <v>4</v>
      </c>
      <c r="H2478">
        <v>0</v>
      </c>
      <c r="I2478" s="12" t="s">
        <v>79</v>
      </c>
      <c r="J2478" s="12" t="s">
        <v>80</v>
      </c>
      <c r="K2478" s="12" t="s">
        <v>81</v>
      </c>
      <c r="L2478" s="12" t="s">
        <v>82</v>
      </c>
      <c r="M2478">
        <v>12.07</v>
      </c>
      <c r="N2478" s="12" t="s">
        <v>97</v>
      </c>
      <c r="O2478" s="12" t="s">
        <v>98</v>
      </c>
      <c r="P2478" s="12" t="s">
        <v>72</v>
      </c>
      <c r="Q2478" s="13">
        <v>45398</v>
      </c>
      <c r="R2478" s="13">
        <v>45422</v>
      </c>
      <c r="S2478">
        <v>2024</v>
      </c>
      <c r="T2478" s="12" t="s">
        <v>3171</v>
      </c>
      <c r="U2478">
        <v>506</v>
      </c>
      <c r="V2478">
        <v>35.6462</v>
      </c>
      <c r="W2478">
        <v>174.22</v>
      </c>
      <c r="X2478">
        <v>0</v>
      </c>
      <c r="Y2478">
        <v>0</v>
      </c>
      <c r="Z2478">
        <v>18036.98</v>
      </c>
      <c r="AA2478">
        <v>18211.2</v>
      </c>
      <c r="AB2478" s="12" t="s">
        <v>2688</v>
      </c>
      <c r="AC2478">
        <v>35.6462</v>
      </c>
      <c r="AD2478">
        <v>1</v>
      </c>
      <c r="AE2478">
        <v>1</v>
      </c>
      <c r="AF2478">
        <v>0</v>
      </c>
      <c r="AG2478">
        <v>18036.98</v>
      </c>
      <c r="AH2478">
        <v>506</v>
      </c>
      <c r="AI2478">
        <v>503</v>
      </c>
      <c r="AJ2478">
        <v>3</v>
      </c>
      <c r="AK2478">
        <v>1</v>
      </c>
      <c r="AL2478">
        <v>1</v>
      </c>
      <c r="AM2478">
        <v>99.41</v>
      </c>
      <c r="AN2478">
        <v>36.205199999999998</v>
      </c>
      <c r="AO2478">
        <v>106.94</v>
      </c>
      <c r="AP2478" s="13">
        <v>45421</v>
      </c>
      <c r="AQ2478">
        <v>-1</v>
      </c>
      <c r="AR2478">
        <v>1</v>
      </c>
    </row>
    <row r="2479" spans="1:44" x14ac:dyDescent="0.35">
      <c r="A2479" s="12" t="s">
        <v>3300</v>
      </c>
      <c r="B2479" s="12" t="s">
        <v>837</v>
      </c>
      <c r="C2479" s="12" t="s">
        <v>838</v>
      </c>
      <c r="D2479" s="12" t="s">
        <v>114</v>
      </c>
      <c r="E2479" s="12" t="s">
        <v>104</v>
      </c>
      <c r="F2479">
        <v>2</v>
      </c>
      <c r="G2479">
        <v>0</v>
      </c>
      <c r="H2479">
        <v>0</v>
      </c>
      <c r="I2479" s="12" t="s">
        <v>199</v>
      </c>
      <c r="J2479" s="12" t="s">
        <v>200</v>
      </c>
      <c r="K2479" s="12" t="s">
        <v>68</v>
      </c>
      <c r="L2479" s="12" t="s">
        <v>96</v>
      </c>
      <c r="M2479">
        <v>9.4700000000000006</v>
      </c>
      <c r="N2479" s="12" t="s">
        <v>70</v>
      </c>
      <c r="O2479" s="12" t="s">
        <v>71</v>
      </c>
      <c r="P2479" s="12" t="s">
        <v>72</v>
      </c>
      <c r="Q2479" s="13">
        <v>45399</v>
      </c>
      <c r="R2479" s="13">
        <v>45416</v>
      </c>
      <c r="S2479">
        <v>2024</v>
      </c>
      <c r="T2479" s="12" t="s">
        <v>3171</v>
      </c>
      <c r="U2479">
        <v>52</v>
      </c>
      <c r="V2479">
        <v>71.121200000000002</v>
      </c>
      <c r="W2479">
        <v>40.08</v>
      </c>
      <c r="X2479">
        <v>0</v>
      </c>
      <c r="Y2479">
        <v>0</v>
      </c>
      <c r="Z2479">
        <v>3698.3</v>
      </c>
      <c r="AA2479">
        <v>3738.38</v>
      </c>
      <c r="AB2479" s="12" t="s">
        <v>839</v>
      </c>
      <c r="AC2479">
        <v>71.121200000000002</v>
      </c>
      <c r="AD2479">
        <v>1</v>
      </c>
      <c r="AE2479">
        <v>1</v>
      </c>
      <c r="AF2479">
        <v>0</v>
      </c>
      <c r="AG2479">
        <v>3698.3</v>
      </c>
      <c r="AH2479">
        <v>52</v>
      </c>
      <c r="AI2479">
        <v>52</v>
      </c>
      <c r="AJ2479">
        <v>0</v>
      </c>
      <c r="AK2479">
        <v>1</v>
      </c>
      <c r="AL2479">
        <v>1</v>
      </c>
      <c r="AM2479">
        <v>100</v>
      </c>
      <c r="AN2479">
        <v>71.891999999999996</v>
      </c>
      <c r="AO2479">
        <v>0</v>
      </c>
      <c r="AP2479" s="13">
        <v>45414</v>
      </c>
      <c r="AQ2479">
        <v>-2</v>
      </c>
      <c r="AR2479">
        <v>1</v>
      </c>
    </row>
    <row r="2480" spans="1:44" x14ac:dyDescent="0.35">
      <c r="A2480" s="12" t="s">
        <v>3301</v>
      </c>
      <c r="B2480" s="12" t="s">
        <v>347</v>
      </c>
      <c r="C2480" s="12" t="s">
        <v>348</v>
      </c>
      <c r="D2480" s="12" t="s">
        <v>78</v>
      </c>
      <c r="E2480" s="12" t="s">
        <v>104</v>
      </c>
      <c r="F2480">
        <v>3</v>
      </c>
      <c r="G2480">
        <v>1</v>
      </c>
      <c r="H2480">
        <v>0</v>
      </c>
      <c r="I2480" s="12" t="s">
        <v>105</v>
      </c>
      <c r="J2480" s="12" t="s">
        <v>106</v>
      </c>
      <c r="K2480" s="12" t="s">
        <v>81</v>
      </c>
      <c r="L2480" s="12" t="s">
        <v>96</v>
      </c>
      <c r="M2480">
        <v>5.01</v>
      </c>
      <c r="N2480" s="12" t="s">
        <v>70</v>
      </c>
      <c r="O2480" s="12" t="s">
        <v>71</v>
      </c>
      <c r="P2480" s="12" t="s">
        <v>72</v>
      </c>
      <c r="Q2480" s="13">
        <v>45399</v>
      </c>
      <c r="R2480" s="13">
        <v>45422</v>
      </c>
      <c r="S2480">
        <v>2024</v>
      </c>
      <c r="T2480" s="12" t="s">
        <v>3171</v>
      </c>
      <c r="U2480">
        <v>201</v>
      </c>
      <c r="V2480">
        <v>100.28740000000001</v>
      </c>
      <c r="W2480">
        <v>219.34</v>
      </c>
      <c r="X2480">
        <v>0</v>
      </c>
      <c r="Y2480">
        <v>0</v>
      </c>
      <c r="Z2480">
        <v>20157.77</v>
      </c>
      <c r="AA2480">
        <v>20377.11</v>
      </c>
      <c r="AB2480" s="12" t="s">
        <v>2996</v>
      </c>
      <c r="AC2480">
        <v>100.28740000000001</v>
      </c>
      <c r="AD2480">
        <v>1</v>
      </c>
      <c r="AE2480">
        <v>1</v>
      </c>
      <c r="AF2480">
        <v>0</v>
      </c>
      <c r="AG2480">
        <v>20157.77</v>
      </c>
      <c r="AH2480">
        <v>201</v>
      </c>
      <c r="AI2480">
        <v>199</v>
      </c>
      <c r="AJ2480">
        <v>2</v>
      </c>
      <c r="AK2480">
        <v>1</v>
      </c>
      <c r="AL2480">
        <v>1</v>
      </c>
      <c r="AM2480">
        <v>99</v>
      </c>
      <c r="AN2480">
        <v>102.39749999999999</v>
      </c>
      <c r="AO2480">
        <v>200.57</v>
      </c>
      <c r="AP2480" s="13">
        <v>45422</v>
      </c>
      <c r="AQ2480">
        <v>0</v>
      </c>
      <c r="AR2480">
        <v>1</v>
      </c>
    </row>
    <row r="2481" spans="1:44" x14ac:dyDescent="0.35">
      <c r="A2481" s="12" t="s">
        <v>3302</v>
      </c>
      <c r="B2481" s="12" t="s">
        <v>513</v>
      </c>
      <c r="C2481" s="12" t="s">
        <v>514</v>
      </c>
      <c r="D2481" s="12" t="s">
        <v>269</v>
      </c>
      <c r="E2481" s="12" t="s">
        <v>65</v>
      </c>
      <c r="F2481">
        <v>1</v>
      </c>
      <c r="G2481">
        <v>2</v>
      </c>
      <c r="H2481">
        <v>1</v>
      </c>
      <c r="I2481" s="12" t="s">
        <v>515</v>
      </c>
      <c r="J2481" s="12" t="s">
        <v>516</v>
      </c>
      <c r="K2481" s="12" t="s">
        <v>68</v>
      </c>
      <c r="L2481" s="12" t="s">
        <v>134</v>
      </c>
      <c r="M2481">
        <v>3.69</v>
      </c>
      <c r="N2481" s="12" t="s">
        <v>159</v>
      </c>
      <c r="O2481" s="12" t="s">
        <v>160</v>
      </c>
      <c r="P2481" s="12" t="s">
        <v>137</v>
      </c>
      <c r="Q2481" s="13">
        <v>45399</v>
      </c>
      <c r="R2481" s="13">
        <v>45424</v>
      </c>
      <c r="S2481">
        <v>2024</v>
      </c>
      <c r="T2481" s="12" t="s">
        <v>3171</v>
      </c>
      <c r="U2481">
        <v>48</v>
      </c>
      <c r="V2481">
        <v>243.98580000000001</v>
      </c>
      <c r="W2481">
        <v>304.27</v>
      </c>
      <c r="X2481">
        <v>0</v>
      </c>
      <c r="Y2481">
        <v>0</v>
      </c>
      <c r="Z2481">
        <v>11711.32</v>
      </c>
      <c r="AA2481">
        <v>12015.59</v>
      </c>
      <c r="AB2481" s="12" t="s">
        <v>201</v>
      </c>
      <c r="AD2481">
        <v>0</v>
      </c>
      <c r="AE2481">
        <v>0</v>
      </c>
      <c r="AH2481">
        <v>48</v>
      </c>
      <c r="AI2481">
        <v>47</v>
      </c>
      <c r="AJ2481">
        <v>1</v>
      </c>
      <c r="AK2481">
        <v>1</v>
      </c>
      <c r="AL2481">
        <v>1</v>
      </c>
      <c r="AM2481">
        <v>97.92</v>
      </c>
      <c r="AN2481">
        <v>255.6508</v>
      </c>
      <c r="AO2481">
        <v>243.99</v>
      </c>
      <c r="AP2481" s="13">
        <v>45424</v>
      </c>
      <c r="AQ2481">
        <v>0</v>
      </c>
      <c r="AR2481">
        <v>1</v>
      </c>
    </row>
    <row r="2482" spans="1:44" x14ac:dyDescent="0.35">
      <c r="A2482" s="12" t="s">
        <v>3303</v>
      </c>
      <c r="B2482" s="12" t="s">
        <v>350</v>
      </c>
      <c r="C2482" s="12" t="s">
        <v>351</v>
      </c>
      <c r="D2482" s="12" t="s">
        <v>64</v>
      </c>
      <c r="E2482" s="12" t="s">
        <v>104</v>
      </c>
      <c r="F2482">
        <v>3</v>
      </c>
      <c r="G2482">
        <v>1</v>
      </c>
      <c r="H2482">
        <v>0</v>
      </c>
      <c r="I2482" s="12" t="s">
        <v>486</v>
      </c>
      <c r="J2482" s="12" t="s">
        <v>487</v>
      </c>
      <c r="K2482" s="12" t="s">
        <v>125</v>
      </c>
      <c r="L2482" s="12" t="s">
        <v>69</v>
      </c>
      <c r="M2482">
        <v>36.86</v>
      </c>
      <c r="N2482" s="12" t="s">
        <v>97</v>
      </c>
      <c r="O2482" s="12" t="s">
        <v>98</v>
      </c>
      <c r="P2482" s="12" t="s">
        <v>72</v>
      </c>
      <c r="Q2482" s="13">
        <v>45399</v>
      </c>
      <c r="R2482" s="13">
        <v>45418</v>
      </c>
      <c r="S2482">
        <v>2024</v>
      </c>
      <c r="T2482" s="12" t="s">
        <v>3171</v>
      </c>
      <c r="U2482">
        <v>493</v>
      </c>
      <c r="V2482">
        <v>8.4832000000000001</v>
      </c>
      <c r="W2482">
        <v>51.27</v>
      </c>
      <c r="X2482">
        <v>0</v>
      </c>
      <c r="Y2482">
        <v>0</v>
      </c>
      <c r="Z2482">
        <v>4182.22</v>
      </c>
      <c r="AA2482">
        <v>4233.49</v>
      </c>
      <c r="AB2482" s="12" t="s">
        <v>2933</v>
      </c>
      <c r="AC2482">
        <v>8.4832000000000001</v>
      </c>
      <c r="AD2482">
        <v>1</v>
      </c>
      <c r="AE2482">
        <v>1</v>
      </c>
      <c r="AF2482">
        <v>0</v>
      </c>
      <c r="AG2482">
        <v>4182.22</v>
      </c>
      <c r="AH2482">
        <v>493</v>
      </c>
      <c r="AI2482">
        <v>486</v>
      </c>
      <c r="AJ2482">
        <v>7</v>
      </c>
      <c r="AK2482">
        <v>1</v>
      </c>
      <c r="AL2482">
        <v>1</v>
      </c>
      <c r="AM2482">
        <v>98.58</v>
      </c>
      <c r="AN2482">
        <v>8.7109000000000005</v>
      </c>
      <c r="AO2482">
        <v>59.38</v>
      </c>
      <c r="AP2482" s="13">
        <v>45417</v>
      </c>
      <c r="AQ2482">
        <v>-1</v>
      </c>
      <c r="AR2482">
        <v>1</v>
      </c>
    </row>
    <row r="2483" spans="1:44" x14ac:dyDescent="0.35">
      <c r="A2483" s="12" t="s">
        <v>3304</v>
      </c>
      <c r="B2483" s="12" t="s">
        <v>451</v>
      </c>
      <c r="C2483" s="12" t="s">
        <v>452</v>
      </c>
      <c r="D2483" s="12" t="s">
        <v>175</v>
      </c>
      <c r="E2483" s="12" t="s">
        <v>104</v>
      </c>
      <c r="F2483">
        <v>3</v>
      </c>
      <c r="G2483">
        <v>1</v>
      </c>
      <c r="H2483">
        <v>0</v>
      </c>
      <c r="I2483" s="12" t="s">
        <v>157</v>
      </c>
      <c r="J2483" s="12" t="s">
        <v>158</v>
      </c>
      <c r="K2483" s="12" t="s">
        <v>117</v>
      </c>
      <c r="L2483" s="12" t="s">
        <v>96</v>
      </c>
      <c r="M2483">
        <v>4.72</v>
      </c>
      <c r="N2483" s="12" t="s">
        <v>145</v>
      </c>
      <c r="O2483" s="12" t="s">
        <v>146</v>
      </c>
      <c r="P2483" s="12" t="s">
        <v>109</v>
      </c>
      <c r="Q2483" s="13">
        <v>45399</v>
      </c>
      <c r="R2483" s="13">
        <v>45412</v>
      </c>
      <c r="S2483">
        <v>2024</v>
      </c>
      <c r="T2483" s="12" t="s">
        <v>3171</v>
      </c>
      <c r="U2483">
        <v>25</v>
      </c>
      <c r="V2483">
        <v>254.322</v>
      </c>
      <c r="W2483">
        <v>135.55000000000001</v>
      </c>
      <c r="X2483">
        <v>194.51</v>
      </c>
      <c r="Y2483">
        <v>1</v>
      </c>
      <c r="Z2483">
        <v>6358.05</v>
      </c>
      <c r="AA2483">
        <v>6688.11</v>
      </c>
      <c r="AB2483" s="12" t="s">
        <v>201</v>
      </c>
      <c r="AD2483">
        <v>0</v>
      </c>
      <c r="AE2483">
        <v>0</v>
      </c>
      <c r="AH2483">
        <v>25</v>
      </c>
      <c r="AI2483">
        <v>25</v>
      </c>
      <c r="AJ2483">
        <v>0</v>
      </c>
      <c r="AK2483">
        <v>1</v>
      </c>
      <c r="AL2483">
        <v>1</v>
      </c>
      <c r="AM2483">
        <v>100</v>
      </c>
      <c r="AN2483">
        <v>267.52440000000001</v>
      </c>
      <c r="AO2483">
        <v>0</v>
      </c>
      <c r="AP2483" s="13">
        <v>45409</v>
      </c>
      <c r="AQ2483">
        <v>-3</v>
      </c>
      <c r="AR2483">
        <v>1</v>
      </c>
    </row>
    <row r="2484" spans="1:44" x14ac:dyDescent="0.35">
      <c r="A2484" s="12" t="s">
        <v>3305</v>
      </c>
      <c r="B2484" s="12" t="s">
        <v>339</v>
      </c>
      <c r="C2484" s="12" t="s">
        <v>340</v>
      </c>
      <c r="D2484" s="12" t="s">
        <v>103</v>
      </c>
      <c r="E2484" s="12" t="s">
        <v>142</v>
      </c>
      <c r="F2484">
        <v>2</v>
      </c>
      <c r="G2484">
        <v>9</v>
      </c>
      <c r="H2484">
        <v>0</v>
      </c>
      <c r="I2484" s="12" t="s">
        <v>169</v>
      </c>
      <c r="J2484" s="12" t="s">
        <v>170</v>
      </c>
      <c r="K2484" s="12" t="s">
        <v>89</v>
      </c>
      <c r="L2484" s="12" t="s">
        <v>134</v>
      </c>
      <c r="M2484">
        <v>1.37</v>
      </c>
      <c r="N2484" s="12" t="s">
        <v>107</v>
      </c>
      <c r="O2484" s="12" t="s">
        <v>108</v>
      </c>
      <c r="P2484" s="12" t="s">
        <v>109</v>
      </c>
      <c r="Q2484" s="13">
        <v>45399</v>
      </c>
      <c r="R2484" s="13">
        <v>45448</v>
      </c>
      <c r="S2484">
        <v>2024</v>
      </c>
      <c r="T2484" s="12" t="s">
        <v>3171</v>
      </c>
      <c r="U2484">
        <v>121</v>
      </c>
      <c r="V2484">
        <v>243.06290000000001</v>
      </c>
      <c r="W2484">
        <v>190.1</v>
      </c>
      <c r="X2484">
        <v>0</v>
      </c>
      <c r="Y2484">
        <v>0</v>
      </c>
      <c r="Z2484">
        <v>29410.61</v>
      </c>
      <c r="AA2484">
        <v>29600.71</v>
      </c>
      <c r="AB2484" s="12" t="s">
        <v>2786</v>
      </c>
      <c r="AC2484">
        <v>243.06290000000001</v>
      </c>
      <c r="AD2484">
        <v>1</v>
      </c>
      <c r="AE2484">
        <v>1</v>
      </c>
      <c r="AF2484">
        <v>0</v>
      </c>
      <c r="AG2484">
        <v>29410.61</v>
      </c>
      <c r="AH2484">
        <v>121</v>
      </c>
      <c r="AI2484">
        <v>120</v>
      </c>
      <c r="AJ2484">
        <v>1</v>
      </c>
      <c r="AK2484">
        <v>1</v>
      </c>
      <c r="AL2484">
        <v>1</v>
      </c>
      <c r="AM2484">
        <v>99.17</v>
      </c>
      <c r="AN2484">
        <v>246.67259999999999</v>
      </c>
      <c r="AO2484">
        <v>243.06</v>
      </c>
      <c r="AP2484" s="13">
        <v>45447</v>
      </c>
      <c r="AQ2484">
        <v>-1</v>
      </c>
      <c r="AR2484">
        <v>1</v>
      </c>
    </row>
    <row r="2485" spans="1:44" x14ac:dyDescent="0.35">
      <c r="A2485" s="12" t="s">
        <v>3306</v>
      </c>
      <c r="B2485" s="12" t="s">
        <v>952</v>
      </c>
      <c r="C2485" s="12" t="s">
        <v>953</v>
      </c>
      <c r="D2485" s="12" t="s">
        <v>64</v>
      </c>
      <c r="E2485" s="12" t="s">
        <v>142</v>
      </c>
      <c r="F2485">
        <v>1</v>
      </c>
      <c r="G2485">
        <v>8</v>
      </c>
      <c r="H2485">
        <v>1</v>
      </c>
      <c r="I2485" s="12" t="s">
        <v>131</v>
      </c>
      <c r="J2485" s="12" t="s">
        <v>132</v>
      </c>
      <c r="K2485" s="12" t="s">
        <v>133</v>
      </c>
      <c r="L2485" s="12" t="s">
        <v>134</v>
      </c>
      <c r="M2485">
        <v>1.51</v>
      </c>
      <c r="N2485" s="12" t="s">
        <v>97</v>
      </c>
      <c r="O2485" s="12" t="s">
        <v>98</v>
      </c>
      <c r="P2485" s="12" t="s">
        <v>72</v>
      </c>
      <c r="Q2485" s="13">
        <v>45399</v>
      </c>
      <c r="R2485" s="13">
        <v>45446</v>
      </c>
      <c r="S2485">
        <v>2024</v>
      </c>
      <c r="T2485" s="12" t="s">
        <v>3171</v>
      </c>
      <c r="U2485">
        <v>739</v>
      </c>
      <c r="V2485">
        <v>31.110399999999998</v>
      </c>
      <c r="W2485">
        <v>164.4</v>
      </c>
      <c r="X2485">
        <v>0</v>
      </c>
      <c r="Y2485">
        <v>0</v>
      </c>
      <c r="Z2485">
        <v>22990.59</v>
      </c>
      <c r="AA2485">
        <v>23154.99</v>
      </c>
      <c r="AB2485" s="12" t="s">
        <v>3261</v>
      </c>
      <c r="AC2485">
        <v>31.110399999999998</v>
      </c>
      <c r="AD2485">
        <v>1</v>
      </c>
      <c r="AE2485">
        <v>1</v>
      </c>
      <c r="AF2485">
        <v>0</v>
      </c>
      <c r="AG2485">
        <v>22990.59</v>
      </c>
      <c r="AH2485">
        <v>739</v>
      </c>
      <c r="AI2485">
        <v>729</v>
      </c>
      <c r="AJ2485">
        <v>10</v>
      </c>
      <c r="AK2485">
        <v>1</v>
      </c>
      <c r="AL2485">
        <v>1</v>
      </c>
      <c r="AM2485">
        <v>98.65</v>
      </c>
      <c r="AN2485">
        <v>31.762699999999999</v>
      </c>
      <c r="AO2485">
        <v>311.10000000000002</v>
      </c>
      <c r="AP2485" s="13">
        <v>45446</v>
      </c>
      <c r="AQ2485">
        <v>0</v>
      </c>
      <c r="AR2485">
        <v>1</v>
      </c>
    </row>
    <row r="2486" spans="1:44" x14ac:dyDescent="0.35">
      <c r="A2486" s="12" t="s">
        <v>3307</v>
      </c>
      <c r="B2486" s="12" t="s">
        <v>454</v>
      </c>
      <c r="C2486" s="12" t="s">
        <v>455</v>
      </c>
      <c r="D2486" s="12" t="s">
        <v>122</v>
      </c>
      <c r="E2486" s="12" t="s">
        <v>104</v>
      </c>
      <c r="F2486">
        <v>3</v>
      </c>
      <c r="G2486">
        <v>1</v>
      </c>
      <c r="H2486">
        <v>0</v>
      </c>
      <c r="I2486" s="12" t="s">
        <v>87</v>
      </c>
      <c r="J2486" s="12" t="s">
        <v>88</v>
      </c>
      <c r="K2486" s="12" t="s">
        <v>89</v>
      </c>
      <c r="L2486" s="12" t="s">
        <v>69</v>
      </c>
      <c r="M2486">
        <v>14.93</v>
      </c>
      <c r="N2486" s="12" t="s">
        <v>70</v>
      </c>
      <c r="O2486" s="12" t="s">
        <v>71</v>
      </c>
      <c r="P2486" s="12" t="s">
        <v>72</v>
      </c>
      <c r="Q2486" s="13">
        <v>45399</v>
      </c>
      <c r="R2486" s="13">
        <v>45425</v>
      </c>
      <c r="S2486">
        <v>2024</v>
      </c>
      <c r="T2486" s="12" t="s">
        <v>3171</v>
      </c>
      <c r="U2486">
        <v>1643</v>
      </c>
      <c r="V2486">
        <v>21.4115</v>
      </c>
      <c r="W2486">
        <v>566.97</v>
      </c>
      <c r="X2486">
        <v>0</v>
      </c>
      <c r="Y2486">
        <v>0</v>
      </c>
      <c r="Z2486">
        <v>35179.089999999997</v>
      </c>
      <c r="AA2486">
        <v>35746.06</v>
      </c>
      <c r="AB2486" s="12" t="s">
        <v>3124</v>
      </c>
      <c r="AC2486">
        <v>21.4115</v>
      </c>
      <c r="AD2486">
        <v>1</v>
      </c>
      <c r="AE2486">
        <v>1</v>
      </c>
      <c r="AF2486">
        <v>0</v>
      </c>
      <c r="AG2486">
        <v>35179.089999999997</v>
      </c>
      <c r="AH2486">
        <v>1643</v>
      </c>
      <c r="AI2486">
        <v>1636</v>
      </c>
      <c r="AJ2486">
        <v>7</v>
      </c>
      <c r="AK2486">
        <v>1</v>
      </c>
      <c r="AL2486">
        <v>1</v>
      </c>
      <c r="AM2486">
        <v>99.57</v>
      </c>
      <c r="AN2486">
        <v>21.849699999999999</v>
      </c>
      <c r="AO2486">
        <v>149.88</v>
      </c>
      <c r="AP2486" s="13">
        <v>45424</v>
      </c>
      <c r="AQ2486">
        <v>-1</v>
      </c>
      <c r="AR2486">
        <v>1</v>
      </c>
    </row>
    <row r="2487" spans="1:44" x14ac:dyDescent="0.35">
      <c r="A2487" s="12" t="s">
        <v>3308</v>
      </c>
      <c r="B2487" s="12" t="s">
        <v>1034</v>
      </c>
      <c r="C2487" s="12" t="s">
        <v>1035</v>
      </c>
      <c r="D2487" s="12" t="s">
        <v>64</v>
      </c>
      <c r="E2487" s="12" t="s">
        <v>104</v>
      </c>
      <c r="F2487">
        <v>2</v>
      </c>
      <c r="G2487">
        <v>0</v>
      </c>
      <c r="H2487">
        <v>0</v>
      </c>
      <c r="I2487" s="12" t="s">
        <v>157</v>
      </c>
      <c r="J2487" s="12" t="s">
        <v>158</v>
      </c>
      <c r="K2487" s="12" t="s">
        <v>117</v>
      </c>
      <c r="L2487" s="12" t="s">
        <v>96</v>
      </c>
      <c r="M2487">
        <v>4.72</v>
      </c>
      <c r="N2487" s="12" t="s">
        <v>97</v>
      </c>
      <c r="O2487" s="12" t="s">
        <v>98</v>
      </c>
      <c r="P2487" s="12" t="s">
        <v>72</v>
      </c>
      <c r="Q2487" s="13">
        <v>45400</v>
      </c>
      <c r="R2487" s="13">
        <v>45414</v>
      </c>
      <c r="S2487">
        <v>2024</v>
      </c>
      <c r="T2487" s="12" t="s">
        <v>3171</v>
      </c>
      <c r="U2487">
        <v>205</v>
      </c>
      <c r="V2487">
        <v>9.2698</v>
      </c>
      <c r="W2487">
        <v>31.95</v>
      </c>
      <c r="X2487">
        <v>0</v>
      </c>
      <c r="Y2487">
        <v>0</v>
      </c>
      <c r="Z2487">
        <v>1900.31</v>
      </c>
      <c r="AA2487">
        <v>1932.26</v>
      </c>
      <c r="AB2487" s="12" t="s">
        <v>3309</v>
      </c>
      <c r="AC2487">
        <v>9.2698</v>
      </c>
      <c r="AD2487">
        <v>1</v>
      </c>
      <c r="AE2487">
        <v>1</v>
      </c>
      <c r="AF2487">
        <v>0</v>
      </c>
      <c r="AG2487">
        <v>1900.31</v>
      </c>
      <c r="AH2487">
        <v>205</v>
      </c>
      <c r="AI2487">
        <v>205</v>
      </c>
      <c r="AJ2487">
        <v>0</v>
      </c>
      <c r="AK2487">
        <v>1</v>
      </c>
      <c r="AL2487">
        <v>1</v>
      </c>
      <c r="AM2487">
        <v>100</v>
      </c>
      <c r="AN2487">
        <v>9.4257000000000009</v>
      </c>
      <c r="AO2487">
        <v>0</v>
      </c>
      <c r="AP2487" s="13">
        <v>45414</v>
      </c>
      <c r="AQ2487">
        <v>0</v>
      </c>
      <c r="AR2487">
        <v>1</v>
      </c>
    </row>
    <row r="2488" spans="1:44" x14ac:dyDescent="0.35">
      <c r="A2488" s="12" t="s">
        <v>3310</v>
      </c>
      <c r="B2488" s="12" t="s">
        <v>503</v>
      </c>
      <c r="C2488" s="12" t="s">
        <v>504</v>
      </c>
      <c r="D2488" s="12" t="s">
        <v>103</v>
      </c>
      <c r="E2488" s="12" t="s">
        <v>104</v>
      </c>
      <c r="F2488">
        <v>3</v>
      </c>
      <c r="G2488">
        <v>1</v>
      </c>
      <c r="H2488">
        <v>0</v>
      </c>
      <c r="I2488" s="12" t="s">
        <v>251</v>
      </c>
      <c r="J2488" s="12" t="s">
        <v>252</v>
      </c>
      <c r="K2488" s="12" t="s">
        <v>133</v>
      </c>
      <c r="L2488" s="12" t="s">
        <v>69</v>
      </c>
      <c r="M2488">
        <v>34.49</v>
      </c>
      <c r="N2488" s="12" t="s">
        <v>145</v>
      </c>
      <c r="O2488" s="12" t="s">
        <v>146</v>
      </c>
      <c r="P2488" s="12" t="s">
        <v>109</v>
      </c>
      <c r="Q2488" s="13">
        <v>45400</v>
      </c>
      <c r="R2488" s="13">
        <v>45422</v>
      </c>
      <c r="S2488">
        <v>2024</v>
      </c>
      <c r="T2488" s="12" t="s">
        <v>3171</v>
      </c>
      <c r="U2488">
        <v>91</v>
      </c>
      <c r="V2488">
        <v>153.63839999999999</v>
      </c>
      <c r="W2488">
        <v>225.64</v>
      </c>
      <c r="X2488">
        <v>0</v>
      </c>
      <c r="Y2488">
        <v>0</v>
      </c>
      <c r="Z2488">
        <v>13981.09</v>
      </c>
      <c r="AA2488">
        <v>14206.73</v>
      </c>
      <c r="AB2488" s="12" t="s">
        <v>3311</v>
      </c>
      <c r="AC2488">
        <v>153.63839999999999</v>
      </c>
      <c r="AD2488">
        <v>1</v>
      </c>
      <c r="AE2488">
        <v>1</v>
      </c>
      <c r="AF2488">
        <v>0</v>
      </c>
      <c r="AG2488">
        <v>13981.09</v>
      </c>
      <c r="AH2488">
        <v>91</v>
      </c>
      <c r="AI2488">
        <v>90</v>
      </c>
      <c r="AJ2488">
        <v>1</v>
      </c>
      <c r="AK2488">
        <v>1</v>
      </c>
      <c r="AL2488">
        <v>1</v>
      </c>
      <c r="AM2488">
        <v>98.9</v>
      </c>
      <c r="AN2488">
        <v>157.8526</v>
      </c>
      <c r="AO2488">
        <v>153.63999999999999</v>
      </c>
      <c r="AP2488" s="13">
        <v>45419</v>
      </c>
      <c r="AQ2488">
        <v>-3</v>
      </c>
      <c r="AR2488">
        <v>1</v>
      </c>
    </row>
    <row r="2489" spans="1:44" x14ac:dyDescent="0.35">
      <c r="A2489" s="12" t="s">
        <v>3312</v>
      </c>
      <c r="B2489" s="12" t="s">
        <v>261</v>
      </c>
      <c r="C2489" s="12" t="s">
        <v>262</v>
      </c>
      <c r="D2489" s="12" t="s">
        <v>114</v>
      </c>
      <c r="E2489" s="12" t="s">
        <v>142</v>
      </c>
      <c r="F2489">
        <v>1</v>
      </c>
      <c r="G2489">
        <v>8</v>
      </c>
      <c r="H2489">
        <v>1</v>
      </c>
      <c r="I2489" s="12" t="s">
        <v>263</v>
      </c>
      <c r="J2489" s="12" t="s">
        <v>264</v>
      </c>
      <c r="K2489" s="12" t="s">
        <v>125</v>
      </c>
      <c r="L2489" s="12" t="s">
        <v>82</v>
      </c>
      <c r="M2489">
        <v>10.210000000000001</v>
      </c>
      <c r="N2489" s="12" t="s">
        <v>97</v>
      </c>
      <c r="O2489" s="12" t="s">
        <v>98</v>
      </c>
      <c r="P2489" s="12" t="s">
        <v>72</v>
      </c>
      <c r="Q2489" s="13">
        <v>45400</v>
      </c>
      <c r="R2489" s="13">
        <v>45449</v>
      </c>
      <c r="S2489">
        <v>2024</v>
      </c>
      <c r="T2489" s="12" t="s">
        <v>3171</v>
      </c>
      <c r="U2489">
        <v>119</v>
      </c>
      <c r="V2489">
        <v>129.71019999999999</v>
      </c>
      <c r="W2489">
        <v>109.52</v>
      </c>
      <c r="X2489">
        <v>0</v>
      </c>
      <c r="Y2489">
        <v>0</v>
      </c>
      <c r="Z2489">
        <v>15435.51</v>
      </c>
      <c r="AA2489">
        <v>15545.03</v>
      </c>
      <c r="AB2489" s="12" t="s">
        <v>2655</v>
      </c>
      <c r="AC2489">
        <v>137.84569999999999</v>
      </c>
      <c r="AD2489">
        <v>1</v>
      </c>
      <c r="AE2489">
        <v>1</v>
      </c>
      <c r="AF2489">
        <v>-968.12</v>
      </c>
      <c r="AG2489">
        <v>16403.64</v>
      </c>
      <c r="AH2489">
        <v>119</v>
      </c>
      <c r="AI2489">
        <v>116</v>
      </c>
      <c r="AJ2489">
        <v>3</v>
      </c>
      <c r="AK2489">
        <v>1</v>
      </c>
      <c r="AL2489">
        <v>1</v>
      </c>
      <c r="AM2489">
        <v>97.48</v>
      </c>
      <c r="AN2489">
        <v>134.00890000000001</v>
      </c>
      <c r="AO2489">
        <v>389.13</v>
      </c>
      <c r="AP2489" s="13">
        <v>45448</v>
      </c>
      <c r="AQ2489">
        <v>-1</v>
      </c>
      <c r="AR2489">
        <v>1</v>
      </c>
    </row>
    <row r="2490" spans="1:44" x14ac:dyDescent="0.35">
      <c r="A2490" s="12" t="s">
        <v>3313</v>
      </c>
      <c r="B2490" s="12" t="s">
        <v>76</v>
      </c>
      <c r="C2490" s="12" t="s">
        <v>77</v>
      </c>
      <c r="D2490" s="12" t="s">
        <v>78</v>
      </c>
      <c r="E2490" s="12" t="s">
        <v>65</v>
      </c>
      <c r="F2490">
        <v>2</v>
      </c>
      <c r="G2490">
        <v>4</v>
      </c>
      <c r="H2490">
        <v>0</v>
      </c>
      <c r="I2490" s="12" t="s">
        <v>79</v>
      </c>
      <c r="J2490" s="12" t="s">
        <v>80</v>
      </c>
      <c r="K2490" s="12" t="s">
        <v>81</v>
      </c>
      <c r="L2490" s="12" t="s">
        <v>82</v>
      </c>
      <c r="M2490">
        <v>12.07</v>
      </c>
      <c r="N2490" s="12" t="s">
        <v>97</v>
      </c>
      <c r="O2490" s="12" t="s">
        <v>98</v>
      </c>
      <c r="P2490" s="12" t="s">
        <v>72</v>
      </c>
      <c r="Q2490" s="13">
        <v>45400</v>
      </c>
      <c r="R2490" s="13">
        <v>45424</v>
      </c>
      <c r="S2490">
        <v>2024</v>
      </c>
      <c r="T2490" s="12" t="s">
        <v>3171</v>
      </c>
      <c r="U2490">
        <v>90</v>
      </c>
      <c r="V2490">
        <v>45.034100000000002</v>
      </c>
      <c r="W2490">
        <v>33.36</v>
      </c>
      <c r="X2490">
        <v>0</v>
      </c>
      <c r="Y2490">
        <v>0</v>
      </c>
      <c r="Z2490">
        <v>4053.07</v>
      </c>
      <c r="AA2490">
        <v>4086.43</v>
      </c>
      <c r="AB2490" s="12" t="s">
        <v>2672</v>
      </c>
      <c r="AC2490">
        <v>45.034100000000002</v>
      </c>
      <c r="AD2490">
        <v>1</v>
      </c>
      <c r="AE2490">
        <v>1</v>
      </c>
      <c r="AF2490">
        <v>0</v>
      </c>
      <c r="AG2490">
        <v>4053.07</v>
      </c>
      <c r="AH2490">
        <v>90</v>
      </c>
      <c r="AI2490">
        <v>89</v>
      </c>
      <c r="AJ2490">
        <v>1</v>
      </c>
      <c r="AK2490">
        <v>1</v>
      </c>
      <c r="AL2490">
        <v>1</v>
      </c>
      <c r="AM2490">
        <v>98.89</v>
      </c>
      <c r="AN2490">
        <v>45.914900000000003</v>
      </c>
      <c r="AO2490">
        <v>45.03</v>
      </c>
      <c r="AP2490" s="13">
        <v>45423</v>
      </c>
      <c r="AQ2490">
        <v>-1</v>
      </c>
      <c r="AR2490">
        <v>1</v>
      </c>
    </row>
    <row r="2491" spans="1:44" x14ac:dyDescent="0.35">
      <c r="A2491" s="12" t="s">
        <v>3314</v>
      </c>
      <c r="B2491" s="12" t="s">
        <v>308</v>
      </c>
      <c r="C2491" s="12" t="s">
        <v>309</v>
      </c>
      <c r="D2491" s="12" t="s">
        <v>122</v>
      </c>
      <c r="E2491" s="12" t="s">
        <v>142</v>
      </c>
      <c r="F2491">
        <v>1</v>
      </c>
      <c r="G2491">
        <v>6</v>
      </c>
      <c r="H2491">
        <v>1</v>
      </c>
      <c r="I2491" s="12" t="s">
        <v>310</v>
      </c>
      <c r="J2491" s="12" t="s">
        <v>311</v>
      </c>
      <c r="K2491" s="12" t="s">
        <v>81</v>
      </c>
      <c r="L2491" s="12" t="s">
        <v>69</v>
      </c>
      <c r="M2491">
        <v>28.3</v>
      </c>
      <c r="N2491" s="12" t="s">
        <v>70</v>
      </c>
      <c r="O2491" s="12" t="s">
        <v>71</v>
      </c>
      <c r="P2491" s="12" t="s">
        <v>72</v>
      </c>
      <c r="Q2491" s="13">
        <v>45400</v>
      </c>
      <c r="R2491" s="13">
        <v>45438</v>
      </c>
      <c r="S2491">
        <v>2024</v>
      </c>
      <c r="T2491" s="12" t="s">
        <v>3171</v>
      </c>
      <c r="U2491">
        <v>562</v>
      </c>
      <c r="V2491">
        <v>58.086399999999998</v>
      </c>
      <c r="W2491">
        <v>490.14</v>
      </c>
      <c r="X2491">
        <v>0</v>
      </c>
      <c r="Y2491">
        <v>0</v>
      </c>
      <c r="Z2491">
        <v>32644.560000000001</v>
      </c>
      <c r="AA2491">
        <v>33134.699999999997</v>
      </c>
      <c r="AB2491" s="12" t="s">
        <v>2726</v>
      </c>
      <c r="AC2491">
        <v>58.086399999999998</v>
      </c>
      <c r="AD2491">
        <v>1</v>
      </c>
      <c r="AE2491">
        <v>1</v>
      </c>
      <c r="AF2491">
        <v>0</v>
      </c>
      <c r="AG2491">
        <v>32644.560000000001</v>
      </c>
      <c r="AH2491">
        <v>562</v>
      </c>
      <c r="AI2491">
        <v>559</v>
      </c>
      <c r="AJ2491">
        <v>3</v>
      </c>
      <c r="AK2491">
        <v>1</v>
      </c>
      <c r="AL2491">
        <v>1</v>
      </c>
      <c r="AM2491">
        <v>99.47</v>
      </c>
      <c r="AN2491">
        <v>59.274900000000002</v>
      </c>
      <c r="AO2491">
        <v>174.26</v>
      </c>
      <c r="AP2491" s="13">
        <v>45438</v>
      </c>
      <c r="AQ2491">
        <v>0</v>
      </c>
      <c r="AR2491">
        <v>1</v>
      </c>
    </row>
    <row r="2492" spans="1:44" x14ac:dyDescent="0.35">
      <c r="A2492" s="12" t="s">
        <v>3315</v>
      </c>
      <c r="B2492" s="12" t="s">
        <v>399</v>
      </c>
      <c r="C2492" s="12" t="s">
        <v>400</v>
      </c>
      <c r="D2492" s="12" t="s">
        <v>114</v>
      </c>
      <c r="E2492" s="12" t="s">
        <v>65</v>
      </c>
      <c r="F2492">
        <v>1</v>
      </c>
      <c r="G2492">
        <v>2</v>
      </c>
      <c r="H2492">
        <v>1</v>
      </c>
      <c r="I2492" s="12" t="s">
        <v>151</v>
      </c>
      <c r="J2492" s="12" t="s">
        <v>152</v>
      </c>
      <c r="K2492" s="12" t="s">
        <v>125</v>
      </c>
      <c r="L2492" s="12" t="s">
        <v>69</v>
      </c>
      <c r="M2492">
        <v>36.479999999999997</v>
      </c>
      <c r="N2492" s="12" t="s">
        <v>97</v>
      </c>
      <c r="O2492" s="12" t="s">
        <v>98</v>
      </c>
      <c r="P2492" s="12" t="s">
        <v>72</v>
      </c>
      <c r="Q2492" s="13">
        <v>45400</v>
      </c>
      <c r="R2492" s="13">
        <v>45438</v>
      </c>
      <c r="S2492">
        <v>2024</v>
      </c>
      <c r="T2492" s="12" t="s">
        <v>3171</v>
      </c>
      <c r="U2492">
        <v>147</v>
      </c>
      <c r="V2492">
        <v>292.26440000000002</v>
      </c>
      <c r="W2492">
        <v>872.56</v>
      </c>
      <c r="X2492">
        <v>0</v>
      </c>
      <c r="Y2492">
        <v>0</v>
      </c>
      <c r="Z2492">
        <v>42962.87</v>
      </c>
      <c r="AA2492">
        <v>43835.43</v>
      </c>
      <c r="AB2492" s="12" t="s">
        <v>3009</v>
      </c>
      <c r="AC2492">
        <v>292.26440000000002</v>
      </c>
      <c r="AD2492">
        <v>1</v>
      </c>
      <c r="AE2492">
        <v>1</v>
      </c>
      <c r="AF2492">
        <v>0</v>
      </c>
      <c r="AG2492">
        <v>42962.87</v>
      </c>
      <c r="AH2492">
        <v>147</v>
      </c>
      <c r="AI2492">
        <v>145</v>
      </c>
      <c r="AJ2492">
        <v>2</v>
      </c>
      <c r="AK2492">
        <v>1</v>
      </c>
      <c r="AL2492">
        <v>1</v>
      </c>
      <c r="AM2492">
        <v>98.64</v>
      </c>
      <c r="AN2492">
        <v>302.31330000000003</v>
      </c>
      <c r="AO2492">
        <v>584.53</v>
      </c>
      <c r="AP2492" s="13">
        <v>45435</v>
      </c>
      <c r="AQ2492">
        <v>-3</v>
      </c>
      <c r="AR2492">
        <v>1</v>
      </c>
    </row>
    <row r="2493" spans="1:44" x14ac:dyDescent="0.35">
      <c r="A2493" s="12" t="s">
        <v>3316</v>
      </c>
      <c r="B2493" s="12" t="s">
        <v>978</v>
      </c>
      <c r="C2493" s="12" t="s">
        <v>979</v>
      </c>
      <c r="D2493" s="12" t="s">
        <v>122</v>
      </c>
      <c r="E2493" s="12" t="s">
        <v>65</v>
      </c>
      <c r="F2493">
        <v>1</v>
      </c>
      <c r="G2493">
        <v>2</v>
      </c>
      <c r="H2493">
        <v>1</v>
      </c>
      <c r="I2493" s="12" t="s">
        <v>310</v>
      </c>
      <c r="J2493" s="12" t="s">
        <v>311</v>
      </c>
      <c r="K2493" s="12" t="s">
        <v>81</v>
      </c>
      <c r="L2493" s="12" t="s">
        <v>69</v>
      </c>
      <c r="M2493">
        <v>28.3</v>
      </c>
      <c r="N2493" s="12" t="s">
        <v>70</v>
      </c>
      <c r="O2493" s="12" t="s">
        <v>71</v>
      </c>
      <c r="P2493" s="12" t="s">
        <v>72</v>
      </c>
      <c r="Q2493" s="13">
        <v>45400</v>
      </c>
      <c r="R2493" s="13">
        <v>45427</v>
      </c>
      <c r="S2493">
        <v>2024</v>
      </c>
      <c r="T2493" s="12" t="s">
        <v>3171</v>
      </c>
      <c r="U2493">
        <v>854</v>
      </c>
      <c r="V2493">
        <v>41.093299999999999</v>
      </c>
      <c r="W2493">
        <v>682.29</v>
      </c>
      <c r="X2493">
        <v>0</v>
      </c>
      <c r="Y2493">
        <v>0</v>
      </c>
      <c r="Z2493">
        <v>35093.68</v>
      </c>
      <c r="AA2493">
        <v>35775.97</v>
      </c>
      <c r="AB2493" s="12" t="s">
        <v>980</v>
      </c>
      <c r="AC2493">
        <v>43.709699999999998</v>
      </c>
      <c r="AD2493">
        <v>1</v>
      </c>
      <c r="AE2493">
        <v>1</v>
      </c>
      <c r="AF2493">
        <v>-2234.41</v>
      </c>
      <c r="AG2493">
        <v>37328.080000000002</v>
      </c>
      <c r="AH2493">
        <v>854</v>
      </c>
      <c r="AI2493">
        <v>850</v>
      </c>
      <c r="AJ2493">
        <v>4</v>
      </c>
      <c r="AK2493">
        <v>1</v>
      </c>
      <c r="AL2493">
        <v>1</v>
      </c>
      <c r="AM2493">
        <v>99.53</v>
      </c>
      <c r="AN2493">
        <v>42.089399999999998</v>
      </c>
      <c r="AO2493">
        <v>164.37</v>
      </c>
      <c r="AP2493" s="13">
        <v>45424</v>
      </c>
      <c r="AQ2493">
        <v>-3</v>
      </c>
      <c r="AR2493">
        <v>1</v>
      </c>
    </row>
    <row r="2494" spans="1:44" x14ac:dyDescent="0.35">
      <c r="A2494" s="12" t="s">
        <v>3317</v>
      </c>
      <c r="B2494" s="12" t="s">
        <v>902</v>
      </c>
      <c r="C2494" s="12" t="s">
        <v>903</v>
      </c>
      <c r="D2494" s="12" t="s">
        <v>122</v>
      </c>
      <c r="E2494" s="12" t="s">
        <v>142</v>
      </c>
      <c r="F2494">
        <v>1</v>
      </c>
      <c r="G2494">
        <v>6</v>
      </c>
      <c r="H2494">
        <v>1</v>
      </c>
      <c r="I2494" s="12" t="s">
        <v>105</v>
      </c>
      <c r="J2494" s="12" t="s">
        <v>106</v>
      </c>
      <c r="K2494" s="12" t="s">
        <v>81</v>
      </c>
      <c r="L2494" s="12" t="s">
        <v>96</v>
      </c>
      <c r="M2494">
        <v>5.01</v>
      </c>
      <c r="N2494" s="12" t="s">
        <v>97</v>
      </c>
      <c r="O2494" s="12" t="s">
        <v>98</v>
      </c>
      <c r="P2494" s="12" t="s">
        <v>72</v>
      </c>
      <c r="Q2494" s="13">
        <v>45400</v>
      </c>
      <c r="R2494" s="13">
        <v>45442</v>
      </c>
      <c r="S2494">
        <v>2024</v>
      </c>
      <c r="T2494" s="12" t="s">
        <v>3171</v>
      </c>
      <c r="U2494">
        <v>982</v>
      </c>
      <c r="V2494">
        <v>41.6892</v>
      </c>
      <c r="W2494">
        <v>478.54</v>
      </c>
      <c r="X2494">
        <v>0</v>
      </c>
      <c r="Y2494">
        <v>0</v>
      </c>
      <c r="Z2494">
        <v>40938.79</v>
      </c>
      <c r="AA2494">
        <v>41417.33</v>
      </c>
      <c r="AB2494" s="12" t="s">
        <v>3284</v>
      </c>
      <c r="AC2494">
        <v>41.6892</v>
      </c>
      <c r="AD2494">
        <v>1</v>
      </c>
      <c r="AE2494">
        <v>1</v>
      </c>
      <c r="AF2494">
        <v>0</v>
      </c>
      <c r="AG2494">
        <v>40938.79</v>
      </c>
      <c r="AH2494">
        <v>982</v>
      </c>
      <c r="AI2494">
        <v>975</v>
      </c>
      <c r="AJ2494">
        <v>7</v>
      </c>
      <c r="AK2494">
        <v>1</v>
      </c>
      <c r="AL2494">
        <v>1</v>
      </c>
      <c r="AM2494">
        <v>99.29</v>
      </c>
      <c r="AN2494">
        <v>42.479300000000002</v>
      </c>
      <c r="AO2494">
        <v>291.82</v>
      </c>
      <c r="AP2494" s="13">
        <v>45440</v>
      </c>
      <c r="AQ2494">
        <v>-2</v>
      </c>
      <c r="AR2494">
        <v>1</v>
      </c>
    </row>
    <row r="2495" spans="1:44" x14ac:dyDescent="0.35">
      <c r="A2495" s="12" t="s">
        <v>3318</v>
      </c>
      <c r="B2495" s="12" t="s">
        <v>238</v>
      </c>
      <c r="C2495" s="12" t="s">
        <v>239</v>
      </c>
      <c r="D2495" s="12" t="s">
        <v>122</v>
      </c>
      <c r="E2495" s="12" t="s">
        <v>65</v>
      </c>
      <c r="F2495">
        <v>3</v>
      </c>
      <c r="G2495">
        <v>4</v>
      </c>
      <c r="H2495">
        <v>0</v>
      </c>
      <c r="I2495" s="12" t="s">
        <v>243</v>
      </c>
      <c r="J2495" s="12" t="s">
        <v>244</v>
      </c>
      <c r="K2495" s="12" t="s">
        <v>81</v>
      </c>
      <c r="L2495" s="12" t="s">
        <v>82</v>
      </c>
      <c r="M2495">
        <v>9.2200000000000006</v>
      </c>
      <c r="N2495" s="12" t="s">
        <v>97</v>
      </c>
      <c r="O2495" s="12" t="s">
        <v>98</v>
      </c>
      <c r="P2495" s="12" t="s">
        <v>72</v>
      </c>
      <c r="Q2495" s="13">
        <v>45400</v>
      </c>
      <c r="R2495" s="13">
        <v>45434</v>
      </c>
      <c r="S2495">
        <v>2024</v>
      </c>
      <c r="T2495" s="12" t="s">
        <v>3171</v>
      </c>
      <c r="U2495">
        <v>1577</v>
      </c>
      <c r="V2495">
        <v>36.53</v>
      </c>
      <c r="W2495">
        <v>499.15</v>
      </c>
      <c r="X2495">
        <v>0</v>
      </c>
      <c r="Y2495">
        <v>0</v>
      </c>
      <c r="Z2495">
        <v>57607.81</v>
      </c>
      <c r="AA2495">
        <v>58106.96</v>
      </c>
      <c r="AB2495" s="12" t="s">
        <v>3319</v>
      </c>
      <c r="AC2495">
        <v>36.53</v>
      </c>
      <c r="AD2495">
        <v>1</v>
      </c>
      <c r="AE2495">
        <v>1</v>
      </c>
      <c r="AF2495">
        <v>0</v>
      </c>
      <c r="AG2495">
        <v>57607.81</v>
      </c>
      <c r="AH2495">
        <v>1577</v>
      </c>
      <c r="AI2495">
        <v>1563</v>
      </c>
      <c r="AJ2495">
        <v>14</v>
      </c>
      <c r="AK2495">
        <v>1</v>
      </c>
      <c r="AL2495">
        <v>1</v>
      </c>
      <c r="AM2495">
        <v>99.11</v>
      </c>
      <c r="AN2495">
        <v>37.176600000000001</v>
      </c>
      <c r="AO2495">
        <v>511.42</v>
      </c>
      <c r="AP2495" s="13">
        <v>45432</v>
      </c>
      <c r="AQ2495">
        <v>-2</v>
      </c>
      <c r="AR2495">
        <v>1</v>
      </c>
    </row>
    <row r="2496" spans="1:44" x14ac:dyDescent="0.35">
      <c r="A2496" s="12" t="s">
        <v>3320</v>
      </c>
      <c r="B2496" s="12" t="s">
        <v>537</v>
      </c>
      <c r="C2496" s="12" t="s">
        <v>538</v>
      </c>
      <c r="D2496" s="12" t="s">
        <v>103</v>
      </c>
      <c r="E2496" s="12" t="s">
        <v>104</v>
      </c>
      <c r="F2496">
        <v>3</v>
      </c>
      <c r="G2496">
        <v>0</v>
      </c>
      <c r="H2496">
        <v>0</v>
      </c>
      <c r="I2496" s="12" t="s">
        <v>143</v>
      </c>
      <c r="J2496" s="12" t="s">
        <v>144</v>
      </c>
      <c r="K2496" s="12" t="s">
        <v>133</v>
      </c>
      <c r="L2496" s="12" t="s">
        <v>96</v>
      </c>
      <c r="M2496">
        <v>5.43</v>
      </c>
      <c r="N2496" s="12" t="s">
        <v>145</v>
      </c>
      <c r="O2496" s="12" t="s">
        <v>146</v>
      </c>
      <c r="P2496" s="12" t="s">
        <v>109</v>
      </c>
      <c r="Q2496" s="13">
        <v>45401</v>
      </c>
      <c r="R2496" s="13">
        <v>45424</v>
      </c>
      <c r="S2496">
        <v>2024</v>
      </c>
      <c r="T2496" s="12" t="s">
        <v>3171</v>
      </c>
      <c r="U2496">
        <v>97</v>
      </c>
      <c r="V2496">
        <v>240.59469999999999</v>
      </c>
      <c r="W2496">
        <v>583.24</v>
      </c>
      <c r="X2496">
        <v>0</v>
      </c>
      <c r="Y2496">
        <v>0</v>
      </c>
      <c r="Z2496">
        <v>23337.69</v>
      </c>
      <c r="AA2496">
        <v>23920.93</v>
      </c>
      <c r="AB2496" s="12" t="s">
        <v>3321</v>
      </c>
      <c r="AC2496">
        <v>240.59469999999999</v>
      </c>
      <c r="AD2496">
        <v>1</v>
      </c>
      <c r="AE2496">
        <v>1</v>
      </c>
      <c r="AF2496">
        <v>0</v>
      </c>
      <c r="AG2496">
        <v>23337.69</v>
      </c>
      <c r="AH2496">
        <v>97</v>
      </c>
      <c r="AI2496">
        <v>96</v>
      </c>
      <c r="AJ2496">
        <v>1</v>
      </c>
      <c r="AK2496">
        <v>1</v>
      </c>
      <c r="AL2496">
        <v>1</v>
      </c>
      <c r="AM2496">
        <v>98.97</v>
      </c>
      <c r="AN2496">
        <v>249.1763</v>
      </c>
      <c r="AO2496">
        <v>240.59</v>
      </c>
      <c r="AP2496" s="13">
        <v>45423</v>
      </c>
      <c r="AQ2496">
        <v>-1</v>
      </c>
      <c r="AR2496">
        <v>1</v>
      </c>
    </row>
    <row r="2497" spans="1:44" x14ac:dyDescent="0.35">
      <c r="A2497" s="12" t="s">
        <v>3322</v>
      </c>
      <c r="B2497" s="12" t="s">
        <v>565</v>
      </c>
      <c r="C2497" s="12" t="s">
        <v>566</v>
      </c>
      <c r="D2497" s="12" t="s">
        <v>122</v>
      </c>
      <c r="E2497" s="12" t="s">
        <v>104</v>
      </c>
      <c r="F2497">
        <v>3</v>
      </c>
      <c r="G2497">
        <v>1</v>
      </c>
      <c r="H2497">
        <v>0</v>
      </c>
      <c r="I2497" s="12" t="s">
        <v>87</v>
      </c>
      <c r="J2497" s="12" t="s">
        <v>88</v>
      </c>
      <c r="K2497" s="12" t="s">
        <v>89</v>
      </c>
      <c r="L2497" s="12" t="s">
        <v>69</v>
      </c>
      <c r="M2497">
        <v>14.93</v>
      </c>
      <c r="N2497" s="12" t="s">
        <v>70</v>
      </c>
      <c r="O2497" s="12" t="s">
        <v>71</v>
      </c>
      <c r="P2497" s="12" t="s">
        <v>72</v>
      </c>
      <c r="Q2497" s="13">
        <v>45401</v>
      </c>
      <c r="R2497" s="13">
        <v>45421</v>
      </c>
      <c r="S2497">
        <v>2024</v>
      </c>
      <c r="T2497" s="12" t="s">
        <v>3171</v>
      </c>
      <c r="U2497">
        <v>1090</v>
      </c>
      <c r="V2497">
        <v>34.7179</v>
      </c>
      <c r="W2497">
        <v>546.59</v>
      </c>
      <c r="X2497">
        <v>0</v>
      </c>
      <c r="Y2497">
        <v>0</v>
      </c>
      <c r="Z2497">
        <v>37842.51</v>
      </c>
      <c r="AA2497">
        <v>38389.1</v>
      </c>
      <c r="AB2497" s="12" t="s">
        <v>3238</v>
      </c>
      <c r="AC2497">
        <v>34.7179</v>
      </c>
      <c r="AD2497">
        <v>1</v>
      </c>
      <c r="AE2497">
        <v>1</v>
      </c>
      <c r="AF2497">
        <v>0</v>
      </c>
      <c r="AG2497">
        <v>37842.51</v>
      </c>
      <c r="AH2497">
        <v>1090</v>
      </c>
      <c r="AI2497">
        <v>1082</v>
      </c>
      <c r="AJ2497">
        <v>8</v>
      </c>
      <c r="AK2497">
        <v>1</v>
      </c>
      <c r="AL2497">
        <v>1</v>
      </c>
      <c r="AM2497">
        <v>99.27</v>
      </c>
      <c r="AN2497">
        <v>35.479799999999997</v>
      </c>
      <c r="AO2497">
        <v>277.74</v>
      </c>
      <c r="AP2497" s="13">
        <v>45421</v>
      </c>
      <c r="AQ2497">
        <v>0</v>
      </c>
      <c r="AR2497">
        <v>1</v>
      </c>
    </row>
    <row r="2498" spans="1:44" x14ac:dyDescent="0.35">
      <c r="A2498" s="12" t="s">
        <v>3323</v>
      </c>
      <c r="B2498" s="12" t="s">
        <v>843</v>
      </c>
      <c r="C2498" s="12" t="s">
        <v>844</v>
      </c>
      <c r="D2498" s="12" t="s">
        <v>175</v>
      </c>
      <c r="E2498" s="12" t="s">
        <v>65</v>
      </c>
      <c r="F2498">
        <v>3</v>
      </c>
      <c r="G2498">
        <v>5</v>
      </c>
      <c r="H2498">
        <v>0</v>
      </c>
      <c r="I2498" s="12" t="s">
        <v>359</v>
      </c>
      <c r="J2498" s="12" t="s">
        <v>360</v>
      </c>
      <c r="K2498" s="12" t="s">
        <v>133</v>
      </c>
      <c r="L2498" s="12" t="s">
        <v>82</v>
      </c>
      <c r="M2498">
        <v>12.65</v>
      </c>
      <c r="N2498" s="12" t="s">
        <v>107</v>
      </c>
      <c r="O2498" s="12" t="s">
        <v>108</v>
      </c>
      <c r="P2498" s="12" t="s">
        <v>109</v>
      </c>
      <c r="Q2498" s="13">
        <v>45401</v>
      </c>
      <c r="R2498" s="13">
        <v>45428</v>
      </c>
      <c r="S2498">
        <v>2024</v>
      </c>
      <c r="T2498" s="12" t="s">
        <v>3171</v>
      </c>
      <c r="U2498">
        <v>63</v>
      </c>
      <c r="V2498">
        <v>251.77279999999999</v>
      </c>
      <c r="W2498">
        <v>313.85000000000002</v>
      </c>
      <c r="X2498">
        <v>0</v>
      </c>
      <c r="Y2498">
        <v>0</v>
      </c>
      <c r="Z2498">
        <v>15861.69</v>
      </c>
      <c r="AA2498">
        <v>16175.54</v>
      </c>
      <c r="AB2498" s="12" t="s">
        <v>3324</v>
      </c>
      <c r="AC2498">
        <v>251.77279999999999</v>
      </c>
      <c r="AD2498">
        <v>1</v>
      </c>
      <c r="AE2498">
        <v>1</v>
      </c>
      <c r="AF2498">
        <v>0</v>
      </c>
      <c r="AG2498">
        <v>15861.69</v>
      </c>
      <c r="AH2498">
        <v>63</v>
      </c>
      <c r="AI2498">
        <v>62</v>
      </c>
      <c r="AJ2498">
        <v>1</v>
      </c>
      <c r="AK2498">
        <v>1</v>
      </c>
      <c r="AL2498">
        <v>1</v>
      </c>
      <c r="AM2498">
        <v>98.41</v>
      </c>
      <c r="AN2498">
        <v>260.89569999999998</v>
      </c>
      <c r="AO2498">
        <v>251.77</v>
      </c>
      <c r="AP2498" s="13">
        <v>45427</v>
      </c>
      <c r="AQ2498">
        <v>-1</v>
      </c>
      <c r="AR2498">
        <v>1</v>
      </c>
    </row>
    <row r="2499" spans="1:44" x14ac:dyDescent="0.35">
      <c r="A2499" s="12" t="s">
        <v>3325</v>
      </c>
      <c r="B2499" s="12" t="s">
        <v>630</v>
      </c>
      <c r="C2499" s="12" t="s">
        <v>631</v>
      </c>
      <c r="D2499" s="12" t="s">
        <v>130</v>
      </c>
      <c r="E2499" s="12" t="s">
        <v>65</v>
      </c>
      <c r="F2499">
        <v>1</v>
      </c>
      <c r="G2499">
        <v>2</v>
      </c>
      <c r="H2499">
        <v>1</v>
      </c>
      <c r="I2499" s="12" t="s">
        <v>335</v>
      </c>
      <c r="J2499" s="12" t="s">
        <v>336</v>
      </c>
      <c r="K2499" s="12" t="s">
        <v>89</v>
      </c>
      <c r="L2499" s="12" t="s">
        <v>82</v>
      </c>
      <c r="M2499">
        <v>16</v>
      </c>
      <c r="N2499" s="12" t="s">
        <v>159</v>
      </c>
      <c r="O2499" s="12" t="s">
        <v>160</v>
      </c>
      <c r="P2499" s="12" t="s">
        <v>137</v>
      </c>
      <c r="Q2499" s="13">
        <v>45401</v>
      </c>
      <c r="R2499" s="13">
        <v>45438</v>
      </c>
      <c r="S2499">
        <v>2024</v>
      </c>
      <c r="T2499" s="12" t="s">
        <v>3171</v>
      </c>
      <c r="U2499">
        <v>136</v>
      </c>
      <c r="V2499">
        <v>420.25069999999999</v>
      </c>
      <c r="W2499">
        <v>987.65</v>
      </c>
      <c r="X2499">
        <v>0</v>
      </c>
      <c r="Y2499">
        <v>0</v>
      </c>
      <c r="Z2499">
        <v>57154.1</v>
      </c>
      <c r="AA2499">
        <v>58141.75</v>
      </c>
      <c r="AB2499" s="12" t="s">
        <v>2944</v>
      </c>
      <c r="AC2499">
        <v>446.36720000000003</v>
      </c>
      <c r="AD2499">
        <v>1</v>
      </c>
      <c r="AE2499">
        <v>1</v>
      </c>
      <c r="AF2499">
        <v>-3551.84</v>
      </c>
      <c r="AG2499">
        <v>60705.94</v>
      </c>
      <c r="AH2499">
        <v>136</v>
      </c>
      <c r="AI2499">
        <v>135</v>
      </c>
      <c r="AJ2499">
        <v>1</v>
      </c>
      <c r="AK2499">
        <v>1</v>
      </c>
      <c r="AL2499">
        <v>1</v>
      </c>
      <c r="AM2499">
        <v>99.26</v>
      </c>
      <c r="AN2499">
        <v>430.67959999999999</v>
      </c>
      <c r="AO2499">
        <v>420.25</v>
      </c>
      <c r="AP2499" s="13">
        <v>45438</v>
      </c>
      <c r="AQ2499">
        <v>0</v>
      </c>
      <c r="AR2499">
        <v>1</v>
      </c>
    </row>
    <row r="2500" spans="1:44" x14ac:dyDescent="0.35">
      <c r="A2500" s="12" t="s">
        <v>3326</v>
      </c>
      <c r="B2500" s="12" t="s">
        <v>350</v>
      </c>
      <c r="C2500" s="12" t="s">
        <v>351</v>
      </c>
      <c r="D2500" s="12" t="s">
        <v>64</v>
      </c>
      <c r="E2500" s="12" t="s">
        <v>104</v>
      </c>
      <c r="F2500">
        <v>3</v>
      </c>
      <c r="G2500">
        <v>1</v>
      </c>
      <c r="H2500">
        <v>0</v>
      </c>
      <c r="I2500" s="12" t="s">
        <v>486</v>
      </c>
      <c r="J2500" s="12" t="s">
        <v>487</v>
      </c>
      <c r="K2500" s="12" t="s">
        <v>125</v>
      </c>
      <c r="L2500" s="12" t="s">
        <v>69</v>
      </c>
      <c r="M2500">
        <v>36.86</v>
      </c>
      <c r="N2500" s="12" t="s">
        <v>70</v>
      </c>
      <c r="O2500" s="12" t="s">
        <v>71</v>
      </c>
      <c r="P2500" s="12" t="s">
        <v>72</v>
      </c>
      <c r="Q2500" s="13">
        <v>45401</v>
      </c>
      <c r="R2500" s="13">
        <v>45423</v>
      </c>
      <c r="S2500">
        <v>2024</v>
      </c>
      <c r="T2500" s="12" t="s">
        <v>3171</v>
      </c>
      <c r="U2500">
        <v>624</v>
      </c>
      <c r="V2500">
        <v>8.4832000000000001</v>
      </c>
      <c r="W2500">
        <v>97.29</v>
      </c>
      <c r="X2500">
        <v>0</v>
      </c>
      <c r="Y2500">
        <v>0</v>
      </c>
      <c r="Z2500">
        <v>5293.52</v>
      </c>
      <c r="AA2500">
        <v>5390.81</v>
      </c>
      <c r="AB2500" s="12" t="s">
        <v>2933</v>
      </c>
      <c r="AC2500">
        <v>8.4832000000000001</v>
      </c>
      <c r="AD2500">
        <v>1</v>
      </c>
      <c r="AE2500">
        <v>1</v>
      </c>
      <c r="AF2500">
        <v>0</v>
      </c>
      <c r="AG2500">
        <v>5293.52</v>
      </c>
      <c r="AH2500">
        <v>624</v>
      </c>
      <c r="AI2500">
        <v>621</v>
      </c>
      <c r="AJ2500">
        <v>3</v>
      </c>
      <c r="AK2500">
        <v>1</v>
      </c>
      <c r="AL2500">
        <v>1</v>
      </c>
      <c r="AM2500">
        <v>99.52</v>
      </c>
      <c r="AN2500">
        <v>8.6807999999999996</v>
      </c>
      <c r="AO2500">
        <v>25.45</v>
      </c>
      <c r="AP2500" s="13">
        <v>45422</v>
      </c>
      <c r="AQ2500">
        <v>-1</v>
      </c>
      <c r="AR2500">
        <v>1</v>
      </c>
    </row>
    <row r="2501" spans="1:44" x14ac:dyDescent="0.35">
      <c r="A2501" s="12" t="s">
        <v>3327</v>
      </c>
      <c r="B2501" s="12" t="s">
        <v>399</v>
      </c>
      <c r="C2501" s="12" t="s">
        <v>400</v>
      </c>
      <c r="D2501" s="12" t="s">
        <v>114</v>
      </c>
      <c r="E2501" s="12" t="s">
        <v>65</v>
      </c>
      <c r="F2501">
        <v>1</v>
      </c>
      <c r="G2501">
        <v>2</v>
      </c>
      <c r="H2501">
        <v>1</v>
      </c>
      <c r="I2501" s="12" t="s">
        <v>151</v>
      </c>
      <c r="J2501" s="12" t="s">
        <v>152</v>
      </c>
      <c r="K2501" s="12" t="s">
        <v>125</v>
      </c>
      <c r="L2501" s="12" t="s">
        <v>69</v>
      </c>
      <c r="M2501">
        <v>36.479999999999997</v>
      </c>
      <c r="N2501" s="12" t="s">
        <v>70</v>
      </c>
      <c r="O2501" s="12" t="s">
        <v>71</v>
      </c>
      <c r="P2501" s="12" t="s">
        <v>72</v>
      </c>
      <c r="Q2501" s="13">
        <v>45401</v>
      </c>
      <c r="R2501" s="13">
        <v>45430</v>
      </c>
      <c r="S2501">
        <v>2024</v>
      </c>
      <c r="T2501" s="12" t="s">
        <v>3171</v>
      </c>
      <c r="U2501">
        <v>75</v>
      </c>
      <c r="V2501">
        <v>292.26440000000002</v>
      </c>
      <c r="W2501">
        <v>527.04999999999995</v>
      </c>
      <c r="X2501">
        <v>0</v>
      </c>
      <c r="Y2501">
        <v>0</v>
      </c>
      <c r="Z2501">
        <v>21919.83</v>
      </c>
      <c r="AA2501">
        <v>22446.880000000001</v>
      </c>
      <c r="AB2501" s="12" t="s">
        <v>3009</v>
      </c>
      <c r="AC2501">
        <v>292.26440000000002</v>
      </c>
      <c r="AD2501">
        <v>1</v>
      </c>
      <c r="AE2501">
        <v>1</v>
      </c>
      <c r="AF2501">
        <v>0</v>
      </c>
      <c r="AG2501">
        <v>21919.83</v>
      </c>
      <c r="AH2501">
        <v>75</v>
      </c>
      <c r="AI2501">
        <v>73</v>
      </c>
      <c r="AJ2501">
        <v>2</v>
      </c>
      <c r="AK2501">
        <v>1</v>
      </c>
      <c r="AL2501">
        <v>1</v>
      </c>
      <c r="AM2501">
        <v>97.33</v>
      </c>
      <c r="AN2501">
        <v>307.49149999999997</v>
      </c>
      <c r="AO2501">
        <v>584.53</v>
      </c>
      <c r="AP2501" s="13">
        <v>45427</v>
      </c>
      <c r="AQ2501">
        <v>-3</v>
      </c>
      <c r="AR2501">
        <v>1</v>
      </c>
    </row>
    <row r="2502" spans="1:44" x14ac:dyDescent="0.35">
      <c r="A2502" s="12" t="s">
        <v>3328</v>
      </c>
      <c r="B2502" s="12" t="s">
        <v>728</v>
      </c>
      <c r="C2502" s="12" t="s">
        <v>729</v>
      </c>
      <c r="D2502" s="12" t="s">
        <v>269</v>
      </c>
      <c r="E2502" s="12" t="s">
        <v>65</v>
      </c>
      <c r="F2502">
        <v>2</v>
      </c>
      <c r="G2502">
        <v>3</v>
      </c>
      <c r="H2502">
        <v>0</v>
      </c>
      <c r="I2502" s="12" t="s">
        <v>310</v>
      </c>
      <c r="J2502" s="12" t="s">
        <v>311</v>
      </c>
      <c r="K2502" s="12" t="s">
        <v>81</v>
      </c>
      <c r="L2502" s="12" t="s">
        <v>69</v>
      </c>
      <c r="M2502">
        <v>28.3</v>
      </c>
      <c r="N2502" s="12" t="s">
        <v>159</v>
      </c>
      <c r="O2502" s="12" t="s">
        <v>160</v>
      </c>
      <c r="P2502" s="12" t="s">
        <v>137</v>
      </c>
      <c r="Q2502" s="13">
        <v>45401</v>
      </c>
      <c r="R2502" s="13">
        <v>45430</v>
      </c>
      <c r="S2502">
        <v>2024</v>
      </c>
      <c r="T2502" s="12" t="s">
        <v>3171</v>
      </c>
      <c r="U2502">
        <v>73</v>
      </c>
      <c r="V2502">
        <v>364.55509999999998</v>
      </c>
      <c r="W2502">
        <v>506.07</v>
      </c>
      <c r="X2502">
        <v>0</v>
      </c>
      <c r="Y2502">
        <v>0</v>
      </c>
      <c r="Z2502">
        <v>26612.52</v>
      </c>
      <c r="AA2502">
        <v>27118.59</v>
      </c>
      <c r="AB2502" s="12" t="s">
        <v>3329</v>
      </c>
      <c r="AC2502">
        <v>364.55509999999998</v>
      </c>
      <c r="AD2502">
        <v>1</v>
      </c>
      <c r="AE2502">
        <v>1</v>
      </c>
      <c r="AF2502">
        <v>0</v>
      </c>
      <c r="AG2502">
        <v>26612.52</v>
      </c>
      <c r="AH2502">
        <v>73</v>
      </c>
      <c r="AI2502">
        <v>73</v>
      </c>
      <c r="AJ2502">
        <v>0</v>
      </c>
      <c r="AK2502">
        <v>1</v>
      </c>
      <c r="AL2502">
        <v>1</v>
      </c>
      <c r="AM2502">
        <v>100</v>
      </c>
      <c r="AN2502">
        <v>371.48759999999999</v>
      </c>
      <c r="AO2502">
        <v>0</v>
      </c>
      <c r="AP2502" s="13">
        <v>45429</v>
      </c>
      <c r="AQ2502">
        <v>-1</v>
      </c>
      <c r="AR2502">
        <v>1</v>
      </c>
    </row>
    <row r="2503" spans="1:44" x14ac:dyDescent="0.35">
      <c r="A2503" s="12" t="s">
        <v>3330</v>
      </c>
      <c r="B2503" s="12" t="s">
        <v>207</v>
      </c>
      <c r="C2503" s="12" t="s">
        <v>208</v>
      </c>
      <c r="D2503" s="12" t="s">
        <v>78</v>
      </c>
      <c r="E2503" s="12" t="s">
        <v>65</v>
      </c>
      <c r="F2503">
        <v>2</v>
      </c>
      <c r="G2503">
        <v>3</v>
      </c>
      <c r="H2503">
        <v>0</v>
      </c>
      <c r="I2503" s="12" t="s">
        <v>209</v>
      </c>
      <c r="J2503" s="12" t="s">
        <v>210</v>
      </c>
      <c r="K2503" s="12" t="s">
        <v>133</v>
      </c>
      <c r="L2503" s="12" t="s">
        <v>96</v>
      </c>
      <c r="M2503">
        <v>7.82</v>
      </c>
      <c r="N2503" s="12" t="s">
        <v>70</v>
      </c>
      <c r="O2503" s="12" t="s">
        <v>71</v>
      </c>
      <c r="P2503" s="12" t="s">
        <v>72</v>
      </c>
      <c r="Q2503" s="13">
        <v>45401</v>
      </c>
      <c r="R2503" s="13">
        <v>45438</v>
      </c>
      <c r="S2503">
        <v>2024</v>
      </c>
      <c r="T2503" s="12" t="s">
        <v>3171</v>
      </c>
      <c r="U2503">
        <v>278</v>
      </c>
      <c r="V2503">
        <v>148.61590000000001</v>
      </c>
      <c r="W2503">
        <v>882.51</v>
      </c>
      <c r="X2503">
        <v>0</v>
      </c>
      <c r="Y2503">
        <v>0</v>
      </c>
      <c r="Z2503">
        <v>41315.22</v>
      </c>
      <c r="AA2503">
        <v>42197.73</v>
      </c>
      <c r="AB2503" s="12" t="s">
        <v>2832</v>
      </c>
      <c r="AC2503">
        <v>148.61590000000001</v>
      </c>
      <c r="AD2503">
        <v>1</v>
      </c>
      <c r="AE2503">
        <v>1</v>
      </c>
      <c r="AF2503">
        <v>0</v>
      </c>
      <c r="AG2503">
        <v>41315.22</v>
      </c>
      <c r="AH2503">
        <v>278</v>
      </c>
      <c r="AI2503">
        <v>276</v>
      </c>
      <c r="AJ2503">
        <v>2</v>
      </c>
      <c r="AK2503">
        <v>1</v>
      </c>
      <c r="AL2503">
        <v>1</v>
      </c>
      <c r="AM2503">
        <v>99.28</v>
      </c>
      <c r="AN2503">
        <v>152.8903</v>
      </c>
      <c r="AO2503">
        <v>297.23</v>
      </c>
      <c r="AP2503" s="13">
        <v>45436</v>
      </c>
      <c r="AQ2503">
        <v>-2</v>
      </c>
      <c r="AR2503">
        <v>1</v>
      </c>
    </row>
    <row r="2504" spans="1:44" x14ac:dyDescent="0.35">
      <c r="A2504" s="12" t="s">
        <v>3331</v>
      </c>
      <c r="B2504" s="12" t="s">
        <v>869</v>
      </c>
      <c r="C2504" s="12" t="s">
        <v>870</v>
      </c>
      <c r="D2504" s="12" t="s">
        <v>130</v>
      </c>
      <c r="E2504" s="12" t="s">
        <v>104</v>
      </c>
      <c r="F2504">
        <v>2</v>
      </c>
      <c r="G2504">
        <v>0</v>
      </c>
      <c r="H2504">
        <v>0</v>
      </c>
      <c r="I2504" s="12" t="s">
        <v>515</v>
      </c>
      <c r="J2504" s="12" t="s">
        <v>516</v>
      </c>
      <c r="K2504" s="12" t="s">
        <v>68</v>
      </c>
      <c r="L2504" s="12" t="s">
        <v>134</v>
      </c>
      <c r="M2504">
        <v>3.69</v>
      </c>
      <c r="N2504" s="12" t="s">
        <v>135</v>
      </c>
      <c r="O2504" s="12" t="s">
        <v>136</v>
      </c>
      <c r="P2504" s="12" t="s">
        <v>137</v>
      </c>
      <c r="Q2504" s="13">
        <v>45401</v>
      </c>
      <c r="R2504" s="13">
        <v>45423</v>
      </c>
      <c r="S2504">
        <v>2024</v>
      </c>
      <c r="T2504" s="12" t="s">
        <v>3171</v>
      </c>
      <c r="U2504">
        <v>89</v>
      </c>
      <c r="V2504">
        <v>638.23649999999998</v>
      </c>
      <c r="W2504">
        <v>879.07</v>
      </c>
      <c r="X2504">
        <v>0</v>
      </c>
      <c r="Y2504">
        <v>0</v>
      </c>
      <c r="Z2504">
        <v>56803.05</v>
      </c>
      <c r="AA2504">
        <v>57682.12</v>
      </c>
      <c r="AB2504" s="12" t="s">
        <v>201</v>
      </c>
      <c r="AD2504">
        <v>0</v>
      </c>
      <c r="AE2504">
        <v>0</v>
      </c>
      <c r="AH2504">
        <v>89</v>
      </c>
      <c r="AI2504">
        <v>89</v>
      </c>
      <c r="AJ2504">
        <v>0</v>
      </c>
      <c r="AK2504">
        <v>1</v>
      </c>
      <c r="AL2504">
        <v>1</v>
      </c>
      <c r="AM2504">
        <v>100</v>
      </c>
      <c r="AN2504">
        <v>648.11369999999999</v>
      </c>
      <c r="AO2504">
        <v>0</v>
      </c>
      <c r="AP2504" s="13">
        <v>45421</v>
      </c>
      <c r="AQ2504">
        <v>-2</v>
      </c>
      <c r="AR2504">
        <v>1</v>
      </c>
    </row>
    <row r="2505" spans="1:44" x14ac:dyDescent="0.35">
      <c r="A2505" s="12" t="s">
        <v>3332</v>
      </c>
      <c r="B2505" s="12" t="s">
        <v>1013</v>
      </c>
      <c r="C2505" s="12" t="s">
        <v>1014</v>
      </c>
      <c r="D2505" s="12" t="s">
        <v>78</v>
      </c>
      <c r="E2505" s="12" t="s">
        <v>65</v>
      </c>
      <c r="F2505">
        <v>2</v>
      </c>
      <c r="G2505">
        <v>3</v>
      </c>
      <c r="H2505">
        <v>0</v>
      </c>
      <c r="I2505" s="12" t="s">
        <v>359</v>
      </c>
      <c r="J2505" s="12" t="s">
        <v>360</v>
      </c>
      <c r="K2505" s="12" t="s">
        <v>133</v>
      </c>
      <c r="L2505" s="12" t="s">
        <v>82</v>
      </c>
      <c r="M2505">
        <v>12.65</v>
      </c>
      <c r="N2505" s="12" t="s">
        <v>97</v>
      </c>
      <c r="O2505" s="12" t="s">
        <v>98</v>
      </c>
      <c r="P2505" s="12" t="s">
        <v>72</v>
      </c>
      <c r="Q2505" s="13">
        <v>45401</v>
      </c>
      <c r="R2505" s="13">
        <v>45433</v>
      </c>
      <c r="S2505">
        <v>2024</v>
      </c>
      <c r="T2505" s="12" t="s">
        <v>3171</v>
      </c>
      <c r="U2505">
        <v>208</v>
      </c>
      <c r="V2505">
        <v>125.2653</v>
      </c>
      <c r="W2505">
        <v>313.93</v>
      </c>
      <c r="X2505">
        <v>0</v>
      </c>
      <c r="Y2505">
        <v>0</v>
      </c>
      <c r="Z2505">
        <v>26055.18</v>
      </c>
      <c r="AA2505">
        <v>26369.11</v>
      </c>
      <c r="AB2505" s="12" t="s">
        <v>2113</v>
      </c>
      <c r="AC2505">
        <v>125.2653</v>
      </c>
      <c r="AD2505">
        <v>1</v>
      </c>
      <c r="AE2505">
        <v>1</v>
      </c>
      <c r="AF2505">
        <v>0</v>
      </c>
      <c r="AG2505">
        <v>26055.18</v>
      </c>
      <c r="AH2505">
        <v>208</v>
      </c>
      <c r="AI2505">
        <v>206</v>
      </c>
      <c r="AJ2505">
        <v>2</v>
      </c>
      <c r="AK2505">
        <v>1</v>
      </c>
      <c r="AL2505">
        <v>1</v>
      </c>
      <c r="AM2505">
        <v>99.04</v>
      </c>
      <c r="AN2505">
        <v>128.00540000000001</v>
      </c>
      <c r="AO2505">
        <v>250.53</v>
      </c>
      <c r="AP2505" s="13">
        <v>45430</v>
      </c>
      <c r="AQ2505">
        <v>-3</v>
      </c>
      <c r="AR2505">
        <v>1</v>
      </c>
    </row>
    <row r="2506" spans="1:44" x14ac:dyDescent="0.35">
      <c r="A2506" s="12" t="s">
        <v>3333</v>
      </c>
      <c r="B2506" s="12" t="s">
        <v>140</v>
      </c>
      <c r="C2506" s="12" t="s">
        <v>141</v>
      </c>
      <c r="D2506" s="12" t="s">
        <v>103</v>
      </c>
      <c r="E2506" s="12" t="s">
        <v>142</v>
      </c>
      <c r="F2506">
        <v>1</v>
      </c>
      <c r="G2506">
        <v>7</v>
      </c>
      <c r="H2506">
        <v>1</v>
      </c>
      <c r="I2506" s="12" t="s">
        <v>143</v>
      </c>
      <c r="J2506" s="12" t="s">
        <v>144</v>
      </c>
      <c r="K2506" s="12" t="s">
        <v>133</v>
      </c>
      <c r="L2506" s="12" t="s">
        <v>96</v>
      </c>
      <c r="M2506">
        <v>5.43</v>
      </c>
      <c r="N2506" s="12" t="s">
        <v>107</v>
      </c>
      <c r="O2506" s="12" t="s">
        <v>108</v>
      </c>
      <c r="P2506" s="12" t="s">
        <v>109</v>
      </c>
      <c r="Q2506" s="13">
        <v>45401</v>
      </c>
      <c r="R2506" s="13">
        <v>45447</v>
      </c>
      <c r="S2506">
        <v>2024</v>
      </c>
      <c r="T2506" s="12" t="s">
        <v>3171</v>
      </c>
      <c r="U2506">
        <v>96</v>
      </c>
      <c r="V2506">
        <v>211.35810000000001</v>
      </c>
      <c r="W2506">
        <v>363.83</v>
      </c>
      <c r="X2506">
        <v>0</v>
      </c>
      <c r="Y2506">
        <v>0</v>
      </c>
      <c r="Z2506">
        <v>20290.38</v>
      </c>
      <c r="AA2506">
        <v>20654.21</v>
      </c>
      <c r="AB2506" s="12" t="s">
        <v>2815</v>
      </c>
      <c r="AC2506">
        <v>211.35810000000001</v>
      </c>
      <c r="AD2506">
        <v>1</v>
      </c>
      <c r="AE2506">
        <v>1</v>
      </c>
      <c r="AF2506">
        <v>0</v>
      </c>
      <c r="AG2506">
        <v>20290.38</v>
      </c>
      <c r="AH2506">
        <v>96</v>
      </c>
      <c r="AI2506">
        <v>95</v>
      </c>
      <c r="AJ2506">
        <v>1</v>
      </c>
      <c r="AK2506">
        <v>1</v>
      </c>
      <c r="AL2506">
        <v>1</v>
      </c>
      <c r="AM2506">
        <v>98.96</v>
      </c>
      <c r="AN2506">
        <v>217.4127</v>
      </c>
      <c r="AO2506">
        <v>211.36</v>
      </c>
      <c r="AP2506" s="13">
        <v>45447</v>
      </c>
      <c r="AQ2506">
        <v>0</v>
      </c>
      <c r="AR2506">
        <v>1</v>
      </c>
    </row>
    <row r="2507" spans="1:44" x14ac:dyDescent="0.35">
      <c r="A2507" s="12" t="s">
        <v>3334</v>
      </c>
      <c r="B2507" s="12" t="s">
        <v>640</v>
      </c>
      <c r="C2507" s="12" t="s">
        <v>641</v>
      </c>
      <c r="D2507" s="12" t="s">
        <v>130</v>
      </c>
      <c r="E2507" s="12" t="s">
        <v>104</v>
      </c>
      <c r="F2507">
        <v>3</v>
      </c>
      <c r="G2507">
        <v>0</v>
      </c>
      <c r="H2507">
        <v>0</v>
      </c>
      <c r="I2507" s="12" t="s">
        <v>209</v>
      </c>
      <c r="J2507" s="12" t="s">
        <v>210</v>
      </c>
      <c r="K2507" s="12" t="s">
        <v>133</v>
      </c>
      <c r="L2507" s="12" t="s">
        <v>96</v>
      </c>
      <c r="M2507">
        <v>7.82</v>
      </c>
      <c r="N2507" s="12" t="s">
        <v>135</v>
      </c>
      <c r="O2507" s="12" t="s">
        <v>136</v>
      </c>
      <c r="P2507" s="12" t="s">
        <v>137</v>
      </c>
      <c r="Q2507" s="13">
        <v>45401</v>
      </c>
      <c r="R2507" s="13">
        <v>45421</v>
      </c>
      <c r="S2507">
        <v>2024</v>
      </c>
      <c r="T2507" s="12" t="s">
        <v>3171</v>
      </c>
      <c r="U2507">
        <v>79</v>
      </c>
      <c r="V2507">
        <v>977.20889999999997</v>
      </c>
      <c r="W2507">
        <v>1915.62</v>
      </c>
      <c r="X2507">
        <v>0</v>
      </c>
      <c r="Y2507">
        <v>0</v>
      </c>
      <c r="Z2507">
        <v>77199.5</v>
      </c>
      <c r="AA2507">
        <v>79115.12</v>
      </c>
      <c r="AB2507" s="12" t="s">
        <v>3211</v>
      </c>
      <c r="AC2507">
        <v>977.20889999999997</v>
      </c>
      <c r="AD2507">
        <v>1</v>
      </c>
      <c r="AE2507">
        <v>1</v>
      </c>
      <c r="AF2507">
        <v>0</v>
      </c>
      <c r="AG2507">
        <v>77199.5</v>
      </c>
      <c r="AH2507">
        <v>79</v>
      </c>
      <c r="AI2507">
        <v>78</v>
      </c>
      <c r="AJ2507">
        <v>1</v>
      </c>
      <c r="AK2507">
        <v>1</v>
      </c>
      <c r="AL2507">
        <v>1</v>
      </c>
      <c r="AM2507">
        <v>98.73</v>
      </c>
      <c r="AN2507">
        <v>1014.2965</v>
      </c>
      <c r="AO2507">
        <v>977.21</v>
      </c>
      <c r="AP2507" s="13">
        <v>45421</v>
      </c>
      <c r="AQ2507">
        <v>0</v>
      </c>
      <c r="AR2507">
        <v>1</v>
      </c>
    </row>
    <row r="2508" spans="1:44" x14ac:dyDescent="0.35">
      <c r="A2508" s="12" t="s">
        <v>3335</v>
      </c>
      <c r="B2508" s="12" t="s">
        <v>428</v>
      </c>
      <c r="C2508" s="12" t="s">
        <v>429</v>
      </c>
      <c r="D2508" s="12" t="s">
        <v>64</v>
      </c>
      <c r="E2508" s="12" t="s">
        <v>65</v>
      </c>
      <c r="F2508">
        <v>3</v>
      </c>
      <c r="G2508">
        <v>4</v>
      </c>
      <c r="H2508">
        <v>0</v>
      </c>
      <c r="I2508" s="12" t="s">
        <v>105</v>
      </c>
      <c r="J2508" s="12" t="s">
        <v>106</v>
      </c>
      <c r="K2508" s="12" t="s">
        <v>81</v>
      </c>
      <c r="L2508" s="12" t="s">
        <v>96</v>
      </c>
      <c r="M2508">
        <v>5.01</v>
      </c>
      <c r="N2508" s="12" t="s">
        <v>97</v>
      </c>
      <c r="O2508" s="12" t="s">
        <v>98</v>
      </c>
      <c r="P2508" s="12" t="s">
        <v>72</v>
      </c>
      <c r="Q2508" s="13">
        <v>45401</v>
      </c>
      <c r="R2508" s="13">
        <v>45430</v>
      </c>
      <c r="S2508">
        <v>2024</v>
      </c>
      <c r="T2508" s="12" t="s">
        <v>3171</v>
      </c>
      <c r="U2508">
        <v>538</v>
      </c>
      <c r="V2508">
        <v>13.144299999999999</v>
      </c>
      <c r="W2508">
        <v>137.31</v>
      </c>
      <c r="X2508">
        <v>0</v>
      </c>
      <c r="Y2508">
        <v>0</v>
      </c>
      <c r="Z2508">
        <v>7071.63</v>
      </c>
      <c r="AA2508">
        <v>7208.94</v>
      </c>
      <c r="AB2508" s="12" t="s">
        <v>3004</v>
      </c>
      <c r="AC2508">
        <v>13.953099999999999</v>
      </c>
      <c r="AD2508">
        <v>1</v>
      </c>
      <c r="AE2508">
        <v>1</v>
      </c>
      <c r="AF2508">
        <v>-435.13</v>
      </c>
      <c r="AG2508">
        <v>7506.77</v>
      </c>
      <c r="AH2508">
        <v>538</v>
      </c>
      <c r="AI2508">
        <v>536</v>
      </c>
      <c r="AJ2508">
        <v>2</v>
      </c>
      <c r="AK2508">
        <v>1</v>
      </c>
      <c r="AL2508">
        <v>1</v>
      </c>
      <c r="AM2508">
        <v>99.63</v>
      </c>
      <c r="AN2508">
        <v>13.4495</v>
      </c>
      <c r="AO2508">
        <v>26.29</v>
      </c>
      <c r="AP2508" s="13">
        <v>45428</v>
      </c>
      <c r="AQ2508">
        <v>-2</v>
      </c>
      <c r="AR2508">
        <v>1</v>
      </c>
    </row>
    <row r="2509" spans="1:44" x14ac:dyDescent="0.35">
      <c r="A2509" s="12" t="s">
        <v>3336</v>
      </c>
      <c r="B2509" s="12" t="s">
        <v>350</v>
      </c>
      <c r="C2509" s="12" t="s">
        <v>351</v>
      </c>
      <c r="D2509" s="12" t="s">
        <v>64</v>
      </c>
      <c r="E2509" s="12" t="s">
        <v>104</v>
      </c>
      <c r="F2509">
        <v>3</v>
      </c>
      <c r="G2509">
        <v>1</v>
      </c>
      <c r="H2509">
        <v>0</v>
      </c>
      <c r="I2509" s="12" t="s">
        <v>223</v>
      </c>
      <c r="J2509" s="12" t="s">
        <v>224</v>
      </c>
      <c r="K2509" s="12" t="s">
        <v>81</v>
      </c>
      <c r="L2509" s="12" t="s">
        <v>134</v>
      </c>
      <c r="M2509">
        <v>2.4900000000000002</v>
      </c>
      <c r="N2509" s="12" t="s">
        <v>97</v>
      </c>
      <c r="O2509" s="12" t="s">
        <v>98</v>
      </c>
      <c r="P2509" s="12" t="s">
        <v>72</v>
      </c>
      <c r="Q2509" s="13">
        <v>45404</v>
      </c>
      <c r="R2509" s="13">
        <v>45429</v>
      </c>
      <c r="S2509">
        <v>2024</v>
      </c>
      <c r="T2509" s="12" t="s">
        <v>3171</v>
      </c>
      <c r="U2509">
        <v>758</v>
      </c>
      <c r="V2509">
        <v>9.2344000000000008</v>
      </c>
      <c r="W2509">
        <v>47.65</v>
      </c>
      <c r="X2509">
        <v>0</v>
      </c>
      <c r="Y2509">
        <v>0</v>
      </c>
      <c r="Z2509">
        <v>6999.68</v>
      </c>
      <c r="AA2509">
        <v>7047.33</v>
      </c>
      <c r="AB2509" s="12" t="s">
        <v>201</v>
      </c>
      <c r="AD2509">
        <v>0</v>
      </c>
      <c r="AE2509">
        <v>0</v>
      </c>
      <c r="AH2509">
        <v>758</v>
      </c>
      <c r="AI2509">
        <v>754</v>
      </c>
      <c r="AJ2509">
        <v>4</v>
      </c>
      <c r="AK2509">
        <v>1</v>
      </c>
      <c r="AL2509">
        <v>1</v>
      </c>
      <c r="AM2509">
        <v>99.47</v>
      </c>
      <c r="AN2509">
        <v>9.3466000000000005</v>
      </c>
      <c r="AO2509">
        <v>36.94</v>
      </c>
      <c r="AP2509" s="13">
        <v>45427</v>
      </c>
      <c r="AQ2509">
        <v>-2</v>
      </c>
      <c r="AR2509">
        <v>1</v>
      </c>
    </row>
    <row r="2510" spans="1:44" x14ac:dyDescent="0.35">
      <c r="A2510" s="12" t="s">
        <v>3337</v>
      </c>
      <c r="B2510" s="12" t="s">
        <v>339</v>
      </c>
      <c r="C2510" s="12" t="s">
        <v>340</v>
      </c>
      <c r="D2510" s="12" t="s">
        <v>103</v>
      </c>
      <c r="E2510" s="12" t="s">
        <v>142</v>
      </c>
      <c r="F2510">
        <v>2</v>
      </c>
      <c r="G2510">
        <v>9</v>
      </c>
      <c r="H2510">
        <v>0</v>
      </c>
      <c r="I2510" s="12" t="s">
        <v>169</v>
      </c>
      <c r="J2510" s="12" t="s">
        <v>170</v>
      </c>
      <c r="K2510" s="12" t="s">
        <v>89</v>
      </c>
      <c r="L2510" s="12" t="s">
        <v>134</v>
      </c>
      <c r="M2510">
        <v>1.37</v>
      </c>
      <c r="N2510" s="12" t="s">
        <v>107</v>
      </c>
      <c r="O2510" s="12" t="s">
        <v>108</v>
      </c>
      <c r="P2510" s="12" t="s">
        <v>109</v>
      </c>
      <c r="Q2510" s="13">
        <v>45404</v>
      </c>
      <c r="R2510" s="13">
        <v>45441</v>
      </c>
      <c r="S2510">
        <v>2024</v>
      </c>
      <c r="T2510" s="12" t="s">
        <v>3171</v>
      </c>
      <c r="U2510">
        <v>33</v>
      </c>
      <c r="V2510">
        <v>243.06290000000001</v>
      </c>
      <c r="W2510">
        <v>68.13</v>
      </c>
      <c r="X2510">
        <v>0</v>
      </c>
      <c r="Y2510">
        <v>0</v>
      </c>
      <c r="Z2510">
        <v>8021.08</v>
      </c>
      <c r="AA2510">
        <v>8089.21</v>
      </c>
      <c r="AB2510" s="12" t="s">
        <v>2786</v>
      </c>
      <c r="AC2510">
        <v>243.06290000000001</v>
      </c>
      <c r="AD2510">
        <v>1</v>
      </c>
      <c r="AE2510">
        <v>1</v>
      </c>
      <c r="AF2510">
        <v>0</v>
      </c>
      <c r="AG2510">
        <v>8021.08</v>
      </c>
      <c r="AH2510">
        <v>33</v>
      </c>
      <c r="AI2510">
        <v>33</v>
      </c>
      <c r="AJ2510">
        <v>0</v>
      </c>
      <c r="AK2510">
        <v>1</v>
      </c>
      <c r="AL2510">
        <v>1</v>
      </c>
      <c r="AM2510">
        <v>100</v>
      </c>
      <c r="AN2510">
        <v>245.12739999999999</v>
      </c>
      <c r="AO2510">
        <v>0</v>
      </c>
      <c r="AP2510" s="13">
        <v>45437</v>
      </c>
      <c r="AQ2510">
        <v>-4</v>
      </c>
      <c r="AR2510">
        <v>1</v>
      </c>
    </row>
    <row r="2511" spans="1:44" x14ac:dyDescent="0.35">
      <c r="A2511" s="12" t="s">
        <v>3338</v>
      </c>
      <c r="B2511" s="12" t="s">
        <v>732</v>
      </c>
      <c r="C2511" s="12" t="s">
        <v>733</v>
      </c>
      <c r="D2511" s="12" t="s">
        <v>114</v>
      </c>
      <c r="E2511" s="12" t="s">
        <v>104</v>
      </c>
      <c r="F2511">
        <v>3</v>
      </c>
      <c r="G2511">
        <v>1</v>
      </c>
      <c r="H2511">
        <v>0</v>
      </c>
      <c r="I2511" s="12" t="s">
        <v>199</v>
      </c>
      <c r="J2511" s="12" t="s">
        <v>200</v>
      </c>
      <c r="K2511" s="12" t="s">
        <v>68</v>
      </c>
      <c r="L2511" s="12" t="s">
        <v>96</v>
      </c>
      <c r="M2511">
        <v>9.4700000000000006</v>
      </c>
      <c r="N2511" s="12" t="s">
        <v>70</v>
      </c>
      <c r="O2511" s="12" t="s">
        <v>71</v>
      </c>
      <c r="P2511" s="12" t="s">
        <v>72</v>
      </c>
      <c r="Q2511" s="13">
        <v>45404</v>
      </c>
      <c r="R2511" s="13">
        <v>45421</v>
      </c>
      <c r="S2511">
        <v>2024</v>
      </c>
      <c r="T2511" s="12" t="s">
        <v>3171</v>
      </c>
      <c r="U2511">
        <v>50</v>
      </c>
      <c r="V2511">
        <v>304.28100000000001</v>
      </c>
      <c r="W2511">
        <v>151.13</v>
      </c>
      <c r="X2511">
        <v>0</v>
      </c>
      <c r="Y2511">
        <v>0</v>
      </c>
      <c r="Z2511">
        <v>15214.05</v>
      </c>
      <c r="AA2511">
        <v>15365.18</v>
      </c>
      <c r="AB2511" s="12" t="s">
        <v>3295</v>
      </c>
      <c r="AC2511">
        <v>304.28100000000001</v>
      </c>
      <c r="AD2511">
        <v>1</v>
      </c>
      <c r="AE2511">
        <v>1</v>
      </c>
      <c r="AF2511">
        <v>0</v>
      </c>
      <c r="AG2511">
        <v>15214.05</v>
      </c>
      <c r="AH2511">
        <v>50</v>
      </c>
      <c r="AI2511">
        <v>49</v>
      </c>
      <c r="AJ2511">
        <v>1</v>
      </c>
      <c r="AK2511">
        <v>1</v>
      </c>
      <c r="AL2511">
        <v>1</v>
      </c>
      <c r="AM2511">
        <v>98</v>
      </c>
      <c r="AN2511">
        <v>313.57510000000002</v>
      </c>
      <c r="AO2511">
        <v>304.27999999999997</v>
      </c>
      <c r="AP2511" s="13">
        <v>45419</v>
      </c>
      <c r="AQ2511">
        <v>-2</v>
      </c>
      <c r="AR2511">
        <v>1</v>
      </c>
    </row>
    <row r="2512" spans="1:44" x14ac:dyDescent="0.35">
      <c r="A2512" s="12" t="s">
        <v>3339</v>
      </c>
      <c r="B2512" s="12" t="s">
        <v>92</v>
      </c>
      <c r="C2512" s="12" t="s">
        <v>93</v>
      </c>
      <c r="D2512" s="12" t="s">
        <v>64</v>
      </c>
      <c r="E2512" s="12" t="s">
        <v>65</v>
      </c>
      <c r="F2512">
        <v>3</v>
      </c>
      <c r="G2512">
        <v>5</v>
      </c>
      <c r="H2512">
        <v>0</v>
      </c>
      <c r="I2512" s="12" t="s">
        <v>94</v>
      </c>
      <c r="J2512" s="12" t="s">
        <v>95</v>
      </c>
      <c r="K2512" s="12" t="s">
        <v>81</v>
      </c>
      <c r="L2512" s="12" t="s">
        <v>96</v>
      </c>
      <c r="M2512">
        <v>4.8099999999999996</v>
      </c>
      <c r="N2512" s="12" t="s">
        <v>70</v>
      </c>
      <c r="O2512" s="12" t="s">
        <v>71</v>
      </c>
      <c r="P2512" s="12" t="s">
        <v>72</v>
      </c>
      <c r="Q2512" s="13">
        <v>45404</v>
      </c>
      <c r="R2512" s="13">
        <v>45431</v>
      </c>
      <c r="S2512">
        <v>2024</v>
      </c>
      <c r="T2512" s="12" t="s">
        <v>3171</v>
      </c>
      <c r="U2512">
        <v>420</v>
      </c>
      <c r="V2512">
        <v>23.8764</v>
      </c>
      <c r="W2512">
        <v>212.7</v>
      </c>
      <c r="X2512">
        <v>0</v>
      </c>
      <c r="Y2512">
        <v>0</v>
      </c>
      <c r="Z2512">
        <v>10028.09</v>
      </c>
      <c r="AA2512">
        <v>10240.790000000001</v>
      </c>
      <c r="AB2512" s="12" t="s">
        <v>2802</v>
      </c>
      <c r="AC2512">
        <v>23.8764</v>
      </c>
      <c r="AD2512">
        <v>1</v>
      </c>
      <c r="AE2512">
        <v>1</v>
      </c>
      <c r="AF2512">
        <v>0</v>
      </c>
      <c r="AG2512">
        <v>10028.09</v>
      </c>
      <c r="AH2512">
        <v>420</v>
      </c>
      <c r="AI2512">
        <v>414</v>
      </c>
      <c r="AJ2512">
        <v>6</v>
      </c>
      <c r="AK2512">
        <v>1</v>
      </c>
      <c r="AL2512">
        <v>1</v>
      </c>
      <c r="AM2512">
        <v>98.57</v>
      </c>
      <c r="AN2512">
        <v>24.7362</v>
      </c>
      <c r="AO2512">
        <v>143.26</v>
      </c>
      <c r="AP2512" s="13">
        <v>45429</v>
      </c>
      <c r="AQ2512">
        <v>-2</v>
      </c>
      <c r="AR2512">
        <v>1</v>
      </c>
    </row>
    <row r="2513" spans="1:44" x14ac:dyDescent="0.35">
      <c r="A2513" s="12" t="s">
        <v>3340</v>
      </c>
      <c r="B2513" s="12" t="s">
        <v>458</v>
      </c>
      <c r="C2513" s="12" t="s">
        <v>459</v>
      </c>
      <c r="D2513" s="12" t="s">
        <v>64</v>
      </c>
      <c r="E2513" s="12" t="s">
        <v>104</v>
      </c>
      <c r="F2513">
        <v>2</v>
      </c>
      <c r="G2513">
        <v>0</v>
      </c>
      <c r="H2513">
        <v>0</v>
      </c>
      <c r="I2513" s="12" t="s">
        <v>199</v>
      </c>
      <c r="J2513" s="12" t="s">
        <v>200</v>
      </c>
      <c r="K2513" s="12" t="s">
        <v>68</v>
      </c>
      <c r="L2513" s="12" t="s">
        <v>96</v>
      </c>
      <c r="M2513">
        <v>9.4700000000000006</v>
      </c>
      <c r="N2513" s="12" t="s">
        <v>70</v>
      </c>
      <c r="O2513" s="12" t="s">
        <v>71</v>
      </c>
      <c r="P2513" s="12" t="s">
        <v>72</v>
      </c>
      <c r="Q2513" s="13">
        <v>45404</v>
      </c>
      <c r="R2513" s="13">
        <v>45431</v>
      </c>
      <c r="S2513">
        <v>2024</v>
      </c>
      <c r="T2513" s="12" t="s">
        <v>3171</v>
      </c>
      <c r="U2513">
        <v>881</v>
      </c>
      <c r="V2513">
        <v>23.0014</v>
      </c>
      <c r="W2513">
        <v>138.37</v>
      </c>
      <c r="X2513">
        <v>0</v>
      </c>
      <c r="Y2513">
        <v>0</v>
      </c>
      <c r="Z2513">
        <v>20264.23</v>
      </c>
      <c r="AA2513">
        <v>20402.599999999999</v>
      </c>
      <c r="AB2513" s="12" t="s">
        <v>3341</v>
      </c>
      <c r="AC2513">
        <v>23.0014</v>
      </c>
      <c r="AD2513">
        <v>1</v>
      </c>
      <c r="AE2513">
        <v>1</v>
      </c>
      <c r="AF2513">
        <v>0</v>
      </c>
      <c r="AG2513">
        <v>20264.23</v>
      </c>
      <c r="AH2513">
        <v>881</v>
      </c>
      <c r="AI2513">
        <v>869</v>
      </c>
      <c r="AJ2513">
        <v>12</v>
      </c>
      <c r="AK2513">
        <v>1</v>
      </c>
      <c r="AL2513">
        <v>1</v>
      </c>
      <c r="AM2513">
        <v>98.64</v>
      </c>
      <c r="AN2513">
        <v>23.478300000000001</v>
      </c>
      <c r="AO2513">
        <v>276.02</v>
      </c>
      <c r="AP2513" s="13">
        <v>45430</v>
      </c>
      <c r="AQ2513">
        <v>-1</v>
      </c>
      <c r="AR2513">
        <v>1</v>
      </c>
    </row>
    <row r="2514" spans="1:44" x14ac:dyDescent="0.35">
      <c r="A2514" s="12" t="s">
        <v>3342</v>
      </c>
      <c r="B2514" s="12" t="s">
        <v>902</v>
      </c>
      <c r="C2514" s="12" t="s">
        <v>903</v>
      </c>
      <c r="D2514" s="12" t="s">
        <v>122</v>
      </c>
      <c r="E2514" s="12" t="s">
        <v>142</v>
      </c>
      <c r="F2514">
        <v>1</v>
      </c>
      <c r="G2514">
        <v>6</v>
      </c>
      <c r="H2514">
        <v>1</v>
      </c>
      <c r="I2514" s="12" t="s">
        <v>105</v>
      </c>
      <c r="J2514" s="12" t="s">
        <v>106</v>
      </c>
      <c r="K2514" s="12" t="s">
        <v>81</v>
      </c>
      <c r="L2514" s="12" t="s">
        <v>96</v>
      </c>
      <c r="M2514">
        <v>5.01</v>
      </c>
      <c r="N2514" s="12" t="s">
        <v>70</v>
      </c>
      <c r="O2514" s="12" t="s">
        <v>71</v>
      </c>
      <c r="P2514" s="12" t="s">
        <v>72</v>
      </c>
      <c r="Q2514" s="13">
        <v>45404</v>
      </c>
      <c r="R2514" s="13">
        <v>45451</v>
      </c>
      <c r="S2514">
        <v>2024</v>
      </c>
      <c r="T2514" s="12" t="s">
        <v>3171</v>
      </c>
      <c r="U2514">
        <v>1492</v>
      </c>
      <c r="V2514">
        <v>41.6892</v>
      </c>
      <c r="W2514">
        <v>1297.69</v>
      </c>
      <c r="X2514">
        <v>0</v>
      </c>
      <c r="Y2514">
        <v>0</v>
      </c>
      <c r="Z2514">
        <v>62200.29</v>
      </c>
      <c r="AA2514">
        <v>63497.98</v>
      </c>
      <c r="AB2514" s="12" t="s">
        <v>3284</v>
      </c>
      <c r="AC2514">
        <v>41.6892</v>
      </c>
      <c r="AD2514">
        <v>1</v>
      </c>
      <c r="AE2514">
        <v>1</v>
      </c>
      <c r="AF2514">
        <v>0</v>
      </c>
      <c r="AG2514">
        <v>62200.29</v>
      </c>
      <c r="AH2514">
        <v>1492</v>
      </c>
      <c r="AI2514">
        <v>1485</v>
      </c>
      <c r="AJ2514">
        <v>7</v>
      </c>
      <c r="AK2514">
        <v>1</v>
      </c>
      <c r="AL2514">
        <v>1</v>
      </c>
      <c r="AM2514">
        <v>99.53</v>
      </c>
      <c r="AN2514">
        <v>42.759599999999999</v>
      </c>
      <c r="AO2514">
        <v>291.82</v>
      </c>
      <c r="AP2514" s="13">
        <v>45449</v>
      </c>
      <c r="AQ2514">
        <v>-2</v>
      </c>
      <c r="AR2514">
        <v>1</v>
      </c>
    </row>
    <row r="2515" spans="1:44" x14ac:dyDescent="0.35">
      <c r="A2515" s="12" t="s">
        <v>3343</v>
      </c>
      <c r="B2515" s="12" t="s">
        <v>323</v>
      </c>
      <c r="C2515" s="12" t="s">
        <v>324</v>
      </c>
      <c r="D2515" s="12" t="s">
        <v>64</v>
      </c>
      <c r="E2515" s="12" t="s">
        <v>142</v>
      </c>
      <c r="F2515">
        <v>1</v>
      </c>
      <c r="G2515">
        <v>7</v>
      </c>
      <c r="H2515">
        <v>1</v>
      </c>
      <c r="I2515" s="12" t="s">
        <v>143</v>
      </c>
      <c r="J2515" s="12" t="s">
        <v>144</v>
      </c>
      <c r="K2515" s="12" t="s">
        <v>133</v>
      </c>
      <c r="L2515" s="12" t="s">
        <v>96</v>
      </c>
      <c r="M2515">
        <v>5.43</v>
      </c>
      <c r="N2515" s="12" t="s">
        <v>97</v>
      </c>
      <c r="O2515" s="12" t="s">
        <v>98</v>
      </c>
      <c r="P2515" s="12" t="s">
        <v>72</v>
      </c>
      <c r="Q2515" s="13">
        <v>45404</v>
      </c>
      <c r="R2515" s="13">
        <v>45439</v>
      </c>
      <c r="S2515">
        <v>2024</v>
      </c>
      <c r="T2515" s="12" t="s">
        <v>3171</v>
      </c>
      <c r="U2515">
        <v>134</v>
      </c>
      <c r="V2515">
        <v>39.364800000000002</v>
      </c>
      <c r="W2515">
        <v>63.04</v>
      </c>
      <c r="X2515">
        <v>0</v>
      </c>
      <c r="Y2515">
        <v>0</v>
      </c>
      <c r="Z2515">
        <v>5274.88</v>
      </c>
      <c r="AA2515">
        <v>5337.92</v>
      </c>
      <c r="AB2515" s="12" t="s">
        <v>2828</v>
      </c>
      <c r="AC2515">
        <v>39.364800000000002</v>
      </c>
      <c r="AD2515">
        <v>1</v>
      </c>
      <c r="AE2515">
        <v>1</v>
      </c>
      <c r="AF2515">
        <v>0</v>
      </c>
      <c r="AG2515">
        <v>5274.88</v>
      </c>
      <c r="AH2515">
        <v>134</v>
      </c>
      <c r="AI2515">
        <v>132</v>
      </c>
      <c r="AJ2515">
        <v>2</v>
      </c>
      <c r="AK2515">
        <v>1</v>
      </c>
      <c r="AL2515">
        <v>1</v>
      </c>
      <c r="AM2515">
        <v>98.51</v>
      </c>
      <c r="AN2515">
        <v>40.438800000000001</v>
      </c>
      <c r="AO2515">
        <v>78.73</v>
      </c>
      <c r="AP2515" s="13">
        <v>45438</v>
      </c>
      <c r="AQ2515">
        <v>-1</v>
      </c>
      <c r="AR2515">
        <v>1</v>
      </c>
    </row>
    <row r="2516" spans="1:44" x14ac:dyDescent="0.35">
      <c r="A2516" s="12" t="s">
        <v>3344</v>
      </c>
      <c r="B2516" s="12" t="s">
        <v>163</v>
      </c>
      <c r="C2516" s="12" t="s">
        <v>164</v>
      </c>
      <c r="D2516" s="12" t="s">
        <v>64</v>
      </c>
      <c r="E2516" s="12" t="s">
        <v>104</v>
      </c>
      <c r="F2516">
        <v>2</v>
      </c>
      <c r="G2516">
        <v>0</v>
      </c>
      <c r="H2516">
        <v>0</v>
      </c>
      <c r="I2516" s="12" t="s">
        <v>79</v>
      </c>
      <c r="J2516" s="12" t="s">
        <v>80</v>
      </c>
      <c r="K2516" s="12" t="s">
        <v>81</v>
      </c>
      <c r="L2516" s="12" t="s">
        <v>82</v>
      </c>
      <c r="M2516">
        <v>12.07</v>
      </c>
      <c r="N2516" s="12" t="s">
        <v>70</v>
      </c>
      <c r="O2516" s="12" t="s">
        <v>71</v>
      </c>
      <c r="P2516" s="12" t="s">
        <v>72</v>
      </c>
      <c r="Q2516" s="13">
        <v>45405</v>
      </c>
      <c r="R2516" s="13">
        <v>45431</v>
      </c>
      <c r="S2516">
        <v>2024</v>
      </c>
      <c r="T2516" s="12" t="s">
        <v>3171</v>
      </c>
      <c r="U2516">
        <v>801</v>
      </c>
      <c r="V2516">
        <v>11.6143</v>
      </c>
      <c r="W2516">
        <v>74.8</v>
      </c>
      <c r="X2516">
        <v>0</v>
      </c>
      <c r="Y2516">
        <v>0</v>
      </c>
      <c r="Z2516">
        <v>9303.0499999999993</v>
      </c>
      <c r="AA2516">
        <v>9377.85</v>
      </c>
      <c r="AB2516" s="12" t="s">
        <v>2780</v>
      </c>
      <c r="AC2516">
        <v>11.6143</v>
      </c>
      <c r="AD2516">
        <v>1</v>
      </c>
      <c r="AE2516">
        <v>1</v>
      </c>
      <c r="AF2516">
        <v>0</v>
      </c>
      <c r="AG2516">
        <v>9303.0499999999993</v>
      </c>
      <c r="AH2516">
        <v>801</v>
      </c>
      <c r="AI2516">
        <v>790</v>
      </c>
      <c r="AJ2516">
        <v>11</v>
      </c>
      <c r="AK2516">
        <v>1</v>
      </c>
      <c r="AL2516">
        <v>1</v>
      </c>
      <c r="AM2516">
        <v>98.63</v>
      </c>
      <c r="AN2516">
        <v>11.870699999999999</v>
      </c>
      <c r="AO2516">
        <v>127.76</v>
      </c>
      <c r="AP2516" s="13">
        <v>45439</v>
      </c>
      <c r="AQ2516">
        <v>8</v>
      </c>
      <c r="AR2516">
        <v>0</v>
      </c>
    </row>
    <row r="2517" spans="1:44" x14ac:dyDescent="0.35">
      <c r="A2517" s="12" t="s">
        <v>3345</v>
      </c>
      <c r="B2517" s="12" t="s">
        <v>766</v>
      </c>
      <c r="C2517" s="12" t="s">
        <v>767</v>
      </c>
      <c r="D2517" s="12" t="s">
        <v>175</v>
      </c>
      <c r="E2517" s="12" t="s">
        <v>65</v>
      </c>
      <c r="F2517">
        <v>3</v>
      </c>
      <c r="G2517">
        <v>5</v>
      </c>
      <c r="H2517">
        <v>0</v>
      </c>
      <c r="I2517" s="12" t="s">
        <v>87</v>
      </c>
      <c r="J2517" s="12" t="s">
        <v>88</v>
      </c>
      <c r="K2517" s="12" t="s">
        <v>89</v>
      </c>
      <c r="L2517" s="12" t="s">
        <v>69</v>
      </c>
      <c r="M2517">
        <v>14.93</v>
      </c>
      <c r="N2517" s="12" t="s">
        <v>107</v>
      </c>
      <c r="O2517" s="12" t="s">
        <v>108</v>
      </c>
      <c r="P2517" s="12" t="s">
        <v>109</v>
      </c>
      <c r="Q2517" s="13">
        <v>45405</v>
      </c>
      <c r="R2517" s="13">
        <v>45435</v>
      </c>
      <c r="S2517">
        <v>2024</v>
      </c>
      <c r="T2517" s="12" t="s">
        <v>3171</v>
      </c>
      <c r="U2517">
        <v>83</v>
      </c>
      <c r="V2517">
        <v>81.825500000000005</v>
      </c>
      <c r="W2517">
        <v>100.13</v>
      </c>
      <c r="X2517">
        <v>0</v>
      </c>
      <c r="Y2517">
        <v>0</v>
      </c>
      <c r="Z2517">
        <v>6791.52</v>
      </c>
      <c r="AA2517">
        <v>6891.65</v>
      </c>
      <c r="AB2517" s="12" t="s">
        <v>3225</v>
      </c>
      <c r="AC2517">
        <v>81.825500000000005</v>
      </c>
      <c r="AD2517">
        <v>1</v>
      </c>
      <c r="AE2517">
        <v>1</v>
      </c>
      <c r="AF2517">
        <v>0</v>
      </c>
      <c r="AG2517">
        <v>6791.52</v>
      </c>
      <c r="AH2517">
        <v>83</v>
      </c>
      <c r="AI2517">
        <v>83</v>
      </c>
      <c r="AJ2517">
        <v>0</v>
      </c>
      <c r="AK2517">
        <v>1</v>
      </c>
      <c r="AL2517">
        <v>1</v>
      </c>
      <c r="AM2517">
        <v>100</v>
      </c>
      <c r="AN2517">
        <v>83.031899999999993</v>
      </c>
      <c r="AO2517">
        <v>0</v>
      </c>
      <c r="AP2517" s="13">
        <v>45434</v>
      </c>
      <c r="AQ2517">
        <v>-1</v>
      </c>
      <c r="AR2517">
        <v>1</v>
      </c>
    </row>
    <row r="2518" spans="1:44" x14ac:dyDescent="0.35">
      <c r="A2518" s="12" t="s">
        <v>3346</v>
      </c>
      <c r="B2518" s="12" t="s">
        <v>412</v>
      </c>
      <c r="C2518" s="12" t="s">
        <v>413</v>
      </c>
      <c r="D2518" s="12" t="s">
        <v>269</v>
      </c>
      <c r="E2518" s="12" t="s">
        <v>65</v>
      </c>
      <c r="F2518">
        <v>1</v>
      </c>
      <c r="G2518">
        <v>2</v>
      </c>
      <c r="H2518">
        <v>1</v>
      </c>
      <c r="I2518" s="12" t="s">
        <v>233</v>
      </c>
      <c r="J2518" s="12" t="s">
        <v>234</v>
      </c>
      <c r="K2518" s="12" t="s">
        <v>125</v>
      </c>
      <c r="L2518" s="12" t="s">
        <v>96</v>
      </c>
      <c r="M2518">
        <v>3.73</v>
      </c>
      <c r="N2518" s="12" t="s">
        <v>135</v>
      </c>
      <c r="O2518" s="12" t="s">
        <v>136</v>
      </c>
      <c r="P2518" s="12" t="s">
        <v>137</v>
      </c>
      <c r="Q2518" s="13">
        <v>45405</v>
      </c>
      <c r="R2518" s="13">
        <v>45439</v>
      </c>
      <c r="S2518">
        <v>2024</v>
      </c>
      <c r="T2518" s="12" t="s">
        <v>3171</v>
      </c>
      <c r="U2518">
        <v>113</v>
      </c>
      <c r="V2518">
        <v>110.48050000000001</v>
      </c>
      <c r="W2518">
        <v>230.69</v>
      </c>
      <c r="X2518">
        <v>0</v>
      </c>
      <c r="Y2518">
        <v>0</v>
      </c>
      <c r="Z2518">
        <v>12484.3</v>
      </c>
      <c r="AA2518">
        <v>12714.99</v>
      </c>
      <c r="AB2518" s="12" t="s">
        <v>3056</v>
      </c>
      <c r="AC2518">
        <v>104.17829999999999</v>
      </c>
      <c r="AD2518">
        <v>1</v>
      </c>
      <c r="AE2518">
        <v>1</v>
      </c>
      <c r="AF2518">
        <v>712.15</v>
      </c>
      <c r="AG2518">
        <v>11772.15</v>
      </c>
      <c r="AH2518">
        <v>113</v>
      </c>
      <c r="AI2518">
        <v>112</v>
      </c>
      <c r="AJ2518">
        <v>1</v>
      </c>
      <c r="AK2518">
        <v>1</v>
      </c>
      <c r="AL2518">
        <v>1</v>
      </c>
      <c r="AM2518">
        <v>99.12</v>
      </c>
      <c r="AN2518">
        <v>113.52670000000001</v>
      </c>
      <c r="AO2518">
        <v>110.48</v>
      </c>
      <c r="AP2518" s="13">
        <v>45436</v>
      </c>
      <c r="AQ2518">
        <v>-3</v>
      </c>
      <c r="AR2518">
        <v>1</v>
      </c>
    </row>
    <row r="2519" spans="1:44" x14ac:dyDescent="0.35">
      <c r="A2519" s="12" t="s">
        <v>3347</v>
      </c>
      <c r="B2519" s="12" t="s">
        <v>1054</v>
      </c>
      <c r="C2519" s="12" t="s">
        <v>1055</v>
      </c>
      <c r="D2519" s="12" t="s">
        <v>122</v>
      </c>
      <c r="E2519" s="12" t="s">
        <v>65</v>
      </c>
      <c r="F2519">
        <v>1</v>
      </c>
      <c r="G2519">
        <v>2</v>
      </c>
      <c r="H2519">
        <v>1</v>
      </c>
      <c r="I2519" s="12" t="s">
        <v>176</v>
      </c>
      <c r="J2519" s="12" t="s">
        <v>177</v>
      </c>
      <c r="K2519" s="12" t="s">
        <v>125</v>
      </c>
      <c r="L2519" s="12" t="s">
        <v>134</v>
      </c>
      <c r="M2519">
        <v>1.75</v>
      </c>
      <c r="N2519" s="12" t="s">
        <v>97</v>
      </c>
      <c r="O2519" s="12" t="s">
        <v>98</v>
      </c>
      <c r="P2519" s="12" t="s">
        <v>72</v>
      </c>
      <c r="Q2519" s="13">
        <v>45405</v>
      </c>
      <c r="R2519" s="13">
        <v>45438</v>
      </c>
      <c r="S2519">
        <v>2024</v>
      </c>
      <c r="T2519" s="12" t="s">
        <v>3171</v>
      </c>
      <c r="U2519">
        <v>1485</v>
      </c>
      <c r="V2519">
        <v>45.850499999999997</v>
      </c>
      <c r="W2519">
        <v>898.67</v>
      </c>
      <c r="X2519">
        <v>2060.91</v>
      </c>
      <c r="Y2519">
        <v>1</v>
      </c>
      <c r="Z2519">
        <v>68087.990000000005</v>
      </c>
      <c r="AA2519">
        <v>71047.570000000007</v>
      </c>
      <c r="AB2519" s="12" t="s">
        <v>3227</v>
      </c>
      <c r="AC2519">
        <v>45.850499999999997</v>
      </c>
      <c r="AD2519">
        <v>1</v>
      </c>
      <c r="AE2519">
        <v>1</v>
      </c>
      <c r="AF2519">
        <v>0</v>
      </c>
      <c r="AG2519">
        <v>68087.990000000005</v>
      </c>
      <c r="AH2519">
        <v>1485</v>
      </c>
      <c r="AI2519">
        <v>1481</v>
      </c>
      <c r="AJ2519">
        <v>4</v>
      </c>
      <c r="AK2519">
        <v>1</v>
      </c>
      <c r="AL2519">
        <v>1</v>
      </c>
      <c r="AM2519">
        <v>99.73</v>
      </c>
      <c r="AN2519">
        <v>47.972700000000003</v>
      </c>
      <c r="AO2519">
        <v>183.4</v>
      </c>
      <c r="AP2519" s="13">
        <v>45436</v>
      </c>
      <c r="AQ2519">
        <v>-2</v>
      </c>
      <c r="AR2519">
        <v>1</v>
      </c>
    </row>
    <row r="2520" spans="1:44" x14ac:dyDescent="0.35">
      <c r="A2520" s="12" t="s">
        <v>3348</v>
      </c>
      <c r="B2520" s="12" t="s">
        <v>609</v>
      </c>
      <c r="C2520" s="12" t="s">
        <v>610</v>
      </c>
      <c r="D2520" s="12" t="s">
        <v>64</v>
      </c>
      <c r="E2520" s="12" t="s">
        <v>104</v>
      </c>
      <c r="F2520">
        <v>1</v>
      </c>
      <c r="G2520">
        <v>0</v>
      </c>
      <c r="H2520">
        <v>1</v>
      </c>
      <c r="I2520" s="12" t="s">
        <v>227</v>
      </c>
      <c r="J2520" s="12" t="s">
        <v>228</v>
      </c>
      <c r="K2520" s="12" t="s">
        <v>89</v>
      </c>
      <c r="L2520" s="12" t="s">
        <v>96</v>
      </c>
      <c r="M2520">
        <v>9.15</v>
      </c>
      <c r="N2520" s="12" t="s">
        <v>70</v>
      </c>
      <c r="O2520" s="12" t="s">
        <v>71</v>
      </c>
      <c r="P2520" s="12" t="s">
        <v>72</v>
      </c>
      <c r="Q2520" s="13">
        <v>45405</v>
      </c>
      <c r="R2520" s="13">
        <v>45431</v>
      </c>
      <c r="S2520">
        <v>2024</v>
      </c>
      <c r="T2520" s="12" t="s">
        <v>3171</v>
      </c>
      <c r="U2520">
        <v>838</v>
      </c>
      <c r="V2520">
        <v>21.6372</v>
      </c>
      <c r="W2520">
        <v>319.73</v>
      </c>
      <c r="X2520">
        <v>0</v>
      </c>
      <c r="Y2520">
        <v>0</v>
      </c>
      <c r="Z2520">
        <v>18131.97</v>
      </c>
      <c r="AA2520">
        <v>18451.7</v>
      </c>
      <c r="AB2520" s="12" t="s">
        <v>3349</v>
      </c>
      <c r="AC2520">
        <v>20.698799999999999</v>
      </c>
      <c r="AD2520">
        <v>1</v>
      </c>
      <c r="AE2520">
        <v>1</v>
      </c>
      <c r="AF2520">
        <v>786.38</v>
      </c>
      <c r="AG2520">
        <v>17345.59</v>
      </c>
      <c r="AH2520">
        <v>838</v>
      </c>
      <c r="AI2520">
        <v>828</v>
      </c>
      <c r="AJ2520">
        <v>10</v>
      </c>
      <c r="AK2520">
        <v>1</v>
      </c>
      <c r="AL2520">
        <v>1</v>
      </c>
      <c r="AM2520">
        <v>98.81</v>
      </c>
      <c r="AN2520">
        <v>22.284700000000001</v>
      </c>
      <c r="AO2520">
        <v>216.37</v>
      </c>
      <c r="AP2520" s="13">
        <v>45428</v>
      </c>
      <c r="AQ2520">
        <v>-3</v>
      </c>
      <c r="AR2520">
        <v>1</v>
      </c>
    </row>
    <row r="2521" spans="1:44" x14ac:dyDescent="0.35">
      <c r="A2521" s="12" t="s">
        <v>3350</v>
      </c>
      <c r="B2521" s="12" t="s">
        <v>472</v>
      </c>
      <c r="C2521" s="12" t="s">
        <v>473</v>
      </c>
      <c r="D2521" s="12" t="s">
        <v>122</v>
      </c>
      <c r="E2521" s="12" t="s">
        <v>142</v>
      </c>
      <c r="F2521">
        <v>2</v>
      </c>
      <c r="G2521">
        <v>9</v>
      </c>
      <c r="H2521">
        <v>0</v>
      </c>
      <c r="I2521" s="12" t="s">
        <v>87</v>
      </c>
      <c r="J2521" s="12" t="s">
        <v>88</v>
      </c>
      <c r="K2521" s="12" t="s">
        <v>89</v>
      </c>
      <c r="L2521" s="12" t="s">
        <v>69</v>
      </c>
      <c r="M2521">
        <v>14.93</v>
      </c>
      <c r="N2521" s="12" t="s">
        <v>97</v>
      </c>
      <c r="O2521" s="12" t="s">
        <v>98</v>
      </c>
      <c r="P2521" s="12" t="s">
        <v>72</v>
      </c>
      <c r="Q2521" s="13">
        <v>45405</v>
      </c>
      <c r="R2521" s="13">
        <v>45444</v>
      </c>
      <c r="S2521">
        <v>2024</v>
      </c>
      <c r="T2521" s="12" t="s">
        <v>3171</v>
      </c>
      <c r="U2521">
        <v>655</v>
      </c>
      <c r="V2521">
        <v>47.8491</v>
      </c>
      <c r="W2521">
        <v>657.06</v>
      </c>
      <c r="X2521">
        <v>0</v>
      </c>
      <c r="Y2521">
        <v>0</v>
      </c>
      <c r="Z2521">
        <v>31341.16</v>
      </c>
      <c r="AA2521">
        <v>31998.22</v>
      </c>
      <c r="AB2521" s="12" t="s">
        <v>3351</v>
      </c>
      <c r="AC2521">
        <v>47.8491</v>
      </c>
      <c r="AD2521">
        <v>1</v>
      </c>
      <c r="AE2521">
        <v>1</v>
      </c>
      <c r="AF2521">
        <v>0</v>
      </c>
      <c r="AG2521">
        <v>31341.16</v>
      </c>
      <c r="AH2521">
        <v>655</v>
      </c>
      <c r="AI2521">
        <v>649</v>
      </c>
      <c r="AJ2521">
        <v>6</v>
      </c>
      <c r="AK2521">
        <v>1</v>
      </c>
      <c r="AL2521">
        <v>1</v>
      </c>
      <c r="AM2521">
        <v>99.08</v>
      </c>
      <c r="AN2521">
        <v>49.303899999999999</v>
      </c>
      <c r="AO2521">
        <v>287.08999999999997</v>
      </c>
      <c r="AP2521" s="13">
        <v>45444</v>
      </c>
      <c r="AQ2521">
        <v>0</v>
      </c>
      <c r="AR2521">
        <v>1</v>
      </c>
    </row>
    <row r="2522" spans="1:44" x14ac:dyDescent="0.35">
      <c r="A2522" s="12" t="s">
        <v>3352</v>
      </c>
      <c r="B2522" s="12" t="s">
        <v>685</v>
      </c>
      <c r="C2522" s="12" t="s">
        <v>686</v>
      </c>
      <c r="D2522" s="12" t="s">
        <v>175</v>
      </c>
      <c r="E2522" s="12" t="s">
        <v>104</v>
      </c>
      <c r="F2522">
        <v>2</v>
      </c>
      <c r="G2522">
        <v>0</v>
      </c>
      <c r="H2522">
        <v>0</v>
      </c>
      <c r="I2522" s="12" t="s">
        <v>243</v>
      </c>
      <c r="J2522" s="12" t="s">
        <v>244</v>
      </c>
      <c r="K2522" s="12" t="s">
        <v>81</v>
      </c>
      <c r="L2522" s="12" t="s">
        <v>82</v>
      </c>
      <c r="M2522">
        <v>9.2200000000000006</v>
      </c>
      <c r="N2522" s="12" t="s">
        <v>145</v>
      </c>
      <c r="O2522" s="12" t="s">
        <v>146</v>
      </c>
      <c r="P2522" s="12" t="s">
        <v>109</v>
      </c>
      <c r="Q2522" s="13">
        <v>45405</v>
      </c>
      <c r="R2522" s="13">
        <v>45421</v>
      </c>
      <c r="S2522">
        <v>2024</v>
      </c>
      <c r="T2522" s="12" t="s">
        <v>3171</v>
      </c>
      <c r="U2522">
        <v>43</v>
      </c>
      <c r="V2522">
        <v>236.3629</v>
      </c>
      <c r="W2522">
        <v>93.78</v>
      </c>
      <c r="X2522">
        <v>0</v>
      </c>
      <c r="Y2522">
        <v>0</v>
      </c>
      <c r="Z2522">
        <v>10163.6</v>
      </c>
      <c r="AA2522">
        <v>10257.379999999999</v>
      </c>
      <c r="AB2522" s="12" t="s">
        <v>201</v>
      </c>
      <c r="AD2522">
        <v>0</v>
      </c>
      <c r="AE2522">
        <v>0</v>
      </c>
      <c r="AH2522">
        <v>43</v>
      </c>
      <c r="AI2522">
        <v>42</v>
      </c>
      <c r="AJ2522">
        <v>1</v>
      </c>
      <c r="AK2522">
        <v>1</v>
      </c>
      <c r="AL2522">
        <v>1</v>
      </c>
      <c r="AM2522">
        <v>97.67</v>
      </c>
      <c r="AN2522">
        <v>244.2234</v>
      </c>
      <c r="AO2522">
        <v>236.36</v>
      </c>
      <c r="AP2522" s="13">
        <v>45418</v>
      </c>
      <c r="AQ2522">
        <v>-3</v>
      </c>
      <c r="AR2522">
        <v>1</v>
      </c>
    </row>
    <row r="2523" spans="1:44" x14ac:dyDescent="0.35">
      <c r="A2523" s="12" t="s">
        <v>3353</v>
      </c>
      <c r="B2523" s="12" t="s">
        <v>773</v>
      </c>
      <c r="C2523" s="12" t="s">
        <v>774</v>
      </c>
      <c r="D2523" s="12" t="s">
        <v>64</v>
      </c>
      <c r="E2523" s="12" t="s">
        <v>142</v>
      </c>
      <c r="F2523">
        <v>1</v>
      </c>
      <c r="G2523">
        <v>7</v>
      </c>
      <c r="H2523">
        <v>1</v>
      </c>
      <c r="I2523" s="12" t="s">
        <v>251</v>
      </c>
      <c r="J2523" s="12" t="s">
        <v>252</v>
      </c>
      <c r="K2523" s="12" t="s">
        <v>133</v>
      </c>
      <c r="L2523" s="12" t="s">
        <v>69</v>
      </c>
      <c r="M2523">
        <v>34.49</v>
      </c>
      <c r="N2523" s="12" t="s">
        <v>97</v>
      </c>
      <c r="O2523" s="12" t="s">
        <v>98</v>
      </c>
      <c r="P2523" s="12" t="s">
        <v>72</v>
      </c>
      <c r="Q2523" s="13">
        <v>45405</v>
      </c>
      <c r="R2523" s="13">
        <v>45443</v>
      </c>
      <c r="S2523">
        <v>2024</v>
      </c>
      <c r="T2523" s="12" t="s">
        <v>3171</v>
      </c>
      <c r="U2523">
        <v>292</v>
      </c>
      <c r="V2523">
        <v>10.022600000000001</v>
      </c>
      <c r="W2523">
        <v>50.92</v>
      </c>
      <c r="X2523">
        <v>0</v>
      </c>
      <c r="Y2523">
        <v>0</v>
      </c>
      <c r="Z2523">
        <v>2926.6</v>
      </c>
      <c r="AA2523">
        <v>2977.52</v>
      </c>
      <c r="AB2523" s="12" t="s">
        <v>3354</v>
      </c>
      <c r="AC2523">
        <v>10.022600000000001</v>
      </c>
      <c r="AD2523">
        <v>1</v>
      </c>
      <c r="AE2523">
        <v>1</v>
      </c>
      <c r="AF2523">
        <v>0</v>
      </c>
      <c r="AG2523">
        <v>2926.6</v>
      </c>
      <c r="AH2523">
        <v>292</v>
      </c>
      <c r="AI2523">
        <v>288</v>
      </c>
      <c r="AJ2523">
        <v>4</v>
      </c>
      <c r="AK2523">
        <v>1</v>
      </c>
      <c r="AL2523">
        <v>1</v>
      </c>
      <c r="AM2523">
        <v>98.63</v>
      </c>
      <c r="AN2523">
        <v>10.3386</v>
      </c>
      <c r="AO2523">
        <v>40.090000000000003</v>
      </c>
      <c r="AP2523" s="13">
        <v>45440</v>
      </c>
      <c r="AQ2523">
        <v>-3</v>
      </c>
      <c r="AR2523">
        <v>1</v>
      </c>
    </row>
    <row r="2524" spans="1:44" x14ac:dyDescent="0.35">
      <c r="A2524" s="12" t="s">
        <v>3355</v>
      </c>
      <c r="B2524" s="12" t="s">
        <v>302</v>
      </c>
      <c r="C2524" s="12" t="s">
        <v>303</v>
      </c>
      <c r="D2524" s="12" t="s">
        <v>78</v>
      </c>
      <c r="E2524" s="12" t="s">
        <v>65</v>
      </c>
      <c r="F2524">
        <v>2</v>
      </c>
      <c r="G2524">
        <v>3</v>
      </c>
      <c r="H2524">
        <v>0</v>
      </c>
      <c r="I2524" s="12" t="s">
        <v>335</v>
      </c>
      <c r="J2524" s="12" t="s">
        <v>336</v>
      </c>
      <c r="K2524" s="12" t="s">
        <v>89</v>
      </c>
      <c r="L2524" s="12" t="s">
        <v>82</v>
      </c>
      <c r="M2524">
        <v>16</v>
      </c>
      <c r="N2524" s="12" t="s">
        <v>97</v>
      </c>
      <c r="O2524" s="12" t="s">
        <v>98</v>
      </c>
      <c r="P2524" s="12" t="s">
        <v>72</v>
      </c>
      <c r="Q2524" s="13">
        <v>45405</v>
      </c>
      <c r="R2524" s="13">
        <v>45443</v>
      </c>
      <c r="S2524">
        <v>2024</v>
      </c>
      <c r="T2524" s="12" t="s">
        <v>3171</v>
      </c>
      <c r="U2524">
        <v>287</v>
      </c>
      <c r="V2524">
        <v>141.08359999999999</v>
      </c>
      <c r="W2524">
        <v>1007.97</v>
      </c>
      <c r="X2524">
        <v>0</v>
      </c>
      <c r="Y2524">
        <v>0</v>
      </c>
      <c r="Z2524">
        <v>40490.99</v>
      </c>
      <c r="AA2524">
        <v>41498.959999999999</v>
      </c>
      <c r="AB2524" s="12" t="s">
        <v>2834</v>
      </c>
      <c r="AC2524">
        <v>141.08359999999999</v>
      </c>
      <c r="AD2524">
        <v>1</v>
      </c>
      <c r="AE2524">
        <v>1</v>
      </c>
      <c r="AF2524">
        <v>0</v>
      </c>
      <c r="AG2524">
        <v>40490.99</v>
      </c>
      <c r="AH2524">
        <v>287</v>
      </c>
      <c r="AI2524">
        <v>286</v>
      </c>
      <c r="AJ2524">
        <v>1</v>
      </c>
      <c r="AK2524">
        <v>1</v>
      </c>
      <c r="AL2524">
        <v>1</v>
      </c>
      <c r="AM2524">
        <v>99.65</v>
      </c>
      <c r="AN2524">
        <v>145.10130000000001</v>
      </c>
      <c r="AO2524">
        <v>141.08000000000001</v>
      </c>
      <c r="AP2524" s="13">
        <v>45440</v>
      </c>
      <c r="AQ2524">
        <v>-3</v>
      </c>
      <c r="AR2524">
        <v>1</v>
      </c>
    </row>
    <row r="2525" spans="1:44" x14ac:dyDescent="0.35">
      <c r="A2525" s="12" t="s">
        <v>3356</v>
      </c>
      <c r="B2525" s="12" t="s">
        <v>561</v>
      </c>
      <c r="C2525" s="12" t="s">
        <v>562</v>
      </c>
      <c r="D2525" s="12" t="s">
        <v>130</v>
      </c>
      <c r="E2525" s="12" t="s">
        <v>142</v>
      </c>
      <c r="F2525">
        <v>1</v>
      </c>
      <c r="G2525">
        <v>9</v>
      </c>
      <c r="H2525">
        <v>1</v>
      </c>
      <c r="I2525" s="12" t="s">
        <v>223</v>
      </c>
      <c r="J2525" s="12" t="s">
        <v>224</v>
      </c>
      <c r="K2525" s="12" t="s">
        <v>81</v>
      </c>
      <c r="L2525" s="12" t="s">
        <v>134</v>
      </c>
      <c r="M2525">
        <v>2.4900000000000002</v>
      </c>
      <c r="N2525" s="12" t="s">
        <v>159</v>
      </c>
      <c r="O2525" s="12" t="s">
        <v>160</v>
      </c>
      <c r="P2525" s="12" t="s">
        <v>137</v>
      </c>
      <c r="Q2525" s="13">
        <v>45405</v>
      </c>
      <c r="R2525" s="13">
        <v>45451</v>
      </c>
      <c r="S2525">
        <v>2024</v>
      </c>
      <c r="T2525" s="12" t="s">
        <v>3171</v>
      </c>
      <c r="U2525">
        <v>99</v>
      </c>
      <c r="V2525">
        <v>565.66750000000002</v>
      </c>
      <c r="W2525">
        <v>1228.19</v>
      </c>
      <c r="X2525">
        <v>0</v>
      </c>
      <c r="Y2525">
        <v>0</v>
      </c>
      <c r="Z2525">
        <v>56001.08</v>
      </c>
      <c r="AA2525">
        <v>57229.27</v>
      </c>
      <c r="AB2525" s="12" t="s">
        <v>201</v>
      </c>
      <c r="AD2525">
        <v>0</v>
      </c>
      <c r="AE2525">
        <v>0</v>
      </c>
      <c r="AH2525">
        <v>99</v>
      </c>
      <c r="AI2525">
        <v>99</v>
      </c>
      <c r="AJ2525">
        <v>0</v>
      </c>
      <c r="AK2525">
        <v>1</v>
      </c>
      <c r="AL2525">
        <v>1</v>
      </c>
      <c r="AM2525">
        <v>100</v>
      </c>
      <c r="AN2525">
        <v>578.07349999999997</v>
      </c>
      <c r="AO2525">
        <v>0</v>
      </c>
      <c r="AP2525" s="13">
        <v>45448</v>
      </c>
      <c r="AQ2525">
        <v>-3</v>
      </c>
      <c r="AR2525">
        <v>1</v>
      </c>
    </row>
    <row r="2526" spans="1:44" x14ac:dyDescent="0.35">
      <c r="A2526" s="12" t="s">
        <v>3357</v>
      </c>
      <c r="B2526" s="12" t="s">
        <v>350</v>
      </c>
      <c r="C2526" s="12" t="s">
        <v>351</v>
      </c>
      <c r="D2526" s="12" t="s">
        <v>64</v>
      </c>
      <c r="E2526" s="12" t="s">
        <v>104</v>
      </c>
      <c r="F2526">
        <v>3</v>
      </c>
      <c r="G2526">
        <v>1</v>
      </c>
      <c r="H2526">
        <v>0</v>
      </c>
      <c r="I2526" s="12" t="s">
        <v>223</v>
      </c>
      <c r="J2526" s="12" t="s">
        <v>224</v>
      </c>
      <c r="K2526" s="12" t="s">
        <v>81</v>
      </c>
      <c r="L2526" s="12" t="s">
        <v>134</v>
      </c>
      <c r="M2526">
        <v>2.4900000000000002</v>
      </c>
      <c r="N2526" s="12" t="s">
        <v>97</v>
      </c>
      <c r="O2526" s="12" t="s">
        <v>98</v>
      </c>
      <c r="P2526" s="12" t="s">
        <v>72</v>
      </c>
      <c r="Q2526" s="13">
        <v>45406</v>
      </c>
      <c r="R2526" s="13">
        <v>45421</v>
      </c>
      <c r="S2526">
        <v>2024</v>
      </c>
      <c r="T2526" s="12" t="s">
        <v>3171</v>
      </c>
      <c r="U2526">
        <v>258</v>
      </c>
      <c r="V2526">
        <v>9.8998000000000008</v>
      </c>
      <c r="W2526">
        <v>63.27</v>
      </c>
      <c r="X2526">
        <v>0</v>
      </c>
      <c r="Y2526">
        <v>0</v>
      </c>
      <c r="Z2526">
        <v>2554.15</v>
      </c>
      <c r="AA2526">
        <v>2617.42</v>
      </c>
      <c r="AB2526" s="12" t="s">
        <v>201</v>
      </c>
      <c r="AD2526">
        <v>0</v>
      </c>
      <c r="AE2526">
        <v>0</v>
      </c>
      <c r="AH2526">
        <v>258</v>
      </c>
      <c r="AI2526">
        <v>256</v>
      </c>
      <c r="AJ2526">
        <v>2</v>
      </c>
      <c r="AK2526">
        <v>1</v>
      </c>
      <c r="AL2526">
        <v>1</v>
      </c>
      <c r="AM2526">
        <v>99.22</v>
      </c>
      <c r="AN2526">
        <v>10.224299999999999</v>
      </c>
      <c r="AO2526">
        <v>19.8</v>
      </c>
      <c r="AP2526" s="13">
        <v>45420</v>
      </c>
      <c r="AQ2526">
        <v>-1</v>
      </c>
      <c r="AR2526">
        <v>1</v>
      </c>
    </row>
    <row r="2527" spans="1:44" x14ac:dyDescent="0.35">
      <c r="A2527" s="12" t="s">
        <v>3358</v>
      </c>
      <c r="B2527" s="12" t="s">
        <v>1666</v>
      </c>
      <c r="C2527" s="12" t="s">
        <v>1667</v>
      </c>
      <c r="D2527" s="12" t="s">
        <v>78</v>
      </c>
      <c r="E2527" s="12" t="s">
        <v>65</v>
      </c>
      <c r="F2527">
        <v>2</v>
      </c>
      <c r="G2527">
        <v>3</v>
      </c>
      <c r="H2527">
        <v>0</v>
      </c>
      <c r="I2527" s="12" t="s">
        <v>310</v>
      </c>
      <c r="J2527" s="12" t="s">
        <v>311</v>
      </c>
      <c r="K2527" s="12" t="s">
        <v>81</v>
      </c>
      <c r="L2527" s="12" t="s">
        <v>69</v>
      </c>
      <c r="M2527">
        <v>28.3</v>
      </c>
      <c r="N2527" s="12" t="s">
        <v>70</v>
      </c>
      <c r="O2527" s="12" t="s">
        <v>71</v>
      </c>
      <c r="P2527" s="12" t="s">
        <v>72</v>
      </c>
      <c r="Q2527" s="13">
        <v>45406</v>
      </c>
      <c r="R2527" s="13">
        <v>45437</v>
      </c>
      <c r="S2527">
        <v>2024</v>
      </c>
      <c r="T2527" s="12" t="s">
        <v>3171</v>
      </c>
      <c r="U2527">
        <v>186</v>
      </c>
      <c r="V2527">
        <v>73.412099999999995</v>
      </c>
      <c r="W2527">
        <v>124.51</v>
      </c>
      <c r="X2527">
        <v>0</v>
      </c>
      <c r="Y2527">
        <v>0</v>
      </c>
      <c r="Z2527">
        <v>13654.65</v>
      </c>
      <c r="AA2527">
        <v>13779.16</v>
      </c>
      <c r="AB2527" s="12" t="s">
        <v>3090</v>
      </c>
      <c r="AC2527">
        <v>73.412099999999995</v>
      </c>
      <c r="AD2527">
        <v>1</v>
      </c>
      <c r="AE2527">
        <v>1</v>
      </c>
      <c r="AF2527">
        <v>0</v>
      </c>
      <c r="AG2527">
        <v>13654.65</v>
      </c>
      <c r="AH2527">
        <v>186</v>
      </c>
      <c r="AI2527">
        <v>184</v>
      </c>
      <c r="AJ2527">
        <v>2</v>
      </c>
      <c r="AK2527">
        <v>1</v>
      </c>
      <c r="AL2527">
        <v>1</v>
      </c>
      <c r="AM2527">
        <v>98.92</v>
      </c>
      <c r="AN2527">
        <v>74.886700000000005</v>
      </c>
      <c r="AO2527">
        <v>146.82</v>
      </c>
      <c r="AP2527" s="13">
        <v>45437</v>
      </c>
      <c r="AQ2527">
        <v>0</v>
      </c>
      <c r="AR2527">
        <v>1</v>
      </c>
    </row>
    <row r="2528" spans="1:44" x14ac:dyDescent="0.35">
      <c r="A2528" s="12" t="s">
        <v>3359</v>
      </c>
      <c r="B2528" s="12" t="s">
        <v>207</v>
      </c>
      <c r="C2528" s="12" t="s">
        <v>208</v>
      </c>
      <c r="D2528" s="12" t="s">
        <v>78</v>
      </c>
      <c r="E2528" s="12" t="s">
        <v>65</v>
      </c>
      <c r="F2528">
        <v>2</v>
      </c>
      <c r="G2528">
        <v>3</v>
      </c>
      <c r="H2528">
        <v>0</v>
      </c>
      <c r="I2528" s="12" t="s">
        <v>209</v>
      </c>
      <c r="J2528" s="12" t="s">
        <v>210</v>
      </c>
      <c r="K2528" s="12" t="s">
        <v>133</v>
      </c>
      <c r="L2528" s="12" t="s">
        <v>96</v>
      </c>
      <c r="M2528">
        <v>7.82</v>
      </c>
      <c r="N2528" s="12" t="s">
        <v>70</v>
      </c>
      <c r="O2528" s="12" t="s">
        <v>71</v>
      </c>
      <c r="P2528" s="12" t="s">
        <v>72</v>
      </c>
      <c r="Q2528" s="13">
        <v>45406</v>
      </c>
      <c r="R2528" s="13">
        <v>45443</v>
      </c>
      <c r="S2528">
        <v>2024</v>
      </c>
      <c r="T2528" s="12" t="s">
        <v>3171</v>
      </c>
      <c r="U2528">
        <v>277</v>
      </c>
      <c r="V2528">
        <v>148.61590000000001</v>
      </c>
      <c r="W2528">
        <v>592.25</v>
      </c>
      <c r="X2528">
        <v>0</v>
      </c>
      <c r="Y2528">
        <v>0</v>
      </c>
      <c r="Z2528">
        <v>41166.6</v>
      </c>
      <c r="AA2528">
        <v>41758.85</v>
      </c>
      <c r="AB2528" s="12" t="s">
        <v>2832</v>
      </c>
      <c r="AC2528">
        <v>148.61590000000001</v>
      </c>
      <c r="AD2528">
        <v>1</v>
      </c>
      <c r="AE2528">
        <v>1</v>
      </c>
      <c r="AF2528">
        <v>0</v>
      </c>
      <c r="AG2528">
        <v>41166.6</v>
      </c>
      <c r="AH2528">
        <v>277</v>
      </c>
      <c r="AI2528">
        <v>271</v>
      </c>
      <c r="AJ2528">
        <v>6</v>
      </c>
      <c r="AK2528">
        <v>1</v>
      </c>
      <c r="AL2528">
        <v>1</v>
      </c>
      <c r="AM2528">
        <v>97.83</v>
      </c>
      <c r="AN2528">
        <v>154.0917</v>
      </c>
      <c r="AO2528">
        <v>891.7</v>
      </c>
      <c r="AP2528" s="13">
        <v>45443</v>
      </c>
      <c r="AQ2528">
        <v>0</v>
      </c>
      <c r="AR2528">
        <v>1</v>
      </c>
    </row>
    <row r="2529" spans="1:44" x14ac:dyDescent="0.35">
      <c r="A2529" s="12" t="s">
        <v>3360</v>
      </c>
      <c r="B2529" s="12" t="s">
        <v>357</v>
      </c>
      <c r="C2529" s="12" t="s">
        <v>358</v>
      </c>
      <c r="D2529" s="12" t="s">
        <v>103</v>
      </c>
      <c r="E2529" s="12" t="s">
        <v>104</v>
      </c>
      <c r="F2529">
        <v>3</v>
      </c>
      <c r="G2529">
        <v>1</v>
      </c>
      <c r="H2529">
        <v>0</v>
      </c>
      <c r="I2529" s="12" t="s">
        <v>105</v>
      </c>
      <c r="J2529" s="12" t="s">
        <v>106</v>
      </c>
      <c r="K2529" s="12" t="s">
        <v>81</v>
      </c>
      <c r="L2529" s="12" t="s">
        <v>96</v>
      </c>
      <c r="M2529">
        <v>5.01</v>
      </c>
      <c r="N2529" s="12" t="s">
        <v>107</v>
      </c>
      <c r="O2529" s="12" t="s">
        <v>108</v>
      </c>
      <c r="P2529" s="12" t="s">
        <v>109</v>
      </c>
      <c r="Q2529" s="13">
        <v>45406</v>
      </c>
      <c r="R2529" s="13">
        <v>45420</v>
      </c>
      <c r="S2529">
        <v>2024</v>
      </c>
      <c r="T2529" s="12" t="s">
        <v>3171</v>
      </c>
      <c r="U2529">
        <v>29</v>
      </c>
      <c r="V2529">
        <v>106.6647</v>
      </c>
      <c r="W2529">
        <v>36.090000000000003</v>
      </c>
      <c r="X2529">
        <v>0</v>
      </c>
      <c r="Y2529">
        <v>0</v>
      </c>
      <c r="Z2529">
        <v>3093.28</v>
      </c>
      <c r="AA2529">
        <v>3129.37</v>
      </c>
      <c r="AB2529" s="12" t="s">
        <v>2591</v>
      </c>
      <c r="AC2529">
        <v>106.6647</v>
      </c>
      <c r="AD2529">
        <v>1</v>
      </c>
      <c r="AE2529">
        <v>1</v>
      </c>
      <c r="AF2529">
        <v>0</v>
      </c>
      <c r="AG2529">
        <v>3093.28</v>
      </c>
      <c r="AH2529">
        <v>29</v>
      </c>
      <c r="AI2529">
        <v>29</v>
      </c>
      <c r="AJ2529">
        <v>0</v>
      </c>
      <c r="AK2529">
        <v>1</v>
      </c>
      <c r="AL2529">
        <v>1</v>
      </c>
      <c r="AM2529">
        <v>100</v>
      </c>
      <c r="AN2529">
        <v>107.9092</v>
      </c>
      <c r="AO2529">
        <v>0</v>
      </c>
      <c r="AP2529" s="13">
        <v>45420</v>
      </c>
      <c r="AQ2529">
        <v>0</v>
      </c>
      <c r="AR2529">
        <v>1</v>
      </c>
    </row>
    <row r="2530" spans="1:44" x14ac:dyDescent="0.35">
      <c r="A2530" s="12" t="s">
        <v>3361</v>
      </c>
      <c r="B2530" s="12" t="s">
        <v>661</v>
      </c>
      <c r="C2530" s="12" t="s">
        <v>662</v>
      </c>
      <c r="D2530" s="12" t="s">
        <v>175</v>
      </c>
      <c r="E2530" s="12" t="s">
        <v>104</v>
      </c>
      <c r="F2530">
        <v>1</v>
      </c>
      <c r="G2530">
        <v>0</v>
      </c>
      <c r="H2530">
        <v>1</v>
      </c>
      <c r="I2530" s="12" t="s">
        <v>183</v>
      </c>
      <c r="J2530" s="12" t="s">
        <v>184</v>
      </c>
      <c r="K2530" s="12" t="s">
        <v>133</v>
      </c>
      <c r="L2530" s="12" t="s">
        <v>82</v>
      </c>
      <c r="M2530">
        <v>8.6199999999999992</v>
      </c>
      <c r="N2530" s="12" t="s">
        <v>145</v>
      </c>
      <c r="O2530" s="12" t="s">
        <v>146</v>
      </c>
      <c r="P2530" s="12" t="s">
        <v>109</v>
      </c>
      <c r="Q2530" s="13">
        <v>45406</v>
      </c>
      <c r="R2530" s="13">
        <v>45427</v>
      </c>
      <c r="S2530">
        <v>2024</v>
      </c>
      <c r="T2530" s="12" t="s">
        <v>3171</v>
      </c>
      <c r="U2530">
        <v>84</v>
      </c>
      <c r="V2530">
        <v>180.0376</v>
      </c>
      <c r="W2530">
        <v>186.04</v>
      </c>
      <c r="X2530">
        <v>0</v>
      </c>
      <c r="Y2530">
        <v>0</v>
      </c>
      <c r="Z2530">
        <v>15123.16</v>
      </c>
      <c r="AA2530">
        <v>15309.2</v>
      </c>
      <c r="AB2530" s="12" t="s">
        <v>2851</v>
      </c>
      <c r="AC2530">
        <v>180.0376</v>
      </c>
      <c r="AD2530">
        <v>1</v>
      </c>
      <c r="AE2530">
        <v>1</v>
      </c>
      <c r="AF2530">
        <v>0</v>
      </c>
      <c r="AG2530">
        <v>15123.16</v>
      </c>
      <c r="AH2530">
        <v>84</v>
      </c>
      <c r="AI2530">
        <v>83</v>
      </c>
      <c r="AJ2530">
        <v>1</v>
      </c>
      <c r="AK2530">
        <v>1</v>
      </c>
      <c r="AL2530">
        <v>1</v>
      </c>
      <c r="AM2530">
        <v>98.81</v>
      </c>
      <c r="AN2530">
        <v>184.44820000000001</v>
      </c>
      <c r="AO2530">
        <v>180.04</v>
      </c>
      <c r="AP2530" s="13">
        <v>45427</v>
      </c>
      <c r="AQ2530">
        <v>0</v>
      </c>
      <c r="AR2530">
        <v>1</v>
      </c>
    </row>
    <row r="2531" spans="1:44" x14ac:dyDescent="0.35">
      <c r="A2531" s="12" t="s">
        <v>3362</v>
      </c>
      <c r="B2531" s="12" t="s">
        <v>565</v>
      </c>
      <c r="C2531" s="12" t="s">
        <v>566</v>
      </c>
      <c r="D2531" s="12" t="s">
        <v>122</v>
      </c>
      <c r="E2531" s="12" t="s">
        <v>104</v>
      </c>
      <c r="F2531">
        <v>3</v>
      </c>
      <c r="G2531">
        <v>1</v>
      </c>
      <c r="H2531">
        <v>0</v>
      </c>
      <c r="I2531" s="12" t="s">
        <v>87</v>
      </c>
      <c r="J2531" s="12" t="s">
        <v>88</v>
      </c>
      <c r="K2531" s="12" t="s">
        <v>89</v>
      </c>
      <c r="L2531" s="12" t="s">
        <v>69</v>
      </c>
      <c r="M2531">
        <v>14.93</v>
      </c>
      <c r="N2531" s="12" t="s">
        <v>70</v>
      </c>
      <c r="O2531" s="12" t="s">
        <v>71</v>
      </c>
      <c r="P2531" s="12" t="s">
        <v>72</v>
      </c>
      <c r="Q2531" s="13">
        <v>45407</v>
      </c>
      <c r="R2531" s="13">
        <v>45422</v>
      </c>
      <c r="S2531">
        <v>2024</v>
      </c>
      <c r="T2531" s="12" t="s">
        <v>3171</v>
      </c>
      <c r="U2531">
        <v>572</v>
      </c>
      <c r="V2531">
        <v>34.7179</v>
      </c>
      <c r="W2531">
        <v>250.61</v>
      </c>
      <c r="X2531">
        <v>0</v>
      </c>
      <c r="Y2531">
        <v>0</v>
      </c>
      <c r="Z2531">
        <v>19858.64</v>
      </c>
      <c r="AA2531">
        <v>20109.25</v>
      </c>
      <c r="AB2531" s="12" t="s">
        <v>3238</v>
      </c>
      <c r="AC2531">
        <v>34.7179</v>
      </c>
      <c r="AD2531">
        <v>1</v>
      </c>
      <c r="AE2531">
        <v>1</v>
      </c>
      <c r="AF2531">
        <v>0</v>
      </c>
      <c r="AG2531">
        <v>19858.64</v>
      </c>
      <c r="AH2531">
        <v>572</v>
      </c>
      <c r="AI2531">
        <v>567</v>
      </c>
      <c r="AJ2531">
        <v>5</v>
      </c>
      <c r="AK2531">
        <v>1</v>
      </c>
      <c r="AL2531">
        <v>1</v>
      </c>
      <c r="AM2531">
        <v>99.13</v>
      </c>
      <c r="AN2531">
        <v>35.466000000000001</v>
      </c>
      <c r="AO2531">
        <v>173.59</v>
      </c>
      <c r="AP2531" s="13">
        <v>45422</v>
      </c>
      <c r="AQ2531">
        <v>0</v>
      </c>
      <c r="AR2531">
        <v>1</v>
      </c>
    </row>
    <row r="2532" spans="1:44" x14ac:dyDescent="0.35">
      <c r="A2532" s="12" t="s">
        <v>3363</v>
      </c>
      <c r="B2532" s="12" t="s">
        <v>412</v>
      </c>
      <c r="C2532" s="12" t="s">
        <v>413</v>
      </c>
      <c r="D2532" s="12" t="s">
        <v>269</v>
      </c>
      <c r="E2532" s="12" t="s">
        <v>65</v>
      </c>
      <c r="F2532">
        <v>1</v>
      </c>
      <c r="G2532">
        <v>2</v>
      </c>
      <c r="H2532">
        <v>1</v>
      </c>
      <c r="I2532" s="12" t="s">
        <v>233</v>
      </c>
      <c r="J2532" s="12" t="s">
        <v>234</v>
      </c>
      <c r="K2532" s="12" t="s">
        <v>125</v>
      </c>
      <c r="L2532" s="12" t="s">
        <v>96</v>
      </c>
      <c r="M2532">
        <v>3.73</v>
      </c>
      <c r="N2532" s="12" t="s">
        <v>159</v>
      </c>
      <c r="O2532" s="12" t="s">
        <v>160</v>
      </c>
      <c r="P2532" s="12" t="s">
        <v>137</v>
      </c>
      <c r="Q2532" s="13">
        <v>45407</v>
      </c>
      <c r="R2532" s="13">
        <v>45436</v>
      </c>
      <c r="S2532">
        <v>2024</v>
      </c>
      <c r="T2532" s="12" t="s">
        <v>3171</v>
      </c>
      <c r="U2532">
        <v>75</v>
      </c>
      <c r="V2532">
        <v>104.17829999999999</v>
      </c>
      <c r="W2532">
        <v>196.1</v>
      </c>
      <c r="X2532">
        <v>0</v>
      </c>
      <c r="Y2532">
        <v>0</v>
      </c>
      <c r="Z2532">
        <v>7813.37</v>
      </c>
      <c r="AA2532">
        <v>8009.47</v>
      </c>
      <c r="AB2532" s="12" t="s">
        <v>3056</v>
      </c>
      <c r="AC2532">
        <v>104.17829999999999</v>
      </c>
      <c r="AD2532">
        <v>1</v>
      </c>
      <c r="AE2532">
        <v>1</v>
      </c>
      <c r="AF2532">
        <v>0</v>
      </c>
      <c r="AG2532">
        <v>7813.37</v>
      </c>
      <c r="AH2532">
        <v>75</v>
      </c>
      <c r="AI2532">
        <v>75</v>
      </c>
      <c r="AJ2532">
        <v>0</v>
      </c>
      <c r="AK2532">
        <v>1</v>
      </c>
      <c r="AL2532">
        <v>1</v>
      </c>
      <c r="AM2532">
        <v>100</v>
      </c>
      <c r="AN2532">
        <v>106.79300000000001</v>
      </c>
      <c r="AO2532">
        <v>0</v>
      </c>
      <c r="AP2532" s="13">
        <v>45436</v>
      </c>
      <c r="AQ2532">
        <v>0</v>
      </c>
      <c r="AR2532">
        <v>1</v>
      </c>
    </row>
    <row r="2533" spans="1:44" x14ac:dyDescent="0.35">
      <c r="A2533" s="12" t="s">
        <v>3364</v>
      </c>
      <c r="B2533" s="12" t="s">
        <v>1220</v>
      </c>
      <c r="C2533" s="12" t="s">
        <v>1221</v>
      </c>
      <c r="D2533" s="12" t="s">
        <v>175</v>
      </c>
      <c r="E2533" s="12" t="s">
        <v>104</v>
      </c>
      <c r="F2533">
        <v>3</v>
      </c>
      <c r="G2533">
        <v>1</v>
      </c>
      <c r="H2533">
        <v>0</v>
      </c>
      <c r="I2533" s="12" t="s">
        <v>251</v>
      </c>
      <c r="J2533" s="12" t="s">
        <v>252</v>
      </c>
      <c r="K2533" s="12" t="s">
        <v>133</v>
      </c>
      <c r="L2533" s="12" t="s">
        <v>69</v>
      </c>
      <c r="M2533">
        <v>34.49</v>
      </c>
      <c r="N2533" s="12" t="s">
        <v>107</v>
      </c>
      <c r="O2533" s="12" t="s">
        <v>108</v>
      </c>
      <c r="P2533" s="12" t="s">
        <v>109</v>
      </c>
      <c r="Q2533" s="13">
        <v>45407</v>
      </c>
      <c r="R2533" s="13">
        <v>45423</v>
      </c>
      <c r="S2533">
        <v>2024</v>
      </c>
      <c r="T2533" s="12" t="s">
        <v>3171</v>
      </c>
      <c r="U2533">
        <v>47</v>
      </c>
      <c r="V2533">
        <v>138.98759999999999</v>
      </c>
      <c r="W2533">
        <v>49.27</v>
      </c>
      <c r="X2533">
        <v>0</v>
      </c>
      <c r="Y2533">
        <v>0</v>
      </c>
      <c r="Z2533">
        <v>6532.42</v>
      </c>
      <c r="AA2533">
        <v>6581.69</v>
      </c>
      <c r="AB2533" s="12" t="s">
        <v>1438</v>
      </c>
      <c r="AC2533">
        <v>138.98759999999999</v>
      </c>
      <c r="AD2533">
        <v>1</v>
      </c>
      <c r="AE2533">
        <v>1</v>
      </c>
      <c r="AF2533">
        <v>0</v>
      </c>
      <c r="AG2533">
        <v>6532.42</v>
      </c>
      <c r="AH2533">
        <v>47</v>
      </c>
      <c r="AI2533">
        <v>47</v>
      </c>
      <c r="AJ2533">
        <v>0</v>
      </c>
      <c r="AK2533">
        <v>1</v>
      </c>
      <c r="AL2533">
        <v>1</v>
      </c>
      <c r="AM2533">
        <v>100</v>
      </c>
      <c r="AN2533">
        <v>140.0359</v>
      </c>
      <c r="AO2533">
        <v>0</v>
      </c>
      <c r="AP2533" s="13">
        <v>45423</v>
      </c>
      <c r="AQ2533">
        <v>0</v>
      </c>
      <c r="AR2533">
        <v>1</v>
      </c>
    </row>
    <row r="2534" spans="1:44" x14ac:dyDescent="0.35">
      <c r="A2534" s="12" t="s">
        <v>3365</v>
      </c>
      <c r="B2534" s="12" t="s">
        <v>284</v>
      </c>
      <c r="C2534" s="12" t="s">
        <v>285</v>
      </c>
      <c r="D2534" s="12" t="s">
        <v>269</v>
      </c>
      <c r="E2534" s="12" t="s">
        <v>104</v>
      </c>
      <c r="F2534">
        <v>3</v>
      </c>
      <c r="G2534">
        <v>1</v>
      </c>
      <c r="H2534">
        <v>0</v>
      </c>
      <c r="I2534" s="12" t="s">
        <v>199</v>
      </c>
      <c r="J2534" s="12" t="s">
        <v>200</v>
      </c>
      <c r="K2534" s="12" t="s">
        <v>68</v>
      </c>
      <c r="L2534" s="12" t="s">
        <v>96</v>
      </c>
      <c r="M2534">
        <v>9.4700000000000006</v>
      </c>
      <c r="N2534" s="12" t="s">
        <v>135</v>
      </c>
      <c r="O2534" s="12" t="s">
        <v>136</v>
      </c>
      <c r="P2534" s="12" t="s">
        <v>137</v>
      </c>
      <c r="Q2534" s="13">
        <v>45407</v>
      </c>
      <c r="R2534" s="13">
        <v>45427</v>
      </c>
      <c r="S2534">
        <v>2024</v>
      </c>
      <c r="T2534" s="12" t="s">
        <v>3171</v>
      </c>
      <c r="U2534">
        <v>74</v>
      </c>
      <c r="V2534">
        <v>402.90469999999999</v>
      </c>
      <c r="W2534">
        <v>516.11</v>
      </c>
      <c r="X2534">
        <v>0</v>
      </c>
      <c r="Y2534">
        <v>0</v>
      </c>
      <c r="Z2534">
        <v>29814.95</v>
      </c>
      <c r="AA2534">
        <v>30331.06</v>
      </c>
      <c r="AB2534" s="12" t="s">
        <v>201</v>
      </c>
      <c r="AD2534">
        <v>0</v>
      </c>
      <c r="AE2534">
        <v>0</v>
      </c>
      <c r="AH2534">
        <v>74</v>
      </c>
      <c r="AI2534">
        <v>73</v>
      </c>
      <c r="AJ2534">
        <v>1</v>
      </c>
      <c r="AK2534">
        <v>1</v>
      </c>
      <c r="AL2534">
        <v>1</v>
      </c>
      <c r="AM2534">
        <v>98.65</v>
      </c>
      <c r="AN2534">
        <v>415.4939</v>
      </c>
      <c r="AO2534">
        <v>402.9</v>
      </c>
      <c r="AP2534" s="13">
        <v>45425</v>
      </c>
      <c r="AQ2534">
        <v>-2</v>
      </c>
      <c r="AR2534">
        <v>1</v>
      </c>
    </row>
    <row r="2535" spans="1:44" x14ac:dyDescent="0.35">
      <c r="A2535" s="12" t="s">
        <v>3366</v>
      </c>
      <c r="B2535" s="12" t="s">
        <v>399</v>
      </c>
      <c r="C2535" s="12" t="s">
        <v>400</v>
      </c>
      <c r="D2535" s="12" t="s">
        <v>114</v>
      </c>
      <c r="E2535" s="12" t="s">
        <v>65</v>
      </c>
      <c r="F2535">
        <v>1</v>
      </c>
      <c r="G2535">
        <v>2</v>
      </c>
      <c r="H2535">
        <v>1</v>
      </c>
      <c r="I2535" s="12" t="s">
        <v>151</v>
      </c>
      <c r="J2535" s="12" t="s">
        <v>152</v>
      </c>
      <c r="K2535" s="12" t="s">
        <v>125</v>
      </c>
      <c r="L2535" s="12" t="s">
        <v>69</v>
      </c>
      <c r="M2535">
        <v>36.479999999999997</v>
      </c>
      <c r="N2535" s="12" t="s">
        <v>97</v>
      </c>
      <c r="O2535" s="12" t="s">
        <v>98</v>
      </c>
      <c r="P2535" s="12" t="s">
        <v>72</v>
      </c>
      <c r="Q2535" s="13">
        <v>45407</v>
      </c>
      <c r="R2535" s="13">
        <v>45440</v>
      </c>
      <c r="S2535">
        <v>2024</v>
      </c>
      <c r="T2535" s="12" t="s">
        <v>3171</v>
      </c>
      <c r="U2535">
        <v>106</v>
      </c>
      <c r="V2535">
        <v>292.26440000000002</v>
      </c>
      <c r="W2535">
        <v>259.75</v>
      </c>
      <c r="X2535">
        <v>0</v>
      </c>
      <c r="Y2535">
        <v>0</v>
      </c>
      <c r="Z2535">
        <v>30980.03</v>
      </c>
      <c r="AA2535">
        <v>31239.78</v>
      </c>
      <c r="AB2535" s="12" t="s">
        <v>3009</v>
      </c>
      <c r="AC2535">
        <v>292.26440000000002</v>
      </c>
      <c r="AD2535">
        <v>1</v>
      </c>
      <c r="AE2535">
        <v>1</v>
      </c>
      <c r="AF2535">
        <v>0</v>
      </c>
      <c r="AG2535">
        <v>30980.03</v>
      </c>
      <c r="AH2535">
        <v>106</v>
      </c>
      <c r="AI2535">
        <v>105</v>
      </c>
      <c r="AJ2535">
        <v>1</v>
      </c>
      <c r="AK2535">
        <v>1</v>
      </c>
      <c r="AL2535">
        <v>1</v>
      </c>
      <c r="AM2535">
        <v>99.06</v>
      </c>
      <c r="AN2535">
        <v>297.52170000000001</v>
      </c>
      <c r="AO2535">
        <v>292.26</v>
      </c>
      <c r="AP2535" s="13">
        <v>45438</v>
      </c>
      <c r="AQ2535">
        <v>-2</v>
      </c>
      <c r="AR2535">
        <v>1</v>
      </c>
    </row>
    <row r="2536" spans="1:44" x14ac:dyDescent="0.35">
      <c r="A2536" s="12" t="s">
        <v>3367</v>
      </c>
      <c r="B2536" s="12" t="s">
        <v>990</v>
      </c>
      <c r="C2536" s="12" t="s">
        <v>991</v>
      </c>
      <c r="D2536" s="12" t="s">
        <v>122</v>
      </c>
      <c r="E2536" s="12" t="s">
        <v>142</v>
      </c>
      <c r="F2536">
        <v>1</v>
      </c>
      <c r="G2536">
        <v>6</v>
      </c>
      <c r="H2536">
        <v>1</v>
      </c>
      <c r="I2536" s="12" t="s">
        <v>217</v>
      </c>
      <c r="J2536" s="12" t="s">
        <v>218</v>
      </c>
      <c r="K2536" s="12" t="s">
        <v>68</v>
      </c>
      <c r="L2536" s="12" t="s">
        <v>82</v>
      </c>
      <c r="M2536">
        <v>14.24</v>
      </c>
      <c r="N2536" s="12" t="s">
        <v>97</v>
      </c>
      <c r="O2536" s="12" t="s">
        <v>98</v>
      </c>
      <c r="P2536" s="12" t="s">
        <v>72</v>
      </c>
      <c r="Q2536" s="13">
        <v>45407</v>
      </c>
      <c r="R2536" s="13">
        <v>45442</v>
      </c>
      <c r="S2536">
        <v>2024</v>
      </c>
      <c r="T2536" s="12" t="s">
        <v>3171</v>
      </c>
      <c r="U2536">
        <v>229</v>
      </c>
      <c r="V2536">
        <v>33.6252</v>
      </c>
      <c r="W2536">
        <v>95.77</v>
      </c>
      <c r="X2536">
        <v>0</v>
      </c>
      <c r="Y2536">
        <v>0</v>
      </c>
      <c r="Z2536">
        <v>7700.17</v>
      </c>
      <c r="AA2536">
        <v>7795.94</v>
      </c>
      <c r="AB2536" s="12" t="s">
        <v>3368</v>
      </c>
      <c r="AC2536">
        <v>33.6252</v>
      </c>
      <c r="AD2536">
        <v>1</v>
      </c>
      <c r="AE2536">
        <v>1</v>
      </c>
      <c r="AF2536">
        <v>0</v>
      </c>
      <c r="AG2536">
        <v>7700.17</v>
      </c>
      <c r="AH2536">
        <v>229</v>
      </c>
      <c r="AI2536">
        <v>228</v>
      </c>
      <c r="AJ2536">
        <v>1</v>
      </c>
      <c r="AK2536">
        <v>1</v>
      </c>
      <c r="AL2536">
        <v>1</v>
      </c>
      <c r="AM2536">
        <v>99.56</v>
      </c>
      <c r="AN2536">
        <v>34.192700000000002</v>
      </c>
      <c r="AO2536">
        <v>33.630000000000003</v>
      </c>
      <c r="AP2536" s="13">
        <v>45442</v>
      </c>
      <c r="AQ2536">
        <v>0</v>
      </c>
      <c r="AR2536">
        <v>1</v>
      </c>
    </row>
    <row r="2537" spans="1:44" x14ac:dyDescent="0.35">
      <c r="A2537" s="12" t="s">
        <v>3369</v>
      </c>
      <c r="B2537" s="12" t="s">
        <v>362</v>
      </c>
      <c r="C2537" s="12" t="s">
        <v>363</v>
      </c>
      <c r="D2537" s="12" t="s">
        <v>78</v>
      </c>
      <c r="E2537" s="12" t="s">
        <v>104</v>
      </c>
      <c r="F2537">
        <v>3</v>
      </c>
      <c r="G2537">
        <v>0</v>
      </c>
      <c r="H2537">
        <v>0</v>
      </c>
      <c r="I2537" s="12" t="s">
        <v>157</v>
      </c>
      <c r="J2537" s="12" t="s">
        <v>158</v>
      </c>
      <c r="K2537" s="12" t="s">
        <v>117</v>
      </c>
      <c r="L2537" s="12" t="s">
        <v>96</v>
      </c>
      <c r="M2537">
        <v>4.72</v>
      </c>
      <c r="N2537" s="12" t="s">
        <v>97</v>
      </c>
      <c r="O2537" s="12" t="s">
        <v>98</v>
      </c>
      <c r="P2537" s="12" t="s">
        <v>72</v>
      </c>
      <c r="Q2537" s="13">
        <v>45407</v>
      </c>
      <c r="R2537" s="13">
        <v>45421</v>
      </c>
      <c r="S2537">
        <v>2024</v>
      </c>
      <c r="T2537" s="12" t="s">
        <v>3171</v>
      </c>
      <c r="U2537">
        <v>76</v>
      </c>
      <c r="V2537">
        <v>59.830500000000001</v>
      </c>
      <c r="W2537">
        <v>33.49</v>
      </c>
      <c r="X2537">
        <v>0</v>
      </c>
      <c r="Y2537">
        <v>0</v>
      </c>
      <c r="Z2537">
        <v>4547.12</v>
      </c>
      <c r="AA2537">
        <v>4580.6099999999997</v>
      </c>
      <c r="AB2537" s="12" t="s">
        <v>3185</v>
      </c>
      <c r="AC2537">
        <v>59.830500000000001</v>
      </c>
      <c r="AD2537">
        <v>1</v>
      </c>
      <c r="AE2537">
        <v>1</v>
      </c>
      <c r="AF2537">
        <v>0</v>
      </c>
      <c r="AG2537">
        <v>4547.12</v>
      </c>
      <c r="AH2537">
        <v>76</v>
      </c>
      <c r="AI2537">
        <v>75</v>
      </c>
      <c r="AJ2537">
        <v>1</v>
      </c>
      <c r="AK2537">
        <v>1</v>
      </c>
      <c r="AL2537">
        <v>1</v>
      </c>
      <c r="AM2537">
        <v>98.68</v>
      </c>
      <c r="AN2537">
        <v>61.074800000000003</v>
      </c>
      <c r="AO2537">
        <v>59.83</v>
      </c>
      <c r="AP2537" s="13">
        <v>45419</v>
      </c>
      <c r="AQ2537">
        <v>-2</v>
      </c>
      <c r="AR2537">
        <v>1</v>
      </c>
    </row>
    <row r="2538" spans="1:44" x14ac:dyDescent="0.35">
      <c r="A2538" s="12" t="s">
        <v>3370</v>
      </c>
      <c r="B2538" s="12" t="s">
        <v>869</v>
      </c>
      <c r="C2538" s="12" t="s">
        <v>870</v>
      </c>
      <c r="D2538" s="12" t="s">
        <v>130</v>
      </c>
      <c r="E2538" s="12" t="s">
        <v>104</v>
      </c>
      <c r="F2538">
        <v>2</v>
      </c>
      <c r="G2538">
        <v>0</v>
      </c>
      <c r="H2538">
        <v>0</v>
      </c>
      <c r="I2538" s="12" t="s">
        <v>515</v>
      </c>
      <c r="J2538" s="12" t="s">
        <v>516</v>
      </c>
      <c r="K2538" s="12" t="s">
        <v>68</v>
      </c>
      <c r="L2538" s="12" t="s">
        <v>134</v>
      </c>
      <c r="M2538">
        <v>3.69</v>
      </c>
      <c r="N2538" s="12" t="s">
        <v>135</v>
      </c>
      <c r="O2538" s="12" t="s">
        <v>136</v>
      </c>
      <c r="P2538" s="12" t="s">
        <v>137</v>
      </c>
      <c r="Q2538" s="13">
        <v>45407</v>
      </c>
      <c r="R2538" s="13">
        <v>45432</v>
      </c>
      <c r="S2538">
        <v>2024</v>
      </c>
      <c r="T2538" s="12" t="s">
        <v>3171</v>
      </c>
      <c r="U2538">
        <v>116</v>
      </c>
      <c r="V2538">
        <v>659.09400000000005</v>
      </c>
      <c r="W2538">
        <v>496.58</v>
      </c>
      <c r="X2538">
        <v>0</v>
      </c>
      <c r="Y2538">
        <v>0</v>
      </c>
      <c r="Z2538">
        <v>76454.899999999994</v>
      </c>
      <c r="AA2538">
        <v>76951.48</v>
      </c>
      <c r="AB2538" s="12" t="s">
        <v>201</v>
      </c>
      <c r="AD2538">
        <v>0</v>
      </c>
      <c r="AE2538">
        <v>0</v>
      </c>
      <c r="AH2538">
        <v>116</v>
      </c>
      <c r="AI2538">
        <v>115</v>
      </c>
      <c r="AJ2538">
        <v>1</v>
      </c>
      <c r="AK2538">
        <v>1</v>
      </c>
      <c r="AL2538">
        <v>1</v>
      </c>
      <c r="AM2538">
        <v>99.14</v>
      </c>
      <c r="AN2538">
        <v>669.14329999999995</v>
      </c>
      <c r="AO2538">
        <v>659.09</v>
      </c>
      <c r="AP2538" s="13">
        <v>45432</v>
      </c>
      <c r="AQ2538">
        <v>0</v>
      </c>
      <c r="AR2538">
        <v>1</v>
      </c>
    </row>
    <row r="2539" spans="1:44" x14ac:dyDescent="0.35">
      <c r="A2539" s="12" t="s">
        <v>3371</v>
      </c>
      <c r="B2539" s="12" t="s">
        <v>740</v>
      </c>
      <c r="C2539" s="12" t="s">
        <v>741</v>
      </c>
      <c r="D2539" s="12" t="s">
        <v>64</v>
      </c>
      <c r="E2539" s="12" t="s">
        <v>104</v>
      </c>
      <c r="F2539">
        <v>2</v>
      </c>
      <c r="G2539">
        <v>0</v>
      </c>
      <c r="H2539">
        <v>0</v>
      </c>
      <c r="I2539" s="12" t="s">
        <v>183</v>
      </c>
      <c r="J2539" s="12" t="s">
        <v>184</v>
      </c>
      <c r="K2539" s="12" t="s">
        <v>133</v>
      </c>
      <c r="L2539" s="12" t="s">
        <v>82</v>
      </c>
      <c r="M2539">
        <v>8.6199999999999992</v>
      </c>
      <c r="N2539" s="12" t="s">
        <v>70</v>
      </c>
      <c r="O2539" s="12" t="s">
        <v>71</v>
      </c>
      <c r="P2539" s="12" t="s">
        <v>72</v>
      </c>
      <c r="Q2539" s="13">
        <v>45407</v>
      </c>
      <c r="R2539" s="13">
        <v>45419</v>
      </c>
      <c r="S2539">
        <v>2024</v>
      </c>
      <c r="T2539" s="12" t="s">
        <v>3171</v>
      </c>
      <c r="U2539">
        <v>141</v>
      </c>
      <c r="V2539">
        <v>41.1708</v>
      </c>
      <c r="W2539">
        <v>108.98</v>
      </c>
      <c r="X2539">
        <v>0</v>
      </c>
      <c r="Y2539">
        <v>0</v>
      </c>
      <c r="Z2539">
        <v>5805.08</v>
      </c>
      <c r="AA2539">
        <v>5914.06</v>
      </c>
      <c r="AB2539" s="12" t="s">
        <v>3134</v>
      </c>
      <c r="AC2539">
        <v>41.1708</v>
      </c>
      <c r="AD2539">
        <v>1</v>
      </c>
      <c r="AE2539">
        <v>1</v>
      </c>
      <c r="AF2539">
        <v>0</v>
      </c>
      <c r="AG2539">
        <v>5805.08</v>
      </c>
      <c r="AH2539">
        <v>141</v>
      </c>
      <c r="AI2539">
        <v>139</v>
      </c>
      <c r="AJ2539">
        <v>2</v>
      </c>
      <c r="AK2539">
        <v>1</v>
      </c>
      <c r="AL2539">
        <v>1</v>
      </c>
      <c r="AM2539">
        <v>98.58</v>
      </c>
      <c r="AN2539">
        <v>42.547199999999997</v>
      </c>
      <c r="AO2539">
        <v>82.34</v>
      </c>
      <c r="AP2539" s="13">
        <v>45417</v>
      </c>
      <c r="AQ2539">
        <v>-2</v>
      </c>
      <c r="AR2539">
        <v>1</v>
      </c>
    </row>
    <row r="2540" spans="1:44" x14ac:dyDescent="0.35">
      <c r="A2540" s="12" t="s">
        <v>3372</v>
      </c>
      <c r="B2540" s="12" t="s">
        <v>221</v>
      </c>
      <c r="C2540" s="12" t="s">
        <v>222</v>
      </c>
      <c r="D2540" s="12" t="s">
        <v>114</v>
      </c>
      <c r="E2540" s="12" t="s">
        <v>142</v>
      </c>
      <c r="F2540">
        <v>3</v>
      </c>
      <c r="G2540">
        <v>11</v>
      </c>
      <c r="H2540">
        <v>0</v>
      </c>
      <c r="I2540" s="12" t="s">
        <v>223</v>
      </c>
      <c r="J2540" s="12" t="s">
        <v>224</v>
      </c>
      <c r="K2540" s="12" t="s">
        <v>81</v>
      </c>
      <c r="L2540" s="12" t="s">
        <v>134</v>
      </c>
      <c r="M2540">
        <v>2.4900000000000002</v>
      </c>
      <c r="N2540" s="12" t="s">
        <v>97</v>
      </c>
      <c r="O2540" s="12" t="s">
        <v>98</v>
      </c>
      <c r="P2540" s="12" t="s">
        <v>72</v>
      </c>
      <c r="Q2540" s="13">
        <v>45407</v>
      </c>
      <c r="R2540" s="13">
        <v>45451</v>
      </c>
      <c r="S2540">
        <v>2024</v>
      </c>
      <c r="T2540" s="12" t="s">
        <v>3171</v>
      </c>
      <c r="U2540">
        <v>84</v>
      </c>
      <c r="V2540">
        <v>243.91970000000001</v>
      </c>
      <c r="W2540">
        <v>303.60000000000002</v>
      </c>
      <c r="X2540">
        <v>0</v>
      </c>
      <c r="Y2540">
        <v>0</v>
      </c>
      <c r="Z2540">
        <v>20489.25</v>
      </c>
      <c r="AA2540">
        <v>20792.849999999999</v>
      </c>
      <c r="AB2540" s="12" t="s">
        <v>3373</v>
      </c>
      <c r="AC2540">
        <v>235.93719999999999</v>
      </c>
      <c r="AD2540">
        <v>1</v>
      </c>
      <c r="AE2540">
        <v>1</v>
      </c>
      <c r="AF2540">
        <v>670.53</v>
      </c>
      <c r="AG2540">
        <v>19818.72</v>
      </c>
      <c r="AH2540">
        <v>84</v>
      </c>
      <c r="AI2540">
        <v>82</v>
      </c>
      <c r="AJ2540">
        <v>2</v>
      </c>
      <c r="AK2540">
        <v>1</v>
      </c>
      <c r="AL2540">
        <v>1</v>
      </c>
      <c r="AM2540">
        <v>97.62</v>
      </c>
      <c r="AN2540">
        <v>253.57140000000001</v>
      </c>
      <c r="AO2540">
        <v>487.84</v>
      </c>
      <c r="AP2540" s="13">
        <v>45451</v>
      </c>
      <c r="AQ2540">
        <v>0</v>
      </c>
      <c r="AR2540">
        <v>1</v>
      </c>
    </row>
    <row r="2541" spans="1:44" x14ac:dyDescent="0.35">
      <c r="A2541" s="12" t="s">
        <v>3374</v>
      </c>
      <c r="B2541" s="12" t="s">
        <v>766</v>
      </c>
      <c r="C2541" s="12" t="s">
        <v>767</v>
      </c>
      <c r="D2541" s="12" t="s">
        <v>175</v>
      </c>
      <c r="E2541" s="12" t="s">
        <v>65</v>
      </c>
      <c r="F2541">
        <v>3</v>
      </c>
      <c r="G2541">
        <v>5</v>
      </c>
      <c r="H2541">
        <v>0</v>
      </c>
      <c r="I2541" s="12" t="s">
        <v>87</v>
      </c>
      <c r="J2541" s="12" t="s">
        <v>88</v>
      </c>
      <c r="K2541" s="12" t="s">
        <v>89</v>
      </c>
      <c r="L2541" s="12" t="s">
        <v>69</v>
      </c>
      <c r="M2541">
        <v>14.93</v>
      </c>
      <c r="N2541" s="12" t="s">
        <v>107</v>
      </c>
      <c r="O2541" s="12" t="s">
        <v>108</v>
      </c>
      <c r="P2541" s="12" t="s">
        <v>109</v>
      </c>
      <c r="Q2541" s="13">
        <v>45408</v>
      </c>
      <c r="R2541" s="13">
        <v>45433</v>
      </c>
      <c r="S2541">
        <v>2024</v>
      </c>
      <c r="T2541" s="12" t="s">
        <v>3171</v>
      </c>
      <c r="U2541">
        <v>42</v>
      </c>
      <c r="V2541">
        <v>81.825500000000005</v>
      </c>
      <c r="W2541">
        <v>78.88</v>
      </c>
      <c r="X2541">
        <v>0</v>
      </c>
      <c r="Y2541">
        <v>0</v>
      </c>
      <c r="Z2541">
        <v>3436.67</v>
      </c>
      <c r="AA2541">
        <v>3515.55</v>
      </c>
      <c r="AB2541" s="12" t="s">
        <v>3225</v>
      </c>
      <c r="AC2541">
        <v>81.825500000000005</v>
      </c>
      <c r="AD2541">
        <v>1</v>
      </c>
      <c r="AE2541">
        <v>1</v>
      </c>
      <c r="AF2541">
        <v>0</v>
      </c>
      <c r="AG2541">
        <v>3436.67</v>
      </c>
      <c r="AH2541">
        <v>42</v>
      </c>
      <c r="AI2541">
        <v>42</v>
      </c>
      <c r="AJ2541">
        <v>0</v>
      </c>
      <c r="AK2541">
        <v>1</v>
      </c>
      <c r="AL2541">
        <v>1</v>
      </c>
      <c r="AM2541">
        <v>100</v>
      </c>
      <c r="AN2541">
        <v>83.703599999999994</v>
      </c>
      <c r="AO2541">
        <v>0</v>
      </c>
      <c r="AP2541" s="13">
        <v>45430</v>
      </c>
      <c r="AQ2541">
        <v>-3</v>
      </c>
      <c r="AR2541">
        <v>1</v>
      </c>
    </row>
    <row r="2542" spans="1:44" x14ac:dyDescent="0.35">
      <c r="A2542" s="12" t="s">
        <v>3375</v>
      </c>
      <c r="B2542" s="12" t="s">
        <v>630</v>
      </c>
      <c r="C2542" s="12" t="s">
        <v>631</v>
      </c>
      <c r="D2542" s="12" t="s">
        <v>130</v>
      </c>
      <c r="E2542" s="12" t="s">
        <v>65</v>
      </c>
      <c r="F2542">
        <v>1</v>
      </c>
      <c r="G2542">
        <v>2</v>
      </c>
      <c r="H2542">
        <v>1</v>
      </c>
      <c r="I2542" s="12" t="s">
        <v>335</v>
      </c>
      <c r="J2542" s="12" t="s">
        <v>336</v>
      </c>
      <c r="K2542" s="12" t="s">
        <v>89</v>
      </c>
      <c r="L2542" s="12" t="s">
        <v>82</v>
      </c>
      <c r="M2542">
        <v>16</v>
      </c>
      <c r="N2542" s="12" t="s">
        <v>135</v>
      </c>
      <c r="O2542" s="12" t="s">
        <v>136</v>
      </c>
      <c r="P2542" s="12" t="s">
        <v>137</v>
      </c>
      <c r="Q2542" s="13">
        <v>45408</v>
      </c>
      <c r="R2542" s="13">
        <v>45442</v>
      </c>
      <c r="S2542">
        <v>2024</v>
      </c>
      <c r="T2542" s="12" t="s">
        <v>3171</v>
      </c>
      <c r="U2542">
        <v>116</v>
      </c>
      <c r="V2542">
        <v>446.36720000000003</v>
      </c>
      <c r="W2542">
        <v>1140.9000000000001</v>
      </c>
      <c r="X2542">
        <v>0</v>
      </c>
      <c r="Y2542">
        <v>0</v>
      </c>
      <c r="Z2542">
        <v>51778.6</v>
      </c>
      <c r="AA2542">
        <v>52919.5</v>
      </c>
      <c r="AB2542" s="12" t="s">
        <v>2944</v>
      </c>
      <c r="AC2542">
        <v>446.36720000000003</v>
      </c>
      <c r="AD2542">
        <v>1</v>
      </c>
      <c r="AE2542">
        <v>1</v>
      </c>
      <c r="AF2542">
        <v>0</v>
      </c>
      <c r="AG2542">
        <v>51778.6</v>
      </c>
      <c r="AH2542">
        <v>116</v>
      </c>
      <c r="AI2542">
        <v>114</v>
      </c>
      <c r="AJ2542">
        <v>2</v>
      </c>
      <c r="AK2542">
        <v>1</v>
      </c>
      <c r="AL2542">
        <v>1</v>
      </c>
      <c r="AM2542">
        <v>98.28</v>
      </c>
      <c r="AN2542">
        <v>464.20609999999999</v>
      </c>
      <c r="AO2542">
        <v>892.73</v>
      </c>
      <c r="AP2542" s="13">
        <v>45439</v>
      </c>
      <c r="AQ2542">
        <v>-3</v>
      </c>
      <c r="AR2542">
        <v>1</v>
      </c>
    </row>
    <row r="2543" spans="1:44" x14ac:dyDescent="0.35">
      <c r="A2543" s="12" t="s">
        <v>3376</v>
      </c>
      <c r="B2543" s="12" t="s">
        <v>694</v>
      </c>
      <c r="C2543" s="12" t="s">
        <v>695</v>
      </c>
      <c r="D2543" s="12" t="s">
        <v>103</v>
      </c>
      <c r="E2543" s="12" t="s">
        <v>65</v>
      </c>
      <c r="F2543">
        <v>2</v>
      </c>
      <c r="G2543">
        <v>3</v>
      </c>
      <c r="H2543">
        <v>0</v>
      </c>
      <c r="I2543" s="12" t="s">
        <v>263</v>
      </c>
      <c r="J2543" s="12" t="s">
        <v>264</v>
      </c>
      <c r="K2543" s="12" t="s">
        <v>125</v>
      </c>
      <c r="L2543" s="12" t="s">
        <v>82</v>
      </c>
      <c r="M2543">
        <v>10.210000000000001</v>
      </c>
      <c r="N2543" s="12" t="s">
        <v>107</v>
      </c>
      <c r="O2543" s="12" t="s">
        <v>108</v>
      </c>
      <c r="P2543" s="12" t="s">
        <v>109</v>
      </c>
      <c r="Q2543" s="13">
        <v>45408</v>
      </c>
      <c r="R2543" s="13">
        <v>45436</v>
      </c>
      <c r="S2543">
        <v>2024</v>
      </c>
      <c r="T2543" s="12" t="s">
        <v>3171</v>
      </c>
      <c r="U2543">
        <v>65</v>
      </c>
      <c r="V2543">
        <v>211.1463</v>
      </c>
      <c r="W2543">
        <v>115.35</v>
      </c>
      <c r="X2543">
        <v>0</v>
      </c>
      <c r="Y2543">
        <v>0</v>
      </c>
      <c r="Z2543">
        <v>13724.51</v>
      </c>
      <c r="AA2543">
        <v>13839.86</v>
      </c>
      <c r="AB2543" s="12" t="s">
        <v>3377</v>
      </c>
      <c r="AC2543">
        <v>211.1463</v>
      </c>
      <c r="AD2543">
        <v>1</v>
      </c>
      <c r="AE2543">
        <v>1</v>
      </c>
      <c r="AF2543">
        <v>0</v>
      </c>
      <c r="AG2543">
        <v>13724.51</v>
      </c>
      <c r="AH2543">
        <v>65</v>
      </c>
      <c r="AI2543">
        <v>64</v>
      </c>
      <c r="AJ2543">
        <v>1</v>
      </c>
      <c r="AK2543">
        <v>1</v>
      </c>
      <c r="AL2543">
        <v>1</v>
      </c>
      <c r="AM2543">
        <v>98.46</v>
      </c>
      <c r="AN2543">
        <v>216.24780000000001</v>
      </c>
      <c r="AO2543">
        <v>211.15</v>
      </c>
      <c r="AP2543" s="13">
        <v>45433</v>
      </c>
      <c r="AQ2543">
        <v>-3</v>
      </c>
      <c r="AR2543">
        <v>1</v>
      </c>
    </row>
    <row r="2544" spans="1:44" x14ac:dyDescent="0.35">
      <c r="A2544" s="12" t="s">
        <v>3378</v>
      </c>
      <c r="B2544" s="12" t="s">
        <v>249</v>
      </c>
      <c r="C2544" s="12" t="s">
        <v>250</v>
      </c>
      <c r="D2544" s="12" t="s">
        <v>64</v>
      </c>
      <c r="E2544" s="12" t="s">
        <v>65</v>
      </c>
      <c r="F2544">
        <v>2</v>
      </c>
      <c r="G2544">
        <v>3</v>
      </c>
      <c r="H2544">
        <v>0</v>
      </c>
      <c r="I2544" s="12" t="s">
        <v>251</v>
      </c>
      <c r="J2544" s="12" t="s">
        <v>252</v>
      </c>
      <c r="K2544" s="12" t="s">
        <v>133</v>
      </c>
      <c r="L2544" s="12" t="s">
        <v>69</v>
      </c>
      <c r="M2544">
        <v>34.49</v>
      </c>
      <c r="N2544" s="12" t="s">
        <v>70</v>
      </c>
      <c r="O2544" s="12" t="s">
        <v>71</v>
      </c>
      <c r="P2544" s="12" t="s">
        <v>72</v>
      </c>
      <c r="Q2544" s="13">
        <v>45408</v>
      </c>
      <c r="R2544" s="13">
        <v>45429</v>
      </c>
      <c r="S2544">
        <v>2024</v>
      </c>
      <c r="T2544" s="12" t="s">
        <v>3171</v>
      </c>
      <c r="U2544">
        <v>129</v>
      </c>
      <c r="V2544">
        <v>10.292</v>
      </c>
      <c r="W2544">
        <v>11.41</v>
      </c>
      <c r="X2544">
        <v>0</v>
      </c>
      <c r="Y2544">
        <v>0</v>
      </c>
      <c r="Z2544">
        <v>1327.67</v>
      </c>
      <c r="AA2544">
        <v>1339.08</v>
      </c>
      <c r="AB2544" s="12" t="s">
        <v>2747</v>
      </c>
      <c r="AC2544">
        <v>10.292</v>
      </c>
      <c r="AD2544">
        <v>1</v>
      </c>
      <c r="AE2544">
        <v>1</v>
      </c>
      <c r="AF2544">
        <v>0</v>
      </c>
      <c r="AG2544">
        <v>1327.67</v>
      </c>
      <c r="AH2544">
        <v>129</v>
      </c>
      <c r="AI2544">
        <v>127</v>
      </c>
      <c r="AJ2544">
        <v>2</v>
      </c>
      <c r="AK2544">
        <v>1</v>
      </c>
      <c r="AL2544">
        <v>1</v>
      </c>
      <c r="AM2544">
        <v>98.45</v>
      </c>
      <c r="AN2544">
        <v>10.543900000000001</v>
      </c>
      <c r="AO2544">
        <v>20.58</v>
      </c>
      <c r="AP2544" s="13">
        <v>45428</v>
      </c>
      <c r="AQ2544">
        <v>-1</v>
      </c>
      <c r="AR2544">
        <v>1</v>
      </c>
    </row>
    <row r="2545" spans="1:44" x14ac:dyDescent="0.35">
      <c r="A2545" s="12" t="s">
        <v>3379</v>
      </c>
      <c r="B2545" s="12" t="s">
        <v>477</v>
      </c>
      <c r="C2545" s="12" t="s">
        <v>478</v>
      </c>
      <c r="D2545" s="12" t="s">
        <v>130</v>
      </c>
      <c r="E2545" s="12" t="s">
        <v>104</v>
      </c>
      <c r="F2545">
        <v>3</v>
      </c>
      <c r="G2545">
        <v>1</v>
      </c>
      <c r="H2545">
        <v>0</v>
      </c>
      <c r="I2545" s="12" t="s">
        <v>380</v>
      </c>
      <c r="J2545" s="12" t="s">
        <v>381</v>
      </c>
      <c r="K2545" s="12" t="s">
        <v>89</v>
      </c>
      <c r="L2545" s="12" t="s">
        <v>96</v>
      </c>
      <c r="M2545">
        <v>10.210000000000001</v>
      </c>
      <c r="N2545" s="12" t="s">
        <v>135</v>
      </c>
      <c r="O2545" s="12" t="s">
        <v>136</v>
      </c>
      <c r="P2545" s="12" t="s">
        <v>137</v>
      </c>
      <c r="Q2545" s="13">
        <v>45408</v>
      </c>
      <c r="R2545" s="13">
        <v>45431</v>
      </c>
      <c r="S2545">
        <v>2024</v>
      </c>
      <c r="T2545" s="12" t="s">
        <v>3171</v>
      </c>
      <c r="U2545">
        <v>102</v>
      </c>
      <c r="V2545">
        <v>714.96169999999995</v>
      </c>
      <c r="W2545">
        <v>1662.94</v>
      </c>
      <c r="X2545">
        <v>0</v>
      </c>
      <c r="Y2545">
        <v>0</v>
      </c>
      <c r="Z2545">
        <v>72926.09</v>
      </c>
      <c r="AA2545">
        <v>74589.03</v>
      </c>
      <c r="AB2545" s="12" t="s">
        <v>3380</v>
      </c>
      <c r="AC2545">
        <v>714.96169999999995</v>
      </c>
      <c r="AD2545">
        <v>1</v>
      </c>
      <c r="AE2545">
        <v>1</v>
      </c>
      <c r="AF2545">
        <v>0</v>
      </c>
      <c r="AG2545">
        <v>72926.09</v>
      </c>
      <c r="AH2545">
        <v>102</v>
      </c>
      <c r="AI2545">
        <v>102</v>
      </c>
      <c r="AJ2545">
        <v>0</v>
      </c>
      <c r="AK2545">
        <v>1</v>
      </c>
      <c r="AL2545">
        <v>1</v>
      </c>
      <c r="AM2545">
        <v>100</v>
      </c>
      <c r="AN2545">
        <v>731.26499999999999</v>
      </c>
      <c r="AO2545">
        <v>0</v>
      </c>
      <c r="AP2545" s="13">
        <v>45431</v>
      </c>
      <c r="AQ2545">
        <v>0</v>
      </c>
      <c r="AR2545">
        <v>1</v>
      </c>
    </row>
    <row r="2546" spans="1:44" x14ac:dyDescent="0.35">
      <c r="A2546" s="12" t="s">
        <v>3381</v>
      </c>
      <c r="B2546" s="12" t="s">
        <v>728</v>
      </c>
      <c r="C2546" s="12" t="s">
        <v>729</v>
      </c>
      <c r="D2546" s="12" t="s">
        <v>269</v>
      </c>
      <c r="E2546" s="12" t="s">
        <v>65</v>
      </c>
      <c r="F2546">
        <v>2</v>
      </c>
      <c r="G2546">
        <v>3</v>
      </c>
      <c r="H2546">
        <v>0</v>
      </c>
      <c r="I2546" s="12" t="s">
        <v>310</v>
      </c>
      <c r="J2546" s="12" t="s">
        <v>311</v>
      </c>
      <c r="K2546" s="12" t="s">
        <v>81</v>
      </c>
      <c r="L2546" s="12" t="s">
        <v>69</v>
      </c>
      <c r="M2546">
        <v>28.3</v>
      </c>
      <c r="N2546" s="12" t="s">
        <v>135</v>
      </c>
      <c r="O2546" s="12" t="s">
        <v>136</v>
      </c>
      <c r="P2546" s="12" t="s">
        <v>137</v>
      </c>
      <c r="Q2546" s="13">
        <v>45408</v>
      </c>
      <c r="R2546" s="13">
        <v>45439</v>
      </c>
      <c r="S2546">
        <v>2024</v>
      </c>
      <c r="T2546" s="12" t="s">
        <v>3171</v>
      </c>
      <c r="U2546">
        <v>90</v>
      </c>
      <c r="V2546">
        <v>364.55509999999998</v>
      </c>
      <c r="W2546">
        <v>672.86</v>
      </c>
      <c r="X2546">
        <v>0</v>
      </c>
      <c r="Y2546">
        <v>0</v>
      </c>
      <c r="Z2546">
        <v>32809.96</v>
      </c>
      <c r="AA2546">
        <v>33482.82</v>
      </c>
      <c r="AB2546" s="12" t="s">
        <v>3329</v>
      </c>
      <c r="AC2546">
        <v>364.55509999999998</v>
      </c>
      <c r="AD2546">
        <v>1</v>
      </c>
      <c r="AE2546">
        <v>1</v>
      </c>
      <c r="AF2546">
        <v>0</v>
      </c>
      <c r="AG2546">
        <v>32809.96</v>
      </c>
      <c r="AH2546">
        <v>90</v>
      </c>
      <c r="AI2546">
        <v>89</v>
      </c>
      <c r="AJ2546">
        <v>1</v>
      </c>
      <c r="AK2546">
        <v>1</v>
      </c>
      <c r="AL2546">
        <v>1</v>
      </c>
      <c r="AM2546">
        <v>98.89</v>
      </c>
      <c r="AN2546">
        <v>376.21140000000003</v>
      </c>
      <c r="AO2546">
        <v>364.56</v>
      </c>
      <c r="AP2546" s="13">
        <v>45436</v>
      </c>
      <c r="AQ2546">
        <v>-3</v>
      </c>
      <c r="AR2546">
        <v>1</v>
      </c>
    </row>
    <row r="2547" spans="1:44" x14ac:dyDescent="0.35">
      <c r="A2547" s="12" t="s">
        <v>3382</v>
      </c>
      <c r="B2547" s="12" t="s">
        <v>267</v>
      </c>
      <c r="C2547" s="12" t="s">
        <v>268</v>
      </c>
      <c r="D2547" s="12" t="s">
        <v>269</v>
      </c>
      <c r="E2547" s="12" t="s">
        <v>142</v>
      </c>
      <c r="F2547">
        <v>1</v>
      </c>
      <c r="G2547">
        <v>8</v>
      </c>
      <c r="H2547">
        <v>1</v>
      </c>
      <c r="I2547" s="12" t="s">
        <v>94</v>
      </c>
      <c r="J2547" s="12" t="s">
        <v>95</v>
      </c>
      <c r="K2547" s="12" t="s">
        <v>81</v>
      </c>
      <c r="L2547" s="12" t="s">
        <v>96</v>
      </c>
      <c r="M2547">
        <v>4.8099999999999996</v>
      </c>
      <c r="N2547" s="12" t="s">
        <v>135</v>
      </c>
      <c r="O2547" s="12" t="s">
        <v>136</v>
      </c>
      <c r="P2547" s="12" t="s">
        <v>137</v>
      </c>
      <c r="Q2547" s="13">
        <v>45408</v>
      </c>
      <c r="R2547" s="13">
        <v>45459</v>
      </c>
      <c r="S2547">
        <v>2024</v>
      </c>
      <c r="T2547" s="12" t="s">
        <v>3171</v>
      </c>
      <c r="U2547">
        <v>141</v>
      </c>
      <c r="V2547">
        <v>225.02719999999999</v>
      </c>
      <c r="W2547">
        <v>737.81</v>
      </c>
      <c r="X2547">
        <v>0</v>
      </c>
      <c r="Y2547">
        <v>0</v>
      </c>
      <c r="Z2547">
        <v>31728.84</v>
      </c>
      <c r="AA2547">
        <v>32466.65</v>
      </c>
      <c r="AB2547" s="12" t="s">
        <v>2878</v>
      </c>
      <c r="AC2547">
        <v>225.02719999999999</v>
      </c>
      <c r="AD2547">
        <v>1</v>
      </c>
      <c r="AE2547">
        <v>1</v>
      </c>
      <c r="AF2547">
        <v>0</v>
      </c>
      <c r="AG2547">
        <v>31728.84</v>
      </c>
      <c r="AH2547">
        <v>141</v>
      </c>
      <c r="AI2547">
        <v>140</v>
      </c>
      <c r="AJ2547">
        <v>1</v>
      </c>
      <c r="AK2547">
        <v>1</v>
      </c>
      <c r="AL2547">
        <v>1</v>
      </c>
      <c r="AM2547">
        <v>99.29</v>
      </c>
      <c r="AN2547">
        <v>231.90459999999999</v>
      </c>
      <c r="AO2547">
        <v>225.03</v>
      </c>
      <c r="AP2547" s="13">
        <v>45457</v>
      </c>
      <c r="AQ2547">
        <v>-2</v>
      </c>
      <c r="AR2547">
        <v>1</v>
      </c>
    </row>
    <row r="2548" spans="1:44" x14ac:dyDescent="0.35">
      <c r="A2548" s="12" t="s">
        <v>3383</v>
      </c>
      <c r="B2548" s="12" t="s">
        <v>140</v>
      </c>
      <c r="C2548" s="12" t="s">
        <v>141</v>
      </c>
      <c r="D2548" s="12" t="s">
        <v>103</v>
      </c>
      <c r="E2548" s="12" t="s">
        <v>142</v>
      </c>
      <c r="F2548">
        <v>1</v>
      </c>
      <c r="G2548">
        <v>7</v>
      </c>
      <c r="H2548">
        <v>1</v>
      </c>
      <c r="I2548" s="12" t="s">
        <v>143</v>
      </c>
      <c r="J2548" s="12" t="s">
        <v>144</v>
      </c>
      <c r="K2548" s="12" t="s">
        <v>133</v>
      </c>
      <c r="L2548" s="12" t="s">
        <v>96</v>
      </c>
      <c r="M2548">
        <v>5.43</v>
      </c>
      <c r="N2548" s="12" t="s">
        <v>145</v>
      </c>
      <c r="O2548" s="12" t="s">
        <v>146</v>
      </c>
      <c r="P2548" s="12" t="s">
        <v>109</v>
      </c>
      <c r="Q2548" s="13">
        <v>45408</v>
      </c>
      <c r="R2548" s="13">
        <v>45455</v>
      </c>
      <c r="S2548">
        <v>2024</v>
      </c>
      <c r="T2548" s="12" t="s">
        <v>3171</v>
      </c>
      <c r="U2548">
        <v>105</v>
      </c>
      <c r="V2548">
        <v>211.35810000000001</v>
      </c>
      <c r="W2548">
        <v>344.4</v>
      </c>
      <c r="X2548">
        <v>672.42</v>
      </c>
      <c r="Y2548">
        <v>1</v>
      </c>
      <c r="Z2548">
        <v>22192.6</v>
      </c>
      <c r="AA2548">
        <v>23209.42</v>
      </c>
      <c r="AB2548" s="12" t="s">
        <v>2815</v>
      </c>
      <c r="AC2548">
        <v>211.35810000000001</v>
      </c>
      <c r="AD2548">
        <v>1</v>
      </c>
      <c r="AE2548">
        <v>1</v>
      </c>
      <c r="AF2548">
        <v>0</v>
      </c>
      <c r="AG2548">
        <v>22192.6</v>
      </c>
      <c r="AH2548">
        <v>105</v>
      </c>
      <c r="AI2548">
        <v>104</v>
      </c>
      <c r="AJ2548">
        <v>1</v>
      </c>
      <c r="AK2548">
        <v>1</v>
      </c>
      <c r="AL2548">
        <v>1</v>
      </c>
      <c r="AM2548">
        <v>99.05</v>
      </c>
      <c r="AN2548">
        <v>223.16749999999999</v>
      </c>
      <c r="AO2548">
        <v>211.36</v>
      </c>
      <c r="AP2548" s="13">
        <v>45453</v>
      </c>
      <c r="AQ2548">
        <v>-2</v>
      </c>
      <c r="AR2548">
        <v>1</v>
      </c>
    </row>
    <row r="2549" spans="1:44" x14ac:dyDescent="0.35">
      <c r="A2549" s="12" t="s">
        <v>3384</v>
      </c>
      <c r="B2549" s="12" t="s">
        <v>238</v>
      </c>
      <c r="C2549" s="12" t="s">
        <v>239</v>
      </c>
      <c r="D2549" s="12" t="s">
        <v>122</v>
      </c>
      <c r="E2549" s="12" t="s">
        <v>65</v>
      </c>
      <c r="F2549">
        <v>3</v>
      </c>
      <c r="G2549">
        <v>4</v>
      </c>
      <c r="H2549">
        <v>0</v>
      </c>
      <c r="I2549" s="12" t="s">
        <v>143</v>
      </c>
      <c r="J2549" s="12" t="s">
        <v>144</v>
      </c>
      <c r="K2549" s="12" t="s">
        <v>133</v>
      </c>
      <c r="L2549" s="12" t="s">
        <v>96</v>
      </c>
      <c r="M2549">
        <v>5.43</v>
      </c>
      <c r="N2549" s="12" t="s">
        <v>97</v>
      </c>
      <c r="O2549" s="12" t="s">
        <v>98</v>
      </c>
      <c r="P2549" s="12" t="s">
        <v>72</v>
      </c>
      <c r="Q2549" s="13">
        <v>45408</v>
      </c>
      <c r="R2549" s="13">
        <v>45441</v>
      </c>
      <c r="S2549">
        <v>2024</v>
      </c>
      <c r="T2549" s="12" t="s">
        <v>3171</v>
      </c>
      <c r="U2549">
        <v>1432</v>
      </c>
      <c r="V2549">
        <v>39.918700000000001</v>
      </c>
      <c r="W2549">
        <v>532.41</v>
      </c>
      <c r="X2549">
        <v>0</v>
      </c>
      <c r="Y2549">
        <v>0</v>
      </c>
      <c r="Z2549">
        <v>57163.58</v>
      </c>
      <c r="AA2549">
        <v>57695.99</v>
      </c>
      <c r="AB2549" s="12" t="s">
        <v>201</v>
      </c>
      <c r="AD2549">
        <v>0</v>
      </c>
      <c r="AE2549">
        <v>0</v>
      </c>
      <c r="AH2549">
        <v>1432</v>
      </c>
      <c r="AI2549">
        <v>1417</v>
      </c>
      <c r="AJ2549">
        <v>15</v>
      </c>
      <c r="AK2549">
        <v>1</v>
      </c>
      <c r="AL2549">
        <v>1</v>
      </c>
      <c r="AM2549">
        <v>98.95</v>
      </c>
      <c r="AN2549">
        <v>40.716999999999999</v>
      </c>
      <c r="AO2549">
        <v>598.78</v>
      </c>
      <c r="AP2549" s="13">
        <v>45440</v>
      </c>
      <c r="AQ2549">
        <v>-1</v>
      </c>
      <c r="AR2549">
        <v>1</v>
      </c>
    </row>
    <row r="2550" spans="1:44" x14ac:dyDescent="0.35">
      <c r="A2550" s="12" t="s">
        <v>3385</v>
      </c>
      <c r="B2550" s="12" t="s">
        <v>437</v>
      </c>
      <c r="C2550" s="12" t="s">
        <v>438</v>
      </c>
      <c r="D2550" s="12" t="s">
        <v>269</v>
      </c>
      <c r="E2550" s="12" t="s">
        <v>65</v>
      </c>
      <c r="F2550">
        <v>2</v>
      </c>
      <c r="G2550">
        <v>4</v>
      </c>
      <c r="H2550">
        <v>0</v>
      </c>
      <c r="I2550" s="12" t="s">
        <v>115</v>
      </c>
      <c r="J2550" s="12" t="s">
        <v>116</v>
      </c>
      <c r="K2550" s="12" t="s">
        <v>117</v>
      </c>
      <c r="L2550" s="12" t="s">
        <v>82</v>
      </c>
      <c r="M2550">
        <v>17.170000000000002</v>
      </c>
      <c r="N2550" s="12" t="s">
        <v>159</v>
      </c>
      <c r="O2550" s="12" t="s">
        <v>160</v>
      </c>
      <c r="P2550" s="12" t="s">
        <v>137</v>
      </c>
      <c r="Q2550" s="13">
        <v>45411</v>
      </c>
      <c r="R2550" s="13">
        <v>45439</v>
      </c>
      <c r="S2550">
        <v>2024</v>
      </c>
      <c r="T2550" s="12" t="s">
        <v>3171</v>
      </c>
      <c r="U2550">
        <v>69</v>
      </c>
      <c r="V2550">
        <v>440.05549999999999</v>
      </c>
      <c r="W2550">
        <v>755.18</v>
      </c>
      <c r="X2550">
        <v>0</v>
      </c>
      <c r="Y2550">
        <v>0</v>
      </c>
      <c r="Z2550">
        <v>30363.83</v>
      </c>
      <c r="AA2550">
        <v>31119.01</v>
      </c>
      <c r="AB2550" s="12" t="s">
        <v>2670</v>
      </c>
      <c r="AC2550">
        <v>440.05549999999999</v>
      </c>
      <c r="AD2550">
        <v>1</v>
      </c>
      <c r="AE2550">
        <v>1</v>
      </c>
      <c r="AF2550">
        <v>0</v>
      </c>
      <c r="AG2550">
        <v>30363.83</v>
      </c>
      <c r="AH2550">
        <v>69</v>
      </c>
      <c r="AI2550">
        <v>68</v>
      </c>
      <c r="AJ2550">
        <v>1</v>
      </c>
      <c r="AK2550">
        <v>1</v>
      </c>
      <c r="AL2550">
        <v>1</v>
      </c>
      <c r="AM2550">
        <v>98.55</v>
      </c>
      <c r="AN2550">
        <v>457.63249999999999</v>
      </c>
      <c r="AO2550">
        <v>440.06</v>
      </c>
      <c r="AP2550" s="13">
        <v>45436</v>
      </c>
      <c r="AQ2550">
        <v>-3</v>
      </c>
      <c r="AR2550">
        <v>1</v>
      </c>
    </row>
    <row r="2551" spans="1:44" x14ac:dyDescent="0.35">
      <c r="A2551" s="12" t="s">
        <v>3386</v>
      </c>
      <c r="B2551" s="12" t="s">
        <v>843</v>
      </c>
      <c r="C2551" s="12" t="s">
        <v>844</v>
      </c>
      <c r="D2551" s="12" t="s">
        <v>175</v>
      </c>
      <c r="E2551" s="12" t="s">
        <v>65</v>
      </c>
      <c r="F2551">
        <v>3</v>
      </c>
      <c r="G2551">
        <v>5</v>
      </c>
      <c r="H2551">
        <v>0</v>
      </c>
      <c r="I2551" s="12" t="s">
        <v>359</v>
      </c>
      <c r="J2551" s="12" t="s">
        <v>360</v>
      </c>
      <c r="K2551" s="12" t="s">
        <v>133</v>
      </c>
      <c r="L2551" s="12" t="s">
        <v>82</v>
      </c>
      <c r="M2551">
        <v>12.65</v>
      </c>
      <c r="N2551" s="12" t="s">
        <v>107</v>
      </c>
      <c r="O2551" s="12" t="s">
        <v>108</v>
      </c>
      <c r="P2551" s="12" t="s">
        <v>109</v>
      </c>
      <c r="Q2551" s="13">
        <v>45411</v>
      </c>
      <c r="R2551" s="13">
        <v>45439</v>
      </c>
      <c r="S2551">
        <v>2024</v>
      </c>
      <c r="T2551" s="12" t="s">
        <v>3171</v>
      </c>
      <c r="U2551">
        <v>68</v>
      </c>
      <c r="V2551">
        <v>251.77279999999999</v>
      </c>
      <c r="W2551">
        <v>275.11</v>
      </c>
      <c r="X2551">
        <v>0</v>
      </c>
      <c r="Y2551">
        <v>0</v>
      </c>
      <c r="Z2551">
        <v>17120.55</v>
      </c>
      <c r="AA2551">
        <v>17395.66</v>
      </c>
      <c r="AB2551" s="12" t="s">
        <v>3324</v>
      </c>
      <c r="AC2551">
        <v>251.77279999999999</v>
      </c>
      <c r="AD2551">
        <v>1</v>
      </c>
      <c r="AE2551">
        <v>1</v>
      </c>
      <c r="AF2551">
        <v>0</v>
      </c>
      <c r="AG2551">
        <v>17120.55</v>
      </c>
      <c r="AH2551">
        <v>68</v>
      </c>
      <c r="AI2551">
        <v>67</v>
      </c>
      <c r="AJ2551">
        <v>1</v>
      </c>
      <c r="AK2551">
        <v>1</v>
      </c>
      <c r="AL2551">
        <v>1</v>
      </c>
      <c r="AM2551">
        <v>98.53</v>
      </c>
      <c r="AN2551">
        <v>259.63670000000002</v>
      </c>
      <c r="AO2551">
        <v>251.77</v>
      </c>
      <c r="AP2551" s="13">
        <v>45438</v>
      </c>
      <c r="AQ2551">
        <v>-1</v>
      </c>
      <c r="AR2551">
        <v>1</v>
      </c>
    </row>
    <row r="2552" spans="1:44" x14ac:dyDescent="0.35">
      <c r="A2552" s="12" t="s">
        <v>3387</v>
      </c>
      <c r="B2552" s="12" t="s">
        <v>613</v>
      </c>
      <c r="C2552" s="12" t="s">
        <v>614</v>
      </c>
      <c r="D2552" s="12" t="s">
        <v>130</v>
      </c>
      <c r="E2552" s="12" t="s">
        <v>104</v>
      </c>
      <c r="F2552">
        <v>3</v>
      </c>
      <c r="G2552">
        <v>1</v>
      </c>
      <c r="H2552">
        <v>0</v>
      </c>
      <c r="I2552" s="12" t="s">
        <v>66</v>
      </c>
      <c r="J2552" s="12" t="s">
        <v>67</v>
      </c>
      <c r="K2552" s="12" t="s">
        <v>68</v>
      </c>
      <c r="L2552" s="12" t="s">
        <v>69</v>
      </c>
      <c r="M2552">
        <v>17.66</v>
      </c>
      <c r="N2552" s="12" t="s">
        <v>159</v>
      </c>
      <c r="O2552" s="12" t="s">
        <v>160</v>
      </c>
      <c r="P2552" s="12" t="s">
        <v>137</v>
      </c>
      <c r="Q2552" s="13">
        <v>45411</v>
      </c>
      <c r="R2552" s="13">
        <v>45432</v>
      </c>
      <c r="S2552">
        <v>2024</v>
      </c>
      <c r="T2552" s="12" t="s">
        <v>3171</v>
      </c>
      <c r="U2552">
        <v>84</v>
      </c>
      <c r="V2552">
        <v>173.59219999999999</v>
      </c>
      <c r="W2552">
        <v>215.68</v>
      </c>
      <c r="X2552">
        <v>0</v>
      </c>
      <c r="Y2552">
        <v>0</v>
      </c>
      <c r="Z2552">
        <v>14581.74</v>
      </c>
      <c r="AA2552">
        <v>14797.42</v>
      </c>
      <c r="AB2552" s="12" t="s">
        <v>3097</v>
      </c>
      <c r="AC2552">
        <v>173.59219999999999</v>
      </c>
      <c r="AD2552">
        <v>1</v>
      </c>
      <c r="AE2552">
        <v>1</v>
      </c>
      <c r="AF2552">
        <v>0</v>
      </c>
      <c r="AG2552">
        <v>14581.74</v>
      </c>
      <c r="AH2552">
        <v>84</v>
      </c>
      <c r="AI2552">
        <v>83</v>
      </c>
      <c r="AJ2552">
        <v>1</v>
      </c>
      <c r="AK2552">
        <v>1</v>
      </c>
      <c r="AL2552">
        <v>1</v>
      </c>
      <c r="AM2552">
        <v>98.81</v>
      </c>
      <c r="AN2552">
        <v>178.28219999999999</v>
      </c>
      <c r="AO2552">
        <v>173.59</v>
      </c>
      <c r="AP2552" s="13">
        <v>45432</v>
      </c>
      <c r="AQ2552">
        <v>0</v>
      </c>
      <c r="AR2552">
        <v>1</v>
      </c>
    </row>
    <row r="2553" spans="1:44" x14ac:dyDescent="0.35">
      <c r="A2553" s="12" t="s">
        <v>3388</v>
      </c>
      <c r="B2553" s="12" t="s">
        <v>442</v>
      </c>
      <c r="C2553" s="12" t="s">
        <v>443</v>
      </c>
      <c r="D2553" s="12" t="s">
        <v>130</v>
      </c>
      <c r="E2553" s="12" t="s">
        <v>65</v>
      </c>
      <c r="F2553">
        <v>3</v>
      </c>
      <c r="G2553">
        <v>4</v>
      </c>
      <c r="H2553">
        <v>0</v>
      </c>
      <c r="I2553" s="12" t="s">
        <v>251</v>
      </c>
      <c r="J2553" s="12" t="s">
        <v>252</v>
      </c>
      <c r="K2553" s="12" t="s">
        <v>133</v>
      </c>
      <c r="L2553" s="12" t="s">
        <v>69</v>
      </c>
      <c r="M2553">
        <v>34.49</v>
      </c>
      <c r="N2553" s="12" t="s">
        <v>159</v>
      </c>
      <c r="O2553" s="12" t="s">
        <v>160</v>
      </c>
      <c r="P2553" s="12" t="s">
        <v>137</v>
      </c>
      <c r="Q2553" s="13">
        <v>45411</v>
      </c>
      <c r="R2553" s="13">
        <v>45433</v>
      </c>
      <c r="S2553">
        <v>2024</v>
      </c>
      <c r="T2553" s="12" t="s">
        <v>3171</v>
      </c>
      <c r="U2553">
        <v>21</v>
      </c>
      <c r="V2553">
        <v>560.57730000000004</v>
      </c>
      <c r="W2553">
        <v>171.14</v>
      </c>
      <c r="X2553">
        <v>0</v>
      </c>
      <c r="Y2553">
        <v>0</v>
      </c>
      <c r="Z2553">
        <v>11772.12</v>
      </c>
      <c r="AA2553">
        <v>11943.26</v>
      </c>
      <c r="AB2553" s="12" t="s">
        <v>3116</v>
      </c>
      <c r="AC2553">
        <v>560.57730000000004</v>
      </c>
      <c r="AD2553">
        <v>1</v>
      </c>
      <c r="AE2553">
        <v>1</v>
      </c>
      <c r="AF2553">
        <v>0</v>
      </c>
      <c r="AG2553">
        <v>11772.12</v>
      </c>
      <c r="AH2553">
        <v>21</v>
      </c>
      <c r="AI2553">
        <v>21</v>
      </c>
      <c r="AJ2553">
        <v>0</v>
      </c>
      <c r="AK2553">
        <v>1</v>
      </c>
      <c r="AL2553">
        <v>1</v>
      </c>
      <c r="AM2553">
        <v>100</v>
      </c>
      <c r="AN2553">
        <v>568.72680000000003</v>
      </c>
      <c r="AO2553">
        <v>0</v>
      </c>
      <c r="AP2553" s="13">
        <v>45430</v>
      </c>
      <c r="AQ2553">
        <v>-3</v>
      </c>
      <c r="AR2553">
        <v>1</v>
      </c>
    </row>
    <row r="2554" spans="1:44" x14ac:dyDescent="0.35">
      <c r="A2554" s="12" t="s">
        <v>3389</v>
      </c>
      <c r="B2554" s="12" t="s">
        <v>249</v>
      </c>
      <c r="C2554" s="12" t="s">
        <v>250</v>
      </c>
      <c r="D2554" s="12" t="s">
        <v>64</v>
      </c>
      <c r="E2554" s="12" t="s">
        <v>65</v>
      </c>
      <c r="F2554">
        <v>2</v>
      </c>
      <c r="G2554">
        <v>3</v>
      </c>
      <c r="H2554">
        <v>0</v>
      </c>
      <c r="I2554" s="12" t="s">
        <v>251</v>
      </c>
      <c r="J2554" s="12" t="s">
        <v>252</v>
      </c>
      <c r="K2554" s="12" t="s">
        <v>133</v>
      </c>
      <c r="L2554" s="12" t="s">
        <v>69</v>
      </c>
      <c r="M2554">
        <v>34.49</v>
      </c>
      <c r="N2554" s="12" t="s">
        <v>70</v>
      </c>
      <c r="O2554" s="12" t="s">
        <v>71</v>
      </c>
      <c r="P2554" s="12" t="s">
        <v>72</v>
      </c>
      <c r="Q2554" s="13">
        <v>45411</v>
      </c>
      <c r="R2554" s="13">
        <v>45439</v>
      </c>
      <c r="S2554">
        <v>2024</v>
      </c>
      <c r="T2554" s="12" t="s">
        <v>3171</v>
      </c>
      <c r="U2554">
        <v>488</v>
      </c>
      <c r="V2554">
        <v>10.292</v>
      </c>
      <c r="W2554">
        <v>60.4</v>
      </c>
      <c r="X2554">
        <v>0</v>
      </c>
      <c r="Y2554">
        <v>0</v>
      </c>
      <c r="Z2554">
        <v>5022.5</v>
      </c>
      <c r="AA2554">
        <v>5082.8999999999996</v>
      </c>
      <c r="AB2554" s="12" t="s">
        <v>2747</v>
      </c>
      <c r="AC2554">
        <v>10.292</v>
      </c>
      <c r="AD2554">
        <v>1</v>
      </c>
      <c r="AE2554">
        <v>1</v>
      </c>
      <c r="AF2554">
        <v>0</v>
      </c>
      <c r="AG2554">
        <v>5022.5</v>
      </c>
      <c r="AH2554">
        <v>488</v>
      </c>
      <c r="AI2554">
        <v>482</v>
      </c>
      <c r="AJ2554">
        <v>6</v>
      </c>
      <c r="AK2554">
        <v>1</v>
      </c>
      <c r="AL2554">
        <v>1</v>
      </c>
      <c r="AM2554">
        <v>98.77</v>
      </c>
      <c r="AN2554">
        <v>10.545400000000001</v>
      </c>
      <c r="AO2554">
        <v>61.75</v>
      </c>
      <c r="AP2554" s="13">
        <v>45446</v>
      </c>
      <c r="AQ2554">
        <v>7</v>
      </c>
      <c r="AR2554">
        <v>0</v>
      </c>
    </row>
    <row r="2555" spans="1:44" x14ac:dyDescent="0.35">
      <c r="A2555" s="12" t="s">
        <v>3390</v>
      </c>
      <c r="B2555" s="12" t="s">
        <v>477</v>
      </c>
      <c r="C2555" s="12" t="s">
        <v>478</v>
      </c>
      <c r="D2555" s="12" t="s">
        <v>130</v>
      </c>
      <c r="E2555" s="12" t="s">
        <v>104</v>
      </c>
      <c r="F2555">
        <v>3</v>
      </c>
      <c r="G2555">
        <v>1</v>
      </c>
      <c r="H2555">
        <v>0</v>
      </c>
      <c r="I2555" s="12" t="s">
        <v>87</v>
      </c>
      <c r="J2555" s="12" t="s">
        <v>88</v>
      </c>
      <c r="K2555" s="12" t="s">
        <v>89</v>
      </c>
      <c r="L2555" s="12" t="s">
        <v>69</v>
      </c>
      <c r="M2555">
        <v>14.93</v>
      </c>
      <c r="N2555" s="12" t="s">
        <v>159</v>
      </c>
      <c r="O2555" s="12" t="s">
        <v>160</v>
      </c>
      <c r="P2555" s="12" t="s">
        <v>137</v>
      </c>
      <c r="Q2555" s="13">
        <v>45411</v>
      </c>
      <c r="R2555" s="13">
        <v>45425</v>
      </c>
      <c r="S2555">
        <v>2024</v>
      </c>
      <c r="T2555" s="12" t="s">
        <v>3171</v>
      </c>
      <c r="U2555">
        <v>30</v>
      </c>
      <c r="V2555">
        <v>803.24059999999997</v>
      </c>
      <c r="W2555">
        <v>356.53</v>
      </c>
      <c r="X2555">
        <v>0</v>
      </c>
      <c r="Y2555">
        <v>0</v>
      </c>
      <c r="Z2555">
        <v>24097.22</v>
      </c>
      <c r="AA2555">
        <v>24453.75</v>
      </c>
      <c r="AB2555" s="12" t="s">
        <v>201</v>
      </c>
      <c r="AD2555">
        <v>0</v>
      </c>
      <c r="AE2555">
        <v>0</v>
      </c>
      <c r="AH2555">
        <v>30</v>
      </c>
      <c r="AI2555">
        <v>30</v>
      </c>
      <c r="AJ2555">
        <v>0</v>
      </c>
      <c r="AK2555">
        <v>1</v>
      </c>
      <c r="AL2555">
        <v>1</v>
      </c>
      <c r="AM2555">
        <v>100</v>
      </c>
      <c r="AN2555">
        <v>815.12490000000003</v>
      </c>
      <c r="AO2555">
        <v>0</v>
      </c>
      <c r="AP2555" s="13">
        <v>45425</v>
      </c>
      <c r="AQ2555">
        <v>0</v>
      </c>
      <c r="AR2555">
        <v>1</v>
      </c>
    </row>
    <row r="2556" spans="1:44" x14ac:dyDescent="0.35">
      <c r="A2556" s="12" t="s">
        <v>3391</v>
      </c>
      <c r="B2556" s="12" t="s">
        <v>331</v>
      </c>
      <c r="C2556" s="12" t="s">
        <v>332</v>
      </c>
      <c r="D2556" s="12" t="s">
        <v>122</v>
      </c>
      <c r="E2556" s="12" t="s">
        <v>142</v>
      </c>
      <c r="F2556">
        <v>3</v>
      </c>
      <c r="G2556">
        <v>11</v>
      </c>
      <c r="H2556">
        <v>0</v>
      </c>
      <c r="I2556" s="12" t="s">
        <v>66</v>
      </c>
      <c r="J2556" s="12" t="s">
        <v>67</v>
      </c>
      <c r="K2556" s="12" t="s">
        <v>68</v>
      </c>
      <c r="L2556" s="12" t="s">
        <v>69</v>
      </c>
      <c r="M2556">
        <v>17.66</v>
      </c>
      <c r="N2556" s="12" t="s">
        <v>97</v>
      </c>
      <c r="O2556" s="12" t="s">
        <v>98</v>
      </c>
      <c r="P2556" s="12" t="s">
        <v>72</v>
      </c>
      <c r="Q2556" s="13">
        <v>45411</v>
      </c>
      <c r="R2556" s="13">
        <v>45451</v>
      </c>
      <c r="S2556">
        <v>2024</v>
      </c>
      <c r="T2556" s="12" t="s">
        <v>3171</v>
      </c>
      <c r="U2556">
        <v>753</v>
      </c>
      <c r="V2556">
        <v>26.026599999999998</v>
      </c>
      <c r="W2556">
        <v>170.17</v>
      </c>
      <c r="X2556">
        <v>0</v>
      </c>
      <c r="Y2556">
        <v>0</v>
      </c>
      <c r="Z2556">
        <v>19598.03</v>
      </c>
      <c r="AA2556">
        <v>19768.2</v>
      </c>
      <c r="AB2556" s="12" t="s">
        <v>201</v>
      </c>
      <c r="AD2556">
        <v>0</v>
      </c>
      <c r="AE2556">
        <v>0</v>
      </c>
      <c r="AH2556">
        <v>753</v>
      </c>
      <c r="AI2556">
        <v>745</v>
      </c>
      <c r="AJ2556">
        <v>8</v>
      </c>
      <c r="AK2556">
        <v>1</v>
      </c>
      <c r="AL2556">
        <v>1</v>
      </c>
      <c r="AM2556">
        <v>98.94</v>
      </c>
      <c r="AN2556">
        <v>26.534500000000001</v>
      </c>
      <c r="AO2556">
        <v>208.21</v>
      </c>
      <c r="AP2556" s="13">
        <v>45448</v>
      </c>
      <c r="AQ2556">
        <v>-3</v>
      </c>
      <c r="AR2556">
        <v>1</v>
      </c>
    </row>
    <row r="2557" spans="1:44" x14ac:dyDescent="0.35">
      <c r="A2557" s="12" t="s">
        <v>3392</v>
      </c>
      <c r="B2557" s="12" t="s">
        <v>728</v>
      </c>
      <c r="C2557" s="12" t="s">
        <v>729</v>
      </c>
      <c r="D2557" s="12" t="s">
        <v>269</v>
      </c>
      <c r="E2557" s="12" t="s">
        <v>65</v>
      </c>
      <c r="F2557">
        <v>2</v>
      </c>
      <c r="G2557">
        <v>3</v>
      </c>
      <c r="H2557">
        <v>0</v>
      </c>
      <c r="I2557" s="12" t="s">
        <v>310</v>
      </c>
      <c r="J2557" s="12" t="s">
        <v>311</v>
      </c>
      <c r="K2557" s="12" t="s">
        <v>81</v>
      </c>
      <c r="L2557" s="12" t="s">
        <v>69</v>
      </c>
      <c r="M2557">
        <v>28.3</v>
      </c>
      <c r="N2557" s="12" t="s">
        <v>135</v>
      </c>
      <c r="O2557" s="12" t="s">
        <v>136</v>
      </c>
      <c r="P2557" s="12" t="s">
        <v>137</v>
      </c>
      <c r="Q2557" s="13">
        <v>45411</v>
      </c>
      <c r="R2557" s="13">
        <v>45435</v>
      </c>
      <c r="S2557">
        <v>2024</v>
      </c>
      <c r="T2557" s="12" t="s">
        <v>3171</v>
      </c>
      <c r="U2557">
        <v>34</v>
      </c>
      <c r="V2557">
        <v>373.54809999999998</v>
      </c>
      <c r="W2557">
        <v>318.95</v>
      </c>
      <c r="X2557">
        <v>0</v>
      </c>
      <c r="Y2557">
        <v>0</v>
      </c>
      <c r="Z2557">
        <v>12700.64</v>
      </c>
      <c r="AA2557">
        <v>13019.59</v>
      </c>
      <c r="AB2557" s="12" t="s">
        <v>3329</v>
      </c>
      <c r="AC2557">
        <v>364.55509999999998</v>
      </c>
      <c r="AD2557">
        <v>1</v>
      </c>
      <c r="AE2557">
        <v>1</v>
      </c>
      <c r="AF2557">
        <v>305.76</v>
      </c>
      <c r="AG2557">
        <v>12394.87</v>
      </c>
      <c r="AH2557">
        <v>34</v>
      </c>
      <c r="AI2557">
        <v>33</v>
      </c>
      <c r="AJ2557">
        <v>1</v>
      </c>
      <c r="AK2557">
        <v>1</v>
      </c>
      <c r="AL2557">
        <v>1</v>
      </c>
      <c r="AM2557">
        <v>97.06</v>
      </c>
      <c r="AN2557">
        <v>394.53289999999998</v>
      </c>
      <c r="AO2557">
        <v>373.55</v>
      </c>
      <c r="AP2557" s="13">
        <v>45435</v>
      </c>
      <c r="AQ2557">
        <v>0</v>
      </c>
      <c r="AR2557">
        <v>1</v>
      </c>
    </row>
    <row r="2558" spans="1:44" x14ac:dyDescent="0.35">
      <c r="A2558" s="12" t="s">
        <v>3393</v>
      </c>
      <c r="B2558" s="12" t="s">
        <v>827</v>
      </c>
      <c r="C2558" s="12" t="s">
        <v>828</v>
      </c>
      <c r="D2558" s="12" t="s">
        <v>175</v>
      </c>
      <c r="E2558" s="12" t="s">
        <v>104</v>
      </c>
      <c r="F2558">
        <v>2</v>
      </c>
      <c r="G2558">
        <v>0</v>
      </c>
      <c r="H2558">
        <v>0</v>
      </c>
      <c r="I2558" s="12" t="s">
        <v>183</v>
      </c>
      <c r="J2558" s="12" t="s">
        <v>184</v>
      </c>
      <c r="K2558" s="12" t="s">
        <v>133</v>
      </c>
      <c r="L2558" s="12" t="s">
        <v>82</v>
      </c>
      <c r="M2558">
        <v>8.6199999999999992</v>
      </c>
      <c r="N2558" s="12" t="s">
        <v>107</v>
      </c>
      <c r="O2558" s="12" t="s">
        <v>108</v>
      </c>
      <c r="P2558" s="12" t="s">
        <v>109</v>
      </c>
      <c r="Q2558" s="13">
        <v>45411</v>
      </c>
      <c r="R2558" s="13">
        <v>45431</v>
      </c>
      <c r="S2558">
        <v>2024</v>
      </c>
      <c r="T2558" s="12" t="s">
        <v>3171</v>
      </c>
      <c r="U2558">
        <v>73</v>
      </c>
      <c r="V2558">
        <v>95.676000000000002</v>
      </c>
      <c r="W2558">
        <v>53.26</v>
      </c>
      <c r="X2558">
        <v>0</v>
      </c>
      <c r="Y2558">
        <v>0</v>
      </c>
      <c r="Z2558">
        <v>6984.35</v>
      </c>
      <c r="AA2558">
        <v>7037.61</v>
      </c>
      <c r="AB2558" s="12" t="s">
        <v>3394</v>
      </c>
      <c r="AC2558">
        <v>101.62560000000001</v>
      </c>
      <c r="AD2558">
        <v>1</v>
      </c>
      <c r="AE2558">
        <v>1</v>
      </c>
      <c r="AF2558">
        <v>-434.32</v>
      </c>
      <c r="AG2558">
        <v>7418.67</v>
      </c>
      <c r="AH2558">
        <v>73</v>
      </c>
      <c r="AI2558">
        <v>73</v>
      </c>
      <c r="AJ2558">
        <v>0</v>
      </c>
      <c r="AK2558">
        <v>1</v>
      </c>
      <c r="AL2558">
        <v>1</v>
      </c>
      <c r="AM2558">
        <v>100</v>
      </c>
      <c r="AN2558">
        <v>96.405600000000007</v>
      </c>
      <c r="AO2558">
        <v>0</v>
      </c>
      <c r="AP2558" s="13">
        <v>45429</v>
      </c>
      <c r="AQ2558">
        <v>-2</v>
      </c>
      <c r="AR2558">
        <v>1</v>
      </c>
    </row>
    <row r="2559" spans="1:44" x14ac:dyDescent="0.35">
      <c r="A2559" s="12" t="s">
        <v>3395</v>
      </c>
      <c r="B2559" s="12" t="s">
        <v>732</v>
      </c>
      <c r="C2559" s="12" t="s">
        <v>733</v>
      </c>
      <c r="D2559" s="12" t="s">
        <v>114</v>
      </c>
      <c r="E2559" s="12" t="s">
        <v>104</v>
      </c>
      <c r="F2559">
        <v>3</v>
      </c>
      <c r="G2559">
        <v>1</v>
      </c>
      <c r="H2559">
        <v>0</v>
      </c>
      <c r="I2559" s="12" t="s">
        <v>199</v>
      </c>
      <c r="J2559" s="12" t="s">
        <v>200</v>
      </c>
      <c r="K2559" s="12" t="s">
        <v>68</v>
      </c>
      <c r="L2559" s="12" t="s">
        <v>96</v>
      </c>
      <c r="M2559">
        <v>9.4700000000000006</v>
      </c>
      <c r="N2559" s="12" t="s">
        <v>97</v>
      </c>
      <c r="O2559" s="12" t="s">
        <v>98</v>
      </c>
      <c r="P2559" s="12" t="s">
        <v>72</v>
      </c>
      <c r="Q2559" s="13">
        <v>45411</v>
      </c>
      <c r="R2559" s="13">
        <v>45430</v>
      </c>
      <c r="S2559">
        <v>2024</v>
      </c>
      <c r="T2559" s="12" t="s">
        <v>3171</v>
      </c>
      <c r="U2559">
        <v>69</v>
      </c>
      <c r="V2559">
        <v>286.61660000000001</v>
      </c>
      <c r="W2559">
        <v>397.48</v>
      </c>
      <c r="X2559">
        <v>0</v>
      </c>
      <c r="Y2559">
        <v>0</v>
      </c>
      <c r="Z2559">
        <v>19776.55</v>
      </c>
      <c r="AA2559">
        <v>20174.03</v>
      </c>
      <c r="AB2559" s="12" t="s">
        <v>3295</v>
      </c>
      <c r="AC2559">
        <v>304.28100000000001</v>
      </c>
      <c r="AD2559">
        <v>1</v>
      </c>
      <c r="AE2559">
        <v>1</v>
      </c>
      <c r="AF2559">
        <v>-1218.8399999999999</v>
      </c>
      <c r="AG2559">
        <v>20995.39</v>
      </c>
      <c r="AH2559">
        <v>69</v>
      </c>
      <c r="AI2559">
        <v>67</v>
      </c>
      <c r="AJ2559">
        <v>2</v>
      </c>
      <c r="AK2559">
        <v>1</v>
      </c>
      <c r="AL2559">
        <v>1</v>
      </c>
      <c r="AM2559">
        <v>97.1</v>
      </c>
      <c r="AN2559">
        <v>301.10489999999999</v>
      </c>
      <c r="AO2559">
        <v>573.23</v>
      </c>
      <c r="AP2559" s="13">
        <v>45430</v>
      </c>
      <c r="AQ2559">
        <v>0</v>
      </c>
      <c r="AR2559">
        <v>1</v>
      </c>
    </row>
    <row r="2560" spans="1:44" x14ac:dyDescent="0.35">
      <c r="A2560" s="12" t="s">
        <v>3396</v>
      </c>
      <c r="B2560" s="12" t="s">
        <v>289</v>
      </c>
      <c r="C2560" s="12" t="s">
        <v>290</v>
      </c>
      <c r="D2560" s="12" t="s">
        <v>175</v>
      </c>
      <c r="E2560" s="12" t="s">
        <v>104</v>
      </c>
      <c r="F2560">
        <v>3</v>
      </c>
      <c r="G2560">
        <v>1</v>
      </c>
      <c r="H2560">
        <v>0</v>
      </c>
      <c r="I2560" s="12" t="s">
        <v>157</v>
      </c>
      <c r="J2560" s="12" t="s">
        <v>158</v>
      </c>
      <c r="K2560" s="12" t="s">
        <v>117</v>
      </c>
      <c r="L2560" s="12" t="s">
        <v>96</v>
      </c>
      <c r="M2560">
        <v>4.72</v>
      </c>
      <c r="N2560" s="12" t="s">
        <v>107</v>
      </c>
      <c r="O2560" s="12" t="s">
        <v>108</v>
      </c>
      <c r="P2560" s="12" t="s">
        <v>109</v>
      </c>
      <c r="Q2560" s="13">
        <v>45411</v>
      </c>
      <c r="R2560" s="13">
        <v>45435</v>
      </c>
      <c r="S2560">
        <v>2024</v>
      </c>
      <c r="T2560" s="12" t="s">
        <v>3171</v>
      </c>
      <c r="U2560">
        <v>110</v>
      </c>
      <c r="V2560">
        <v>184.24529999999999</v>
      </c>
      <c r="W2560">
        <v>205.46</v>
      </c>
      <c r="X2560">
        <v>0</v>
      </c>
      <c r="Y2560">
        <v>0</v>
      </c>
      <c r="Z2560">
        <v>20266.98</v>
      </c>
      <c r="AA2560">
        <v>20472.439999999999</v>
      </c>
      <c r="AB2560" s="12" t="s">
        <v>2676</v>
      </c>
      <c r="AC2560">
        <v>184.24529999999999</v>
      </c>
      <c r="AD2560">
        <v>1</v>
      </c>
      <c r="AE2560">
        <v>1</v>
      </c>
      <c r="AF2560">
        <v>0</v>
      </c>
      <c r="AG2560">
        <v>20266.98</v>
      </c>
      <c r="AH2560">
        <v>110</v>
      </c>
      <c r="AI2560">
        <v>110</v>
      </c>
      <c r="AJ2560">
        <v>0</v>
      </c>
      <c r="AK2560">
        <v>1</v>
      </c>
      <c r="AL2560">
        <v>1</v>
      </c>
      <c r="AM2560">
        <v>100</v>
      </c>
      <c r="AN2560">
        <v>186.1131</v>
      </c>
      <c r="AO2560">
        <v>0</v>
      </c>
      <c r="AP2560" s="13">
        <v>45433</v>
      </c>
      <c r="AQ2560">
        <v>-2</v>
      </c>
      <c r="AR2560">
        <v>1</v>
      </c>
    </row>
    <row r="2561" spans="1:44" x14ac:dyDescent="0.35">
      <c r="A2561" s="12" t="s">
        <v>3397</v>
      </c>
      <c r="B2561" s="12" t="s">
        <v>1013</v>
      </c>
      <c r="C2561" s="12" t="s">
        <v>1014</v>
      </c>
      <c r="D2561" s="12" t="s">
        <v>78</v>
      </c>
      <c r="E2561" s="12" t="s">
        <v>65</v>
      </c>
      <c r="F2561">
        <v>2</v>
      </c>
      <c r="G2561">
        <v>3</v>
      </c>
      <c r="H2561">
        <v>0</v>
      </c>
      <c r="I2561" s="12" t="s">
        <v>123</v>
      </c>
      <c r="J2561" s="12" t="s">
        <v>124</v>
      </c>
      <c r="K2561" s="12" t="s">
        <v>125</v>
      </c>
      <c r="L2561" s="12" t="s">
        <v>82</v>
      </c>
      <c r="M2561">
        <v>6.75</v>
      </c>
      <c r="N2561" s="12" t="s">
        <v>70</v>
      </c>
      <c r="O2561" s="12" t="s">
        <v>71</v>
      </c>
      <c r="P2561" s="12" t="s">
        <v>72</v>
      </c>
      <c r="Q2561" s="13">
        <v>45411</v>
      </c>
      <c r="R2561" s="13">
        <v>45442</v>
      </c>
      <c r="S2561">
        <v>2024</v>
      </c>
      <c r="T2561" s="12" t="s">
        <v>3171</v>
      </c>
      <c r="U2561">
        <v>195</v>
      </c>
      <c r="V2561">
        <v>125.10590000000001</v>
      </c>
      <c r="W2561">
        <v>537.54</v>
      </c>
      <c r="X2561">
        <v>0</v>
      </c>
      <c r="Y2561">
        <v>0</v>
      </c>
      <c r="Z2561">
        <v>24395.65</v>
      </c>
      <c r="AA2561">
        <v>24933.19</v>
      </c>
      <c r="AB2561" s="12" t="s">
        <v>3398</v>
      </c>
      <c r="AC2561">
        <v>125.10590000000001</v>
      </c>
      <c r="AD2561">
        <v>1</v>
      </c>
      <c r="AE2561">
        <v>1</v>
      </c>
      <c r="AF2561">
        <v>0</v>
      </c>
      <c r="AG2561">
        <v>24395.65</v>
      </c>
      <c r="AH2561">
        <v>195</v>
      </c>
      <c r="AI2561">
        <v>191</v>
      </c>
      <c r="AJ2561">
        <v>4</v>
      </c>
      <c r="AK2561">
        <v>1</v>
      </c>
      <c r="AL2561">
        <v>1</v>
      </c>
      <c r="AM2561">
        <v>97.95</v>
      </c>
      <c r="AN2561">
        <v>130.5403</v>
      </c>
      <c r="AO2561">
        <v>500.42</v>
      </c>
      <c r="AP2561" s="13">
        <v>45440</v>
      </c>
      <c r="AQ2561">
        <v>-2</v>
      </c>
      <c r="AR2561">
        <v>1</v>
      </c>
    </row>
    <row r="2562" spans="1:44" x14ac:dyDescent="0.35">
      <c r="A2562" s="12" t="s">
        <v>3399</v>
      </c>
      <c r="B2562" s="12" t="s">
        <v>740</v>
      </c>
      <c r="C2562" s="12" t="s">
        <v>741</v>
      </c>
      <c r="D2562" s="12" t="s">
        <v>64</v>
      </c>
      <c r="E2562" s="12" t="s">
        <v>104</v>
      </c>
      <c r="F2562">
        <v>2</v>
      </c>
      <c r="G2562">
        <v>0</v>
      </c>
      <c r="H2562">
        <v>0</v>
      </c>
      <c r="I2562" s="12" t="s">
        <v>183</v>
      </c>
      <c r="J2562" s="12" t="s">
        <v>184</v>
      </c>
      <c r="K2562" s="12" t="s">
        <v>133</v>
      </c>
      <c r="L2562" s="12" t="s">
        <v>82</v>
      </c>
      <c r="M2562">
        <v>8.6199999999999992</v>
      </c>
      <c r="N2562" s="12" t="s">
        <v>97</v>
      </c>
      <c r="O2562" s="12" t="s">
        <v>98</v>
      </c>
      <c r="P2562" s="12" t="s">
        <v>72</v>
      </c>
      <c r="Q2562" s="13">
        <v>45411</v>
      </c>
      <c r="R2562" s="13">
        <v>45427</v>
      </c>
      <c r="S2562">
        <v>2024</v>
      </c>
      <c r="T2562" s="12" t="s">
        <v>3171</v>
      </c>
      <c r="U2562">
        <v>347</v>
      </c>
      <c r="V2562">
        <v>41.1708</v>
      </c>
      <c r="W2562">
        <v>175.35</v>
      </c>
      <c r="X2562">
        <v>0</v>
      </c>
      <c r="Y2562">
        <v>0</v>
      </c>
      <c r="Z2562">
        <v>14286.27</v>
      </c>
      <c r="AA2562">
        <v>14461.62</v>
      </c>
      <c r="AB2562" s="12" t="s">
        <v>3134</v>
      </c>
      <c r="AC2562">
        <v>41.1708</v>
      </c>
      <c r="AD2562">
        <v>1</v>
      </c>
      <c r="AE2562">
        <v>1</v>
      </c>
      <c r="AF2562">
        <v>0</v>
      </c>
      <c r="AG2562">
        <v>14286.27</v>
      </c>
      <c r="AH2562">
        <v>347</v>
      </c>
      <c r="AI2562">
        <v>345</v>
      </c>
      <c r="AJ2562">
        <v>2</v>
      </c>
      <c r="AK2562">
        <v>1</v>
      </c>
      <c r="AL2562">
        <v>1</v>
      </c>
      <c r="AM2562">
        <v>99.42</v>
      </c>
      <c r="AN2562">
        <v>41.917700000000004</v>
      </c>
      <c r="AO2562">
        <v>82.34</v>
      </c>
      <c r="AP2562" s="13">
        <v>45424</v>
      </c>
      <c r="AQ2562">
        <v>-3</v>
      </c>
      <c r="AR2562">
        <v>1</v>
      </c>
    </row>
    <row r="2563" spans="1:44" x14ac:dyDescent="0.35">
      <c r="A2563" s="12" t="s">
        <v>3400</v>
      </c>
      <c r="B2563" s="12" t="s">
        <v>509</v>
      </c>
      <c r="C2563" s="12" t="s">
        <v>510</v>
      </c>
      <c r="D2563" s="12" t="s">
        <v>78</v>
      </c>
      <c r="E2563" s="12" t="s">
        <v>142</v>
      </c>
      <c r="F2563">
        <v>3</v>
      </c>
      <c r="G2563">
        <v>11</v>
      </c>
      <c r="H2563">
        <v>0</v>
      </c>
      <c r="I2563" s="12" t="s">
        <v>176</v>
      </c>
      <c r="J2563" s="12" t="s">
        <v>177</v>
      </c>
      <c r="K2563" s="12" t="s">
        <v>125</v>
      </c>
      <c r="L2563" s="12" t="s">
        <v>134</v>
      </c>
      <c r="M2563">
        <v>1.75</v>
      </c>
      <c r="N2563" s="12" t="s">
        <v>70</v>
      </c>
      <c r="O2563" s="12" t="s">
        <v>71</v>
      </c>
      <c r="P2563" s="12" t="s">
        <v>72</v>
      </c>
      <c r="Q2563" s="13">
        <v>45411</v>
      </c>
      <c r="R2563" s="13">
        <v>45453</v>
      </c>
      <c r="S2563">
        <v>2024</v>
      </c>
      <c r="T2563" s="12" t="s">
        <v>3171</v>
      </c>
      <c r="U2563">
        <v>145</v>
      </c>
      <c r="V2563">
        <v>152.09620000000001</v>
      </c>
      <c r="W2563">
        <v>514.29</v>
      </c>
      <c r="X2563">
        <v>0</v>
      </c>
      <c r="Y2563">
        <v>0</v>
      </c>
      <c r="Z2563">
        <v>22053.95</v>
      </c>
      <c r="AA2563">
        <v>22568.240000000002</v>
      </c>
      <c r="AB2563" s="12" t="s">
        <v>201</v>
      </c>
      <c r="AD2563">
        <v>0</v>
      </c>
      <c r="AE2563">
        <v>0</v>
      </c>
      <c r="AH2563">
        <v>145</v>
      </c>
      <c r="AI2563">
        <v>144</v>
      </c>
      <c r="AJ2563">
        <v>1</v>
      </c>
      <c r="AK2563">
        <v>1</v>
      </c>
      <c r="AL2563">
        <v>1</v>
      </c>
      <c r="AM2563">
        <v>99.31</v>
      </c>
      <c r="AN2563">
        <v>156.72389999999999</v>
      </c>
      <c r="AO2563">
        <v>152.1</v>
      </c>
      <c r="AP2563" s="13">
        <v>45452</v>
      </c>
      <c r="AQ2563">
        <v>-1</v>
      </c>
      <c r="AR2563">
        <v>1</v>
      </c>
    </row>
    <row r="2564" spans="1:44" x14ac:dyDescent="0.35">
      <c r="A2564" s="12" t="s">
        <v>3401</v>
      </c>
      <c r="B2564" s="12" t="s">
        <v>498</v>
      </c>
      <c r="C2564" s="12" t="s">
        <v>499</v>
      </c>
      <c r="D2564" s="12" t="s">
        <v>175</v>
      </c>
      <c r="E2564" s="12" t="s">
        <v>104</v>
      </c>
      <c r="F2564">
        <v>3</v>
      </c>
      <c r="G2564">
        <v>1</v>
      </c>
      <c r="H2564">
        <v>0</v>
      </c>
      <c r="I2564" s="12" t="s">
        <v>233</v>
      </c>
      <c r="J2564" s="12" t="s">
        <v>234</v>
      </c>
      <c r="K2564" s="12" t="s">
        <v>125</v>
      </c>
      <c r="L2564" s="12" t="s">
        <v>96</v>
      </c>
      <c r="M2564">
        <v>3.73</v>
      </c>
      <c r="N2564" s="12" t="s">
        <v>107</v>
      </c>
      <c r="O2564" s="12" t="s">
        <v>108</v>
      </c>
      <c r="P2564" s="12" t="s">
        <v>109</v>
      </c>
      <c r="Q2564" s="13">
        <v>45411</v>
      </c>
      <c r="R2564" s="13">
        <v>45440</v>
      </c>
      <c r="S2564">
        <v>2024</v>
      </c>
      <c r="T2564" s="12" t="s">
        <v>3171</v>
      </c>
      <c r="U2564">
        <v>145</v>
      </c>
      <c r="V2564">
        <v>268.74209999999999</v>
      </c>
      <c r="W2564">
        <v>341.98</v>
      </c>
      <c r="X2564">
        <v>0</v>
      </c>
      <c r="Y2564">
        <v>0</v>
      </c>
      <c r="Z2564">
        <v>38967.599999999999</v>
      </c>
      <c r="AA2564">
        <v>39309.58</v>
      </c>
      <c r="AB2564" s="12" t="s">
        <v>3032</v>
      </c>
      <c r="AC2564">
        <v>268.74209999999999</v>
      </c>
      <c r="AD2564">
        <v>1</v>
      </c>
      <c r="AE2564">
        <v>1</v>
      </c>
      <c r="AF2564">
        <v>0</v>
      </c>
      <c r="AG2564">
        <v>38967.599999999999</v>
      </c>
      <c r="AH2564">
        <v>145</v>
      </c>
      <c r="AI2564">
        <v>143</v>
      </c>
      <c r="AJ2564">
        <v>2</v>
      </c>
      <c r="AK2564">
        <v>1</v>
      </c>
      <c r="AL2564">
        <v>1</v>
      </c>
      <c r="AM2564">
        <v>98.62</v>
      </c>
      <c r="AN2564">
        <v>274.8922</v>
      </c>
      <c r="AO2564">
        <v>537.48</v>
      </c>
      <c r="AP2564" s="13">
        <v>45438</v>
      </c>
      <c r="AQ2564">
        <v>-2</v>
      </c>
      <c r="AR2564">
        <v>1</v>
      </c>
    </row>
    <row r="2565" spans="1:44" x14ac:dyDescent="0.35">
      <c r="A2565" s="12" t="s">
        <v>3402</v>
      </c>
      <c r="B2565" s="12" t="s">
        <v>680</v>
      </c>
      <c r="C2565" s="12" t="s">
        <v>681</v>
      </c>
      <c r="D2565" s="12" t="s">
        <v>122</v>
      </c>
      <c r="E2565" s="12" t="s">
        <v>104</v>
      </c>
      <c r="F2565">
        <v>3</v>
      </c>
      <c r="G2565">
        <v>1</v>
      </c>
      <c r="H2565">
        <v>0</v>
      </c>
      <c r="I2565" s="12" t="s">
        <v>227</v>
      </c>
      <c r="J2565" s="12" t="s">
        <v>228</v>
      </c>
      <c r="K2565" s="12" t="s">
        <v>89</v>
      </c>
      <c r="L2565" s="12" t="s">
        <v>96</v>
      </c>
      <c r="M2565">
        <v>9.15</v>
      </c>
      <c r="N2565" s="12" t="s">
        <v>70</v>
      </c>
      <c r="O2565" s="12" t="s">
        <v>71</v>
      </c>
      <c r="P2565" s="12" t="s">
        <v>72</v>
      </c>
      <c r="Q2565" s="13">
        <v>45412</v>
      </c>
      <c r="R2565" s="13">
        <v>45431</v>
      </c>
      <c r="S2565">
        <v>2024</v>
      </c>
      <c r="T2565" s="12" t="s">
        <v>3171</v>
      </c>
      <c r="U2565">
        <v>968</v>
      </c>
      <c r="V2565">
        <v>23.853999999999999</v>
      </c>
      <c r="W2565">
        <v>287.88</v>
      </c>
      <c r="X2565">
        <v>0</v>
      </c>
      <c r="Y2565">
        <v>0</v>
      </c>
      <c r="Z2565">
        <v>23090.67</v>
      </c>
      <c r="AA2565">
        <v>23378.55</v>
      </c>
      <c r="AB2565" s="12" t="s">
        <v>201</v>
      </c>
      <c r="AD2565">
        <v>0</v>
      </c>
      <c r="AE2565">
        <v>0</v>
      </c>
      <c r="AH2565">
        <v>968</v>
      </c>
      <c r="AI2565">
        <v>960</v>
      </c>
      <c r="AJ2565">
        <v>8</v>
      </c>
      <c r="AK2565">
        <v>1</v>
      </c>
      <c r="AL2565">
        <v>1</v>
      </c>
      <c r="AM2565">
        <v>99.17</v>
      </c>
      <c r="AN2565">
        <v>24.352699999999999</v>
      </c>
      <c r="AO2565">
        <v>190.83</v>
      </c>
      <c r="AP2565" s="13">
        <v>45429</v>
      </c>
      <c r="AQ2565">
        <v>-2</v>
      </c>
      <c r="AR2565">
        <v>1</v>
      </c>
    </row>
    <row r="2566" spans="1:44" x14ac:dyDescent="0.35">
      <c r="A2566" s="12" t="s">
        <v>3403</v>
      </c>
      <c r="B2566" s="12" t="s">
        <v>149</v>
      </c>
      <c r="C2566" s="12" t="s">
        <v>150</v>
      </c>
      <c r="D2566" s="12" t="s">
        <v>78</v>
      </c>
      <c r="E2566" s="12" t="s">
        <v>65</v>
      </c>
      <c r="F2566">
        <v>2</v>
      </c>
      <c r="G2566">
        <v>2</v>
      </c>
      <c r="H2566">
        <v>0</v>
      </c>
      <c r="I2566" s="12" t="s">
        <v>151</v>
      </c>
      <c r="J2566" s="12" t="s">
        <v>152</v>
      </c>
      <c r="K2566" s="12" t="s">
        <v>125</v>
      </c>
      <c r="L2566" s="12" t="s">
        <v>69</v>
      </c>
      <c r="M2566">
        <v>36.479999999999997</v>
      </c>
      <c r="N2566" s="12" t="s">
        <v>97</v>
      </c>
      <c r="O2566" s="12" t="s">
        <v>98</v>
      </c>
      <c r="P2566" s="12" t="s">
        <v>72</v>
      </c>
      <c r="Q2566" s="13">
        <v>45412</v>
      </c>
      <c r="R2566" s="13">
        <v>45433</v>
      </c>
      <c r="S2566">
        <v>2024</v>
      </c>
      <c r="T2566" s="12" t="s">
        <v>3171</v>
      </c>
      <c r="U2566">
        <v>53</v>
      </c>
      <c r="V2566">
        <v>66.659499999999994</v>
      </c>
      <c r="W2566">
        <v>40.83</v>
      </c>
      <c r="X2566">
        <v>0</v>
      </c>
      <c r="Y2566">
        <v>0</v>
      </c>
      <c r="Z2566">
        <v>3532.95</v>
      </c>
      <c r="AA2566">
        <v>3573.78</v>
      </c>
      <c r="AB2566" s="12" t="s">
        <v>2546</v>
      </c>
      <c r="AC2566">
        <v>70.838700000000003</v>
      </c>
      <c r="AD2566">
        <v>1</v>
      </c>
      <c r="AE2566">
        <v>1</v>
      </c>
      <c r="AF2566">
        <v>-221.5</v>
      </c>
      <c r="AG2566">
        <v>3754.45</v>
      </c>
      <c r="AH2566">
        <v>53</v>
      </c>
      <c r="AI2566">
        <v>52</v>
      </c>
      <c r="AJ2566">
        <v>1</v>
      </c>
      <c r="AK2566">
        <v>1</v>
      </c>
      <c r="AL2566">
        <v>1</v>
      </c>
      <c r="AM2566">
        <v>98.11</v>
      </c>
      <c r="AN2566">
        <v>68.726600000000005</v>
      </c>
      <c r="AO2566">
        <v>66.66</v>
      </c>
      <c r="AP2566" s="13">
        <v>45443</v>
      </c>
      <c r="AQ2566">
        <v>10</v>
      </c>
      <c r="AR2566">
        <v>0</v>
      </c>
    </row>
    <row r="2567" spans="1:44" x14ac:dyDescent="0.35">
      <c r="A2567" s="12" t="s">
        <v>3404</v>
      </c>
      <c r="B2567" s="12" t="s">
        <v>1220</v>
      </c>
      <c r="C2567" s="12" t="s">
        <v>1221</v>
      </c>
      <c r="D2567" s="12" t="s">
        <v>175</v>
      </c>
      <c r="E2567" s="12" t="s">
        <v>104</v>
      </c>
      <c r="F2567">
        <v>3</v>
      </c>
      <c r="G2567">
        <v>1</v>
      </c>
      <c r="H2567">
        <v>0</v>
      </c>
      <c r="I2567" s="12" t="s">
        <v>515</v>
      </c>
      <c r="J2567" s="12" t="s">
        <v>516</v>
      </c>
      <c r="K2567" s="12" t="s">
        <v>68</v>
      </c>
      <c r="L2567" s="12" t="s">
        <v>134</v>
      </c>
      <c r="M2567">
        <v>3.69</v>
      </c>
      <c r="N2567" s="12" t="s">
        <v>145</v>
      </c>
      <c r="O2567" s="12" t="s">
        <v>146</v>
      </c>
      <c r="P2567" s="12" t="s">
        <v>109</v>
      </c>
      <c r="Q2567" s="13">
        <v>45412</v>
      </c>
      <c r="R2567" s="13">
        <v>45427</v>
      </c>
      <c r="S2567">
        <v>2024</v>
      </c>
      <c r="T2567" s="12" t="s">
        <v>3171</v>
      </c>
      <c r="U2567">
        <v>35</v>
      </c>
      <c r="V2567">
        <v>136.08099999999999</v>
      </c>
      <c r="W2567">
        <v>51.38</v>
      </c>
      <c r="X2567">
        <v>0</v>
      </c>
      <c r="Y2567">
        <v>0</v>
      </c>
      <c r="Z2567">
        <v>4762.84</v>
      </c>
      <c r="AA2567">
        <v>4814.22</v>
      </c>
      <c r="AB2567" s="12" t="s">
        <v>3405</v>
      </c>
      <c r="AC2567">
        <v>136.08099999999999</v>
      </c>
      <c r="AD2567">
        <v>1</v>
      </c>
      <c r="AE2567">
        <v>1</v>
      </c>
      <c r="AF2567">
        <v>0</v>
      </c>
      <c r="AG2567">
        <v>4762.84</v>
      </c>
      <c r="AH2567">
        <v>35</v>
      </c>
      <c r="AI2567">
        <v>35</v>
      </c>
      <c r="AJ2567">
        <v>0</v>
      </c>
      <c r="AK2567">
        <v>1</v>
      </c>
      <c r="AL2567">
        <v>1</v>
      </c>
      <c r="AM2567">
        <v>100</v>
      </c>
      <c r="AN2567">
        <v>137.54900000000001</v>
      </c>
      <c r="AO2567">
        <v>0</v>
      </c>
      <c r="AP2567" s="13">
        <v>45425</v>
      </c>
      <c r="AQ2567">
        <v>-2</v>
      </c>
      <c r="AR2567">
        <v>1</v>
      </c>
    </row>
    <row r="2568" spans="1:44" x14ac:dyDescent="0.35">
      <c r="A2568" s="12" t="s">
        <v>3406</v>
      </c>
      <c r="B2568" s="12" t="s">
        <v>519</v>
      </c>
      <c r="C2568" s="12" t="s">
        <v>520</v>
      </c>
      <c r="D2568" s="12" t="s">
        <v>78</v>
      </c>
      <c r="E2568" s="12" t="s">
        <v>65</v>
      </c>
      <c r="F2568">
        <v>2</v>
      </c>
      <c r="G2568">
        <v>3</v>
      </c>
      <c r="H2568">
        <v>0</v>
      </c>
      <c r="I2568" s="12" t="s">
        <v>143</v>
      </c>
      <c r="J2568" s="12" t="s">
        <v>144</v>
      </c>
      <c r="K2568" s="12" t="s">
        <v>133</v>
      </c>
      <c r="L2568" s="12" t="s">
        <v>96</v>
      </c>
      <c r="M2568">
        <v>5.43</v>
      </c>
      <c r="N2568" s="12" t="s">
        <v>97</v>
      </c>
      <c r="O2568" s="12" t="s">
        <v>98</v>
      </c>
      <c r="P2568" s="12" t="s">
        <v>72</v>
      </c>
      <c r="Q2568" s="13">
        <v>45412</v>
      </c>
      <c r="R2568" s="13">
        <v>45433</v>
      </c>
      <c r="S2568">
        <v>2024</v>
      </c>
      <c r="T2568" s="12" t="s">
        <v>3171</v>
      </c>
      <c r="U2568">
        <v>49</v>
      </c>
      <c r="V2568">
        <v>30.1342</v>
      </c>
      <c r="W2568">
        <v>31.81</v>
      </c>
      <c r="X2568">
        <v>0</v>
      </c>
      <c r="Y2568">
        <v>0</v>
      </c>
      <c r="Z2568">
        <v>1476.58</v>
      </c>
      <c r="AA2568">
        <v>1508.39</v>
      </c>
      <c r="AB2568" s="12" t="s">
        <v>3130</v>
      </c>
      <c r="AC2568">
        <v>30.1342</v>
      </c>
      <c r="AD2568">
        <v>1</v>
      </c>
      <c r="AE2568">
        <v>1</v>
      </c>
      <c r="AF2568">
        <v>0</v>
      </c>
      <c r="AG2568">
        <v>1476.58</v>
      </c>
      <c r="AH2568">
        <v>49</v>
      </c>
      <c r="AI2568">
        <v>48</v>
      </c>
      <c r="AJ2568">
        <v>1</v>
      </c>
      <c r="AK2568">
        <v>1</v>
      </c>
      <c r="AL2568">
        <v>1</v>
      </c>
      <c r="AM2568">
        <v>97.96</v>
      </c>
      <c r="AN2568">
        <v>31.424700000000001</v>
      </c>
      <c r="AO2568">
        <v>30.13</v>
      </c>
      <c r="AP2568" s="13">
        <v>45432</v>
      </c>
      <c r="AQ2568">
        <v>-1</v>
      </c>
      <c r="AR2568">
        <v>1</v>
      </c>
    </row>
    <row r="2569" spans="1:44" x14ac:dyDescent="0.35">
      <c r="A2569" s="12" t="s">
        <v>3407</v>
      </c>
      <c r="B2569" s="12" t="s">
        <v>587</v>
      </c>
      <c r="C2569" s="12" t="s">
        <v>588</v>
      </c>
      <c r="D2569" s="12" t="s">
        <v>122</v>
      </c>
      <c r="E2569" s="12" t="s">
        <v>104</v>
      </c>
      <c r="F2569">
        <v>2</v>
      </c>
      <c r="G2569">
        <v>0</v>
      </c>
      <c r="H2569">
        <v>0</v>
      </c>
      <c r="I2569" s="12" t="s">
        <v>486</v>
      </c>
      <c r="J2569" s="12" t="s">
        <v>487</v>
      </c>
      <c r="K2569" s="12" t="s">
        <v>125</v>
      </c>
      <c r="L2569" s="12" t="s">
        <v>69</v>
      </c>
      <c r="M2569">
        <v>36.86</v>
      </c>
      <c r="N2569" s="12" t="s">
        <v>97</v>
      </c>
      <c r="O2569" s="12" t="s">
        <v>98</v>
      </c>
      <c r="P2569" s="12" t="s">
        <v>72</v>
      </c>
      <c r="Q2569" s="13">
        <v>45412</v>
      </c>
      <c r="R2569" s="13">
        <v>45424</v>
      </c>
      <c r="S2569">
        <v>2024</v>
      </c>
      <c r="T2569" s="12" t="s">
        <v>3171</v>
      </c>
      <c r="U2569">
        <v>214</v>
      </c>
      <c r="V2569">
        <v>11.9803</v>
      </c>
      <c r="W2569">
        <v>47.45</v>
      </c>
      <c r="X2569">
        <v>0</v>
      </c>
      <c r="Y2569">
        <v>0</v>
      </c>
      <c r="Z2569">
        <v>2563.7800000000002</v>
      </c>
      <c r="AA2569">
        <v>2611.23</v>
      </c>
      <c r="AB2569" s="12" t="s">
        <v>3188</v>
      </c>
      <c r="AC2569">
        <v>11.9803</v>
      </c>
      <c r="AD2569">
        <v>1</v>
      </c>
      <c r="AE2569">
        <v>1</v>
      </c>
      <c r="AF2569">
        <v>0</v>
      </c>
      <c r="AG2569">
        <v>2563.7800000000002</v>
      </c>
      <c r="AH2569">
        <v>214</v>
      </c>
      <c r="AI2569">
        <v>212</v>
      </c>
      <c r="AJ2569">
        <v>2</v>
      </c>
      <c r="AK2569">
        <v>1</v>
      </c>
      <c r="AL2569">
        <v>1</v>
      </c>
      <c r="AM2569">
        <v>99.07</v>
      </c>
      <c r="AN2569">
        <v>12.3171</v>
      </c>
      <c r="AO2569">
        <v>23.96</v>
      </c>
      <c r="AP2569" s="13">
        <v>45423</v>
      </c>
      <c r="AQ2569">
        <v>-1</v>
      </c>
      <c r="AR2569">
        <v>1</v>
      </c>
    </row>
    <row r="2570" spans="1:44" x14ac:dyDescent="0.35">
      <c r="A2570" s="12" t="s">
        <v>3408</v>
      </c>
      <c r="B2570" s="12" t="s">
        <v>85</v>
      </c>
      <c r="C2570" s="12" t="s">
        <v>86</v>
      </c>
      <c r="D2570" s="12" t="s">
        <v>78</v>
      </c>
      <c r="E2570" s="12" t="s">
        <v>65</v>
      </c>
      <c r="F2570">
        <v>3</v>
      </c>
      <c r="G2570">
        <v>5</v>
      </c>
      <c r="H2570">
        <v>0</v>
      </c>
      <c r="I2570" s="12" t="s">
        <v>195</v>
      </c>
      <c r="J2570" s="12" t="s">
        <v>196</v>
      </c>
      <c r="K2570" s="12" t="s">
        <v>117</v>
      </c>
      <c r="L2570" s="12" t="s">
        <v>134</v>
      </c>
      <c r="M2570">
        <v>4.7699999999999996</v>
      </c>
      <c r="N2570" s="12" t="s">
        <v>97</v>
      </c>
      <c r="O2570" s="12" t="s">
        <v>98</v>
      </c>
      <c r="P2570" s="12" t="s">
        <v>72</v>
      </c>
      <c r="Q2570" s="13">
        <v>45412</v>
      </c>
      <c r="R2570" s="13">
        <v>45438</v>
      </c>
      <c r="S2570">
        <v>2024</v>
      </c>
      <c r="T2570" s="12" t="s">
        <v>3171</v>
      </c>
      <c r="U2570">
        <v>122</v>
      </c>
      <c r="V2570">
        <v>139.9503</v>
      </c>
      <c r="W2570">
        <v>354.71</v>
      </c>
      <c r="X2570">
        <v>0</v>
      </c>
      <c r="Y2570">
        <v>0</v>
      </c>
      <c r="Z2570">
        <v>17073.939999999999</v>
      </c>
      <c r="AA2570">
        <v>17428.650000000001</v>
      </c>
      <c r="AB2570" s="12" t="s">
        <v>2907</v>
      </c>
      <c r="AC2570">
        <v>139.9503</v>
      </c>
      <c r="AD2570">
        <v>1</v>
      </c>
      <c r="AE2570">
        <v>1</v>
      </c>
      <c r="AF2570">
        <v>0</v>
      </c>
      <c r="AG2570">
        <v>17073.939999999999</v>
      </c>
      <c r="AH2570">
        <v>122</v>
      </c>
      <c r="AI2570">
        <v>120</v>
      </c>
      <c r="AJ2570">
        <v>2</v>
      </c>
      <c r="AK2570">
        <v>1</v>
      </c>
      <c r="AL2570">
        <v>1</v>
      </c>
      <c r="AM2570">
        <v>98.36</v>
      </c>
      <c r="AN2570">
        <v>145.23869999999999</v>
      </c>
      <c r="AO2570">
        <v>279.89999999999998</v>
      </c>
      <c r="AP2570" s="13">
        <v>45435</v>
      </c>
      <c r="AQ2570">
        <v>-3</v>
      </c>
      <c r="AR2570">
        <v>1</v>
      </c>
    </row>
    <row r="2571" spans="1:44" x14ac:dyDescent="0.35">
      <c r="A2571" s="12" t="s">
        <v>3409</v>
      </c>
      <c r="B2571" s="12" t="s">
        <v>447</v>
      </c>
      <c r="C2571" s="12" t="s">
        <v>448</v>
      </c>
      <c r="D2571" s="12" t="s">
        <v>269</v>
      </c>
      <c r="E2571" s="12" t="s">
        <v>65</v>
      </c>
      <c r="F2571">
        <v>2</v>
      </c>
      <c r="G2571">
        <v>2</v>
      </c>
      <c r="H2571">
        <v>0</v>
      </c>
      <c r="I2571" s="12" t="s">
        <v>94</v>
      </c>
      <c r="J2571" s="12" t="s">
        <v>95</v>
      </c>
      <c r="K2571" s="12" t="s">
        <v>81</v>
      </c>
      <c r="L2571" s="12" t="s">
        <v>96</v>
      </c>
      <c r="M2571">
        <v>4.8099999999999996</v>
      </c>
      <c r="N2571" s="12" t="s">
        <v>159</v>
      </c>
      <c r="O2571" s="12" t="s">
        <v>160</v>
      </c>
      <c r="P2571" s="12" t="s">
        <v>137</v>
      </c>
      <c r="Q2571" s="13">
        <v>45412</v>
      </c>
      <c r="R2571" s="13">
        <v>45437</v>
      </c>
      <c r="S2571">
        <v>2024</v>
      </c>
      <c r="T2571" s="12" t="s">
        <v>3171</v>
      </c>
      <c r="U2571">
        <v>43</v>
      </c>
      <c r="V2571">
        <v>377.76080000000002</v>
      </c>
      <c r="W2571">
        <v>367.92</v>
      </c>
      <c r="X2571">
        <v>518.49</v>
      </c>
      <c r="Y2571">
        <v>1</v>
      </c>
      <c r="Z2571">
        <v>16243.71</v>
      </c>
      <c r="AA2571">
        <v>17130.12</v>
      </c>
      <c r="AB2571" s="12" t="s">
        <v>3078</v>
      </c>
      <c r="AC2571">
        <v>377.76080000000002</v>
      </c>
      <c r="AD2571">
        <v>1</v>
      </c>
      <c r="AE2571">
        <v>1</v>
      </c>
      <c r="AF2571">
        <v>0</v>
      </c>
      <c r="AG2571">
        <v>16243.71</v>
      </c>
      <c r="AH2571">
        <v>43</v>
      </c>
      <c r="AI2571">
        <v>43</v>
      </c>
      <c r="AJ2571">
        <v>0</v>
      </c>
      <c r="AK2571">
        <v>1</v>
      </c>
      <c r="AL2571">
        <v>1</v>
      </c>
      <c r="AM2571">
        <v>100</v>
      </c>
      <c r="AN2571">
        <v>398.375</v>
      </c>
      <c r="AO2571">
        <v>0</v>
      </c>
      <c r="AP2571" s="13">
        <v>45439</v>
      </c>
      <c r="AQ2571">
        <v>2</v>
      </c>
      <c r="AR2571">
        <v>0</v>
      </c>
    </row>
    <row r="2572" spans="1:44" x14ac:dyDescent="0.35">
      <c r="A2572" s="12" t="s">
        <v>3410</v>
      </c>
      <c r="B2572" s="12" t="s">
        <v>792</v>
      </c>
      <c r="C2572" s="12" t="s">
        <v>793</v>
      </c>
      <c r="D2572" s="12" t="s">
        <v>103</v>
      </c>
      <c r="E2572" s="12" t="s">
        <v>65</v>
      </c>
      <c r="F2572">
        <v>2</v>
      </c>
      <c r="G2572">
        <v>3</v>
      </c>
      <c r="H2572">
        <v>0</v>
      </c>
      <c r="I2572" s="12" t="s">
        <v>115</v>
      </c>
      <c r="J2572" s="12" t="s">
        <v>116</v>
      </c>
      <c r="K2572" s="12" t="s">
        <v>117</v>
      </c>
      <c r="L2572" s="12" t="s">
        <v>82</v>
      </c>
      <c r="M2572">
        <v>17.170000000000002</v>
      </c>
      <c r="N2572" s="12" t="s">
        <v>107</v>
      </c>
      <c r="O2572" s="12" t="s">
        <v>108</v>
      </c>
      <c r="P2572" s="12" t="s">
        <v>109</v>
      </c>
      <c r="Q2572" s="13">
        <v>45412</v>
      </c>
      <c r="R2572" s="13">
        <v>45437</v>
      </c>
      <c r="S2572">
        <v>2024</v>
      </c>
      <c r="T2572" s="12" t="s">
        <v>3171</v>
      </c>
      <c r="U2572">
        <v>45</v>
      </c>
      <c r="V2572">
        <v>98.330600000000004</v>
      </c>
      <c r="W2572">
        <v>53.87</v>
      </c>
      <c r="X2572">
        <v>0</v>
      </c>
      <c r="Y2572">
        <v>0</v>
      </c>
      <c r="Z2572">
        <v>4424.88</v>
      </c>
      <c r="AA2572">
        <v>4478.75</v>
      </c>
      <c r="AB2572" s="12" t="s">
        <v>3411</v>
      </c>
      <c r="AC2572">
        <v>98.330600000000004</v>
      </c>
      <c r="AD2572">
        <v>1</v>
      </c>
      <c r="AE2572">
        <v>1</v>
      </c>
      <c r="AF2572">
        <v>0</v>
      </c>
      <c r="AG2572">
        <v>4424.88</v>
      </c>
      <c r="AH2572">
        <v>45</v>
      </c>
      <c r="AI2572">
        <v>44</v>
      </c>
      <c r="AJ2572">
        <v>1</v>
      </c>
      <c r="AK2572">
        <v>1</v>
      </c>
      <c r="AL2572">
        <v>1</v>
      </c>
      <c r="AM2572">
        <v>97.78</v>
      </c>
      <c r="AN2572">
        <v>101.7897</v>
      </c>
      <c r="AO2572">
        <v>98.33</v>
      </c>
      <c r="AP2572" s="13">
        <v>45434</v>
      </c>
      <c r="AQ2572">
        <v>-3</v>
      </c>
      <c r="AR2572">
        <v>1</v>
      </c>
    </row>
    <row r="2573" spans="1:44" x14ac:dyDescent="0.35">
      <c r="A2573" s="12" t="s">
        <v>3412</v>
      </c>
      <c r="B2573" s="12" t="s">
        <v>755</v>
      </c>
      <c r="C2573" s="12" t="s">
        <v>756</v>
      </c>
      <c r="D2573" s="12" t="s">
        <v>78</v>
      </c>
      <c r="E2573" s="12" t="s">
        <v>65</v>
      </c>
      <c r="F2573">
        <v>2</v>
      </c>
      <c r="G2573">
        <v>2</v>
      </c>
      <c r="H2573">
        <v>0</v>
      </c>
      <c r="I2573" s="12" t="s">
        <v>359</v>
      </c>
      <c r="J2573" s="12" t="s">
        <v>360</v>
      </c>
      <c r="K2573" s="12" t="s">
        <v>133</v>
      </c>
      <c r="L2573" s="12" t="s">
        <v>82</v>
      </c>
      <c r="M2573">
        <v>12.65</v>
      </c>
      <c r="N2573" s="12" t="s">
        <v>70</v>
      </c>
      <c r="O2573" s="12" t="s">
        <v>71</v>
      </c>
      <c r="P2573" s="12" t="s">
        <v>72</v>
      </c>
      <c r="Q2573" s="13">
        <v>45413</v>
      </c>
      <c r="R2573" s="13">
        <v>45446</v>
      </c>
      <c r="S2573">
        <v>2024</v>
      </c>
      <c r="T2573" s="12" t="s">
        <v>3413</v>
      </c>
      <c r="U2573">
        <v>216</v>
      </c>
      <c r="V2573">
        <v>43.122799999999998</v>
      </c>
      <c r="W2573">
        <v>181.31</v>
      </c>
      <c r="X2573">
        <v>0</v>
      </c>
      <c r="Y2573">
        <v>0</v>
      </c>
      <c r="Z2573">
        <v>9314.52</v>
      </c>
      <c r="AA2573">
        <v>9495.83</v>
      </c>
      <c r="AB2573" s="12" t="s">
        <v>3414</v>
      </c>
      <c r="AC2573">
        <v>43.122799999999998</v>
      </c>
      <c r="AD2573">
        <v>1</v>
      </c>
      <c r="AE2573">
        <v>1</v>
      </c>
      <c r="AF2573">
        <v>0</v>
      </c>
      <c r="AG2573">
        <v>9314.52</v>
      </c>
      <c r="AH2573">
        <v>216</v>
      </c>
      <c r="AI2573">
        <v>211</v>
      </c>
      <c r="AJ2573">
        <v>5</v>
      </c>
      <c r="AK2573">
        <v>1</v>
      </c>
      <c r="AL2573">
        <v>1</v>
      </c>
      <c r="AM2573">
        <v>97.69</v>
      </c>
      <c r="AN2573">
        <v>45.003999999999998</v>
      </c>
      <c r="AO2573">
        <v>215.61</v>
      </c>
      <c r="AP2573" s="13">
        <v>45446</v>
      </c>
      <c r="AQ2573">
        <v>0</v>
      </c>
      <c r="AR2573">
        <v>1</v>
      </c>
    </row>
    <row r="2574" spans="1:44" x14ac:dyDescent="0.35">
      <c r="A2574" s="12" t="s">
        <v>3415</v>
      </c>
      <c r="B2574" s="12" t="s">
        <v>809</v>
      </c>
      <c r="C2574" s="12" t="s">
        <v>810</v>
      </c>
      <c r="D2574" s="12" t="s">
        <v>114</v>
      </c>
      <c r="E2574" s="12" t="s">
        <v>65</v>
      </c>
      <c r="F2574">
        <v>3</v>
      </c>
      <c r="G2574">
        <v>5</v>
      </c>
      <c r="H2574">
        <v>0</v>
      </c>
      <c r="I2574" s="12" t="s">
        <v>804</v>
      </c>
      <c r="J2574" s="12" t="s">
        <v>342</v>
      </c>
      <c r="K2574" s="12" t="s">
        <v>117</v>
      </c>
      <c r="L2574" s="12" t="s">
        <v>69</v>
      </c>
      <c r="M2574">
        <v>30.07</v>
      </c>
      <c r="N2574" s="12" t="s">
        <v>97</v>
      </c>
      <c r="O2574" s="12" t="s">
        <v>98</v>
      </c>
      <c r="P2574" s="12" t="s">
        <v>72</v>
      </c>
      <c r="Q2574" s="13">
        <v>45413</v>
      </c>
      <c r="R2574" s="13">
        <v>45441</v>
      </c>
      <c r="S2574">
        <v>2024</v>
      </c>
      <c r="T2574" s="12" t="s">
        <v>3413</v>
      </c>
      <c r="U2574">
        <v>71</v>
      </c>
      <c r="V2574">
        <v>312.78919999999999</v>
      </c>
      <c r="W2574">
        <v>542.84</v>
      </c>
      <c r="X2574">
        <v>683.47</v>
      </c>
      <c r="Y2574">
        <v>1</v>
      </c>
      <c r="Z2574">
        <v>22208.03</v>
      </c>
      <c r="AA2574">
        <v>23434.34</v>
      </c>
      <c r="AB2574" s="12" t="s">
        <v>3416</v>
      </c>
      <c r="AC2574">
        <v>312.78919999999999</v>
      </c>
      <c r="AD2574">
        <v>1</v>
      </c>
      <c r="AE2574">
        <v>1</v>
      </c>
      <c r="AF2574">
        <v>0</v>
      </c>
      <c r="AG2574">
        <v>22208.03</v>
      </c>
      <c r="AH2574">
        <v>71</v>
      </c>
      <c r="AI2574">
        <v>71</v>
      </c>
      <c r="AJ2574">
        <v>0</v>
      </c>
      <c r="AK2574">
        <v>1</v>
      </c>
      <c r="AL2574">
        <v>1</v>
      </c>
      <c r="AM2574">
        <v>100</v>
      </c>
      <c r="AN2574">
        <v>330.06119999999999</v>
      </c>
      <c r="AO2574">
        <v>0</v>
      </c>
      <c r="AP2574" s="13">
        <v>45441</v>
      </c>
      <c r="AQ2574">
        <v>0</v>
      </c>
      <c r="AR2574">
        <v>1</v>
      </c>
    </row>
    <row r="2575" spans="1:44" x14ac:dyDescent="0.35">
      <c r="A2575" s="12" t="s">
        <v>3417</v>
      </c>
      <c r="B2575" s="12" t="s">
        <v>728</v>
      </c>
      <c r="C2575" s="12" t="s">
        <v>729</v>
      </c>
      <c r="D2575" s="12" t="s">
        <v>269</v>
      </c>
      <c r="E2575" s="12" t="s">
        <v>65</v>
      </c>
      <c r="F2575">
        <v>2</v>
      </c>
      <c r="G2575">
        <v>3</v>
      </c>
      <c r="H2575">
        <v>0</v>
      </c>
      <c r="I2575" s="12" t="s">
        <v>310</v>
      </c>
      <c r="J2575" s="12" t="s">
        <v>311</v>
      </c>
      <c r="K2575" s="12" t="s">
        <v>81</v>
      </c>
      <c r="L2575" s="12" t="s">
        <v>69</v>
      </c>
      <c r="M2575">
        <v>28.3</v>
      </c>
      <c r="N2575" s="12" t="s">
        <v>159</v>
      </c>
      <c r="O2575" s="12" t="s">
        <v>160</v>
      </c>
      <c r="P2575" s="12" t="s">
        <v>137</v>
      </c>
      <c r="Q2575" s="13">
        <v>45413</v>
      </c>
      <c r="R2575" s="13">
        <v>45435</v>
      </c>
      <c r="S2575">
        <v>2024</v>
      </c>
      <c r="T2575" s="12" t="s">
        <v>3413</v>
      </c>
      <c r="U2575">
        <v>19</v>
      </c>
      <c r="V2575">
        <v>364.55509999999998</v>
      </c>
      <c r="W2575">
        <v>167.61</v>
      </c>
      <c r="X2575">
        <v>0</v>
      </c>
      <c r="Y2575">
        <v>0</v>
      </c>
      <c r="Z2575">
        <v>6926.55</v>
      </c>
      <c r="AA2575">
        <v>7094.16</v>
      </c>
      <c r="AB2575" s="12" t="s">
        <v>3329</v>
      </c>
      <c r="AC2575">
        <v>364.55509999999998</v>
      </c>
      <c r="AD2575">
        <v>1</v>
      </c>
      <c r="AE2575">
        <v>1</v>
      </c>
      <c r="AF2575">
        <v>0</v>
      </c>
      <c r="AG2575">
        <v>6926.55</v>
      </c>
      <c r="AH2575">
        <v>19</v>
      </c>
      <c r="AI2575">
        <v>19</v>
      </c>
      <c r="AJ2575">
        <v>0</v>
      </c>
      <c r="AK2575">
        <v>1</v>
      </c>
      <c r="AL2575">
        <v>1</v>
      </c>
      <c r="AM2575">
        <v>100</v>
      </c>
      <c r="AN2575">
        <v>373.37670000000003</v>
      </c>
      <c r="AO2575">
        <v>0</v>
      </c>
      <c r="AP2575" s="13">
        <v>45432</v>
      </c>
      <c r="AQ2575">
        <v>-3</v>
      </c>
      <c r="AR2575">
        <v>1</v>
      </c>
    </row>
    <row r="2576" spans="1:44" x14ac:dyDescent="0.35">
      <c r="A2576" s="12" t="s">
        <v>3418</v>
      </c>
      <c r="B2576" s="12" t="s">
        <v>92</v>
      </c>
      <c r="C2576" s="12" t="s">
        <v>93</v>
      </c>
      <c r="D2576" s="12" t="s">
        <v>64</v>
      </c>
      <c r="E2576" s="12" t="s">
        <v>65</v>
      </c>
      <c r="F2576">
        <v>3</v>
      </c>
      <c r="G2576">
        <v>5</v>
      </c>
      <c r="H2576">
        <v>0</v>
      </c>
      <c r="I2576" s="12" t="s">
        <v>151</v>
      </c>
      <c r="J2576" s="12" t="s">
        <v>152</v>
      </c>
      <c r="K2576" s="12" t="s">
        <v>125</v>
      </c>
      <c r="L2576" s="12" t="s">
        <v>69</v>
      </c>
      <c r="M2576">
        <v>36.479999999999997</v>
      </c>
      <c r="N2576" s="12" t="s">
        <v>97</v>
      </c>
      <c r="O2576" s="12" t="s">
        <v>98</v>
      </c>
      <c r="P2576" s="12" t="s">
        <v>72</v>
      </c>
      <c r="Q2576" s="13">
        <v>45413</v>
      </c>
      <c r="R2576" s="13">
        <v>45438</v>
      </c>
      <c r="S2576">
        <v>2024</v>
      </c>
      <c r="T2576" s="12" t="s">
        <v>3413</v>
      </c>
      <c r="U2576">
        <v>339</v>
      </c>
      <c r="V2576">
        <v>22.426300000000001</v>
      </c>
      <c r="W2576">
        <v>52.11</v>
      </c>
      <c r="X2576">
        <v>0</v>
      </c>
      <c r="Y2576">
        <v>0</v>
      </c>
      <c r="Z2576">
        <v>7602.52</v>
      </c>
      <c r="AA2576">
        <v>7654.63</v>
      </c>
      <c r="AB2576" s="12" t="s">
        <v>201</v>
      </c>
      <c r="AD2576">
        <v>0</v>
      </c>
      <c r="AE2576">
        <v>0</v>
      </c>
      <c r="AH2576">
        <v>339</v>
      </c>
      <c r="AI2576">
        <v>338</v>
      </c>
      <c r="AJ2576">
        <v>1</v>
      </c>
      <c r="AK2576">
        <v>1</v>
      </c>
      <c r="AL2576">
        <v>1</v>
      </c>
      <c r="AM2576">
        <v>99.71</v>
      </c>
      <c r="AN2576">
        <v>22.646799999999999</v>
      </c>
      <c r="AO2576">
        <v>22.43</v>
      </c>
      <c r="AP2576" s="13">
        <v>45435</v>
      </c>
      <c r="AQ2576">
        <v>-3</v>
      </c>
      <c r="AR2576">
        <v>1</v>
      </c>
    </row>
    <row r="2577" spans="1:44" x14ac:dyDescent="0.35">
      <c r="A2577" s="12" t="s">
        <v>3419</v>
      </c>
      <c r="B2577" s="12" t="s">
        <v>231</v>
      </c>
      <c r="C2577" s="12" t="s">
        <v>232</v>
      </c>
      <c r="D2577" s="12" t="s">
        <v>130</v>
      </c>
      <c r="E2577" s="12" t="s">
        <v>65</v>
      </c>
      <c r="F2577">
        <v>1</v>
      </c>
      <c r="G2577">
        <v>2</v>
      </c>
      <c r="H2577">
        <v>1</v>
      </c>
      <c r="I2577" s="12" t="s">
        <v>233</v>
      </c>
      <c r="J2577" s="12" t="s">
        <v>234</v>
      </c>
      <c r="K2577" s="12" t="s">
        <v>125</v>
      </c>
      <c r="L2577" s="12" t="s">
        <v>96</v>
      </c>
      <c r="M2577">
        <v>3.73</v>
      </c>
      <c r="N2577" s="12" t="s">
        <v>159</v>
      </c>
      <c r="O2577" s="12" t="s">
        <v>160</v>
      </c>
      <c r="P2577" s="12" t="s">
        <v>137</v>
      </c>
      <c r="Q2577" s="13">
        <v>45413</v>
      </c>
      <c r="R2577" s="13">
        <v>45445</v>
      </c>
      <c r="S2577">
        <v>2024</v>
      </c>
      <c r="T2577" s="12" t="s">
        <v>3413</v>
      </c>
      <c r="U2577">
        <v>100</v>
      </c>
      <c r="V2577">
        <v>467.803</v>
      </c>
      <c r="W2577">
        <v>491.66</v>
      </c>
      <c r="X2577">
        <v>0</v>
      </c>
      <c r="Y2577">
        <v>0</v>
      </c>
      <c r="Z2577">
        <v>46780.3</v>
      </c>
      <c r="AA2577">
        <v>47271.96</v>
      </c>
      <c r="AB2577" s="12" t="s">
        <v>201</v>
      </c>
      <c r="AD2577">
        <v>0</v>
      </c>
      <c r="AE2577">
        <v>0</v>
      </c>
      <c r="AH2577">
        <v>100</v>
      </c>
      <c r="AI2577">
        <v>100</v>
      </c>
      <c r="AJ2577">
        <v>0</v>
      </c>
      <c r="AK2577">
        <v>1</v>
      </c>
      <c r="AL2577">
        <v>1</v>
      </c>
      <c r="AM2577">
        <v>100</v>
      </c>
      <c r="AN2577">
        <v>472.71960000000001</v>
      </c>
      <c r="AO2577">
        <v>0</v>
      </c>
      <c r="AP2577" s="13">
        <v>45445</v>
      </c>
      <c r="AQ2577">
        <v>0</v>
      </c>
      <c r="AR2577">
        <v>1</v>
      </c>
    </row>
    <row r="2578" spans="1:44" x14ac:dyDescent="0.35">
      <c r="A2578" s="12" t="s">
        <v>3420</v>
      </c>
      <c r="B2578" s="12" t="s">
        <v>302</v>
      </c>
      <c r="C2578" s="12" t="s">
        <v>303</v>
      </c>
      <c r="D2578" s="12" t="s">
        <v>78</v>
      </c>
      <c r="E2578" s="12" t="s">
        <v>65</v>
      </c>
      <c r="F2578">
        <v>2</v>
      </c>
      <c r="G2578">
        <v>3</v>
      </c>
      <c r="H2578">
        <v>0</v>
      </c>
      <c r="I2578" s="12" t="s">
        <v>335</v>
      </c>
      <c r="J2578" s="12" t="s">
        <v>336</v>
      </c>
      <c r="K2578" s="12" t="s">
        <v>89</v>
      </c>
      <c r="L2578" s="12" t="s">
        <v>82</v>
      </c>
      <c r="M2578">
        <v>16</v>
      </c>
      <c r="N2578" s="12" t="s">
        <v>70</v>
      </c>
      <c r="O2578" s="12" t="s">
        <v>71</v>
      </c>
      <c r="P2578" s="12" t="s">
        <v>72</v>
      </c>
      <c r="Q2578" s="13">
        <v>45413</v>
      </c>
      <c r="R2578" s="13">
        <v>45437</v>
      </c>
      <c r="S2578">
        <v>2024</v>
      </c>
      <c r="T2578" s="12" t="s">
        <v>3413</v>
      </c>
      <c r="U2578">
        <v>91</v>
      </c>
      <c r="V2578">
        <v>141.08359999999999</v>
      </c>
      <c r="W2578">
        <v>289</v>
      </c>
      <c r="X2578">
        <v>0</v>
      </c>
      <c r="Y2578">
        <v>0</v>
      </c>
      <c r="Z2578">
        <v>12838.61</v>
      </c>
      <c r="AA2578">
        <v>13127.61</v>
      </c>
      <c r="AB2578" s="12" t="s">
        <v>2834</v>
      </c>
      <c r="AC2578">
        <v>141.08359999999999</v>
      </c>
      <c r="AD2578">
        <v>1</v>
      </c>
      <c r="AE2578">
        <v>1</v>
      </c>
      <c r="AF2578">
        <v>0</v>
      </c>
      <c r="AG2578">
        <v>12838.61</v>
      </c>
      <c r="AH2578">
        <v>91</v>
      </c>
      <c r="AI2578">
        <v>90</v>
      </c>
      <c r="AJ2578">
        <v>1</v>
      </c>
      <c r="AK2578">
        <v>1</v>
      </c>
      <c r="AL2578">
        <v>1</v>
      </c>
      <c r="AM2578">
        <v>98.9</v>
      </c>
      <c r="AN2578">
        <v>145.8623</v>
      </c>
      <c r="AO2578">
        <v>141.08000000000001</v>
      </c>
      <c r="AP2578" s="13">
        <v>45436</v>
      </c>
      <c r="AQ2578">
        <v>-1</v>
      </c>
      <c r="AR2578">
        <v>1</v>
      </c>
    </row>
    <row r="2579" spans="1:44" x14ac:dyDescent="0.35">
      <c r="A2579" s="12" t="s">
        <v>3421</v>
      </c>
      <c r="B2579" s="12" t="s">
        <v>327</v>
      </c>
      <c r="C2579" s="12" t="s">
        <v>328</v>
      </c>
      <c r="D2579" s="12" t="s">
        <v>130</v>
      </c>
      <c r="E2579" s="12" t="s">
        <v>104</v>
      </c>
      <c r="F2579">
        <v>2</v>
      </c>
      <c r="G2579">
        <v>0</v>
      </c>
      <c r="H2579">
        <v>0</v>
      </c>
      <c r="I2579" s="12" t="s">
        <v>94</v>
      </c>
      <c r="J2579" s="12" t="s">
        <v>95</v>
      </c>
      <c r="K2579" s="12" t="s">
        <v>81</v>
      </c>
      <c r="L2579" s="12" t="s">
        <v>96</v>
      </c>
      <c r="M2579">
        <v>4.8099999999999996</v>
      </c>
      <c r="N2579" s="12" t="s">
        <v>135</v>
      </c>
      <c r="O2579" s="12" t="s">
        <v>136</v>
      </c>
      <c r="P2579" s="12" t="s">
        <v>137</v>
      </c>
      <c r="Q2579" s="13">
        <v>45414</v>
      </c>
      <c r="R2579" s="13">
        <v>45440</v>
      </c>
      <c r="S2579">
        <v>2024</v>
      </c>
      <c r="T2579" s="12" t="s">
        <v>3413</v>
      </c>
      <c r="U2579">
        <v>120</v>
      </c>
      <c r="V2579">
        <v>697.23929999999996</v>
      </c>
      <c r="W2579">
        <v>663.91</v>
      </c>
      <c r="X2579">
        <v>2618.15</v>
      </c>
      <c r="Y2579">
        <v>1</v>
      </c>
      <c r="Z2579">
        <v>83668.72</v>
      </c>
      <c r="AA2579">
        <v>86950.78</v>
      </c>
      <c r="AB2579" s="12" t="s">
        <v>3016</v>
      </c>
      <c r="AC2579">
        <v>697.23929999999996</v>
      </c>
      <c r="AD2579">
        <v>1</v>
      </c>
      <c r="AE2579">
        <v>1</v>
      </c>
      <c r="AF2579">
        <v>0</v>
      </c>
      <c r="AG2579">
        <v>83668.72</v>
      </c>
      <c r="AH2579">
        <v>120</v>
      </c>
      <c r="AI2579">
        <v>119</v>
      </c>
      <c r="AJ2579">
        <v>1</v>
      </c>
      <c r="AK2579">
        <v>1</v>
      </c>
      <c r="AL2579">
        <v>1</v>
      </c>
      <c r="AM2579">
        <v>99.17</v>
      </c>
      <c r="AN2579">
        <v>730.67880000000002</v>
      </c>
      <c r="AO2579">
        <v>697.24</v>
      </c>
      <c r="AP2579" s="13">
        <v>45439</v>
      </c>
      <c r="AQ2579">
        <v>-1</v>
      </c>
      <c r="AR2579">
        <v>1</v>
      </c>
    </row>
    <row r="2580" spans="1:44" x14ac:dyDescent="0.35">
      <c r="A2580" s="12" t="s">
        <v>3422</v>
      </c>
      <c r="B2580" s="12" t="s">
        <v>404</v>
      </c>
      <c r="C2580" s="12" t="s">
        <v>405</v>
      </c>
      <c r="D2580" s="12" t="s">
        <v>269</v>
      </c>
      <c r="E2580" s="12" t="s">
        <v>65</v>
      </c>
      <c r="F2580">
        <v>3</v>
      </c>
      <c r="G2580">
        <v>5</v>
      </c>
      <c r="H2580">
        <v>0</v>
      </c>
      <c r="I2580" s="12" t="s">
        <v>79</v>
      </c>
      <c r="J2580" s="12" t="s">
        <v>80</v>
      </c>
      <c r="K2580" s="12" t="s">
        <v>81</v>
      </c>
      <c r="L2580" s="12" t="s">
        <v>82</v>
      </c>
      <c r="M2580">
        <v>12.07</v>
      </c>
      <c r="N2580" s="12" t="s">
        <v>135</v>
      </c>
      <c r="O2580" s="12" t="s">
        <v>136</v>
      </c>
      <c r="P2580" s="12" t="s">
        <v>137</v>
      </c>
      <c r="Q2580" s="13">
        <v>45414</v>
      </c>
      <c r="R2580" s="13">
        <v>45446</v>
      </c>
      <c r="S2580">
        <v>2024</v>
      </c>
      <c r="T2580" s="12" t="s">
        <v>3413</v>
      </c>
      <c r="U2580">
        <v>95</v>
      </c>
      <c r="V2580">
        <v>430.2559</v>
      </c>
      <c r="W2580">
        <v>801.97</v>
      </c>
      <c r="X2580">
        <v>0</v>
      </c>
      <c r="Y2580">
        <v>0</v>
      </c>
      <c r="Z2580">
        <v>40874.31</v>
      </c>
      <c r="AA2580">
        <v>41676.28</v>
      </c>
      <c r="AB2580" s="12" t="s">
        <v>2910</v>
      </c>
      <c r="AC2580">
        <v>430.2559</v>
      </c>
      <c r="AD2580">
        <v>1</v>
      </c>
      <c r="AE2580">
        <v>1</v>
      </c>
      <c r="AF2580">
        <v>0</v>
      </c>
      <c r="AG2580">
        <v>40874.31</v>
      </c>
      <c r="AH2580">
        <v>95</v>
      </c>
      <c r="AI2580">
        <v>94</v>
      </c>
      <c r="AJ2580">
        <v>1</v>
      </c>
      <c r="AK2580">
        <v>1</v>
      </c>
      <c r="AL2580">
        <v>1</v>
      </c>
      <c r="AM2580">
        <v>98.95</v>
      </c>
      <c r="AN2580">
        <v>443.36470000000003</v>
      </c>
      <c r="AO2580">
        <v>430.26</v>
      </c>
      <c r="AP2580" s="13">
        <v>45443</v>
      </c>
      <c r="AQ2580">
        <v>-3</v>
      </c>
      <c r="AR2580">
        <v>1</v>
      </c>
    </row>
    <row r="2581" spans="1:44" x14ac:dyDescent="0.35">
      <c r="A2581" s="12" t="s">
        <v>3423</v>
      </c>
      <c r="B2581" s="12" t="s">
        <v>1075</v>
      </c>
      <c r="C2581" s="12" t="s">
        <v>1076</v>
      </c>
      <c r="D2581" s="12" t="s">
        <v>103</v>
      </c>
      <c r="E2581" s="12" t="s">
        <v>65</v>
      </c>
      <c r="F2581">
        <v>2</v>
      </c>
      <c r="G2581">
        <v>4</v>
      </c>
      <c r="H2581">
        <v>0</v>
      </c>
      <c r="I2581" s="12" t="s">
        <v>176</v>
      </c>
      <c r="J2581" s="12" t="s">
        <v>177</v>
      </c>
      <c r="K2581" s="12" t="s">
        <v>125</v>
      </c>
      <c r="L2581" s="12" t="s">
        <v>134</v>
      </c>
      <c r="M2581">
        <v>1.75</v>
      </c>
      <c r="N2581" s="12" t="s">
        <v>145</v>
      </c>
      <c r="O2581" s="12" t="s">
        <v>146</v>
      </c>
      <c r="P2581" s="12" t="s">
        <v>109</v>
      </c>
      <c r="Q2581" s="13">
        <v>45414</v>
      </c>
      <c r="R2581" s="13">
        <v>45445</v>
      </c>
      <c r="S2581">
        <v>2024</v>
      </c>
      <c r="T2581" s="12" t="s">
        <v>3413</v>
      </c>
      <c r="U2581">
        <v>89</v>
      </c>
      <c r="V2581">
        <v>67.850700000000003</v>
      </c>
      <c r="W2581">
        <v>45.49</v>
      </c>
      <c r="X2581">
        <v>0</v>
      </c>
      <c r="Y2581">
        <v>0</v>
      </c>
      <c r="Z2581">
        <v>6038.71</v>
      </c>
      <c r="AA2581">
        <v>6084.2</v>
      </c>
      <c r="AB2581" s="12" t="s">
        <v>3424</v>
      </c>
      <c r="AC2581">
        <v>67.850700000000003</v>
      </c>
      <c r="AD2581">
        <v>1</v>
      </c>
      <c r="AE2581">
        <v>1</v>
      </c>
      <c r="AF2581">
        <v>0</v>
      </c>
      <c r="AG2581">
        <v>6038.71</v>
      </c>
      <c r="AH2581">
        <v>89</v>
      </c>
      <c r="AI2581">
        <v>88</v>
      </c>
      <c r="AJ2581">
        <v>1</v>
      </c>
      <c r="AK2581">
        <v>1</v>
      </c>
      <c r="AL2581">
        <v>1</v>
      </c>
      <c r="AM2581">
        <v>98.88</v>
      </c>
      <c r="AN2581">
        <v>69.1387</v>
      </c>
      <c r="AO2581">
        <v>67.849999999999994</v>
      </c>
      <c r="AP2581" s="13">
        <v>45443</v>
      </c>
      <c r="AQ2581">
        <v>-2</v>
      </c>
      <c r="AR2581">
        <v>1</v>
      </c>
    </row>
    <row r="2582" spans="1:44" x14ac:dyDescent="0.35">
      <c r="A2582" s="12" t="s">
        <v>3425</v>
      </c>
      <c r="B2582" s="12" t="s">
        <v>990</v>
      </c>
      <c r="C2582" s="12" t="s">
        <v>991</v>
      </c>
      <c r="D2582" s="12" t="s">
        <v>122</v>
      </c>
      <c r="E2582" s="12" t="s">
        <v>142</v>
      </c>
      <c r="F2582">
        <v>1</v>
      </c>
      <c r="G2582">
        <v>6</v>
      </c>
      <c r="H2582">
        <v>1</v>
      </c>
      <c r="I2582" s="12" t="s">
        <v>217</v>
      </c>
      <c r="J2582" s="12" t="s">
        <v>218</v>
      </c>
      <c r="K2582" s="12" t="s">
        <v>68</v>
      </c>
      <c r="L2582" s="12" t="s">
        <v>82</v>
      </c>
      <c r="M2582">
        <v>14.24</v>
      </c>
      <c r="N2582" s="12" t="s">
        <v>97</v>
      </c>
      <c r="O2582" s="12" t="s">
        <v>98</v>
      </c>
      <c r="P2582" s="12" t="s">
        <v>72</v>
      </c>
      <c r="Q2582" s="13">
        <v>45414</v>
      </c>
      <c r="R2582" s="13">
        <v>45454</v>
      </c>
      <c r="S2582">
        <v>2024</v>
      </c>
      <c r="T2582" s="12" t="s">
        <v>3413</v>
      </c>
      <c r="U2582">
        <v>786</v>
      </c>
      <c r="V2582">
        <v>33.6252</v>
      </c>
      <c r="W2582">
        <v>298.10000000000002</v>
      </c>
      <c r="X2582">
        <v>0</v>
      </c>
      <c r="Y2582">
        <v>0</v>
      </c>
      <c r="Z2582">
        <v>26429.41</v>
      </c>
      <c r="AA2582">
        <v>26727.51</v>
      </c>
      <c r="AB2582" s="12" t="s">
        <v>3368</v>
      </c>
      <c r="AC2582">
        <v>33.6252</v>
      </c>
      <c r="AD2582">
        <v>1</v>
      </c>
      <c r="AE2582">
        <v>1</v>
      </c>
      <c r="AF2582">
        <v>0</v>
      </c>
      <c r="AG2582">
        <v>26429.41</v>
      </c>
      <c r="AH2582">
        <v>786</v>
      </c>
      <c r="AI2582">
        <v>780</v>
      </c>
      <c r="AJ2582">
        <v>6</v>
      </c>
      <c r="AK2582">
        <v>1</v>
      </c>
      <c r="AL2582">
        <v>1</v>
      </c>
      <c r="AM2582">
        <v>99.24</v>
      </c>
      <c r="AN2582">
        <v>34.265999999999998</v>
      </c>
      <c r="AO2582">
        <v>201.75</v>
      </c>
      <c r="AP2582" s="13">
        <v>45451</v>
      </c>
      <c r="AQ2582">
        <v>-3</v>
      </c>
      <c r="AR2582">
        <v>1</v>
      </c>
    </row>
    <row r="2583" spans="1:44" x14ac:dyDescent="0.35">
      <c r="A2583" s="12" t="s">
        <v>3426</v>
      </c>
      <c r="B2583" s="12" t="s">
        <v>773</v>
      </c>
      <c r="C2583" s="12" t="s">
        <v>774</v>
      </c>
      <c r="D2583" s="12" t="s">
        <v>64</v>
      </c>
      <c r="E2583" s="12" t="s">
        <v>142</v>
      </c>
      <c r="F2583">
        <v>1</v>
      </c>
      <c r="G2583">
        <v>7</v>
      </c>
      <c r="H2583">
        <v>1</v>
      </c>
      <c r="I2583" s="12" t="s">
        <v>251</v>
      </c>
      <c r="J2583" s="12" t="s">
        <v>252</v>
      </c>
      <c r="K2583" s="12" t="s">
        <v>133</v>
      </c>
      <c r="L2583" s="12" t="s">
        <v>69</v>
      </c>
      <c r="M2583">
        <v>34.49</v>
      </c>
      <c r="N2583" s="12" t="s">
        <v>70</v>
      </c>
      <c r="O2583" s="12" t="s">
        <v>71</v>
      </c>
      <c r="P2583" s="12" t="s">
        <v>72</v>
      </c>
      <c r="Q2583" s="13">
        <v>45414</v>
      </c>
      <c r="R2583" s="13">
        <v>45455</v>
      </c>
      <c r="S2583">
        <v>2024</v>
      </c>
      <c r="T2583" s="12" t="s">
        <v>3413</v>
      </c>
      <c r="U2583">
        <v>407</v>
      </c>
      <c r="V2583">
        <v>10.022600000000001</v>
      </c>
      <c r="W2583">
        <v>63.08</v>
      </c>
      <c r="X2583">
        <v>0</v>
      </c>
      <c r="Y2583">
        <v>0</v>
      </c>
      <c r="Z2583">
        <v>4079.2</v>
      </c>
      <c r="AA2583">
        <v>4142.28</v>
      </c>
      <c r="AB2583" s="12" t="s">
        <v>3354</v>
      </c>
      <c r="AC2583">
        <v>10.022600000000001</v>
      </c>
      <c r="AD2583">
        <v>1</v>
      </c>
      <c r="AE2583">
        <v>1</v>
      </c>
      <c r="AF2583">
        <v>0</v>
      </c>
      <c r="AG2583">
        <v>4079.2</v>
      </c>
      <c r="AH2583">
        <v>407</v>
      </c>
      <c r="AI2583">
        <v>406</v>
      </c>
      <c r="AJ2583">
        <v>1</v>
      </c>
      <c r="AK2583">
        <v>1</v>
      </c>
      <c r="AL2583">
        <v>1</v>
      </c>
      <c r="AM2583">
        <v>99.75</v>
      </c>
      <c r="AN2583">
        <v>10.2027</v>
      </c>
      <c r="AO2583">
        <v>10.02</v>
      </c>
      <c r="AP2583" s="13">
        <v>45464</v>
      </c>
      <c r="AQ2583">
        <v>9</v>
      </c>
      <c r="AR2583">
        <v>0</v>
      </c>
    </row>
    <row r="2584" spans="1:44" x14ac:dyDescent="0.35">
      <c r="A2584" s="12" t="s">
        <v>3427</v>
      </c>
      <c r="B2584" s="12" t="s">
        <v>661</v>
      </c>
      <c r="C2584" s="12" t="s">
        <v>662</v>
      </c>
      <c r="D2584" s="12" t="s">
        <v>175</v>
      </c>
      <c r="E2584" s="12" t="s">
        <v>104</v>
      </c>
      <c r="F2584">
        <v>1</v>
      </c>
      <c r="G2584">
        <v>0</v>
      </c>
      <c r="H2584">
        <v>1</v>
      </c>
      <c r="I2584" s="12" t="s">
        <v>183</v>
      </c>
      <c r="J2584" s="12" t="s">
        <v>184</v>
      </c>
      <c r="K2584" s="12" t="s">
        <v>133</v>
      </c>
      <c r="L2584" s="12" t="s">
        <v>82</v>
      </c>
      <c r="M2584">
        <v>8.6199999999999992</v>
      </c>
      <c r="N2584" s="12" t="s">
        <v>107</v>
      </c>
      <c r="O2584" s="12" t="s">
        <v>108</v>
      </c>
      <c r="P2584" s="12" t="s">
        <v>109</v>
      </c>
      <c r="Q2584" s="13">
        <v>45414</v>
      </c>
      <c r="R2584" s="13">
        <v>45435</v>
      </c>
      <c r="S2584">
        <v>2024</v>
      </c>
      <c r="T2584" s="12" t="s">
        <v>3413</v>
      </c>
      <c r="U2584">
        <v>86</v>
      </c>
      <c r="V2584">
        <v>180.0376</v>
      </c>
      <c r="W2584">
        <v>383.92</v>
      </c>
      <c r="X2584">
        <v>0</v>
      </c>
      <c r="Y2584">
        <v>0</v>
      </c>
      <c r="Z2584">
        <v>15483.23</v>
      </c>
      <c r="AA2584">
        <v>15867.15</v>
      </c>
      <c r="AB2584" s="12" t="s">
        <v>2851</v>
      </c>
      <c r="AC2584">
        <v>180.0376</v>
      </c>
      <c r="AD2584">
        <v>1</v>
      </c>
      <c r="AE2584">
        <v>1</v>
      </c>
      <c r="AF2584">
        <v>0</v>
      </c>
      <c r="AG2584">
        <v>15483.23</v>
      </c>
      <c r="AH2584">
        <v>86</v>
      </c>
      <c r="AI2584">
        <v>85</v>
      </c>
      <c r="AJ2584">
        <v>1</v>
      </c>
      <c r="AK2584">
        <v>1</v>
      </c>
      <c r="AL2584">
        <v>1</v>
      </c>
      <c r="AM2584">
        <v>98.84</v>
      </c>
      <c r="AN2584">
        <v>186.67240000000001</v>
      </c>
      <c r="AO2584">
        <v>180.04</v>
      </c>
      <c r="AP2584" s="13">
        <v>45434</v>
      </c>
      <c r="AQ2584">
        <v>-1</v>
      </c>
      <c r="AR2584">
        <v>1</v>
      </c>
    </row>
    <row r="2585" spans="1:44" x14ac:dyDescent="0.35">
      <c r="A2585" s="12" t="s">
        <v>3428</v>
      </c>
      <c r="B2585" s="12" t="s">
        <v>323</v>
      </c>
      <c r="C2585" s="12" t="s">
        <v>324</v>
      </c>
      <c r="D2585" s="12" t="s">
        <v>64</v>
      </c>
      <c r="E2585" s="12" t="s">
        <v>142</v>
      </c>
      <c r="F2585">
        <v>1</v>
      </c>
      <c r="G2585">
        <v>7</v>
      </c>
      <c r="H2585">
        <v>1</v>
      </c>
      <c r="I2585" s="12" t="s">
        <v>143</v>
      </c>
      <c r="J2585" s="12" t="s">
        <v>144</v>
      </c>
      <c r="K2585" s="12" t="s">
        <v>133</v>
      </c>
      <c r="L2585" s="12" t="s">
        <v>96</v>
      </c>
      <c r="M2585">
        <v>5.43</v>
      </c>
      <c r="N2585" s="12" t="s">
        <v>70</v>
      </c>
      <c r="O2585" s="12" t="s">
        <v>71</v>
      </c>
      <c r="P2585" s="12" t="s">
        <v>72</v>
      </c>
      <c r="Q2585" s="13">
        <v>45414</v>
      </c>
      <c r="R2585" s="13">
        <v>45462</v>
      </c>
      <c r="S2585">
        <v>2024</v>
      </c>
      <c r="T2585" s="12" t="s">
        <v>3413</v>
      </c>
      <c r="U2585">
        <v>796</v>
      </c>
      <c r="V2585">
        <v>39.364800000000002</v>
      </c>
      <c r="W2585">
        <v>208.28</v>
      </c>
      <c r="X2585">
        <v>0</v>
      </c>
      <c r="Y2585">
        <v>0</v>
      </c>
      <c r="Z2585">
        <v>31334.38</v>
      </c>
      <c r="AA2585">
        <v>31542.66</v>
      </c>
      <c r="AB2585" s="12" t="s">
        <v>2828</v>
      </c>
      <c r="AC2585">
        <v>39.364800000000002</v>
      </c>
      <c r="AD2585">
        <v>1</v>
      </c>
      <c r="AE2585">
        <v>1</v>
      </c>
      <c r="AF2585">
        <v>0</v>
      </c>
      <c r="AG2585">
        <v>31334.38</v>
      </c>
      <c r="AH2585">
        <v>796</v>
      </c>
      <c r="AI2585">
        <v>786</v>
      </c>
      <c r="AJ2585">
        <v>10</v>
      </c>
      <c r="AK2585">
        <v>1</v>
      </c>
      <c r="AL2585">
        <v>1</v>
      </c>
      <c r="AM2585">
        <v>98.74</v>
      </c>
      <c r="AN2585">
        <v>40.130600000000001</v>
      </c>
      <c r="AO2585">
        <v>393.65</v>
      </c>
      <c r="AP2585" s="13">
        <v>45462</v>
      </c>
      <c r="AQ2585">
        <v>0</v>
      </c>
      <c r="AR2585">
        <v>1</v>
      </c>
    </row>
    <row r="2586" spans="1:44" x14ac:dyDescent="0.35">
      <c r="A2586" s="12" t="s">
        <v>3429</v>
      </c>
      <c r="B2586" s="12" t="s">
        <v>327</v>
      </c>
      <c r="C2586" s="12" t="s">
        <v>328</v>
      </c>
      <c r="D2586" s="12" t="s">
        <v>130</v>
      </c>
      <c r="E2586" s="12" t="s">
        <v>104</v>
      </c>
      <c r="F2586">
        <v>2</v>
      </c>
      <c r="G2586">
        <v>0</v>
      </c>
      <c r="H2586">
        <v>0</v>
      </c>
      <c r="I2586" s="12" t="s">
        <v>94</v>
      </c>
      <c r="J2586" s="12" t="s">
        <v>95</v>
      </c>
      <c r="K2586" s="12" t="s">
        <v>81</v>
      </c>
      <c r="L2586" s="12" t="s">
        <v>96</v>
      </c>
      <c r="M2586">
        <v>4.8099999999999996</v>
      </c>
      <c r="N2586" s="12" t="s">
        <v>135</v>
      </c>
      <c r="O2586" s="12" t="s">
        <v>136</v>
      </c>
      <c r="P2586" s="12" t="s">
        <v>137</v>
      </c>
      <c r="Q2586" s="13">
        <v>45414</v>
      </c>
      <c r="R2586" s="13">
        <v>45440</v>
      </c>
      <c r="S2586">
        <v>2024</v>
      </c>
      <c r="T2586" s="12" t="s">
        <v>3413</v>
      </c>
      <c r="U2586">
        <v>120</v>
      </c>
      <c r="V2586">
        <v>697.23929999999996</v>
      </c>
      <c r="W2586">
        <v>663.91</v>
      </c>
      <c r="X2586">
        <v>2618.15</v>
      </c>
      <c r="Y2586">
        <v>1</v>
      </c>
      <c r="Z2586">
        <v>83668.72</v>
      </c>
      <c r="AA2586">
        <v>86950.78</v>
      </c>
      <c r="AB2586" s="12" t="s">
        <v>3016</v>
      </c>
      <c r="AC2586">
        <v>697.23929999999996</v>
      </c>
      <c r="AD2586">
        <v>1</v>
      </c>
      <c r="AE2586">
        <v>1</v>
      </c>
      <c r="AF2586">
        <v>0</v>
      </c>
      <c r="AG2586">
        <v>83668.72</v>
      </c>
      <c r="AK2586">
        <v>0</v>
      </c>
      <c r="AL2586">
        <v>0</v>
      </c>
      <c r="AO2586">
        <v>0</v>
      </c>
      <c r="AP2586" s="13"/>
    </row>
    <row r="2587" spans="1:44" x14ac:dyDescent="0.35">
      <c r="A2587" s="12" t="s">
        <v>3430</v>
      </c>
      <c r="B2587" s="12" t="s">
        <v>680</v>
      </c>
      <c r="C2587" s="12" t="s">
        <v>681</v>
      </c>
      <c r="D2587" s="12" t="s">
        <v>122</v>
      </c>
      <c r="E2587" s="12" t="s">
        <v>104</v>
      </c>
      <c r="F2587">
        <v>3</v>
      </c>
      <c r="G2587">
        <v>1</v>
      </c>
      <c r="H2587">
        <v>0</v>
      </c>
      <c r="I2587" s="12" t="s">
        <v>227</v>
      </c>
      <c r="J2587" s="12" t="s">
        <v>228</v>
      </c>
      <c r="K2587" s="12" t="s">
        <v>89</v>
      </c>
      <c r="L2587" s="12" t="s">
        <v>96</v>
      </c>
      <c r="M2587">
        <v>9.15</v>
      </c>
      <c r="N2587" s="12" t="s">
        <v>97</v>
      </c>
      <c r="O2587" s="12" t="s">
        <v>98</v>
      </c>
      <c r="P2587" s="12" t="s">
        <v>72</v>
      </c>
      <c r="Q2587" s="13">
        <v>45415</v>
      </c>
      <c r="R2587" s="13">
        <v>45443</v>
      </c>
      <c r="S2587">
        <v>2024</v>
      </c>
      <c r="T2587" s="12" t="s">
        <v>3413</v>
      </c>
      <c r="U2587">
        <v>1806</v>
      </c>
      <c r="V2587">
        <v>24.29</v>
      </c>
      <c r="W2587">
        <v>1118.83</v>
      </c>
      <c r="X2587">
        <v>0</v>
      </c>
      <c r="Y2587">
        <v>0</v>
      </c>
      <c r="Z2587">
        <v>43867.74</v>
      </c>
      <c r="AA2587">
        <v>44986.57</v>
      </c>
      <c r="AB2587" s="12" t="s">
        <v>201</v>
      </c>
      <c r="AD2587">
        <v>0</v>
      </c>
      <c r="AE2587">
        <v>0</v>
      </c>
      <c r="AH2587">
        <v>1806</v>
      </c>
      <c r="AI2587">
        <v>1796</v>
      </c>
      <c r="AJ2587">
        <v>10</v>
      </c>
      <c r="AK2587">
        <v>1</v>
      </c>
      <c r="AL2587">
        <v>1</v>
      </c>
      <c r="AM2587">
        <v>99.45</v>
      </c>
      <c r="AN2587">
        <v>25.048200000000001</v>
      </c>
      <c r="AO2587">
        <v>242.9</v>
      </c>
      <c r="AP2587" s="13">
        <v>45442</v>
      </c>
      <c r="AQ2587">
        <v>-1</v>
      </c>
      <c r="AR2587">
        <v>1</v>
      </c>
    </row>
    <row r="2588" spans="1:44" x14ac:dyDescent="0.35">
      <c r="A2588" s="12" t="s">
        <v>3431</v>
      </c>
      <c r="B2588" s="12" t="s">
        <v>837</v>
      </c>
      <c r="C2588" s="12" t="s">
        <v>838</v>
      </c>
      <c r="D2588" s="12" t="s">
        <v>114</v>
      </c>
      <c r="E2588" s="12" t="s">
        <v>104</v>
      </c>
      <c r="F2588">
        <v>2</v>
      </c>
      <c r="G2588">
        <v>0</v>
      </c>
      <c r="H2588">
        <v>0</v>
      </c>
      <c r="I2588" s="12" t="s">
        <v>199</v>
      </c>
      <c r="J2588" s="12" t="s">
        <v>200</v>
      </c>
      <c r="K2588" s="12" t="s">
        <v>68</v>
      </c>
      <c r="L2588" s="12" t="s">
        <v>96</v>
      </c>
      <c r="M2588">
        <v>9.4700000000000006</v>
      </c>
      <c r="N2588" s="12" t="s">
        <v>70</v>
      </c>
      <c r="O2588" s="12" t="s">
        <v>71</v>
      </c>
      <c r="P2588" s="12" t="s">
        <v>72</v>
      </c>
      <c r="Q2588" s="13">
        <v>45415</v>
      </c>
      <c r="R2588" s="13">
        <v>45427</v>
      </c>
      <c r="S2588">
        <v>2024</v>
      </c>
      <c r="T2588" s="12" t="s">
        <v>3413</v>
      </c>
      <c r="U2588">
        <v>15</v>
      </c>
      <c r="V2588">
        <v>68.916300000000007</v>
      </c>
      <c r="W2588">
        <v>21.81</v>
      </c>
      <c r="X2588">
        <v>0</v>
      </c>
      <c r="Y2588">
        <v>0</v>
      </c>
      <c r="Z2588">
        <v>1033.74</v>
      </c>
      <c r="AA2588">
        <v>1055.55</v>
      </c>
      <c r="AB2588" s="12" t="s">
        <v>3432</v>
      </c>
      <c r="AC2588">
        <v>68.916300000000007</v>
      </c>
      <c r="AD2588">
        <v>1</v>
      </c>
      <c r="AE2588">
        <v>1</v>
      </c>
      <c r="AF2588">
        <v>0</v>
      </c>
      <c r="AG2588">
        <v>1033.74</v>
      </c>
      <c r="AH2588">
        <v>15</v>
      </c>
      <c r="AI2588">
        <v>15</v>
      </c>
      <c r="AJ2588">
        <v>0</v>
      </c>
      <c r="AK2588">
        <v>1</v>
      </c>
      <c r="AL2588">
        <v>1</v>
      </c>
      <c r="AM2588">
        <v>100</v>
      </c>
      <c r="AN2588">
        <v>70.3703</v>
      </c>
      <c r="AO2588">
        <v>0</v>
      </c>
      <c r="AP2588" s="13">
        <v>45426</v>
      </c>
      <c r="AQ2588">
        <v>-1</v>
      </c>
      <c r="AR2588">
        <v>1</v>
      </c>
    </row>
    <row r="2589" spans="1:44" x14ac:dyDescent="0.35">
      <c r="A2589" s="12" t="s">
        <v>3433</v>
      </c>
      <c r="B2589" s="12" t="s">
        <v>706</v>
      </c>
      <c r="C2589" s="12" t="s">
        <v>707</v>
      </c>
      <c r="D2589" s="12" t="s">
        <v>130</v>
      </c>
      <c r="E2589" s="12" t="s">
        <v>142</v>
      </c>
      <c r="F2589">
        <v>1</v>
      </c>
      <c r="G2589">
        <v>8</v>
      </c>
      <c r="H2589">
        <v>1</v>
      </c>
      <c r="I2589" s="12" t="s">
        <v>263</v>
      </c>
      <c r="J2589" s="12" t="s">
        <v>264</v>
      </c>
      <c r="K2589" s="12" t="s">
        <v>125</v>
      </c>
      <c r="L2589" s="12" t="s">
        <v>82</v>
      </c>
      <c r="M2589">
        <v>10.210000000000001</v>
      </c>
      <c r="N2589" s="12" t="s">
        <v>159</v>
      </c>
      <c r="O2589" s="12" t="s">
        <v>160</v>
      </c>
      <c r="P2589" s="12" t="s">
        <v>137</v>
      </c>
      <c r="Q2589" s="13">
        <v>45415</v>
      </c>
      <c r="R2589" s="13">
        <v>45467</v>
      </c>
      <c r="S2589">
        <v>2024</v>
      </c>
      <c r="T2589" s="12" t="s">
        <v>3413</v>
      </c>
      <c r="U2589">
        <v>148</v>
      </c>
      <c r="V2589">
        <v>277.214</v>
      </c>
      <c r="W2589">
        <v>281.18</v>
      </c>
      <c r="X2589">
        <v>0</v>
      </c>
      <c r="Y2589">
        <v>0</v>
      </c>
      <c r="Z2589">
        <v>41027.67</v>
      </c>
      <c r="AA2589">
        <v>41308.85</v>
      </c>
      <c r="AB2589" s="12" t="s">
        <v>3434</v>
      </c>
      <c r="AC2589">
        <v>277.214</v>
      </c>
      <c r="AD2589">
        <v>1</v>
      </c>
      <c r="AE2589">
        <v>1</v>
      </c>
      <c r="AF2589">
        <v>0</v>
      </c>
      <c r="AG2589">
        <v>41027.67</v>
      </c>
      <c r="AH2589">
        <v>148</v>
      </c>
      <c r="AI2589">
        <v>147</v>
      </c>
      <c r="AJ2589">
        <v>1</v>
      </c>
      <c r="AK2589">
        <v>1</v>
      </c>
      <c r="AL2589">
        <v>1</v>
      </c>
      <c r="AM2589">
        <v>99.32</v>
      </c>
      <c r="AN2589">
        <v>281.01260000000002</v>
      </c>
      <c r="AO2589">
        <v>277.20999999999998</v>
      </c>
      <c r="AP2589" s="13">
        <v>45465</v>
      </c>
      <c r="AQ2589">
        <v>-2</v>
      </c>
      <c r="AR2589">
        <v>1</v>
      </c>
    </row>
    <row r="2590" spans="1:44" x14ac:dyDescent="0.35">
      <c r="A2590" s="12" t="s">
        <v>3435</v>
      </c>
      <c r="B2590" s="12" t="s">
        <v>963</v>
      </c>
      <c r="C2590" s="12" t="s">
        <v>964</v>
      </c>
      <c r="D2590" s="12" t="s">
        <v>114</v>
      </c>
      <c r="E2590" s="12" t="s">
        <v>142</v>
      </c>
      <c r="F2590">
        <v>1</v>
      </c>
      <c r="G2590">
        <v>6</v>
      </c>
      <c r="H2590">
        <v>1</v>
      </c>
      <c r="I2590" s="12" t="s">
        <v>176</v>
      </c>
      <c r="J2590" s="12" t="s">
        <v>177</v>
      </c>
      <c r="K2590" s="12" t="s">
        <v>125</v>
      </c>
      <c r="L2590" s="12" t="s">
        <v>134</v>
      </c>
      <c r="M2590">
        <v>1.75</v>
      </c>
      <c r="N2590" s="12" t="s">
        <v>70</v>
      </c>
      <c r="O2590" s="12" t="s">
        <v>71</v>
      </c>
      <c r="P2590" s="12" t="s">
        <v>72</v>
      </c>
      <c r="Q2590" s="13">
        <v>45415</v>
      </c>
      <c r="R2590" s="13">
        <v>45450</v>
      </c>
      <c r="S2590">
        <v>2024</v>
      </c>
      <c r="T2590" s="12" t="s">
        <v>3413</v>
      </c>
      <c r="U2590">
        <v>17</v>
      </c>
      <c r="V2590">
        <v>194.16829999999999</v>
      </c>
      <c r="W2590">
        <v>61.44</v>
      </c>
      <c r="X2590">
        <v>0</v>
      </c>
      <c r="Y2590">
        <v>0</v>
      </c>
      <c r="Z2590">
        <v>3300.86</v>
      </c>
      <c r="AA2590">
        <v>3362.3</v>
      </c>
      <c r="AB2590" s="12" t="s">
        <v>3290</v>
      </c>
      <c r="AC2590">
        <v>194.16829999999999</v>
      </c>
      <c r="AD2590">
        <v>1</v>
      </c>
      <c r="AE2590">
        <v>1</v>
      </c>
      <c r="AF2590">
        <v>0</v>
      </c>
      <c r="AG2590">
        <v>3300.86</v>
      </c>
      <c r="AH2590">
        <v>17</v>
      </c>
      <c r="AI2590">
        <v>17</v>
      </c>
      <c r="AJ2590">
        <v>0</v>
      </c>
      <c r="AK2590">
        <v>1</v>
      </c>
      <c r="AL2590">
        <v>1</v>
      </c>
      <c r="AM2590">
        <v>100</v>
      </c>
      <c r="AN2590">
        <v>197.7824</v>
      </c>
      <c r="AO2590">
        <v>0</v>
      </c>
      <c r="AP2590" s="13">
        <v>45450</v>
      </c>
      <c r="AQ2590">
        <v>0</v>
      </c>
      <c r="AR2590">
        <v>1</v>
      </c>
    </row>
    <row r="2591" spans="1:44" x14ac:dyDescent="0.35">
      <c r="A2591" s="12" t="s">
        <v>3436</v>
      </c>
      <c r="B2591" s="12" t="s">
        <v>112</v>
      </c>
      <c r="C2591" s="12" t="s">
        <v>113</v>
      </c>
      <c r="D2591" s="12" t="s">
        <v>114</v>
      </c>
      <c r="E2591" s="12" t="s">
        <v>104</v>
      </c>
      <c r="F2591">
        <v>3</v>
      </c>
      <c r="G2591">
        <v>1</v>
      </c>
      <c r="H2591">
        <v>0</v>
      </c>
      <c r="I2591" s="12" t="s">
        <v>227</v>
      </c>
      <c r="J2591" s="12" t="s">
        <v>228</v>
      </c>
      <c r="K2591" s="12" t="s">
        <v>89</v>
      </c>
      <c r="L2591" s="12" t="s">
        <v>96</v>
      </c>
      <c r="M2591">
        <v>9.15</v>
      </c>
      <c r="N2591" s="12" t="s">
        <v>97</v>
      </c>
      <c r="O2591" s="12" t="s">
        <v>98</v>
      </c>
      <c r="P2591" s="12" t="s">
        <v>72</v>
      </c>
      <c r="Q2591" s="13">
        <v>45415</v>
      </c>
      <c r="R2591" s="13">
        <v>45431</v>
      </c>
      <c r="S2591">
        <v>2024</v>
      </c>
      <c r="T2591" s="12" t="s">
        <v>3413</v>
      </c>
      <c r="U2591">
        <v>43</v>
      </c>
      <c r="V2591">
        <v>255.786</v>
      </c>
      <c r="W2591">
        <v>215.92</v>
      </c>
      <c r="X2591">
        <v>0</v>
      </c>
      <c r="Y2591">
        <v>0</v>
      </c>
      <c r="Z2591">
        <v>10998.8</v>
      </c>
      <c r="AA2591">
        <v>11214.72</v>
      </c>
      <c r="AB2591" s="12" t="s">
        <v>2839</v>
      </c>
      <c r="AC2591">
        <v>255.786</v>
      </c>
      <c r="AD2591">
        <v>1</v>
      </c>
      <c r="AE2591">
        <v>1</v>
      </c>
      <c r="AF2591">
        <v>0</v>
      </c>
      <c r="AG2591">
        <v>10998.8</v>
      </c>
      <c r="AH2591">
        <v>43</v>
      </c>
      <c r="AI2591">
        <v>43</v>
      </c>
      <c r="AJ2591">
        <v>0</v>
      </c>
      <c r="AK2591">
        <v>1</v>
      </c>
      <c r="AL2591">
        <v>1</v>
      </c>
      <c r="AM2591">
        <v>100</v>
      </c>
      <c r="AN2591">
        <v>260.80739999999997</v>
      </c>
      <c r="AO2591">
        <v>0</v>
      </c>
      <c r="AP2591" s="13">
        <v>45431</v>
      </c>
      <c r="AQ2591">
        <v>0</v>
      </c>
      <c r="AR2591">
        <v>1</v>
      </c>
    </row>
    <row r="2592" spans="1:44" x14ac:dyDescent="0.35">
      <c r="A2592" s="12" t="s">
        <v>3437</v>
      </c>
      <c r="B2592" s="12" t="s">
        <v>747</v>
      </c>
      <c r="C2592" s="12" t="s">
        <v>748</v>
      </c>
      <c r="D2592" s="12" t="s">
        <v>114</v>
      </c>
      <c r="E2592" s="12" t="s">
        <v>104</v>
      </c>
      <c r="F2592">
        <v>2</v>
      </c>
      <c r="G2592">
        <v>0</v>
      </c>
      <c r="H2592">
        <v>0</v>
      </c>
      <c r="I2592" s="12" t="s">
        <v>380</v>
      </c>
      <c r="J2592" s="12" t="s">
        <v>381</v>
      </c>
      <c r="K2592" s="12" t="s">
        <v>89</v>
      </c>
      <c r="L2592" s="12" t="s">
        <v>96</v>
      </c>
      <c r="M2592">
        <v>10.210000000000001</v>
      </c>
      <c r="N2592" s="12" t="s">
        <v>70</v>
      </c>
      <c r="O2592" s="12" t="s">
        <v>71</v>
      </c>
      <c r="P2592" s="12" t="s">
        <v>72</v>
      </c>
      <c r="Q2592" s="13">
        <v>45415</v>
      </c>
      <c r="R2592" s="13">
        <v>45429</v>
      </c>
      <c r="S2592">
        <v>2024</v>
      </c>
      <c r="T2592" s="12" t="s">
        <v>3413</v>
      </c>
      <c r="U2592">
        <v>30</v>
      </c>
      <c r="V2592">
        <v>242.0575</v>
      </c>
      <c r="W2592">
        <v>139.47999999999999</v>
      </c>
      <c r="X2592">
        <v>0</v>
      </c>
      <c r="Y2592">
        <v>0</v>
      </c>
      <c r="Z2592">
        <v>7261.73</v>
      </c>
      <c r="AA2592">
        <v>7401.21</v>
      </c>
      <c r="AB2592" s="12" t="s">
        <v>3072</v>
      </c>
      <c r="AC2592">
        <v>242.0575</v>
      </c>
      <c r="AD2592">
        <v>1</v>
      </c>
      <c r="AE2592">
        <v>1</v>
      </c>
      <c r="AF2592">
        <v>0</v>
      </c>
      <c r="AG2592">
        <v>7261.73</v>
      </c>
      <c r="AH2592">
        <v>30</v>
      </c>
      <c r="AI2592">
        <v>29</v>
      </c>
      <c r="AJ2592">
        <v>1</v>
      </c>
      <c r="AK2592">
        <v>1</v>
      </c>
      <c r="AL2592">
        <v>1</v>
      </c>
      <c r="AM2592">
        <v>96.67</v>
      </c>
      <c r="AN2592">
        <v>255.214</v>
      </c>
      <c r="AO2592">
        <v>242.06</v>
      </c>
      <c r="AP2592" s="13">
        <v>45429</v>
      </c>
      <c r="AQ2592">
        <v>0</v>
      </c>
      <c r="AR2592">
        <v>1</v>
      </c>
    </row>
    <row r="2593" spans="1:44" x14ac:dyDescent="0.35">
      <c r="A2593" s="12" t="s">
        <v>3438</v>
      </c>
      <c r="B2593" s="12" t="s">
        <v>809</v>
      </c>
      <c r="C2593" s="12" t="s">
        <v>810</v>
      </c>
      <c r="D2593" s="12" t="s">
        <v>114</v>
      </c>
      <c r="E2593" s="12" t="s">
        <v>65</v>
      </c>
      <c r="F2593">
        <v>3</v>
      </c>
      <c r="G2593">
        <v>5</v>
      </c>
      <c r="H2593">
        <v>0</v>
      </c>
      <c r="I2593" s="12" t="s">
        <v>804</v>
      </c>
      <c r="J2593" s="12" t="s">
        <v>342</v>
      </c>
      <c r="K2593" s="12" t="s">
        <v>117</v>
      </c>
      <c r="L2593" s="12" t="s">
        <v>69</v>
      </c>
      <c r="M2593">
        <v>30.07</v>
      </c>
      <c r="N2593" s="12" t="s">
        <v>97</v>
      </c>
      <c r="O2593" s="12" t="s">
        <v>98</v>
      </c>
      <c r="P2593" s="12" t="s">
        <v>72</v>
      </c>
      <c r="Q2593" s="13">
        <v>45415</v>
      </c>
      <c r="R2593" s="13">
        <v>45442</v>
      </c>
      <c r="S2593">
        <v>2024</v>
      </c>
      <c r="T2593" s="12" t="s">
        <v>3413</v>
      </c>
      <c r="U2593">
        <v>62</v>
      </c>
      <c r="V2593">
        <v>312.78919999999999</v>
      </c>
      <c r="W2593">
        <v>408.58</v>
      </c>
      <c r="X2593">
        <v>0</v>
      </c>
      <c r="Y2593">
        <v>0</v>
      </c>
      <c r="Z2593">
        <v>19392.93</v>
      </c>
      <c r="AA2593">
        <v>19801.509999999998</v>
      </c>
      <c r="AB2593" s="12" t="s">
        <v>3416</v>
      </c>
      <c r="AC2593">
        <v>312.78919999999999</v>
      </c>
      <c r="AD2593">
        <v>1</v>
      </c>
      <c r="AE2593">
        <v>1</v>
      </c>
      <c r="AF2593">
        <v>0</v>
      </c>
      <c r="AG2593">
        <v>19392.93</v>
      </c>
      <c r="AH2593">
        <v>62</v>
      </c>
      <c r="AI2593">
        <v>60</v>
      </c>
      <c r="AJ2593">
        <v>2</v>
      </c>
      <c r="AK2593">
        <v>1</v>
      </c>
      <c r="AL2593">
        <v>1</v>
      </c>
      <c r="AM2593">
        <v>96.77</v>
      </c>
      <c r="AN2593">
        <v>330.02519999999998</v>
      </c>
      <c r="AO2593">
        <v>625.58000000000004</v>
      </c>
      <c r="AP2593" s="13">
        <v>45447</v>
      </c>
      <c r="AQ2593">
        <v>5</v>
      </c>
      <c r="AR2593">
        <v>0</v>
      </c>
    </row>
    <row r="2594" spans="1:44" x14ac:dyDescent="0.35">
      <c r="A2594" s="12" t="s">
        <v>3439</v>
      </c>
      <c r="B2594" s="12" t="s">
        <v>494</v>
      </c>
      <c r="C2594" s="12" t="s">
        <v>495</v>
      </c>
      <c r="D2594" s="12" t="s">
        <v>175</v>
      </c>
      <c r="E2594" s="12" t="s">
        <v>65</v>
      </c>
      <c r="F2594">
        <v>2</v>
      </c>
      <c r="G2594">
        <v>3</v>
      </c>
      <c r="H2594">
        <v>0</v>
      </c>
      <c r="I2594" s="12" t="s">
        <v>515</v>
      </c>
      <c r="J2594" s="12" t="s">
        <v>516</v>
      </c>
      <c r="K2594" s="12" t="s">
        <v>68</v>
      </c>
      <c r="L2594" s="12" t="s">
        <v>134</v>
      </c>
      <c r="M2594">
        <v>3.69</v>
      </c>
      <c r="N2594" s="12" t="s">
        <v>107</v>
      </c>
      <c r="O2594" s="12" t="s">
        <v>108</v>
      </c>
      <c r="P2594" s="12" t="s">
        <v>109</v>
      </c>
      <c r="Q2594" s="13">
        <v>45415</v>
      </c>
      <c r="R2594" s="13">
        <v>45442</v>
      </c>
      <c r="S2594">
        <v>2024</v>
      </c>
      <c r="T2594" s="12" t="s">
        <v>3413</v>
      </c>
      <c r="U2594">
        <v>63</v>
      </c>
      <c r="V2594">
        <v>157.60329999999999</v>
      </c>
      <c r="W2594">
        <v>235.14</v>
      </c>
      <c r="X2594">
        <v>0</v>
      </c>
      <c r="Y2594">
        <v>0</v>
      </c>
      <c r="Z2594">
        <v>9929.01</v>
      </c>
      <c r="AA2594">
        <v>10164.15</v>
      </c>
      <c r="AB2594" s="12" t="s">
        <v>2807</v>
      </c>
      <c r="AC2594">
        <v>157.60329999999999</v>
      </c>
      <c r="AD2594">
        <v>1</v>
      </c>
      <c r="AE2594">
        <v>1</v>
      </c>
      <c r="AF2594">
        <v>0</v>
      </c>
      <c r="AG2594">
        <v>9929.01</v>
      </c>
      <c r="AH2594">
        <v>63</v>
      </c>
      <c r="AI2594">
        <v>63</v>
      </c>
      <c r="AJ2594">
        <v>0</v>
      </c>
      <c r="AK2594">
        <v>1</v>
      </c>
      <c r="AL2594">
        <v>1</v>
      </c>
      <c r="AM2594">
        <v>100</v>
      </c>
      <c r="AN2594">
        <v>161.3357</v>
      </c>
      <c r="AO2594">
        <v>0</v>
      </c>
      <c r="AP2594" s="13">
        <v>45440</v>
      </c>
      <c r="AQ2594">
        <v>-2</v>
      </c>
      <c r="AR2594">
        <v>1</v>
      </c>
    </row>
    <row r="2595" spans="1:44" x14ac:dyDescent="0.35">
      <c r="A2595" s="12" t="s">
        <v>3440</v>
      </c>
      <c r="B2595" s="12" t="s">
        <v>498</v>
      </c>
      <c r="C2595" s="12" t="s">
        <v>499</v>
      </c>
      <c r="D2595" s="12" t="s">
        <v>175</v>
      </c>
      <c r="E2595" s="12" t="s">
        <v>104</v>
      </c>
      <c r="F2595">
        <v>3</v>
      </c>
      <c r="G2595">
        <v>1</v>
      </c>
      <c r="H2595">
        <v>0</v>
      </c>
      <c r="I2595" s="12" t="s">
        <v>233</v>
      </c>
      <c r="J2595" s="12" t="s">
        <v>234</v>
      </c>
      <c r="K2595" s="12" t="s">
        <v>125</v>
      </c>
      <c r="L2595" s="12" t="s">
        <v>96</v>
      </c>
      <c r="M2595">
        <v>3.73</v>
      </c>
      <c r="N2595" s="12" t="s">
        <v>107</v>
      </c>
      <c r="O2595" s="12" t="s">
        <v>108</v>
      </c>
      <c r="P2595" s="12" t="s">
        <v>109</v>
      </c>
      <c r="Q2595" s="13">
        <v>45415</v>
      </c>
      <c r="R2595" s="13">
        <v>45429</v>
      </c>
      <c r="S2595">
        <v>2024</v>
      </c>
      <c r="T2595" s="12" t="s">
        <v>3413</v>
      </c>
      <c r="U2595">
        <v>29</v>
      </c>
      <c r="V2595">
        <v>268.74209999999999</v>
      </c>
      <c r="W2595">
        <v>91.54</v>
      </c>
      <c r="X2595">
        <v>0</v>
      </c>
      <c r="Y2595">
        <v>0</v>
      </c>
      <c r="Z2595">
        <v>7793.52</v>
      </c>
      <c r="AA2595">
        <v>7885.06</v>
      </c>
      <c r="AB2595" s="12" t="s">
        <v>3032</v>
      </c>
      <c r="AC2595">
        <v>268.74209999999999</v>
      </c>
      <c r="AD2595">
        <v>1</v>
      </c>
      <c r="AE2595">
        <v>1</v>
      </c>
      <c r="AF2595">
        <v>0</v>
      </c>
      <c r="AG2595">
        <v>7793.52</v>
      </c>
      <c r="AH2595">
        <v>29</v>
      </c>
      <c r="AI2595">
        <v>29</v>
      </c>
      <c r="AJ2595">
        <v>0</v>
      </c>
      <c r="AK2595">
        <v>1</v>
      </c>
      <c r="AL2595">
        <v>1</v>
      </c>
      <c r="AM2595">
        <v>100</v>
      </c>
      <c r="AN2595">
        <v>271.89870000000002</v>
      </c>
      <c r="AO2595">
        <v>0</v>
      </c>
      <c r="AP2595" s="13">
        <v>45428</v>
      </c>
      <c r="AQ2595">
        <v>-1</v>
      </c>
      <c r="AR2595">
        <v>1</v>
      </c>
    </row>
    <row r="2596" spans="1:44" x14ac:dyDescent="0.35">
      <c r="A2596" s="12" t="s">
        <v>3441</v>
      </c>
      <c r="B2596" s="12" t="s">
        <v>548</v>
      </c>
      <c r="C2596" s="12" t="s">
        <v>549</v>
      </c>
      <c r="D2596" s="12" t="s">
        <v>78</v>
      </c>
      <c r="E2596" s="12" t="s">
        <v>104</v>
      </c>
      <c r="F2596">
        <v>3</v>
      </c>
      <c r="G2596">
        <v>1</v>
      </c>
      <c r="H2596">
        <v>0</v>
      </c>
      <c r="I2596" s="12" t="s">
        <v>223</v>
      </c>
      <c r="J2596" s="12" t="s">
        <v>224</v>
      </c>
      <c r="K2596" s="12" t="s">
        <v>81</v>
      </c>
      <c r="L2596" s="12" t="s">
        <v>134</v>
      </c>
      <c r="M2596">
        <v>2.4900000000000002</v>
      </c>
      <c r="N2596" s="12" t="s">
        <v>70</v>
      </c>
      <c r="O2596" s="12" t="s">
        <v>71</v>
      </c>
      <c r="P2596" s="12" t="s">
        <v>72</v>
      </c>
      <c r="Q2596" s="13">
        <v>45418</v>
      </c>
      <c r="R2596" s="13">
        <v>45434</v>
      </c>
      <c r="S2596">
        <v>2024</v>
      </c>
      <c r="T2596" s="12" t="s">
        <v>3413</v>
      </c>
      <c r="U2596">
        <v>103</v>
      </c>
      <c r="V2596">
        <v>59.346200000000003</v>
      </c>
      <c r="W2596">
        <v>112.92</v>
      </c>
      <c r="X2596">
        <v>0</v>
      </c>
      <c r="Y2596">
        <v>0</v>
      </c>
      <c r="Z2596">
        <v>6112.66</v>
      </c>
      <c r="AA2596">
        <v>6225.58</v>
      </c>
      <c r="AB2596" s="12" t="s">
        <v>3127</v>
      </c>
      <c r="AC2596">
        <v>59.346200000000003</v>
      </c>
      <c r="AD2596">
        <v>1</v>
      </c>
      <c r="AE2596">
        <v>1</v>
      </c>
      <c r="AF2596">
        <v>0</v>
      </c>
      <c r="AG2596">
        <v>6112.66</v>
      </c>
      <c r="AH2596">
        <v>103</v>
      </c>
      <c r="AI2596">
        <v>101</v>
      </c>
      <c r="AJ2596">
        <v>2</v>
      </c>
      <c r="AK2596">
        <v>1</v>
      </c>
      <c r="AL2596">
        <v>1</v>
      </c>
      <c r="AM2596">
        <v>98.06</v>
      </c>
      <c r="AN2596">
        <v>61.639400000000002</v>
      </c>
      <c r="AO2596">
        <v>118.69</v>
      </c>
      <c r="AP2596" s="13">
        <v>45432</v>
      </c>
      <c r="AQ2596">
        <v>-2</v>
      </c>
      <c r="AR2596">
        <v>1</v>
      </c>
    </row>
    <row r="2597" spans="1:44" x14ac:dyDescent="0.35">
      <c r="A2597" s="12" t="s">
        <v>3442</v>
      </c>
      <c r="B2597" s="12" t="s">
        <v>399</v>
      </c>
      <c r="C2597" s="12" t="s">
        <v>400</v>
      </c>
      <c r="D2597" s="12" t="s">
        <v>114</v>
      </c>
      <c r="E2597" s="12" t="s">
        <v>65</v>
      </c>
      <c r="F2597">
        <v>1</v>
      </c>
      <c r="G2597">
        <v>2</v>
      </c>
      <c r="H2597">
        <v>1</v>
      </c>
      <c r="I2597" s="12" t="s">
        <v>151</v>
      </c>
      <c r="J2597" s="12" t="s">
        <v>152</v>
      </c>
      <c r="K2597" s="12" t="s">
        <v>125</v>
      </c>
      <c r="L2597" s="12" t="s">
        <v>69</v>
      </c>
      <c r="M2597">
        <v>36.479999999999997</v>
      </c>
      <c r="N2597" s="12" t="s">
        <v>70</v>
      </c>
      <c r="O2597" s="12" t="s">
        <v>71</v>
      </c>
      <c r="P2597" s="12" t="s">
        <v>72</v>
      </c>
      <c r="Q2597" s="13">
        <v>45418</v>
      </c>
      <c r="R2597" s="13">
        <v>45441</v>
      </c>
      <c r="S2597">
        <v>2024</v>
      </c>
      <c r="T2597" s="12" t="s">
        <v>3413</v>
      </c>
      <c r="U2597">
        <v>30</v>
      </c>
      <c r="V2597">
        <v>292.26440000000002</v>
      </c>
      <c r="W2597">
        <v>94.78</v>
      </c>
      <c r="X2597">
        <v>0</v>
      </c>
      <c r="Y2597">
        <v>0</v>
      </c>
      <c r="Z2597">
        <v>8767.93</v>
      </c>
      <c r="AA2597">
        <v>8862.7099999999991</v>
      </c>
      <c r="AB2597" s="12" t="s">
        <v>3009</v>
      </c>
      <c r="AC2597">
        <v>292.26440000000002</v>
      </c>
      <c r="AD2597">
        <v>1</v>
      </c>
      <c r="AE2597">
        <v>1</v>
      </c>
      <c r="AF2597">
        <v>0</v>
      </c>
      <c r="AG2597">
        <v>8767.93</v>
      </c>
      <c r="AH2597">
        <v>30</v>
      </c>
      <c r="AI2597">
        <v>29</v>
      </c>
      <c r="AJ2597">
        <v>1</v>
      </c>
      <c r="AK2597">
        <v>1</v>
      </c>
      <c r="AL2597">
        <v>1</v>
      </c>
      <c r="AM2597">
        <v>96.67</v>
      </c>
      <c r="AN2597">
        <v>305.61079999999998</v>
      </c>
      <c r="AO2597">
        <v>292.26</v>
      </c>
      <c r="AP2597" s="13">
        <v>45439</v>
      </c>
      <c r="AQ2597">
        <v>-2</v>
      </c>
      <c r="AR2597">
        <v>1</v>
      </c>
    </row>
    <row r="2598" spans="1:44" x14ac:dyDescent="0.35">
      <c r="A2598" s="12" t="s">
        <v>3443</v>
      </c>
      <c r="B2598" s="12" t="s">
        <v>241</v>
      </c>
      <c r="C2598" s="12" t="s">
        <v>242</v>
      </c>
      <c r="D2598" s="12" t="s">
        <v>103</v>
      </c>
      <c r="E2598" s="12" t="s">
        <v>142</v>
      </c>
      <c r="F2598">
        <v>3</v>
      </c>
      <c r="G2598">
        <v>11</v>
      </c>
      <c r="H2598">
        <v>0</v>
      </c>
      <c r="I2598" s="12" t="s">
        <v>157</v>
      </c>
      <c r="J2598" s="12" t="s">
        <v>158</v>
      </c>
      <c r="K2598" s="12" t="s">
        <v>117</v>
      </c>
      <c r="L2598" s="12" t="s">
        <v>96</v>
      </c>
      <c r="M2598">
        <v>4.72</v>
      </c>
      <c r="N2598" s="12" t="s">
        <v>145</v>
      </c>
      <c r="O2598" s="12" t="s">
        <v>146</v>
      </c>
      <c r="P2598" s="12" t="s">
        <v>109</v>
      </c>
      <c r="Q2598" s="13">
        <v>45418</v>
      </c>
      <c r="R2598" s="13">
        <v>45465</v>
      </c>
      <c r="S2598">
        <v>2024</v>
      </c>
      <c r="T2598" s="12" t="s">
        <v>3413</v>
      </c>
      <c r="U2598">
        <v>107</v>
      </c>
      <c r="V2598">
        <v>163.56630000000001</v>
      </c>
      <c r="W2598">
        <v>130.24</v>
      </c>
      <c r="X2598">
        <v>0</v>
      </c>
      <c r="Y2598">
        <v>0</v>
      </c>
      <c r="Z2598">
        <v>17501.59</v>
      </c>
      <c r="AA2598">
        <v>17631.830000000002</v>
      </c>
      <c r="AB2598" s="12" t="s">
        <v>3444</v>
      </c>
      <c r="AC2598">
        <v>163.56630000000001</v>
      </c>
      <c r="AD2598">
        <v>1</v>
      </c>
      <c r="AE2598">
        <v>1</v>
      </c>
      <c r="AF2598">
        <v>0</v>
      </c>
      <c r="AG2598">
        <v>17501.59</v>
      </c>
      <c r="AH2598">
        <v>107</v>
      </c>
      <c r="AI2598">
        <v>106</v>
      </c>
      <c r="AJ2598">
        <v>1</v>
      </c>
      <c r="AK2598">
        <v>1</v>
      </c>
      <c r="AL2598">
        <v>1</v>
      </c>
      <c r="AM2598">
        <v>99.07</v>
      </c>
      <c r="AN2598">
        <v>166.3381</v>
      </c>
      <c r="AO2598">
        <v>163.57</v>
      </c>
      <c r="AP2598" s="13">
        <v>45462</v>
      </c>
      <c r="AQ2598">
        <v>-3</v>
      </c>
      <c r="AR2598">
        <v>1</v>
      </c>
    </row>
    <row r="2599" spans="1:44" x14ac:dyDescent="0.35">
      <c r="A2599" s="12" t="s">
        <v>3445</v>
      </c>
      <c r="B2599" s="12" t="s">
        <v>442</v>
      </c>
      <c r="C2599" s="12" t="s">
        <v>443</v>
      </c>
      <c r="D2599" s="12" t="s">
        <v>130</v>
      </c>
      <c r="E2599" s="12" t="s">
        <v>65</v>
      </c>
      <c r="F2599">
        <v>3</v>
      </c>
      <c r="G2599">
        <v>4</v>
      </c>
      <c r="H2599">
        <v>0</v>
      </c>
      <c r="I2599" s="12" t="s">
        <v>251</v>
      </c>
      <c r="J2599" s="12" t="s">
        <v>252</v>
      </c>
      <c r="K2599" s="12" t="s">
        <v>133</v>
      </c>
      <c r="L2599" s="12" t="s">
        <v>69</v>
      </c>
      <c r="M2599">
        <v>34.49</v>
      </c>
      <c r="N2599" s="12" t="s">
        <v>159</v>
      </c>
      <c r="O2599" s="12" t="s">
        <v>160</v>
      </c>
      <c r="P2599" s="12" t="s">
        <v>137</v>
      </c>
      <c r="Q2599" s="13">
        <v>45418</v>
      </c>
      <c r="R2599" s="13">
        <v>45440</v>
      </c>
      <c r="S2599">
        <v>2024</v>
      </c>
      <c r="T2599" s="12" t="s">
        <v>3413</v>
      </c>
      <c r="U2599">
        <v>22</v>
      </c>
      <c r="V2599">
        <v>560.57730000000004</v>
      </c>
      <c r="W2599">
        <v>111.08</v>
      </c>
      <c r="X2599">
        <v>0</v>
      </c>
      <c r="Y2599">
        <v>0</v>
      </c>
      <c r="Z2599">
        <v>12332.7</v>
      </c>
      <c r="AA2599">
        <v>12443.78</v>
      </c>
      <c r="AB2599" s="12" t="s">
        <v>3116</v>
      </c>
      <c r="AC2599">
        <v>560.57730000000004</v>
      </c>
      <c r="AD2599">
        <v>1</v>
      </c>
      <c r="AE2599">
        <v>1</v>
      </c>
      <c r="AF2599">
        <v>0</v>
      </c>
      <c r="AG2599">
        <v>12332.7</v>
      </c>
      <c r="AH2599">
        <v>22</v>
      </c>
      <c r="AI2599">
        <v>22</v>
      </c>
      <c r="AJ2599">
        <v>0</v>
      </c>
      <c r="AK2599">
        <v>1</v>
      </c>
      <c r="AL2599">
        <v>1</v>
      </c>
      <c r="AM2599">
        <v>100</v>
      </c>
      <c r="AN2599">
        <v>565.62639999999999</v>
      </c>
      <c r="AO2599">
        <v>0</v>
      </c>
      <c r="AP2599" s="13">
        <v>45438</v>
      </c>
      <c r="AQ2599">
        <v>-2</v>
      </c>
      <c r="AR2599">
        <v>1</v>
      </c>
    </row>
    <row r="2600" spans="1:44" x14ac:dyDescent="0.35">
      <c r="A2600" s="12" t="s">
        <v>3446</v>
      </c>
      <c r="B2600" s="12" t="s">
        <v>1026</v>
      </c>
      <c r="C2600" s="12" t="s">
        <v>1027</v>
      </c>
      <c r="D2600" s="12" t="s">
        <v>122</v>
      </c>
      <c r="E2600" s="12" t="s">
        <v>104</v>
      </c>
      <c r="F2600">
        <v>3</v>
      </c>
      <c r="G2600">
        <v>1</v>
      </c>
      <c r="H2600">
        <v>0</v>
      </c>
      <c r="I2600" s="12" t="s">
        <v>183</v>
      </c>
      <c r="J2600" s="12" t="s">
        <v>184</v>
      </c>
      <c r="K2600" s="12" t="s">
        <v>133</v>
      </c>
      <c r="L2600" s="12" t="s">
        <v>82</v>
      </c>
      <c r="M2600">
        <v>8.6199999999999992</v>
      </c>
      <c r="N2600" s="12" t="s">
        <v>97</v>
      </c>
      <c r="O2600" s="12" t="s">
        <v>98</v>
      </c>
      <c r="P2600" s="12" t="s">
        <v>72</v>
      </c>
      <c r="Q2600" s="13">
        <v>45418</v>
      </c>
      <c r="R2600" s="13">
        <v>45430</v>
      </c>
      <c r="S2600">
        <v>2024</v>
      </c>
      <c r="T2600" s="12" t="s">
        <v>3413</v>
      </c>
      <c r="U2600">
        <v>201</v>
      </c>
      <c r="V2600">
        <v>401.07799999999997</v>
      </c>
      <c r="W2600">
        <v>152.22999999999999</v>
      </c>
      <c r="X2600">
        <v>0</v>
      </c>
      <c r="Y2600">
        <v>0</v>
      </c>
      <c r="Z2600">
        <v>80616.679999999993</v>
      </c>
      <c r="AA2600">
        <v>80768.91</v>
      </c>
      <c r="AB2600" s="12" t="s">
        <v>3447</v>
      </c>
      <c r="AC2600">
        <v>41.511600000000001</v>
      </c>
      <c r="AD2600">
        <v>2</v>
      </c>
      <c r="AE2600">
        <v>1</v>
      </c>
      <c r="AF2600">
        <v>72272.850000000006</v>
      </c>
      <c r="AG2600">
        <v>8343.83</v>
      </c>
      <c r="AH2600">
        <v>201</v>
      </c>
      <c r="AI2600">
        <v>200</v>
      </c>
      <c r="AJ2600">
        <v>1</v>
      </c>
      <c r="AK2600">
        <v>1</v>
      </c>
      <c r="AL2600">
        <v>1</v>
      </c>
      <c r="AM2600">
        <v>99.5</v>
      </c>
      <c r="AN2600">
        <v>403.84449999999998</v>
      </c>
      <c r="AO2600">
        <v>401.08</v>
      </c>
      <c r="AP2600" s="13">
        <v>45428</v>
      </c>
      <c r="AQ2600">
        <v>-2</v>
      </c>
      <c r="AR2600">
        <v>1</v>
      </c>
    </row>
    <row r="2601" spans="1:44" x14ac:dyDescent="0.35">
      <c r="A2601" s="12" t="s">
        <v>3448</v>
      </c>
      <c r="B2601" s="12" t="s">
        <v>458</v>
      </c>
      <c r="C2601" s="12" t="s">
        <v>459</v>
      </c>
      <c r="D2601" s="12" t="s">
        <v>64</v>
      </c>
      <c r="E2601" s="12" t="s">
        <v>104</v>
      </c>
      <c r="F2601">
        <v>2</v>
      </c>
      <c r="G2601">
        <v>0</v>
      </c>
      <c r="H2601">
        <v>0</v>
      </c>
      <c r="I2601" s="12" t="s">
        <v>199</v>
      </c>
      <c r="J2601" s="12" t="s">
        <v>200</v>
      </c>
      <c r="K2601" s="12" t="s">
        <v>68</v>
      </c>
      <c r="L2601" s="12" t="s">
        <v>96</v>
      </c>
      <c r="M2601">
        <v>9.4700000000000006</v>
      </c>
      <c r="N2601" s="12" t="s">
        <v>70</v>
      </c>
      <c r="O2601" s="12" t="s">
        <v>71</v>
      </c>
      <c r="P2601" s="12" t="s">
        <v>72</v>
      </c>
      <c r="Q2601" s="13">
        <v>45418</v>
      </c>
      <c r="R2601" s="13">
        <v>45441</v>
      </c>
      <c r="S2601">
        <v>2024</v>
      </c>
      <c r="T2601" s="12" t="s">
        <v>3413</v>
      </c>
      <c r="U2601">
        <v>662</v>
      </c>
      <c r="V2601">
        <v>23.0014</v>
      </c>
      <c r="W2601">
        <v>392.36</v>
      </c>
      <c r="X2601">
        <v>0</v>
      </c>
      <c r="Y2601">
        <v>0</v>
      </c>
      <c r="Z2601">
        <v>15226.93</v>
      </c>
      <c r="AA2601">
        <v>15619.29</v>
      </c>
      <c r="AB2601" s="12" t="s">
        <v>3341</v>
      </c>
      <c r="AC2601">
        <v>23.0014</v>
      </c>
      <c r="AD2601">
        <v>1</v>
      </c>
      <c r="AE2601">
        <v>1</v>
      </c>
      <c r="AF2601">
        <v>0</v>
      </c>
      <c r="AG2601">
        <v>15226.93</v>
      </c>
      <c r="AH2601">
        <v>662</v>
      </c>
      <c r="AI2601">
        <v>652</v>
      </c>
      <c r="AJ2601">
        <v>10</v>
      </c>
      <c r="AK2601">
        <v>1</v>
      </c>
      <c r="AL2601">
        <v>1</v>
      </c>
      <c r="AM2601">
        <v>98.49</v>
      </c>
      <c r="AN2601">
        <v>23.956</v>
      </c>
      <c r="AO2601">
        <v>230.01</v>
      </c>
      <c r="AP2601" s="13">
        <v>45441</v>
      </c>
      <c r="AQ2601">
        <v>0</v>
      </c>
      <c r="AR2601">
        <v>1</v>
      </c>
    </row>
    <row r="2602" spans="1:44" x14ac:dyDescent="0.35">
      <c r="A2602" s="12" t="s">
        <v>3449</v>
      </c>
      <c r="B2602" s="12" t="s">
        <v>215</v>
      </c>
      <c r="C2602" s="12" t="s">
        <v>216</v>
      </c>
      <c r="D2602" s="12" t="s">
        <v>122</v>
      </c>
      <c r="E2602" s="12" t="s">
        <v>142</v>
      </c>
      <c r="F2602">
        <v>3</v>
      </c>
      <c r="G2602">
        <v>11</v>
      </c>
      <c r="H2602">
        <v>0</v>
      </c>
      <c r="I2602" s="12" t="s">
        <v>217</v>
      </c>
      <c r="J2602" s="12" t="s">
        <v>218</v>
      </c>
      <c r="K2602" s="12" t="s">
        <v>68</v>
      </c>
      <c r="L2602" s="12" t="s">
        <v>82</v>
      </c>
      <c r="M2602">
        <v>14.24</v>
      </c>
      <c r="N2602" s="12" t="s">
        <v>70</v>
      </c>
      <c r="O2602" s="12" t="s">
        <v>71</v>
      </c>
      <c r="P2602" s="12" t="s">
        <v>72</v>
      </c>
      <c r="Q2602" s="13">
        <v>45418</v>
      </c>
      <c r="R2602" s="13">
        <v>45462</v>
      </c>
      <c r="S2602">
        <v>2024</v>
      </c>
      <c r="T2602" s="12" t="s">
        <v>3413</v>
      </c>
      <c r="U2602">
        <v>1143</v>
      </c>
      <c r="V2602">
        <v>14.797000000000001</v>
      </c>
      <c r="W2602">
        <v>257.77999999999997</v>
      </c>
      <c r="X2602">
        <v>0</v>
      </c>
      <c r="Y2602">
        <v>0</v>
      </c>
      <c r="Z2602">
        <v>16912.97</v>
      </c>
      <c r="AA2602">
        <v>17170.75</v>
      </c>
      <c r="AB2602" s="12" t="s">
        <v>2696</v>
      </c>
      <c r="AC2602">
        <v>14.797000000000001</v>
      </c>
      <c r="AD2602">
        <v>1</v>
      </c>
      <c r="AE2602">
        <v>1</v>
      </c>
      <c r="AF2602">
        <v>0</v>
      </c>
      <c r="AG2602">
        <v>16912.97</v>
      </c>
      <c r="AH2602">
        <v>1143</v>
      </c>
      <c r="AI2602">
        <v>1135</v>
      </c>
      <c r="AJ2602">
        <v>8</v>
      </c>
      <c r="AK2602">
        <v>1</v>
      </c>
      <c r="AL2602">
        <v>1</v>
      </c>
      <c r="AM2602">
        <v>99.3</v>
      </c>
      <c r="AN2602">
        <v>15.128399999999999</v>
      </c>
      <c r="AO2602">
        <v>118.38</v>
      </c>
      <c r="AP2602" s="13">
        <v>45469</v>
      </c>
      <c r="AQ2602">
        <v>7</v>
      </c>
      <c r="AR2602">
        <v>0</v>
      </c>
    </row>
    <row r="2603" spans="1:44" x14ac:dyDescent="0.35">
      <c r="A2603" s="12" t="s">
        <v>3450</v>
      </c>
      <c r="B2603" s="12" t="s">
        <v>482</v>
      </c>
      <c r="C2603" s="12" t="s">
        <v>483</v>
      </c>
      <c r="D2603" s="12" t="s">
        <v>78</v>
      </c>
      <c r="E2603" s="12" t="s">
        <v>142</v>
      </c>
      <c r="F2603">
        <v>2</v>
      </c>
      <c r="G2603">
        <v>9</v>
      </c>
      <c r="H2603">
        <v>0</v>
      </c>
      <c r="I2603" s="12" t="s">
        <v>87</v>
      </c>
      <c r="J2603" s="12" t="s">
        <v>88</v>
      </c>
      <c r="K2603" s="12" t="s">
        <v>89</v>
      </c>
      <c r="L2603" s="12" t="s">
        <v>69</v>
      </c>
      <c r="M2603">
        <v>14.93</v>
      </c>
      <c r="N2603" s="12" t="s">
        <v>70</v>
      </c>
      <c r="O2603" s="12" t="s">
        <v>71</v>
      </c>
      <c r="P2603" s="12" t="s">
        <v>72</v>
      </c>
      <c r="Q2603" s="13">
        <v>45418</v>
      </c>
      <c r="R2603" s="13">
        <v>45453</v>
      </c>
      <c r="S2603">
        <v>2024</v>
      </c>
      <c r="T2603" s="12" t="s">
        <v>3413</v>
      </c>
      <c r="U2603">
        <v>44</v>
      </c>
      <c r="V2603">
        <v>47.101599999999998</v>
      </c>
      <c r="W2603">
        <v>21.7</v>
      </c>
      <c r="X2603">
        <v>0</v>
      </c>
      <c r="Y2603">
        <v>0</v>
      </c>
      <c r="Z2603">
        <v>2072.4699999999998</v>
      </c>
      <c r="AA2603">
        <v>2094.17</v>
      </c>
      <c r="AB2603" s="12" t="s">
        <v>3145</v>
      </c>
      <c r="AC2603">
        <v>47.101599999999998</v>
      </c>
      <c r="AD2603">
        <v>1</v>
      </c>
      <c r="AE2603">
        <v>1</v>
      </c>
      <c r="AF2603">
        <v>0</v>
      </c>
      <c r="AG2603">
        <v>2072.4699999999998</v>
      </c>
      <c r="AH2603">
        <v>44</v>
      </c>
      <c r="AI2603">
        <v>43</v>
      </c>
      <c r="AJ2603">
        <v>1</v>
      </c>
      <c r="AK2603">
        <v>1</v>
      </c>
      <c r="AL2603">
        <v>1</v>
      </c>
      <c r="AM2603">
        <v>97.73</v>
      </c>
      <c r="AN2603">
        <v>48.701599999999999</v>
      </c>
      <c r="AO2603">
        <v>47.1</v>
      </c>
      <c r="AP2603" s="13">
        <v>45450</v>
      </c>
      <c r="AQ2603">
        <v>-3</v>
      </c>
      <c r="AR2603">
        <v>1</v>
      </c>
    </row>
    <row r="2604" spans="1:44" x14ac:dyDescent="0.35">
      <c r="A2604" s="12" t="s">
        <v>3451</v>
      </c>
      <c r="B2604" s="12" t="s">
        <v>85</v>
      </c>
      <c r="C2604" s="12" t="s">
        <v>86</v>
      </c>
      <c r="D2604" s="12" t="s">
        <v>78</v>
      </c>
      <c r="E2604" s="12" t="s">
        <v>65</v>
      </c>
      <c r="F2604">
        <v>3</v>
      </c>
      <c r="G2604">
        <v>5</v>
      </c>
      <c r="H2604">
        <v>0</v>
      </c>
      <c r="I2604" s="12" t="s">
        <v>87</v>
      </c>
      <c r="J2604" s="12" t="s">
        <v>88</v>
      </c>
      <c r="K2604" s="12" t="s">
        <v>89</v>
      </c>
      <c r="L2604" s="12" t="s">
        <v>69</v>
      </c>
      <c r="M2604">
        <v>14.93</v>
      </c>
      <c r="N2604" s="12" t="s">
        <v>97</v>
      </c>
      <c r="O2604" s="12" t="s">
        <v>98</v>
      </c>
      <c r="P2604" s="12" t="s">
        <v>72</v>
      </c>
      <c r="Q2604" s="13">
        <v>45418</v>
      </c>
      <c r="R2604" s="13">
        <v>45446</v>
      </c>
      <c r="S2604">
        <v>2024</v>
      </c>
      <c r="T2604" s="12" t="s">
        <v>3413</v>
      </c>
      <c r="U2604">
        <v>146</v>
      </c>
      <c r="V2604">
        <v>139.59649999999999</v>
      </c>
      <c r="W2604">
        <v>422.64</v>
      </c>
      <c r="X2604">
        <v>0</v>
      </c>
      <c r="Y2604">
        <v>0</v>
      </c>
      <c r="Z2604">
        <v>20381.09</v>
      </c>
      <c r="AA2604">
        <v>20803.73</v>
      </c>
      <c r="AB2604" s="12" t="s">
        <v>2621</v>
      </c>
      <c r="AC2604">
        <v>139.59649999999999</v>
      </c>
      <c r="AD2604">
        <v>1</v>
      </c>
      <c r="AE2604">
        <v>1</v>
      </c>
      <c r="AF2604">
        <v>0</v>
      </c>
      <c r="AG2604">
        <v>20381.09</v>
      </c>
      <c r="AH2604">
        <v>146</v>
      </c>
      <c r="AI2604">
        <v>143</v>
      </c>
      <c r="AJ2604">
        <v>3</v>
      </c>
      <c r="AK2604">
        <v>1</v>
      </c>
      <c r="AL2604">
        <v>1</v>
      </c>
      <c r="AM2604">
        <v>97.95</v>
      </c>
      <c r="AN2604">
        <v>145.48060000000001</v>
      </c>
      <c r="AO2604">
        <v>418.79</v>
      </c>
      <c r="AP2604" s="13">
        <v>45444</v>
      </c>
      <c r="AQ2604">
        <v>-2</v>
      </c>
      <c r="AR2604">
        <v>1</v>
      </c>
    </row>
    <row r="2605" spans="1:44" x14ac:dyDescent="0.35">
      <c r="A2605" s="12" t="s">
        <v>3452</v>
      </c>
      <c r="B2605" s="12" t="s">
        <v>561</v>
      </c>
      <c r="C2605" s="12" t="s">
        <v>562</v>
      </c>
      <c r="D2605" s="12" t="s">
        <v>130</v>
      </c>
      <c r="E2605" s="12" t="s">
        <v>142</v>
      </c>
      <c r="F2605">
        <v>1</v>
      </c>
      <c r="G2605">
        <v>9</v>
      </c>
      <c r="H2605">
        <v>1</v>
      </c>
      <c r="I2605" s="12" t="s">
        <v>223</v>
      </c>
      <c r="J2605" s="12" t="s">
        <v>224</v>
      </c>
      <c r="K2605" s="12" t="s">
        <v>81</v>
      </c>
      <c r="L2605" s="12" t="s">
        <v>134</v>
      </c>
      <c r="M2605">
        <v>2.4900000000000002</v>
      </c>
      <c r="N2605" s="12" t="s">
        <v>159</v>
      </c>
      <c r="O2605" s="12" t="s">
        <v>160</v>
      </c>
      <c r="P2605" s="12" t="s">
        <v>137</v>
      </c>
      <c r="Q2605" s="13">
        <v>45418</v>
      </c>
      <c r="R2605" s="13">
        <v>45453</v>
      </c>
      <c r="S2605">
        <v>2024</v>
      </c>
      <c r="T2605" s="12" t="s">
        <v>3413</v>
      </c>
      <c r="U2605">
        <v>11</v>
      </c>
      <c r="V2605">
        <v>585.33770000000004</v>
      </c>
      <c r="W2605">
        <v>92.71</v>
      </c>
      <c r="X2605">
        <v>0</v>
      </c>
      <c r="Y2605">
        <v>0</v>
      </c>
      <c r="Z2605">
        <v>6438.71</v>
      </c>
      <c r="AA2605">
        <v>6531.42</v>
      </c>
      <c r="AB2605" s="12" t="s">
        <v>201</v>
      </c>
      <c r="AD2605">
        <v>0</v>
      </c>
      <c r="AE2605">
        <v>0</v>
      </c>
      <c r="AH2605">
        <v>11</v>
      </c>
      <c r="AI2605">
        <v>11</v>
      </c>
      <c r="AJ2605">
        <v>0</v>
      </c>
      <c r="AK2605">
        <v>1</v>
      </c>
      <c r="AL2605">
        <v>1</v>
      </c>
      <c r="AM2605">
        <v>100</v>
      </c>
      <c r="AN2605">
        <v>593.76589999999999</v>
      </c>
      <c r="AO2605">
        <v>0</v>
      </c>
      <c r="AP2605" s="13">
        <v>45453</v>
      </c>
      <c r="AQ2605">
        <v>0</v>
      </c>
      <c r="AR2605">
        <v>1</v>
      </c>
    </row>
    <row r="2606" spans="1:44" x14ac:dyDescent="0.35">
      <c r="A2606" s="12" t="s">
        <v>3453</v>
      </c>
      <c r="B2606" s="12" t="s">
        <v>433</v>
      </c>
      <c r="C2606" s="12" t="s">
        <v>434</v>
      </c>
      <c r="D2606" s="12" t="s">
        <v>78</v>
      </c>
      <c r="E2606" s="12" t="s">
        <v>65</v>
      </c>
      <c r="F2606">
        <v>2</v>
      </c>
      <c r="G2606">
        <v>4</v>
      </c>
      <c r="H2606">
        <v>0</v>
      </c>
      <c r="I2606" s="12" t="s">
        <v>243</v>
      </c>
      <c r="J2606" s="12" t="s">
        <v>244</v>
      </c>
      <c r="K2606" s="12" t="s">
        <v>81</v>
      </c>
      <c r="L2606" s="12" t="s">
        <v>82</v>
      </c>
      <c r="M2606">
        <v>9.2200000000000006</v>
      </c>
      <c r="N2606" s="12" t="s">
        <v>97</v>
      </c>
      <c r="O2606" s="12" t="s">
        <v>98</v>
      </c>
      <c r="P2606" s="12" t="s">
        <v>72</v>
      </c>
      <c r="Q2606" s="13">
        <v>45418</v>
      </c>
      <c r="R2606" s="13">
        <v>45456</v>
      </c>
      <c r="S2606">
        <v>2024</v>
      </c>
      <c r="T2606" s="12" t="s">
        <v>3413</v>
      </c>
      <c r="U2606">
        <v>299</v>
      </c>
      <c r="V2606">
        <v>68.001300000000001</v>
      </c>
      <c r="W2606">
        <v>492.1</v>
      </c>
      <c r="X2606">
        <v>0</v>
      </c>
      <c r="Y2606">
        <v>0</v>
      </c>
      <c r="Z2606">
        <v>20332.39</v>
      </c>
      <c r="AA2606">
        <v>20824.490000000002</v>
      </c>
      <c r="AB2606" s="12" t="s">
        <v>3109</v>
      </c>
      <c r="AC2606">
        <v>72.334800000000001</v>
      </c>
      <c r="AD2606">
        <v>1</v>
      </c>
      <c r="AE2606">
        <v>1</v>
      </c>
      <c r="AF2606">
        <v>-1295.72</v>
      </c>
      <c r="AG2606">
        <v>21628.11</v>
      </c>
      <c r="AH2606">
        <v>299</v>
      </c>
      <c r="AI2606">
        <v>296</v>
      </c>
      <c r="AJ2606">
        <v>3</v>
      </c>
      <c r="AK2606">
        <v>1</v>
      </c>
      <c r="AL2606">
        <v>1</v>
      </c>
      <c r="AM2606">
        <v>99</v>
      </c>
      <c r="AN2606">
        <v>70.352999999999994</v>
      </c>
      <c r="AO2606">
        <v>204</v>
      </c>
      <c r="AP2606" s="13">
        <v>45453</v>
      </c>
      <c r="AQ2606">
        <v>-3</v>
      </c>
      <c r="AR2606">
        <v>1</v>
      </c>
    </row>
    <row r="2607" spans="1:44" x14ac:dyDescent="0.35">
      <c r="A2607" s="12" t="s">
        <v>3454</v>
      </c>
      <c r="B2607" s="12" t="s">
        <v>674</v>
      </c>
      <c r="C2607" s="12" t="s">
        <v>675</v>
      </c>
      <c r="D2607" s="12" t="s">
        <v>269</v>
      </c>
      <c r="E2607" s="12" t="s">
        <v>142</v>
      </c>
      <c r="F2607">
        <v>1</v>
      </c>
      <c r="G2607">
        <v>7</v>
      </c>
      <c r="H2607">
        <v>1</v>
      </c>
      <c r="I2607" s="12" t="s">
        <v>676</v>
      </c>
      <c r="J2607" s="12" t="s">
        <v>677</v>
      </c>
      <c r="K2607" s="12" t="s">
        <v>68</v>
      </c>
      <c r="L2607" s="12" t="s">
        <v>96</v>
      </c>
      <c r="M2607">
        <v>3.57</v>
      </c>
      <c r="N2607" s="12" t="s">
        <v>135</v>
      </c>
      <c r="O2607" s="12" t="s">
        <v>136</v>
      </c>
      <c r="P2607" s="12" t="s">
        <v>137</v>
      </c>
      <c r="Q2607" s="13">
        <v>45419</v>
      </c>
      <c r="R2607" s="13">
        <v>45464</v>
      </c>
      <c r="S2607">
        <v>2024</v>
      </c>
      <c r="T2607" s="12" t="s">
        <v>3413</v>
      </c>
      <c r="U2607">
        <v>91</v>
      </c>
      <c r="V2607">
        <v>377.29660000000001</v>
      </c>
      <c r="W2607">
        <v>656.4</v>
      </c>
      <c r="X2607">
        <v>0</v>
      </c>
      <c r="Y2607">
        <v>0</v>
      </c>
      <c r="Z2607">
        <v>34333.99</v>
      </c>
      <c r="AA2607">
        <v>34990.39</v>
      </c>
      <c r="AB2607" s="12" t="s">
        <v>201</v>
      </c>
      <c r="AD2607">
        <v>0</v>
      </c>
      <c r="AE2607">
        <v>0</v>
      </c>
      <c r="AH2607">
        <v>91</v>
      </c>
      <c r="AI2607">
        <v>90</v>
      </c>
      <c r="AJ2607">
        <v>1</v>
      </c>
      <c r="AK2607">
        <v>1</v>
      </c>
      <c r="AL2607">
        <v>1</v>
      </c>
      <c r="AM2607">
        <v>98.9</v>
      </c>
      <c r="AN2607">
        <v>388.78210000000001</v>
      </c>
      <c r="AO2607">
        <v>377.3</v>
      </c>
      <c r="AP2607" s="13">
        <v>45462</v>
      </c>
      <c r="AQ2607">
        <v>-2</v>
      </c>
      <c r="AR2607">
        <v>1</v>
      </c>
    </row>
    <row r="2608" spans="1:44" x14ac:dyDescent="0.35">
      <c r="A2608" s="12" t="s">
        <v>3455</v>
      </c>
      <c r="B2608" s="12" t="s">
        <v>837</v>
      </c>
      <c r="C2608" s="12" t="s">
        <v>838</v>
      </c>
      <c r="D2608" s="12" t="s">
        <v>114</v>
      </c>
      <c r="E2608" s="12" t="s">
        <v>104</v>
      </c>
      <c r="F2608">
        <v>2</v>
      </c>
      <c r="G2608">
        <v>0</v>
      </c>
      <c r="H2608">
        <v>0</v>
      </c>
      <c r="I2608" s="12" t="s">
        <v>199</v>
      </c>
      <c r="J2608" s="12" t="s">
        <v>200</v>
      </c>
      <c r="K2608" s="12" t="s">
        <v>68</v>
      </c>
      <c r="L2608" s="12" t="s">
        <v>96</v>
      </c>
      <c r="M2608">
        <v>9.4700000000000006</v>
      </c>
      <c r="N2608" s="12" t="s">
        <v>70</v>
      </c>
      <c r="O2608" s="12" t="s">
        <v>71</v>
      </c>
      <c r="P2608" s="12" t="s">
        <v>72</v>
      </c>
      <c r="Q2608" s="13">
        <v>45419</v>
      </c>
      <c r="R2608" s="13">
        <v>45447</v>
      </c>
      <c r="S2608">
        <v>2024</v>
      </c>
      <c r="T2608" s="12" t="s">
        <v>3413</v>
      </c>
      <c r="U2608">
        <v>137</v>
      </c>
      <c r="V2608">
        <v>68.916300000000007</v>
      </c>
      <c r="W2608">
        <v>230.98</v>
      </c>
      <c r="X2608">
        <v>0</v>
      </c>
      <c r="Y2608">
        <v>0</v>
      </c>
      <c r="Z2608">
        <v>9441.5300000000007</v>
      </c>
      <c r="AA2608">
        <v>9672.51</v>
      </c>
      <c r="AB2608" s="12" t="s">
        <v>3432</v>
      </c>
      <c r="AC2608">
        <v>68.916300000000007</v>
      </c>
      <c r="AD2608">
        <v>1</v>
      </c>
      <c r="AE2608">
        <v>1</v>
      </c>
      <c r="AF2608">
        <v>0</v>
      </c>
      <c r="AG2608">
        <v>9441.5300000000007</v>
      </c>
      <c r="AH2608">
        <v>137</v>
      </c>
      <c r="AI2608">
        <v>134</v>
      </c>
      <c r="AJ2608">
        <v>3</v>
      </c>
      <c r="AK2608">
        <v>1</v>
      </c>
      <c r="AL2608">
        <v>1</v>
      </c>
      <c r="AM2608">
        <v>97.81</v>
      </c>
      <c r="AN2608">
        <v>72.182900000000004</v>
      </c>
      <c r="AO2608">
        <v>206.75</v>
      </c>
      <c r="AP2608" s="13">
        <v>45446</v>
      </c>
      <c r="AQ2608">
        <v>-1</v>
      </c>
      <c r="AR2608">
        <v>1</v>
      </c>
    </row>
    <row r="2609" spans="1:44" x14ac:dyDescent="0.35">
      <c r="A2609" s="12" t="s">
        <v>3456</v>
      </c>
      <c r="B2609" s="12" t="s">
        <v>766</v>
      </c>
      <c r="C2609" s="12" t="s">
        <v>767</v>
      </c>
      <c r="D2609" s="12" t="s">
        <v>175</v>
      </c>
      <c r="E2609" s="12" t="s">
        <v>65</v>
      </c>
      <c r="F2609">
        <v>3</v>
      </c>
      <c r="G2609">
        <v>5</v>
      </c>
      <c r="H2609">
        <v>0</v>
      </c>
      <c r="I2609" s="12" t="s">
        <v>87</v>
      </c>
      <c r="J2609" s="12" t="s">
        <v>88</v>
      </c>
      <c r="K2609" s="12" t="s">
        <v>89</v>
      </c>
      <c r="L2609" s="12" t="s">
        <v>69</v>
      </c>
      <c r="M2609">
        <v>14.93</v>
      </c>
      <c r="N2609" s="12" t="s">
        <v>107</v>
      </c>
      <c r="O2609" s="12" t="s">
        <v>108</v>
      </c>
      <c r="P2609" s="12" t="s">
        <v>109</v>
      </c>
      <c r="Q2609" s="13">
        <v>45419</v>
      </c>
      <c r="R2609" s="13">
        <v>45455</v>
      </c>
      <c r="S2609">
        <v>2024</v>
      </c>
      <c r="T2609" s="12" t="s">
        <v>3413</v>
      </c>
      <c r="U2609">
        <v>133</v>
      </c>
      <c r="V2609">
        <v>76.940799999999996</v>
      </c>
      <c r="W2609">
        <v>88.62</v>
      </c>
      <c r="X2609">
        <v>0</v>
      </c>
      <c r="Y2609">
        <v>0</v>
      </c>
      <c r="Z2609">
        <v>10233.129999999999</v>
      </c>
      <c r="AA2609">
        <v>10321.75</v>
      </c>
      <c r="AB2609" s="12" t="s">
        <v>3225</v>
      </c>
      <c r="AC2609">
        <v>81.825500000000005</v>
      </c>
      <c r="AD2609">
        <v>1</v>
      </c>
      <c r="AE2609">
        <v>1</v>
      </c>
      <c r="AF2609">
        <v>-649.66999999999996</v>
      </c>
      <c r="AG2609">
        <v>10882.79</v>
      </c>
      <c r="AH2609">
        <v>133</v>
      </c>
      <c r="AI2609">
        <v>132</v>
      </c>
      <c r="AJ2609">
        <v>1</v>
      </c>
      <c r="AK2609">
        <v>1</v>
      </c>
      <c r="AL2609">
        <v>1</v>
      </c>
      <c r="AM2609">
        <v>99.25</v>
      </c>
      <c r="AN2609">
        <v>78.194999999999993</v>
      </c>
      <c r="AO2609">
        <v>76.94</v>
      </c>
      <c r="AP2609" s="13">
        <v>45455</v>
      </c>
      <c r="AQ2609">
        <v>0</v>
      </c>
      <c r="AR2609">
        <v>1</v>
      </c>
    </row>
    <row r="2610" spans="1:44" x14ac:dyDescent="0.35">
      <c r="A2610" s="12" t="s">
        <v>3457</v>
      </c>
      <c r="B2610" s="12" t="s">
        <v>416</v>
      </c>
      <c r="C2610" s="12" t="s">
        <v>417</v>
      </c>
      <c r="D2610" s="12" t="s">
        <v>78</v>
      </c>
      <c r="E2610" s="12" t="s">
        <v>65</v>
      </c>
      <c r="F2610">
        <v>3</v>
      </c>
      <c r="G2610">
        <v>5</v>
      </c>
      <c r="H2610">
        <v>0</v>
      </c>
      <c r="I2610" s="12" t="s">
        <v>87</v>
      </c>
      <c r="J2610" s="12" t="s">
        <v>88</v>
      </c>
      <c r="K2610" s="12" t="s">
        <v>89</v>
      </c>
      <c r="L2610" s="12" t="s">
        <v>69</v>
      </c>
      <c r="M2610">
        <v>14.93</v>
      </c>
      <c r="N2610" s="12" t="s">
        <v>97</v>
      </c>
      <c r="O2610" s="12" t="s">
        <v>98</v>
      </c>
      <c r="P2610" s="12" t="s">
        <v>72</v>
      </c>
      <c r="Q2610" s="13">
        <v>45419</v>
      </c>
      <c r="R2610" s="13">
        <v>45449</v>
      </c>
      <c r="S2610">
        <v>2024</v>
      </c>
      <c r="T2610" s="12" t="s">
        <v>3413</v>
      </c>
      <c r="U2610">
        <v>182</v>
      </c>
      <c r="V2610">
        <v>148.8185</v>
      </c>
      <c r="W2610">
        <v>385.2</v>
      </c>
      <c r="X2610">
        <v>828.89</v>
      </c>
      <c r="Y2610">
        <v>1</v>
      </c>
      <c r="Z2610">
        <v>27084.97</v>
      </c>
      <c r="AA2610">
        <v>28299.06</v>
      </c>
      <c r="AB2610" s="12" t="s">
        <v>201</v>
      </c>
      <c r="AD2610">
        <v>0</v>
      </c>
      <c r="AE2610">
        <v>0</v>
      </c>
      <c r="AH2610">
        <v>182</v>
      </c>
      <c r="AI2610">
        <v>178</v>
      </c>
      <c r="AJ2610">
        <v>4</v>
      </c>
      <c r="AK2610">
        <v>1</v>
      </c>
      <c r="AL2610">
        <v>1</v>
      </c>
      <c r="AM2610">
        <v>97.8</v>
      </c>
      <c r="AN2610">
        <v>158.98349999999999</v>
      </c>
      <c r="AO2610">
        <v>595.27</v>
      </c>
      <c r="AP2610" s="13">
        <v>45449</v>
      </c>
      <c r="AQ2610">
        <v>0</v>
      </c>
      <c r="AR2610">
        <v>1</v>
      </c>
    </row>
    <row r="2611" spans="1:44" x14ac:dyDescent="0.35">
      <c r="A2611" s="12" t="s">
        <v>3458</v>
      </c>
      <c r="B2611" s="12" t="s">
        <v>261</v>
      </c>
      <c r="C2611" s="12" t="s">
        <v>262</v>
      </c>
      <c r="D2611" s="12" t="s">
        <v>114</v>
      </c>
      <c r="E2611" s="12" t="s">
        <v>142</v>
      </c>
      <c r="F2611">
        <v>1</v>
      </c>
      <c r="G2611">
        <v>8</v>
      </c>
      <c r="H2611">
        <v>1</v>
      </c>
      <c r="I2611" s="12" t="s">
        <v>263</v>
      </c>
      <c r="J2611" s="12" t="s">
        <v>264</v>
      </c>
      <c r="K2611" s="12" t="s">
        <v>125</v>
      </c>
      <c r="L2611" s="12" t="s">
        <v>82</v>
      </c>
      <c r="M2611">
        <v>10.210000000000001</v>
      </c>
      <c r="N2611" s="12" t="s">
        <v>97</v>
      </c>
      <c r="O2611" s="12" t="s">
        <v>98</v>
      </c>
      <c r="P2611" s="12" t="s">
        <v>72</v>
      </c>
      <c r="Q2611" s="13">
        <v>45419</v>
      </c>
      <c r="R2611" s="13">
        <v>45469</v>
      </c>
      <c r="S2611">
        <v>2024</v>
      </c>
      <c r="T2611" s="12" t="s">
        <v>3413</v>
      </c>
      <c r="U2611">
        <v>131</v>
      </c>
      <c r="V2611">
        <v>137.84569999999999</v>
      </c>
      <c r="W2611">
        <v>359.03</v>
      </c>
      <c r="X2611">
        <v>0</v>
      </c>
      <c r="Y2611">
        <v>0</v>
      </c>
      <c r="Z2611">
        <v>18057.79</v>
      </c>
      <c r="AA2611">
        <v>18416.82</v>
      </c>
      <c r="AB2611" s="12" t="s">
        <v>2655</v>
      </c>
      <c r="AC2611">
        <v>137.84569999999999</v>
      </c>
      <c r="AD2611">
        <v>1</v>
      </c>
      <c r="AE2611">
        <v>1</v>
      </c>
      <c r="AF2611">
        <v>0</v>
      </c>
      <c r="AG2611">
        <v>18057.79</v>
      </c>
      <c r="AH2611">
        <v>131</v>
      </c>
      <c r="AI2611">
        <v>129</v>
      </c>
      <c r="AJ2611">
        <v>2</v>
      </c>
      <c r="AK2611">
        <v>1</v>
      </c>
      <c r="AL2611">
        <v>1</v>
      </c>
      <c r="AM2611">
        <v>98.47</v>
      </c>
      <c r="AN2611">
        <v>142.76599999999999</v>
      </c>
      <c r="AO2611">
        <v>275.69</v>
      </c>
      <c r="AP2611" s="13">
        <v>45475</v>
      </c>
      <c r="AQ2611">
        <v>6</v>
      </c>
      <c r="AR2611">
        <v>0</v>
      </c>
    </row>
    <row r="2612" spans="1:44" x14ac:dyDescent="0.35">
      <c r="A2612" s="12" t="s">
        <v>3459</v>
      </c>
      <c r="B2612" s="12" t="s">
        <v>76</v>
      </c>
      <c r="C2612" s="12" t="s">
        <v>77</v>
      </c>
      <c r="D2612" s="12" t="s">
        <v>78</v>
      </c>
      <c r="E2612" s="12" t="s">
        <v>65</v>
      </c>
      <c r="F2612">
        <v>2</v>
      </c>
      <c r="G2612">
        <v>4</v>
      </c>
      <c r="H2612">
        <v>0</v>
      </c>
      <c r="I2612" s="12" t="s">
        <v>79</v>
      </c>
      <c r="J2612" s="12" t="s">
        <v>80</v>
      </c>
      <c r="K2612" s="12" t="s">
        <v>81</v>
      </c>
      <c r="L2612" s="12" t="s">
        <v>82</v>
      </c>
      <c r="M2612">
        <v>12.07</v>
      </c>
      <c r="N2612" s="12" t="s">
        <v>70</v>
      </c>
      <c r="O2612" s="12" t="s">
        <v>71</v>
      </c>
      <c r="P2612" s="12" t="s">
        <v>72</v>
      </c>
      <c r="Q2612" s="13">
        <v>45419</v>
      </c>
      <c r="R2612" s="13">
        <v>45450</v>
      </c>
      <c r="S2612">
        <v>2024</v>
      </c>
      <c r="T2612" s="12" t="s">
        <v>3413</v>
      </c>
      <c r="U2612">
        <v>187</v>
      </c>
      <c r="V2612">
        <v>45.034100000000002</v>
      </c>
      <c r="W2612">
        <v>77.62</v>
      </c>
      <c r="X2612">
        <v>0</v>
      </c>
      <c r="Y2612">
        <v>0</v>
      </c>
      <c r="Z2612">
        <v>8421.3799999999992</v>
      </c>
      <c r="AA2612">
        <v>8499</v>
      </c>
      <c r="AB2612" s="12" t="s">
        <v>2672</v>
      </c>
      <c r="AC2612">
        <v>45.034100000000002</v>
      </c>
      <c r="AD2612">
        <v>1</v>
      </c>
      <c r="AE2612">
        <v>1</v>
      </c>
      <c r="AF2612">
        <v>0</v>
      </c>
      <c r="AG2612">
        <v>8421.3799999999992</v>
      </c>
      <c r="AH2612">
        <v>187</v>
      </c>
      <c r="AI2612">
        <v>186</v>
      </c>
      <c r="AJ2612">
        <v>1</v>
      </c>
      <c r="AK2612">
        <v>1</v>
      </c>
      <c r="AL2612">
        <v>1</v>
      </c>
      <c r="AM2612">
        <v>99.47</v>
      </c>
      <c r="AN2612">
        <v>45.6935</v>
      </c>
      <c r="AO2612">
        <v>45.03</v>
      </c>
      <c r="AP2612" s="13">
        <v>45446</v>
      </c>
      <c r="AQ2612">
        <v>-4</v>
      </c>
      <c r="AR2612">
        <v>1</v>
      </c>
    </row>
    <row r="2613" spans="1:44" x14ac:dyDescent="0.35">
      <c r="A2613" s="12" t="s">
        <v>3460</v>
      </c>
      <c r="B2613" s="12" t="s">
        <v>755</v>
      </c>
      <c r="C2613" s="12" t="s">
        <v>756</v>
      </c>
      <c r="D2613" s="12" t="s">
        <v>78</v>
      </c>
      <c r="E2613" s="12" t="s">
        <v>65</v>
      </c>
      <c r="F2613">
        <v>2</v>
      </c>
      <c r="G2613">
        <v>2</v>
      </c>
      <c r="H2613">
        <v>0</v>
      </c>
      <c r="I2613" s="12" t="s">
        <v>359</v>
      </c>
      <c r="J2613" s="12" t="s">
        <v>360</v>
      </c>
      <c r="K2613" s="12" t="s">
        <v>133</v>
      </c>
      <c r="L2613" s="12" t="s">
        <v>82</v>
      </c>
      <c r="M2613">
        <v>12.65</v>
      </c>
      <c r="N2613" s="12" t="s">
        <v>70</v>
      </c>
      <c r="O2613" s="12" t="s">
        <v>71</v>
      </c>
      <c r="P2613" s="12" t="s">
        <v>72</v>
      </c>
      <c r="Q2613" s="13">
        <v>45419</v>
      </c>
      <c r="R2613" s="13">
        <v>45447</v>
      </c>
      <c r="S2613">
        <v>2024</v>
      </c>
      <c r="T2613" s="12" t="s">
        <v>3413</v>
      </c>
      <c r="U2613">
        <v>142</v>
      </c>
      <c r="V2613">
        <v>43.122799999999998</v>
      </c>
      <c r="W2613">
        <v>89.29</v>
      </c>
      <c r="X2613">
        <v>0</v>
      </c>
      <c r="Y2613">
        <v>0</v>
      </c>
      <c r="Z2613">
        <v>6123.44</v>
      </c>
      <c r="AA2613">
        <v>6212.73</v>
      </c>
      <c r="AB2613" s="12" t="s">
        <v>3414</v>
      </c>
      <c r="AC2613">
        <v>43.122799999999998</v>
      </c>
      <c r="AD2613">
        <v>1</v>
      </c>
      <c r="AE2613">
        <v>1</v>
      </c>
      <c r="AF2613">
        <v>0</v>
      </c>
      <c r="AG2613">
        <v>6123.44</v>
      </c>
      <c r="AH2613">
        <v>142</v>
      </c>
      <c r="AI2613">
        <v>141</v>
      </c>
      <c r="AJ2613">
        <v>1</v>
      </c>
      <c r="AK2613">
        <v>1</v>
      </c>
      <c r="AL2613">
        <v>1</v>
      </c>
      <c r="AM2613">
        <v>99.3</v>
      </c>
      <c r="AN2613">
        <v>44.061900000000001</v>
      </c>
      <c r="AO2613">
        <v>43.12</v>
      </c>
      <c r="AP2613" s="13">
        <v>45445</v>
      </c>
      <c r="AQ2613">
        <v>-2</v>
      </c>
      <c r="AR2613">
        <v>1</v>
      </c>
    </row>
    <row r="2614" spans="1:44" x14ac:dyDescent="0.35">
      <c r="A2614" s="12" t="s">
        <v>3461</v>
      </c>
      <c r="B2614" s="12" t="s">
        <v>155</v>
      </c>
      <c r="C2614" s="12" t="s">
        <v>156</v>
      </c>
      <c r="D2614" s="12" t="s">
        <v>130</v>
      </c>
      <c r="E2614" s="12" t="s">
        <v>104</v>
      </c>
      <c r="F2614">
        <v>3</v>
      </c>
      <c r="G2614">
        <v>1</v>
      </c>
      <c r="H2614">
        <v>0</v>
      </c>
      <c r="I2614" s="12" t="s">
        <v>157</v>
      </c>
      <c r="J2614" s="12" t="s">
        <v>158</v>
      </c>
      <c r="K2614" s="12" t="s">
        <v>117</v>
      </c>
      <c r="L2614" s="12" t="s">
        <v>96</v>
      </c>
      <c r="M2614">
        <v>4.72</v>
      </c>
      <c r="N2614" s="12" t="s">
        <v>135</v>
      </c>
      <c r="O2614" s="12" t="s">
        <v>136</v>
      </c>
      <c r="P2614" s="12" t="s">
        <v>137</v>
      </c>
      <c r="Q2614" s="13">
        <v>45419</v>
      </c>
      <c r="R2614" s="13">
        <v>45441</v>
      </c>
      <c r="S2614">
        <v>2024</v>
      </c>
      <c r="T2614" s="12" t="s">
        <v>3413</v>
      </c>
      <c r="U2614">
        <v>92</v>
      </c>
      <c r="V2614">
        <v>196.3056</v>
      </c>
      <c r="W2614">
        <v>246.19</v>
      </c>
      <c r="X2614">
        <v>0</v>
      </c>
      <c r="Y2614">
        <v>0</v>
      </c>
      <c r="Z2614">
        <v>18060.12</v>
      </c>
      <c r="AA2614">
        <v>18306.310000000001</v>
      </c>
      <c r="AB2614" s="12" t="s">
        <v>201</v>
      </c>
      <c r="AD2614">
        <v>0</v>
      </c>
      <c r="AE2614">
        <v>0</v>
      </c>
      <c r="AH2614">
        <v>92</v>
      </c>
      <c r="AI2614">
        <v>91</v>
      </c>
      <c r="AJ2614">
        <v>1</v>
      </c>
      <c r="AK2614">
        <v>1</v>
      </c>
      <c r="AL2614">
        <v>1</v>
      </c>
      <c r="AM2614">
        <v>98.91</v>
      </c>
      <c r="AN2614">
        <v>201.16820000000001</v>
      </c>
      <c r="AO2614">
        <v>196.31</v>
      </c>
      <c r="AP2614" s="13">
        <v>45439</v>
      </c>
      <c r="AQ2614">
        <v>-2</v>
      </c>
      <c r="AR2614">
        <v>1</v>
      </c>
    </row>
    <row r="2615" spans="1:44" x14ac:dyDescent="0.35">
      <c r="A2615" s="12" t="s">
        <v>3462</v>
      </c>
      <c r="B2615" s="12" t="s">
        <v>420</v>
      </c>
      <c r="C2615" s="12" t="s">
        <v>421</v>
      </c>
      <c r="D2615" s="12" t="s">
        <v>269</v>
      </c>
      <c r="E2615" s="12" t="s">
        <v>104</v>
      </c>
      <c r="F2615">
        <v>2</v>
      </c>
      <c r="G2615">
        <v>0</v>
      </c>
      <c r="H2615">
        <v>0</v>
      </c>
      <c r="I2615" s="12" t="s">
        <v>380</v>
      </c>
      <c r="J2615" s="12" t="s">
        <v>381</v>
      </c>
      <c r="K2615" s="12" t="s">
        <v>89</v>
      </c>
      <c r="L2615" s="12" t="s">
        <v>96</v>
      </c>
      <c r="M2615">
        <v>10.210000000000001</v>
      </c>
      <c r="N2615" s="12" t="s">
        <v>135</v>
      </c>
      <c r="O2615" s="12" t="s">
        <v>136</v>
      </c>
      <c r="P2615" s="12" t="s">
        <v>137</v>
      </c>
      <c r="Q2615" s="13">
        <v>45419</v>
      </c>
      <c r="R2615" s="13">
        <v>45431</v>
      </c>
      <c r="S2615">
        <v>2024</v>
      </c>
      <c r="T2615" s="12" t="s">
        <v>3413</v>
      </c>
      <c r="U2615">
        <v>12</v>
      </c>
      <c r="V2615">
        <v>142.20349999999999</v>
      </c>
      <c r="W2615">
        <v>30.61</v>
      </c>
      <c r="X2615">
        <v>0</v>
      </c>
      <c r="Y2615">
        <v>0</v>
      </c>
      <c r="Z2615">
        <v>1706.44</v>
      </c>
      <c r="AA2615">
        <v>1737.05</v>
      </c>
      <c r="AB2615" s="12" t="s">
        <v>2925</v>
      </c>
      <c r="AC2615">
        <v>142.20349999999999</v>
      </c>
      <c r="AD2615">
        <v>1</v>
      </c>
      <c r="AE2615">
        <v>1</v>
      </c>
      <c r="AF2615">
        <v>0</v>
      </c>
      <c r="AG2615">
        <v>1706.44</v>
      </c>
      <c r="AH2615">
        <v>12</v>
      </c>
      <c r="AI2615">
        <v>12</v>
      </c>
      <c r="AJ2615">
        <v>0</v>
      </c>
      <c r="AK2615">
        <v>1</v>
      </c>
      <c r="AL2615">
        <v>1</v>
      </c>
      <c r="AM2615">
        <v>100</v>
      </c>
      <c r="AN2615">
        <v>144.7543</v>
      </c>
      <c r="AO2615">
        <v>0</v>
      </c>
      <c r="AP2615" s="13">
        <v>45429</v>
      </c>
      <c r="AQ2615">
        <v>-2</v>
      </c>
      <c r="AR2615">
        <v>1</v>
      </c>
    </row>
    <row r="2616" spans="1:44" x14ac:dyDescent="0.35">
      <c r="A2616" s="12" t="s">
        <v>3463</v>
      </c>
      <c r="B2616" s="12" t="s">
        <v>661</v>
      </c>
      <c r="C2616" s="12" t="s">
        <v>662</v>
      </c>
      <c r="D2616" s="12" t="s">
        <v>175</v>
      </c>
      <c r="E2616" s="12" t="s">
        <v>104</v>
      </c>
      <c r="F2616">
        <v>1</v>
      </c>
      <c r="G2616">
        <v>0</v>
      </c>
      <c r="H2616">
        <v>1</v>
      </c>
      <c r="I2616" s="12" t="s">
        <v>183</v>
      </c>
      <c r="J2616" s="12" t="s">
        <v>184</v>
      </c>
      <c r="K2616" s="12" t="s">
        <v>133</v>
      </c>
      <c r="L2616" s="12" t="s">
        <v>82</v>
      </c>
      <c r="M2616">
        <v>8.6199999999999992</v>
      </c>
      <c r="N2616" s="12" t="s">
        <v>145</v>
      </c>
      <c r="O2616" s="12" t="s">
        <v>146</v>
      </c>
      <c r="P2616" s="12" t="s">
        <v>109</v>
      </c>
      <c r="Q2616" s="13">
        <v>45419</v>
      </c>
      <c r="R2616" s="13">
        <v>45444</v>
      </c>
      <c r="S2616">
        <v>2024</v>
      </c>
      <c r="T2616" s="12" t="s">
        <v>3413</v>
      </c>
      <c r="U2616">
        <v>117</v>
      </c>
      <c r="V2616">
        <v>180.0376</v>
      </c>
      <c r="W2616">
        <v>149.79</v>
      </c>
      <c r="X2616">
        <v>0</v>
      </c>
      <c r="Y2616">
        <v>0</v>
      </c>
      <c r="Z2616">
        <v>21064.400000000001</v>
      </c>
      <c r="AA2616">
        <v>21214.19</v>
      </c>
      <c r="AB2616" s="12" t="s">
        <v>2851</v>
      </c>
      <c r="AC2616">
        <v>180.0376</v>
      </c>
      <c r="AD2616">
        <v>1</v>
      </c>
      <c r="AE2616">
        <v>1</v>
      </c>
      <c r="AF2616">
        <v>0</v>
      </c>
      <c r="AG2616">
        <v>21064.400000000001</v>
      </c>
      <c r="AH2616">
        <v>117</v>
      </c>
      <c r="AI2616">
        <v>115</v>
      </c>
      <c r="AJ2616">
        <v>2</v>
      </c>
      <c r="AK2616">
        <v>1</v>
      </c>
      <c r="AL2616">
        <v>1</v>
      </c>
      <c r="AM2616">
        <v>98.29</v>
      </c>
      <c r="AN2616">
        <v>184.47120000000001</v>
      </c>
      <c r="AO2616">
        <v>360.08</v>
      </c>
      <c r="AP2616" s="13">
        <v>45442</v>
      </c>
      <c r="AQ2616">
        <v>-2</v>
      </c>
      <c r="AR2616">
        <v>1</v>
      </c>
    </row>
    <row r="2617" spans="1:44" x14ac:dyDescent="0.35">
      <c r="A2617" s="12" t="s">
        <v>3464</v>
      </c>
      <c r="B2617" s="12" t="s">
        <v>561</v>
      </c>
      <c r="C2617" s="12" t="s">
        <v>562</v>
      </c>
      <c r="D2617" s="12" t="s">
        <v>130</v>
      </c>
      <c r="E2617" s="12" t="s">
        <v>142</v>
      </c>
      <c r="F2617">
        <v>1</v>
      </c>
      <c r="G2617">
        <v>9</v>
      </c>
      <c r="H2617">
        <v>1</v>
      </c>
      <c r="I2617" s="12" t="s">
        <v>223</v>
      </c>
      <c r="J2617" s="12" t="s">
        <v>224</v>
      </c>
      <c r="K2617" s="12" t="s">
        <v>81</v>
      </c>
      <c r="L2617" s="12" t="s">
        <v>134</v>
      </c>
      <c r="M2617">
        <v>2.4900000000000002</v>
      </c>
      <c r="N2617" s="12" t="s">
        <v>135</v>
      </c>
      <c r="O2617" s="12" t="s">
        <v>136</v>
      </c>
      <c r="P2617" s="12" t="s">
        <v>137</v>
      </c>
      <c r="Q2617" s="13">
        <v>45419</v>
      </c>
      <c r="R2617" s="13">
        <v>45456</v>
      </c>
      <c r="S2617">
        <v>2024</v>
      </c>
      <c r="T2617" s="12" t="s">
        <v>3413</v>
      </c>
      <c r="U2617">
        <v>25</v>
      </c>
      <c r="V2617">
        <v>570.53710000000001</v>
      </c>
      <c r="W2617">
        <v>103.54</v>
      </c>
      <c r="X2617">
        <v>0</v>
      </c>
      <c r="Y2617">
        <v>0</v>
      </c>
      <c r="Z2617">
        <v>14263.43</v>
      </c>
      <c r="AA2617">
        <v>14366.97</v>
      </c>
      <c r="AB2617" s="12" t="s">
        <v>201</v>
      </c>
      <c r="AD2617">
        <v>0</v>
      </c>
      <c r="AE2617">
        <v>0</v>
      </c>
      <c r="AH2617">
        <v>25</v>
      </c>
      <c r="AI2617">
        <v>25</v>
      </c>
      <c r="AJ2617">
        <v>0</v>
      </c>
      <c r="AK2617">
        <v>1</v>
      </c>
      <c r="AL2617">
        <v>1</v>
      </c>
      <c r="AM2617">
        <v>100</v>
      </c>
      <c r="AN2617">
        <v>574.67870000000005</v>
      </c>
      <c r="AO2617">
        <v>0</v>
      </c>
      <c r="AP2617" s="13">
        <v>45459</v>
      </c>
      <c r="AQ2617">
        <v>3</v>
      </c>
      <c r="AR2617">
        <v>0</v>
      </c>
    </row>
    <row r="2618" spans="1:44" x14ac:dyDescent="0.35">
      <c r="A2618" s="12" t="s">
        <v>3465</v>
      </c>
      <c r="B2618" s="12" t="s">
        <v>238</v>
      </c>
      <c r="C2618" s="12" t="s">
        <v>239</v>
      </c>
      <c r="D2618" s="12" t="s">
        <v>122</v>
      </c>
      <c r="E2618" s="12" t="s">
        <v>65</v>
      </c>
      <c r="F2618">
        <v>3</v>
      </c>
      <c r="G2618">
        <v>4</v>
      </c>
      <c r="H2618">
        <v>0</v>
      </c>
      <c r="I2618" s="12" t="s">
        <v>243</v>
      </c>
      <c r="J2618" s="12" t="s">
        <v>244</v>
      </c>
      <c r="K2618" s="12" t="s">
        <v>81</v>
      </c>
      <c r="L2618" s="12" t="s">
        <v>82</v>
      </c>
      <c r="M2618">
        <v>9.2200000000000006</v>
      </c>
      <c r="N2618" s="12" t="s">
        <v>97</v>
      </c>
      <c r="O2618" s="12" t="s">
        <v>98</v>
      </c>
      <c r="P2618" s="12" t="s">
        <v>72</v>
      </c>
      <c r="Q2618" s="13">
        <v>45419</v>
      </c>
      <c r="R2618" s="13">
        <v>45452</v>
      </c>
      <c r="S2618">
        <v>2024</v>
      </c>
      <c r="T2618" s="12" t="s">
        <v>3413</v>
      </c>
      <c r="U2618">
        <v>1478</v>
      </c>
      <c r="V2618">
        <v>36.53</v>
      </c>
      <c r="W2618">
        <v>639.74</v>
      </c>
      <c r="X2618">
        <v>0</v>
      </c>
      <c r="Y2618">
        <v>0</v>
      </c>
      <c r="Z2618">
        <v>53991.34</v>
      </c>
      <c r="AA2618">
        <v>54631.08</v>
      </c>
      <c r="AB2618" s="12" t="s">
        <v>3319</v>
      </c>
      <c r="AC2618">
        <v>36.53</v>
      </c>
      <c r="AD2618">
        <v>1</v>
      </c>
      <c r="AE2618">
        <v>1</v>
      </c>
      <c r="AF2618">
        <v>0</v>
      </c>
      <c r="AG2618">
        <v>53991.34</v>
      </c>
      <c r="AH2618">
        <v>1478</v>
      </c>
      <c r="AI2618">
        <v>1472</v>
      </c>
      <c r="AJ2618">
        <v>6</v>
      </c>
      <c r="AK2618">
        <v>1</v>
      </c>
      <c r="AL2618">
        <v>1</v>
      </c>
      <c r="AM2618">
        <v>99.59</v>
      </c>
      <c r="AN2618">
        <v>37.113500000000002</v>
      </c>
      <c r="AO2618">
        <v>219.18</v>
      </c>
      <c r="AP2618" s="13">
        <v>45450</v>
      </c>
      <c r="AQ2618">
        <v>-2</v>
      </c>
      <c r="AR2618">
        <v>1</v>
      </c>
    </row>
    <row r="2619" spans="1:44" x14ac:dyDescent="0.35">
      <c r="A2619" s="12" t="s">
        <v>3466</v>
      </c>
      <c r="B2619" s="12" t="s">
        <v>602</v>
      </c>
      <c r="C2619" s="12" t="s">
        <v>603</v>
      </c>
      <c r="D2619" s="12" t="s">
        <v>114</v>
      </c>
      <c r="E2619" s="12" t="s">
        <v>142</v>
      </c>
      <c r="F2619">
        <v>2</v>
      </c>
      <c r="G2619">
        <v>10</v>
      </c>
      <c r="H2619">
        <v>0</v>
      </c>
      <c r="I2619" s="12" t="s">
        <v>604</v>
      </c>
      <c r="J2619" s="12" t="s">
        <v>605</v>
      </c>
      <c r="K2619" s="12" t="s">
        <v>68</v>
      </c>
      <c r="L2619" s="12" t="s">
        <v>82</v>
      </c>
      <c r="M2619">
        <v>7.24</v>
      </c>
      <c r="N2619" s="12" t="s">
        <v>97</v>
      </c>
      <c r="O2619" s="12" t="s">
        <v>98</v>
      </c>
      <c r="P2619" s="12" t="s">
        <v>72</v>
      </c>
      <c r="Q2619" s="13">
        <v>45419</v>
      </c>
      <c r="R2619" s="13">
        <v>45460</v>
      </c>
      <c r="S2619">
        <v>2024</v>
      </c>
      <c r="T2619" s="12" t="s">
        <v>3413</v>
      </c>
      <c r="U2619">
        <v>60</v>
      </c>
      <c r="V2619">
        <v>219.4538</v>
      </c>
      <c r="W2619">
        <v>229.8</v>
      </c>
      <c r="X2619">
        <v>0</v>
      </c>
      <c r="Y2619">
        <v>0</v>
      </c>
      <c r="Z2619">
        <v>13167.23</v>
      </c>
      <c r="AA2619">
        <v>13397.03</v>
      </c>
      <c r="AB2619" s="12" t="s">
        <v>3467</v>
      </c>
      <c r="AC2619">
        <v>213.23840000000001</v>
      </c>
      <c r="AD2619">
        <v>1</v>
      </c>
      <c r="AE2619">
        <v>1</v>
      </c>
      <c r="AF2619">
        <v>372.92</v>
      </c>
      <c r="AG2619">
        <v>12794.3</v>
      </c>
      <c r="AH2619">
        <v>60</v>
      </c>
      <c r="AI2619">
        <v>59</v>
      </c>
      <c r="AJ2619">
        <v>1</v>
      </c>
      <c r="AK2619">
        <v>1</v>
      </c>
      <c r="AL2619">
        <v>1</v>
      </c>
      <c r="AM2619">
        <v>98.33</v>
      </c>
      <c r="AN2619">
        <v>227.06829999999999</v>
      </c>
      <c r="AO2619">
        <v>219.45</v>
      </c>
      <c r="AP2619" s="13">
        <v>45459</v>
      </c>
      <c r="AQ2619">
        <v>-1</v>
      </c>
      <c r="AR2619">
        <v>1</v>
      </c>
    </row>
    <row r="2620" spans="1:44" x14ac:dyDescent="0.35">
      <c r="A2620" s="12" t="s">
        <v>3468</v>
      </c>
      <c r="B2620" s="12" t="s">
        <v>602</v>
      </c>
      <c r="C2620" s="12" t="s">
        <v>603</v>
      </c>
      <c r="D2620" s="12" t="s">
        <v>114</v>
      </c>
      <c r="E2620" s="12" t="s">
        <v>142</v>
      </c>
      <c r="F2620">
        <v>2</v>
      </c>
      <c r="G2620">
        <v>10</v>
      </c>
      <c r="H2620">
        <v>0</v>
      </c>
      <c r="I2620" s="12" t="s">
        <v>604</v>
      </c>
      <c r="J2620" s="12" t="s">
        <v>605</v>
      </c>
      <c r="K2620" s="12" t="s">
        <v>68</v>
      </c>
      <c r="L2620" s="12" t="s">
        <v>82</v>
      </c>
      <c r="M2620">
        <v>7.24</v>
      </c>
      <c r="N2620" s="12" t="s">
        <v>97</v>
      </c>
      <c r="O2620" s="12" t="s">
        <v>98</v>
      </c>
      <c r="P2620" s="12" t="s">
        <v>72</v>
      </c>
      <c r="Q2620" s="13">
        <v>45419</v>
      </c>
      <c r="R2620" s="13">
        <v>45460</v>
      </c>
      <c r="S2620">
        <v>2024</v>
      </c>
      <c r="T2620" s="12" t="s">
        <v>3413</v>
      </c>
      <c r="U2620">
        <v>60</v>
      </c>
      <c r="V2620">
        <v>219.4538</v>
      </c>
      <c r="W2620">
        <v>229.8</v>
      </c>
      <c r="X2620">
        <v>0</v>
      </c>
      <c r="Y2620">
        <v>0</v>
      </c>
      <c r="Z2620">
        <v>13167.23</v>
      </c>
      <c r="AA2620">
        <v>13397.03</v>
      </c>
      <c r="AB2620" s="12" t="s">
        <v>3467</v>
      </c>
      <c r="AC2620">
        <v>213.23840000000001</v>
      </c>
      <c r="AD2620">
        <v>1</v>
      </c>
      <c r="AE2620">
        <v>1</v>
      </c>
      <c r="AF2620">
        <v>372.92</v>
      </c>
      <c r="AG2620">
        <v>12794.3</v>
      </c>
      <c r="AK2620">
        <v>0</v>
      </c>
      <c r="AL2620">
        <v>0</v>
      </c>
      <c r="AO2620">
        <v>0</v>
      </c>
      <c r="AP2620" s="13"/>
    </row>
    <row r="2621" spans="1:44" x14ac:dyDescent="0.35">
      <c r="A2621" s="12" t="s">
        <v>3469</v>
      </c>
      <c r="B2621" s="12" t="s">
        <v>261</v>
      </c>
      <c r="C2621" s="12" t="s">
        <v>262</v>
      </c>
      <c r="D2621" s="12" t="s">
        <v>114</v>
      </c>
      <c r="E2621" s="12" t="s">
        <v>142</v>
      </c>
      <c r="F2621">
        <v>1</v>
      </c>
      <c r="G2621">
        <v>8</v>
      </c>
      <c r="H2621">
        <v>1</v>
      </c>
      <c r="I2621" s="12" t="s">
        <v>263</v>
      </c>
      <c r="J2621" s="12" t="s">
        <v>264</v>
      </c>
      <c r="K2621" s="12" t="s">
        <v>125</v>
      </c>
      <c r="L2621" s="12" t="s">
        <v>82</v>
      </c>
      <c r="M2621">
        <v>10.210000000000001</v>
      </c>
      <c r="N2621" s="12" t="s">
        <v>97</v>
      </c>
      <c r="O2621" s="12" t="s">
        <v>98</v>
      </c>
      <c r="P2621" s="12" t="s">
        <v>72</v>
      </c>
      <c r="Q2621" s="13">
        <v>45420</v>
      </c>
      <c r="R2621" s="13">
        <v>45464</v>
      </c>
      <c r="S2621">
        <v>2024</v>
      </c>
      <c r="T2621" s="12" t="s">
        <v>3413</v>
      </c>
      <c r="U2621">
        <v>81</v>
      </c>
      <c r="V2621">
        <v>137.84569999999999</v>
      </c>
      <c r="W2621">
        <v>163.16</v>
      </c>
      <c r="X2621">
        <v>0</v>
      </c>
      <c r="Y2621">
        <v>0</v>
      </c>
      <c r="Z2621">
        <v>11165.5</v>
      </c>
      <c r="AA2621">
        <v>11328.66</v>
      </c>
      <c r="AB2621" s="12" t="s">
        <v>2655</v>
      </c>
      <c r="AC2621">
        <v>137.84569999999999</v>
      </c>
      <c r="AD2621">
        <v>1</v>
      </c>
      <c r="AE2621">
        <v>1</v>
      </c>
      <c r="AF2621">
        <v>0</v>
      </c>
      <c r="AG2621">
        <v>11165.5</v>
      </c>
      <c r="AH2621">
        <v>81</v>
      </c>
      <c r="AI2621">
        <v>80</v>
      </c>
      <c r="AJ2621">
        <v>1</v>
      </c>
      <c r="AK2621">
        <v>1</v>
      </c>
      <c r="AL2621">
        <v>1</v>
      </c>
      <c r="AM2621">
        <v>98.77</v>
      </c>
      <c r="AN2621">
        <v>141.60830000000001</v>
      </c>
      <c r="AO2621">
        <v>137.85</v>
      </c>
      <c r="AP2621" s="13">
        <v>45463</v>
      </c>
      <c r="AQ2621">
        <v>-1</v>
      </c>
      <c r="AR2621">
        <v>1</v>
      </c>
    </row>
    <row r="2622" spans="1:44" x14ac:dyDescent="0.35">
      <c r="A2622" s="12" t="s">
        <v>3470</v>
      </c>
      <c r="B2622" s="12" t="s">
        <v>978</v>
      </c>
      <c r="C2622" s="12" t="s">
        <v>979</v>
      </c>
      <c r="D2622" s="12" t="s">
        <v>122</v>
      </c>
      <c r="E2622" s="12" t="s">
        <v>65</v>
      </c>
      <c r="F2622">
        <v>1</v>
      </c>
      <c r="G2622">
        <v>2</v>
      </c>
      <c r="H2622">
        <v>1</v>
      </c>
      <c r="I2622" s="12" t="s">
        <v>310</v>
      </c>
      <c r="J2622" s="12" t="s">
        <v>311</v>
      </c>
      <c r="K2622" s="12" t="s">
        <v>81</v>
      </c>
      <c r="L2622" s="12" t="s">
        <v>69</v>
      </c>
      <c r="M2622">
        <v>28.3</v>
      </c>
      <c r="N2622" s="12" t="s">
        <v>97</v>
      </c>
      <c r="O2622" s="12" t="s">
        <v>98</v>
      </c>
      <c r="P2622" s="12" t="s">
        <v>72</v>
      </c>
      <c r="Q2622" s="13">
        <v>45420</v>
      </c>
      <c r="R2622" s="13">
        <v>45453</v>
      </c>
      <c r="S2622">
        <v>2024</v>
      </c>
      <c r="T2622" s="12" t="s">
        <v>3413</v>
      </c>
      <c r="U2622">
        <v>1490</v>
      </c>
      <c r="V2622">
        <v>43.574800000000003</v>
      </c>
      <c r="W2622">
        <v>842.44</v>
      </c>
      <c r="X2622">
        <v>0</v>
      </c>
      <c r="Y2622">
        <v>0</v>
      </c>
      <c r="Z2622">
        <v>64926.45</v>
      </c>
      <c r="AA2622">
        <v>65768.89</v>
      </c>
      <c r="AB2622" s="12" t="s">
        <v>3471</v>
      </c>
      <c r="AC2622">
        <v>43.574800000000003</v>
      </c>
      <c r="AD2622">
        <v>1</v>
      </c>
      <c r="AE2622">
        <v>1</v>
      </c>
      <c r="AF2622">
        <v>0</v>
      </c>
      <c r="AG2622">
        <v>64926.45</v>
      </c>
      <c r="AH2622">
        <v>1490</v>
      </c>
      <c r="AI2622">
        <v>1483</v>
      </c>
      <c r="AJ2622">
        <v>7</v>
      </c>
      <c r="AK2622">
        <v>1</v>
      </c>
      <c r="AL2622">
        <v>1</v>
      </c>
      <c r="AM2622">
        <v>99.53</v>
      </c>
      <c r="AN2622">
        <v>44.348500000000001</v>
      </c>
      <c r="AO2622">
        <v>305.02</v>
      </c>
      <c r="AP2622" s="13">
        <v>45451</v>
      </c>
      <c r="AQ2622">
        <v>-2</v>
      </c>
      <c r="AR2622">
        <v>1</v>
      </c>
    </row>
    <row r="2623" spans="1:44" x14ac:dyDescent="0.35">
      <c r="A2623" s="12" t="s">
        <v>3472</v>
      </c>
      <c r="B2623" s="12" t="s">
        <v>869</v>
      </c>
      <c r="C2623" s="12" t="s">
        <v>870</v>
      </c>
      <c r="D2623" s="12" t="s">
        <v>130</v>
      </c>
      <c r="E2623" s="12" t="s">
        <v>104</v>
      </c>
      <c r="F2623">
        <v>2</v>
      </c>
      <c r="G2623">
        <v>0</v>
      </c>
      <c r="H2623">
        <v>0</v>
      </c>
      <c r="I2623" s="12" t="s">
        <v>515</v>
      </c>
      <c r="J2623" s="12" t="s">
        <v>516</v>
      </c>
      <c r="K2623" s="12" t="s">
        <v>68</v>
      </c>
      <c r="L2623" s="12" t="s">
        <v>134</v>
      </c>
      <c r="M2623">
        <v>3.69</v>
      </c>
      <c r="N2623" s="12" t="s">
        <v>135</v>
      </c>
      <c r="O2623" s="12" t="s">
        <v>136</v>
      </c>
      <c r="P2623" s="12" t="s">
        <v>137</v>
      </c>
      <c r="Q2623" s="13">
        <v>45420</v>
      </c>
      <c r="R2623" s="13">
        <v>45435</v>
      </c>
      <c r="S2623">
        <v>2024</v>
      </c>
      <c r="T2623" s="12" t="s">
        <v>3413</v>
      </c>
      <c r="U2623">
        <v>39</v>
      </c>
      <c r="V2623">
        <v>645.75850000000003</v>
      </c>
      <c r="W2623">
        <v>223.27</v>
      </c>
      <c r="X2623">
        <v>0</v>
      </c>
      <c r="Y2623">
        <v>0</v>
      </c>
      <c r="Z2623">
        <v>25184.58</v>
      </c>
      <c r="AA2623">
        <v>25407.85</v>
      </c>
      <c r="AB2623" s="12" t="s">
        <v>201</v>
      </c>
      <c r="AD2623">
        <v>0</v>
      </c>
      <c r="AE2623">
        <v>0</v>
      </c>
      <c r="AH2623">
        <v>39</v>
      </c>
      <c r="AI2623">
        <v>39</v>
      </c>
      <c r="AJ2623">
        <v>0</v>
      </c>
      <c r="AK2623">
        <v>1</v>
      </c>
      <c r="AL2623">
        <v>1</v>
      </c>
      <c r="AM2623">
        <v>100</v>
      </c>
      <c r="AN2623">
        <v>651.48339999999996</v>
      </c>
      <c r="AO2623">
        <v>0</v>
      </c>
      <c r="AP2623" s="13">
        <v>45432</v>
      </c>
      <c r="AQ2623">
        <v>-3</v>
      </c>
      <c r="AR2623">
        <v>1</v>
      </c>
    </row>
    <row r="2624" spans="1:44" x14ac:dyDescent="0.35">
      <c r="A2624" s="12" t="s">
        <v>3473</v>
      </c>
      <c r="B2624" s="12" t="s">
        <v>902</v>
      </c>
      <c r="C2624" s="12" t="s">
        <v>903</v>
      </c>
      <c r="D2624" s="12" t="s">
        <v>122</v>
      </c>
      <c r="E2624" s="12" t="s">
        <v>142</v>
      </c>
      <c r="F2624">
        <v>1</v>
      </c>
      <c r="G2624">
        <v>6</v>
      </c>
      <c r="H2624">
        <v>1</v>
      </c>
      <c r="I2624" s="12" t="s">
        <v>105</v>
      </c>
      <c r="J2624" s="12" t="s">
        <v>106</v>
      </c>
      <c r="K2624" s="12" t="s">
        <v>81</v>
      </c>
      <c r="L2624" s="12" t="s">
        <v>96</v>
      </c>
      <c r="M2624">
        <v>5.01</v>
      </c>
      <c r="N2624" s="12" t="s">
        <v>97</v>
      </c>
      <c r="O2624" s="12" t="s">
        <v>98</v>
      </c>
      <c r="P2624" s="12" t="s">
        <v>72</v>
      </c>
      <c r="Q2624" s="13">
        <v>45420</v>
      </c>
      <c r="R2624" s="13">
        <v>45455</v>
      </c>
      <c r="S2624">
        <v>2024</v>
      </c>
      <c r="T2624" s="12" t="s">
        <v>3413</v>
      </c>
      <c r="U2624">
        <v>225</v>
      </c>
      <c r="V2624">
        <v>41.6892</v>
      </c>
      <c r="W2624">
        <v>233.96</v>
      </c>
      <c r="X2624">
        <v>0</v>
      </c>
      <c r="Y2624">
        <v>0</v>
      </c>
      <c r="Z2624">
        <v>9380.07</v>
      </c>
      <c r="AA2624">
        <v>9614.0300000000007</v>
      </c>
      <c r="AB2624" s="12" t="s">
        <v>3284</v>
      </c>
      <c r="AC2624">
        <v>41.6892</v>
      </c>
      <c r="AD2624">
        <v>1</v>
      </c>
      <c r="AE2624">
        <v>1</v>
      </c>
      <c r="AF2624">
        <v>0</v>
      </c>
      <c r="AG2624">
        <v>9380.07</v>
      </c>
      <c r="AH2624">
        <v>225</v>
      </c>
      <c r="AI2624">
        <v>223</v>
      </c>
      <c r="AJ2624">
        <v>2</v>
      </c>
      <c r="AK2624">
        <v>1</v>
      </c>
      <c r="AL2624">
        <v>1</v>
      </c>
      <c r="AM2624">
        <v>99.11</v>
      </c>
      <c r="AN2624">
        <v>43.112200000000001</v>
      </c>
      <c r="AO2624">
        <v>83.38</v>
      </c>
      <c r="AP2624" s="13">
        <v>45465</v>
      </c>
      <c r="AQ2624">
        <v>10</v>
      </c>
      <c r="AR2624">
        <v>0</v>
      </c>
    </row>
    <row r="2625" spans="1:44" x14ac:dyDescent="0.35">
      <c r="A2625" s="12" t="s">
        <v>3474</v>
      </c>
      <c r="B2625" s="12" t="s">
        <v>544</v>
      </c>
      <c r="C2625" s="12" t="s">
        <v>545</v>
      </c>
      <c r="D2625" s="12" t="s">
        <v>175</v>
      </c>
      <c r="E2625" s="12" t="s">
        <v>65</v>
      </c>
      <c r="F2625">
        <v>3</v>
      </c>
      <c r="G2625">
        <v>5</v>
      </c>
      <c r="H2625">
        <v>0</v>
      </c>
      <c r="I2625" s="12" t="s">
        <v>66</v>
      </c>
      <c r="J2625" s="12" t="s">
        <v>67</v>
      </c>
      <c r="K2625" s="12" t="s">
        <v>68</v>
      </c>
      <c r="L2625" s="12" t="s">
        <v>69</v>
      </c>
      <c r="M2625">
        <v>17.66</v>
      </c>
      <c r="N2625" s="12" t="s">
        <v>107</v>
      </c>
      <c r="O2625" s="12" t="s">
        <v>108</v>
      </c>
      <c r="P2625" s="12" t="s">
        <v>109</v>
      </c>
      <c r="Q2625" s="13">
        <v>45421</v>
      </c>
      <c r="R2625" s="13">
        <v>45448</v>
      </c>
      <c r="S2625">
        <v>2024</v>
      </c>
      <c r="T2625" s="12" t="s">
        <v>3413</v>
      </c>
      <c r="U2625">
        <v>60</v>
      </c>
      <c r="V2625">
        <v>163.9932</v>
      </c>
      <c r="W2625">
        <v>208.87</v>
      </c>
      <c r="X2625">
        <v>0</v>
      </c>
      <c r="Y2625">
        <v>0</v>
      </c>
      <c r="Z2625">
        <v>9839.59</v>
      </c>
      <c r="AA2625">
        <v>10048.459999999999</v>
      </c>
      <c r="AB2625" s="12" t="s">
        <v>201</v>
      </c>
      <c r="AD2625">
        <v>0</v>
      </c>
      <c r="AE2625">
        <v>0</v>
      </c>
      <c r="AH2625">
        <v>60</v>
      </c>
      <c r="AI2625">
        <v>59</v>
      </c>
      <c r="AJ2625">
        <v>1</v>
      </c>
      <c r="AK2625">
        <v>1</v>
      </c>
      <c r="AL2625">
        <v>1</v>
      </c>
      <c r="AM2625">
        <v>98.33</v>
      </c>
      <c r="AN2625">
        <v>170.31290000000001</v>
      </c>
      <c r="AO2625">
        <v>163.99</v>
      </c>
      <c r="AP2625" s="13">
        <v>45445</v>
      </c>
      <c r="AQ2625">
        <v>-3</v>
      </c>
      <c r="AR2625">
        <v>1</v>
      </c>
    </row>
    <row r="2626" spans="1:44" x14ac:dyDescent="0.35">
      <c r="A2626" s="12" t="s">
        <v>3475</v>
      </c>
      <c r="B2626" s="12" t="s">
        <v>404</v>
      </c>
      <c r="C2626" s="12" t="s">
        <v>405</v>
      </c>
      <c r="D2626" s="12" t="s">
        <v>269</v>
      </c>
      <c r="E2626" s="12" t="s">
        <v>65</v>
      </c>
      <c r="F2626">
        <v>3</v>
      </c>
      <c r="G2626">
        <v>5</v>
      </c>
      <c r="H2626">
        <v>0</v>
      </c>
      <c r="I2626" s="12" t="s">
        <v>79</v>
      </c>
      <c r="J2626" s="12" t="s">
        <v>80</v>
      </c>
      <c r="K2626" s="12" t="s">
        <v>81</v>
      </c>
      <c r="L2626" s="12" t="s">
        <v>82</v>
      </c>
      <c r="M2626">
        <v>12.07</v>
      </c>
      <c r="N2626" s="12" t="s">
        <v>159</v>
      </c>
      <c r="O2626" s="12" t="s">
        <v>160</v>
      </c>
      <c r="P2626" s="12" t="s">
        <v>137</v>
      </c>
      <c r="Q2626" s="13">
        <v>45421</v>
      </c>
      <c r="R2626" s="13">
        <v>45447</v>
      </c>
      <c r="S2626">
        <v>2024</v>
      </c>
      <c r="T2626" s="12" t="s">
        <v>3413</v>
      </c>
      <c r="U2626">
        <v>51</v>
      </c>
      <c r="V2626">
        <v>430.2559</v>
      </c>
      <c r="W2626">
        <v>351.11</v>
      </c>
      <c r="X2626">
        <v>690.35</v>
      </c>
      <c r="Y2626">
        <v>1</v>
      </c>
      <c r="Z2626">
        <v>21943.05</v>
      </c>
      <c r="AA2626">
        <v>22984.51</v>
      </c>
      <c r="AB2626" s="12" t="s">
        <v>2910</v>
      </c>
      <c r="AC2626">
        <v>430.2559</v>
      </c>
      <c r="AD2626">
        <v>1</v>
      </c>
      <c r="AE2626">
        <v>1</v>
      </c>
      <c r="AF2626">
        <v>0</v>
      </c>
      <c r="AG2626">
        <v>21943.05</v>
      </c>
      <c r="AH2626">
        <v>51</v>
      </c>
      <c r="AI2626">
        <v>51</v>
      </c>
      <c r="AJ2626">
        <v>0</v>
      </c>
      <c r="AK2626">
        <v>1</v>
      </c>
      <c r="AL2626">
        <v>1</v>
      </c>
      <c r="AM2626">
        <v>100</v>
      </c>
      <c r="AN2626">
        <v>450.67669999999998</v>
      </c>
      <c r="AO2626">
        <v>0</v>
      </c>
      <c r="AP2626" s="13">
        <v>45443</v>
      </c>
      <c r="AQ2626">
        <v>-4</v>
      </c>
      <c r="AR2626">
        <v>1</v>
      </c>
    </row>
    <row r="2627" spans="1:44" x14ac:dyDescent="0.35">
      <c r="A2627" s="12" t="s">
        <v>3476</v>
      </c>
      <c r="B2627" s="12" t="s">
        <v>766</v>
      </c>
      <c r="C2627" s="12" t="s">
        <v>767</v>
      </c>
      <c r="D2627" s="12" t="s">
        <v>175</v>
      </c>
      <c r="E2627" s="12" t="s">
        <v>65</v>
      </c>
      <c r="F2627">
        <v>3</v>
      </c>
      <c r="G2627">
        <v>5</v>
      </c>
      <c r="H2627">
        <v>0</v>
      </c>
      <c r="I2627" s="12" t="s">
        <v>87</v>
      </c>
      <c r="J2627" s="12" t="s">
        <v>88</v>
      </c>
      <c r="K2627" s="12" t="s">
        <v>89</v>
      </c>
      <c r="L2627" s="12" t="s">
        <v>69</v>
      </c>
      <c r="M2627">
        <v>14.93</v>
      </c>
      <c r="N2627" s="12" t="s">
        <v>107</v>
      </c>
      <c r="O2627" s="12" t="s">
        <v>108</v>
      </c>
      <c r="P2627" s="12" t="s">
        <v>109</v>
      </c>
      <c r="Q2627" s="13">
        <v>45421</v>
      </c>
      <c r="R2627" s="13">
        <v>45445</v>
      </c>
      <c r="S2627">
        <v>2024</v>
      </c>
      <c r="T2627" s="12" t="s">
        <v>3413</v>
      </c>
      <c r="U2627">
        <v>37</v>
      </c>
      <c r="V2627">
        <v>77.079700000000003</v>
      </c>
      <c r="W2627">
        <v>38.5</v>
      </c>
      <c r="X2627">
        <v>0</v>
      </c>
      <c r="Y2627">
        <v>0</v>
      </c>
      <c r="Z2627">
        <v>2851.95</v>
      </c>
      <c r="AA2627">
        <v>2890.45</v>
      </c>
      <c r="AB2627" s="12" t="s">
        <v>3225</v>
      </c>
      <c r="AC2627">
        <v>81.825500000000005</v>
      </c>
      <c r="AD2627">
        <v>1</v>
      </c>
      <c r="AE2627">
        <v>1</v>
      </c>
      <c r="AF2627">
        <v>-175.59</v>
      </c>
      <c r="AG2627">
        <v>3027.54</v>
      </c>
      <c r="AH2627">
        <v>37</v>
      </c>
      <c r="AI2627">
        <v>37</v>
      </c>
      <c r="AJ2627">
        <v>0</v>
      </c>
      <c r="AK2627">
        <v>1</v>
      </c>
      <c r="AL2627">
        <v>1</v>
      </c>
      <c r="AM2627">
        <v>100</v>
      </c>
      <c r="AN2627">
        <v>78.120199999999997</v>
      </c>
      <c r="AO2627">
        <v>0</v>
      </c>
      <c r="AP2627" s="13">
        <v>45444</v>
      </c>
      <c r="AQ2627">
        <v>-1</v>
      </c>
      <c r="AR2627">
        <v>1</v>
      </c>
    </row>
    <row r="2628" spans="1:44" x14ac:dyDescent="0.35">
      <c r="A2628" s="12" t="s">
        <v>3477</v>
      </c>
      <c r="B2628" s="12" t="s">
        <v>630</v>
      </c>
      <c r="C2628" s="12" t="s">
        <v>631</v>
      </c>
      <c r="D2628" s="12" t="s">
        <v>130</v>
      </c>
      <c r="E2628" s="12" t="s">
        <v>65</v>
      </c>
      <c r="F2628">
        <v>1</v>
      </c>
      <c r="G2628">
        <v>2</v>
      </c>
      <c r="H2628">
        <v>1</v>
      </c>
      <c r="I2628" s="12" t="s">
        <v>335</v>
      </c>
      <c r="J2628" s="12" t="s">
        <v>336</v>
      </c>
      <c r="K2628" s="12" t="s">
        <v>89</v>
      </c>
      <c r="L2628" s="12" t="s">
        <v>82</v>
      </c>
      <c r="M2628">
        <v>16</v>
      </c>
      <c r="N2628" s="12" t="s">
        <v>135</v>
      </c>
      <c r="O2628" s="12" t="s">
        <v>136</v>
      </c>
      <c r="P2628" s="12" t="s">
        <v>137</v>
      </c>
      <c r="Q2628" s="13">
        <v>45421</v>
      </c>
      <c r="R2628" s="13">
        <v>45447</v>
      </c>
      <c r="S2628">
        <v>2024</v>
      </c>
      <c r="T2628" s="12" t="s">
        <v>3413</v>
      </c>
      <c r="U2628">
        <v>54</v>
      </c>
      <c r="V2628">
        <v>446.36720000000003</v>
      </c>
      <c r="W2628">
        <v>357.55</v>
      </c>
      <c r="X2628">
        <v>0</v>
      </c>
      <c r="Y2628">
        <v>0</v>
      </c>
      <c r="Z2628">
        <v>24103.83</v>
      </c>
      <c r="AA2628">
        <v>24461.38</v>
      </c>
      <c r="AB2628" s="12" t="s">
        <v>2944</v>
      </c>
      <c r="AC2628">
        <v>446.36720000000003</v>
      </c>
      <c r="AD2628">
        <v>1</v>
      </c>
      <c r="AE2628">
        <v>1</v>
      </c>
      <c r="AF2628">
        <v>0</v>
      </c>
      <c r="AG2628">
        <v>24103.83</v>
      </c>
      <c r="AH2628">
        <v>54</v>
      </c>
      <c r="AI2628">
        <v>54</v>
      </c>
      <c r="AJ2628">
        <v>0</v>
      </c>
      <c r="AK2628">
        <v>1</v>
      </c>
      <c r="AL2628">
        <v>1</v>
      </c>
      <c r="AM2628">
        <v>100</v>
      </c>
      <c r="AN2628">
        <v>452.98849999999999</v>
      </c>
      <c r="AO2628">
        <v>0</v>
      </c>
      <c r="AP2628" s="13">
        <v>45447</v>
      </c>
      <c r="AQ2628">
        <v>0</v>
      </c>
      <c r="AR2628">
        <v>1</v>
      </c>
    </row>
    <row r="2629" spans="1:44" x14ac:dyDescent="0.35">
      <c r="A2629" s="12" t="s">
        <v>3478</v>
      </c>
      <c r="B2629" s="12" t="s">
        <v>909</v>
      </c>
      <c r="C2629" s="12" t="s">
        <v>910</v>
      </c>
      <c r="D2629" s="12" t="s">
        <v>269</v>
      </c>
      <c r="E2629" s="12" t="s">
        <v>65</v>
      </c>
      <c r="F2629">
        <v>3</v>
      </c>
      <c r="G2629">
        <v>4</v>
      </c>
      <c r="H2629">
        <v>0</v>
      </c>
      <c r="I2629" s="12" t="s">
        <v>199</v>
      </c>
      <c r="J2629" s="12" t="s">
        <v>200</v>
      </c>
      <c r="K2629" s="12" t="s">
        <v>68</v>
      </c>
      <c r="L2629" s="12" t="s">
        <v>96</v>
      </c>
      <c r="M2629">
        <v>9.4700000000000006</v>
      </c>
      <c r="N2629" s="12" t="s">
        <v>135</v>
      </c>
      <c r="O2629" s="12" t="s">
        <v>136</v>
      </c>
      <c r="P2629" s="12" t="s">
        <v>137</v>
      </c>
      <c r="Q2629" s="13">
        <v>45421</v>
      </c>
      <c r="R2629" s="13">
        <v>45453</v>
      </c>
      <c r="S2629">
        <v>2024</v>
      </c>
      <c r="T2629" s="12" t="s">
        <v>3413</v>
      </c>
      <c r="U2629">
        <v>99</v>
      </c>
      <c r="V2629">
        <v>105.6481</v>
      </c>
      <c r="W2629">
        <v>158.47999999999999</v>
      </c>
      <c r="X2629">
        <v>0</v>
      </c>
      <c r="Y2629">
        <v>0</v>
      </c>
      <c r="Z2629">
        <v>10459.16</v>
      </c>
      <c r="AA2629">
        <v>10617.64</v>
      </c>
      <c r="AB2629" s="12" t="s">
        <v>3479</v>
      </c>
      <c r="AC2629">
        <v>105.6481</v>
      </c>
      <c r="AD2629">
        <v>1</v>
      </c>
      <c r="AE2629">
        <v>1</v>
      </c>
      <c r="AF2629">
        <v>0</v>
      </c>
      <c r="AG2629">
        <v>10459.16</v>
      </c>
      <c r="AH2629">
        <v>99</v>
      </c>
      <c r="AI2629">
        <v>98</v>
      </c>
      <c r="AJ2629">
        <v>1</v>
      </c>
      <c r="AK2629">
        <v>1</v>
      </c>
      <c r="AL2629">
        <v>1</v>
      </c>
      <c r="AM2629">
        <v>98.99</v>
      </c>
      <c r="AN2629">
        <v>108.3433</v>
      </c>
      <c r="AO2629">
        <v>105.65</v>
      </c>
      <c r="AP2629" s="13">
        <v>45452</v>
      </c>
      <c r="AQ2629">
        <v>-1</v>
      </c>
      <c r="AR2629">
        <v>1</v>
      </c>
    </row>
    <row r="2630" spans="1:44" x14ac:dyDescent="0.35">
      <c r="A2630" s="12" t="s">
        <v>3480</v>
      </c>
      <c r="B2630" s="12" t="s">
        <v>155</v>
      </c>
      <c r="C2630" s="12" t="s">
        <v>156</v>
      </c>
      <c r="D2630" s="12" t="s">
        <v>130</v>
      </c>
      <c r="E2630" s="12" t="s">
        <v>104</v>
      </c>
      <c r="F2630">
        <v>3</v>
      </c>
      <c r="G2630">
        <v>1</v>
      </c>
      <c r="H2630">
        <v>0</v>
      </c>
      <c r="I2630" s="12" t="s">
        <v>157</v>
      </c>
      <c r="J2630" s="12" t="s">
        <v>158</v>
      </c>
      <c r="K2630" s="12" t="s">
        <v>117</v>
      </c>
      <c r="L2630" s="12" t="s">
        <v>96</v>
      </c>
      <c r="M2630">
        <v>4.72</v>
      </c>
      <c r="N2630" s="12" t="s">
        <v>159</v>
      </c>
      <c r="O2630" s="12" t="s">
        <v>160</v>
      </c>
      <c r="P2630" s="12" t="s">
        <v>137</v>
      </c>
      <c r="Q2630" s="13">
        <v>45421</v>
      </c>
      <c r="R2630" s="13">
        <v>45434</v>
      </c>
      <c r="S2630">
        <v>2024</v>
      </c>
      <c r="T2630" s="12" t="s">
        <v>3413</v>
      </c>
      <c r="U2630">
        <v>19</v>
      </c>
      <c r="V2630">
        <v>193.9195</v>
      </c>
      <c r="W2630">
        <v>46.49</v>
      </c>
      <c r="X2630">
        <v>0</v>
      </c>
      <c r="Y2630">
        <v>0</v>
      </c>
      <c r="Z2630">
        <v>3684.47</v>
      </c>
      <c r="AA2630">
        <v>3730.96</v>
      </c>
      <c r="AB2630" s="12" t="s">
        <v>201</v>
      </c>
      <c r="AD2630">
        <v>0</v>
      </c>
      <c r="AE2630">
        <v>0</v>
      </c>
      <c r="AH2630">
        <v>19</v>
      </c>
      <c r="AI2630">
        <v>19</v>
      </c>
      <c r="AJ2630">
        <v>0</v>
      </c>
      <c r="AK2630">
        <v>1</v>
      </c>
      <c r="AL2630">
        <v>1</v>
      </c>
      <c r="AM2630">
        <v>100</v>
      </c>
      <c r="AN2630">
        <v>196.3663</v>
      </c>
      <c r="AO2630">
        <v>0</v>
      </c>
      <c r="AP2630" s="13">
        <v>45443</v>
      </c>
      <c r="AQ2630">
        <v>9</v>
      </c>
      <c r="AR2630">
        <v>0</v>
      </c>
    </row>
    <row r="2631" spans="1:44" x14ac:dyDescent="0.35">
      <c r="A2631" s="12" t="s">
        <v>3481</v>
      </c>
      <c r="B2631" s="12" t="s">
        <v>773</v>
      </c>
      <c r="C2631" s="12" t="s">
        <v>774</v>
      </c>
      <c r="D2631" s="12" t="s">
        <v>64</v>
      </c>
      <c r="E2631" s="12" t="s">
        <v>142</v>
      </c>
      <c r="F2631">
        <v>1</v>
      </c>
      <c r="G2631">
        <v>7</v>
      </c>
      <c r="H2631">
        <v>1</v>
      </c>
      <c r="I2631" s="12" t="s">
        <v>251</v>
      </c>
      <c r="J2631" s="12" t="s">
        <v>252</v>
      </c>
      <c r="K2631" s="12" t="s">
        <v>133</v>
      </c>
      <c r="L2631" s="12" t="s">
        <v>69</v>
      </c>
      <c r="M2631">
        <v>34.49</v>
      </c>
      <c r="N2631" s="12" t="s">
        <v>97</v>
      </c>
      <c r="O2631" s="12" t="s">
        <v>98</v>
      </c>
      <c r="P2631" s="12" t="s">
        <v>72</v>
      </c>
      <c r="Q2631" s="13">
        <v>45421</v>
      </c>
      <c r="R2631" s="13">
        <v>45464</v>
      </c>
      <c r="S2631">
        <v>2024</v>
      </c>
      <c r="T2631" s="12" t="s">
        <v>3413</v>
      </c>
      <c r="U2631">
        <v>541</v>
      </c>
      <c r="V2631">
        <v>10.022600000000001</v>
      </c>
      <c r="W2631">
        <v>107.65</v>
      </c>
      <c r="X2631">
        <v>0</v>
      </c>
      <c r="Y2631">
        <v>0</v>
      </c>
      <c r="Z2631">
        <v>5422.23</v>
      </c>
      <c r="AA2631">
        <v>5529.88</v>
      </c>
      <c r="AB2631" s="12" t="s">
        <v>3354</v>
      </c>
      <c r="AC2631">
        <v>10.022600000000001</v>
      </c>
      <c r="AD2631">
        <v>1</v>
      </c>
      <c r="AE2631">
        <v>1</v>
      </c>
      <c r="AF2631">
        <v>0</v>
      </c>
      <c r="AG2631">
        <v>5422.23</v>
      </c>
      <c r="AH2631">
        <v>541</v>
      </c>
      <c r="AI2631">
        <v>536</v>
      </c>
      <c r="AJ2631">
        <v>5</v>
      </c>
      <c r="AK2631">
        <v>1</v>
      </c>
      <c r="AL2631">
        <v>1</v>
      </c>
      <c r="AM2631">
        <v>99.08</v>
      </c>
      <c r="AN2631">
        <v>10.3169</v>
      </c>
      <c r="AO2631">
        <v>50.11</v>
      </c>
      <c r="AP2631" s="13">
        <v>45467</v>
      </c>
      <c r="AQ2631">
        <v>3</v>
      </c>
      <c r="AR2631">
        <v>0</v>
      </c>
    </row>
    <row r="2632" spans="1:44" x14ac:dyDescent="0.35">
      <c r="A2632" s="12" t="s">
        <v>3482</v>
      </c>
      <c r="B2632" s="12" t="s">
        <v>823</v>
      </c>
      <c r="C2632" s="12" t="s">
        <v>824</v>
      </c>
      <c r="D2632" s="12" t="s">
        <v>114</v>
      </c>
      <c r="E2632" s="12" t="s">
        <v>142</v>
      </c>
      <c r="F2632">
        <v>1</v>
      </c>
      <c r="G2632">
        <v>8</v>
      </c>
      <c r="H2632">
        <v>1</v>
      </c>
      <c r="I2632" s="12" t="s">
        <v>515</v>
      </c>
      <c r="J2632" s="12" t="s">
        <v>516</v>
      </c>
      <c r="K2632" s="12" t="s">
        <v>68</v>
      </c>
      <c r="L2632" s="12" t="s">
        <v>134</v>
      </c>
      <c r="M2632">
        <v>3.69</v>
      </c>
      <c r="N2632" s="12" t="s">
        <v>70</v>
      </c>
      <c r="O2632" s="12" t="s">
        <v>71</v>
      </c>
      <c r="P2632" s="12" t="s">
        <v>72</v>
      </c>
      <c r="Q2632" s="13">
        <v>45421</v>
      </c>
      <c r="R2632" s="13">
        <v>45469</v>
      </c>
      <c r="S2632">
        <v>2024</v>
      </c>
      <c r="T2632" s="12" t="s">
        <v>3413</v>
      </c>
      <c r="U2632">
        <v>113</v>
      </c>
      <c r="V2632">
        <v>371.60379999999998</v>
      </c>
      <c r="W2632">
        <v>465.13</v>
      </c>
      <c r="X2632">
        <v>0</v>
      </c>
      <c r="Y2632">
        <v>0</v>
      </c>
      <c r="Z2632">
        <v>41991.23</v>
      </c>
      <c r="AA2632">
        <v>42456.36</v>
      </c>
      <c r="AB2632" s="12" t="s">
        <v>3483</v>
      </c>
      <c r="AC2632">
        <v>361.71230000000003</v>
      </c>
      <c r="AD2632">
        <v>1</v>
      </c>
      <c r="AE2632">
        <v>1</v>
      </c>
      <c r="AF2632">
        <v>1117.74</v>
      </c>
      <c r="AG2632">
        <v>40873.49</v>
      </c>
      <c r="AH2632">
        <v>113</v>
      </c>
      <c r="AI2632">
        <v>110</v>
      </c>
      <c r="AJ2632">
        <v>3</v>
      </c>
      <c r="AK2632">
        <v>1</v>
      </c>
      <c r="AL2632">
        <v>1</v>
      </c>
      <c r="AM2632">
        <v>97.35</v>
      </c>
      <c r="AN2632">
        <v>385.96690000000001</v>
      </c>
      <c r="AO2632">
        <v>1114.81</v>
      </c>
      <c r="AP2632" s="13">
        <v>45468</v>
      </c>
      <c r="AQ2632">
        <v>-1</v>
      </c>
      <c r="AR2632">
        <v>1</v>
      </c>
    </row>
    <row r="2633" spans="1:44" x14ac:dyDescent="0.35">
      <c r="A2633" s="12" t="s">
        <v>3484</v>
      </c>
      <c r="B2633" s="12" t="s">
        <v>490</v>
      </c>
      <c r="C2633" s="12" t="s">
        <v>491</v>
      </c>
      <c r="D2633" s="12" t="s">
        <v>130</v>
      </c>
      <c r="E2633" s="12" t="s">
        <v>104</v>
      </c>
      <c r="F2633">
        <v>3</v>
      </c>
      <c r="G2633">
        <v>1</v>
      </c>
      <c r="H2633">
        <v>0</v>
      </c>
      <c r="I2633" s="12" t="s">
        <v>243</v>
      </c>
      <c r="J2633" s="12" t="s">
        <v>244</v>
      </c>
      <c r="K2633" s="12" t="s">
        <v>81</v>
      </c>
      <c r="L2633" s="12" t="s">
        <v>82</v>
      </c>
      <c r="M2633">
        <v>9.2200000000000006</v>
      </c>
      <c r="N2633" s="12" t="s">
        <v>159</v>
      </c>
      <c r="O2633" s="12" t="s">
        <v>160</v>
      </c>
      <c r="P2633" s="12" t="s">
        <v>137</v>
      </c>
      <c r="Q2633" s="13">
        <v>45421</v>
      </c>
      <c r="R2633" s="13">
        <v>45435</v>
      </c>
      <c r="S2633">
        <v>2024</v>
      </c>
      <c r="T2633" s="12" t="s">
        <v>3413</v>
      </c>
      <c r="U2633">
        <v>32</v>
      </c>
      <c r="V2633">
        <v>335.60840000000002</v>
      </c>
      <c r="W2633">
        <v>270.20999999999998</v>
      </c>
      <c r="X2633">
        <v>0</v>
      </c>
      <c r="Y2633">
        <v>0</v>
      </c>
      <c r="Z2633">
        <v>10739.47</v>
      </c>
      <c r="AA2633">
        <v>11009.68</v>
      </c>
      <c r="AB2633" s="12" t="s">
        <v>201</v>
      </c>
      <c r="AD2633">
        <v>0</v>
      </c>
      <c r="AE2633">
        <v>0</v>
      </c>
      <c r="AH2633">
        <v>32</v>
      </c>
      <c r="AI2633">
        <v>32</v>
      </c>
      <c r="AJ2633">
        <v>0</v>
      </c>
      <c r="AK2633">
        <v>1</v>
      </c>
      <c r="AL2633">
        <v>1</v>
      </c>
      <c r="AM2633">
        <v>100</v>
      </c>
      <c r="AN2633">
        <v>344.05250000000001</v>
      </c>
      <c r="AO2633">
        <v>0</v>
      </c>
      <c r="AP2633" s="13">
        <v>45433</v>
      </c>
      <c r="AQ2633">
        <v>-2</v>
      </c>
      <c r="AR2633">
        <v>1</v>
      </c>
    </row>
    <row r="2634" spans="1:44" x14ac:dyDescent="0.35">
      <c r="A2634" s="12" t="s">
        <v>3485</v>
      </c>
      <c r="B2634" s="12" t="s">
        <v>924</v>
      </c>
      <c r="C2634" s="12" t="s">
        <v>925</v>
      </c>
      <c r="D2634" s="12" t="s">
        <v>103</v>
      </c>
      <c r="E2634" s="12" t="s">
        <v>104</v>
      </c>
      <c r="F2634">
        <v>2</v>
      </c>
      <c r="G2634">
        <v>0</v>
      </c>
      <c r="H2634">
        <v>0</v>
      </c>
      <c r="I2634" s="12" t="s">
        <v>275</v>
      </c>
      <c r="J2634" s="12" t="s">
        <v>276</v>
      </c>
      <c r="K2634" s="12" t="s">
        <v>89</v>
      </c>
      <c r="L2634" s="12" t="s">
        <v>82</v>
      </c>
      <c r="M2634">
        <v>14.26</v>
      </c>
      <c r="N2634" s="12" t="s">
        <v>145</v>
      </c>
      <c r="O2634" s="12" t="s">
        <v>146</v>
      </c>
      <c r="P2634" s="12" t="s">
        <v>109</v>
      </c>
      <c r="Q2634" s="13">
        <v>45421</v>
      </c>
      <c r="R2634" s="13">
        <v>45450</v>
      </c>
      <c r="S2634">
        <v>2024</v>
      </c>
      <c r="T2634" s="12" t="s">
        <v>3413</v>
      </c>
      <c r="U2634">
        <v>142</v>
      </c>
      <c r="V2634">
        <v>158.0436</v>
      </c>
      <c r="W2634">
        <v>407.7</v>
      </c>
      <c r="X2634">
        <v>0</v>
      </c>
      <c r="Y2634">
        <v>0</v>
      </c>
      <c r="Z2634">
        <v>22442.19</v>
      </c>
      <c r="AA2634">
        <v>22849.89</v>
      </c>
      <c r="AB2634" s="12" t="s">
        <v>3486</v>
      </c>
      <c r="AC2634">
        <v>158.0436</v>
      </c>
      <c r="AD2634">
        <v>1</v>
      </c>
      <c r="AE2634">
        <v>1</v>
      </c>
      <c r="AF2634">
        <v>0</v>
      </c>
      <c r="AG2634">
        <v>22442.19</v>
      </c>
      <c r="AH2634">
        <v>142</v>
      </c>
      <c r="AI2634">
        <v>141</v>
      </c>
      <c r="AJ2634">
        <v>1</v>
      </c>
      <c r="AK2634">
        <v>1</v>
      </c>
      <c r="AL2634">
        <v>1</v>
      </c>
      <c r="AM2634">
        <v>99.3</v>
      </c>
      <c r="AN2634">
        <v>162.05600000000001</v>
      </c>
      <c r="AO2634">
        <v>158.04</v>
      </c>
      <c r="AP2634" s="13">
        <v>45450</v>
      </c>
      <c r="AQ2634">
        <v>0</v>
      </c>
      <c r="AR2634">
        <v>1</v>
      </c>
    </row>
    <row r="2635" spans="1:44" x14ac:dyDescent="0.35">
      <c r="A2635" s="12" t="s">
        <v>3487</v>
      </c>
      <c r="B2635" s="12" t="s">
        <v>548</v>
      </c>
      <c r="C2635" s="12" t="s">
        <v>549</v>
      </c>
      <c r="D2635" s="12" t="s">
        <v>78</v>
      </c>
      <c r="E2635" s="12" t="s">
        <v>104</v>
      </c>
      <c r="F2635">
        <v>3</v>
      </c>
      <c r="G2635">
        <v>1</v>
      </c>
      <c r="H2635">
        <v>0</v>
      </c>
      <c r="I2635" s="12" t="s">
        <v>223</v>
      </c>
      <c r="J2635" s="12" t="s">
        <v>224</v>
      </c>
      <c r="K2635" s="12" t="s">
        <v>81</v>
      </c>
      <c r="L2635" s="12" t="s">
        <v>134</v>
      </c>
      <c r="M2635">
        <v>2.4900000000000002</v>
      </c>
      <c r="N2635" s="12" t="s">
        <v>97</v>
      </c>
      <c r="O2635" s="12" t="s">
        <v>98</v>
      </c>
      <c r="P2635" s="12" t="s">
        <v>72</v>
      </c>
      <c r="Q2635" s="13">
        <v>45422</v>
      </c>
      <c r="R2635" s="13">
        <v>45438</v>
      </c>
      <c r="S2635">
        <v>2024</v>
      </c>
      <c r="T2635" s="12" t="s">
        <v>3413</v>
      </c>
      <c r="U2635">
        <v>111</v>
      </c>
      <c r="V2635">
        <v>59.346200000000003</v>
      </c>
      <c r="W2635">
        <v>134.31</v>
      </c>
      <c r="X2635">
        <v>0</v>
      </c>
      <c r="Y2635">
        <v>0</v>
      </c>
      <c r="Z2635">
        <v>6587.43</v>
      </c>
      <c r="AA2635">
        <v>6721.74</v>
      </c>
      <c r="AB2635" s="12" t="s">
        <v>3127</v>
      </c>
      <c r="AC2635">
        <v>59.346200000000003</v>
      </c>
      <c r="AD2635">
        <v>1</v>
      </c>
      <c r="AE2635">
        <v>1</v>
      </c>
      <c r="AF2635">
        <v>0</v>
      </c>
      <c r="AG2635">
        <v>6587.43</v>
      </c>
      <c r="AH2635">
        <v>111</v>
      </c>
      <c r="AI2635">
        <v>110</v>
      </c>
      <c r="AJ2635">
        <v>1</v>
      </c>
      <c r="AK2635">
        <v>1</v>
      </c>
      <c r="AL2635">
        <v>1</v>
      </c>
      <c r="AM2635">
        <v>99.1</v>
      </c>
      <c r="AN2635">
        <v>61.106699999999996</v>
      </c>
      <c r="AO2635">
        <v>59.35</v>
      </c>
      <c r="AP2635" s="13">
        <v>45435</v>
      </c>
      <c r="AQ2635">
        <v>-3</v>
      </c>
      <c r="AR2635">
        <v>1</v>
      </c>
    </row>
    <row r="2636" spans="1:44" x14ac:dyDescent="0.35">
      <c r="A2636" s="12" t="s">
        <v>3488</v>
      </c>
      <c r="B2636" s="12" t="s">
        <v>241</v>
      </c>
      <c r="C2636" s="12" t="s">
        <v>242</v>
      </c>
      <c r="D2636" s="12" t="s">
        <v>103</v>
      </c>
      <c r="E2636" s="12" t="s">
        <v>142</v>
      </c>
      <c r="F2636">
        <v>3</v>
      </c>
      <c r="G2636">
        <v>11</v>
      </c>
      <c r="H2636">
        <v>0</v>
      </c>
      <c r="I2636" s="12" t="s">
        <v>79</v>
      </c>
      <c r="J2636" s="12" t="s">
        <v>80</v>
      </c>
      <c r="K2636" s="12" t="s">
        <v>81</v>
      </c>
      <c r="L2636" s="12" t="s">
        <v>82</v>
      </c>
      <c r="M2636">
        <v>12.07</v>
      </c>
      <c r="N2636" s="12" t="s">
        <v>145</v>
      </c>
      <c r="O2636" s="12" t="s">
        <v>146</v>
      </c>
      <c r="P2636" s="12" t="s">
        <v>109</v>
      </c>
      <c r="Q2636" s="13">
        <v>45422</v>
      </c>
      <c r="R2636" s="13">
        <v>45457</v>
      </c>
      <c r="S2636">
        <v>2024</v>
      </c>
      <c r="T2636" s="12" t="s">
        <v>3413</v>
      </c>
      <c r="U2636">
        <v>11</v>
      </c>
      <c r="V2636">
        <v>182.02690000000001</v>
      </c>
      <c r="W2636">
        <v>17.77</v>
      </c>
      <c r="X2636">
        <v>62.72</v>
      </c>
      <c r="Y2636">
        <v>1</v>
      </c>
      <c r="Z2636">
        <v>2002.3</v>
      </c>
      <c r="AA2636">
        <v>2082.79</v>
      </c>
      <c r="AB2636" s="12" t="s">
        <v>201</v>
      </c>
      <c r="AD2636">
        <v>0</v>
      </c>
      <c r="AE2636">
        <v>0</v>
      </c>
      <c r="AH2636">
        <v>11</v>
      </c>
      <c r="AI2636">
        <v>11</v>
      </c>
      <c r="AJ2636">
        <v>0</v>
      </c>
      <c r="AK2636">
        <v>1</v>
      </c>
      <c r="AL2636">
        <v>1</v>
      </c>
      <c r="AM2636">
        <v>100</v>
      </c>
      <c r="AN2636">
        <v>189.3442</v>
      </c>
      <c r="AO2636">
        <v>0</v>
      </c>
      <c r="AP2636" s="13">
        <v>45456</v>
      </c>
      <c r="AQ2636">
        <v>-1</v>
      </c>
      <c r="AR2636">
        <v>1</v>
      </c>
    </row>
    <row r="2637" spans="1:44" x14ac:dyDescent="0.35">
      <c r="A2637" s="12" t="s">
        <v>3489</v>
      </c>
      <c r="B2637" s="12" t="s">
        <v>661</v>
      </c>
      <c r="C2637" s="12" t="s">
        <v>662</v>
      </c>
      <c r="D2637" s="12" t="s">
        <v>175</v>
      </c>
      <c r="E2637" s="12" t="s">
        <v>104</v>
      </c>
      <c r="F2637">
        <v>1</v>
      </c>
      <c r="G2637">
        <v>0</v>
      </c>
      <c r="H2637">
        <v>1</v>
      </c>
      <c r="I2637" s="12" t="s">
        <v>183</v>
      </c>
      <c r="J2637" s="12" t="s">
        <v>184</v>
      </c>
      <c r="K2637" s="12" t="s">
        <v>133</v>
      </c>
      <c r="L2637" s="12" t="s">
        <v>82</v>
      </c>
      <c r="M2637">
        <v>8.6199999999999992</v>
      </c>
      <c r="N2637" s="12" t="s">
        <v>107</v>
      </c>
      <c r="O2637" s="12" t="s">
        <v>108</v>
      </c>
      <c r="P2637" s="12" t="s">
        <v>109</v>
      </c>
      <c r="Q2637" s="13">
        <v>45422</v>
      </c>
      <c r="R2637" s="13">
        <v>45445</v>
      </c>
      <c r="S2637">
        <v>2024</v>
      </c>
      <c r="T2637" s="12" t="s">
        <v>3413</v>
      </c>
      <c r="U2637">
        <v>99</v>
      </c>
      <c r="V2637">
        <v>180.0376</v>
      </c>
      <c r="W2637">
        <v>451.85</v>
      </c>
      <c r="X2637">
        <v>0</v>
      </c>
      <c r="Y2637">
        <v>0</v>
      </c>
      <c r="Z2637">
        <v>17823.72</v>
      </c>
      <c r="AA2637">
        <v>18275.57</v>
      </c>
      <c r="AB2637" s="12" t="s">
        <v>2851</v>
      </c>
      <c r="AC2637">
        <v>180.0376</v>
      </c>
      <c r="AD2637">
        <v>1</v>
      </c>
      <c r="AE2637">
        <v>1</v>
      </c>
      <c r="AF2637">
        <v>0</v>
      </c>
      <c r="AG2637">
        <v>17823.72</v>
      </c>
      <c r="AH2637">
        <v>99</v>
      </c>
      <c r="AI2637">
        <v>99</v>
      </c>
      <c r="AJ2637">
        <v>0</v>
      </c>
      <c r="AK2637">
        <v>1</v>
      </c>
      <c r="AL2637">
        <v>1</v>
      </c>
      <c r="AM2637">
        <v>100</v>
      </c>
      <c r="AN2637">
        <v>184.60169999999999</v>
      </c>
      <c r="AO2637">
        <v>0</v>
      </c>
      <c r="AP2637" s="13">
        <v>45446</v>
      </c>
      <c r="AQ2637">
        <v>1</v>
      </c>
      <c r="AR2637">
        <v>0</v>
      </c>
    </row>
    <row r="2638" spans="1:44" x14ac:dyDescent="0.35">
      <c r="A2638" s="12" t="s">
        <v>3490</v>
      </c>
      <c r="B2638" s="12" t="s">
        <v>482</v>
      </c>
      <c r="C2638" s="12" t="s">
        <v>483</v>
      </c>
      <c r="D2638" s="12" t="s">
        <v>78</v>
      </c>
      <c r="E2638" s="12" t="s">
        <v>142</v>
      </c>
      <c r="F2638">
        <v>2</v>
      </c>
      <c r="G2638">
        <v>9</v>
      </c>
      <c r="H2638">
        <v>0</v>
      </c>
      <c r="I2638" s="12" t="s">
        <v>183</v>
      </c>
      <c r="J2638" s="12" t="s">
        <v>184</v>
      </c>
      <c r="K2638" s="12" t="s">
        <v>133</v>
      </c>
      <c r="L2638" s="12" t="s">
        <v>82</v>
      </c>
      <c r="M2638">
        <v>8.6199999999999992</v>
      </c>
      <c r="N2638" s="12" t="s">
        <v>97</v>
      </c>
      <c r="O2638" s="12" t="s">
        <v>98</v>
      </c>
      <c r="P2638" s="12" t="s">
        <v>72</v>
      </c>
      <c r="Q2638" s="13">
        <v>45422</v>
      </c>
      <c r="R2638" s="13">
        <v>45457</v>
      </c>
      <c r="S2638">
        <v>2024</v>
      </c>
      <c r="T2638" s="12" t="s">
        <v>3413</v>
      </c>
      <c r="U2638">
        <v>44</v>
      </c>
      <c r="V2638">
        <v>49.540999999999997</v>
      </c>
      <c r="W2638">
        <v>22.93</v>
      </c>
      <c r="X2638">
        <v>0</v>
      </c>
      <c r="Y2638">
        <v>0</v>
      </c>
      <c r="Z2638">
        <v>2179.8000000000002</v>
      </c>
      <c r="AA2638">
        <v>2202.73</v>
      </c>
      <c r="AB2638" s="12" t="s">
        <v>201</v>
      </c>
      <c r="AD2638">
        <v>0</v>
      </c>
      <c r="AE2638">
        <v>0</v>
      </c>
      <c r="AH2638">
        <v>44</v>
      </c>
      <c r="AI2638">
        <v>44</v>
      </c>
      <c r="AJ2638">
        <v>0</v>
      </c>
      <c r="AK2638">
        <v>1</v>
      </c>
      <c r="AL2638">
        <v>1</v>
      </c>
      <c r="AM2638">
        <v>100</v>
      </c>
      <c r="AN2638">
        <v>50.062100000000001</v>
      </c>
      <c r="AO2638">
        <v>0</v>
      </c>
      <c r="AP2638" s="13">
        <v>45456</v>
      </c>
      <c r="AQ2638">
        <v>-1</v>
      </c>
      <c r="AR2638">
        <v>1</v>
      </c>
    </row>
    <row r="2639" spans="1:44" x14ac:dyDescent="0.35">
      <c r="A2639" s="12" t="s">
        <v>3491</v>
      </c>
      <c r="B2639" s="12" t="s">
        <v>587</v>
      </c>
      <c r="C2639" s="12" t="s">
        <v>588</v>
      </c>
      <c r="D2639" s="12" t="s">
        <v>122</v>
      </c>
      <c r="E2639" s="12" t="s">
        <v>104</v>
      </c>
      <c r="F2639">
        <v>2</v>
      </c>
      <c r="G2639">
        <v>0</v>
      </c>
      <c r="H2639">
        <v>0</v>
      </c>
      <c r="I2639" s="12" t="s">
        <v>486</v>
      </c>
      <c r="J2639" s="12" t="s">
        <v>487</v>
      </c>
      <c r="K2639" s="12" t="s">
        <v>125</v>
      </c>
      <c r="L2639" s="12" t="s">
        <v>69</v>
      </c>
      <c r="M2639">
        <v>36.86</v>
      </c>
      <c r="N2639" s="12" t="s">
        <v>97</v>
      </c>
      <c r="O2639" s="12" t="s">
        <v>98</v>
      </c>
      <c r="P2639" s="12" t="s">
        <v>72</v>
      </c>
      <c r="Q2639" s="13">
        <v>45422</v>
      </c>
      <c r="R2639" s="13">
        <v>45440</v>
      </c>
      <c r="S2639">
        <v>2024</v>
      </c>
      <c r="T2639" s="12" t="s">
        <v>3413</v>
      </c>
      <c r="U2639">
        <v>857</v>
      </c>
      <c r="V2639">
        <v>11.9803</v>
      </c>
      <c r="W2639">
        <v>259.17</v>
      </c>
      <c r="X2639">
        <v>0</v>
      </c>
      <c r="Y2639">
        <v>0</v>
      </c>
      <c r="Z2639">
        <v>10267.120000000001</v>
      </c>
      <c r="AA2639">
        <v>10526.29</v>
      </c>
      <c r="AB2639" s="12" t="s">
        <v>3188</v>
      </c>
      <c r="AC2639">
        <v>11.9803</v>
      </c>
      <c r="AD2639">
        <v>1</v>
      </c>
      <c r="AE2639">
        <v>1</v>
      </c>
      <c r="AF2639">
        <v>0</v>
      </c>
      <c r="AG2639">
        <v>10267.120000000001</v>
      </c>
      <c r="AH2639">
        <v>857</v>
      </c>
      <c r="AI2639">
        <v>851</v>
      </c>
      <c r="AJ2639">
        <v>6</v>
      </c>
      <c r="AK2639">
        <v>1</v>
      </c>
      <c r="AL2639">
        <v>1</v>
      </c>
      <c r="AM2639">
        <v>99.3</v>
      </c>
      <c r="AN2639">
        <v>12.369300000000001</v>
      </c>
      <c r="AO2639">
        <v>71.88</v>
      </c>
      <c r="AP2639" s="13">
        <v>45440</v>
      </c>
      <c r="AQ2639">
        <v>0</v>
      </c>
      <c r="AR2639">
        <v>1</v>
      </c>
    </row>
    <row r="2640" spans="1:44" x14ac:dyDescent="0.35">
      <c r="A2640" s="12" t="s">
        <v>3492</v>
      </c>
      <c r="B2640" s="12" t="s">
        <v>498</v>
      </c>
      <c r="C2640" s="12" t="s">
        <v>499</v>
      </c>
      <c r="D2640" s="12" t="s">
        <v>175</v>
      </c>
      <c r="E2640" s="12" t="s">
        <v>104</v>
      </c>
      <c r="F2640">
        <v>3</v>
      </c>
      <c r="G2640">
        <v>1</v>
      </c>
      <c r="H2640">
        <v>0</v>
      </c>
      <c r="I2640" s="12" t="s">
        <v>676</v>
      </c>
      <c r="J2640" s="12" t="s">
        <v>677</v>
      </c>
      <c r="K2640" s="12" t="s">
        <v>68</v>
      </c>
      <c r="L2640" s="12" t="s">
        <v>96</v>
      </c>
      <c r="M2640">
        <v>3.57</v>
      </c>
      <c r="N2640" s="12" t="s">
        <v>145</v>
      </c>
      <c r="O2640" s="12" t="s">
        <v>146</v>
      </c>
      <c r="P2640" s="12" t="s">
        <v>109</v>
      </c>
      <c r="Q2640" s="13">
        <v>45422</v>
      </c>
      <c r="R2640" s="13">
        <v>45445</v>
      </c>
      <c r="S2640">
        <v>2024</v>
      </c>
      <c r="T2640" s="12" t="s">
        <v>3413</v>
      </c>
      <c r="U2640">
        <v>100</v>
      </c>
      <c r="V2640">
        <v>259.09370000000001</v>
      </c>
      <c r="W2640">
        <v>312.47000000000003</v>
      </c>
      <c r="X2640">
        <v>0</v>
      </c>
      <c r="Y2640">
        <v>0</v>
      </c>
      <c r="Z2640">
        <v>25909.37</v>
      </c>
      <c r="AA2640">
        <v>26221.84</v>
      </c>
      <c r="AB2640" s="12" t="s">
        <v>3179</v>
      </c>
      <c r="AC2640">
        <v>259.09370000000001</v>
      </c>
      <c r="AD2640">
        <v>1</v>
      </c>
      <c r="AE2640">
        <v>1</v>
      </c>
      <c r="AF2640">
        <v>0</v>
      </c>
      <c r="AG2640">
        <v>25909.37</v>
      </c>
      <c r="AH2640">
        <v>100</v>
      </c>
      <c r="AI2640">
        <v>100</v>
      </c>
      <c r="AJ2640">
        <v>0</v>
      </c>
      <c r="AK2640">
        <v>1</v>
      </c>
      <c r="AL2640">
        <v>1</v>
      </c>
      <c r="AM2640">
        <v>100</v>
      </c>
      <c r="AN2640">
        <v>262.21839999999997</v>
      </c>
      <c r="AO2640">
        <v>0</v>
      </c>
      <c r="AP2640" s="13">
        <v>45442</v>
      </c>
      <c r="AQ2640">
        <v>-3</v>
      </c>
      <c r="AR2640">
        <v>1</v>
      </c>
    </row>
    <row r="2641" spans="1:44" x14ac:dyDescent="0.35">
      <c r="A2641" s="12" t="s">
        <v>3493</v>
      </c>
      <c r="B2641" s="12" t="s">
        <v>513</v>
      </c>
      <c r="C2641" s="12" t="s">
        <v>514</v>
      </c>
      <c r="D2641" s="12" t="s">
        <v>269</v>
      </c>
      <c r="E2641" s="12" t="s">
        <v>65</v>
      </c>
      <c r="F2641">
        <v>1</v>
      </c>
      <c r="G2641">
        <v>2</v>
      </c>
      <c r="H2641">
        <v>1</v>
      </c>
      <c r="I2641" s="12" t="s">
        <v>515</v>
      </c>
      <c r="J2641" s="12" t="s">
        <v>516</v>
      </c>
      <c r="K2641" s="12" t="s">
        <v>68</v>
      </c>
      <c r="L2641" s="12" t="s">
        <v>134</v>
      </c>
      <c r="M2641">
        <v>3.69</v>
      </c>
      <c r="N2641" s="12" t="s">
        <v>135</v>
      </c>
      <c r="O2641" s="12" t="s">
        <v>136</v>
      </c>
      <c r="P2641" s="12" t="s">
        <v>137</v>
      </c>
      <c r="Q2641" s="13">
        <v>45425</v>
      </c>
      <c r="R2641" s="13">
        <v>45448</v>
      </c>
      <c r="S2641">
        <v>2024</v>
      </c>
      <c r="T2641" s="12" t="s">
        <v>3413</v>
      </c>
      <c r="U2641">
        <v>30</v>
      </c>
      <c r="V2641">
        <v>227.1181</v>
      </c>
      <c r="W2641">
        <v>55.79</v>
      </c>
      <c r="X2641">
        <v>0</v>
      </c>
      <c r="Y2641">
        <v>0</v>
      </c>
      <c r="Z2641">
        <v>6813.54</v>
      </c>
      <c r="AA2641">
        <v>6869.33</v>
      </c>
      <c r="AB2641" s="12" t="s">
        <v>201</v>
      </c>
      <c r="AD2641">
        <v>0</v>
      </c>
      <c r="AE2641">
        <v>0</v>
      </c>
      <c r="AH2641">
        <v>30</v>
      </c>
      <c r="AI2641">
        <v>30</v>
      </c>
      <c r="AJ2641">
        <v>0</v>
      </c>
      <c r="AK2641">
        <v>1</v>
      </c>
      <c r="AL2641">
        <v>1</v>
      </c>
      <c r="AM2641">
        <v>100</v>
      </c>
      <c r="AN2641">
        <v>228.9778</v>
      </c>
      <c r="AO2641">
        <v>0</v>
      </c>
      <c r="AP2641" s="13">
        <v>45448</v>
      </c>
      <c r="AQ2641">
        <v>0</v>
      </c>
      <c r="AR2641">
        <v>1</v>
      </c>
    </row>
    <row r="2642" spans="1:44" x14ac:dyDescent="0.35">
      <c r="A2642" s="12" t="s">
        <v>3494</v>
      </c>
      <c r="B2642" s="12" t="s">
        <v>646</v>
      </c>
      <c r="C2642" s="12" t="s">
        <v>647</v>
      </c>
      <c r="D2642" s="12" t="s">
        <v>175</v>
      </c>
      <c r="E2642" s="12" t="s">
        <v>104</v>
      </c>
      <c r="F2642">
        <v>3</v>
      </c>
      <c r="G2642">
        <v>1</v>
      </c>
      <c r="H2642">
        <v>0</v>
      </c>
      <c r="I2642" s="12" t="s">
        <v>209</v>
      </c>
      <c r="J2642" s="12" t="s">
        <v>210</v>
      </c>
      <c r="K2642" s="12" t="s">
        <v>133</v>
      </c>
      <c r="L2642" s="12" t="s">
        <v>96</v>
      </c>
      <c r="M2642">
        <v>7.82</v>
      </c>
      <c r="N2642" s="12" t="s">
        <v>145</v>
      </c>
      <c r="O2642" s="12" t="s">
        <v>146</v>
      </c>
      <c r="P2642" s="12" t="s">
        <v>109</v>
      </c>
      <c r="Q2642" s="13">
        <v>45425</v>
      </c>
      <c r="R2642" s="13">
        <v>45449</v>
      </c>
      <c r="S2642">
        <v>2024</v>
      </c>
      <c r="T2642" s="12" t="s">
        <v>3413</v>
      </c>
      <c r="U2642">
        <v>107</v>
      </c>
      <c r="V2642">
        <v>250.76840000000001</v>
      </c>
      <c r="W2642">
        <v>309.88</v>
      </c>
      <c r="X2642">
        <v>0</v>
      </c>
      <c r="Y2642">
        <v>0</v>
      </c>
      <c r="Z2642">
        <v>26832.22</v>
      </c>
      <c r="AA2642">
        <v>27142.1</v>
      </c>
      <c r="AB2642" s="12" t="s">
        <v>201</v>
      </c>
      <c r="AD2642">
        <v>0</v>
      </c>
      <c r="AE2642">
        <v>0</v>
      </c>
      <c r="AH2642">
        <v>107</v>
      </c>
      <c r="AI2642">
        <v>105</v>
      </c>
      <c r="AJ2642">
        <v>2</v>
      </c>
      <c r="AK2642">
        <v>1</v>
      </c>
      <c r="AL2642">
        <v>1</v>
      </c>
      <c r="AM2642">
        <v>98.13</v>
      </c>
      <c r="AN2642">
        <v>258.49619999999999</v>
      </c>
      <c r="AO2642">
        <v>501.54</v>
      </c>
      <c r="AP2642" s="13">
        <v>45447</v>
      </c>
      <c r="AQ2642">
        <v>-2</v>
      </c>
      <c r="AR2642">
        <v>1</v>
      </c>
    </row>
    <row r="2643" spans="1:44" x14ac:dyDescent="0.35">
      <c r="A2643" s="12" t="s">
        <v>3495</v>
      </c>
      <c r="B2643" s="12" t="s">
        <v>408</v>
      </c>
      <c r="C2643" s="12" t="s">
        <v>409</v>
      </c>
      <c r="D2643" s="12" t="s">
        <v>130</v>
      </c>
      <c r="E2643" s="12" t="s">
        <v>65</v>
      </c>
      <c r="F2643">
        <v>3</v>
      </c>
      <c r="G2643">
        <v>5</v>
      </c>
      <c r="H2643">
        <v>0</v>
      </c>
      <c r="I2643" s="12" t="s">
        <v>275</v>
      </c>
      <c r="J2643" s="12" t="s">
        <v>276</v>
      </c>
      <c r="K2643" s="12" t="s">
        <v>89</v>
      </c>
      <c r="L2643" s="12" t="s">
        <v>82</v>
      </c>
      <c r="M2643">
        <v>14.26</v>
      </c>
      <c r="N2643" s="12" t="s">
        <v>159</v>
      </c>
      <c r="O2643" s="12" t="s">
        <v>160</v>
      </c>
      <c r="P2643" s="12" t="s">
        <v>137</v>
      </c>
      <c r="Q2643" s="13">
        <v>45425</v>
      </c>
      <c r="R2643" s="13">
        <v>45453</v>
      </c>
      <c r="S2643">
        <v>2024</v>
      </c>
      <c r="T2643" s="12" t="s">
        <v>3413</v>
      </c>
      <c r="U2643">
        <v>70</v>
      </c>
      <c r="V2643">
        <v>787.16110000000003</v>
      </c>
      <c r="W2643">
        <v>666.28</v>
      </c>
      <c r="X2643">
        <v>0</v>
      </c>
      <c r="Y2643">
        <v>0</v>
      </c>
      <c r="Z2643">
        <v>55101.279999999999</v>
      </c>
      <c r="AA2643">
        <v>55767.56</v>
      </c>
      <c r="AB2643" s="12" t="s">
        <v>201</v>
      </c>
      <c r="AD2643">
        <v>0</v>
      </c>
      <c r="AE2643">
        <v>0</v>
      </c>
      <c r="AH2643">
        <v>70</v>
      </c>
      <c r="AI2643">
        <v>69</v>
      </c>
      <c r="AJ2643">
        <v>1</v>
      </c>
      <c r="AK2643">
        <v>1</v>
      </c>
      <c r="AL2643">
        <v>1</v>
      </c>
      <c r="AM2643">
        <v>98.57</v>
      </c>
      <c r="AN2643">
        <v>808.22550000000001</v>
      </c>
      <c r="AO2643">
        <v>787.16</v>
      </c>
      <c r="AP2643" s="13">
        <v>45451</v>
      </c>
      <c r="AQ2643">
        <v>-2</v>
      </c>
      <c r="AR2643">
        <v>1</v>
      </c>
    </row>
    <row r="2644" spans="1:44" x14ac:dyDescent="0.35">
      <c r="A2644" s="12" t="s">
        <v>3496</v>
      </c>
      <c r="B2644" s="12" t="s">
        <v>952</v>
      </c>
      <c r="C2644" s="12" t="s">
        <v>953</v>
      </c>
      <c r="D2644" s="12" t="s">
        <v>64</v>
      </c>
      <c r="E2644" s="12" t="s">
        <v>142</v>
      </c>
      <c r="F2644">
        <v>1</v>
      </c>
      <c r="G2644">
        <v>8</v>
      </c>
      <c r="H2644">
        <v>1</v>
      </c>
      <c r="I2644" s="12" t="s">
        <v>131</v>
      </c>
      <c r="J2644" s="12" t="s">
        <v>132</v>
      </c>
      <c r="K2644" s="12" t="s">
        <v>133</v>
      </c>
      <c r="L2644" s="12" t="s">
        <v>134</v>
      </c>
      <c r="M2644">
        <v>1.51</v>
      </c>
      <c r="N2644" s="12" t="s">
        <v>97</v>
      </c>
      <c r="O2644" s="12" t="s">
        <v>98</v>
      </c>
      <c r="P2644" s="12" t="s">
        <v>72</v>
      </c>
      <c r="Q2644" s="13">
        <v>45425</v>
      </c>
      <c r="R2644" s="13">
        <v>45474</v>
      </c>
      <c r="S2644">
        <v>2024</v>
      </c>
      <c r="T2644" s="12" t="s">
        <v>3413</v>
      </c>
      <c r="U2644">
        <v>839</v>
      </c>
      <c r="V2644">
        <v>31.110399999999998</v>
      </c>
      <c r="W2644">
        <v>324.14999999999998</v>
      </c>
      <c r="X2644">
        <v>0</v>
      </c>
      <c r="Y2644">
        <v>0</v>
      </c>
      <c r="Z2644">
        <v>26101.63</v>
      </c>
      <c r="AA2644">
        <v>26425.78</v>
      </c>
      <c r="AB2644" s="12" t="s">
        <v>3261</v>
      </c>
      <c r="AC2644">
        <v>31.110399999999998</v>
      </c>
      <c r="AD2644">
        <v>1</v>
      </c>
      <c r="AE2644">
        <v>1</v>
      </c>
      <c r="AF2644">
        <v>0</v>
      </c>
      <c r="AG2644">
        <v>26101.63</v>
      </c>
      <c r="AH2644">
        <v>839</v>
      </c>
      <c r="AI2644">
        <v>829</v>
      </c>
      <c r="AJ2644">
        <v>10</v>
      </c>
      <c r="AK2644">
        <v>1</v>
      </c>
      <c r="AL2644">
        <v>1</v>
      </c>
      <c r="AM2644">
        <v>98.81</v>
      </c>
      <c r="AN2644">
        <v>31.8767</v>
      </c>
      <c r="AO2644">
        <v>311.10000000000002</v>
      </c>
      <c r="AP2644" s="13">
        <v>45474</v>
      </c>
      <c r="AQ2644">
        <v>0</v>
      </c>
      <c r="AR2644">
        <v>1</v>
      </c>
    </row>
    <row r="2645" spans="1:44" x14ac:dyDescent="0.35">
      <c r="A2645" s="12" t="s">
        <v>3497</v>
      </c>
      <c r="B2645" s="12" t="s">
        <v>1026</v>
      </c>
      <c r="C2645" s="12" t="s">
        <v>1027</v>
      </c>
      <c r="D2645" s="12" t="s">
        <v>122</v>
      </c>
      <c r="E2645" s="12" t="s">
        <v>104</v>
      </c>
      <c r="F2645">
        <v>3</v>
      </c>
      <c r="G2645">
        <v>1</v>
      </c>
      <c r="H2645">
        <v>0</v>
      </c>
      <c r="I2645" s="12" t="s">
        <v>183</v>
      </c>
      <c r="J2645" s="12" t="s">
        <v>184</v>
      </c>
      <c r="K2645" s="12" t="s">
        <v>133</v>
      </c>
      <c r="L2645" s="12" t="s">
        <v>82</v>
      </c>
      <c r="M2645">
        <v>8.6199999999999992</v>
      </c>
      <c r="N2645" s="12" t="s">
        <v>97</v>
      </c>
      <c r="O2645" s="12" t="s">
        <v>98</v>
      </c>
      <c r="P2645" s="12" t="s">
        <v>72</v>
      </c>
      <c r="Q2645" s="13">
        <v>45425</v>
      </c>
      <c r="R2645" s="13">
        <v>45446</v>
      </c>
      <c r="S2645">
        <v>2024</v>
      </c>
      <c r="T2645" s="12" t="s">
        <v>3413</v>
      </c>
      <c r="U2645">
        <v>1147</v>
      </c>
      <c r="V2645">
        <v>40.107799999999997</v>
      </c>
      <c r="W2645">
        <v>542.44000000000005</v>
      </c>
      <c r="X2645">
        <v>0</v>
      </c>
      <c r="Y2645">
        <v>0</v>
      </c>
      <c r="Z2645">
        <v>46003.65</v>
      </c>
      <c r="AA2645">
        <v>46546.09</v>
      </c>
      <c r="AB2645" s="12" t="s">
        <v>3447</v>
      </c>
      <c r="AC2645">
        <v>41.511600000000001</v>
      </c>
      <c r="AD2645">
        <v>2</v>
      </c>
      <c r="AE2645">
        <v>1</v>
      </c>
      <c r="AF2645">
        <v>-1610.16</v>
      </c>
      <c r="AG2645">
        <v>47613.81</v>
      </c>
      <c r="AH2645">
        <v>1147</v>
      </c>
      <c r="AI2645">
        <v>1142</v>
      </c>
      <c r="AJ2645">
        <v>5</v>
      </c>
      <c r="AK2645">
        <v>1</v>
      </c>
      <c r="AL2645">
        <v>1</v>
      </c>
      <c r="AM2645">
        <v>99.56</v>
      </c>
      <c r="AN2645">
        <v>40.758400000000002</v>
      </c>
      <c r="AO2645">
        <v>200.54</v>
      </c>
      <c r="AP2645" s="13">
        <v>45446</v>
      </c>
      <c r="AQ2645">
        <v>0</v>
      </c>
      <c r="AR2645">
        <v>1</v>
      </c>
    </row>
    <row r="2646" spans="1:44" x14ac:dyDescent="0.35">
      <c r="A2646" s="12" t="s">
        <v>3498</v>
      </c>
      <c r="B2646" s="12" t="s">
        <v>193</v>
      </c>
      <c r="C2646" s="12" t="s">
        <v>194</v>
      </c>
      <c r="D2646" s="12" t="s">
        <v>114</v>
      </c>
      <c r="E2646" s="12" t="s">
        <v>65</v>
      </c>
      <c r="F2646">
        <v>3</v>
      </c>
      <c r="G2646">
        <v>4</v>
      </c>
      <c r="H2646">
        <v>0</v>
      </c>
      <c r="I2646" s="12" t="s">
        <v>195</v>
      </c>
      <c r="J2646" s="12" t="s">
        <v>196</v>
      </c>
      <c r="K2646" s="12" t="s">
        <v>117</v>
      </c>
      <c r="L2646" s="12" t="s">
        <v>134</v>
      </c>
      <c r="M2646">
        <v>4.7699999999999996</v>
      </c>
      <c r="N2646" s="12" t="s">
        <v>70</v>
      </c>
      <c r="O2646" s="12" t="s">
        <v>71</v>
      </c>
      <c r="P2646" s="12" t="s">
        <v>72</v>
      </c>
      <c r="Q2646" s="13">
        <v>45425</v>
      </c>
      <c r="R2646" s="13">
        <v>45455</v>
      </c>
      <c r="S2646">
        <v>2024</v>
      </c>
      <c r="T2646" s="12" t="s">
        <v>3413</v>
      </c>
      <c r="U2646">
        <v>82</v>
      </c>
      <c r="V2646">
        <v>99.726299999999995</v>
      </c>
      <c r="W2646">
        <v>115.73</v>
      </c>
      <c r="X2646">
        <v>0</v>
      </c>
      <c r="Y2646">
        <v>0</v>
      </c>
      <c r="Z2646">
        <v>8177.56</v>
      </c>
      <c r="AA2646">
        <v>8293.2900000000009</v>
      </c>
      <c r="AB2646" s="12" t="s">
        <v>3197</v>
      </c>
      <c r="AC2646">
        <v>105.8943</v>
      </c>
      <c r="AD2646">
        <v>1</v>
      </c>
      <c r="AE2646">
        <v>1</v>
      </c>
      <c r="AF2646">
        <v>-505.78</v>
      </c>
      <c r="AG2646">
        <v>8683.33</v>
      </c>
      <c r="AH2646">
        <v>82</v>
      </c>
      <c r="AI2646">
        <v>80</v>
      </c>
      <c r="AJ2646">
        <v>2</v>
      </c>
      <c r="AK2646">
        <v>1</v>
      </c>
      <c r="AL2646">
        <v>1</v>
      </c>
      <c r="AM2646">
        <v>97.56</v>
      </c>
      <c r="AN2646">
        <v>103.6661</v>
      </c>
      <c r="AO2646">
        <v>199.45</v>
      </c>
      <c r="AP2646" s="13">
        <v>45453</v>
      </c>
      <c r="AQ2646">
        <v>-2</v>
      </c>
      <c r="AR2646">
        <v>1</v>
      </c>
    </row>
    <row r="2647" spans="1:44" x14ac:dyDescent="0.35">
      <c r="A2647" s="12" t="s">
        <v>3499</v>
      </c>
      <c r="B2647" s="12" t="s">
        <v>532</v>
      </c>
      <c r="C2647" s="12" t="s">
        <v>533</v>
      </c>
      <c r="D2647" s="12" t="s">
        <v>114</v>
      </c>
      <c r="E2647" s="12" t="s">
        <v>65</v>
      </c>
      <c r="F2647">
        <v>2</v>
      </c>
      <c r="G2647">
        <v>3</v>
      </c>
      <c r="H2647">
        <v>0</v>
      </c>
      <c r="I2647" s="12" t="s">
        <v>105</v>
      </c>
      <c r="J2647" s="12" t="s">
        <v>106</v>
      </c>
      <c r="K2647" s="12" t="s">
        <v>81</v>
      </c>
      <c r="L2647" s="12" t="s">
        <v>96</v>
      </c>
      <c r="M2647">
        <v>5.01</v>
      </c>
      <c r="N2647" s="12" t="s">
        <v>70</v>
      </c>
      <c r="O2647" s="12" t="s">
        <v>71</v>
      </c>
      <c r="P2647" s="12" t="s">
        <v>72</v>
      </c>
      <c r="Q2647" s="13">
        <v>45425</v>
      </c>
      <c r="R2647" s="13">
        <v>45456</v>
      </c>
      <c r="S2647">
        <v>2024</v>
      </c>
      <c r="T2647" s="12" t="s">
        <v>3413</v>
      </c>
      <c r="U2647">
        <v>89</v>
      </c>
      <c r="V2647">
        <v>249.9546</v>
      </c>
      <c r="W2647">
        <v>559.02</v>
      </c>
      <c r="X2647">
        <v>0</v>
      </c>
      <c r="Y2647">
        <v>0</v>
      </c>
      <c r="Z2647">
        <v>22245.96</v>
      </c>
      <c r="AA2647">
        <v>22804.98</v>
      </c>
      <c r="AB2647" s="12" t="s">
        <v>3041</v>
      </c>
      <c r="AC2647">
        <v>249.9546</v>
      </c>
      <c r="AD2647">
        <v>1</v>
      </c>
      <c r="AE2647">
        <v>1</v>
      </c>
      <c r="AF2647">
        <v>0</v>
      </c>
      <c r="AG2647">
        <v>22245.96</v>
      </c>
      <c r="AH2647">
        <v>89</v>
      </c>
      <c r="AI2647">
        <v>87</v>
      </c>
      <c r="AJ2647">
        <v>2</v>
      </c>
      <c r="AK2647">
        <v>1</v>
      </c>
      <c r="AL2647">
        <v>1</v>
      </c>
      <c r="AM2647">
        <v>97.75</v>
      </c>
      <c r="AN2647">
        <v>262.12619999999998</v>
      </c>
      <c r="AO2647">
        <v>499.91</v>
      </c>
      <c r="AP2647" s="13">
        <v>45456</v>
      </c>
      <c r="AQ2647">
        <v>0</v>
      </c>
      <c r="AR2647">
        <v>1</v>
      </c>
    </row>
    <row r="2648" spans="1:44" x14ac:dyDescent="0.35">
      <c r="A2648" s="12" t="s">
        <v>3500</v>
      </c>
      <c r="B2648" s="12" t="s">
        <v>1013</v>
      </c>
      <c r="C2648" s="12" t="s">
        <v>1014</v>
      </c>
      <c r="D2648" s="12" t="s">
        <v>78</v>
      </c>
      <c r="E2648" s="12" t="s">
        <v>65</v>
      </c>
      <c r="F2648">
        <v>2</v>
      </c>
      <c r="G2648">
        <v>3</v>
      </c>
      <c r="H2648">
        <v>0</v>
      </c>
      <c r="I2648" s="12" t="s">
        <v>123</v>
      </c>
      <c r="J2648" s="12" t="s">
        <v>124</v>
      </c>
      <c r="K2648" s="12" t="s">
        <v>125</v>
      </c>
      <c r="L2648" s="12" t="s">
        <v>82</v>
      </c>
      <c r="M2648">
        <v>6.75</v>
      </c>
      <c r="N2648" s="12" t="s">
        <v>97</v>
      </c>
      <c r="O2648" s="12" t="s">
        <v>98</v>
      </c>
      <c r="P2648" s="12" t="s">
        <v>72</v>
      </c>
      <c r="Q2648" s="13">
        <v>45425</v>
      </c>
      <c r="R2648" s="13">
        <v>45454</v>
      </c>
      <c r="S2648">
        <v>2024</v>
      </c>
      <c r="T2648" s="12" t="s">
        <v>3413</v>
      </c>
      <c r="U2648">
        <v>160</v>
      </c>
      <c r="V2648">
        <v>125.10590000000001</v>
      </c>
      <c r="W2648">
        <v>211.69</v>
      </c>
      <c r="X2648">
        <v>0</v>
      </c>
      <c r="Y2648">
        <v>0</v>
      </c>
      <c r="Z2648">
        <v>20016.939999999999</v>
      </c>
      <c r="AA2648">
        <v>20228.63</v>
      </c>
      <c r="AB2648" s="12" t="s">
        <v>3398</v>
      </c>
      <c r="AC2648">
        <v>125.10590000000001</v>
      </c>
      <c r="AD2648">
        <v>1</v>
      </c>
      <c r="AE2648">
        <v>1</v>
      </c>
      <c r="AF2648">
        <v>0</v>
      </c>
      <c r="AG2648">
        <v>20016.939999999999</v>
      </c>
      <c r="AH2648">
        <v>160</v>
      </c>
      <c r="AI2648">
        <v>158</v>
      </c>
      <c r="AJ2648">
        <v>2</v>
      </c>
      <c r="AK2648">
        <v>1</v>
      </c>
      <c r="AL2648">
        <v>1</v>
      </c>
      <c r="AM2648">
        <v>98.75</v>
      </c>
      <c r="AN2648">
        <v>128.02930000000001</v>
      </c>
      <c r="AO2648">
        <v>250.21</v>
      </c>
      <c r="AP2648" s="13">
        <v>45454</v>
      </c>
      <c r="AQ2648">
        <v>0</v>
      </c>
      <c r="AR2648">
        <v>1</v>
      </c>
    </row>
    <row r="2649" spans="1:44" x14ac:dyDescent="0.35">
      <c r="A2649" s="12" t="s">
        <v>3501</v>
      </c>
      <c r="B2649" s="12" t="s">
        <v>787</v>
      </c>
      <c r="C2649" s="12" t="s">
        <v>788</v>
      </c>
      <c r="D2649" s="12" t="s">
        <v>269</v>
      </c>
      <c r="E2649" s="12" t="s">
        <v>65</v>
      </c>
      <c r="F2649">
        <v>2</v>
      </c>
      <c r="G2649">
        <v>3</v>
      </c>
      <c r="H2649">
        <v>0</v>
      </c>
      <c r="I2649" s="12" t="s">
        <v>263</v>
      </c>
      <c r="J2649" s="12" t="s">
        <v>264</v>
      </c>
      <c r="K2649" s="12" t="s">
        <v>125</v>
      </c>
      <c r="L2649" s="12" t="s">
        <v>82</v>
      </c>
      <c r="M2649">
        <v>10.210000000000001</v>
      </c>
      <c r="N2649" s="12" t="s">
        <v>159</v>
      </c>
      <c r="O2649" s="12" t="s">
        <v>160</v>
      </c>
      <c r="P2649" s="12" t="s">
        <v>137</v>
      </c>
      <c r="Q2649" s="13">
        <v>45425</v>
      </c>
      <c r="R2649" s="13">
        <v>45454</v>
      </c>
      <c r="S2649">
        <v>2024</v>
      </c>
      <c r="T2649" s="12" t="s">
        <v>3413</v>
      </c>
      <c r="U2649">
        <v>74</v>
      </c>
      <c r="V2649">
        <v>322.4162</v>
      </c>
      <c r="W2649">
        <v>343.39</v>
      </c>
      <c r="X2649">
        <v>0</v>
      </c>
      <c r="Y2649">
        <v>0</v>
      </c>
      <c r="Z2649">
        <v>23858.799999999999</v>
      </c>
      <c r="AA2649">
        <v>24202.19</v>
      </c>
      <c r="AB2649" s="12" t="s">
        <v>3502</v>
      </c>
      <c r="AC2649">
        <v>322.4162</v>
      </c>
      <c r="AD2649">
        <v>1</v>
      </c>
      <c r="AE2649">
        <v>1</v>
      </c>
      <c r="AF2649">
        <v>0</v>
      </c>
      <c r="AG2649">
        <v>23858.799999999999</v>
      </c>
      <c r="AH2649">
        <v>74</v>
      </c>
      <c r="AI2649">
        <v>73</v>
      </c>
      <c r="AJ2649">
        <v>1</v>
      </c>
      <c r="AK2649">
        <v>1</v>
      </c>
      <c r="AL2649">
        <v>1</v>
      </c>
      <c r="AM2649">
        <v>98.65</v>
      </c>
      <c r="AN2649">
        <v>331.53680000000003</v>
      </c>
      <c r="AO2649">
        <v>322.42</v>
      </c>
      <c r="AP2649" s="13">
        <v>45458</v>
      </c>
      <c r="AQ2649">
        <v>4</v>
      </c>
      <c r="AR2649">
        <v>0</v>
      </c>
    </row>
    <row r="2650" spans="1:44" x14ac:dyDescent="0.35">
      <c r="A2650" s="12" t="s">
        <v>3503</v>
      </c>
      <c r="B2650" s="12" t="s">
        <v>740</v>
      </c>
      <c r="C2650" s="12" t="s">
        <v>741</v>
      </c>
      <c r="D2650" s="12" t="s">
        <v>64</v>
      </c>
      <c r="E2650" s="12" t="s">
        <v>104</v>
      </c>
      <c r="F2650">
        <v>2</v>
      </c>
      <c r="G2650">
        <v>0</v>
      </c>
      <c r="H2650">
        <v>0</v>
      </c>
      <c r="I2650" s="12" t="s">
        <v>183</v>
      </c>
      <c r="J2650" s="12" t="s">
        <v>184</v>
      </c>
      <c r="K2650" s="12" t="s">
        <v>133</v>
      </c>
      <c r="L2650" s="12" t="s">
        <v>82</v>
      </c>
      <c r="M2650">
        <v>8.6199999999999992</v>
      </c>
      <c r="N2650" s="12" t="s">
        <v>70</v>
      </c>
      <c r="O2650" s="12" t="s">
        <v>71</v>
      </c>
      <c r="P2650" s="12" t="s">
        <v>72</v>
      </c>
      <c r="Q2650" s="13">
        <v>45425</v>
      </c>
      <c r="R2650" s="13">
        <v>45442</v>
      </c>
      <c r="S2650">
        <v>2024</v>
      </c>
      <c r="T2650" s="12" t="s">
        <v>3413</v>
      </c>
      <c r="U2650">
        <v>380</v>
      </c>
      <c r="V2650">
        <v>41.1708</v>
      </c>
      <c r="W2650">
        <v>100.3</v>
      </c>
      <c r="X2650">
        <v>0</v>
      </c>
      <c r="Y2650">
        <v>0</v>
      </c>
      <c r="Z2650">
        <v>15644.9</v>
      </c>
      <c r="AA2650">
        <v>15745.2</v>
      </c>
      <c r="AB2650" s="12" t="s">
        <v>3134</v>
      </c>
      <c r="AC2650">
        <v>41.1708</v>
      </c>
      <c r="AD2650">
        <v>1</v>
      </c>
      <c r="AE2650">
        <v>1</v>
      </c>
      <c r="AF2650">
        <v>0</v>
      </c>
      <c r="AG2650">
        <v>15644.9</v>
      </c>
      <c r="AH2650">
        <v>380</v>
      </c>
      <c r="AI2650">
        <v>378</v>
      </c>
      <c r="AJ2650">
        <v>2</v>
      </c>
      <c r="AK2650">
        <v>1</v>
      </c>
      <c r="AL2650">
        <v>1</v>
      </c>
      <c r="AM2650">
        <v>99.47</v>
      </c>
      <c r="AN2650">
        <v>41.654000000000003</v>
      </c>
      <c r="AO2650">
        <v>82.34</v>
      </c>
      <c r="AP2650" s="13">
        <v>45449</v>
      </c>
      <c r="AQ2650">
        <v>7</v>
      </c>
      <c r="AR2650">
        <v>0</v>
      </c>
    </row>
    <row r="2651" spans="1:44" x14ac:dyDescent="0.35">
      <c r="A2651" s="12" t="s">
        <v>3504</v>
      </c>
      <c r="B2651" s="12" t="s">
        <v>347</v>
      </c>
      <c r="C2651" s="12" t="s">
        <v>348</v>
      </c>
      <c r="D2651" s="12" t="s">
        <v>78</v>
      </c>
      <c r="E2651" s="12" t="s">
        <v>104</v>
      </c>
      <c r="F2651">
        <v>3</v>
      </c>
      <c r="G2651">
        <v>1</v>
      </c>
      <c r="H2651">
        <v>0</v>
      </c>
      <c r="I2651" s="12" t="s">
        <v>105</v>
      </c>
      <c r="J2651" s="12" t="s">
        <v>106</v>
      </c>
      <c r="K2651" s="12" t="s">
        <v>81</v>
      </c>
      <c r="L2651" s="12" t="s">
        <v>96</v>
      </c>
      <c r="M2651">
        <v>5.01</v>
      </c>
      <c r="N2651" s="12" t="s">
        <v>70</v>
      </c>
      <c r="O2651" s="12" t="s">
        <v>71</v>
      </c>
      <c r="P2651" s="12" t="s">
        <v>72</v>
      </c>
      <c r="Q2651" s="13">
        <v>45426</v>
      </c>
      <c r="R2651" s="13">
        <v>45454</v>
      </c>
      <c r="S2651">
        <v>2024</v>
      </c>
      <c r="T2651" s="12" t="s">
        <v>3413</v>
      </c>
      <c r="U2651">
        <v>273</v>
      </c>
      <c r="V2651">
        <v>103.4789</v>
      </c>
      <c r="W2651">
        <v>260.95999999999998</v>
      </c>
      <c r="X2651">
        <v>0</v>
      </c>
      <c r="Y2651">
        <v>0</v>
      </c>
      <c r="Z2651">
        <v>28249.74</v>
      </c>
      <c r="AA2651">
        <v>28510.7</v>
      </c>
      <c r="AB2651" s="12" t="s">
        <v>2996</v>
      </c>
      <c r="AC2651">
        <v>100.28740000000001</v>
      </c>
      <c r="AD2651">
        <v>1</v>
      </c>
      <c r="AE2651">
        <v>1</v>
      </c>
      <c r="AF2651">
        <v>871.28</v>
      </c>
      <c r="AG2651">
        <v>27378.46</v>
      </c>
      <c r="AH2651">
        <v>273</v>
      </c>
      <c r="AI2651">
        <v>272</v>
      </c>
      <c r="AJ2651">
        <v>1</v>
      </c>
      <c r="AK2651">
        <v>1</v>
      </c>
      <c r="AL2651">
        <v>1</v>
      </c>
      <c r="AM2651">
        <v>99.63</v>
      </c>
      <c r="AN2651">
        <v>104.81870000000001</v>
      </c>
      <c r="AO2651">
        <v>103.48</v>
      </c>
      <c r="AP2651" s="13">
        <v>45454</v>
      </c>
      <c r="AQ2651">
        <v>0</v>
      </c>
      <c r="AR2651">
        <v>1</v>
      </c>
    </row>
    <row r="2652" spans="1:44" x14ac:dyDescent="0.35">
      <c r="A2652" s="12" t="s">
        <v>3505</v>
      </c>
      <c r="B2652" s="12" t="s">
        <v>416</v>
      </c>
      <c r="C2652" s="12" t="s">
        <v>417</v>
      </c>
      <c r="D2652" s="12" t="s">
        <v>78</v>
      </c>
      <c r="E2652" s="12" t="s">
        <v>65</v>
      </c>
      <c r="F2652">
        <v>3</v>
      </c>
      <c r="G2652">
        <v>5</v>
      </c>
      <c r="H2652">
        <v>0</v>
      </c>
      <c r="I2652" s="12" t="s">
        <v>169</v>
      </c>
      <c r="J2652" s="12" t="s">
        <v>170</v>
      </c>
      <c r="K2652" s="12" t="s">
        <v>89</v>
      </c>
      <c r="L2652" s="12" t="s">
        <v>134</v>
      </c>
      <c r="M2652">
        <v>1.37</v>
      </c>
      <c r="N2652" s="12" t="s">
        <v>70</v>
      </c>
      <c r="O2652" s="12" t="s">
        <v>71</v>
      </c>
      <c r="P2652" s="12" t="s">
        <v>72</v>
      </c>
      <c r="Q2652" s="13">
        <v>45426</v>
      </c>
      <c r="R2652" s="13">
        <v>45463</v>
      </c>
      <c r="S2652">
        <v>2024</v>
      </c>
      <c r="T2652" s="12" t="s">
        <v>3413</v>
      </c>
      <c r="U2652">
        <v>280</v>
      </c>
      <c r="V2652">
        <v>136.4109</v>
      </c>
      <c r="W2652">
        <v>376.91</v>
      </c>
      <c r="X2652">
        <v>0</v>
      </c>
      <c r="Y2652">
        <v>0</v>
      </c>
      <c r="Z2652">
        <v>38195.050000000003</v>
      </c>
      <c r="AA2652">
        <v>38571.96</v>
      </c>
      <c r="AB2652" s="12" t="s">
        <v>2980</v>
      </c>
      <c r="AC2652">
        <v>136.4109</v>
      </c>
      <c r="AD2652">
        <v>1</v>
      </c>
      <c r="AE2652">
        <v>1</v>
      </c>
      <c r="AF2652">
        <v>0</v>
      </c>
      <c r="AG2652">
        <v>38195.050000000003</v>
      </c>
      <c r="AH2652">
        <v>280</v>
      </c>
      <c r="AI2652">
        <v>278</v>
      </c>
      <c r="AJ2652">
        <v>2</v>
      </c>
      <c r="AK2652">
        <v>1</v>
      </c>
      <c r="AL2652">
        <v>1</v>
      </c>
      <c r="AM2652">
        <v>99.29</v>
      </c>
      <c r="AN2652">
        <v>138.74809999999999</v>
      </c>
      <c r="AO2652">
        <v>272.82</v>
      </c>
      <c r="AP2652" s="13">
        <v>45462</v>
      </c>
      <c r="AQ2652">
        <v>-1</v>
      </c>
      <c r="AR2652">
        <v>1</v>
      </c>
    </row>
    <row r="2653" spans="1:44" x14ac:dyDescent="0.35">
      <c r="A2653" s="12" t="s">
        <v>3506</v>
      </c>
      <c r="B2653" s="12" t="s">
        <v>613</v>
      </c>
      <c r="C2653" s="12" t="s">
        <v>614</v>
      </c>
      <c r="D2653" s="12" t="s">
        <v>130</v>
      </c>
      <c r="E2653" s="12" t="s">
        <v>104</v>
      </c>
      <c r="F2653">
        <v>3</v>
      </c>
      <c r="G2653">
        <v>1</v>
      </c>
      <c r="H2653">
        <v>0</v>
      </c>
      <c r="I2653" s="12" t="s">
        <v>66</v>
      </c>
      <c r="J2653" s="12" t="s">
        <v>67</v>
      </c>
      <c r="K2653" s="12" t="s">
        <v>68</v>
      </c>
      <c r="L2653" s="12" t="s">
        <v>69</v>
      </c>
      <c r="M2653">
        <v>17.66</v>
      </c>
      <c r="N2653" s="12" t="s">
        <v>135</v>
      </c>
      <c r="O2653" s="12" t="s">
        <v>136</v>
      </c>
      <c r="P2653" s="12" t="s">
        <v>137</v>
      </c>
      <c r="Q2653" s="13">
        <v>45426</v>
      </c>
      <c r="R2653" s="13">
        <v>45453</v>
      </c>
      <c r="S2653">
        <v>2024</v>
      </c>
      <c r="T2653" s="12" t="s">
        <v>3413</v>
      </c>
      <c r="U2653">
        <v>130</v>
      </c>
      <c r="V2653">
        <v>178.37450000000001</v>
      </c>
      <c r="W2653">
        <v>230.54</v>
      </c>
      <c r="X2653">
        <v>0</v>
      </c>
      <c r="Y2653">
        <v>0</v>
      </c>
      <c r="Z2653">
        <v>23188.69</v>
      </c>
      <c r="AA2653">
        <v>23419.23</v>
      </c>
      <c r="AB2653" s="12" t="s">
        <v>3097</v>
      </c>
      <c r="AC2653">
        <v>173.59219999999999</v>
      </c>
      <c r="AD2653">
        <v>1</v>
      </c>
      <c r="AE2653">
        <v>1</v>
      </c>
      <c r="AF2653">
        <v>621.70000000000005</v>
      </c>
      <c r="AG2653">
        <v>22566.99</v>
      </c>
      <c r="AH2653">
        <v>130</v>
      </c>
      <c r="AI2653">
        <v>130</v>
      </c>
      <c r="AJ2653">
        <v>0</v>
      </c>
      <c r="AK2653">
        <v>1</v>
      </c>
      <c r="AL2653">
        <v>1</v>
      </c>
      <c r="AM2653">
        <v>100</v>
      </c>
      <c r="AN2653">
        <v>180.14789999999999</v>
      </c>
      <c r="AO2653">
        <v>0</v>
      </c>
      <c r="AP2653" s="13">
        <v>45460</v>
      </c>
      <c r="AQ2653">
        <v>7</v>
      </c>
      <c r="AR2653">
        <v>0</v>
      </c>
    </row>
    <row r="2654" spans="1:44" x14ac:dyDescent="0.35">
      <c r="A2654" s="12" t="s">
        <v>3507</v>
      </c>
      <c r="B2654" s="12" t="s">
        <v>569</v>
      </c>
      <c r="C2654" s="12" t="s">
        <v>570</v>
      </c>
      <c r="D2654" s="12" t="s">
        <v>114</v>
      </c>
      <c r="E2654" s="12" t="s">
        <v>142</v>
      </c>
      <c r="F2654">
        <v>1</v>
      </c>
      <c r="G2654">
        <v>6</v>
      </c>
      <c r="H2654">
        <v>1</v>
      </c>
      <c r="I2654" s="12" t="s">
        <v>123</v>
      </c>
      <c r="J2654" s="12" t="s">
        <v>124</v>
      </c>
      <c r="K2654" s="12" t="s">
        <v>125</v>
      </c>
      <c r="L2654" s="12" t="s">
        <v>82</v>
      </c>
      <c r="M2654">
        <v>6.75</v>
      </c>
      <c r="N2654" s="12" t="s">
        <v>97</v>
      </c>
      <c r="O2654" s="12" t="s">
        <v>98</v>
      </c>
      <c r="P2654" s="12" t="s">
        <v>72</v>
      </c>
      <c r="Q2654" s="13">
        <v>45426</v>
      </c>
      <c r="R2654" s="13">
        <v>45471</v>
      </c>
      <c r="S2654">
        <v>2024</v>
      </c>
      <c r="T2654" s="12" t="s">
        <v>3413</v>
      </c>
      <c r="U2654">
        <v>88</v>
      </c>
      <c r="V2654">
        <v>349.07319999999999</v>
      </c>
      <c r="W2654">
        <v>330.77</v>
      </c>
      <c r="X2654">
        <v>0</v>
      </c>
      <c r="Y2654">
        <v>0</v>
      </c>
      <c r="Z2654">
        <v>30718.44</v>
      </c>
      <c r="AA2654">
        <v>31049.21</v>
      </c>
      <c r="AB2654" s="12" t="s">
        <v>3205</v>
      </c>
      <c r="AC2654">
        <v>349.07319999999999</v>
      </c>
      <c r="AD2654">
        <v>1</v>
      </c>
      <c r="AE2654">
        <v>1</v>
      </c>
      <c r="AF2654">
        <v>0</v>
      </c>
      <c r="AG2654">
        <v>30718.44</v>
      </c>
      <c r="AH2654">
        <v>88</v>
      </c>
      <c r="AI2654">
        <v>87</v>
      </c>
      <c r="AJ2654">
        <v>1</v>
      </c>
      <c r="AK2654">
        <v>1</v>
      </c>
      <c r="AL2654">
        <v>1</v>
      </c>
      <c r="AM2654">
        <v>98.86</v>
      </c>
      <c r="AN2654">
        <v>356.88749999999999</v>
      </c>
      <c r="AO2654">
        <v>349.07</v>
      </c>
      <c r="AP2654" s="13">
        <v>45481</v>
      </c>
      <c r="AQ2654">
        <v>10</v>
      </c>
      <c r="AR2654">
        <v>0</v>
      </c>
    </row>
    <row r="2655" spans="1:44" x14ac:dyDescent="0.35">
      <c r="A2655" s="12" t="s">
        <v>3508</v>
      </c>
      <c r="B2655" s="12" t="s">
        <v>155</v>
      </c>
      <c r="C2655" s="12" t="s">
        <v>156</v>
      </c>
      <c r="D2655" s="12" t="s">
        <v>130</v>
      </c>
      <c r="E2655" s="12" t="s">
        <v>104</v>
      </c>
      <c r="F2655">
        <v>3</v>
      </c>
      <c r="G2655">
        <v>1</v>
      </c>
      <c r="H2655">
        <v>0</v>
      </c>
      <c r="I2655" s="12" t="s">
        <v>131</v>
      </c>
      <c r="J2655" s="12" t="s">
        <v>132</v>
      </c>
      <c r="K2655" s="12" t="s">
        <v>133</v>
      </c>
      <c r="L2655" s="12" t="s">
        <v>134</v>
      </c>
      <c r="M2655">
        <v>1.51</v>
      </c>
      <c r="N2655" s="12" t="s">
        <v>159</v>
      </c>
      <c r="O2655" s="12" t="s">
        <v>160</v>
      </c>
      <c r="P2655" s="12" t="s">
        <v>137</v>
      </c>
      <c r="Q2655" s="13">
        <v>45426</v>
      </c>
      <c r="R2655" s="13">
        <v>45448</v>
      </c>
      <c r="S2655">
        <v>2024</v>
      </c>
      <c r="T2655" s="12" t="s">
        <v>3413</v>
      </c>
      <c r="U2655">
        <v>88</v>
      </c>
      <c r="V2655">
        <v>174.95269999999999</v>
      </c>
      <c r="W2655">
        <v>302.14999999999998</v>
      </c>
      <c r="X2655">
        <v>473.92</v>
      </c>
      <c r="Y2655">
        <v>1</v>
      </c>
      <c r="Z2655">
        <v>15395.84</v>
      </c>
      <c r="AA2655">
        <v>16171.91</v>
      </c>
      <c r="AB2655" s="12" t="s">
        <v>3509</v>
      </c>
      <c r="AC2655">
        <v>174.95269999999999</v>
      </c>
      <c r="AD2655">
        <v>1</v>
      </c>
      <c r="AE2655">
        <v>1</v>
      </c>
      <c r="AF2655">
        <v>0</v>
      </c>
      <c r="AG2655">
        <v>15395.84</v>
      </c>
      <c r="AH2655">
        <v>88</v>
      </c>
      <c r="AI2655">
        <v>82</v>
      </c>
      <c r="AJ2655">
        <v>6</v>
      </c>
      <c r="AK2655">
        <v>1</v>
      </c>
      <c r="AL2655">
        <v>1</v>
      </c>
      <c r="AM2655">
        <v>93.18</v>
      </c>
      <c r="AN2655">
        <v>197.2184</v>
      </c>
      <c r="AO2655">
        <v>1049.72</v>
      </c>
      <c r="AP2655" s="13">
        <v>45445</v>
      </c>
      <c r="AQ2655">
        <v>-3</v>
      </c>
      <c r="AR2655">
        <v>1</v>
      </c>
    </row>
    <row r="2656" spans="1:44" x14ac:dyDescent="0.35">
      <c r="A2656" s="12" t="s">
        <v>3510</v>
      </c>
      <c r="B2656" s="12" t="s">
        <v>92</v>
      </c>
      <c r="C2656" s="12" t="s">
        <v>93</v>
      </c>
      <c r="D2656" s="12" t="s">
        <v>64</v>
      </c>
      <c r="E2656" s="12" t="s">
        <v>65</v>
      </c>
      <c r="F2656">
        <v>3</v>
      </c>
      <c r="G2656">
        <v>5</v>
      </c>
      <c r="H2656">
        <v>0</v>
      </c>
      <c r="I2656" s="12" t="s">
        <v>94</v>
      </c>
      <c r="J2656" s="12" t="s">
        <v>95</v>
      </c>
      <c r="K2656" s="12" t="s">
        <v>81</v>
      </c>
      <c r="L2656" s="12" t="s">
        <v>96</v>
      </c>
      <c r="M2656">
        <v>4.8099999999999996</v>
      </c>
      <c r="N2656" s="12" t="s">
        <v>97</v>
      </c>
      <c r="O2656" s="12" t="s">
        <v>98</v>
      </c>
      <c r="P2656" s="12" t="s">
        <v>72</v>
      </c>
      <c r="Q2656" s="13">
        <v>45426</v>
      </c>
      <c r="R2656" s="13">
        <v>45454</v>
      </c>
      <c r="S2656">
        <v>2024</v>
      </c>
      <c r="T2656" s="12" t="s">
        <v>3413</v>
      </c>
      <c r="U2656">
        <v>492</v>
      </c>
      <c r="V2656">
        <v>23.8764</v>
      </c>
      <c r="W2656">
        <v>240.81</v>
      </c>
      <c r="X2656">
        <v>0</v>
      </c>
      <c r="Y2656">
        <v>0</v>
      </c>
      <c r="Z2656">
        <v>11747.19</v>
      </c>
      <c r="AA2656">
        <v>11988</v>
      </c>
      <c r="AB2656" s="12" t="s">
        <v>2802</v>
      </c>
      <c r="AC2656">
        <v>23.8764</v>
      </c>
      <c r="AD2656">
        <v>1</v>
      </c>
      <c r="AE2656">
        <v>1</v>
      </c>
      <c r="AF2656">
        <v>0</v>
      </c>
      <c r="AG2656">
        <v>11747.19</v>
      </c>
      <c r="AH2656">
        <v>492</v>
      </c>
      <c r="AI2656">
        <v>491</v>
      </c>
      <c r="AJ2656">
        <v>1</v>
      </c>
      <c r="AK2656">
        <v>1</v>
      </c>
      <c r="AL2656">
        <v>1</v>
      </c>
      <c r="AM2656">
        <v>99.8</v>
      </c>
      <c r="AN2656">
        <v>24.415500000000002</v>
      </c>
      <c r="AO2656">
        <v>23.88</v>
      </c>
      <c r="AP2656" s="13">
        <v>45451</v>
      </c>
      <c r="AQ2656">
        <v>-3</v>
      </c>
      <c r="AR2656">
        <v>1</v>
      </c>
    </row>
    <row r="2657" spans="1:44" x14ac:dyDescent="0.35">
      <c r="A2657" s="12" t="s">
        <v>3511</v>
      </c>
      <c r="B2657" s="12" t="s">
        <v>238</v>
      </c>
      <c r="C2657" s="12" t="s">
        <v>239</v>
      </c>
      <c r="D2657" s="12" t="s">
        <v>122</v>
      </c>
      <c r="E2657" s="12" t="s">
        <v>65</v>
      </c>
      <c r="F2657">
        <v>3</v>
      </c>
      <c r="G2657">
        <v>4</v>
      </c>
      <c r="H2657">
        <v>0</v>
      </c>
      <c r="I2657" s="12" t="s">
        <v>79</v>
      </c>
      <c r="J2657" s="12" t="s">
        <v>80</v>
      </c>
      <c r="K2657" s="12" t="s">
        <v>81</v>
      </c>
      <c r="L2657" s="12" t="s">
        <v>82</v>
      </c>
      <c r="M2657">
        <v>12.07</v>
      </c>
      <c r="N2657" s="12" t="s">
        <v>97</v>
      </c>
      <c r="O2657" s="12" t="s">
        <v>98</v>
      </c>
      <c r="P2657" s="12" t="s">
        <v>72</v>
      </c>
      <c r="Q2657" s="13">
        <v>45426</v>
      </c>
      <c r="R2657" s="13">
        <v>45450</v>
      </c>
      <c r="S2657">
        <v>2024</v>
      </c>
      <c r="T2657" s="12" t="s">
        <v>3413</v>
      </c>
      <c r="U2657">
        <v>574</v>
      </c>
      <c r="V2657">
        <v>35.6462</v>
      </c>
      <c r="W2657">
        <v>461.87</v>
      </c>
      <c r="X2657">
        <v>0</v>
      </c>
      <c r="Y2657">
        <v>0</v>
      </c>
      <c r="Z2657">
        <v>20460.919999999998</v>
      </c>
      <c r="AA2657">
        <v>20922.79</v>
      </c>
      <c r="AB2657" s="12" t="s">
        <v>2688</v>
      </c>
      <c r="AC2657">
        <v>35.6462</v>
      </c>
      <c r="AD2657">
        <v>1</v>
      </c>
      <c r="AE2657">
        <v>1</v>
      </c>
      <c r="AF2657">
        <v>0</v>
      </c>
      <c r="AG2657">
        <v>20460.919999999998</v>
      </c>
      <c r="AH2657">
        <v>574</v>
      </c>
      <c r="AI2657">
        <v>572</v>
      </c>
      <c r="AJ2657">
        <v>2</v>
      </c>
      <c r="AK2657">
        <v>1</v>
      </c>
      <c r="AL2657">
        <v>1</v>
      </c>
      <c r="AM2657">
        <v>99.65</v>
      </c>
      <c r="AN2657">
        <v>36.578299999999999</v>
      </c>
      <c r="AO2657">
        <v>71.290000000000006</v>
      </c>
      <c r="AP2657" s="13">
        <v>45447</v>
      </c>
      <c r="AQ2657">
        <v>-3</v>
      </c>
      <c r="AR2657">
        <v>1</v>
      </c>
    </row>
    <row r="2658" spans="1:44" x14ac:dyDescent="0.35">
      <c r="A2658" s="12" t="s">
        <v>3512</v>
      </c>
      <c r="B2658" s="12" t="s">
        <v>437</v>
      </c>
      <c r="C2658" s="12" t="s">
        <v>438</v>
      </c>
      <c r="D2658" s="12" t="s">
        <v>269</v>
      </c>
      <c r="E2658" s="12" t="s">
        <v>65</v>
      </c>
      <c r="F2658">
        <v>2</v>
      </c>
      <c r="G2658">
        <v>4</v>
      </c>
      <c r="H2658">
        <v>0</v>
      </c>
      <c r="I2658" s="12" t="s">
        <v>183</v>
      </c>
      <c r="J2658" s="12" t="s">
        <v>184</v>
      </c>
      <c r="K2658" s="12" t="s">
        <v>133</v>
      </c>
      <c r="L2658" s="12" t="s">
        <v>82</v>
      </c>
      <c r="M2658">
        <v>8.6199999999999992</v>
      </c>
      <c r="N2658" s="12" t="s">
        <v>159</v>
      </c>
      <c r="O2658" s="12" t="s">
        <v>160</v>
      </c>
      <c r="P2658" s="12" t="s">
        <v>137</v>
      </c>
      <c r="Q2658" s="13">
        <v>45427</v>
      </c>
      <c r="R2658" s="13">
        <v>45463</v>
      </c>
      <c r="S2658">
        <v>2024</v>
      </c>
      <c r="T2658" s="12" t="s">
        <v>3413</v>
      </c>
      <c r="U2658">
        <v>128</v>
      </c>
      <c r="V2658">
        <v>430.72949999999997</v>
      </c>
      <c r="W2658">
        <v>766</v>
      </c>
      <c r="X2658">
        <v>0</v>
      </c>
      <c r="Y2658">
        <v>0</v>
      </c>
      <c r="Z2658">
        <v>55133.38</v>
      </c>
      <c r="AA2658">
        <v>55899.38</v>
      </c>
      <c r="AB2658" s="12" t="s">
        <v>3513</v>
      </c>
      <c r="AC2658">
        <v>430.72949999999997</v>
      </c>
      <c r="AD2658">
        <v>1</v>
      </c>
      <c r="AE2658">
        <v>1</v>
      </c>
      <c r="AF2658">
        <v>0</v>
      </c>
      <c r="AG2658">
        <v>55133.38</v>
      </c>
      <c r="AH2658">
        <v>128</v>
      </c>
      <c r="AI2658">
        <v>128</v>
      </c>
      <c r="AJ2658">
        <v>0</v>
      </c>
      <c r="AK2658">
        <v>1</v>
      </c>
      <c r="AL2658">
        <v>1</v>
      </c>
      <c r="AM2658">
        <v>100</v>
      </c>
      <c r="AN2658">
        <v>436.71390000000002</v>
      </c>
      <c r="AO2658">
        <v>0</v>
      </c>
      <c r="AP2658" s="13">
        <v>45462</v>
      </c>
      <c r="AQ2658">
        <v>-1</v>
      </c>
      <c r="AR2658">
        <v>1</v>
      </c>
    </row>
    <row r="2659" spans="1:44" x14ac:dyDescent="0.35">
      <c r="A2659" s="12" t="s">
        <v>3514</v>
      </c>
      <c r="B2659" s="12" t="s">
        <v>747</v>
      </c>
      <c r="C2659" s="12" t="s">
        <v>748</v>
      </c>
      <c r="D2659" s="12" t="s">
        <v>114</v>
      </c>
      <c r="E2659" s="12" t="s">
        <v>104</v>
      </c>
      <c r="F2659">
        <v>2</v>
      </c>
      <c r="G2659">
        <v>0</v>
      </c>
      <c r="H2659">
        <v>0</v>
      </c>
      <c r="I2659" s="12" t="s">
        <v>380</v>
      </c>
      <c r="J2659" s="12" t="s">
        <v>381</v>
      </c>
      <c r="K2659" s="12" t="s">
        <v>89</v>
      </c>
      <c r="L2659" s="12" t="s">
        <v>96</v>
      </c>
      <c r="M2659">
        <v>10.210000000000001</v>
      </c>
      <c r="N2659" s="12" t="s">
        <v>70</v>
      </c>
      <c r="O2659" s="12" t="s">
        <v>71</v>
      </c>
      <c r="P2659" s="12" t="s">
        <v>72</v>
      </c>
      <c r="Q2659" s="13">
        <v>45427</v>
      </c>
      <c r="R2659" s="13">
        <v>45453</v>
      </c>
      <c r="S2659">
        <v>2024</v>
      </c>
      <c r="T2659" s="12" t="s">
        <v>3413</v>
      </c>
      <c r="U2659">
        <v>124</v>
      </c>
      <c r="V2659">
        <v>242.0575</v>
      </c>
      <c r="W2659">
        <v>532.13</v>
      </c>
      <c r="X2659">
        <v>0</v>
      </c>
      <c r="Y2659">
        <v>0</v>
      </c>
      <c r="Z2659">
        <v>30015.13</v>
      </c>
      <c r="AA2659">
        <v>30547.26</v>
      </c>
      <c r="AB2659" s="12" t="s">
        <v>3072</v>
      </c>
      <c r="AC2659">
        <v>242.0575</v>
      </c>
      <c r="AD2659">
        <v>1</v>
      </c>
      <c r="AE2659">
        <v>1</v>
      </c>
      <c r="AF2659">
        <v>0</v>
      </c>
      <c r="AG2659">
        <v>30015.13</v>
      </c>
      <c r="AH2659">
        <v>124</v>
      </c>
      <c r="AI2659">
        <v>123</v>
      </c>
      <c r="AJ2659">
        <v>1</v>
      </c>
      <c r="AK2659">
        <v>1</v>
      </c>
      <c r="AL2659">
        <v>1</v>
      </c>
      <c r="AM2659">
        <v>99.19</v>
      </c>
      <c r="AN2659">
        <v>248.35169999999999</v>
      </c>
      <c r="AO2659">
        <v>242.06</v>
      </c>
      <c r="AP2659" s="13">
        <v>45450</v>
      </c>
      <c r="AQ2659">
        <v>-3</v>
      </c>
      <c r="AR2659">
        <v>1</v>
      </c>
    </row>
    <row r="2660" spans="1:44" x14ac:dyDescent="0.35">
      <c r="A2660" s="12" t="s">
        <v>3515</v>
      </c>
      <c r="B2660" s="12" t="s">
        <v>809</v>
      </c>
      <c r="C2660" s="12" t="s">
        <v>810</v>
      </c>
      <c r="D2660" s="12" t="s">
        <v>114</v>
      </c>
      <c r="E2660" s="12" t="s">
        <v>65</v>
      </c>
      <c r="F2660">
        <v>3</v>
      </c>
      <c r="G2660">
        <v>5</v>
      </c>
      <c r="H2660">
        <v>0</v>
      </c>
      <c r="I2660" s="12" t="s">
        <v>804</v>
      </c>
      <c r="J2660" s="12" t="s">
        <v>342</v>
      </c>
      <c r="K2660" s="12" t="s">
        <v>117</v>
      </c>
      <c r="L2660" s="12" t="s">
        <v>69</v>
      </c>
      <c r="M2660">
        <v>30.07</v>
      </c>
      <c r="N2660" s="12" t="s">
        <v>97</v>
      </c>
      <c r="O2660" s="12" t="s">
        <v>98</v>
      </c>
      <c r="P2660" s="12" t="s">
        <v>72</v>
      </c>
      <c r="Q2660" s="13">
        <v>45427</v>
      </c>
      <c r="R2660" s="13">
        <v>45448</v>
      </c>
      <c r="S2660">
        <v>2024</v>
      </c>
      <c r="T2660" s="12" t="s">
        <v>3413</v>
      </c>
      <c r="U2660">
        <v>12</v>
      </c>
      <c r="V2660">
        <v>325.02179999999998</v>
      </c>
      <c r="W2660">
        <v>79.040000000000006</v>
      </c>
      <c r="X2660">
        <v>0</v>
      </c>
      <c r="Y2660">
        <v>0</v>
      </c>
      <c r="Z2660">
        <v>3900.26</v>
      </c>
      <c r="AA2660">
        <v>3979.3</v>
      </c>
      <c r="AB2660" s="12" t="s">
        <v>3416</v>
      </c>
      <c r="AC2660">
        <v>312.78919999999999</v>
      </c>
      <c r="AD2660">
        <v>1</v>
      </c>
      <c r="AE2660">
        <v>1</v>
      </c>
      <c r="AF2660">
        <v>146.79</v>
      </c>
      <c r="AG2660">
        <v>3753.47</v>
      </c>
      <c r="AH2660">
        <v>12</v>
      </c>
      <c r="AI2660">
        <v>12</v>
      </c>
      <c r="AJ2660">
        <v>0</v>
      </c>
      <c r="AK2660">
        <v>1</v>
      </c>
      <c r="AL2660">
        <v>1</v>
      </c>
      <c r="AM2660">
        <v>100</v>
      </c>
      <c r="AN2660">
        <v>331.60849999999999</v>
      </c>
      <c r="AO2660">
        <v>0</v>
      </c>
      <c r="AP2660" s="13">
        <v>45447</v>
      </c>
      <c r="AQ2660">
        <v>-1</v>
      </c>
      <c r="AR2660">
        <v>1</v>
      </c>
    </row>
    <row r="2661" spans="1:44" x14ac:dyDescent="0.35">
      <c r="A2661" s="12" t="s">
        <v>3516</v>
      </c>
      <c r="B2661" s="12" t="s">
        <v>957</v>
      </c>
      <c r="C2661" s="12" t="s">
        <v>958</v>
      </c>
      <c r="D2661" s="12" t="s">
        <v>103</v>
      </c>
      <c r="E2661" s="12" t="s">
        <v>142</v>
      </c>
      <c r="F2661">
        <v>1</v>
      </c>
      <c r="G2661">
        <v>7</v>
      </c>
      <c r="H2661">
        <v>1</v>
      </c>
      <c r="I2661" s="12" t="s">
        <v>183</v>
      </c>
      <c r="J2661" s="12" t="s">
        <v>184</v>
      </c>
      <c r="K2661" s="12" t="s">
        <v>133</v>
      </c>
      <c r="L2661" s="12" t="s">
        <v>82</v>
      </c>
      <c r="M2661">
        <v>8.6199999999999992</v>
      </c>
      <c r="N2661" s="12" t="s">
        <v>145</v>
      </c>
      <c r="O2661" s="12" t="s">
        <v>146</v>
      </c>
      <c r="P2661" s="12" t="s">
        <v>109</v>
      </c>
      <c r="Q2661" s="13">
        <v>45427</v>
      </c>
      <c r="R2661" s="13">
        <v>45469</v>
      </c>
      <c r="S2661">
        <v>2024</v>
      </c>
      <c r="T2661" s="12" t="s">
        <v>3413</v>
      </c>
      <c r="U2661">
        <v>69</v>
      </c>
      <c r="V2661">
        <v>193.65539999999999</v>
      </c>
      <c r="W2661">
        <v>329.46</v>
      </c>
      <c r="X2661">
        <v>0</v>
      </c>
      <c r="Y2661">
        <v>0</v>
      </c>
      <c r="Z2661">
        <v>13362.22</v>
      </c>
      <c r="AA2661">
        <v>13691.68</v>
      </c>
      <c r="AB2661" s="12" t="s">
        <v>3249</v>
      </c>
      <c r="AC2661">
        <v>193.65539999999999</v>
      </c>
      <c r="AD2661">
        <v>1</v>
      </c>
      <c r="AE2661">
        <v>1</v>
      </c>
      <c r="AF2661">
        <v>0</v>
      </c>
      <c r="AG2661">
        <v>13362.22</v>
      </c>
      <c r="AH2661">
        <v>69</v>
      </c>
      <c r="AI2661">
        <v>68</v>
      </c>
      <c r="AJ2661">
        <v>1</v>
      </c>
      <c r="AK2661">
        <v>1</v>
      </c>
      <c r="AL2661">
        <v>1</v>
      </c>
      <c r="AM2661">
        <v>98.55</v>
      </c>
      <c r="AN2661">
        <v>201.34829999999999</v>
      </c>
      <c r="AO2661">
        <v>193.66</v>
      </c>
      <c r="AP2661" s="13">
        <v>45467</v>
      </c>
      <c r="AQ2661">
        <v>-2</v>
      </c>
      <c r="AR2661">
        <v>1</v>
      </c>
    </row>
    <row r="2662" spans="1:44" x14ac:dyDescent="0.35">
      <c r="A2662" s="12" t="s">
        <v>3517</v>
      </c>
      <c r="B2662" s="12" t="s">
        <v>941</v>
      </c>
      <c r="C2662" s="12" t="s">
        <v>942</v>
      </c>
      <c r="D2662" s="12" t="s">
        <v>130</v>
      </c>
      <c r="E2662" s="12" t="s">
        <v>104</v>
      </c>
      <c r="F2662">
        <v>2</v>
      </c>
      <c r="G2662">
        <v>0</v>
      </c>
      <c r="H2662">
        <v>0</v>
      </c>
      <c r="I2662" s="12" t="s">
        <v>131</v>
      </c>
      <c r="J2662" s="12" t="s">
        <v>132</v>
      </c>
      <c r="K2662" s="12" t="s">
        <v>133</v>
      </c>
      <c r="L2662" s="12" t="s">
        <v>134</v>
      </c>
      <c r="M2662">
        <v>1.51</v>
      </c>
      <c r="N2662" s="12" t="s">
        <v>135</v>
      </c>
      <c r="O2662" s="12" t="s">
        <v>136</v>
      </c>
      <c r="P2662" s="12" t="s">
        <v>137</v>
      </c>
      <c r="Q2662" s="13">
        <v>45427</v>
      </c>
      <c r="R2662" s="13">
        <v>45439</v>
      </c>
      <c r="S2662">
        <v>2024</v>
      </c>
      <c r="T2662" s="12" t="s">
        <v>3413</v>
      </c>
      <c r="U2662">
        <v>11</v>
      </c>
      <c r="V2662">
        <v>839.4819</v>
      </c>
      <c r="W2662">
        <v>164.6</v>
      </c>
      <c r="X2662">
        <v>0</v>
      </c>
      <c r="Y2662">
        <v>0</v>
      </c>
      <c r="Z2662">
        <v>9234.2999999999993</v>
      </c>
      <c r="AA2662">
        <v>9398.9</v>
      </c>
      <c r="AB2662" s="12" t="s">
        <v>3518</v>
      </c>
      <c r="AC2662">
        <v>839.4819</v>
      </c>
      <c r="AD2662">
        <v>1</v>
      </c>
      <c r="AE2662">
        <v>1</v>
      </c>
      <c r="AF2662">
        <v>0</v>
      </c>
      <c r="AG2662">
        <v>9234.2999999999993</v>
      </c>
      <c r="AH2662">
        <v>11</v>
      </c>
      <c r="AI2662">
        <v>10</v>
      </c>
      <c r="AJ2662">
        <v>1</v>
      </c>
      <c r="AK2662">
        <v>1</v>
      </c>
      <c r="AL2662">
        <v>1</v>
      </c>
      <c r="AM2662">
        <v>90.91</v>
      </c>
      <c r="AN2662">
        <v>939.89009999999996</v>
      </c>
      <c r="AO2662">
        <v>839.48</v>
      </c>
      <c r="AP2662" s="13">
        <v>45437</v>
      </c>
      <c r="AQ2662">
        <v>-2</v>
      </c>
      <c r="AR2662">
        <v>1</v>
      </c>
    </row>
    <row r="2663" spans="1:44" x14ac:dyDescent="0.35">
      <c r="A2663" s="12" t="s">
        <v>3519</v>
      </c>
      <c r="B2663" s="12" t="s">
        <v>85</v>
      </c>
      <c r="C2663" s="12" t="s">
        <v>86</v>
      </c>
      <c r="D2663" s="12" t="s">
        <v>78</v>
      </c>
      <c r="E2663" s="12" t="s">
        <v>65</v>
      </c>
      <c r="F2663">
        <v>3</v>
      </c>
      <c r="G2663">
        <v>5</v>
      </c>
      <c r="H2663">
        <v>0</v>
      </c>
      <c r="I2663" s="12" t="s">
        <v>87</v>
      </c>
      <c r="J2663" s="12" t="s">
        <v>88</v>
      </c>
      <c r="K2663" s="12" t="s">
        <v>89</v>
      </c>
      <c r="L2663" s="12" t="s">
        <v>69</v>
      </c>
      <c r="M2663">
        <v>14.93</v>
      </c>
      <c r="N2663" s="12" t="s">
        <v>70</v>
      </c>
      <c r="O2663" s="12" t="s">
        <v>71</v>
      </c>
      <c r="P2663" s="12" t="s">
        <v>72</v>
      </c>
      <c r="Q2663" s="13">
        <v>45427</v>
      </c>
      <c r="R2663" s="13">
        <v>45449</v>
      </c>
      <c r="S2663">
        <v>2024</v>
      </c>
      <c r="T2663" s="12" t="s">
        <v>3413</v>
      </c>
      <c r="U2663">
        <v>57</v>
      </c>
      <c r="V2663">
        <v>139.59649999999999</v>
      </c>
      <c r="W2663">
        <v>139.94999999999999</v>
      </c>
      <c r="X2663">
        <v>0</v>
      </c>
      <c r="Y2663">
        <v>0</v>
      </c>
      <c r="Z2663">
        <v>7957</v>
      </c>
      <c r="AA2663">
        <v>8096.95</v>
      </c>
      <c r="AB2663" s="12" t="s">
        <v>2621</v>
      </c>
      <c r="AC2663">
        <v>139.59649999999999</v>
      </c>
      <c r="AD2663">
        <v>1</v>
      </c>
      <c r="AE2663">
        <v>1</v>
      </c>
      <c r="AF2663">
        <v>0</v>
      </c>
      <c r="AG2663">
        <v>7957</v>
      </c>
      <c r="AH2663">
        <v>57</v>
      </c>
      <c r="AI2663">
        <v>57</v>
      </c>
      <c r="AJ2663">
        <v>0</v>
      </c>
      <c r="AK2663">
        <v>1</v>
      </c>
      <c r="AL2663">
        <v>1</v>
      </c>
      <c r="AM2663">
        <v>100</v>
      </c>
      <c r="AN2663">
        <v>142.05179999999999</v>
      </c>
      <c r="AO2663">
        <v>0</v>
      </c>
      <c r="AP2663" s="13">
        <v>45456</v>
      </c>
      <c r="AQ2663">
        <v>7</v>
      </c>
      <c r="AR2663">
        <v>0</v>
      </c>
    </row>
    <row r="2664" spans="1:44" x14ac:dyDescent="0.35">
      <c r="A2664" s="12" t="s">
        <v>3520</v>
      </c>
      <c r="B2664" s="12" t="s">
        <v>238</v>
      </c>
      <c r="C2664" s="12" t="s">
        <v>239</v>
      </c>
      <c r="D2664" s="12" t="s">
        <v>122</v>
      </c>
      <c r="E2664" s="12" t="s">
        <v>65</v>
      </c>
      <c r="F2664">
        <v>3</v>
      </c>
      <c r="G2664">
        <v>4</v>
      </c>
      <c r="H2664">
        <v>0</v>
      </c>
      <c r="I2664" s="12" t="s">
        <v>79</v>
      </c>
      <c r="J2664" s="12" t="s">
        <v>80</v>
      </c>
      <c r="K2664" s="12" t="s">
        <v>81</v>
      </c>
      <c r="L2664" s="12" t="s">
        <v>82</v>
      </c>
      <c r="M2664">
        <v>12.07</v>
      </c>
      <c r="N2664" s="12" t="s">
        <v>70</v>
      </c>
      <c r="O2664" s="12" t="s">
        <v>71</v>
      </c>
      <c r="P2664" s="12" t="s">
        <v>72</v>
      </c>
      <c r="Q2664" s="13">
        <v>45427</v>
      </c>
      <c r="R2664" s="13">
        <v>45455</v>
      </c>
      <c r="S2664">
        <v>2024</v>
      </c>
      <c r="T2664" s="12" t="s">
        <v>3413</v>
      </c>
      <c r="U2664">
        <v>918</v>
      </c>
      <c r="V2664">
        <v>35.6462</v>
      </c>
      <c r="W2664">
        <v>318.75</v>
      </c>
      <c r="X2664">
        <v>0</v>
      </c>
      <c r="Y2664">
        <v>0</v>
      </c>
      <c r="Z2664">
        <v>32723.21</v>
      </c>
      <c r="AA2664">
        <v>33041.96</v>
      </c>
      <c r="AB2664" s="12" t="s">
        <v>2688</v>
      </c>
      <c r="AC2664">
        <v>35.6462</v>
      </c>
      <c r="AD2664">
        <v>1</v>
      </c>
      <c r="AE2664">
        <v>1</v>
      </c>
      <c r="AF2664">
        <v>0</v>
      </c>
      <c r="AG2664">
        <v>32723.21</v>
      </c>
      <c r="AH2664">
        <v>918</v>
      </c>
      <c r="AI2664">
        <v>915</v>
      </c>
      <c r="AJ2664">
        <v>3</v>
      </c>
      <c r="AK2664">
        <v>1</v>
      </c>
      <c r="AL2664">
        <v>1</v>
      </c>
      <c r="AM2664">
        <v>99.67</v>
      </c>
      <c r="AN2664">
        <v>36.111400000000003</v>
      </c>
      <c r="AO2664">
        <v>106.94</v>
      </c>
      <c r="AP2664" s="13">
        <v>45452</v>
      </c>
      <c r="AQ2664">
        <v>-3</v>
      </c>
      <c r="AR2664">
        <v>1</v>
      </c>
    </row>
    <row r="2665" spans="1:44" x14ac:dyDescent="0.35">
      <c r="A2665" s="12" t="s">
        <v>3521</v>
      </c>
      <c r="B2665" s="12" t="s">
        <v>706</v>
      </c>
      <c r="C2665" s="12" t="s">
        <v>707</v>
      </c>
      <c r="D2665" s="12" t="s">
        <v>130</v>
      </c>
      <c r="E2665" s="12" t="s">
        <v>142</v>
      </c>
      <c r="F2665">
        <v>1</v>
      </c>
      <c r="G2665">
        <v>8</v>
      </c>
      <c r="H2665">
        <v>1</v>
      </c>
      <c r="I2665" s="12" t="s">
        <v>263</v>
      </c>
      <c r="J2665" s="12" t="s">
        <v>264</v>
      </c>
      <c r="K2665" s="12" t="s">
        <v>125</v>
      </c>
      <c r="L2665" s="12" t="s">
        <v>82</v>
      </c>
      <c r="M2665">
        <v>10.210000000000001</v>
      </c>
      <c r="N2665" s="12" t="s">
        <v>159</v>
      </c>
      <c r="O2665" s="12" t="s">
        <v>160</v>
      </c>
      <c r="P2665" s="12" t="s">
        <v>137</v>
      </c>
      <c r="Q2665" s="13">
        <v>45428</v>
      </c>
      <c r="R2665" s="13">
        <v>45470</v>
      </c>
      <c r="S2665">
        <v>2024</v>
      </c>
      <c r="T2665" s="12" t="s">
        <v>3413</v>
      </c>
      <c r="U2665">
        <v>71</v>
      </c>
      <c r="V2665">
        <v>277.214</v>
      </c>
      <c r="W2665">
        <v>146.28</v>
      </c>
      <c r="X2665">
        <v>0</v>
      </c>
      <c r="Y2665">
        <v>0</v>
      </c>
      <c r="Z2665">
        <v>19682.189999999999</v>
      </c>
      <c r="AA2665">
        <v>19828.47</v>
      </c>
      <c r="AB2665" s="12" t="s">
        <v>3434</v>
      </c>
      <c r="AC2665">
        <v>277.214</v>
      </c>
      <c r="AD2665">
        <v>1</v>
      </c>
      <c r="AE2665">
        <v>1</v>
      </c>
      <c r="AF2665">
        <v>0</v>
      </c>
      <c r="AG2665">
        <v>19682.189999999999</v>
      </c>
      <c r="AH2665">
        <v>71</v>
      </c>
      <c r="AI2665">
        <v>70</v>
      </c>
      <c r="AJ2665">
        <v>1</v>
      </c>
      <c r="AK2665">
        <v>1</v>
      </c>
      <c r="AL2665">
        <v>1</v>
      </c>
      <c r="AM2665">
        <v>98.59</v>
      </c>
      <c r="AN2665">
        <v>283.26389999999998</v>
      </c>
      <c r="AO2665">
        <v>277.20999999999998</v>
      </c>
      <c r="AP2665" s="13">
        <v>45466</v>
      </c>
      <c r="AQ2665">
        <v>-4</v>
      </c>
      <c r="AR2665">
        <v>1</v>
      </c>
    </row>
    <row r="2666" spans="1:44" x14ac:dyDescent="0.35">
      <c r="A2666" s="12" t="s">
        <v>3522</v>
      </c>
      <c r="B2666" s="12" t="s">
        <v>1034</v>
      </c>
      <c r="C2666" s="12" t="s">
        <v>1035</v>
      </c>
      <c r="D2666" s="12" t="s">
        <v>64</v>
      </c>
      <c r="E2666" s="12" t="s">
        <v>104</v>
      </c>
      <c r="F2666">
        <v>2</v>
      </c>
      <c r="G2666">
        <v>0</v>
      </c>
      <c r="H2666">
        <v>0</v>
      </c>
      <c r="I2666" s="12" t="s">
        <v>676</v>
      </c>
      <c r="J2666" s="12" t="s">
        <v>677</v>
      </c>
      <c r="K2666" s="12" t="s">
        <v>68</v>
      </c>
      <c r="L2666" s="12" t="s">
        <v>96</v>
      </c>
      <c r="M2666">
        <v>3.57</v>
      </c>
      <c r="N2666" s="12" t="s">
        <v>97</v>
      </c>
      <c r="O2666" s="12" t="s">
        <v>98</v>
      </c>
      <c r="P2666" s="12" t="s">
        <v>72</v>
      </c>
      <c r="Q2666" s="13">
        <v>45428</v>
      </c>
      <c r="R2666" s="13">
        <v>45449</v>
      </c>
      <c r="S2666">
        <v>2024</v>
      </c>
      <c r="T2666" s="12" t="s">
        <v>3413</v>
      </c>
      <c r="U2666">
        <v>558</v>
      </c>
      <c r="V2666">
        <v>9.9720999999999993</v>
      </c>
      <c r="W2666">
        <v>75.69</v>
      </c>
      <c r="X2666">
        <v>0</v>
      </c>
      <c r="Y2666">
        <v>0</v>
      </c>
      <c r="Z2666">
        <v>5564.43</v>
      </c>
      <c r="AA2666">
        <v>5640.12</v>
      </c>
      <c r="AB2666" s="12" t="s">
        <v>3523</v>
      </c>
      <c r="AC2666">
        <v>9.9720999999999993</v>
      </c>
      <c r="AD2666">
        <v>1</v>
      </c>
      <c r="AE2666">
        <v>1</v>
      </c>
      <c r="AF2666">
        <v>0</v>
      </c>
      <c r="AG2666">
        <v>5564.43</v>
      </c>
      <c r="AH2666">
        <v>558</v>
      </c>
      <c r="AI2666">
        <v>557</v>
      </c>
      <c r="AJ2666">
        <v>1</v>
      </c>
      <c r="AK2666">
        <v>1</v>
      </c>
      <c r="AL2666">
        <v>1</v>
      </c>
      <c r="AM2666">
        <v>99.82</v>
      </c>
      <c r="AN2666">
        <v>10.1259</v>
      </c>
      <c r="AO2666">
        <v>9.9700000000000006</v>
      </c>
      <c r="AP2666" s="13">
        <v>45448</v>
      </c>
      <c r="AQ2666">
        <v>-1</v>
      </c>
      <c r="AR2666">
        <v>1</v>
      </c>
    </row>
    <row r="2667" spans="1:44" x14ac:dyDescent="0.35">
      <c r="A2667" s="12" t="s">
        <v>3524</v>
      </c>
      <c r="B2667" s="12" t="s">
        <v>657</v>
      </c>
      <c r="C2667" s="12" t="s">
        <v>658</v>
      </c>
      <c r="D2667" s="12" t="s">
        <v>175</v>
      </c>
      <c r="E2667" s="12" t="s">
        <v>65</v>
      </c>
      <c r="F2667">
        <v>1</v>
      </c>
      <c r="G2667">
        <v>2</v>
      </c>
      <c r="H2667">
        <v>1</v>
      </c>
      <c r="I2667" s="12" t="s">
        <v>183</v>
      </c>
      <c r="J2667" s="12" t="s">
        <v>184</v>
      </c>
      <c r="K2667" s="12" t="s">
        <v>133</v>
      </c>
      <c r="L2667" s="12" t="s">
        <v>82</v>
      </c>
      <c r="M2667">
        <v>8.6199999999999992</v>
      </c>
      <c r="N2667" s="12" t="s">
        <v>107</v>
      </c>
      <c r="O2667" s="12" t="s">
        <v>108</v>
      </c>
      <c r="P2667" s="12" t="s">
        <v>109</v>
      </c>
      <c r="Q2667" s="13">
        <v>45428</v>
      </c>
      <c r="R2667" s="13">
        <v>45463</v>
      </c>
      <c r="S2667">
        <v>2024</v>
      </c>
      <c r="T2667" s="12" t="s">
        <v>3413</v>
      </c>
      <c r="U2667">
        <v>122</v>
      </c>
      <c r="V2667">
        <v>149.10310000000001</v>
      </c>
      <c r="W2667">
        <v>341.63</v>
      </c>
      <c r="X2667">
        <v>0</v>
      </c>
      <c r="Y2667">
        <v>0</v>
      </c>
      <c r="Z2667">
        <v>18190.580000000002</v>
      </c>
      <c r="AA2667">
        <v>18532.21</v>
      </c>
      <c r="AB2667" s="12" t="s">
        <v>3525</v>
      </c>
      <c r="AC2667">
        <v>149.10310000000001</v>
      </c>
      <c r="AD2667">
        <v>1</v>
      </c>
      <c r="AE2667">
        <v>1</v>
      </c>
      <c r="AF2667">
        <v>0</v>
      </c>
      <c r="AG2667">
        <v>18190.580000000002</v>
      </c>
      <c r="AH2667">
        <v>122</v>
      </c>
      <c r="AI2667">
        <v>122</v>
      </c>
      <c r="AJ2667">
        <v>0</v>
      </c>
      <c r="AK2667">
        <v>1</v>
      </c>
      <c r="AL2667">
        <v>1</v>
      </c>
      <c r="AM2667">
        <v>100</v>
      </c>
      <c r="AN2667">
        <v>151.9033</v>
      </c>
      <c r="AO2667">
        <v>0</v>
      </c>
      <c r="AP2667" s="13">
        <v>45461</v>
      </c>
      <c r="AQ2667">
        <v>-2</v>
      </c>
      <c r="AR2667">
        <v>1</v>
      </c>
    </row>
    <row r="2668" spans="1:44" x14ac:dyDescent="0.35">
      <c r="A2668" s="12" t="s">
        <v>3526</v>
      </c>
      <c r="B2668" s="12" t="s">
        <v>657</v>
      </c>
      <c r="C2668" s="12" t="s">
        <v>658</v>
      </c>
      <c r="D2668" s="12" t="s">
        <v>175</v>
      </c>
      <c r="E2668" s="12" t="s">
        <v>65</v>
      </c>
      <c r="F2668">
        <v>1</v>
      </c>
      <c r="G2668">
        <v>2</v>
      </c>
      <c r="H2668">
        <v>1</v>
      </c>
      <c r="I2668" s="12" t="s">
        <v>183</v>
      </c>
      <c r="J2668" s="12" t="s">
        <v>184</v>
      </c>
      <c r="K2668" s="12" t="s">
        <v>133</v>
      </c>
      <c r="L2668" s="12" t="s">
        <v>82</v>
      </c>
      <c r="M2668">
        <v>8.6199999999999992</v>
      </c>
      <c r="N2668" s="12" t="s">
        <v>107</v>
      </c>
      <c r="O2668" s="12" t="s">
        <v>108</v>
      </c>
      <c r="P2668" s="12" t="s">
        <v>109</v>
      </c>
      <c r="Q2668" s="13">
        <v>45428</v>
      </c>
      <c r="R2668" s="13">
        <v>45464</v>
      </c>
      <c r="S2668">
        <v>2024</v>
      </c>
      <c r="T2668" s="12" t="s">
        <v>3413</v>
      </c>
      <c r="U2668">
        <v>131</v>
      </c>
      <c r="V2668">
        <v>149.10310000000001</v>
      </c>
      <c r="W2668">
        <v>468.22</v>
      </c>
      <c r="X2668">
        <v>0</v>
      </c>
      <c r="Y2668">
        <v>0</v>
      </c>
      <c r="Z2668">
        <v>19532.509999999998</v>
      </c>
      <c r="AA2668">
        <v>20000.73</v>
      </c>
      <c r="AB2668" s="12" t="s">
        <v>3525</v>
      </c>
      <c r="AC2668">
        <v>149.10310000000001</v>
      </c>
      <c r="AD2668">
        <v>1</v>
      </c>
      <c r="AE2668">
        <v>1</v>
      </c>
      <c r="AF2668">
        <v>0</v>
      </c>
      <c r="AG2668">
        <v>19532.509999999998</v>
      </c>
      <c r="AH2668">
        <v>131</v>
      </c>
      <c r="AI2668">
        <v>129</v>
      </c>
      <c r="AJ2668">
        <v>2</v>
      </c>
      <c r="AK2668">
        <v>1</v>
      </c>
      <c r="AL2668">
        <v>1</v>
      </c>
      <c r="AM2668">
        <v>98.47</v>
      </c>
      <c r="AN2668">
        <v>155.0444</v>
      </c>
      <c r="AO2668">
        <v>298.20999999999998</v>
      </c>
      <c r="AP2668" s="13">
        <v>45464</v>
      </c>
      <c r="AQ2668">
        <v>0</v>
      </c>
      <c r="AR2668">
        <v>1</v>
      </c>
    </row>
    <row r="2669" spans="1:44" x14ac:dyDescent="0.35">
      <c r="A2669" s="12" t="s">
        <v>3527</v>
      </c>
      <c r="B2669" s="12" t="s">
        <v>823</v>
      </c>
      <c r="C2669" s="12" t="s">
        <v>824</v>
      </c>
      <c r="D2669" s="12" t="s">
        <v>114</v>
      </c>
      <c r="E2669" s="12" t="s">
        <v>142</v>
      </c>
      <c r="F2669">
        <v>1</v>
      </c>
      <c r="G2669">
        <v>8</v>
      </c>
      <c r="H2669">
        <v>1</v>
      </c>
      <c r="I2669" s="12" t="s">
        <v>515</v>
      </c>
      <c r="J2669" s="12" t="s">
        <v>516</v>
      </c>
      <c r="K2669" s="12" t="s">
        <v>68</v>
      </c>
      <c r="L2669" s="12" t="s">
        <v>134</v>
      </c>
      <c r="M2669">
        <v>3.69</v>
      </c>
      <c r="N2669" s="12" t="s">
        <v>97</v>
      </c>
      <c r="O2669" s="12" t="s">
        <v>98</v>
      </c>
      <c r="P2669" s="12" t="s">
        <v>72</v>
      </c>
      <c r="Q2669" s="13">
        <v>45428</v>
      </c>
      <c r="R2669" s="13">
        <v>45478</v>
      </c>
      <c r="S2669">
        <v>2024</v>
      </c>
      <c r="T2669" s="12" t="s">
        <v>3413</v>
      </c>
      <c r="U2669">
        <v>127</v>
      </c>
      <c r="V2669">
        <v>361.71230000000003</v>
      </c>
      <c r="W2669">
        <v>361.23</v>
      </c>
      <c r="X2669">
        <v>0</v>
      </c>
      <c r="Y2669">
        <v>0</v>
      </c>
      <c r="Z2669">
        <v>45937.46</v>
      </c>
      <c r="AA2669">
        <v>46298.69</v>
      </c>
      <c r="AB2669" s="12" t="s">
        <v>3483</v>
      </c>
      <c r="AC2669">
        <v>361.71230000000003</v>
      </c>
      <c r="AD2669">
        <v>1</v>
      </c>
      <c r="AE2669">
        <v>1</v>
      </c>
      <c r="AF2669">
        <v>0</v>
      </c>
      <c r="AG2669">
        <v>45937.46</v>
      </c>
      <c r="AH2669">
        <v>127</v>
      </c>
      <c r="AI2669">
        <v>126</v>
      </c>
      <c r="AJ2669">
        <v>1</v>
      </c>
      <c r="AK2669">
        <v>1</v>
      </c>
      <c r="AL2669">
        <v>1</v>
      </c>
      <c r="AM2669">
        <v>99.21</v>
      </c>
      <c r="AN2669">
        <v>367.44990000000001</v>
      </c>
      <c r="AO2669">
        <v>361.71</v>
      </c>
      <c r="AP2669" s="13">
        <v>45481</v>
      </c>
      <c r="AQ2669">
        <v>3</v>
      </c>
      <c r="AR2669">
        <v>0</v>
      </c>
    </row>
    <row r="2670" spans="1:44" x14ac:dyDescent="0.35">
      <c r="A2670" s="12" t="s">
        <v>3528</v>
      </c>
      <c r="B2670" s="12" t="s">
        <v>231</v>
      </c>
      <c r="C2670" s="12" t="s">
        <v>232</v>
      </c>
      <c r="D2670" s="12" t="s">
        <v>130</v>
      </c>
      <c r="E2670" s="12" t="s">
        <v>65</v>
      </c>
      <c r="F2670">
        <v>1</v>
      </c>
      <c r="G2670">
        <v>2</v>
      </c>
      <c r="H2670">
        <v>1</v>
      </c>
      <c r="I2670" s="12" t="s">
        <v>233</v>
      </c>
      <c r="J2670" s="12" t="s">
        <v>234</v>
      </c>
      <c r="K2670" s="12" t="s">
        <v>125</v>
      </c>
      <c r="L2670" s="12" t="s">
        <v>96</v>
      </c>
      <c r="M2670">
        <v>3.73</v>
      </c>
      <c r="N2670" s="12" t="s">
        <v>135</v>
      </c>
      <c r="O2670" s="12" t="s">
        <v>136</v>
      </c>
      <c r="P2670" s="12" t="s">
        <v>137</v>
      </c>
      <c r="Q2670" s="13">
        <v>45428</v>
      </c>
      <c r="R2670" s="13">
        <v>45454</v>
      </c>
      <c r="S2670">
        <v>2024</v>
      </c>
      <c r="T2670" s="12" t="s">
        <v>3413</v>
      </c>
      <c r="U2670">
        <v>50</v>
      </c>
      <c r="V2670">
        <v>456.6875</v>
      </c>
      <c r="W2670">
        <v>491.28</v>
      </c>
      <c r="X2670">
        <v>0</v>
      </c>
      <c r="Y2670">
        <v>0</v>
      </c>
      <c r="Z2670">
        <v>22834.38</v>
      </c>
      <c r="AA2670">
        <v>23325.66</v>
      </c>
      <c r="AB2670" s="12" t="s">
        <v>201</v>
      </c>
      <c r="AD2670">
        <v>0</v>
      </c>
      <c r="AE2670">
        <v>0</v>
      </c>
      <c r="AH2670">
        <v>50</v>
      </c>
      <c r="AI2670">
        <v>50</v>
      </c>
      <c r="AJ2670">
        <v>0</v>
      </c>
      <c r="AK2670">
        <v>1</v>
      </c>
      <c r="AL2670">
        <v>1</v>
      </c>
      <c r="AM2670">
        <v>100</v>
      </c>
      <c r="AN2670">
        <v>466.51310000000001</v>
      </c>
      <c r="AO2670">
        <v>0</v>
      </c>
      <c r="AP2670" s="13">
        <v>45454</v>
      </c>
      <c r="AQ2670">
        <v>0</v>
      </c>
      <c r="AR2670">
        <v>1</v>
      </c>
    </row>
    <row r="2671" spans="1:44" x14ac:dyDescent="0.35">
      <c r="A2671" s="12" t="s">
        <v>3529</v>
      </c>
      <c r="B2671" s="12" t="s">
        <v>302</v>
      </c>
      <c r="C2671" s="12" t="s">
        <v>303</v>
      </c>
      <c r="D2671" s="12" t="s">
        <v>78</v>
      </c>
      <c r="E2671" s="12" t="s">
        <v>65</v>
      </c>
      <c r="F2671">
        <v>2</v>
      </c>
      <c r="G2671">
        <v>3</v>
      </c>
      <c r="H2671">
        <v>0</v>
      </c>
      <c r="I2671" s="12" t="s">
        <v>335</v>
      </c>
      <c r="J2671" s="12" t="s">
        <v>336</v>
      </c>
      <c r="K2671" s="12" t="s">
        <v>89</v>
      </c>
      <c r="L2671" s="12" t="s">
        <v>82</v>
      </c>
      <c r="M2671">
        <v>16</v>
      </c>
      <c r="N2671" s="12" t="s">
        <v>70</v>
      </c>
      <c r="O2671" s="12" t="s">
        <v>71</v>
      </c>
      <c r="P2671" s="12" t="s">
        <v>72</v>
      </c>
      <c r="Q2671" s="13">
        <v>45428</v>
      </c>
      <c r="R2671" s="13">
        <v>45454</v>
      </c>
      <c r="S2671">
        <v>2024</v>
      </c>
      <c r="T2671" s="12" t="s">
        <v>3413</v>
      </c>
      <c r="U2671">
        <v>115</v>
      </c>
      <c r="V2671">
        <v>141.08359999999999</v>
      </c>
      <c r="W2671">
        <v>411.44</v>
      </c>
      <c r="X2671">
        <v>0</v>
      </c>
      <c r="Y2671">
        <v>0</v>
      </c>
      <c r="Z2671">
        <v>16224.61</v>
      </c>
      <c r="AA2671">
        <v>16636.05</v>
      </c>
      <c r="AB2671" s="12" t="s">
        <v>2834</v>
      </c>
      <c r="AC2671">
        <v>141.08359999999999</v>
      </c>
      <c r="AD2671">
        <v>1</v>
      </c>
      <c r="AE2671">
        <v>1</v>
      </c>
      <c r="AF2671">
        <v>0</v>
      </c>
      <c r="AG2671">
        <v>16224.61</v>
      </c>
      <c r="AH2671">
        <v>115</v>
      </c>
      <c r="AI2671">
        <v>114</v>
      </c>
      <c r="AJ2671">
        <v>1</v>
      </c>
      <c r="AK2671">
        <v>1</v>
      </c>
      <c r="AL2671">
        <v>1</v>
      </c>
      <c r="AM2671">
        <v>99.13</v>
      </c>
      <c r="AN2671">
        <v>145.93029999999999</v>
      </c>
      <c r="AO2671">
        <v>141.08000000000001</v>
      </c>
      <c r="AP2671" s="13">
        <v>45452</v>
      </c>
      <c r="AQ2671">
        <v>-2</v>
      </c>
      <c r="AR2671">
        <v>1</v>
      </c>
    </row>
    <row r="2672" spans="1:44" x14ac:dyDescent="0.35">
      <c r="A2672" s="12" t="s">
        <v>3530</v>
      </c>
      <c r="B2672" s="12" t="s">
        <v>736</v>
      </c>
      <c r="C2672" s="12" t="s">
        <v>737</v>
      </c>
      <c r="D2672" s="12" t="s">
        <v>64</v>
      </c>
      <c r="E2672" s="12" t="s">
        <v>104</v>
      </c>
      <c r="F2672">
        <v>3</v>
      </c>
      <c r="G2672">
        <v>1</v>
      </c>
      <c r="H2672">
        <v>0</v>
      </c>
      <c r="I2672" s="12" t="s">
        <v>94</v>
      </c>
      <c r="J2672" s="12" t="s">
        <v>95</v>
      </c>
      <c r="K2672" s="12" t="s">
        <v>81</v>
      </c>
      <c r="L2672" s="12" t="s">
        <v>96</v>
      </c>
      <c r="M2672">
        <v>4.8099999999999996</v>
      </c>
      <c r="N2672" s="12" t="s">
        <v>70</v>
      </c>
      <c r="O2672" s="12" t="s">
        <v>71</v>
      </c>
      <c r="P2672" s="12" t="s">
        <v>72</v>
      </c>
      <c r="Q2672" s="13">
        <v>45428</v>
      </c>
      <c r="R2672" s="13">
        <v>45457</v>
      </c>
      <c r="S2672">
        <v>2024</v>
      </c>
      <c r="T2672" s="12" t="s">
        <v>3413</v>
      </c>
      <c r="U2672">
        <v>952</v>
      </c>
      <c r="V2672">
        <v>21.586300000000001</v>
      </c>
      <c r="W2672">
        <v>207.27</v>
      </c>
      <c r="X2672">
        <v>0</v>
      </c>
      <c r="Y2672">
        <v>0</v>
      </c>
      <c r="Z2672">
        <v>20550.16</v>
      </c>
      <c r="AA2672">
        <v>20757.43</v>
      </c>
      <c r="AB2672" s="12" t="s">
        <v>3251</v>
      </c>
      <c r="AC2672">
        <v>22.894600000000001</v>
      </c>
      <c r="AD2672">
        <v>1</v>
      </c>
      <c r="AE2672">
        <v>1</v>
      </c>
      <c r="AF2672">
        <v>-1245.5</v>
      </c>
      <c r="AG2672">
        <v>21795.66</v>
      </c>
      <c r="AH2672">
        <v>952</v>
      </c>
      <c r="AI2672">
        <v>940</v>
      </c>
      <c r="AJ2672">
        <v>12</v>
      </c>
      <c r="AK2672">
        <v>1</v>
      </c>
      <c r="AL2672">
        <v>1</v>
      </c>
      <c r="AM2672">
        <v>98.74</v>
      </c>
      <c r="AN2672">
        <v>22.0824</v>
      </c>
      <c r="AO2672">
        <v>259.04000000000002</v>
      </c>
      <c r="AP2672" s="13">
        <v>45456</v>
      </c>
      <c r="AQ2672">
        <v>-1</v>
      </c>
      <c r="AR2672">
        <v>1</v>
      </c>
    </row>
    <row r="2673" spans="1:44" x14ac:dyDescent="0.35">
      <c r="A2673" s="12" t="s">
        <v>3531</v>
      </c>
      <c r="B2673" s="12" t="s">
        <v>602</v>
      </c>
      <c r="C2673" s="12" t="s">
        <v>603</v>
      </c>
      <c r="D2673" s="12" t="s">
        <v>114</v>
      </c>
      <c r="E2673" s="12" t="s">
        <v>142</v>
      </c>
      <c r="F2673">
        <v>2</v>
      </c>
      <c r="G2673">
        <v>10</v>
      </c>
      <c r="H2673">
        <v>0</v>
      </c>
      <c r="I2673" s="12" t="s">
        <v>604</v>
      </c>
      <c r="J2673" s="12" t="s">
        <v>605</v>
      </c>
      <c r="K2673" s="12" t="s">
        <v>68</v>
      </c>
      <c r="L2673" s="12" t="s">
        <v>82</v>
      </c>
      <c r="M2673">
        <v>7.24</v>
      </c>
      <c r="N2673" s="12" t="s">
        <v>97</v>
      </c>
      <c r="O2673" s="12" t="s">
        <v>98</v>
      </c>
      <c r="P2673" s="12" t="s">
        <v>72</v>
      </c>
      <c r="Q2673" s="13">
        <v>45428</v>
      </c>
      <c r="R2673" s="13">
        <v>45472</v>
      </c>
      <c r="S2673">
        <v>2024</v>
      </c>
      <c r="T2673" s="12" t="s">
        <v>3413</v>
      </c>
      <c r="U2673">
        <v>83</v>
      </c>
      <c r="V2673">
        <v>213.23840000000001</v>
      </c>
      <c r="W2673">
        <v>351.16</v>
      </c>
      <c r="X2673">
        <v>0</v>
      </c>
      <c r="Y2673">
        <v>0</v>
      </c>
      <c r="Z2673">
        <v>17698.79</v>
      </c>
      <c r="AA2673">
        <v>18049.95</v>
      </c>
      <c r="AB2673" s="12" t="s">
        <v>3467</v>
      </c>
      <c r="AC2673">
        <v>213.23840000000001</v>
      </c>
      <c r="AD2673">
        <v>1</v>
      </c>
      <c r="AE2673">
        <v>1</v>
      </c>
      <c r="AF2673">
        <v>0</v>
      </c>
      <c r="AG2673">
        <v>17698.79</v>
      </c>
      <c r="AH2673">
        <v>83</v>
      </c>
      <c r="AI2673">
        <v>82</v>
      </c>
      <c r="AJ2673">
        <v>1</v>
      </c>
      <c r="AK2673">
        <v>1</v>
      </c>
      <c r="AL2673">
        <v>1</v>
      </c>
      <c r="AM2673">
        <v>98.8</v>
      </c>
      <c r="AN2673">
        <v>220.12129999999999</v>
      </c>
      <c r="AO2673">
        <v>213.24</v>
      </c>
      <c r="AP2673" s="13">
        <v>45472</v>
      </c>
      <c r="AQ2673">
        <v>0</v>
      </c>
      <c r="AR2673">
        <v>1</v>
      </c>
    </row>
    <row r="2674" spans="1:44" x14ac:dyDescent="0.35">
      <c r="A2674" s="12" t="s">
        <v>3532</v>
      </c>
      <c r="B2674" s="12" t="s">
        <v>680</v>
      </c>
      <c r="C2674" s="12" t="s">
        <v>681</v>
      </c>
      <c r="D2674" s="12" t="s">
        <v>122</v>
      </c>
      <c r="E2674" s="12" t="s">
        <v>104</v>
      </c>
      <c r="F2674">
        <v>3</v>
      </c>
      <c r="G2674">
        <v>1</v>
      </c>
      <c r="H2674">
        <v>0</v>
      </c>
      <c r="I2674" s="12" t="s">
        <v>227</v>
      </c>
      <c r="J2674" s="12" t="s">
        <v>228</v>
      </c>
      <c r="K2674" s="12" t="s">
        <v>89</v>
      </c>
      <c r="L2674" s="12" t="s">
        <v>96</v>
      </c>
      <c r="M2674">
        <v>9.15</v>
      </c>
      <c r="N2674" s="12" t="s">
        <v>70</v>
      </c>
      <c r="O2674" s="12" t="s">
        <v>71</v>
      </c>
      <c r="P2674" s="12" t="s">
        <v>72</v>
      </c>
      <c r="Q2674" s="13">
        <v>45429</v>
      </c>
      <c r="R2674" s="13">
        <v>45443</v>
      </c>
      <c r="S2674">
        <v>2024</v>
      </c>
      <c r="T2674" s="12" t="s">
        <v>3413</v>
      </c>
      <c r="U2674">
        <v>421</v>
      </c>
      <c r="V2674">
        <v>25.082100000000001</v>
      </c>
      <c r="W2674">
        <v>69.58</v>
      </c>
      <c r="X2674">
        <v>0</v>
      </c>
      <c r="Y2674">
        <v>0</v>
      </c>
      <c r="Z2674">
        <v>10559.56</v>
      </c>
      <c r="AA2674">
        <v>10629.14</v>
      </c>
      <c r="AB2674" s="12" t="s">
        <v>201</v>
      </c>
      <c r="AD2674">
        <v>0</v>
      </c>
      <c r="AE2674">
        <v>0</v>
      </c>
      <c r="AH2674">
        <v>421</v>
      </c>
      <c r="AI2674">
        <v>416</v>
      </c>
      <c r="AJ2674">
        <v>5</v>
      </c>
      <c r="AK2674">
        <v>1</v>
      </c>
      <c r="AL2674">
        <v>1</v>
      </c>
      <c r="AM2674">
        <v>98.81</v>
      </c>
      <c r="AN2674">
        <v>25.550799999999999</v>
      </c>
      <c r="AO2674">
        <v>125.41</v>
      </c>
      <c r="AP2674" s="13">
        <v>45442</v>
      </c>
      <c r="AQ2674">
        <v>-1</v>
      </c>
      <c r="AR2674">
        <v>1</v>
      </c>
    </row>
    <row r="2675" spans="1:44" x14ac:dyDescent="0.35">
      <c r="A2675" s="12" t="s">
        <v>3533</v>
      </c>
      <c r="B2675" s="12" t="s">
        <v>837</v>
      </c>
      <c r="C2675" s="12" t="s">
        <v>838</v>
      </c>
      <c r="D2675" s="12" t="s">
        <v>114</v>
      </c>
      <c r="E2675" s="12" t="s">
        <v>104</v>
      </c>
      <c r="F2675">
        <v>2</v>
      </c>
      <c r="G2675">
        <v>0</v>
      </c>
      <c r="H2675">
        <v>0</v>
      </c>
      <c r="I2675" s="12" t="s">
        <v>199</v>
      </c>
      <c r="J2675" s="12" t="s">
        <v>200</v>
      </c>
      <c r="K2675" s="12" t="s">
        <v>68</v>
      </c>
      <c r="L2675" s="12" t="s">
        <v>96</v>
      </c>
      <c r="M2675">
        <v>9.4700000000000006</v>
      </c>
      <c r="N2675" s="12" t="s">
        <v>97</v>
      </c>
      <c r="O2675" s="12" t="s">
        <v>98</v>
      </c>
      <c r="P2675" s="12" t="s">
        <v>72</v>
      </c>
      <c r="Q2675" s="13">
        <v>45429</v>
      </c>
      <c r="R2675" s="13">
        <v>45455</v>
      </c>
      <c r="S2675">
        <v>2024</v>
      </c>
      <c r="T2675" s="12" t="s">
        <v>3413</v>
      </c>
      <c r="U2675">
        <v>120</v>
      </c>
      <c r="V2675">
        <v>68.916300000000007</v>
      </c>
      <c r="W2675">
        <v>100.94</v>
      </c>
      <c r="X2675">
        <v>0</v>
      </c>
      <c r="Y2675">
        <v>0</v>
      </c>
      <c r="Z2675">
        <v>8269.9599999999991</v>
      </c>
      <c r="AA2675">
        <v>8370.9</v>
      </c>
      <c r="AB2675" s="12" t="s">
        <v>3432</v>
      </c>
      <c r="AC2675">
        <v>68.916300000000007</v>
      </c>
      <c r="AD2675">
        <v>1</v>
      </c>
      <c r="AE2675">
        <v>1</v>
      </c>
      <c r="AF2675">
        <v>0</v>
      </c>
      <c r="AG2675">
        <v>8269.9599999999991</v>
      </c>
      <c r="AH2675">
        <v>120</v>
      </c>
      <c r="AI2675">
        <v>119</v>
      </c>
      <c r="AJ2675">
        <v>1</v>
      </c>
      <c r="AK2675">
        <v>1</v>
      </c>
      <c r="AL2675">
        <v>1</v>
      </c>
      <c r="AM2675">
        <v>99.17</v>
      </c>
      <c r="AN2675">
        <v>70.343699999999998</v>
      </c>
      <c r="AO2675">
        <v>68.92</v>
      </c>
      <c r="AP2675" s="13">
        <v>45460</v>
      </c>
      <c r="AQ2675">
        <v>5</v>
      </c>
      <c r="AR2675">
        <v>0</v>
      </c>
    </row>
    <row r="2676" spans="1:44" x14ac:dyDescent="0.35">
      <c r="A2676" s="12" t="s">
        <v>3534</v>
      </c>
      <c r="B2676" s="12" t="s">
        <v>646</v>
      </c>
      <c r="C2676" s="12" t="s">
        <v>647</v>
      </c>
      <c r="D2676" s="12" t="s">
        <v>175</v>
      </c>
      <c r="E2676" s="12" t="s">
        <v>104</v>
      </c>
      <c r="F2676">
        <v>3</v>
      </c>
      <c r="G2676">
        <v>1</v>
      </c>
      <c r="H2676">
        <v>0</v>
      </c>
      <c r="I2676" s="12" t="s">
        <v>227</v>
      </c>
      <c r="J2676" s="12" t="s">
        <v>228</v>
      </c>
      <c r="K2676" s="12" t="s">
        <v>89</v>
      </c>
      <c r="L2676" s="12" t="s">
        <v>96</v>
      </c>
      <c r="M2676">
        <v>9.15</v>
      </c>
      <c r="N2676" s="12" t="s">
        <v>107</v>
      </c>
      <c r="O2676" s="12" t="s">
        <v>108</v>
      </c>
      <c r="P2676" s="12" t="s">
        <v>109</v>
      </c>
      <c r="Q2676" s="13">
        <v>45429</v>
      </c>
      <c r="R2676" s="13">
        <v>45458</v>
      </c>
      <c r="S2676">
        <v>2024</v>
      </c>
      <c r="T2676" s="12" t="s">
        <v>3413</v>
      </c>
      <c r="U2676">
        <v>148</v>
      </c>
      <c r="V2676">
        <v>203.7088</v>
      </c>
      <c r="W2676">
        <v>368.51</v>
      </c>
      <c r="X2676">
        <v>0</v>
      </c>
      <c r="Y2676">
        <v>0</v>
      </c>
      <c r="Z2676">
        <v>30148.9</v>
      </c>
      <c r="AA2676">
        <v>30517.41</v>
      </c>
      <c r="AB2676" s="12" t="s">
        <v>3535</v>
      </c>
      <c r="AC2676">
        <v>203.7088</v>
      </c>
      <c r="AD2676">
        <v>1</v>
      </c>
      <c r="AE2676">
        <v>1</v>
      </c>
      <c r="AF2676">
        <v>0</v>
      </c>
      <c r="AG2676">
        <v>30148.9</v>
      </c>
      <c r="AH2676">
        <v>148</v>
      </c>
      <c r="AI2676">
        <v>146</v>
      </c>
      <c r="AJ2676">
        <v>2</v>
      </c>
      <c r="AK2676">
        <v>1</v>
      </c>
      <c r="AL2676">
        <v>1</v>
      </c>
      <c r="AM2676">
        <v>98.65</v>
      </c>
      <c r="AN2676">
        <v>209.02340000000001</v>
      </c>
      <c r="AO2676">
        <v>407.42</v>
      </c>
      <c r="AP2676" s="13">
        <v>45456</v>
      </c>
      <c r="AQ2676">
        <v>-2</v>
      </c>
      <c r="AR2676">
        <v>1</v>
      </c>
    </row>
    <row r="2677" spans="1:44" x14ac:dyDescent="0.35">
      <c r="A2677" s="12" t="s">
        <v>3536</v>
      </c>
      <c r="B2677" s="12" t="s">
        <v>1075</v>
      </c>
      <c r="C2677" s="12" t="s">
        <v>1076</v>
      </c>
      <c r="D2677" s="12" t="s">
        <v>103</v>
      </c>
      <c r="E2677" s="12" t="s">
        <v>65</v>
      </c>
      <c r="F2677">
        <v>2</v>
      </c>
      <c r="G2677">
        <v>4</v>
      </c>
      <c r="H2677">
        <v>0</v>
      </c>
      <c r="I2677" s="12" t="s">
        <v>183</v>
      </c>
      <c r="J2677" s="12" t="s">
        <v>184</v>
      </c>
      <c r="K2677" s="12" t="s">
        <v>133</v>
      </c>
      <c r="L2677" s="12" t="s">
        <v>82</v>
      </c>
      <c r="M2677">
        <v>8.6199999999999992</v>
      </c>
      <c r="N2677" s="12" t="s">
        <v>107</v>
      </c>
      <c r="O2677" s="12" t="s">
        <v>108</v>
      </c>
      <c r="P2677" s="12" t="s">
        <v>109</v>
      </c>
      <c r="Q2677" s="13">
        <v>45429</v>
      </c>
      <c r="R2677" s="13">
        <v>45460</v>
      </c>
      <c r="S2677">
        <v>2024</v>
      </c>
      <c r="T2677" s="12" t="s">
        <v>3413</v>
      </c>
      <c r="U2677">
        <v>88</v>
      </c>
      <c r="V2677">
        <v>72.148399999999995</v>
      </c>
      <c r="W2677">
        <v>100.6</v>
      </c>
      <c r="X2677">
        <v>0</v>
      </c>
      <c r="Y2677">
        <v>0</v>
      </c>
      <c r="Z2677">
        <v>6349.06</v>
      </c>
      <c r="AA2677">
        <v>6449.66</v>
      </c>
      <c r="AB2677" s="12" t="s">
        <v>201</v>
      </c>
      <c r="AD2677">
        <v>0</v>
      </c>
      <c r="AE2677">
        <v>0</v>
      </c>
      <c r="AH2677">
        <v>88</v>
      </c>
      <c r="AI2677">
        <v>88</v>
      </c>
      <c r="AJ2677">
        <v>0</v>
      </c>
      <c r="AK2677">
        <v>1</v>
      </c>
      <c r="AL2677">
        <v>1</v>
      </c>
      <c r="AM2677">
        <v>100</v>
      </c>
      <c r="AN2677">
        <v>73.291600000000003</v>
      </c>
      <c r="AO2677">
        <v>0</v>
      </c>
      <c r="AP2677" s="13">
        <v>45457</v>
      </c>
      <c r="AQ2677">
        <v>-3</v>
      </c>
      <c r="AR2677">
        <v>1</v>
      </c>
    </row>
    <row r="2678" spans="1:44" x14ac:dyDescent="0.35">
      <c r="A2678" s="12" t="s">
        <v>3537</v>
      </c>
      <c r="B2678" s="12" t="s">
        <v>990</v>
      </c>
      <c r="C2678" s="12" t="s">
        <v>991</v>
      </c>
      <c r="D2678" s="12" t="s">
        <v>122</v>
      </c>
      <c r="E2678" s="12" t="s">
        <v>142</v>
      </c>
      <c r="F2678">
        <v>1</v>
      </c>
      <c r="G2678">
        <v>6</v>
      </c>
      <c r="H2678">
        <v>1</v>
      </c>
      <c r="I2678" s="12" t="s">
        <v>217</v>
      </c>
      <c r="J2678" s="12" t="s">
        <v>218</v>
      </c>
      <c r="K2678" s="12" t="s">
        <v>68</v>
      </c>
      <c r="L2678" s="12" t="s">
        <v>82</v>
      </c>
      <c r="M2678">
        <v>14.24</v>
      </c>
      <c r="N2678" s="12" t="s">
        <v>70</v>
      </c>
      <c r="O2678" s="12" t="s">
        <v>71</v>
      </c>
      <c r="P2678" s="12" t="s">
        <v>72</v>
      </c>
      <c r="Q2678" s="13">
        <v>45429</v>
      </c>
      <c r="R2678" s="13">
        <v>45472</v>
      </c>
      <c r="S2678">
        <v>2024</v>
      </c>
      <c r="T2678" s="12" t="s">
        <v>3413</v>
      </c>
      <c r="U2678">
        <v>1010</v>
      </c>
      <c r="V2678">
        <v>31.692699999999999</v>
      </c>
      <c r="W2678">
        <v>621.84</v>
      </c>
      <c r="X2678">
        <v>0</v>
      </c>
      <c r="Y2678">
        <v>0</v>
      </c>
      <c r="Z2678">
        <v>32009.63</v>
      </c>
      <c r="AA2678">
        <v>32631.47</v>
      </c>
      <c r="AB2678" s="12" t="s">
        <v>3368</v>
      </c>
      <c r="AC2678">
        <v>33.6252</v>
      </c>
      <c r="AD2678">
        <v>1</v>
      </c>
      <c r="AE2678">
        <v>1</v>
      </c>
      <c r="AF2678">
        <v>-1951.83</v>
      </c>
      <c r="AG2678">
        <v>33961.449999999997</v>
      </c>
      <c r="AH2678">
        <v>1010</v>
      </c>
      <c r="AI2678">
        <v>1000</v>
      </c>
      <c r="AJ2678">
        <v>10</v>
      </c>
      <c r="AK2678">
        <v>1</v>
      </c>
      <c r="AL2678">
        <v>1</v>
      </c>
      <c r="AM2678">
        <v>99.01</v>
      </c>
      <c r="AN2678">
        <v>32.631500000000003</v>
      </c>
      <c r="AO2678">
        <v>316.93</v>
      </c>
      <c r="AP2678" s="13">
        <v>45469</v>
      </c>
      <c r="AQ2678">
        <v>-3</v>
      </c>
      <c r="AR2678">
        <v>1</v>
      </c>
    </row>
    <row r="2679" spans="1:44" x14ac:dyDescent="0.35">
      <c r="A2679" s="12" t="s">
        <v>3538</v>
      </c>
      <c r="B2679" s="12" t="s">
        <v>1666</v>
      </c>
      <c r="C2679" s="12" t="s">
        <v>1667</v>
      </c>
      <c r="D2679" s="12" t="s">
        <v>78</v>
      </c>
      <c r="E2679" s="12" t="s">
        <v>65</v>
      </c>
      <c r="F2679">
        <v>2</v>
      </c>
      <c r="G2679">
        <v>3</v>
      </c>
      <c r="H2679">
        <v>0</v>
      </c>
      <c r="I2679" s="12" t="s">
        <v>310</v>
      </c>
      <c r="J2679" s="12" t="s">
        <v>311</v>
      </c>
      <c r="K2679" s="12" t="s">
        <v>81</v>
      </c>
      <c r="L2679" s="12" t="s">
        <v>69</v>
      </c>
      <c r="M2679">
        <v>28.3</v>
      </c>
      <c r="N2679" s="12" t="s">
        <v>97</v>
      </c>
      <c r="O2679" s="12" t="s">
        <v>98</v>
      </c>
      <c r="P2679" s="12" t="s">
        <v>72</v>
      </c>
      <c r="Q2679" s="13">
        <v>45429</v>
      </c>
      <c r="R2679" s="13">
        <v>45466</v>
      </c>
      <c r="S2679">
        <v>2024</v>
      </c>
      <c r="T2679" s="12" t="s">
        <v>3413</v>
      </c>
      <c r="U2679">
        <v>282</v>
      </c>
      <c r="V2679">
        <v>73.412099999999995</v>
      </c>
      <c r="W2679">
        <v>364.88</v>
      </c>
      <c r="X2679">
        <v>0</v>
      </c>
      <c r="Y2679">
        <v>0</v>
      </c>
      <c r="Z2679">
        <v>20702.21</v>
      </c>
      <c r="AA2679">
        <v>21067.09</v>
      </c>
      <c r="AB2679" s="12" t="s">
        <v>3090</v>
      </c>
      <c r="AC2679">
        <v>73.412099999999995</v>
      </c>
      <c r="AD2679">
        <v>1</v>
      </c>
      <c r="AE2679">
        <v>1</v>
      </c>
      <c r="AF2679">
        <v>0</v>
      </c>
      <c r="AG2679">
        <v>20702.21</v>
      </c>
      <c r="AH2679">
        <v>282</v>
      </c>
      <c r="AI2679">
        <v>279</v>
      </c>
      <c r="AJ2679">
        <v>3</v>
      </c>
      <c r="AK2679">
        <v>1</v>
      </c>
      <c r="AL2679">
        <v>1</v>
      </c>
      <c r="AM2679">
        <v>98.94</v>
      </c>
      <c r="AN2679">
        <v>75.509299999999996</v>
      </c>
      <c r="AO2679">
        <v>220.24</v>
      </c>
      <c r="AP2679" s="13">
        <v>45470</v>
      </c>
      <c r="AQ2679">
        <v>4</v>
      </c>
      <c r="AR2679">
        <v>0</v>
      </c>
    </row>
    <row r="2680" spans="1:44" x14ac:dyDescent="0.35">
      <c r="A2680" s="12" t="s">
        <v>3539</v>
      </c>
      <c r="B2680" s="12" t="s">
        <v>728</v>
      </c>
      <c r="C2680" s="12" t="s">
        <v>729</v>
      </c>
      <c r="D2680" s="12" t="s">
        <v>269</v>
      </c>
      <c r="E2680" s="12" t="s">
        <v>65</v>
      </c>
      <c r="F2680">
        <v>2</v>
      </c>
      <c r="G2680">
        <v>3</v>
      </c>
      <c r="H2680">
        <v>0</v>
      </c>
      <c r="I2680" s="12" t="s">
        <v>243</v>
      </c>
      <c r="J2680" s="12" t="s">
        <v>244</v>
      </c>
      <c r="K2680" s="12" t="s">
        <v>81</v>
      </c>
      <c r="L2680" s="12" t="s">
        <v>82</v>
      </c>
      <c r="M2680">
        <v>9.2200000000000006</v>
      </c>
      <c r="N2680" s="12" t="s">
        <v>159</v>
      </c>
      <c r="O2680" s="12" t="s">
        <v>160</v>
      </c>
      <c r="P2680" s="12" t="s">
        <v>137</v>
      </c>
      <c r="Q2680" s="13">
        <v>45429</v>
      </c>
      <c r="R2680" s="13">
        <v>45450</v>
      </c>
      <c r="S2680">
        <v>2024</v>
      </c>
      <c r="T2680" s="12" t="s">
        <v>3413</v>
      </c>
      <c r="U2680">
        <v>17</v>
      </c>
      <c r="V2680">
        <v>364.83319999999998</v>
      </c>
      <c r="W2680">
        <v>85.69</v>
      </c>
      <c r="X2680">
        <v>0</v>
      </c>
      <c r="Y2680">
        <v>0</v>
      </c>
      <c r="Z2680">
        <v>6202.16</v>
      </c>
      <c r="AA2680">
        <v>6287.85</v>
      </c>
      <c r="AB2680" s="12" t="s">
        <v>3540</v>
      </c>
      <c r="AC2680">
        <v>364.83319999999998</v>
      </c>
      <c r="AD2680">
        <v>1</v>
      </c>
      <c r="AE2680">
        <v>1</v>
      </c>
      <c r="AF2680">
        <v>0</v>
      </c>
      <c r="AG2680">
        <v>6202.16</v>
      </c>
      <c r="AH2680">
        <v>17</v>
      </c>
      <c r="AI2680">
        <v>17</v>
      </c>
      <c r="AJ2680">
        <v>0</v>
      </c>
      <c r="AK2680">
        <v>1</v>
      </c>
      <c r="AL2680">
        <v>1</v>
      </c>
      <c r="AM2680">
        <v>100</v>
      </c>
      <c r="AN2680">
        <v>369.87380000000002</v>
      </c>
      <c r="AO2680">
        <v>0</v>
      </c>
      <c r="AP2680" s="13">
        <v>45448</v>
      </c>
      <c r="AQ2680">
        <v>-2</v>
      </c>
      <c r="AR2680">
        <v>1</v>
      </c>
    </row>
    <row r="2681" spans="1:44" x14ac:dyDescent="0.35">
      <c r="A2681" s="12" t="s">
        <v>3541</v>
      </c>
      <c r="B2681" s="12" t="s">
        <v>458</v>
      </c>
      <c r="C2681" s="12" t="s">
        <v>459</v>
      </c>
      <c r="D2681" s="12" t="s">
        <v>64</v>
      </c>
      <c r="E2681" s="12" t="s">
        <v>104</v>
      </c>
      <c r="F2681">
        <v>2</v>
      </c>
      <c r="G2681">
        <v>0</v>
      </c>
      <c r="H2681">
        <v>0</v>
      </c>
      <c r="I2681" s="12" t="s">
        <v>143</v>
      </c>
      <c r="J2681" s="12" t="s">
        <v>144</v>
      </c>
      <c r="K2681" s="12" t="s">
        <v>133</v>
      </c>
      <c r="L2681" s="12" t="s">
        <v>96</v>
      </c>
      <c r="M2681">
        <v>5.43</v>
      </c>
      <c r="N2681" s="12" t="s">
        <v>97</v>
      </c>
      <c r="O2681" s="12" t="s">
        <v>98</v>
      </c>
      <c r="P2681" s="12" t="s">
        <v>72</v>
      </c>
      <c r="Q2681" s="13">
        <v>45429</v>
      </c>
      <c r="R2681" s="13">
        <v>45458</v>
      </c>
      <c r="S2681">
        <v>2024</v>
      </c>
      <c r="T2681" s="12" t="s">
        <v>3413</v>
      </c>
      <c r="U2681">
        <v>964</v>
      </c>
      <c r="V2681">
        <v>24.0579</v>
      </c>
      <c r="W2681">
        <v>183.65</v>
      </c>
      <c r="X2681">
        <v>0</v>
      </c>
      <c r="Y2681">
        <v>0</v>
      </c>
      <c r="Z2681">
        <v>23191.82</v>
      </c>
      <c r="AA2681">
        <v>23375.47</v>
      </c>
      <c r="AB2681" s="12" t="s">
        <v>3542</v>
      </c>
      <c r="AC2681">
        <v>24.0579</v>
      </c>
      <c r="AD2681">
        <v>1</v>
      </c>
      <c r="AE2681">
        <v>1</v>
      </c>
      <c r="AF2681">
        <v>0</v>
      </c>
      <c r="AG2681">
        <v>23191.82</v>
      </c>
      <c r="AH2681">
        <v>964</v>
      </c>
      <c r="AI2681">
        <v>960</v>
      </c>
      <c r="AJ2681">
        <v>4</v>
      </c>
      <c r="AK2681">
        <v>1</v>
      </c>
      <c r="AL2681">
        <v>1</v>
      </c>
      <c r="AM2681">
        <v>99.59</v>
      </c>
      <c r="AN2681">
        <v>24.349399999999999</v>
      </c>
      <c r="AO2681">
        <v>96.23</v>
      </c>
      <c r="AP2681" s="13">
        <v>45455</v>
      </c>
      <c r="AQ2681">
        <v>-3</v>
      </c>
      <c r="AR2681">
        <v>1</v>
      </c>
    </row>
    <row r="2682" spans="1:44" x14ac:dyDescent="0.35">
      <c r="A2682" s="12" t="s">
        <v>3543</v>
      </c>
      <c r="B2682" s="12" t="s">
        <v>736</v>
      </c>
      <c r="C2682" s="12" t="s">
        <v>737</v>
      </c>
      <c r="D2682" s="12" t="s">
        <v>64</v>
      </c>
      <c r="E2682" s="12" t="s">
        <v>104</v>
      </c>
      <c r="F2682">
        <v>3</v>
      </c>
      <c r="G2682">
        <v>1</v>
      </c>
      <c r="H2682">
        <v>0</v>
      </c>
      <c r="I2682" s="12" t="s">
        <v>94</v>
      </c>
      <c r="J2682" s="12" t="s">
        <v>95</v>
      </c>
      <c r="K2682" s="12" t="s">
        <v>81</v>
      </c>
      <c r="L2682" s="12" t="s">
        <v>96</v>
      </c>
      <c r="M2682">
        <v>4.8099999999999996</v>
      </c>
      <c r="N2682" s="12" t="s">
        <v>70</v>
      </c>
      <c r="O2682" s="12" t="s">
        <v>71</v>
      </c>
      <c r="P2682" s="12" t="s">
        <v>72</v>
      </c>
      <c r="Q2682" s="13">
        <v>45429</v>
      </c>
      <c r="R2682" s="13">
        <v>45445</v>
      </c>
      <c r="S2682">
        <v>2024</v>
      </c>
      <c r="T2682" s="12" t="s">
        <v>3413</v>
      </c>
      <c r="U2682">
        <v>337</v>
      </c>
      <c r="V2682">
        <v>22.894600000000001</v>
      </c>
      <c r="W2682">
        <v>78.72</v>
      </c>
      <c r="X2682">
        <v>0</v>
      </c>
      <c r="Y2682">
        <v>0</v>
      </c>
      <c r="Z2682">
        <v>7715.48</v>
      </c>
      <c r="AA2682">
        <v>7794.2</v>
      </c>
      <c r="AB2682" s="12" t="s">
        <v>3251</v>
      </c>
      <c r="AC2682">
        <v>22.894600000000001</v>
      </c>
      <c r="AD2682">
        <v>1</v>
      </c>
      <c r="AE2682">
        <v>1</v>
      </c>
      <c r="AF2682">
        <v>0</v>
      </c>
      <c r="AG2682">
        <v>7715.48</v>
      </c>
      <c r="AH2682">
        <v>337</v>
      </c>
      <c r="AI2682">
        <v>336</v>
      </c>
      <c r="AJ2682">
        <v>1</v>
      </c>
      <c r="AK2682">
        <v>1</v>
      </c>
      <c r="AL2682">
        <v>1</v>
      </c>
      <c r="AM2682">
        <v>99.7</v>
      </c>
      <c r="AN2682">
        <v>23.196999999999999</v>
      </c>
      <c r="AO2682">
        <v>22.89</v>
      </c>
      <c r="AP2682" s="13">
        <v>45445</v>
      </c>
      <c r="AQ2682">
        <v>0</v>
      </c>
      <c r="AR2682">
        <v>1</v>
      </c>
    </row>
    <row r="2683" spans="1:44" x14ac:dyDescent="0.35">
      <c r="A2683" s="12" t="s">
        <v>3544</v>
      </c>
      <c r="B2683" s="12" t="s">
        <v>587</v>
      </c>
      <c r="C2683" s="12" t="s">
        <v>588</v>
      </c>
      <c r="D2683" s="12" t="s">
        <v>122</v>
      </c>
      <c r="E2683" s="12" t="s">
        <v>104</v>
      </c>
      <c r="F2683">
        <v>2</v>
      </c>
      <c r="G2683">
        <v>0</v>
      </c>
      <c r="H2683">
        <v>0</v>
      </c>
      <c r="I2683" s="12" t="s">
        <v>486</v>
      </c>
      <c r="J2683" s="12" t="s">
        <v>487</v>
      </c>
      <c r="K2683" s="12" t="s">
        <v>125</v>
      </c>
      <c r="L2683" s="12" t="s">
        <v>69</v>
      </c>
      <c r="M2683">
        <v>36.86</v>
      </c>
      <c r="N2683" s="12" t="s">
        <v>70</v>
      </c>
      <c r="O2683" s="12" t="s">
        <v>71</v>
      </c>
      <c r="P2683" s="12" t="s">
        <v>72</v>
      </c>
      <c r="Q2683" s="13">
        <v>45429</v>
      </c>
      <c r="R2683" s="13">
        <v>45451</v>
      </c>
      <c r="S2683">
        <v>2024</v>
      </c>
      <c r="T2683" s="12" t="s">
        <v>3413</v>
      </c>
      <c r="U2683">
        <v>1275</v>
      </c>
      <c r="V2683">
        <v>11.9803</v>
      </c>
      <c r="W2683">
        <v>390.51</v>
      </c>
      <c r="X2683">
        <v>0</v>
      </c>
      <c r="Y2683">
        <v>0</v>
      </c>
      <c r="Z2683">
        <v>15274.88</v>
      </c>
      <c r="AA2683">
        <v>15665.39</v>
      </c>
      <c r="AB2683" s="12" t="s">
        <v>3188</v>
      </c>
      <c r="AC2683">
        <v>11.9803</v>
      </c>
      <c r="AD2683">
        <v>1</v>
      </c>
      <c r="AE2683">
        <v>1</v>
      </c>
      <c r="AF2683">
        <v>0</v>
      </c>
      <c r="AG2683">
        <v>15274.88</v>
      </c>
      <c r="AH2683">
        <v>1275</v>
      </c>
      <c r="AI2683">
        <v>1267</v>
      </c>
      <c r="AJ2683">
        <v>8</v>
      </c>
      <c r="AK2683">
        <v>1</v>
      </c>
      <c r="AL2683">
        <v>1</v>
      </c>
      <c r="AM2683">
        <v>99.37</v>
      </c>
      <c r="AN2683">
        <v>12.3642</v>
      </c>
      <c r="AO2683">
        <v>95.84</v>
      </c>
      <c r="AP2683" s="13">
        <v>45449</v>
      </c>
      <c r="AQ2683">
        <v>-2</v>
      </c>
      <c r="AR2683">
        <v>1</v>
      </c>
    </row>
    <row r="2684" spans="1:44" x14ac:dyDescent="0.35">
      <c r="A2684" s="12" t="s">
        <v>3545</v>
      </c>
      <c r="B2684" s="12" t="s">
        <v>972</v>
      </c>
      <c r="C2684" s="12" t="s">
        <v>973</v>
      </c>
      <c r="D2684" s="12" t="s">
        <v>130</v>
      </c>
      <c r="E2684" s="12" t="s">
        <v>142</v>
      </c>
      <c r="F2684">
        <v>2</v>
      </c>
      <c r="G2684">
        <v>9</v>
      </c>
      <c r="H2684">
        <v>0</v>
      </c>
      <c r="I2684" s="12" t="s">
        <v>676</v>
      </c>
      <c r="J2684" s="12" t="s">
        <v>677</v>
      </c>
      <c r="K2684" s="12" t="s">
        <v>68</v>
      </c>
      <c r="L2684" s="12" t="s">
        <v>96</v>
      </c>
      <c r="M2684">
        <v>3.57</v>
      </c>
      <c r="N2684" s="12" t="s">
        <v>135</v>
      </c>
      <c r="O2684" s="12" t="s">
        <v>136</v>
      </c>
      <c r="P2684" s="12" t="s">
        <v>137</v>
      </c>
      <c r="Q2684" s="13">
        <v>45429</v>
      </c>
      <c r="R2684" s="13">
        <v>45472</v>
      </c>
      <c r="S2684">
        <v>2024</v>
      </c>
      <c r="T2684" s="12" t="s">
        <v>3413</v>
      </c>
      <c r="U2684">
        <v>74</v>
      </c>
      <c r="V2684">
        <v>841.25639999999999</v>
      </c>
      <c r="W2684">
        <v>1524.85</v>
      </c>
      <c r="X2684">
        <v>0</v>
      </c>
      <c r="Y2684">
        <v>0</v>
      </c>
      <c r="Z2684">
        <v>62252.97</v>
      </c>
      <c r="AA2684">
        <v>63777.82</v>
      </c>
      <c r="AB2684" s="12" t="s">
        <v>3546</v>
      </c>
      <c r="AC2684">
        <v>841.25639999999999</v>
      </c>
      <c r="AD2684">
        <v>1</v>
      </c>
      <c r="AE2684">
        <v>1</v>
      </c>
      <c r="AF2684">
        <v>0</v>
      </c>
      <c r="AG2684">
        <v>62252.97</v>
      </c>
      <c r="AH2684">
        <v>74</v>
      </c>
      <c r="AI2684">
        <v>73</v>
      </c>
      <c r="AJ2684">
        <v>1</v>
      </c>
      <c r="AK2684">
        <v>1</v>
      </c>
      <c r="AL2684">
        <v>1</v>
      </c>
      <c r="AM2684">
        <v>98.65</v>
      </c>
      <c r="AN2684">
        <v>873.66880000000003</v>
      </c>
      <c r="AO2684">
        <v>841.26</v>
      </c>
      <c r="AP2684" s="13">
        <v>45476</v>
      </c>
      <c r="AQ2684">
        <v>4</v>
      </c>
      <c r="AR2684">
        <v>0</v>
      </c>
    </row>
    <row r="2685" spans="1:44" x14ac:dyDescent="0.35">
      <c r="A2685" s="12" t="s">
        <v>3547</v>
      </c>
      <c r="B2685" s="12" t="s">
        <v>433</v>
      </c>
      <c r="C2685" s="12" t="s">
        <v>434</v>
      </c>
      <c r="D2685" s="12" t="s">
        <v>78</v>
      </c>
      <c r="E2685" s="12" t="s">
        <v>65</v>
      </c>
      <c r="F2685">
        <v>2</v>
      </c>
      <c r="G2685">
        <v>4</v>
      </c>
      <c r="H2685">
        <v>0</v>
      </c>
      <c r="I2685" s="12" t="s">
        <v>105</v>
      </c>
      <c r="J2685" s="12" t="s">
        <v>106</v>
      </c>
      <c r="K2685" s="12" t="s">
        <v>81</v>
      </c>
      <c r="L2685" s="12" t="s">
        <v>96</v>
      </c>
      <c r="M2685">
        <v>5.01</v>
      </c>
      <c r="N2685" s="12" t="s">
        <v>70</v>
      </c>
      <c r="O2685" s="12" t="s">
        <v>71</v>
      </c>
      <c r="P2685" s="12" t="s">
        <v>72</v>
      </c>
      <c r="Q2685" s="13">
        <v>45429</v>
      </c>
      <c r="R2685" s="13">
        <v>45461</v>
      </c>
      <c r="S2685">
        <v>2024</v>
      </c>
      <c r="T2685" s="12" t="s">
        <v>3413</v>
      </c>
      <c r="U2685">
        <v>212</v>
      </c>
      <c r="V2685">
        <v>68.156400000000005</v>
      </c>
      <c r="W2685">
        <v>206</v>
      </c>
      <c r="X2685">
        <v>0</v>
      </c>
      <c r="Y2685">
        <v>0</v>
      </c>
      <c r="Z2685">
        <v>14449.16</v>
      </c>
      <c r="AA2685">
        <v>14655.16</v>
      </c>
      <c r="AB2685" s="12" t="s">
        <v>2930</v>
      </c>
      <c r="AC2685">
        <v>72.364500000000007</v>
      </c>
      <c r="AD2685">
        <v>1</v>
      </c>
      <c r="AE2685">
        <v>1</v>
      </c>
      <c r="AF2685">
        <v>-892.12</v>
      </c>
      <c r="AG2685">
        <v>15341.27</v>
      </c>
      <c r="AH2685">
        <v>212</v>
      </c>
      <c r="AI2685">
        <v>208</v>
      </c>
      <c r="AJ2685">
        <v>4</v>
      </c>
      <c r="AK2685">
        <v>1</v>
      </c>
      <c r="AL2685">
        <v>1</v>
      </c>
      <c r="AM2685">
        <v>98.11</v>
      </c>
      <c r="AN2685">
        <v>70.457499999999996</v>
      </c>
      <c r="AO2685">
        <v>272.63</v>
      </c>
      <c r="AP2685" s="13">
        <v>45459</v>
      </c>
      <c r="AQ2685">
        <v>-2</v>
      </c>
      <c r="AR2685">
        <v>1</v>
      </c>
    </row>
    <row r="2686" spans="1:44" x14ac:dyDescent="0.35">
      <c r="A2686" s="12" t="s">
        <v>3548</v>
      </c>
      <c r="B2686" s="12" t="s">
        <v>308</v>
      </c>
      <c r="C2686" s="12" t="s">
        <v>309</v>
      </c>
      <c r="D2686" s="12" t="s">
        <v>122</v>
      </c>
      <c r="E2686" s="12" t="s">
        <v>142</v>
      </c>
      <c r="F2686">
        <v>1</v>
      </c>
      <c r="G2686">
        <v>6</v>
      </c>
      <c r="H2686">
        <v>1</v>
      </c>
      <c r="I2686" s="12" t="s">
        <v>310</v>
      </c>
      <c r="J2686" s="12" t="s">
        <v>311</v>
      </c>
      <c r="K2686" s="12" t="s">
        <v>81</v>
      </c>
      <c r="L2686" s="12" t="s">
        <v>69</v>
      </c>
      <c r="M2686">
        <v>28.3</v>
      </c>
      <c r="N2686" s="12" t="s">
        <v>70</v>
      </c>
      <c r="O2686" s="12" t="s">
        <v>71</v>
      </c>
      <c r="P2686" s="12" t="s">
        <v>72</v>
      </c>
      <c r="Q2686" s="13">
        <v>45432</v>
      </c>
      <c r="R2686" s="13">
        <v>45472</v>
      </c>
      <c r="S2686">
        <v>2024</v>
      </c>
      <c r="T2686" s="12" t="s">
        <v>3413</v>
      </c>
      <c r="U2686">
        <v>704</v>
      </c>
      <c r="V2686">
        <v>58.086399999999998</v>
      </c>
      <c r="W2686">
        <v>1016.83</v>
      </c>
      <c r="X2686">
        <v>0</v>
      </c>
      <c r="Y2686">
        <v>0</v>
      </c>
      <c r="Z2686">
        <v>40892.83</v>
      </c>
      <c r="AA2686">
        <v>41909.660000000003</v>
      </c>
      <c r="AB2686" s="12" t="s">
        <v>2726</v>
      </c>
      <c r="AC2686">
        <v>58.086399999999998</v>
      </c>
      <c r="AD2686">
        <v>1</v>
      </c>
      <c r="AE2686">
        <v>1</v>
      </c>
      <c r="AF2686">
        <v>0</v>
      </c>
      <c r="AG2686">
        <v>40892.83</v>
      </c>
      <c r="AH2686">
        <v>704</v>
      </c>
      <c r="AI2686">
        <v>701</v>
      </c>
      <c r="AJ2686">
        <v>3</v>
      </c>
      <c r="AK2686">
        <v>1</v>
      </c>
      <c r="AL2686">
        <v>1</v>
      </c>
      <c r="AM2686">
        <v>99.57</v>
      </c>
      <c r="AN2686">
        <v>59.785499999999999</v>
      </c>
      <c r="AO2686">
        <v>174.26</v>
      </c>
      <c r="AP2686" s="13">
        <v>45476</v>
      </c>
      <c r="AQ2686">
        <v>4</v>
      </c>
      <c r="AR2686">
        <v>0</v>
      </c>
    </row>
    <row r="2687" spans="1:44" x14ac:dyDescent="0.35">
      <c r="A2687" s="12" t="s">
        <v>3549</v>
      </c>
      <c r="B2687" s="12" t="s">
        <v>477</v>
      </c>
      <c r="C2687" s="12" t="s">
        <v>478</v>
      </c>
      <c r="D2687" s="12" t="s">
        <v>130</v>
      </c>
      <c r="E2687" s="12" t="s">
        <v>104</v>
      </c>
      <c r="F2687">
        <v>3</v>
      </c>
      <c r="G2687">
        <v>1</v>
      </c>
      <c r="H2687">
        <v>0</v>
      </c>
      <c r="I2687" s="12" t="s">
        <v>380</v>
      </c>
      <c r="J2687" s="12" t="s">
        <v>381</v>
      </c>
      <c r="K2687" s="12" t="s">
        <v>89</v>
      </c>
      <c r="L2687" s="12" t="s">
        <v>96</v>
      </c>
      <c r="M2687">
        <v>10.210000000000001</v>
      </c>
      <c r="N2687" s="12" t="s">
        <v>135</v>
      </c>
      <c r="O2687" s="12" t="s">
        <v>136</v>
      </c>
      <c r="P2687" s="12" t="s">
        <v>137</v>
      </c>
      <c r="Q2687" s="13">
        <v>45432</v>
      </c>
      <c r="R2687" s="13">
        <v>45459</v>
      </c>
      <c r="S2687">
        <v>2024</v>
      </c>
      <c r="T2687" s="12" t="s">
        <v>3413</v>
      </c>
      <c r="U2687">
        <v>129</v>
      </c>
      <c r="V2687">
        <v>732.66340000000002</v>
      </c>
      <c r="W2687">
        <v>1381.58</v>
      </c>
      <c r="X2687">
        <v>0</v>
      </c>
      <c r="Y2687">
        <v>0</v>
      </c>
      <c r="Z2687">
        <v>94513.58</v>
      </c>
      <c r="AA2687">
        <v>95895.16</v>
      </c>
      <c r="AB2687" s="12" t="s">
        <v>3380</v>
      </c>
      <c r="AC2687">
        <v>714.96169999999995</v>
      </c>
      <c r="AD2687">
        <v>1</v>
      </c>
      <c r="AE2687">
        <v>1</v>
      </c>
      <c r="AF2687">
        <v>2283.52</v>
      </c>
      <c r="AG2687">
        <v>92230.06</v>
      </c>
      <c r="AH2687">
        <v>129</v>
      </c>
      <c r="AI2687">
        <v>127</v>
      </c>
      <c r="AJ2687">
        <v>2</v>
      </c>
      <c r="AK2687">
        <v>1</v>
      </c>
      <c r="AL2687">
        <v>1</v>
      </c>
      <c r="AM2687">
        <v>98.45</v>
      </c>
      <c r="AN2687">
        <v>755.08</v>
      </c>
      <c r="AO2687">
        <v>1465.33</v>
      </c>
      <c r="AP2687" s="13">
        <v>45458</v>
      </c>
      <c r="AQ2687">
        <v>-1</v>
      </c>
      <c r="AR2687">
        <v>1</v>
      </c>
    </row>
    <row r="2688" spans="1:44" x14ac:dyDescent="0.35">
      <c r="A2688" s="12" t="s">
        <v>3550</v>
      </c>
      <c r="B2688" s="12" t="s">
        <v>869</v>
      </c>
      <c r="C2688" s="12" t="s">
        <v>870</v>
      </c>
      <c r="D2688" s="12" t="s">
        <v>130</v>
      </c>
      <c r="E2688" s="12" t="s">
        <v>104</v>
      </c>
      <c r="F2688">
        <v>2</v>
      </c>
      <c r="G2688">
        <v>0</v>
      </c>
      <c r="H2688">
        <v>0</v>
      </c>
      <c r="I2688" s="12" t="s">
        <v>515</v>
      </c>
      <c r="J2688" s="12" t="s">
        <v>516</v>
      </c>
      <c r="K2688" s="12" t="s">
        <v>68</v>
      </c>
      <c r="L2688" s="12" t="s">
        <v>134</v>
      </c>
      <c r="M2688">
        <v>3.69</v>
      </c>
      <c r="N2688" s="12" t="s">
        <v>135</v>
      </c>
      <c r="O2688" s="12" t="s">
        <v>136</v>
      </c>
      <c r="P2688" s="12" t="s">
        <v>137</v>
      </c>
      <c r="Q2688" s="13">
        <v>45432</v>
      </c>
      <c r="R2688" s="13">
        <v>45450</v>
      </c>
      <c r="S2688">
        <v>2024</v>
      </c>
      <c r="T2688" s="12" t="s">
        <v>3413</v>
      </c>
      <c r="U2688">
        <v>63</v>
      </c>
      <c r="V2688">
        <v>615.029</v>
      </c>
      <c r="W2688">
        <v>720.8</v>
      </c>
      <c r="X2688">
        <v>0</v>
      </c>
      <c r="Y2688">
        <v>0</v>
      </c>
      <c r="Z2688">
        <v>38746.83</v>
      </c>
      <c r="AA2688">
        <v>39467.629999999997</v>
      </c>
      <c r="AB2688" s="12" t="s">
        <v>201</v>
      </c>
      <c r="AD2688">
        <v>0</v>
      </c>
      <c r="AE2688">
        <v>0</v>
      </c>
      <c r="AH2688">
        <v>63</v>
      </c>
      <c r="AI2688">
        <v>62</v>
      </c>
      <c r="AJ2688">
        <v>1</v>
      </c>
      <c r="AK2688">
        <v>1</v>
      </c>
      <c r="AL2688">
        <v>1</v>
      </c>
      <c r="AM2688">
        <v>98.41</v>
      </c>
      <c r="AN2688">
        <v>636.57460000000003</v>
      </c>
      <c r="AO2688">
        <v>615.03</v>
      </c>
      <c r="AP2688" s="13">
        <v>45454</v>
      </c>
      <c r="AQ2688">
        <v>4</v>
      </c>
      <c r="AR2688">
        <v>0</v>
      </c>
    </row>
    <row r="2689" spans="1:44" x14ac:dyDescent="0.35">
      <c r="A2689" s="12" t="s">
        <v>3551</v>
      </c>
      <c r="B2689" s="12" t="s">
        <v>140</v>
      </c>
      <c r="C2689" s="12" t="s">
        <v>141</v>
      </c>
      <c r="D2689" s="12" t="s">
        <v>103</v>
      </c>
      <c r="E2689" s="12" t="s">
        <v>142</v>
      </c>
      <c r="F2689">
        <v>1</v>
      </c>
      <c r="G2689">
        <v>7</v>
      </c>
      <c r="H2689">
        <v>1</v>
      </c>
      <c r="I2689" s="12" t="s">
        <v>143</v>
      </c>
      <c r="J2689" s="12" t="s">
        <v>144</v>
      </c>
      <c r="K2689" s="12" t="s">
        <v>133</v>
      </c>
      <c r="L2689" s="12" t="s">
        <v>96</v>
      </c>
      <c r="M2689">
        <v>5.43</v>
      </c>
      <c r="N2689" s="12" t="s">
        <v>145</v>
      </c>
      <c r="O2689" s="12" t="s">
        <v>146</v>
      </c>
      <c r="P2689" s="12" t="s">
        <v>109</v>
      </c>
      <c r="Q2689" s="13">
        <v>45432</v>
      </c>
      <c r="R2689" s="13">
        <v>45474</v>
      </c>
      <c r="S2689">
        <v>2024</v>
      </c>
      <c r="T2689" s="12" t="s">
        <v>3413</v>
      </c>
      <c r="U2689">
        <v>71</v>
      </c>
      <c r="V2689">
        <v>211.35810000000001</v>
      </c>
      <c r="W2689">
        <v>102.58</v>
      </c>
      <c r="X2689">
        <v>0</v>
      </c>
      <c r="Y2689">
        <v>0</v>
      </c>
      <c r="Z2689">
        <v>15006.43</v>
      </c>
      <c r="AA2689">
        <v>15109.01</v>
      </c>
      <c r="AB2689" s="12" t="s">
        <v>2815</v>
      </c>
      <c r="AC2689">
        <v>211.35810000000001</v>
      </c>
      <c r="AD2689">
        <v>1</v>
      </c>
      <c r="AE2689">
        <v>1</v>
      </c>
      <c r="AF2689">
        <v>0</v>
      </c>
      <c r="AG2689">
        <v>15006.43</v>
      </c>
      <c r="AH2689">
        <v>71</v>
      </c>
      <c r="AI2689">
        <v>70</v>
      </c>
      <c r="AJ2689">
        <v>1</v>
      </c>
      <c r="AK2689">
        <v>1</v>
      </c>
      <c r="AL2689">
        <v>1</v>
      </c>
      <c r="AM2689">
        <v>98.59</v>
      </c>
      <c r="AN2689">
        <v>215.84289999999999</v>
      </c>
      <c r="AO2689">
        <v>211.36</v>
      </c>
      <c r="AP2689" s="13">
        <v>45474</v>
      </c>
      <c r="AQ2689">
        <v>0</v>
      </c>
      <c r="AR2689">
        <v>1</v>
      </c>
    </row>
    <row r="2690" spans="1:44" x14ac:dyDescent="0.35">
      <c r="A2690" s="12" t="s">
        <v>3552</v>
      </c>
      <c r="B2690" s="12" t="s">
        <v>215</v>
      </c>
      <c r="C2690" s="12" t="s">
        <v>216</v>
      </c>
      <c r="D2690" s="12" t="s">
        <v>122</v>
      </c>
      <c r="E2690" s="12" t="s">
        <v>142</v>
      </c>
      <c r="F2690">
        <v>3</v>
      </c>
      <c r="G2690">
        <v>11</v>
      </c>
      <c r="H2690">
        <v>0</v>
      </c>
      <c r="I2690" s="12" t="s">
        <v>217</v>
      </c>
      <c r="J2690" s="12" t="s">
        <v>218</v>
      </c>
      <c r="K2690" s="12" t="s">
        <v>68</v>
      </c>
      <c r="L2690" s="12" t="s">
        <v>82</v>
      </c>
      <c r="M2690">
        <v>14.24</v>
      </c>
      <c r="N2690" s="12" t="s">
        <v>97</v>
      </c>
      <c r="O2690" s="12" t="s">
        <v>98</v>
      </c>
      <c r="P2690" s="12" t="s">
        <v>72</v>
      </c>
      <c r="Q2690" s="13">
        <v>45432</v>
      </c>
      <c r="R2690" s="13">
        <v>45478</v>
      </c>
      <c r="S2690">
        <v>2024</v>
      </c>
      <c r="T2690" s="12" t="s">
        <v>3413</v>
      </c>
      <c r="U2690">
        <v>1386</v>
      </c>
      <c r="V2690">
        <v>13.947900000000001</v>
      </c>
      <c r="W2690">
        <v>153.80000000000001</v>
      </c>
      <c r="X2690">
        <v>0</v>
      </c>
      <c r="Y2690">
        <v>0</v>
      </c>
      <c r="Z2690">
        <v>19331.79</v>
      </c>
      <c r="AA2690">
        <v>19485.59</v>
      </c>
      <c r="AB2690" s="12" t="s">
        <v>2696</v>
      </c>
      <c r="AC2690">
        <v>14.797000000000001</v>
      </c>
      <c r="AD2690">
        <v>1</v>
      </c>
      <c r="AE2690">
        <v>1</v>
      </c>
      <c r="AF2690">
        <v>-1176.8499999999999</v>
      </c>
      <c r="AG2690">
        <v>20508.64</v>
      </c>
      <c r="AH2690">
        <v>1386</v>
      </c>
      <c r="AI2690">
        <v>1379</v>
      </c>
      <c r="AJ2690">
        <v>7</v>
      </c>
      <c r="AK2690">
        <v>1</v>
      </c>
      <c r="AL2690">
        <v>1</v>
      </c>
      <c r="AM2690">
        <v>99.49</v>
      </c>
      <c r="AN2690">
        <v>14.1302</v>
      </c>
      <c r="AO2690">
        <v>97.64</v>
      </c>
      <c r="AP2690" s="13">
        <v>45476</v>
      </c>
      <c r="AQ2690">
        <v>-2</v>
      </c>
      <c r="AR2690">
        <v>1</v>
      </c>
    </row>
    <row r="2691" spans="1:44" x14ac:dyDescent="0.35">
      <c r="A2691" s="12" t="s">
        <v>3553</v>
      </c>
      <c r="B2691" s="12" t="s">
        <v>766</v>
      </c>
      <c r="C2691" s="12" t="s">
        <v>767</v>
      </c>
      <c r="D2691" s="12" t="s">
        <v>175</v>
      </c>
      <c r="E2691" s="12" t="s">
        <v>65</v>
      </c>
      <c r="F2691">
        <v>3</v>
      </c>
      <c r="G2691">
        <v>5</v>
      </c>
      <c r="H2691">
        <v>0</v>
      </c>
      <c r="I2691" s="12" t="s">
        <v>157</v>
      </c>
      <c r="J2691" s="12" t="s">
        <v>158</v>
      </c>
      <c r="K2691" s="12" t="s">
        <v>117</v>
      </c>
      <c r="L2691" s="12" t="s">
        <v>96</v>
      </c>
      <c r="M2691">
        <v>4.72</v>
      </c>
      <c r="N2691" s="12" t="s">
        <v>145</v>
      </c>
      <c r="O2691" s="12" t="s">
        <v>146</v>
      </c>
      <c r="P2691" s="12" t="s">
        <v>109</v>
      </c>
      <c r="Q2691" s="13">
        <v>45433</v>
      </c>
      <c r="R2691" s="13">
        <v>45468</v>
      </c>
      <c r="S2691">
        <v>2024</v>
      </c>
      <c r="T2691" s="12" t="s">
        <v>3413</v>
      </c>
      <c r="U2691">
        <v>124</v>
      </c>
      <c r="V2691">
        <v>82.0565</v>
      </c>
      <c r="W2691">
        <v>97.68</v>
      </c>
      <c r="X2691">
        <v>0</v>
      </c>
      <c r="Y2691">
        <v>0</v>
      </c>
      <c r="Z2691">
        <v>10175.01</v>
      </c>
      <c r="AA2691">
        <v>10272.69</v>
      </c>
      <c r="AB2691" s="12" t="s">
        <v>3554</v>
      </c>
      <c r="AC2691">
        <v>82.0565</v>
      </c>
      <c r="AD2691">
        <v>1</v>
      </c>
      <c r="AE2691">
        <v>1</v>
      </c>
      <c r="AF2691">
        <v>0</v>
      </c>
      <c r="AG2691">
        <v>10175.01</v>
      </c>
      <c r="AH2691">
        <v>124</v>
      </c>
      <c r="AI2691">
        <v>123</v>
      </c>
      <c r="AJ2691">
        <v>1</v>
      </c>
      <c r="AK2691">
        <v>1</v>
      </c>
      <c r="AL2691">
        <v>1</v>
      </c>
      <c r="AM2691">
        <v>99.19</v>
      </c>
      <c r="AN2691">
        <v>83.517799999999994</v>
      </c>
      <c r="AO2691">
        <v>82.06</v>
      </c>
      <c r="AP2691" s="13">
        <v>45465</v>
      </c>
      <c r="AQ2691">
        <v>-3</v>
      </c>
      <c r="AR2691">
        <v>1</v>
      </c>
    </row>
    <row r="2692" spans="1:44" x14ac:dyDescent="0.35">
      <c r="A2692" s="12" t="s">
        <v>3555</v>
      </c>
      <c r="B2692" s="12" t="s">
        <v>1068</v>
      </c>
      <c r="C2692" s="12" t="s">
        <v>1069</v>
      </c>
      <c r="D2692" s="12" t="s">
        <v>122</v>
      </c>
      <c r="E2692" s="12" t="s">
        <v>65</v>
      </c>
      <c r="F2692">
        <v>2</v>
      </c>
      <c r="G2692">
        <v>2</v>
      </c>
      <c r="H2692">
        <v>0</v>
      </c>
      <c r="I2692" s="12" t="s">
        <v>79</v>
      </c>
      <c r="J2692" s="12" t="s">
        <v>80</v>
      </c>
      <c r="K2692" s="12" t="s">
        <v>81</v>
      </c>
      <c r="L2692" s="12" t="s">
        <v>82</v>
      </c>
      <c r="M2692">
        <v>12.07</v>
      </c>
      <c r="N2692" s="12" t="s">
        <v>70</v>
      </c>
      <c r="O2692" s="12" t="s">
        <v>71</v>
      </c>
      <c r="P2692" s="12" t="s">
        <v>72</v>
      </c>
      <c r="Q2692" s="13">
        <v>45433</v>
      </c>
      <c r="R2692" s="13">
        <v>45462</v>
      </c>
      <c r="S2692">
        <v>2024</v>
      </c>
      <c r="T2692" s="12" t="s">
        <v>3413</v>
      </c>
      <c r="U2692">
        <v>1089</v>
      </c>
      <c r="V2692">
        <v>21.277999999999999</v>
      </c>
      <c r="W2692">
        <v>582.63</v>
      </c>
      <c r="X2692">
        <v>0</v>
      </c>
      <c r="Y2692">
        <v>0</v>
      </c>
      <c r="Z2692">
        <v>23171.74</v>
      </c>
      <c r="AA2692">
        <v>23754.37</v>
      </c>
      <c r="AB2692" s="12" t="s">
        <v>3113</v>
      </c>
      <c r="AC2692">
        <v>21.277999999999999</v>
      </c>
      <c r="AD2692">
        <v>1</v>
      </c>
      <c r="AE2692">
        <v>1</v>
      </c>
      <c r="AF2692">
        <v>0</v>
      </c>
      <c r="AG2692">
        <v>23171.74</v>
      </c>
      <c r="AH2692">
        <v>1089</v>
      </c>
      <c r="AI2692">
        <v>1080</v>
      </c>
      <c r="AJ2692">
        <v>9</v>
      </c>
      <c r="AK2692">
        <v>1</v>
      </c>
      <c r="AL2692">
        <v>1</v>
      </c>
      <c r="AM2692">
        <v>99.17</v>
      </c>
      <c r="AN2692">
        <v>21.994800000000001</v>
      </c>
      <c r="AO2692">
        <v>191.5</v>
      </c>
      <c r="AP2692" s="13">
        <v>45460</v>
      </c>
      <c r="AQ2692">
        <v>-2</v>
      </c>
      <c r="AR2692">
        <v>1</v>
      </c>
    </row>
    <row r="2693" spans="1:44" x14ac:dyDescent="0.35">
      <c r="A2693" s="12" t="s">
        <v>3556</v>
      </c>
      <c r="B2693" s="12" t="s">
        <v>617</v>
      </c>
      <c r="C2693" s="12" t="s">
        <v>618</v>
      </c>
      <c r="D2693" s="12" t="s">
        <v>78</v>
      </c>
      <c r="E2693" s="12" t="s">
        <v>65</v>
      </c>
      <c r="F2693">
        <v>2</v>
      </c>
      <c r="G2693">
        <v>4</v>
      </c>
      <c r="H2693">
        <v>0</v>
      </c>
      <c r="I2693" s="12" t="s">
        <v>341</v>
      </c>
      <c r="J2693" s="12" t="s">
        <v>342</v>
      </c>
      <c r="K2693" s="12" t="s">
        <v>117</v>
      </c>
      <c r="L2693" s="12" t="s">
        <v>82</v>
      </c>
      <c r="M2693">
        <v>18.36</v>
      </c>
      <c r="N2693" s="12" t="s">
        <v>97</v>
      </c>
      <c r="O2693" s="12" t="s">
        <v>98</v>
      </c>
      <c r="P2693" s="12" t="s">
        <v>72</v>
      </c>
      <c r="Q2693" s="13">
        <v>45433</v>
      </c>
      <c r="R2693" s="13">
        <v>45462</v>
      </c>
      <c r="S2693">
        <v>2024</v>
      </c>
      <c r="T2693" s="12" t="s">
        <v>3413</v>
      </c>
      <c r="U2693">
        <v>156</v>
      </c>
      <c r="V2693">
        <v>96.341800000000006</v>
      </c>
      <c r="W2693">
        <v>206.62</v>
      </c>
      <c r="X2693">
        <v>0</v>
      </c>
      <c r="Y2693">
        <v>0</v>
      </c>
      <c r="Z2693">
        <v>15029.32</v>
      </c>
      <c r="AA2693">
        <v>15235.94</v>
      </c>
      <c r="AB2693" s="12" t="s">
        <v>3217</v>
      </c>
      <c r="AC2693">
        <v>102.4909</v>
      </c>
      <c r="AD2693">
        <v>1</v>
      </c>
      <c r="AE2693">
        <v>1</v>
      </c>
      <c r="AF2693">
        <v>-959.26</v>
      </c>
      <c r="AG2693">
        <v>15988.58</v>
      </c>
      <c r="AH2693">
        <v>156</v>
      </c>
      <c r="AI2693">
        <v>152</v>
      </c>
      <c r="AJ2693">
        <v>4</v>
      </c>
      <c r="AK2693">
        <v>1</v>
      </c>
      <c r="AL2693">
        <v>1</v>
      </c>
      <c r="AM2693">
        <v>97.44</v>
      </c>
      <c r="AN2693">
        <v>100.23650000000001</v>
      </c>
      <c r="AO2693">
        <v>385.37</v>
      </c>
      <c r="AP2693" s="13">
        <v>45459</v>
      </c>
      <c r="AQ2693">
        <v>-3</v>
      </c>
      <c r="AR2693">
        <v>1</v>
      </c>
    </row>
    <row r="2694" spans="1:44" x14ac:dyDescent="0.35">
      <c r="A2694" s="12" t="s">
        <v>3557</v>
      </c>
      <c r="B2694" s="12" t="s">
        <v>773</v>
      </c>
      <c r="C2694" s="12" t="s">
        <v>774</v>
      </c>
      <c r="D2694" s="12" t="s">
        <v>64</v>
      </c>
      <c r="E2694" s="12" t="s">
        <v>142</v>
      </c>
      <c r="F2694">
        <v>1</v>
      </c>
      <c r="G2694">
        <v>7</v>
      </c>
      <c r="H2694">
        <v>1</v>
      </c>
      <c r="I2694" s="12" t="s">
        <v>251</v>
      </c>
      <c r="J2694" s="12" t="s">
        <v>252</v>
      </c>
      <c r="K2694" s="12" t="s">
        <v>133</v>
      </c>
      <c r="L2694" s="12" t="s">
        <v>69</v>
      </c>
      <c r="M2694">
        <v>34.49</v>
      </c>
      <c r="N2694" s="12" t="s">
        <v>70</v>
      </c>
      <c r="O2694" s="12" t="s">
        <v>71</v>
      </c>
      <c r="P2694" s="12" t="s">
        <v>72</v>
      </c>
      <c r="Q2694" s="13">
        <v>45433</v>
      </c>
      <c r="R2694" s="13">
        <v>45474</v>
      </c>
      <c r="S2694">
        <v>2024</v>
      </c>
      <c r="T2694" s="12" t="s">
        <v>3413</v>
      </c>
      <c r="U2694">
        <v>411</v>
      </c>
      <c r="V2694">
        <v>10.022600000000001</v>
      </c>
      <c r="W2694">
        <v>96.08</v>
      </c>
      <c r="X2694">
        <v>0</v>
      </c>
      <c r="Y2694">
        <v>0</v>
      </c>
      <c r="Z2694">
        <v>4119.29</v>
      </c>
      <c r="AA2694">
        <v>4215.37</v>
      </c>
      <c r="AB2694" s="12" t="s">
        <v>3354</v>
      </c>
      <c r="AC2694">
        <v>10.022600000000001</v>
      </c>
      <c r="AD2694">
        <v>1</v>
      </c>
      <c r="AE2694">
        <v>1</v>
      </c>
      <c r="AF2694">
        <v>0</v>
      </c>
      <c r="AG2694">
        <v>4119.29</v>
      </c>
      <c r="AH2694">
        <v>411</v>
      </c>
      <c r="AI2694">
        <v>406</v>
      </c>
      <c r="AJ2694">
        <v>5</v>
      </c>
      <c r="AK2694">
        <v>1</v>
      </c>
      <c r="AL2694">
        <v>1</v>
      </c>
      <c r="AM2694">
        <v>98.78</v>
      </c>
      <c r="AN2694">
        <v>10.3827</v>
      </c>
      <c r="AO2694">
        <v>50.11</v>
      </c>
      <c r="AP2694" s="13">
        <v>45483</v>
      </c>
      <c r="AQ2694">
        <v>9</v>
      </c>
      <c r="AR2694">
        <v>0</v>
      </c>
    </row>
    <row r="2695" spans="1:44" x14ac:dyDescent="0.35">
      <c r="A2695" s="12" t="s">
        <v>3558</v>
      </c>
      <c r="B2695" s="12" t="s">
        <v>207</v>
      </c>
      <c r="C2695" s="12" t="s">
        <v>208</v>
      </c>
      <c r="D2695" s="12" t="s">
        <v>78</v>
      </c>
      <c r="E2695" s="12" t="s">
        <v>65</v>
      </c>
      <c r="F2695">
        <v>2</v>
      </c>
      <c r="G2695">
        <v>3</v>
      </c>
      <c r="H2695">
        <v>0</v>
      </c>
      <c r="I2695" s="12" t="s">
        <v>217</v>
      </c>
      <c r="J2695" s="12" t="s">
        <v>218</v>
      </c>
      <c r="K2695" s="12" t="s">
        <v>68</v>
      </c>
      <c r="L2695" s="12" t="s">
        <v>82</v>
      </c>
      <c r="M2695">
        <v>14.24</v>
      </c>
      <c r="N2695" s="12" t="s">
        <v>97</v>
      </c>
      <c r="O2695" s="12" t="s">
        <v>98</v>
      </c>
      <c r="P2695" s="12" t="s">
        <v>72</v>
      </c>
      <c r="Q2695" s="13">
        <v>45433</v>
      </c>
      <c r="R2695" s="13">
        <v>45455</v>
      </c>
      <c r="S2695">
        <v>2024</v>
      </c>
      <c r="T2695" s="12" t="s">
        <v>3413</v>
      </c>
      <c r="U2695">
        <v>60</v>
      </c>
      <c r="V2695">
        <v>148.36510000000001</v>
      </c>
      <c r="W2695">
        <v>104.19</v>
      </c>
      <c r="X2695">
        <v>0</v>
      </c>
      <c r="Y2695">
        <v>0</v>
      </c>
      <c r="Z2695">
        <v>8901.91</v>
      </c>
      <c r="AA2695">
        <v>9006.1</v>
      </c>
      <c r="AB2695" s="12" t="s">
        <v>3559</v>
      </c>
      <c r="AC2695">
        <v>148.36510000000001</v>
      </c>
      <c r="AD2695">
        <v>1</v>
      </c>
      <c r="AE2695">
        <v>1</v>
      </c>
      <c r="AF2695">
        <v>0</v>
      </c>
      <c r="AG2695">
        <v>8901.91</v>
      </c>
      <c r="AH2695">
        <v>60</v>
      </c>
      <c r="AI2695">
        <v>59</v>
      </c>
      <c r="AJ2695">
        <v>1</v>
      </c>
      <c r="AK2695">
        <v>1</v>
      </c>
      <c r="AL2695">
        <v>1</v>
      </c>
      <c r="AM2695">
        <v>98.33</v>
      </c>
      <c r="AN2695">
        <v>152.64570000000001</v>
      </c>
      <c r="AO2695">
        <v>148.37</v>
      </c>
      <c r="AP2695" s="13">
        <v>45452</v>
      </c>
      <c r="AQ2695">
        <v>-3</v>
      </c>
      <c r="AR2695">
        <v>1</v>
      </c>
    </row>
    <row r="2696" spans="1:44" x14ac:dyDescent="0.35">
      <c r="A2696" s="12" t="s">
        <v>3560</v>
      </c>
      <c r="B2696" s="12" t="s">
        <v>454</v>
      </c>
      <c r="C2696" s="12" t="s">
        <v>455</v>
      </c>
      <c r="D2696" s="12" t="s">
        <v>122</v>
      </c>
      <c r="E2696" s="12" t="s">
        <v>104</v>
      </c>
      <c r="F2696">
        <v>3</v>
      </c>
      <c r="G2696">
        <v>1</v>
      </c>
      <c r="H2696">
        <v>0</v>
      </c>
      <c r="I2696" s="12" t="s">
        <v>243</v>
      </c>
      <c r="J2696" s="12" t="s">
        <v>244</v>
      </c>
      <c r="K2696" s="12" t="s">
        <v>81</v>
      </c>
      <c r="L2696" s="12" t="s">
        <v>82</v>
      </c>
      <c r="M2696">
        <v>9.2200000000000006</v>
      </c>
      <c r="N2696" s="12" t="s">
        <v>97</v>
      </c>
      <c r="O2696" s="12" t="s">
        <v>98</v>
      </c>
      <c r="P2696" s="12" t="s">
        <v>72</v>
      </c>
      <c r="Q2696" s="13">
        <v>45433</v>
      </c>
      <c r="R2696" s="13">
        <v>45449</v>
      </c>
      <c r="S2696">
        <v>2024</v>
      </c>
      <c r="T2696" s="12" t="s">
        <v>3413</v>
      </c>
      <c r="U2696">
        <v>609</v>
      </c>
      <c r="V2696">
        <v>20.9206</v>
      </c>
      <c r="W2696">
        <v>213.85</v>
      </c>
      <c r="X2696">
        <v>0</v>
      </c>
      <c r="Y2696">
        <v>0</v>
      </c>
      <c r="Z2696">
        <v>12740.65</v>
      </c>
      <c r="AA2696">
        <v>12954.5</v>
      </c>
      <c r="AB2696" s="12" t="s">
        <v>2767</v>
      </c>
      <c r="AC2696">
        <v>20.9206</v>
      </c>
      <c r="AD2696">
        <v>1</v>
      </c>
      <c r="AE2696">
        <v>1</v>
      </c>
      <c r="AF2696">
        <v>0</v>
      </c>
      <c r="AG2696">
        <v>12740.65</v>
      </c>
      <c r="AH2696">
        <v>609</v>
      </c>
      <c r="AI2696">
        <v>607</v>
      </c>
      <c r="AJ2696">
        <v>2</v>
      </c>
      <c r="AK2696">
        <v>1</v>
      </c>
      <c r="AL2696">
        <v>1</v>
      </c>
      <c r="AM2696">
        <v>99.67</v>
      </c>
      <c r="AN2696">
        <v>21.341799999999999</v>
      </c>
      <c r="AO2696">
        <v>41.84</v>
      </c>
      <c r="AP2696" s="13">
        <v>45447</v>
      </c>
      <c r="AQ2696">
        <v>-2</v>
      </c>
      <c r="AR2696">
        <v>1</v>
      </c>
    </row>
    <row r="2697" spans="1:44" x14ac:dyDescent="0.35">
      <c r="A2697" s="12" t="s">
        <v>3561</v>
      </c>
      <c r="B2697" s="12" t="s">
        <v>941</v>
      </c>
      <c r="C2697" s="12" t="s">
        <v>942</v>
      </c>
      <c r="D2697" s="12" t="s">
        <v>130</v>
      </c>
      <c r="E2697" s="12" t="s">
        <v>104</v>
      </c>
      <c r="F2697">
        <v>2</v>
      </c>
      <c r="G2697">
        <v>0</v>
      </c>
      <c r="H2697">
        <v>0</v>
      </c>
      <c r="I2697" s="12" t="s">
        <v>131</v>
      </c>
      <c r="J2697" s="12" t="s">
        <v>132</v>
      </c>
      <c r="K2697" s="12" t="s">
        <v>133</v>
      </c>
      <c r="L2697" s="12" t="s">
        <v>134</v>
      </c>
      <c r="M2697">
        <v>1.51</v>
      </c>
      <c r="N2697" s="12" t="s">
        <v>159</v>
      </c>
      <c r="O2697" s="12" t="s">
        <v>160</v>
      </c>
      <c r="P2697" s="12" t="s">
        <v>137</v>
      </c>
      <c r="Q2697" s="13">
        <v>45433</v>
      </c>
      <c r="R2697" s="13">
        <v>45459</v>
      </c>
      <c r="S2697">
        <v>2024</v>
      </c>
      <c r="T2697" s="12" t="s">
        <v>3413</v>
      </c>
      <c r="U2697">
        <v>120</v>
      </c>
      <c r="V2697">
        <v>839.4819</v>
      </c>
      <c r="W2697">
        <v>2148.7199999999998</v>
      </c>
      <c r="X2697">
        <v>0</v>
      </c>
      <c r="Y2697">
        <v>0</v>
      </c>
      <c r="Z2697">
        <v>100737.83</v>
      </c>
      <c r="AA2697">
        <v>102886.55</v>
      </c>
      <c r="AB2697" s="12" t="s">
        <v>3518</v>
      </c>
      <c r="AC2697">
        <v>839.4819</v>
      </c>
      <c r="AD2697">
        <v>1</v>
      </c>
      <c r="AE2697">
        <v>1</v>
      </c>
      <c r="AF2697">
        <v>0</v>
      </c>
      <c r="AG2697">
        <v>100737.83</v>
      </c>
      <c r="AH2697">
        <v>120</v>
      </c>
      <c r="AI2697">
        <v>109</v>
      </c>
      <c r="AJ2697">
        <v>11</v>
      </c>
      <c r="AK2697">
        <v>1</v>
      </c>
      <c r="AL2697">
        <v>1</v>
      </c>
      <c r="AM2697">
        <v>90.83</v>
      </c>
      <c r="AN2697">
        <v>943.91330000000005</v>
      </c>
      <c r="AO2697">
        <v>9234.2999999999993</v>
      </c>
      <c r="AP2697" s="13">
        <v>45459</v>
      </c>
      <c r="AQ2697">
        <v>0</v>
      </c>
      <c r="AR2697">
        <v>1</v>
      </c>
    </row>
    <row r="2698" spans="1:44" x14ac:dyDescent="0.35">
      <c r="A2698" s="12" t="s">
        <v>3562</v>
      </c>
      <c r="B2698" s="12" t="s">
        <v>670</v>
      </c>
      <c r="C2698" s="12" t="s">
        <v>671</v>
      </c>
      <c r="D2698" s="12" t="s">
        <v>175</v>
      </c>
      <c r="E2698" s="12" t="s">
        <v>142</v>
      </c>
      <c r="F2698">
        <v>2</v>
      </c>
      <c r="G2698">
        <v>9</v>
      </c>
      <c r="H2698">
        <v>0</v>
      </c>
      <c r="I2698" s="12" t="s">
        <v>105</v>
      </c>
      <c r="J2698" s="12" t="s">
        <v>106</v>
      </c>
      <c r="K2698" s="12" t="s">
        <v>81</v>
      </c>
      <c r="L2698" s="12" t="s">
        <v>96</v>
      </c>
      <c r="M2698">
        <v>5.01</v>
      </c>
      <c r="N2698" s="12" t="s">
        <v>107</v>
      </c>
      <c r="O2698" s="12" t="s">
        <v>108</v>
      </c>
      <c r="P2698" s="12" t="s">
        <v>109</v>
      </c>
      <c r="Q2698" s="13">
        <v>45433</v>
      </c>
      <c r="R2698" s="13">
        <v>45482</v>
      </c>
      <c r="S2698">
        <v>2024</v>
      </c>
      <c r="T2698" s="12" t="s">
        <v>3413</v>
      </c>
      <c r="U2698">
        <v>121</v>
      </c>
      <c r="V2698">
        <v>147.4665</v>
      </c>
      <c r="W2698">
        <v>133.97</v>
      </c>
      <c r="X2698">
        <v>0</v>
      </c>
      <c r="Y2698">
        <v>0</v>
      </c>
      <c r="Z2698">
        <v>17843.45</v>
      </c>
      <c r="AA2698">
        <v>17977.419999999998</v>
      </c>
      <c r="AB2698" s="12" t="s">
        <v>3277</v>
      </c>
      <c r="AC2698">
        <v>147.4665</v>
      </c>
      <c r="AD2698">
        <v>1</v>
      </c>
      <c r="AE2698">
        <v>1</v>
      </c>
      <c r="AF2698">
        <v>0</v>
      </c>
      <c r="AG2698">
        <v>17843.45</v>
      </c>
      <c r="AH2698">
        <v>121</v>
      </c>
      <c r="AI2698">
        <v>120</v>
      </c>
      <c r="AJ2698">
        <v>1</v>
      </c>
      <c r="AK2698">
        <v>1</v>
      </c>
      <c r="AL2698">
        <v>1</v>
      </c>
      <c r="AM2698">
        <v>99.17</v>
      </c>
      <c r="AN2698">
        <v>149.81180000000001</v>
      </c>
      <c r="AO2698">
        <v>147.47</v>
      </c>
      <c r="AP2698" s="13">
        <v>45480</v>
      </c>
      <c r="AQ2698">
        <v>-2</v>
      </c>
      <c r="AR2698">
        <v>1</v>
      </c>
    </row>
    <row r="2699" spans="1:44" x14ac:dyDescent="0.35">
      <c r="A2699" s="12" t="s">
        <v>3563</v>
      </c>
      <c r="B2699" s="12" t="s">
        <v>548</v>
      </c>
      <c r="C2699" s="12" t="s">
        <v>549</v>
      </c>
      <c r="D2699" s="12" t="s">
        <v>78</v>
      </c>
      <c r="E2699" s="12" t="s">
        <v>104</v>
      </c>
      <c r="F2699">
        <v>3</v>
      </c>
      <c r="G2699">
        <v>1</v>
      </c>
      <c r="H2699">
        <v>0</v>
      </c>
      <c r="I2699" s="12" t="s">
        <v>199</v>
      </c>
      <c r="J2699" s="12" t="s">
        <v>200</v>
      </c>
      <c r="K2699" s="12" t="s">
        <v>68</v>
      </c>
      <c r="L2699" s="12" t="s">
        <v>96</v>
      </c>
      <c r="M2699">
        <v>9.4700000000000006</v>
      </c>
      <c r="N2699" s="12" t="s">
        <v>97</v>
      </c>
      <c r="O2699" s="12" t="s">
        <v>98</v>
      </c>
      <c r="P2699" s="12" t="s">
        <v>72</v>
      </c>
      <c r="Q2699" s="13">
        <v>45434</v>
      </c>
      <c r="R2699" s="13">
        <v>45458</v>
      </c>
      <c r="S2699">
        <v>2024</v>
      </c>
      <c r="T2699" s="12" t="s">
        <v>3413</v>
      </c>
      <c r="U2699">
        <v>222</v>
      </c>
      <c r="V2699">
        <v>59.1252</v>
      </c>
      <c r="W2699">
        <v>136.16</v>
      </c>
      <c r="X2699">
        <v>0</v>
      </c>
      <c r="Y2699">
        <v>0</v>
      </c>
      <c r="Z2699">
        <v>13125.79</v>
      </c>
      <c r="AA2699">
        <v>13261.95</v>
      </c>
      <c r="AB2699" s="12" t="s">
        <v>3564</v>
      </c>
      <c r="AC2699">
        <v>59.1252</v>
      </c>
      <c r="AD2699">
        <v>1</v>
      </c>
      <c r="AE2699">
        <v>1</v>
      </c>
      <c r="AF2699">
        <v>0</v>
      </c>
      <c r="AG2699">
        <v>13125.79</v>
      </c>
      <c r="AH2699">
        <v>222</v>
      </c>
      <c r="AI2699">
        <v>217</v>
      </c>
      <c r="AJ2699">
        <v>5</v>
      </c>
      <c r="AK2699">
        <v>1</v>
      </c>
      <c r="AL2699">
        <v>1</v>
      </c>
      <c r="AM2699">
        <v>97.75</v>
      </c>
      <c r="AN2699">
        <v>61.115000000000002</v>
      </c>
      <c r="AO2699">
        <v>295.63</v>
      </c>
      <c r="AP2699" s="13">
        <v>45455</v>
      </c>
      <c r="AQ2699">
        <v>-3</v>
      </c>
      <c r="AR2699">
        <v>1</v>
      </c>
    </row>
    <row r="2700" spans="1:44" x14ac:dyDescent="0.35">
      <c r="A2700" s="12" t="s">
        <v>3565</v>
      </c>
      <c r="B2700" s="12" t="s">
        <v>646</v>
      </c>
      <c r="C2700" s="12" t="s">
        <v>647</v>
      </c>
      <c r="D2700" s="12" t="s">
        <v>175</v>
      </c>
      <c r="E2700" s="12" t="s">
        <v>104</v>
      </c>
      <c r="F2700">
        <v>3</v>
      </c>
      <c r="G2700">
        <v>1</v>
      </c>
      <c r="H2700">
        <v>0</v>
      </c>
      <c r="I2700" s="12" t="s">
        <v>243</v>
      </c>
      <c r="J2700" s="12" t="s">
        <v>244</v>
      </c>
      <c r="K2700" s="12" t="s">
        <v>81</v>
      </c>
      <c r="L2700" s="12" t="s">
        <v>82</v>
      </c>
      <c r="M2700">
        <v>9.2200000000000006</v>
      </c>
      <c r="N2700" s="12" t="s">
        <v>145</v>
      </c>
      <c r="O2700" s="12" t="s">
        <v>146</v>
      </c>
      <c r="P2700" s="12" t="s">
        <v>109</v>
      </c>
      <c r="Q2700" s="13">
        <v>45434</v>
      </c>
      <c r="R2700" s="13">
        <v>45461</v>
      </c>
      <c r="S2700">
        <v>2024</v>
      </c>
      <c r="T2700" s="12" t="s">
        <v>3413</v>
      </c>
      <c r="U2700">
        <v>134</v>
      </c>
      <c r="V2700">
        <v>210.98349999999999</v>
      </c>
      <c r="W2700">
        <v>227.63</v>
      </c>
      <c r="X2700">
        <v>0</v>
      </c>
      <c r="Y2700">
        <v>0</v>
      </c>
      <c r="Z2700">
        <v>28271.79</v>
      </c>
      <c r="AA2700">
        <v>28499.42</v>
      </c>
      <c r="AB2700" s="12" t="s">
        <v>3566</v>
      </c>
      <c r="AC2700">
        <v>210.98349999999999</v>
      </c>
      <c r="AD2700">
        <v>1</v>
      </c>
      <c r="AE2700">
        <v>1</v>
      </c>
      <c r="AF2700">
        <v>0</v>
      </c>
      <c r="AG2700">
        <v>28271.79</v>
      </c>
      <c r="AH2700">
        <v>134</v>
      </c>
      <c r="AI2700">
        <v>133</v>
      </c>
      <c r="AJ2700">
        <v>1</v>
      </c>
      <c r="AK2700">
        <v>1</v>
      </c>
      <c r="AL2700">
        <v>1</v>
      </c>
      <c r="AM2700">
        <v>99.25</v>
      </c>
      <c r="AN2700">
        <v>214.28129999999999</v>
      </c>
      <c r="AO2700">
        <v>210.98</v>
      </c>
      <c r="AP2700" s="13">
        <v>45461</v>
      </c>
      <c r="AQ2700">
        <v>0</v>
      </c>
      <c r="AR2700">
        <v>1</v>
      </c>
    </row>
    <row r="2701" spans="1:44" x14ac:dyDescent="0.35">
      <c r="A2701" s="12" t="s">
        <v>3567</v>
      </c>
      <c r="B2701" s="12" t="s">
        <v>1075</v>
      </c>
      <c r="C2701" s="12" t="s">
        <v>1076</v>
      </c>
      <c r="D2701" s="12" t="s">
        <v>103</v>
      </c>
      <c r="E2701" s="12" t="s">
        <v>65</v>
      </c>
      <c r="F2701">
        <v>2</v>
      </c>
      <c r="G2701">
        <v>4</v>
      </c>
      <c r="H2701">
        <v>0</v>
      </c>
      <c r="I2701" s="12" t="s">
        <v>183</v>
      </c>
      <c r="J2701" s="12" t="s">
        <v>184</v>
      </c>
      <c r="K2701" s="12" t="s">
        <v>133</v>
      </c>
      <c r="L2701" s="12" t="s">
        <v>82</v>
      </c>
      <c r="M2701">
        <v>8.6199999999999992</v>
      </c>
      <c r="N2701" s="12" t="s">
        <v>107</v>
      </c>
      <c r="O2701" s="12" t="s">
        <v>108</v>
      </c>
      <c r="P2701" s="12" t="s">
        <v>109</v>
      </c>
      <c r="Q2701" s="13">
        <v>45434</v>
      </c>
      <c r="R2701" s="13">
        <v>45461</v>
      </c>
      <c r="S2701">
        <v>2024</v>
      </c>
      <c r="T2701" s="12" t="s">
        <v>3413</v>
      </c>
      <c r="U2701">
        <v>58</v>
      </c>
      <c r="V2701">
        <v>77.556899999999999</v>
      </c>
      <c r="W2701">
        <v>32.92</v>
      </c>
      <c r="X2701">
        <v>0</v>
      </c>
      <c r="Y2701">
        <v>0</v>
      </c>
      <c r="Z2701">
        <v>4498.3</v>
      </c>
      <c r="AA2701">
        <v>4531.22</v>
      </c>
      <c r="AB2701" s="12" t="s">
        <v>201</v>
      </c>
      <c r="AD2701">
        <v>0</v>
      </c>
      <c r="AE2701">
        <v>0</v>
      </c>
      <c r="AH2701">
        <v>58</v>
      </c>
      <c r="AI2701">
        <v>57</v>
      </c>
      <c r="AJ2701">
        <v>1</v>
      </c>
      <c r="AK2701">
        <v>1</v>
      </c>
      <c r="AL2701">
        <v>1</v>
      </c>
      <c r="AM2701">
        <v>98.28</v>
      </c>
      <c r="AN2701">
        <v>79.495099999999994</v>
      </c>
      <c r="AO2701">
        <v>77.56</v>
      </c>
      <c r="AP2701" s="13">
        <v>45459</v>
      </c>
      <c r="AQ2701">
        <v>-2</v>
      </c>
      <c r="AR2701">
        <v>1</v>
      </c>
    </row>
    <row r="2702" spans="1:44" x14ac:dyDescent="0.35">
      <c r="A2702" s="12" t="s">
        <v>3568</v>
      </c>
      <c r="B2702" s="12" t="s">
        <v>173</v>
      </c>
      <c r="C2702" s="12" t="s">
        <v>174</v>
      </c>
      <c r="D2702" s="12" t="s">
        <v>175</v>
      </c>
      <c r="E2702" s="12" t="s">
        <v>104</v>
      </c>
      <c r="F2702">
        <v>3</v>
      </c>
      <c r="G2702">
        <v>1</v>
      </c>
      <c r="H2702">
        <v>0</v>
      </c>
      <c r="I2702" s="12" t="s">
        <v>176</v>
      </c>
      <c r="J2702" s="12" t="s">
        <v>177</v>
      </c>
      <c r="K2702" s="12" t="s">
        <v>125</v>
      </c>
      <c r="L2702" s="12" t="s">
        <v>134</v>
      </c>
      <c r="M2702">
        <v>1.75</v>
      </c>
      <c r="N2702" s="12" t="s">
        <v>107</v>
      </c>
      <c r="O2702" s="12" t="s">
        <v>108</v>
      </c>
      <c r="P2702" s="12" t="s">
        <v>109</v>
      </c>
      <c r="Q2702" s="13">
        <v>45434</v>
      </c>
      <c r="R2702" s="13">
        <v>45453</v>
      </c>
      <c r="S2702">
        <v>2024</v>
      </c>
      <c r="T2702" s="12" t="s">
        <v>3413</v>
      </c>
      <c r="U2702">
        <v>65</v>
      </c>
      <c r="V2702">
        <v>75.626000000000005</v>
      </c>
      <c r="W2702">
        <v>92.64</v>
      </c>
      <c r="X2702">
        <v>0</v>
      </c>
      <c r="Y2702">
        <v>0</v>
      </c>
      <c r="Z2702">
        <v>4915.6899999999996</v>
      </c>
      <c r="AA2702">
        <v>5008.33</v>
      </c>
      <c r="AB2702" s="12" t="s">
        <v>2717</v>
      </c>
      <c r="AC2702">
        <v>75.626000000000005</v>
      </c>
      <c r="AD2702">
        <v>1</v>
      </c>
      <c r="AE2702">
        <v>1</v>
      </c>
      <c r="AF2702">
        <v>0</v>
      </c>
      <c r="AG2702">
        <v>4915.6899999999996</v>
      </c>
      <c r="AH2702">
        <v>65</v>
      </c>
      <c r="AI2702">
        <v>65</v>
      </c>
      <c r="AJ2702">
        <v>0</v>
      </c>
      <c r="AK2702">
        <v>1</v>
      </c>
      <c r="AL2702">
        <v>1</v>
      </c>
      <c r="AM2702">
        <v>100</v>
      </c>
      <c r="AN2702">
        <v>77.051199999999994</v>
      </c>
      <c r="AO2702">
        <v>0</v>
      </c>
      <c r="AP2702" s="13">
        <v>45462</v>
      </c>
      <c r="AQ2702">
        <v>9</v>
      </c>
      <c r="AR2702">
        <v>0</v>
      </c>
    </row>
    <row r="2703" spans="1:44" x14ac:dyDescent="0.35">
      <c r="A2703" s="12" t="s">
        <v>3569</v>
      </c>
      <c r="B2703" s="12" t="s">
        <v>490</v>
      </c>
      <c r="C2703" s="12" t="s">
        <v>491</v>
      </c>
      <c r="D2703" s="12" t="s">
        <v>130</v>
      </c>
      <c r="E2703" s="12" t="s">
        <v>104</v>
      </c>
      <c r="F2703">
        <v>3</v>
      </c>
      <c r="G2703">
        <v>1</v>
      </c>
      <c r="H2703">
        <v>0</v>
      </c>
      <c r="I2703" s="12" t="s">
        <v>176</v>
      </c>
      <c r="J2703" s="12" t="s">
        <v>177</v>
      </c>
      <c r="K2703" s="12" t="s">
        <v>125</v>
      </c>
      <c r="L2703" s="12" t="s">
        <v>134</v>
      </c>
      <c r="M2703">
        <v>1.75</v>
      </c>
      <c r="N2703" s="12" t="s">
        <v>159</v>
      </c>
      <c r="O2703" s="12" t="s">
        <v>160</v>
      </c>
      <c r="P2703" s="12" t="s">
        <v>137</v>
      </c>
      <c r="Q2703" s="13">
        <v>45434</v>
      </c>
      <c r="R2703" s="13">
        <v>45459</v>
      </c>
      <c r="S2703">
        <v>2024</v>
      </c>
      <c r="T2703" s="12" t="s">
        <v>3413</v>
      </c>
      <c r="U2703">
        <v>116</v>
      </c>
      <c r="V2703">
        <v>264.23239999999998</v>
      </c>
      <c r="W2703">
        <v>195.68</v>
      </c>
      <c r="X2703">
        <v>0</v>
      </c>
      <c r="Y2703">
        <v>0</v>
      </c>
      <c r="Z2703">
        <v>30650.959999999999</v>
      </c>
      <c r="AA2703">
        <v>30846.639999999999</v>
      </c>
      <c r="AB2703" s="12" t="s">
        <v>3122</v>
      </c>
      <c r="AC2703">
        <v>264.23239999999998</v>
      </c>
      <c r="AD2703">
        <v>1</v>
      </c>
      <c r="AE2703">
        <v>1</v>
      </c>
      <c r="AF2703">
        <v>0</v>
      </c>
      <c r="AG2703">
        <v>30650.959999999999</v>
      </c>
      <c r="AH2703">
        <v>116</v>
      </c>
      <c r="AI2703">
        <v>115</v>
      </c>
      <c r="AJ2703">
        <v>1</v>
      </c>
      <c r="AK2703">
        <v>1</v>
      </c>
      <c r="AL2703">
        <v>1</v>
      </c>
      <c r="AM2703">
        <v>99.14</v>
      </c>
      <c r="AN2703">
        <v>268.23160000000001</v>
      </c>
      <c r="AO2703">
        <v>264.23</v>
      </c>
      <c r="AP2703" s="13">
        <v>45457</v>
      </c>
      <c r="AQ2703">
        <v>-2</v>
      </c>
      <c r="AR2703">
        <v>1</v>
      </c>
    </row>
    <row r="2704" spans="1:44" x14ac:dyDescent="0.35">
      <c r="A2704" s="12" t="s">
        <v>3570</v>
      </c>
      <c r="B2704" s="12" t="s">
        <v>193</v>
      </c>
      <c r="C2704" s="12" t="s">
        <v>194</v>
      </c>
      <c r="D2704" s="12" t="s">
        <v>114</v>
      </c>
      <c r="E2704" s="12" t="s">
        <v>65</v>
      </c>
      <c r="F2704">
        <v>3</v>
      </c>
      <c r="G2704">
        <v>4</v>
      </c>
      <c r="H2704">
        <v>0</v>
      </c>
      <c r="I2704" s="12" t="s">
        <v>143</v>
      </c>
      <c r="J2704" s="12" t="s">
        <v>144</v>
      </c>
      <c r="K2704" s="12" t="s">
        <v>133</v>
      </c>
      <c r="L2704" s="12" t="s">
        <v>96</v>
      </c>
      <c r="M2704">
        <v>5.43</v>
      </c>
      <c r="N2704" s="12" t="s">
        <v>97</v>
      </c>
      <c r="O2704" s="12" t="s">
        <v>98</v>
      </c>
      <c r="P2704" s="12" t="s">
        <v>72</v>
      </c>
      <c r="Q2704" s="13">
        <v>45434</v>
      </c>
      <c r="R2704" s="13">
        <v>45469</v>
      </c>
      <c r="S2704">
        <v>2024</v>
      </c>
      <c r="T2704" s="12" t="s">
        <v>3413</v>
      </c>
      <c r="U2704">
        <v>120</v>
      </c>
      <c r="V2704">
        <v>105.8665</v>
      </c>
      <c r="W2704">
        <v>161.87</v>
      </c>
      <c r="X2704">
        <v>0</v>
      </c>
      <c r="Y2704">
        <v>0</v>
      </c>
      <c r="Z2704">
        <v>12703.98</v>
      </c>
      <c r="AA2704">
        <v>12865.85</v>
      </c>
      <c r="AB2704" s="12" t="s">
        <v>2888</v>
      </c>
      <c r="AC2704">
        <v>105.8665</v>
      </c>
      <c r="AD2704">
        <v>1</v>
      </c>
      <c r="AE2704">
        <v>1</v>
      </c>
      <c r="AF2704">
        <v>0</v>
      </c>
      <c r="AG2704">
        <v>12703.98</v>
      </c>
      <c r="AH2704">
        <v>120</v>
      </c>
      <c r="AI2704">
        <v>118</v>
      </c>
      <c r="AJ2704">
        <v>2</v>
      </c>
      <c r="AK2704">
        <v>1</v>
      </c>
      <c r="AL2704">
        <v>1</v>
      </c>
      <c r="AM2704">
        <v>98.33</v>
      </c>
      <c r="AN2704">
        <v>109.0326</v>
      </c>
      <c r="AO2704">
        <v>211.73</v>
      </c>
      <c r="AP2704" s="13">
        <v>45467</v>
      </c>
      <c r="AQ2704">
        <v>-2</v>
      </c>
      <c r="AR2704">
        <v>1</v>
      </c>
    </row>
    <row r="2705" spans="1:44" x14ac:dyDescent="0.35">
      <c r="A2705" s="12" t="s">
        <v>3571</v>
      </c>
      <c r="B2705" s="12" t="s">
        <v>391</v>
      </c>
      <c r="C2705" s="12" t="s">
        <v>392</v>
      </c>
      <c r="D2705" s="12" t="s">
        <v>114</v>
      </c>
      <c r="E2705" s="12" t="s">
        <v>65</v>
      </c>
      <c r="F2705">
        <v>2</v>
      </c>
      <c r="G2705">
        <v>2</v>
      </c>
      <c r="H2705">
        <v>0</v>
      </c>
      <c r="I2705" s="12" t="s">
        <v>195</v>
      </c>
      <c r="J2705" s="12" t="s">
        <v>196</v>
      </c>
      <c r="K2705" s="12" t="s">
        <v>117</v>
      </c>
      <c r="L2705" s="12" t="s">
        <v>134</v>
      </c>
      <c r="M2705">
        <v>4.7699999999999996</v>
      </c>
      <c r="N2705" s="12" t="s">
        <v>97</v>
      </c>
      <c r="O2705" s="12" t="s">
        <v>98</v>
      </c>
      <c r="P2705" s="12" t="s">
        <v>72</v>
      </c>
      <c r="Q2705" s="13">
        <v>45434</v>
      </c>
      <c r="R2705" s="13">
        <v>45471</v>
      </c>
      <c r="S2705">
        <v>2024</v>
      </c>
      <c r="T2705" s="12" t="s">
        <v>3413</v>
      </c>
      <c r="U2705">
        <v>135</v>
      </c>
      <c r="V2705">
        <v>220.66759999999999</v>
      </c>
      <c r="W2705">
        <v>767.48</v>
      </c>
      <c r="X2705">
        <v>0</v>
      </c>
      <c r="Y2705">
        <v>0</v>
      </c>
      <c r="Z2705">
        <v>29790.13</v>
      </c>
      <c r="AA2705">
        <v>30557.61</v>
      </c>
      <c r="AB2705" s="12" t="s">
        <v>3572</v>
      </c>
      <c r="AC2705">
        <v>220.66759999999999</v>
      </c>
      <c r="AD2705">
        <v>1</v>
      </c>
      <c r="AE2705">
        <v>1</v>
      </c>
      <c r="AF2705">
        <v>0</v>
      </c>
      <c r="AG2705">
        <v>29790.13</v>
      </c>
      <c r="AH2705">
        <v>135</v>
      </c>
      <c r="AI2705">
        <v>132</v>
      </c>
      <c r="AJ2705">
        <v>3</v>
      </c>
      <c r="AK2705">
        <v>1</v>
      </c>
      <c r="AL2705">
        <v>1</v>
      </c>
      <c r="AM2705">
        <v>97.78</v>
      </c>
      <c r="AN2705">
        <v>231.49700000000001</v>
      </c>
      <c r="AO2705">
        <v>662</v>
      </c>
      <c r="AP2705" s="13">
        <v>45470</v>
      </c>
      <c r="AQ2705">
        <v>-1</v>
      </c>
      <c r="AR2705">
        <v>1</v>
      </c>
    </row>
    <row r="2706" spans="1:44" x14ac:dyDescent="0.35">
      <c r="A2706" s="12" t="s">
        <v>3573</v>
      </c>
      <c r="B2706" s="12" t="s">
        <v>509</v>
      </c>
      <c r="C2706" s="12" t="s">
        <v>510</v>
      </c>
      <c r="D2706" s="12" t="s">
        <v>78</v>
      </c>
      <c r="E2706" s="12" t="s">
        <v>142</v>
      </c>
      <c r="F2706">
        <v>3</v>
      </c>
      <c r="G2706">
        <v>11</v>
      </c>
      <c r="H2706">
        <v>0</v>
      </c>
      <c r="I2706" s="12" t="s">
        <v>176</v>
      </c>
      <c r="J2706" s="12" t="s">
        <v>177</v>
      </c>
      <c r="K2706" s="12" t="s">
        <v>125</v>
      </c>
      <c r="L2706" s="12" t="s">
        <v>134</v>
      </c>
      <c r="M2706">
        <v>1.75</v>
      </c>
      <c r="N2706" s="12" t="s">
        <v>70</v>
      </c>
      <c r="O2706" s="12" t="s">
        <v>71</v>
      </c>
      <c r="P2706" s="12" t="s">
        <v>72</v>
      </c>
      <c r="Q2706" s="13">
        <v>45434</v>
      </c>
      <c r="R2706" s="13">
        <v>45477</v>
      </c>
      <c r="S2706">
        <v>2024</v>
      </c>
      <c r="T2706" s="12" t="s">
        <v>3413</v>
      </c>
      <c r="U2706">
        <v>163</v>
      </c>
      <c r="V2706">
        <v>149.71780000000001</v>
      </c>
      <c r="W2706">
        <v>524.25</v>
      </c>
      <c r="X2706">
        <v>0</v>
      </c>
      <c r="Y2706">
        <v>0</v>
      </c>
      <c r="Z2706">
        <v>24404</v>
      </c>
      <c r="AA2706">
        <v>24928.25</v>
      </c>
      <c r="AB2706" s="12" t="s">
        <v>201</v>
      </c>
      <c r="AD2706">
        <v>0</v>
      </c>
      <c r="AE2706">
        <v>0</v>
      </c>
      <c r="AH2706">
        <v>163</v>
      </c>
      <c r="AI2706">
        <v>162</v>
      </c>
      <c r="AJ2706">
        <v>1</v>
      </c>
      <c r="AK2706">
        <v>1</v>
      </c>
      <c r="AL2706">
        <v>1</v>
      </c>
      <c r="AM2706">
        <v>99.39</v>
      </c>
      <c r="AN2706">
        <v>153.87809999999999</v>
      </c>
      <c r="AO2706">
        <v>149.72</v>
      </c>
      <c r="AP2706" s="13">
        <v>45473</v>
      </c>
      <c r="AQ2706">
        <v>-4</v>
      </c>
      <c r="AR2706">
        <v>1</v>
      </c>
    </row>
    <row r="2707" spans="1:44" x14ac:dyDescent="0.35">
      <c r="A2707" s="12" t="s">
        <v>3574</v>
      </c>
      <c r="B2707" s="12" t="s">
        <v>565</v>
      </c>
      <c r="C2707" s="12" t="s">
        <v>566</v>
      </c>
      <c r="D2707" s="12" t="s">
        <v>122</v>
      </c>
      <c r="E2707" s="12" t="s">
        <v>104</v>
      </c>
      <c r="F2707">
        <v>3</v>
      </c>
      <c r="G2707">
        <v>1</v>
      </c>
      <c r="H2707">
        <v>0</v>
      </c>
      <c r="I2707" s="12" t="s">
        <v>87</v>
      </c>
      <c r="J2707" s="12" t="s">
        <v>88</v>
      </c>
      <c r="K2707" s="12" t="s">
        <v>89</v>
      </c>
      <c r="L2707" s="12" t="s">
        <v>69</v>
      </c>
      <c r="M2707">
        <v>14.93</v>
      </c>
      <c r="N2707" s="12" t="s">
        <v>70</v>
      </c>
      <c r="O2707" s="12" t="s">
        <v>71</v>
      </c>
      <c r="P2707" s="12" t="s">
        <v>72</v>
      </c>
      <c r="Q2707" s="13">
        <v>45435</v>
      </c>
      <c r="R2707" s="13">
        <v>45459</v>
      </c>
      <c r="S2707">
        <v>2024</v>
      </c>
      <c r="T2707" s="12" t="s">
        <v>3413</v>
      </c>
      <c r="U2707">
        <v>1440</v>
      </c>
      <c r="V2707">
        <v>34.7179</v>
      </c>
      <c r="W2707">
        <v>1218.7</v>
      </c>
      <c r="X2707">
        <v>0</v>
      </c>
      <c r="Y2707">
        <v>0</v>
      </c>
      <c r="Z2707">
        <v>49993.78</v>
      </c>
      <c r="AA2707">
        <v>51212.480000000003</v>
      </c>
      <c r="AB2707" s="12" t="s">
        <v>3238</v>
      </c>
      <c r="AC2707">
        <v>34.7179</v>
      </c>
      <c r="AD2707">
        <v>1</v>
      </c>
      <c r="AE2707">
        <v>1</v>
      </c>
      <c r="AF2707">
        <v>0</v>
      </c>
      <c r="AG2707">
        <v>49993.78</v>
      </c>
      <c r="AH2707">
        <v>1440</v>
      </c>
      <c r="AI2707">
        <v>1430</v>
      </c>
      <c r="AJ2707">
        <v>10</v>
      </c>
      <c r="AK2707">
        <v>1</v>
      </c>
      <c r="AL2707">
        <v>1</v>
      </c>
      <c r="AM2707">
        <v>99.31</v>
      </c>
      <c r="AN2707">
        <v>35.812899999999999</v>
      </c>
      <c r="AO2707">
        <v>347.18</v>
      </c>
      <c r="AP2707" s="13">
        <v>45458</v>
      </c>
      <c r="AQ2707">
        <v>-1</v>
      </c>
      <c r="AR2707">
        <v>1</v>
      </c>
    </row>
    <row r="2708" spans="1:44" x14ac:dyDescent="0.35">
      <c r="A2708" s="12" t="s">
        <v>3575</v>
      </c>
      <c r="B2708" s="12" t="s">
        <v>843</v>
      </c>
      <c r="C2708" s="12" t="s">
        <v>844</v>
      </c>
      <c r="D2708" s="12" t="s">
        <v>175</v>
      </c>
      <c r="E2708" s="12" t="s">
        <v>65</v>
      </c>
      <c r="F2708">
        <v>3</v>
      </c>
      <c r="G2708">
        <v>5</v>
      </c>
      <c r="H2708">
        <v>0</v>
      </c>
      <c r="I2708" s="12" t="s">
        <v>359</v>
      </c>
      <c r="J2708" s="12" t="s">
        <v>360</v>
      </c>
      <c r="K2708" s="12" t="s">
        <v>133</v>
      </c>
      <c r="L2708" s="12" t="s">
        <v>82</v>
      </c>
      <c r="M2708">
        <v>12.65</v>
      </c>
      <c r="N2708" s="12" t="s">
        <v>107</v>
      </c>
      <c r="O2708" s="12" t="s">
        <v>108</v>
      </c>
      <c r="P2708" s="12" t="s">
        <v>109</v>
      </c>
      <c r="Q2708" s="13">
        <v>45435</v>
      </c>
      <c r="R2708" s="13">
        <v>45473</v>
      </c>
      <c r="S2708">
        <v>2024</v>
      </c>
      <c r="T2708" s="12" t="s">
        <v>3413</v>
      </c>
      <c r="U2708">
        <v>146</v>
      </c>
      <c r="V2708">
        <v>251.77279999999999</v>
      </c>
      <c r="W2708">
        <v>754.61</v>
      </c>
      <c r="X2708">
        <v>0</v>
      </c>
      <c r="Y2708">
        <v>0</v>
      </c>
      <c r="Z2708">
        <v>36758.83</v>
      </c>
      <c r="AA2708">
        <v>37513.440000000002</v>
      </c>
      <c r="AB2708" s="12" t="s">
        <v>3324</v>
      </c>
      <c r="AC2708">
        <v>251.77279999999999</v>
      </c>
      <c r="AD2708">
        <v>1</v>
      </c>
      <c r="AE2708">
        <v>1</v>
      </c>
      <c r="AF2708">
        <v>0</v>
      </c>
      <c r="AG2708">
        <v>36758.83</v>
      </c>
      <c r="AH2708">
        <v>146</v>
      </c>
      <c r="AI2708">
        <v>146</v>
      </c>
      <c r="AJ2708">
        <v>0</v>
      </c>
      <c r="AK2708">
        <v>1</v>
      </c>
      <c r="AL2708">
        <v>1</v>
      </c>
      <c r="AM2708">
        <v>100</v>
      </c>
      <c r="AN2708">
        <v>256.94139999999999</v>
      </c>
      <c r="AO2708">
        <v>0</v>
      </c>
      <c r="AP2708" s="13">
        <v>45470</v>
      </c>
      <c r="AQ2708">
        <v>-3</v>
      </c>
      <c r="AR2708">
        <v>1</v>
      </c>
    </row>
    <row r="2709" spans="1:44" x14ac:dyDescent="0.35">
      <c r="A2709" s="12" t="s">
        <v>3576</v>
      </c>
      <c r="B2709" s="12" t="s">
        <v>395</v>
      </c>
      <c r="C2709" s="12" t="s">
        <v>396</v>
      </c>
      <c r="D2709" s="12" t="s">
        <v>130</v>
      </c>
      <c r="E2709" s="12" t="s">
        <v>104</v>
      </c>
      <c r="F2709">
        <v>3</v>
      </c>
      <c r="G2709">
        <v>1</v>
      </c>
      <c r="H2709">
        <v>0</v>
      </c>
      <c r="I2709" s="12" t="s">
        <v>341</v>
      </c>
      <c r="J2709" s="12" t="s">
        <v>342</v>
      </c>
      <c r="K2709" s="12" t="s">
        <v>117</v>
      </c>
      <c r="L2709" s="12" t="s">
        <v>82</v>
      </c>
      <c r="M2709">
        <v>18.36</v>
      </c>
      <c r="N2709" s="12" t="s">
        <v>159</v>
      </c>
      <c r="O2709" s="12" t="s">
        <v>160</v>
      </c>
      <c r="P2709" s="12" t="s">
        <v>137</v>
      </c>
      <c r="Q2709" s="13">
        <v>45435</v>
      </c>
      <c r="R2709" s="13">
        <v>45463</v>
      </c>
      <c r="S2709">
        <v>2024</v>
      </c>
      <c r="T2709" s="12" t="s">
        <v>3413</v>
      </c>
      <c r="U2709">
        <v>141</v>
      </c>
      <c r="V2709">
        <v>174.20429999999999</v>
      </c>
      <c r="W2709">
        <v>202.44</v>
      </c>
      <c r="X2709">
        <v>0</v>
      </c>
      <c r="Y2709">
        <v>0</v>
      </c>
      <c r="Z2709">
        <v>24562.81</v>
      </c>
      <c r="AA2709">
        <v>24765.25</v>
      </c>
      <c r="AB2709" s="12" t="s">
        <v>2742</v>
      </c>
      <c r="AC2709">
        <v>174.20429999999999</v>
      </c>
      <c r="AD2709">
        <v>1</v>
      </c>
      <c r="AE2709">
        <v>1</v>
      </c>
      <c r="AF2709">
        <v>0</v>
      </c>
      <c r="AG2709">
        <v>24562.81</v>
      </c>
      <c r="AH2709">
        <v>141</v>
      </c>
      <c r="AI2709">
        <v>139</v>
      </c>
      <c r="AJ2709">
        <v>2</v>
      </c>
      <c r="AK2709">
        <v>1</v>
      </c>
      <c r="AL2709">
        <v>1</v>
      </c>
      <c r="AM2709">
        <v>98.58</v>
      </c>
      <c r="AN2709">
        <v>178.16720000000001</v>
      </c>
      <c r="AO2709">
        <v>348.41</v>
      </c>
      <c r="AP2709" s="13">
        <v>45463</v>
      </c>
      <c r="AQ2709">
        <v>0</v>
      </c>
      <c r="AR2709">
        <v>1</v>
      </c>
    </row>
    <row r="2710" spans="1:44" x14ac:dyDescent="0.35">
      <c r="A2710" s="12" t="s">
        <v>3577</v>
      </c>
      <c r="B2710" s="12" t="s">
        <v>472</v>
      </c>
      <c r="C2710" s="12" t="s">
        <v>473</v>
      </c>
      <c r="D2710" s="12" t="s">
        <v>122</v>
      </c>
      <c r="E2710" s="12" t="s">
        <v>142</v>
      </c>
      <c r="F2710">
        <v>2</v>
      </c>
      <c r="G2710">
        <v>9</v>
      </c>
      <c r="H2710">
        <v>0</v>
      </c>
      <c r="I2710" s="12" t="s">
        <v>209</v>
      </c>
      <c r="J2710" s="12" t="s">
        <v>210</v>
      </c>
      <c r="K2710" s="12" t="s">
        <v>133</v>
      </c>
      <c r="L2710" s="12" t="s">
        <v>96</v>
      </c>
      <c r="M2710">
        <v>7.82</v>
      </c>
      <c r="N2710" s="12" t="s">
        <v>70</v>
      </c>
      <c r="O2710" s="12" t="s">
        <v>71</v>
      </c>
      <c r="P2710" s="12" t="s">
        <v>72</v>
      </c>
      <c r="Q2710" s="13">
        <v>45435</v>
      </c>
      <c r="R2710" s="13">
        <v>45479</v>
      </c>
      <c r="S2710">
        <v>2024</v>
      </c>
      <c r="T2710" s="12" t="s">
        <v>3413</v>
      </c>
      <c r="U2710">
        <v>1144</v>
      </c>
      <c r="V2710">
        <v>46.789099999999998</v>
      </c>
      <c r="W2710">
        <v>886.95</v>
      </c>
      <c r="X2710">
        <v>0</v>
      </c>
      <c r="Y2710">
        <v>0</v>
      </c>
      <c r="Z2710">
        <v>53526.73</v>
      </c>
      <c r="AA2710">
        <v>54413.68</v>
      </c>
      <c r="AB2710" s="12" t="s">
        <v>2966</v>
      </c>
      <c r="AC2710">
        <v>46.789099999999998</v>
      </c>
      <c r="AD2710">
        <v>1</v>
      </c>
      <c r="AE2710">
        <v>1</v>
      </c>
      <c r="AF2710">
        <v>0</v>
      </c>
      <c r="AG2710">
        <v>53526.73</v>
      </c>
      <c r="AH2710">
        <v>1144</v>
      </c>
      <c r="AI2710">
        <v>1140</v>
      </c>
      <c r="AJ2710">
        <v>4</v>
      </c>
      <c r="AK2710">
        <v>1</v>
      </c>
      <c r="AL2710">
        <v>1</v>
      </c>
      <c r="AM2710">
        <v>99.65</v>
      </c>
      <c r="AN2710">
        <v>47.731299999999997</v>
      </c>
      <c r="AO2710">
        <v>187.16</v>
      </c>
      <c r="AP2710" s="13">
        <v>45476</v>
      </c>
      <c r="AQ2710">
        <v>-3</v>
      </c>
      <c r="AR2710">
        <v>1</v>
      </c>
    </row>
    <row r="2711" spans="1:44" x14ac:dyDescent="0.35">
      <c r="A2711" s="12" t="s">
        <v>3578</v>
      </c>
      <c r="B2711" s="12" t="s">
        <v>1068</v>
      </c>
      <c r="C2711" s="12" t="s">
        <v>1069</v>
      </c>
      <c r="D2711" s="12" t="s">
        <v>122</v>
      </c>
      <c r="E2711" s="12" t="s">
        <v>65</v>
      </c>
      <c r="F2711">
        <v>2</v>
      </c>
      <c r="G2711">
        <v>2</v>
      </c>
      <c r="H2711">
        <v>0</v>
      </c>
      <c r="I2711" s="12" t="s">
        <v>79</v>
      </c>
      <c r="J2711" s="12" t="s">
        <v>80</v>
      </c>
      <c r="K2711" s="12" t="s">
        <v>81</v>
      </c>
      <c r="L2711" s="12" t="s">
        <v>82</v>
      </c>
      <c r="M2711">
        <v>12.07</v>
      </c>
      <c r="N2711" s="12" t="s">
        <v>70</v>
      </c>
      <c r="O2711" s="12" t="s">
        <v>71</v>
      </c>
      <c r="P2711" s="12" t="s">
        <v>72</v>
      </c>
      <c r="Q2711" s="13">
        <v>45435</v>
      </c>
      <c r="R2711" s="13">
        <v>45471</v>
      </c>
      <c r="S2711">
        <v>2024</v>
      </c>
      <c r="T2711" s="12" t="s">
        <v>3413</v>
      </c>
      <c r="U2711">
        <v>1779</v>
      </c>
      <c r="V2711">
        <v>20.0303</v>
      </c>
      <c r="W2711">
        <v>322.02999999999997</v>
      </c>
      <c r="X2711">
        <v>0</v>
      </c>
      <c r="Y2711">
        <v>0</v>
      </c>
      <c r="Z2711">
        <v>35633.9</v>
      </c>
      <c r="AA2711">
        <v>35955.93</v>
      </c>
      <c r="AB2711" s="12" t="s">
        <v>3113</v>
      </c>
      <c r="AC2711">
        <v>21.277999999999999</v>
      </c>
      <c r="AD2711">
        <v>1</v>
      </c>
      <c r="AE2711">
        <v>1</v>
      </c>
      <c r="AF2711">
        <v>-2219.66</v>
      </c>
      <c r="AG2711">
        <v>37853.56</v>
      </c>
      <c r="AH2711">
        <v>1779</v>
      </c>
      <c r="AI2711">
        <v>1773</v>
      </c>
      <c r="AJ2711">
        <v>6</v>
      </c>
      <c r="AK2711">
        <v>1</v>
      </c>
      <c r="AL2711">
        <v>1</v>
      </c>
      <c r="AM2711">
        <v>99.66</v>
      </c>
      <c r="AN2711">
        <v>20.279699999999998</v>
      </c>
      <c r="AO2711">
        <v>120.18</v>
      </c>
      <c r="AP2711" s="13">
        <v>45468</v>
      </c>
      <c r="AQ2711">
        <v>-3</v>
      </c>
      <c r="AR2711">
        <v>1</v>
      </c>
    </row>
    <row r="2712" spans="1:44" x14ac:dyDescent="0.35">
      <c r="A2712" s="12" t="s">
        <v>3579</v>
      </c>
      <c r="B2712" s="12" t="s">
        <v>273</v>
      </c>
      <c r="C2712" s="12" t="s">
        <v>274</v>
      </c>
      <c r="D2712" s="12" t="s">
        <v>175</v>
      </c>
      <c r="E2712" s="12" t="s">
        <v>104</v>
      </c>
      <c r="F2712">
        <v>3</v>
      </c>
      <c r="G2712">
        <v>1</v>
      </c>
      <c r="H2712">
        <v>0</v>
      </c>
      <c r="I2712" s="12" t="s">
        <v>275</v>
      </c>
      <c r="J2712" s="12" t="s">
        <v>276</v>
      </c>
      <c r="K2712" s="12" t="s">
        <v>89</v>
      </c>
      <c r="L2712" s="12" t="s">
        <v>82</v>
      </c>
      <c r="M2712">
        <v>14.26</v>
      </c>
      <c r="N2712" s="12" t="s">
        <v>145</v>
      </c>
      <c r="O2712" s="12" t="s">
        <v>146</v>
      </c>
      <c r="P2712" s="12" t="s">
        <v>109</v>
      </c>
      <c r="Q2712" s="13">
        <v>45435</v>
      </c>
      <c r="R2712" s="13">
        <v>45459</v>
      </c>
      <c r="S2712">
        <v>2024</v>
      </c>
      <c r="T2712" s="12" t="s">
        <v>3413</v>
      </c>
      <c r="U2712">
        <v>109</v>
      </c>
      <c r="V2712">
        <v>111.0129</v>
      </c>
      <c r="W2712">
        <v>188.44</v>
      </c>
      <c r="X2712">
        <v>0</v>
      </c>
      <c r="Y2712">
        <v>0</v>
      </c>
      <c r="Z2712">
        <v>12100.41</v>
      </c>
      <c r="AA2712">
        <v>12288.85</v>
      </c>
      <c r="AB2712" s="12" t="s">
        <v>3580</v>
      </c>
      <c r="AC2712">
        <v>111.0129</v>
      </c>
      <c r="AD2712">
        <v>1</v>
      </c>
      <c r="AE2712">
        <v>1</v>
      </c>
      <c r="AF2712">
        <v>0</v>
      </c>
      <c r="AG2712">
        <v>12100.41</v>
      </c>
      <c r="AH2712">
        <v>109</v>
      </c>
      <c r="AI2712">
        <v>108</v>
      </c>
      <c r="AJ2712">
        <v>1</v>
      </c>
      <c r="AK2712">
        <v>1</v>
      </c>
      <c r="AL2712">
        <v>1</v>
      </c>
      <c r="AM2712">
        <v>99.08</v>
      </c>
      <c r="AN2712">
        <v>113.7856</v>
      </c>
      <c r="AO2712">
        <v>111.01</v>
      </c>
      <c r="AP2712" s="13">
        <v>45458</v>
      </c>
      <c r="AQ2712">
        <v>-1</v>
      </c>
      <c r="AR2712">
        <v>1</v>
      </c>
    </row>
    <row r="2713" spans="1:44" x14ac:dyDescent="0.35">
      <c r="A2713" s="12" t="s">
        <v>3581</v>
      </c>
      <c r="B2713" s="12" t="s">
        <v>569</v>
      </c>
      <c r="C2713" s="12" t="s">
        <v>570</v>
      </c>
      <c r="D2713" s="12" t="s">
        <v>114</v>
      </c>
      <c r="E2713" s="12" t="s">
        <v>142</v>
      </c>
      <c r="F2713">
        <v>1</v>
      </c>
      <c r="G2713">
        <v>6</v>
      </c>
      <c r="H2713">
        <v>1</v>
      </c>
      <c r="I2713" s="12" t="s">
        <v>123</v>
      </c>
      <c r="J2713" s="12" t="s">
        <v>124</v>
      </c>
      <c r="K2713" s="12" t="s">
        <v>125</v>
      </c>
      <c r="L2713" s="12" t="s">
        <v>82</v>
      </c>
      <c r="M2713">
        <v>6.75</v>
      </c>
      <c r="N2713" s="12" t="s">
        <v>70</v>
      </c>
      <c r="O2713" s="12" t="s">
        <v>71</v>
      </c>
      <c r="P2713" s="12" t="s">
        <v>72</v>
      </c>
      <c r="Q2713" s="13">
        <v>45435</v>
      </c>
      <c r="R2713" s="13">
        <v>45479</v>
      </c>
      <c r="S2713">
        <v>2024</v>
      </c>
      <c r="T2713" s="12" t="s">
        <v>3413</v>
      </c>
      <c r="U2713">
        <v>84</v>
      </c>
      <c r="V2713">
        <v>349.07319999999999</v>
      </c>
      <c r="W2713">
        <v>672.11</v>
      </c>
      <c r="X2713">
        <v>0</v>
      </c>
      <c r="Y2713">
        <v>0</v>
      </c>
      <c r="Z2713">
        <v>29322.15</v>
      </c>
      <c r="AA2713">
        <v>29994.26</v>
      </c>
      <c r="AB2713" s="12" t="s">
        <v>3205</v>
      </c>
      <c r="AC2713">
        <v>349.07319999999999</v>
      </c>
      <c r="AD2713">
        <v>1</v>
      </c>
      <c r="AE2713">
        <v>1</v>
      </c>
      <c r="AF2713">
        <v>0</v>
      </c>
      <c r="AG2713">
        <v>29322.15</v>
      </c>
      <c r="AH2713">
        <v>84</v>
      </c>
      <c r="AI2713">
        <v>82</v>
      </c>
      <c r="AJ2713">
        <v>2</v>
      </c>
      <c r="AK2713">
        <v>1</v>
      </c>
      <c r="AL2713">
        <v>1</v>
      </c>
      <c r="AM2713">
        <v>97.62</v>
      </c>
      <c r="AN2713">
        <v>365.78359999999998</v>
      </c>
      <c r="AO2713">
        <v>698.15</v>
      </c>
      <c r="AP2713" s="13">
        <v>45476</v>
      </c>
      <c r="AQ2713">
        <v>-3</v>
      </c>
      <c r="AR2713">
        <v>1</v>
      </c>
    </row>
    <row r="2714" spans="1:44" x14ac:dyDescent="0.35">
      <c r="A2714" s="12" t="s">
        <v>3582</v>
      </c>
      <c r="B2714" s="12" t="s">
        <v>420</v>
      </c>
      <c r="C2714" s="12" t="s">
        <v>421</v>
      </c>
      <c r="D2714" s="12" t="s">
        <v>269</v>
      </c>
      <c r="E2714" s="12" t="s">
        <v>104</v>
      </c>
      <c r="F2714">
        <v>2</v>
      </c>
      <c r="G2714">
        <v>0</v>
      </c>
      <c r="H2714">
        <v>0</v>
      </c>
      <c r="I2714" s="12" t="s">
        <v>380</v>
      </c>
      <c r="J2714" s="12" t="s">
        <v>381</v>
      </c>
      <c r="K2714" s="12" t="s">
        <v>89</v>
      </c>
      <c r="L2714" s="12" t="s">
        <v>96</v>
      </c>
      <c r="M2714">
        <v>10.210000000000001</v>
      </c>
      <c r="N2714" s="12" t="s">
        <v>159</v>
      </c>
      <c r="O2714" s="12" t="s">
        <v>160</v>
      </c>
      <c r="P2714" s="12" t="s">
        <v>137</v>
      </c>
      <c r="Q2714" s="13">
        <v>45435</v>
      </c>
      <c r="R2714" s="13">
        <v>45450</v>
      </c>
      <c r="S2714">
        <v>2024</v>
      </c>
      <c r="T2714" s="12" t="s">
        <v>3413</v>
      </c>
      <c r="U2714">
        <v>41</v>
      </c>
      <c r="V2714">
        <v>142.20349999999999</v>
      </c>
      <c r="W2714">
        <v>116.52</v>
      </c>
      <c r="X2714">
        <v>0</v>
      </c>
      <c r="Y2714">
        <v>0</v>
      </c>
      <c r="Z2714">
        <v>5830.34</v>
      </c>
      <c r="AA2714">
        <v>5946.86</v>
      </c>
      <c r="AB2714" s="12" t="s">
        <v>2925</v>
      </c>
      <c r="AC2714">
        <v>142.20349999999999</v>
      </c>
      <c r="AD2714">
        <v>1</v>
      </c>
      <c r="AE2714">
        <v>1</v>
      </c>
      <c r="AF2714">
        <v>0</v>
      </c>
      <c r="AG2714">
        <v>5830.34</v>
      </c>
      <c r="AH2714">
        <v>41</v>
      </c>
      <c r="AI2714">
        <v>40</v>
      </c>
      <c r="AJ2714">
        <v>1</v>
      </c>
      <c r="AK2714">
        <v>1</v>
      </c>
      <c r="AL2714">
        <v>1</v>
      </c>
      <c r="AM2714">
        <v>97.56</v>
      </c>
      <c r="AN2714">
        <v>148.67160000000001</v>
      </c>
      <c r="AO2714">
        <v>142.19999999999999</v>
      </c>
      <c r="AP2714" s="13">
        <v>45449</v>
      </c>
      <c r="AQ2714">
        <v>-1</v>
      </c>
      <c r="AR2714">
        <v>1</v>
      </c>
    </row>
    <row r="2715" spans="1:44" x14ac:dyDescent="0.35">
      <c r="A2715" s="12" t="s">
        <v>3583</v>
      </c>
      <c r="B2715" s="12" t="s">
        <v>207</v>
      </c>
      <c r="C2715" s="12" t="s">
        <v>208</v>
      </c>
      <c r="D2715" s="12" t="s">
        <v>78</v>
      </c>
      <c r="E2715" s="12" t="s">
        <v>65</v>
      </c>
      <c r="F2715">
        <v>2</v>
      </c>
      <c r="G2715">
        <v>3</v>
      </c>
      <c r="H2715">
        <v>0</v>
      </c>
      <c r="I2715" s="12" t="s">
        <v>209</v>
      </c>
      <c r="J2715" s="12" t="s">
        <v>210</v>
      </c>
      <c r="K2715" s="12" t="s">
        <v>133</v>
      </c>
      <c r="L2715" s="12" t="s">
        <v>96</v>
      </c>
      <c r="M2715">
        <v>7.82</v>
      </c>
      <c r="N2715" s="12" t="s">
        <v>70</v>
      </c>
      <c r="O2715" s="12" t="s">
        <v>71</v>
      </c>
      <c r="P2715" s="12" t="s">
        <v>72</v>
      </c>
      <c r="Q2715" s="13">
        <v>45435</v>
      </c>
      <c r="R2715" s="13">
        <v>45471</v>
      </c>
      <c r="S2715">
        <v>2024</v>
      </c>
      <c r="T2715" s="12" t="s">
        <v>3413</v>
      </c>
      <c r="U2715">
        <v>264</v>
      </c>
      <c r="V2715">
        <v>148.61590000000001</v>
      </c>
      <c r="W2715">
        <v>800.48</v>
      </c>
      <c r="X2715">
        <v>0</v>
      </c>
      <c r="Y2715">
        <v>0</v>
      </c>
      <c r="Z2715">
        <v>39234.6</v>
      </c>
      <c r="AA2715">
        <v>40035.08</v>
      </c>
      <c r="AB2715" s="12" t="s">
        <v>2832</v>
      </c>
      <c r="AC2715">
        <v>148.61590000000001</v>
      </c>
      <c r="AD2715">
        <v>1</v>
      </c>
      <c r="AE2715">
        <v>1</v>
      </c>
      <c r="AF2715">
        <v>0</v>
      </c>
      <c r="AG2715">
        <v>39234.6</v>
      </c>
      <c r="AH2715">
        <v>264</v>
      </c>
      <c r="AI2715">
        <v>261</v>
      </c>
      <c r="AJ2715">
        <v>3</v>
      </c>
      <c r="AK2715">
        <v>1</v>
      </c>
      <c r="AL2715">
        <v>1</v>
      </c>
      <c r="AM2715">
        <v>98.86</v>
      </c>
      <c r="AN2715">
        <v>153.39109999999999</v>
      </c>
      <c r="AO2715">
        <v>445.85</v>
      </c>
      <c r="AP2715" s="13">
        <v>45471</v>
      </c>
      <c r="AQ2715">
        <v>0</v>
      </c>
      <c r="AR2715">
        <v>1</v>
      </c>
    </row>
    <row r="2716" spans="1:44" x14ac:dyDescent="0.35">
      <c r="A2716" s="12" t="s">
        <v>3584</v>
      </c>
      <c r="B2716" s="12" t="s">
        <v>289</v>
      </c>
      <c r="C2716" s="12" t="s">
        <v>290</v>
      </c>
      <c r="D2716" s="12" t="s">
        <v>175</v>
      </c>
      <c r="E2716" s="12" t="s">
        <v>104</v>
      </c>
      <c r="F2716">
        <v>3</v>
      </c>
      <c r="G2716">
        <v>1</v>
      </c>
      <c r="H2716">
        <v>0</v>
      </c>
      <c r="I2716" s="12" t="s">
        <v>157</v>
      </c>
      <c r="J2716" s="12" t="s">
        <v>158</v>
      </c>
      <c r="K2716" s="12" t="s">
        <v>117</v>
      </c>
      <c r="L2716" s="12" t="s">
        <v>96</v>
      </c>
      <c r="M2716">
        <v>4.72</v>
      </c>
      <c r="N2716" s="12" t="s">
        <v>107</v>
      </c>
      <c r="O2716" s="12" t="s">
        <v>108</v>
      </c>
      <c r="P2716" s="12" t="s">
        <v>109</v>
      </c>
      <c r="Q2716" s="13">
        <v>45435</v>
      </c>
      <c r="R2716" s="13">
        <v>45464</v>
      </c>
      <c r="S2716">
        <v>2024</v>
      </c>
      <c r="T2716" s="12" t="s">
        <v>3413</v>
      </c>
      <c r="U2716">
        <v>149</v>
      </c>
      <c r="V2716">
        <v>184.24529999999999</v>
      </c>
      <c r="W2716">
        <v>255.56</v>
      </c>
      <c r="X2716">
        <v>876.02</v>
      </c>
      <c r="Y2716">
        <v>1</v>
      </c>
      <c r="Z2716">
        <v>27452.55</v>
      </c>
      <c r="AA2716">
        <v>28584.13</v>
      </c>
      <c r="AB2716" s="12" t="s">
        <v>2676</v>
      </c>
      <c r="AC2716">
        <v>184.24529999999999</v>
      </c>
      <c r="AD2716">
        <v>1</v>
      </c>
      <c r="AE2716">
        <v>1</v>
      </c>
      <c r="AF2716">
        <v>0</v>
      </c>
      <c r="AG2716">
        <v>27452.55</v>
      </c>
      <c r="AH2716">
        <v>149</v>
      </c>
      <c r="AI2716">
        <v>148</v>
      </c>
      <c r="AJ2716">
        <v>1</v>
      </c>
      <c r="AK2716">
        <v>1</v>
      </c>
      <c r="AL2716">
        <v>1</v>
      </c>
      <c r="AM2716">
        <v>99.33</v>
      </c>
      <c r="AN2716">
        <v>193.136</v>
      </c>
      <c r="AO2716">
        <v>184.25</v>
      </c>
      <c r="AP2716" s="13">
        <v>45461</v>
      </c>
      <c r="AQ2716">
        <v>-3</v>
      </c>
      <c r="AR2716">
        <v>1</v>
      </c>
    </row>
    <row r="2717" spans="1:44" x14ac:dyDescent="0.35">
      <c r="A2717" s="12" t="s">
        <v>3585</v>
      </c>
      <c r="B2717" s="12" t="s">
        <v>712</v>
      </c>
      <c r="C2717" s="12" t="s">
        <v>713</v>
      </c>
      <c r="D2717" s="12" t="s">
        <v>103</v>
      </c>
      <c r="E2717" s="12" t="s">
        <v>104</v>
      </c>
      <c r="F2717">
        <v>2</v>
      </c>
      <c r="G2717">
        <v>0</v>
      </c>
      <c r="H2717">
        <v>0</v>
      </c>
      <c r="I2717" s="12" t="s">
        <v>199</v>
      </c>
      <c r="J2717" s="12" t="s">
        <v>200</v>
      </c>
      <c r="K2717" s="12" t="s">
        <v>68</v>
      </c>
      <c r="L2717" s="12" t="s">
        <v>96</v>
      </c>
      <c r="M2717">
        <v>9.4700000000000006</v>
      </c>
      <c r="N2717" s="12" t="s">
        <v>145</v>
      </c>
      <c r="O2717" s="12" t="s">
        <v>146</v>
      </c>
      <c r="P2717" s="12" t="s">
        <v>109</v>
      </c>
      <c r="Q2717" s="13">
        <v>45435</v>
      </c>
      <c r="R2717" s="13">
        <v>45447</v>
      </c>
      <c r="S2717">
        <v>2024</v>
      </c>
      <c r="T2717" s="12" t="s">
        <v>3413</v>
      </c>
      <c r="U2717">
        <v>13</v>
      </c>
      <c r="V2717">
        <v>230.0239</v>
      </c>
      <c r="W2717">
        <v>58.81</v>
      </c>
      <c r="X2717">
        <v>0</v>
      </c>
      <c r="Y2717">
        <v>0</v>
      </c>
      <c r="Z2717">
        <v>2990.31</v>
      </c>
      <c r="AA2717">
        <v>3049.12</v>
      </c>
      <c r="AB2717" s="12" t="s">
        <v>201</v>
      </c>
      <c r="AD2717">
        <v>0</v>
      </c>
      <c r="AE2717">
        <v>0</v>
      </c>
      <c r="AH2717">
        <v>13</v>
      </c>
      <c r="AI2717">
        <v>13</v>
      </c>
      <c r="AJ2717">
        <v>0</v>
      </c>
      <c r="AK2717">
        <v>1</v>
      </c>
      <c r="AL2717">
        <v>1</v>
      </c>
      <c r="AM2717">
        <v>100</v>
      </c>
      <c r="AN2717">
        <v>234.54769999999999</v>
      </c>
      <c r="AO2717">
        <v>0</v>
      </c>
      <c r="AP2717" s="13">
        <v>45457</v>
      </c>
      <c r="AQ2717">
        <v>10</v>
      </c>
      <c r="AR2717">
        <v>0</v>
      </c>
    </row>
    <row r="2718" spans="1:44" x14ac:dyDescent="0.35">
      <c r="A2718" s="12" t="s">
        <v>3586</v>
      </c>
      <c r="B2718" s="12" t="s">
        <v>433</v>
      </c>
      <c r="C2718" s="12" t="s">
        <v>434</v>
      </c>
      <c r="D2718" s="12" t="s">
        <v>78</v>
      </c>
      <c r="E2718" s="12" t="s">
        <v>65</v>
      </c>
      <c r="F2718">
        <v>2</v>
      </c>
      <c r="G2718">
        <v>4</v>
      </c>
      <c r="H2718">
        <v>0</v>
      </c>
      <c r="I2718" s="12" t="s">
        <v>105</v>
      </c>
      <c r="J2718" s="12" t="s">
        <v>106</v>
      </c>
      <c r="K2718" s="12" t="s">
        <v>81</v>
      </c>
      <c r="L2718" s="12" t="s">
        <v>96</v>
      </c>
      <c r="M2718">
        <v>5.01</v>
      </c>
      <c r="N2718" s="12" t="s">
        <v>97</v>
      </c>
      <c r="O2718" s="12" t="s">
        <v>98</v>
      </c>
      <c r="P2718" s="12" t="s">
        <v>72</v>
      </c>
      <c r="Q2718" s="13">
        <v>45435</v>
      </c>
      <c r="R2718" s="13">
        <v>45464</v>
      </c>
      <c r="S2718">
        <v>2024</v>
      </c>
      <c r="T2718" s="12" t="s">
        <v>3413</v>
      </c>
      <c r="U2718">
        <v>163</v>
      </c>
      <c r="V2718">
        <v>72.364500000000007</v>
      </c>
      <c r="W2718">
        <v>92.9</v>
      </c>
      <c r="X2718">
        <v>0</v>
      </c>
      <c r="Y2718">
        <v>0</v>
      </c>
      <c r="Z2718">
        <v>11795.41</v>
      </c>
      <c r="AA2718">
        <v>11888.31</v>
      </c>
      <c r="AB2718" s="12" t="s">
        <v>2930</v>
      </c>
      <c r="AC2718">
        <v>72.364500000000007</v>
      </c>
      <c r="AD2718">
        <v>1</v>
      </c>
      <c r="AE2718">
        <v>1</v>
      </c>
      <c r="AF2718">
        <v>0</v>
      </c>
      <c r="AG2718">
        <v>11795.41</v>
      </c>
      <c r="AH2718">
        <v>163</v>
      </c>
      <c r="AI2718">
        <v>160</v>
      </c>
      <c r="AJ2718">
        <v>3</v>
      </c>
      <c r="AK2718">
        <v>1</v>
      </c>
      <c r="AL2718">
        <v>1</v>
      </c>
      <c r="AM2718">
        <v>98.16</v>
      </c>
      <c r="AN2718">
        <v>74.302000000000007</v>
      </c>
      <c r="AO2718">
        <v>217.09</v>
      </c>
      <c r="AP2718" s="13">
        <v>45461</v>
      </c>
      <c r="AQ2718">
        <v>-3</v>
      </c>
      <c r="AR2718">
        <v>1</v>
      </c>
    </row>
    <row r="2719" spans="1:44" x14ac:dyDescent="0.35">
      <c r="A2719" s="12" t="s">
        <v>3587</v>
      </c>
      <c r="B2719" s="12" t="s">
        <v>149</v>
      </c>
      <c r="C2719" s="12" t="s">
        <v>150</v>
      </c>
      <c r="D2719" s="12" t="s">
        <v>78</v>
      </c>
      <c r="E2719" s="12" t="s">
        <v>65</v>
      </c>
      <c r="F2719">
        <v>2</v>
      </c>
      <c r="G2719">
        <v>2</v>
      </c>
      <c r="H2719">
        <v>0</v>
      </c>
      <c r="I2719" s="12" t="s">
        <v>151</v>
      </c>
      <c r="J2719" s="12" t="s">
        <v>152</v>
      </c>
      <c r="K2719" s="12" t="s">
        <v>125</v>
      </c>
      <c r="L2719" s="12" t="s">
        <v>69</v>
      </c>
      <c r="M2719">
        <v>36.479999999999997</v>
      </c>
      <c r="N2719" s="12" t="s">
        <v>70</v>
      </c>
      <c r="O2719" s="12" t="s">
        <v>71</v>
      </c>
      <c r="P2719" s="12" t="s">
        <v>72</v>
      </c>
      <c r="Q2719" s="13">
        <v>45436</v>
      </c>
      <c r="R2719" s="13">
        <v>45460</v>
      </c>
      <c r="S2719">
        <v>2024</v>
      </c>
      <c r="T2719" s="12" t="s">
        <v>3413</v>
      </c>
      <c r="U2719">
        <v>90</v>
      </c>
      <c r="V2719">
        <v>74.592399999999998</v>
      </c>
      <c r="W2719">
        <v>124.94</v>
      </c>
      <c r="X2719">
        <v>0</v>
      </c>
      <c r="Y2719">
        <v>0</v>
      </c>
      <c r="Z2719">
        <v>6713.32</v>
      </c>
      <c r="AA2719">
        <v>6838.26</v>
      </c>
      <c r="AB2719" s="12" t="s">
        <v>2546</v>
      </c>
      <c r="AC2719">
        <v>70.838700000000003</v>
      </c>
      <c r="AD2719">
        <v>1</v>
      </c>
      <c r="AE2719">
        <v>1</v>
      </c>
      <c r="AF2719">
        <v>337.83</v>
      </c>
      <c r="AG2719">
        <v>6375.48</v>
      </c>
      <c r="AH2719">
        <v>90</v>
      </c>
      <c r="AI2719">
        <v>89</v>
      </c>
      <c r="AJ2719">
        <v>1</v>
      </c>
      <c r="AK2719">
        <v>1</v>
      </c>
      <c r="AL2719">
        <v>1</v>
      </c>
      <c r="AM2719">
        <v>98.89</v>
      </c>
      <c r="AN2719">
        <v>76.834299999999999</v>
      </c>
      <c r="AO2719">
        <v>74.59</v>
      </c>
      <c r="AP2719" s="13">
        <v>45460</v>
      </c>
      <c r="AQ2719">
        <v>0</v>
      </c>
      <c r="AR2719">
        <v>1</v>
      </c>
    </row>
    <row r="2720" spans="1:44" x14ac:dyDescent="0.35">
      <c r="A2720" s="12" t="s">
        <v>3588</v>
      </c>
      <c r="B2720" s="12" t="s">
        <v>101</v>
      </c>
      <c r="C2720" s="12" t="s">
        <v>102</v>
      </c>
      <c r="D2720" s="12" t="s">
        <v>103</v>
      </c>
      <c r="E2720" s="12" t="s">
        <v>104</v>
      </c>
      <c r="F2720">
        <v>1</v>
      </c>
      <c r="G2720">
        <v>0</v>
      </c>
      <c r="H2720">
        <v>1</v>
      </c>
      <c r="I2720" s="12" t="s">
        <v>105</v>
      </c>
      <c r="J2720" s="12" t="s">
        <v>106</v>
      </c>
      <c r="K2720" s="12" t="s">
        <v>81</v>
      </c>
      <c r="L2720" s="12" t="s">
        <v>96</v>
      </c>
      <c r="M2720">
        <v>5.01</v>
      </c>
      <c r="N2720" s="12" t="s">
        <v>145</v>
      </c>
      <c r="O2720" s="12" t="s">
        <v>146</v>
      </c>
      <c r="P2720" s="12" t="s">
        <v>109</v>
      </c>
      <c r="Q2720" s="13">
        <v>45436</v>
      </c>
      <c r="R2720" s="13">
        <v>45455</v>
      </c>
      <c r="S2720">
        <v>2024</v>
      </c>
      <c r="T2720" s="12" t="s">
        <v>3413</v>
      </c>
      <c r="U2720">
        <v>65</v>
      </c>
      <c r="V2720">
        <v>205.32499999999999</v>
      </c>
      <c r="W2720">
        <v>134.30000000000001</v>
      </c>
      <c r="X2720">
        <v>0</v>
      </c>
      <c r="Y2720">
        <v>0</v>
      </c>
      <c r="Z2720">
        <v>13346.13</v>
      </c>
      <c r="AA2720">
        <v>13480.43</v>
      </c>
      <c r="AB2720" s="12" t="s">
        <v>2866</v>
      </c>
      <c r="AC2720">
        <v>205.32499999999999</v>
      </c>
      <c r="AD2720">
        <v>1</v>
      </c>
      <c r="AE2720">
        <v>1</v>
      </c>
      <c r="AF2720">
        <v>0</v>
      </c>
      <c r="AG2720">
        <v>13346.13</v>
      </c>
      <c r="AH2720">
        <v>65</v>
      </c>
      <c r="AI2720">
        <v>65</v>
      </c>
      <c r="AJ2720">
        <v>0</v>
      </c>
      <c r="AK2720">
        <v>1</v>
      </c>
      <c r="AL2720">
        <v>1</v>
      </c>
      <c r="AM2720">
        <v>100</v>
      </c>
      <c r="AN2720">
        <v>207.3912</v>
      </c>
      <c r="AO2720">
        <v>0</v>
      </c>
      <c r="AP2720" s="13">
        <v>45451</v>
      </c>
      <c r="AQ2720">
        <v>-4</v>
      </c>
      <c r="AR2720">
        <v>1</v>
      </c>
    </row>
    <row r="2721" spans="1:44" x14ac:dyDescent="0.35">
      <c r="A2721" s="12" t="s">
        <v>3589</v>
      </c>
      <c r="B2721" s="12" t="s">
        <v>513</v>
      </c>
      <c r="C2721" s="12" t="s">
        <v>514</v>
      </c>
      <c r="D2721" s="12" t="s">
        <v>269</v>
      </c>
      <c r="E2721" s="12" t="s">
        <v>65</v>
      </c>
      <c r="F2721">
        <v>1</v>
      </c>
      <c r="G2721">
        <v>2</v>
      </c>
      <c r="H2721">
        <v>1</v>
      </c>
      <c r="I2721" s="12" t="s">
        <v>515</v>
      </c>
      <c r="J2721" s="12" t="s">
        <v>516</v>
      </c>
      <c r="K2721" s="12" t="s">
        <v>68</v>
      </c>
      <c r="L2721" s="12" t="s">
        <v>134</v>
      </c>
      <c r="M2721">
        <v>3.69</v>
      </c>
      <c r="N2721" s="12" t="s">
        <v>159</v>
      </c>
      <c r="O2721" s="12" t="s">
        <v>160</v>
      </c>
      <c r="P2721" s="12" t="s">
        <v>137</v>
      </c>
      <c r="Q2721" s="13">
        <v>45436</v>
      </c>
      <c r="R2721" s="13">
        <v>45472</v>
      </c>
      <c r="S2721">
        <v>2024</v>
      </c>
      <c r="T2721" s="12" t="s">
        <v>3413</v>
      </c>
      <c r="U2721">
        <v>128</v>
      </c>
      <c r="V2721">
        <v>226.09530000000001</v>
      </c>
      <c r="W2721">
        <v>366.85</v>
      </c>
      <c r="X2721">
        <v>0</v>
      </c>
      <c r="Y2721">
        <v>0</v>
      </c>
      <c r="Z2721">
        <v>28940.2</v>
      </c>
      <c r="AA2721">
        <v>29307.05</v>
      </c>
      <c r="AB2721" s="12" t="s">
        <v>201</v>
      </c>
      <c r="AD2721">
        <v>0</v>
      </c>
      <c r="AE2721">
        <v>0</v>
      </c>
      <c r="AH2721">
        <v>128</v>
      </c>
      <c r="AI2721">
        <v>127</v>
      </c>
      <c r="AJ2721">
        <v>1</v>
      </c>
      <c r="AK2721">
        <v>1</v>
      </c>
      <c r="AL2721">
        <v>1</v>
      </c>
      <c r="AM2721">
        <v>99.22</v>
      </c>
      <c r="AN2721">
        <v>230.76419999999999</v>
      </c>
      <c r="AO2721">
        <v>226.1</v>
      </c>
      <c r="AP2721" s="13">
        <v>45470</v>
      </c>
      <c r="AQ2721">
        <v>-2</v>
      </c>
      <c r="AR2721">
        <v>1</v>
      </c>
    </row>
    <row r="2722" spans="1:44" x14ac:dyDescent="0.35">
      <c r="A2722" s="12" t="s">
        <v>3590</v>
      </c>
      <c r="B2722" s="12" t="s">
        <v>876</v>
      </c>
      <c r="C2722" s="12" t="s">
        <v>877</v>
      </c>
      <c r="D2722" s="12" t="s">
        <v>269</v>
      </c>
      <c r="E2722" s="12" t="s">
        <v>142</v>
      </c>
      <c r="F2722">
        <v>3</v>
      </c>
      <c r="G2722">
        <v>11</v>
      </c>
      <c r="H2722">
        <v>0</v>
      </c>
      <c r="I2722" s="12" t="s">
        <v>515</v>
      </c>
      <c r="J2722" s="12" t="s">
        <v>516</v>
      </c>
      <c r="K2722" s="12" t="s">
        <v>68</v>
      </c>
      <c r="L2722" s="12" t="s">
        <v>134</v>
      </c>
      <c r="M2722">
        <v>3.69</v>
      </c>
      <c r="N2722" s="12" t="s">
        <v>135</v>
      </c>
      <c r="O2722" s="12" t="s">
        <v>136</v>
      </c>
      <c r="P2722" s="12" t="s">
        <v>137</v>
      </c>
      <c r="Q2722" s="13">
        <v>45436</v>
      </c>
      <c r="R2722" s="13">
        <v>45479</v>
      </c>
      <c r="S2722">
        <v>2024</v>
      </c>
      <c r="T2722" s="12" t="s">
        <v>3413</v>
      </c>
      <c r="U2722">
        <v>79</v>
      </c>
      <c r="V2722">
        <v>191.71029999999999</v>
      </c>
      <c r="W2722">
        <v>193.55</v>
      </c>
      <c r="X2722">
        <v>0</v>
      </c>
      <c r="Y2722">
        <v>0</v>
      </c>
      <c r="Z2722">
        <v>15145.11</v>
      </c>
      <c r="AA2722">
        <v>15338.66</v>
      </c>
      <c r="AB2722" s="12" t="s">
        <v>3591</v>
      </c>
      <c r="AC2722">
        <v>191.71029999999999</v>
      </c>
      <c r="AD2722">
        <v>1</v>
      </c>
      <c r="AE2722">
        <v>1</v>
      </c>
      <c r="AF2722">
        <v>0</v>
      </c>
      <c r="AG2722">
        <v>15145.11</v>
      </c>
      <c r="AH2722">
        <v>79</v>
      </c>
      <c r="AI2722">
        <v>78</v>
      </c>
      <c r="AJ2722">
        <v>1</v>
      </c>
      <c r="AK2722">
        <v>1</v>
      </c>
      <c r="AL2722">
        <v>1</v>
      </c>
      <c r="AM2722">
        <v>98.73</v>
      </c>
      <c r="AN2722">
        <v>196.64949999999999</v>
      </c>
      <c r="AO2722">
        <v>191.71</v>
      </c>
      <c r="AP2722" s="13">
        <v>45476</v>
      </c>
      <c r="AQ2722">
        <v>-3</v>
      </c>
      <c r="AR2722">
        <v>1</v>
      </c>
    </row>
    <row r="2723" spans="1:44" x14ac:dyDescent="0.35">
      <c r="A2723" s="12" t="s">
        <v>3592</v>
      </c>
      <c r="B2723" s="12" t="s">
        <v>1075</v>
      </c>
      <c r="C2723" s="12" t="s">
        <v>1076</v>
      </c>
      <c r="D2723" s="12" t="s">
        <v>103</v>
      </c>
      <c r="E2723" s="12" t="s">
        <v>65</v>
      </c>
      <c r="F2723">
        <v>2</v>
      </c>
      <c r="G2723">
        <v>4</v>
      </c>
      <c r="H2723">
        <v>0</v>
      </c>
      <c r="I2723" s="12" t="s">
        <v>183</v>
      </c>
      <c r="J2723" s="12" t="s">
        <v>184</v>
      </c>
      <c r="K2723" s="12" t="s">
        <v>133</v>
      </c>
      <c r="L2723" s="12" t="s">
        <v>82</v>
      </c>
      <c r="M2723">
        <v>8.6199999999999992</v>
      </c>
      <c r="N2723" s="12" t="s">
        <v>107</v>
      </c>
      <c r="O2723" s="12" t="s">
        <v>108</v>
      </c>
      <c r="P2723" s="12" t="s">
        <v>109</v>
      </c>
      <c r="Q2723" s="13">
        <v>45436</v>
      </c>
      <c r="R2723" s="13">
        <v>45460</v>
      </c>
      <c r="S2723">
        <v>2024</v>
      </c>
      <c r="T2723" s="12" t="s">
        <v>3413</v>
      </c>
      <c r="U2723">
        <v>36</v>
      </c>
      <c r="V2723">
        <v>76.324100000000001</v>
      </c>
      <c r="W2723">
        <v>42.45</v>
      </c>
      <c r="X2723">
        <v>0</v>
      </c>
      <c r="Y2723">
        <v>0</v>
      </c>
      <c r="Z2723">
        <v>2747.67</v>
      </c>
      <c r="AA2723">
        <v>2790.12</v>
      </c>
      <c r="AB2723" s="12" t="s">
        <v>201</v>
      </c>
      <c r="AD2723">
        <v>0</v>
      </c>
      <c r="AE2723">
        <v>0</v>
      </c>
      <c r="AH2723">
        <v>36</v>
      </c>
      <c r="AI2723">
        <v>36</v>
      </c>
      <c r="AJ2723">
        <v>0</v>
      </c>
      <c r="AK2723">
        <v>1</v>
      </c>
      <c r="AL2723">
        <v>1</v>
      </c>
      <c r="AM2723">
        <v>100</v>
      </c>
      <c r="AN2723">
        <v>77.503299999999996</v>
      </c>
      <c r="AO2723">
        <v>0</v>
      </c>
      <c r="AP2723" s="13">
        <v>45467</v>
      </c>
      <c r="AQ2723">
        <v>7</v>
      </c>
      <c r="AR2723">
        <v>0</v>
      </c>
    </row>
    <row r="2724" spans="1:44" x14ac:dyDescent="0.35">
      <c r="A2724" s="12" t="s">
        <v>3593</v>
      </c>
      <c r="B2724" s="12" t="s">
        <v>378</v>
      </c>
      <c r="C2724" s="12" t="s">
        <v>379</v>
      </c>
      <c r="D2724" s="12" t="s">
        <v>64</v>
      </c>
      <c r="E2724" s="12" t="s">
        <v>104</v>
      </c>
      <c r="F2724">
        <v>3</v>
      </c>
      <c r="G2724">
        <v>1</v>
      </c>
      <c r="H2724">
        <v>0</v>
      </c>
      <c r="I2724" s="12" t="s">
        <v>380</v>
      </c>
      <c r="J2724" s="12" t="s">
        <v>381</v>
      </c>
      <c r="K2724" s="12" t="s">
        <v>89</v>
      </c>
      <c r="L2724" s="12" t="s">
        <v>96</v>
      </c>
      <c r="M2724">
        <v>10.210000000000001</v>
      </c>
      <c r="N2724" s="12" t="s">
        <v>97</v>
      </c>
      <c r="O2724" s="12" t="s">
        <v>98</v>
      </c>
      <c r="P2724" s="12" t="s">
        <v>72</v>
      </c>
      <c r="Q2724" s="13">
        <v>45436</v>
      </c>
      <c r="R2724" s="13">
        <v>45457</v>
      </c>
      <c r="S2724">
        <v>2024</v>
      </c>
      <c r="T2724" s="12" t="s">
        <v>3413</v>
      </c>
      <c r="U2724">
        <v>567</v>
      </c>
      <c r="V2724">
        <v>15.734999999999999</v>
      </c>
      <c r="W2724">
        <v>132.91999999999999</v>
      </c>
      <c r="X2724">
        <v>0</v>
      </c>
      <c r="Y2724">
        <v>0</v>
      </c>
      <c r="Z2724">
        <v>8921.75</v>
      </c>
      <c r="AA2724">
        <v>9054.67</v>
      </c>
      <c r="AB2724" s="12" t="s">
        <v>2847</v>
      </c>
      <c r="AC2724">
        <v>15.734999999999999</v>
      </c>
      <c r="AD2724">
        <v>1</v>
      </c>
      <c r="AE2724">
        <v>1</v>
      </c>
      <c r="AF2724">
        <v>0</v>
      </c>
      <c r="AG2724">
        <v>8921.75</v>
      </c>
      <c r="AH2724">
        <v>567</v>
      </c>
      <c r="AI2724">
        <v>561</v>
      </c>
      <c r="AJ2724">
        <v>6</v>
      </c>
      <c r="AK2724">
        <v>1</v>
      </c>
      <c r="AL2724">
        <v>1</v>
      </c>
      <c r="AM2724">
        <v>98.94</v>
      </c>
      <c r="AN2724">
        <v>16.1402</v>
      </c>
      <c r="AO2724">
        <v>94.41</v>
      </c>
      <c r="AP2724" s="13">
        <v>45456</v>
      </c>
      <c r="AQ2724">
        <v>-1</v>
      </c>
      <c r="AR2724">
        <v>1</v>
      </c>
    </row>
    <row r="2725" spans="1:44" x14ac:dyDescent="0.35">
      <c r="A2725" s="12" t="s">
        <v>3594</v>
      </c>
      <c r="B2725" s="12" t="s">
        <v>990</v>
      </c>
      <c r="C2725" s="12" t="s">
        <v>991</v>
      </c>
      <c r="D2725" s="12" t="s">
        <v>122</v>
      </c>
      <c r="E2725" s="12" t="s">
        <v>142</v>
      </c>
      <c r="F2725">
        <v>1</v>
      </c>
      <c r="G2725">
        <v>6</v>
      </c>
      <c r="H2725">
        <v>1</v>
      </c>
      <c r="I2725" s="12" t="s">
        <v>217</v>
      </c>
      <c r="J2725" s="12" t="s">
        <v>218</v>
      </c>
      <c r="K2725" s="12" t="s">
        <v>68</v>
      </c>
      <c r="L2725" s="12" t="s">
        <v>82</v>
      </c>
      <c r="M2725">
        <v>14.24</v>
      </c>
      <c r="N2725" s="12" t="s">
        <v>70</v>
      </c>
      <c r="O2725" s="12" t="s">
        <v>71</v>
      </c>
      <c r="P2725" s="12" t="s">
        <v>72</v>
      </c>
      <c r="Q2725" s="13">
        <v>45436</v>
      </c>
      <c r="R2725" s="13">
        <v>45483</v>
      </c>
      <c r="S2725">
        <v>2024</v>
      </c>
      <c r="T2725" s="12" t="s">
        <v>3413</v>
      </c>
      <c r="U2725">
        <v>1489</v>
      </c>
      <c r="V2725">
        <v>33.6252</v>
      </c>
      <c r="W2725">
        <v>853.91</v>
      </c>
      <c r="X2725">
        <v>0</v>
      </c>
      <c r="Y2725">
        <v>0</v>
      </c>
      <c r="Z2725">
        <v>50067.92</v>
      </c>
      <c r="AA2725">
        <v>50921.83</v>
      </c>
      <c r="AB2725" s="12" t="s">
        <v>3368</v>
      </c>
      <c r="AC2725">
        <v>33.6252</v>
      </c>
      <c r="AD2725">
        <v>1</v>
      </c>
      <c r="AE2725">
        <v>1</v>
      </c>
      <c r="AF2725">
        <v>0</v>
      </c>
      <c r="AG2725">
        <v>50067.92</v>
      </c>
      <c r="AH2725">
        <v>1489</v>
      </c>
      <c r="AI2725">
        <v>1486</v>
      </c>
      <c r="AJ2725">
        <v>3</v>
      </c>
      <c r="AK2725">
        <v>1</v>
      </c>
      <c r="AL2725">
        <v>1</v>
      </c>
      <c r="AM2725">
        <v>99.8</v>
      </c>
      <c r="AN2725">
        <v>34.267699999999998</v>
      </c>
      <c r="AO2725">
        <v>100.88</v>
      </c>
      <c r="AP2725" s="13">
        <v>45482</v>
      </c>
      <c r="AQ2725">
        <v>-1</v>
      </c>
      <c r="AR2725">
        <v>1</v>
      </c>
    </row>
    <row r="2726" spans="1:44" x14ac:dyDescent="0.35">
      <c r="A2726" s="12" t="s">
        <v>3595</v>
      </c>
      <c r="B2726" s="12" t="s">
        <v>1166</v>
      </c>
      <c r="C2726" s="12" t="s">
        <v>1167</v>
      </c>
      <c r="D2726" s="12" t="s">
        <v>175</v>
      </c>
      <c r="E2726" s="12" t="s">
        <v>65</v>
      </c>
      <c r="F2726">
        <v>3</v>
      </c>
      <c r="G2726">
        <v>5</v>
      </c>
      <c r="H2726">
        <v>0</v>
      </c>
      <c r="I2726" s="12" t="s">
        <v>143</v>
      </c>
      <c r="J2726" s="12" t="s">
        <v>144</v>
      </c>
      <c r="K2726" s="12" t="s">
        <v>133</v>
      </c>
      <c r="L2726" s="12" t="s">
        <v>96</v>
      </c>
      <c r="M2726">
        <v>5.43</v>
      </c>
      <c r="N2726" s="12" t="s">
        <v>107</v>
      </c>
      <c r="O2726" s="12" t="s">
        <v>108</v>
      </c>
      <c r="P2726" s="12" t="s">
        <v>109</v>
      </c>
      <c r="Q2726" s="13">
        <v>45436</v>
      </c>
      <c r="R2726" s="13">
        <v>45457</v>
      </c>
      <c r="S2726">
        <v>2024</v>
      </c>
      <c r="T2726" s="12" t="s">
        <v>3413</v>
      </c>
      <c r="U2726">
        <v>16</v>
      </c>
      <c r="V2726">
        <v>270.4572</v>
      </c>
      <c r="W2726">
        <v>89.45</v>
      </c>
      <c r="X2726">
        <v>0</v>
      </c>
      <c r="Y2726">
        <v>0</v>
      </c>
      <c r="Z2726">
        <v>4327.32</v>
      </c>
      <c r="AA2726">
        <v>4416.7700000000004</v>
      </c>
      <c r="AB2726" s="12" t="s">
        <v>201</v>
      </c>
      <c r="AD2726">
        <v>0</v>
      </c>
      <c r="AE2726">
        <v>0</v>
      </c>
      <c r="AH2726">
        <v>16</v>
      </c>
      <c r="AI2726">
        <v>16</v>
      </c>
      <c r="AJ2726">
        <v>0</v>
      </c>
      <c r="AK2726">
        <v>1</v>
      </c>
      <c r="AL2726">
        <v>1</v>
      </c>
      <c r="AM2726">
        <v>100</v>
      </c>
      <c r="AN2726">
        <v>276.0478</v>
      </c>
      <c r="AO2726">
        <v>0</v>
      </c>
      <c r="AP2726" s="13">
        <v>45463</v>
      </c>
      <c r="AQ2726">
        <v>6</v>
      </c>
      <c r="AR2726">
        <v>0</v>
      </c>
    </row>
    <row r="2727" spans="1:44" x14ac:dyDescent="0.35">
      <c r="A2727" s="12" t="s">
        <v>3596</v>
      </c>
      <c r="B2727" s="12" t="s">
        <v>391</v>
      </c>
      <c r="C2727" s="12" t="s">
        <v>392</v>
      </c>
      <c r="D2727" s="12" t="s">
        <v>114</v>
      </c>
      <c r="E2727" s="12" t="s">
        <v>65</v>
      </c>
      <c r="F2727">
        <v>2</v>
      </c>
      <c r="G2727">
        <v>2</v>
      </c>
      <c r="H2727">
        <v>0</v>
      </c>
      <c r="I2727" s="12" t="s">
        <v>310</v>
      </c>
      <c r="J2727" s="12" t="s">
        <v>311</v>
      </c>
      <c r="K2727" s="12" t="s">
        <v>81</v>
      </c>
      <c r="L2727" s="12" t="s">
        <v>69</v>
      </c>
      <c r="M2727">
        <v>28.3</v>
      </c>
      <c r="N2727" s="12" t="s">
        <v>70</v>
      </c>
      <c r="O2727" s="12" t="s">
        <v>71</v>
      </c>
      <c r="P2727" s="12" t="s">
        <v>72</v>
      </c>
      <c r="Q2727" s="13">
        <v>45436</v>
      </c>
      <c r="R2727" s="13">
        <v>45470</v>
      </c>
      <c r="S2727">
        <v>2024</v>
      </c>
      <c r="T2727" s="12" t="s">
        <v>3413</v>
      </c>
      <c r="U2727">
        <v>114</v>
      </c>
      <c r="V2727">
        <v>220.328</v>
      </c>
      <c r="W2727">
        <v>508.52</v>
      </c>
      <c r="X2727">
        <v>0</v>
      </c>
      <c r="Y2727">
        <v>0</v>
      </c>
      <c r="Z2727">
        <v>25117.39</v>
      </c>
      <c r="AA2727">
        <v>25625.91</v>
      </c>
      <c r="AB2727" s="12" t="s">
        <v>2890</v>
      </c>
      <c r="AC2727">
        <v>220.328</v>
      </c>
      <c r="AD2727">
        <v>1</v>
      </c>
      <c r="AE2727">
        <v>1</v>
      </c>
      <c r="AF2727">
        <v>0</v>
      </c>
      <c r="AG2727">
        <v>25117.39</v>
      </c>
      <c r="AH2727">
        <v>114</v>
      </c>
      <c r="AI2727">
        <v>112</v>
      </c>
      <c r="AJ2727">
        <v>2</v>
      </c>
      <c r="AK2727">
        <v>1</v>
      </c>
      <c r="AL2727">
        <v>1</v>
      </c>
      <c r="AM2727">
        <v>98.25</v>
      </c>
      <c r="AN2727">
        <v>228.80279999999999</v>
      </c>
      <c r="AO2727">
        <v>440.66</v>
      </c>
      <c r="AP2727" s="13">
        <v>45467</v>
      </c>
      <c r="AQ2727">
        <v>-3</v>
      </c>
      <c r="AR2727">
        <v>1</v>
      </c>
    </row>
    <row r="2728" spans="1:44" x14ac:dyDescent="0.35">
      <c r="A2728" s="12" t="s">
        <v>3597</v>
      </c>
      <c r="B2728" s="12" t="s">
        <v>149</v>
      </c>
      <c r="C2728" s="12" t="s">
        <v>150</v>
      </c>
      <c r="D2728" s="12" t="s">
        <v>78</v>
      </c>
      <c r="E2728" s="12" t="s">
        <v>65</v>
      </c>
      <c r="F2728">
        <v>2</v>
      </c>
      <c r="G2728">
        <v>2</v>
      </c>
      <c r="H2728">
        <v>0</v>
      </c>
      <c r="I2728" s="12" t="s">
        <v>151</v>
      </c>
      <c r="J2728" s="12" t="s">
        <v>152</v>
      </c>
      <c r="K2728" s="12" t="s">
        <v>125</v>
      </c>
      <c r="L2728" s="12" t="s">
        <v>69</v>
      </c>
      <c r="M2728">
        <v>36.479999999999997</v>
      </c>
      <c r="N2728" s="12" t="s">
        <v>70</v>
      </c>
      <c r="O2728" s="12" t="s">
        <v>71</v>
      </c>
      <c r="P2728" s="12" t="s">
        <v>72</v>
      </c>
      <c r="Q2728" s="13">
        <v>45439</v>
      </c>
      <c r="R2728" s="13">
        <v>45462</v>
      </c>
      <c r="S2728">
        <v>2024</v>
      </c>
      <c r="T2728" s="12" t="s">
        <v>3413</v>
      </c>
      <c r="U2728">
        <v>82</v>
      </c>
      <c r="V2728">
        <v>70.838700000000003</v>
      </c>
      <c r="W2728">
        <v>132.69999999999999</v>
      </c>
      <c r="X2728">
        <v>0</v>
      </c>
      <c r="Y2728">
        <v>0</v>
      </c>
      <c r="Z2728">
        <v>5808.77</v>
      </c>
      <c r="AA2728">
        <v>5941.47</v>
      </c>
      <c r="AB2728" s="12" t="s">
        <v>2546</v>
      </c>
      <c r="AC2728">
        <v>70.838700000000003</v>
      </c>
      <c r="AD2728">
        <v>1</v>
      </c>
      <c r="AE2728">
        <v>1</v>
      </c>
      <c r="AF2728">
        <v>0</v>
      </c>
      <c r="AG2728">
        <v>5808.77</v>
      </c>
      <c r="AH2728">
        <v>82</v>
      </c>
      <c r="AI2728">
        <v>80</v>
      </c>
      <c r="AJ2728">
        <v>2</v>
      </c>
      <c r="AK2728">
        <v>1</v>
      </c>
      <c r="AL2728">
        <v>1</v>
      </c>
      <c r="AM2728">
        <v>97.56</v>
      </c>
      <c r="AN2728">
        <v>74.2684</v>
      </c>
      <c r="AO2728">
        <v>141.68</v>
      </c>
      <c r="AP2728" s="13">
        <v>45459</v>
      </c>
      <c r="AQ2728">
        <v>-3</v>
      </c>
      <c r="AR2728">
        <v>1</v>
      </c>
    </row>
    <row r="2729" spans="1:44" x14ac:dyDescent="0.35">
      <c r="A2729" s="12" t="s">
        <v>3598</v>
      </c>
      <c r="B2729" s="12" t="s">
        <v>544</v>
      </c>
      <c r="C2729" s="12" t="s">
        <v>545</v>
      </c>
      <c r="D2729" s="12" t="s">
        <v>175</v>
      </c>
      <c r="E2729" s="12" t="s">
        <v>65</v>
      </c>
      <c r="F2729">
        <v>3</v>
      </c>
      <c r="G2729">
        <v>5</v>
      </c>
      <c r="H2729">
        <v>0</v>
      </c>
      <c r="I2729" s="12" t="s">
        <v>66</v>
      </c>
      <c r="J2729" s="12" t="s">
        <v>67</v>
      </c>
      <c r="K2729" s="12" t="s">
        <v>68</v>
      </c>
      <c r="L2729" s="12" t="s">
        <v>69</v>
      </c>
      <c r="M2729">
        <v>17.66</v>
      </c>
      <c r="N2729" s="12" t="s">
        <v>107</v>
      </c>
      <c r="O2729" s="12" t="s">
        <v>108</v>
      </c>
      <c r="P2729" s="12" t="s">
        <v>109</v>
      </c>
      <c r="Q2729" s="13">
        <v>45439</v>
      </c>
      <c r="R2729" s="13">
        <v>45460</v>
      </c>
      <c r="S2729">
        <v>2024</v>
      </c>
      <c r="T2729" s="12" t="s">
        <v>3413</v>
      </c>
      <c r="U2729">
        <v>12</v>
      </c>
      <c r="V2729">
        <v>148.63339999999999</v>
      </c>
      <c r="W2729">
        <v>11.99</v>
      </c>
      <c r="X2729">
        <v>0</v>
      </c>
      <c r="Y2729">
        <v>0</v>
      </c>
      <c r="Z2729">
        <v>1783.6</v>
      </c>
      <c r="AA2729">
        <v>1795.59</v>
      </c>
      <c r="AB2729" s="12" t="s">
        <v>201</v>
      </c>
      <c r="AD2729">
        <v>0</v>
      </c>
      <c r="AE2729">
        <v>0</v>
      </c>
      <c r="AH2729">
        <v>12</v>
      </c>
      <c r="AI2729">
        <v>12</v>
      </c>
      <c r="AJ2729">
        <v>0</v>
      </c>
      <c r="AK2729">
        <v>1</v>
      </c>
      <c r="AL2729">
        <v>1</v>
      </c>
      <c r="AM2729">
        <v>100</v>
      </c>
      <c r="AN2729">
        <v>149.6326</v>
      </c>
      <c r="AO2729">
        <v>0</v>
      </c>
      <c r="AP2729" s="13">
        <v>45459</v>
      </c>
      <c r="AQ2729">
        <v>-1</v>
      </c>
      <c r="AR2729">
        <v>1</v>
      </c>
    </row>
    <row r="2730" spans="1:44" x14ac:dyDescent="0.35">
      <c r="A2730" s="12" t="s">
        <v>3599</v>
      </c>
      <c r="B2730" s="12" t="s">
        <v>327</v>
      </c>
      <c r="C2730" s="12" t="s">
        <v>328</v>
      </c>
      <c r="D2730" s="12" t="s">
        <v>130</v>
      </c>
      <c r="E2730" s="12" t="s">
        <v>104</v>
      </c>
      <c r="F2730">
        <v>2</v>
      </c>
      <c r="G2730">
        <v>0</v>
      </c>
      <c r="H2730">
        <v>0</v>
      </c>
      <c r="I2730" s="12" t="s">
        <v>94</v>
      </c>
      <c r="J2730" s="12" t="s">
        <v>95</v>
      </c>
      <c r="K2730" s="12" t="s">
        <v>81</v>
      </c>
      <c r="L2730" s="12" t="s">
        <v>96</v>
      </c>
      <c r="M2730">
        <v>4.8099999999999996</v>
      </c>
      <c r="N2730" s="12" t="s">
        <v>159</v>
      </c>
      <c r="O2730" s="12" t="s">
        <v>160</v>
      </c>
      <c r="P2730" s="12" t="s">
        <v>137</v>
      </c>
      <c r="Q2730" s="13">
        <v>45439</v>
      </c>
      <c r="R2730" s="13">
        <v>45461</v>
      </c>
      <c r="S2730">
        <v>2024</v>
      </c>
      <c r="T2730" s="12" t="s">
        <v>3413</v>
      </c>
      <c r="U2730">
        <v>92</v>
      </c>
      <c r="V2730">
        <v>697.23929999999996</v>
      </c>
      <c r="W2730">
        <v>1287.06</v>
      </c>
      <c r="X2730">
        <v>0</v>
      </c>
      <c r="Y2730">
        <v>0</v>
      </c>
      <c r="Z2730">
        <v>64146.02</v>
      </c>
      <c r="AA2730">
        <v>65433.08</v>
      </c>
      <c r="AB2730" s="12" t="s">
        <v>3016</v>
      </c>
      <c r="AC2730">
        <v>697.23929999999996</v>
      </c>
      <c r="AD2730">
        <v>1</v>
      </c>
      <c r="AE2730">
        <v>1</v>
      </c>
      <c r="AF2730">
        <v>0</v>
      </c>
      <c r="AG2730">
        <v>64146.02</v>
      </c>
      <c r="AH2730">
        <v>92</v>
      </c>
      <c r="AI2730">
        <v>91</v>
      </c>
      <c r="AJ2730">
        <v>1</v>
      </c>
      <c r="AK2730">
        <v>1</v>
      </c>
      <c r="AL2730">
        <v>1</v>
      </c>
      <c r="AM2730">
        <v>98.91</v>
      </c>
      <c r="AN2730">
        <v>719.04480000000001</v>
      </c>
      <c r="AO2730">
        <v>697.24</v>
      </c>
      <c r="AP2730" s="13">
        <v>45460</v>
      </c>
      <c r="AQ2730">
        <v>-1</v>
      </c>
      <c r="AR2730">
        <v>1</v>
      </c>
    </row>
    <row r="2731" spans="1:44" x14ac:dyDescent="0.35">
      <c r="A2731" s="12" t="s">
        <v>3600</v>
      </c>
      <c r="B2731" s="12" t="s">
        <v>416</v>
      </c>
      <c r="C2731" s="12" t="s">
        <v>417</v>
      </c>
      <c r="D2731" s="12" t="s">
        <v>78</v>
      </c>
      <c r="E2731" s="12" t="s">
        <v>65</v>
      </c>
      <c r="F2731">
        <v>3</v>
      </c>
      <c r="G2731">
        <v>5</v>
      </c>
      <c r="H2731">
        <v>0</v>
      </c>
      <c r="I2731" s="12" t="s">
        <v>94</v>
      </c>
      <c r="J2731" s="12" t="s">
        <v>95</v>
      </c>
      <c r="K2731" s="12" t="s">
        <v>81</v>
      </c>
      <c r="L2731" s="12" t="s">
        <v>96</v>
      </c>
      <c r="M2731">
        <v>4.8099999999999996</v>
      </c>
      <c r="N2731" s="12" t="s">
        <v>97</v>
      </c>
      <c r="O2731" s="12" t="s">
        <v>98</v>
      </c>
      <c r="P2731" s="12" t="s">
        <v>72</v>
      </c>
      <c r="Q2731" s="13">
        <v>45439</v>
      </c>
      <c r="R2731" s="13">
        <v>45463</v>
      </c>
      <c r="S2731">
        <v>2024</v>
      </c>
      <c r="T2731" s="12" t="s">
        <v>3413</v>
      </c>
      <c r="U2731">
        <v>95</v>
      </c>
      <c r="V2731">
        <v>149.58109999999999</v>
      </c>
      <c r="W2731">
        <v>306.79000000000002</v>
      </c>
      <c r="X2731">
        <v>0</v>
      </c>
      <c r="Y2731">
        <v>0</v>
      </c>
      <c r="Z2731">
        <v>14210.2</v>
      </c>
      <c r="AA2731">
        <v>14516.99</v>
      </c>
      <c r="AB2731" s="12" t="s">
        <v>201</v>
      </c>
      <c r="AD2731">
        <v>0</v>
      </c>
      <c r="AE2731">
        <v>0</v>
      </c>
      <c r="AH2731">
        <v>95</v>
      </c>
      <c r="AI2731">
        <v>94</v>
      </c>
      <c r="AJ2731">
        <v>1</v>
      </c>
      <c r="AK2731">
        <v>1</v>
      </c>
      <c r="AL2731">
        <v>1</v>
      </c>
      <c r="AM2731">
        <v>98.95</v>
      </c>
      <c r="AN2731">
        <v>154.43610000000001</v>
      </c>
      <c r="AO2731">
        <v>149.58000000000001</v>
      </c>
      <c r="AP2731" s="13">
        <v>45471</v>
      </c>
      <c r="AQ2731">
        <v>8</v>
      </c>
      <c r="AR2731">
        <v>0</v>
      </c>
    </row>
    <row r="2732" spans="1:44" x14ac:dyDescent="0.35">
      <c r="A2732" s="12" t="s">
        <v>3601</v>
      </c>
      <c r="B2732" s="12" t="s">
        <v>261</v>
      </c>
      <c r="C2732" s="12" t="s">
        <v>262</v>
      </c>
      <c r="D2732" s="12" t="s">
        <v>114</v>
      </c>
      <c r="E2732" s="12" t="s">
        <v>142</v>
      </c>
      <c r="F2732">
        <v>1</v>
      </c>
      <c r="G2732">
        <v>8</v>
      </c>
      <c r="H2732">
        <v>1</v>
      </c>
      <c r="I2732" s="12" t="s">
        <v>263</v>
      </c>
      <c r="J2732" s="12" t="s">
        <v>264</v>
      </c>
      <c r="K2732" s="12" t="s">
        <v>125</v>
      </c>
      <c r="L2732" s="12" t="s">
        <v>82</v>
      </c>
      <c r="M2732">
        <v>10.210000000000001</v>
      </c>
      <c r="N2732" s="12" t="s">
        <v>70</v>
      </c>
      <c r="O2732" s="12" t="s">
        <v>71</v>
      </c>
      <c r="P2732" s="12" t="s">
        <v>72</v>
      </c>
      <c r="Q2732" s="13">
        <v>45439</v>
      </c>
      <c r="R2732" s="13">
        <v>45475</v>
      </c>
      <c r="S2732">
        <v>2024</v>
      </c>
      <c r="T2732" s="12" t="s">
        <v>3413</v>
      </c>
      <c r="U2732">
        <v>20</v>
      </c>
      <c r="V2732">
        <v>142.62200000000001</v>
      </c>
      <c r="W2732">
        <v>65.239999999999995</v>
      </c>
      <c r="X2732">
        <v>0</v>
      </c>
      <c r="Y2732">
        <v>0</v>
      </c>
      <c r="Z2732">
        <v>2852.44</v>
      </c>
      <c r="AA2732">
        <v>2917.68</v>
      </c>
      <c r="AB2732" s="12" t="s">
        <v>2655</v>
      </c>
      <c r="AC2732">
        <v>137.84569999999999</v>
      </c>
      <c r="AD2732">
        <v>1</v>
      </c>
      <c r="AE2732">
        <v>1</v>
      </c>
      <c r="AF2732">
        <v>95.53</v>
      </c>
      <c r="AG2732">
        <v>2756.91</v>
      </c>
      <c r="AH2732">
        <v>20</v>
      </c>
      <c r="AI2732">
        <v>20</v>
      </c>
      <c r="AJ2732">
        <v>0</v>
      </c>
      <c r="AK2732">
        <v>1</v>
      </c>
      <c r="AL2732">
        <v>1</v>
      </c>
      <c r="AM2732">
        <v>100</v>
      </c>
      <c r="AN2732">
        <v>145.88399999999999</v>
      </c>
      <c r="AO2732">
        <v>0</v>
      </c>
      <c r="AP2732" s="13">
        <v>45475</v>
      </c>
      <c r="AQ2732">
        <v>0</v>
      </c>
      <c r="AR2732">
        <v>1</v>
      </c>
    </row>
    <row r="2733" spans="1:44" x14ac:dyDescent="0.35">
      <c r="A2733" s="12" t="s">
        <v>3602</v>
      </c>
      <c r="B2733" s="12" t="s">
        <v>823</v>
      </c>
      <c r="C2733" s="12" t="s">
        <v>824</v>
      </c>
      <c r="D2733" s="12" t="s">
        <v>114</v>
      </c>
      <c r="E2733" s="12" t="s">
        <v>142</v>
      </c>
      <c r="F2733">
        <v>1</v>
      </c>
      <c r="G2733">
        <v>8</v>
      </c>
      <c r="H2733">
        <v>1</v>
      </c>
      <c r="I2733" s="12" t="s">
        <v>515</v>
      </c>
      <c r="J2733" s="12" t="s">
        <v>516</v>
      </c>
      <c r="K2733" s="12" t="s">
        <v>68</v>
      </c>
      <c r="L2733" s="12" t="s">
        <v>134</v>
      </c>
      <c r="M2733">
        <v>3.69</v>
      </c>
      <c r="N2733" s="12" t="s">
        <v>97</v>
      </c>
      <c r="O2733" s="12" t="s">
        <v>98</v>
      </c>
      <c r="P2733" s="12" t="s">
        <v>72</v>
      </c>
      <c r="Q2733" s="13">
        <v>45439</v>
      </c>
      <c r="R2733" s="13">
        <v>45482</v>
      </c>
      <c r="S2733">
        <v>2024</v>
      </c>
      <c r="T2733" s="12" t="s">
        <v>3413</v>
      </c>
      <c r="U2733">
        <v>78</v>
      </c>
      <c r="V2733">
        <v>361.71230000000003</v>
      </c>
      <c r="W2733">
        <v>172.69</v>
      </c>
      <c r="X2733">
        <v>0</v>
      </c>
      <c r="Y2733">
        <v>0</v>
      </c>
      <c r="Z2733">
        <v>28213.56</v>
      </c>
      <c r="AA2733">
        <v>28386.25</v>
      </c>
      <c r="AB2733" s="12" t="s">
        <v>3483</v>
      </c>
      <c r="AC2733">
        <v>361.71230000000003</v>
      </c>
      <c r="AD2733">
        <v>1</v>
      </c>
      <c r="AE2733">
        <v>1</v>
      </c>
      <c r="AF2733">
        <v>0</v>
      </c>
      <c r="AG2733">
        <v>28213.56</v>
      </c>
      <c r="AH2733">
        <v>78</v>
      </c>
      <c r="AI2733">
        <v>76</v>
      </c>
      <c r="AJ2733">
        <v>2</v>
      </c>
      <c r="AK2733">
        <v>1</v>
      </c>
      <c r="AL2733">
        <v>1</v>
      </c>
      <c r="AM2733">
        <v>97.44</v>
      </c>
      <c r="AN2733">
        <v>373.50330000000002</v>
      </c>
      <c r="AO2733">
        <v>723.42</v>
      </c>
      <c r="AP2733" s="13">
        <v>45478</v>
      </c>
      <c r="AQ2733">
        <v>-4</v>
      </c>
      <c r="AR2733">
        <v>1</v>
      </c>
    </row>
    <row r="2734" spans="1:44" x14ac:dyDescent="0.35">
      <c r="A2734" s="12" t="s">
        <v>3603</v>
      </c>
      <c r="B2734" s="12" t="s">
        <v>1026</v>
      </c>
      <c r="C2734" s="12" t="s">
        <v>1027</v>
      </c>
      <c r="D2734" s="12" t="s">
        <v>122</v>
      </c>
      <c r="E2734" s="12" t="s">
        <v>104</v>
      </c>
      <c r="F2734">
        <v>3</v>
      </c>
      <c r="G2734">
        <v>1</v>
      </c>
      <c r="H2734">
        <v>0</v>
      </c>
      <c r="I2734" s="12" t="s">
        <v>515</v>
      </c>
      <c r="J2734" s="12" t="s">
        <v>516</v>
      </c>
      <c r="K2734" s="12" t="s">
        <v>68</v>
      </c>
      <c r="L2734" s="12" t="s">
        <v>134</v>
      </c>
      <c r="M2734">
        <v>3.69</v>
      </c>
      <c r="N2734" s="12" t="s">
        <v>97</v>
      </c>
      <c r="O2734" s="12" t="s">
        <v>98</v>
      </c>
      <c r="P2734" s="12" t="s">
        <v>72</v>
      </c>
      <c r="Q2734" s="13">
        <v>45439</v>
      </c>
      <c r="R2734" s="13">
        <v>45467</v>
      </c>
      <c r="S2734">
        <v>2024</v>
      </c>
      <c r="T2734" s="12" t="s">
        <v>3413</v>
      </c>
      <c r="U2734">
        <v>1864</v>
      </c>
      <c r="V2734">
        <v>43.162799999999997</v>
      </c>
      <c r="W2734">
        <v>661.9</v>
      </c>
      <c r="X2734">
        <v>0</v>
      </c>
      <c r="Y2734">
        <v>0</v>
      </c>
      <c r="Z2734">
        <v>80455.460000000006</v>
      </c>
      <c r="AA2734">
        <v>81117.36</v>
      </c>
      <c r="AB2734" s="12" t="s">
        <v>201</v>
      </c>
      <c r="AD2734">
        <v>0</v>
      </c>
      <c r="AE2734">
        <v>0</v>
      </c>
      <c r="AH2734">
        <v>1864</v>
      </c>
      <c r="AI2734">
        <v>1850</v>
      </c>
      <c r="AJ2734">
        <v>14</v>
      </c>
      <c r="AK2734">
        <v>1</v>
      </c>
      <c r="AL2734">
        <v>1</v>
      </c>
      <c r="AM2734">
        <v>99.25</v>
      </c>
      <c r="AN2734">
        <v>43.847200000000001</v>
      </c>
      <c r="AO2734">
        <v>604.28</v>
      </c>
      <c r="AP2734" s="13">
        <v>45467</v>
      </c>
      <c r="AQ2734">
        <v>0</v>
      </c>
      <c r="AR2734">
        <v>1</v>
      </c>
    </row>
    <row r="2735" spans="1:44" x14ac:dyDescent="0.35">
      <c r="A2735" s="12" t="s">
        <v>3604</v>
      </c>
      <c r="B2735" s="12" t="s">
        <v>924</v>
      </c>
      <c r="C2735" s="12" t="s">
        <v>925</v>
      </c>
      <c r="D2735" s="12" t="s">
        <v>103</v>
      </c>
      <c r="E2735" s="12" t="s">
        <v>104</v>
      </c>
      <c r="F2735">
        <v>2</v>
      </c>
      <c r="G2735">
        <v>0</v>
      </c>
      <c r="H2735">
        <v>0</v>
      </c>
      <c r="I2735" s="12" t="s">
        <v>335</v>
      </c>
      <c r="J2735" s="12" t="s">
        <v>336</v>
      </c>
      <c r="K2735" s="12" t="s">
        <v>89</v>
      </c>
      <c r="L2735" s="12" t="s">
        <v>82</v>
      </c>
      <c r="M2735">
        <v>16</v>
      </c>
      <c r="N2735" s="12" t="s">
        <v>145</v>
      </c>
      <c r="O2735" s="12" t="s">
        <v>146</v>
      </c>
      <c r="P2735" s="12" t="s">
        <v>109</v>
      </c>
      <c r="Q2735" s="13">
        <v>45439</v>
      </c>
      <c r="R2735" s="13">
        <v>45463</v>
      </c>
      <c r="S2735">
        <v>2024</v>
      </c>
      <c r="T2735" s="12" t="s">
        <v>3413</v>
      </c>
      <c r="U2735">
        <v>110</v>
      </c>
      <c r="V2735">
        <v>180.72020000000001</v>
      </c>
      <c r="W2735">
        <v>359.56</v>
      </c>
      <c r="X2735">
        <v>0</v>
      </c>
      <c r="Y2735">
        <v>0</v>
      </c>
      <c r="Z2735">
        <v>19879.22</v>
      </c>
      <c r="AA2735">
        <v>20238.78</v>
      </c>
      <c r="AB2735" s="12" t="s">
        <v>201</v>
      </c>
      <c r="AD2735">
        <v>0</v>
      </c>
      <c r="AE2735">
        <v>0</v>
      </c>
      <c r="AH2735">
        <v>110</v>
      </c>
      <c r="AI2735">
        <v>108</v>
      </c>
      <c r="AJ2735">
        <v>2</v>
      </c>
      <c r="AK2735">
        <v>1</v>
      </c>
      <c r="AL2735">
        <v>1</v>
      </c>
      <c r="AM2735">
        <v>98.18</v>
      </c>
      <c r="AN2735">
        <v>187.39609999999999</v>
      </c>
      <c r="AO2735">
        <v>361.44</v>
      </c>
      <c r="AP2735" s="13">
        <v>45462</v>
      </c>
      <c r="AQ2735">
        <v>-1</v>
      </c>
      <c r="AR2735">
        <v>1</v>
      </c>
    </row>
    <row r="2736" spans="1:44" x14ac:dyDescent="0.35">
      <c r="A2736" s="12" t="s">
        <v>3605</v>
      </c>
      <c r="B2736" s="12" t="s">
        <v>293</v>
      </c>
      <c r="C2736" s="12" t="s">
        <v>294</v>
      </c>
      <c r="D2736" s="12" t="s">
        <v>114</v>
      </c>
      <c r="E2736" s="12" t="s">
        <v>142</v>
      </c>
      <c r="F2736">
        <v>1</v>
      </c>
      <c r="G2736">
        <v>6</v>
      </c>
      <c r="H2736">
        <v>1</v>
      </c>
      <c r="I2736" s="12" t="s">
        <v>195</v>
      </c>
      <c r="J2736" s="12" t="s">
        <v>196</v>
      </c>
      <c r="K2736" s="12" t="s">
        <v>117</v>
      </c>
      <c r="L2736" s="12" t="s">
        <v>134</v>
      </c>
      <c r="M2736">
        <v>4.7699999999999996</v>
      </c>
      <c r="N2736" s="12" t="s">
        <v>70</v>
      </c>
      <c r="O2736" s="12" t="s">
        <v>71</v>
      </c>
      <c r="P2736" s="12" t="s">
        <v>72</v>
      </c>
      <c r="Q2736" s="13">
        <v>45439</v>
      </c>
      <c r="R2736" s="13">
        <v>45478</v>
      </c>
      <c r="S2736">
        <v>2024</v>
      </c>
      <c r="T2736" s="12" t="s">
        <v>3413</v>
      </c>
      <c r="U2736">
        <v>41</v>
      </c>
      <c r="V2736">
        <v>202.91499999999999</v>
      </c>
      <c r="W2736">
        <v>161.69999999999999</v>
      </c>
      <c r="X2736">
        <v>0</v>
      </c>
      <c r="Y2736">
        <v>0</v>
      </c>
      <c r="Z2736">
        <v>8319.52</v>
      </c>
      <c r="AA2736">
        <v>8481.2199999999993</v>
      </c>
      <c r="AB2736" s="12" t="s">
        <v>2837</v>
      </c>
      <c r="AC2736">
        <v>202.91499999999999</v>
      </c>
      <c r="AD2736">
        <v>1</v>
      </c>
      <c r="AE2736">
        <v>1</v>
      </c>
      <c r="AF2736">
        <v>0</v>
      </c>
      <c r="AG2736">
        <v>8319.52</v>
      </c>
      <c r="AH2736">
        <v>41</v>
      </c>
      <c r="AI2736">
        <v>41</v>
      </c>
      <c r="AJ2736">
        <v>0</v>
      </c>
      <c r="AK2736">
        <v>1</v>
      </c>
      <c r="AL2736">
        <v>1</v>
      </c>
      <c r="AM2736">
        <v>100</v>
      </c>
      <c r="AN2736">
        <v>206.85890000000001</v>
      </c>
      <c r="AO2736">
        <v>0</v>
      </c>
      <c r="AP2736" s="13">
        <v>45476</v>
      </c>
      <c r="AQ2736">
        <v>-2</v>
      </c>
      <c r="AR2736">
        <v>1</v>
      </c>
    </row>
    <row r="2737" spans="1:44" x14ac:dyDescent="0.35">
      <c r="A2737" s="12" t="s">
        <v>3606</v>
      </c>
      <c r="B2737" s="12" t="s">
        <v>323</v>
      </c>
      <c r="C2737" s="12" t="s">
        <v>324</v>
      </c>
      <c r="D2737" s="12" t="s">
        <v>64</v>
      </c>
      <c r="E2737" s="12" t="s">
        <v>142</v>
      </c>
      <c r="F2737">
        <v>1</v>
      </c>
      <c r="G2737">
        <v>7</v>
      </c>
      <c r="H2737">
        <v>1</v>
      </c>
      <c r="I2737" s="12" t="s">
        <v>143</v>
      </c>
      <c r="J2737" s="12" t="s">
        <v>144</v>
      </c>
      <c r="K2737" s="12" t="s">
        <v>133</v>
      </c>
      <c r="L2737" s="12" t="s">
        <v>96</v>
      </c>
      <c r="M2737">
        <v>5.43</v>
      </c>
      <c r="N2737" s="12" t="s">
        <v>70</v>
      </c>
      <c r="O2737" s="12" t="s">
        <v>71</v>
      </c>
      <c r="P2737" s="12" t="s">
        <v>72</v>
      </c>
      <c r="Q2737" s="13">
        <v>45439</v>
      </c>
      <c r="R2737" s="13">
        <v>45485</v>
      </c>
      <c r="S2737">
        <v>2024</v>
      </c>
      <c r="T2737" s="12" t="s">
        <v>3413</v>
      </c>
      <c r="U2737">
        <v>676</v>
      </c>
      <c r="V2737">
        <v>39.364800000000002</v>
      </c>
      <c r="W2737">
        <v>296.24</v>
      </c>
      <c r="X2737">
        <v>0</v>
      </c>
      <c r="Y2737">
        <v>0</v>
      </c>
      <c r="Z2737">
        <v>26610.6</v>
      </c>
      <c r="AA2737">
        <v>26906.84</v>
      </c>
      <c r="AB2737" s="12" t="s">
        <v>2828</v>
      </c>
      <c r="AC2737">
        <v>39.364800000000002</v>
      </c>
      <c r="AD2737">
        <v>1</v>
      </c>
      <c r="AE2737">
        <v>1</v>
      </c>
      <c r="AF2737">
        <v>0</v>
      </c>
      <c r="AG2737">
        <v>26610.6</v>
      </c>
      <c r="AH2737">
        <v>676</v>
      </c>
      <c r="AI2737">
        <v>667</v>
      </c>
      <c r="AJ2737">
        <v>9</v>
      </c>
      <c r="AK2737">
        <v>1</v>
      </c>
      <c r="AL2737">
        <v>1</v>
      </c>
      <c r="AM2737">
        <v>98.67</v>
      </c>
      <c r="AN2737">
        <v>40.3401</v>
      </c>
      <c r="AO2737">
        <v>354.28</v>
      </c>
      <c r="AP2737" s="13">
        <v>45483</v>
      </c>
      <c r="AQ2737">
        <v>-2</v>
      </c>
      <c r="AR2737">
        <v>1</v>
      </c>
    </row>
    <row r="2738" spans="1:44" x14ac:dyDescent="0.35">
      <c r="A2738" s="12" t="s">
        <v>3607</v>
      </c>
      <c r="B2738" s="12" t="s">
        <v>433</v>
      </c>
      <c r="C2738" s="12" t="s">
        <v>434</v>
      </c>
      <c r="D2738" s="12" t="s">
        <v>78</v>
      </c>
      <c r="E2738" s="12" t="s">
        <v>65</v>
      </c>
      <c r="F2738">
        <v>2</v>
      </c>
      <c r="G2738">
        <v>4</v>
      </c>
      <c r="H2738">
        <v>0</v>
      </c>
      <c r="I2738" s="12" t="s">
        <v>105</v>
      </c>
      <c r="J2738" s="12" t="s">
        <v>106</v>
      </c>
      <c r="K2738" s="12" t="s">
        <v>81</v>
      </c>
      <c r="L2738" s="12" t="s">
        <v>96</v>
      </c>
      <c r="M2738">
        <v>5.01</v>
      </c>
      <c r="N2738" s="12" t="s">
        <v>70</v>
      </c>
      <c r="O2738" s="12" t="s">
        <v>71</v>
      </c>
      <c r="P2738" s="12" t="s">
        <v>72</v>
      </c>
      <c r="Q2738" s="13">
        <v>45439</v>
      </c>
      <c r="R2738" s="13">
        <v>45470</v>
      </c>
      <c r="S2738">
        <v>2024</v>
      </c>
      <c r="T2738" s="12" t="s">
        <v>3413</v>
      </c>
      <c r="U2738">
        <v>189</v>
      </c>
      <c r="V2738">
        <v>72.364500000000007</v>
      </c>
      <c r="W2738">
        <v>298.02999999999997</v>
      </c>
      <c r="X2738">
        <v>0</v>
      </c>
      <c r="Y2738">
        <v>0</v>
      </c>
      <c r="Z2738">
        <v>13676.89</v>
      </c>
      <c r="AA2738">
        <v>13974.92</v>
      </c>
      <c r="AB2738" s="12" t="s">
        <v>2930</v>
      </c>
      <c r="AC2738">
        <v>72.364500000000007</v>
      </c>
      <c r="AD2738">
        <v>1</v>
      </c>
      <c r="AE2738">
        <v>1</v>
      </c>
      <c r="AF2738">
        <v>0</v>
      </c>
      <c r="AG2738">
        <v>13676.89</v>
      </c>
      <c r="AH2738">
        <v>189</v>
      </c>
      <c r="AI2738">
        <v>186</v>
      </c>
      <c r="AJ2738">
        <v>3</v>
      </c>
      <c r="AK2738">
        <v>1</v>
      </c>
      <c r="AL2738">
        <v>1</v>
      </c>
      <c r="AM2738">
        <v>98.41</v>
      </c>
      <c r="AN2738">
        <v>75.134</v>
      </c>
      <c r="AO2738">
        <v>217.09</v>
      </c>
      <c r="AP2738" s="13">
        <v>45470</v>
      </c>
      <c r="AQ2738">
        <v>0</v>
      </c>
      <c r="AR2738">
        <v>1</v>
      </c>
    </row>
    <row r="2739" spans="1:44" x14ac:dyDescent="0.35">
      <c r="A2739" s="12" t="s">
        <v>3608</v>
      </c>
      <c r="B2739" s="12" t="s">
        <v>327</v>
      </c>
      <c r="C2739" s="12" t="s">
        <v>328</v>
      </c>
      <c r="D2739" s="12" t="s">
        <v>130</v>
      </c>
      <c r="E2739" s="12" t="s">
        <v>104</v>
      </c>
      <c r="F2739">
        <v>2</v>
      </c>
      <c r="G2739">
        <v>0</v>
      </c>
      <c r="H2739">
        <v>0</v>
      </c>
      <c r="I2739" s="12" t="s">
        <v>123</v>
      </c>
      <c r="J2739" s="12" t="s">
        <v>124</v>
      </c>
      <c r="K2739" s="12" t="s">
        <v>125</v>
      </c>
      <c r="L2739" s="12" t="s">
        <v>82</v>
      </c>
      <c r="M2739">
        <v>6.75</v>
      </c>
      <c r="N2739" s="12" t="s">
        <v>159</v>
      </c>
      <c r="O2739" s="12" t="s">
        <v>160</v>
      </c>
      <c r="P2739" s="12" t="s">
        <v>137</v>
      </c>
      <c r="Q2739" s="13">
        <v>45440</v>
      </c>
      <c r="R2739" s="13">
        <v>45457</v>
      </c>
      <c r="S2739">
        <v>2024</v>
      </c>
      <c r="T2739" s="12" t="s">
        <v>3413</v>
      </c>
      <c r="U2739">
        <v>56</v>
      </c>
      <c r="V2739">
        <v>770.67809999999997</v>
      </c>
      <c r="W2739">
        <v>1083.2</v>
      </c>
      <c r="X2739">
        <v>0</v>
      </c>
      <c r="Y2739">
        <v>0</v>
      </c>
      <c r="Z2739">
        <v>43157.97</v>
      </c>
      <c r="AA2739">
        <v>44241.17</v>
      </c>
      <c r="AB2739" s="12" t="s">
        <v>201</v>
      </c>
      <c r="AD2739">
        <v>0</v>
      </c>
      <c r="AE2739">
        <v>0</v>
      </c>
      <c r="AH2739">
        <v>56</v>
      </c>
      <c r="AI2739">
        <v>56</v>
      </c>
      <c r="AJ2739">
        <v>0</v>
      </c>
      <c r="AK2739">
        <v>1</v>
      </c>
      <c r="AL2739">
        <v>1</v>
      </c>
      <c r="AM2739">
        <v>100</v>
      </c>
      <c r="AN2739">
        <v>790.02099999999996</v>
      </c>
      <c r="AO2739">
        <v>0</v>
      </c>
      <c r="AP2739" s="13">
        <v>45455</v>
      </c>
      <c r="AQ2739">
        <v>-2</v>
      </c>
      <c r="AR2739">
        <v>1</v>
      </c>
    </row>
    <row r="2740" spans="1:44" x14ac:dyDescent="0.35">
      <c r="A2740" s="12" t="s">
        <v>3609</v>
      </c>
      <c r="B2740" s="12" t="s">
        <v>613</v>
      </c>
      <c r="C2740" s="12" t="s">
        <v>614</v>
      </c>
      <c r="D2740" s="12" t="s">
        <v>130</v>
      </c>
      <c r="E2740" s="12" t="s">
        <v>104</v>
      </c>
      <c r="F2740">
        <v>3</v>
      </c>
      <c r="G2740">
        <v>1</v>
      </c>
      <c r="H2740">
        <v>0</v>
      </c>
      <c r="I2740" s="12" t="s">
        <v>66</v>
      </c>
      <c r="J2740" s="12" t="s">
        <v>67</v>
      </c>
      <c r="K2740" s="12" t="s">
        <v>68</v>
      </c>
      <c r="L2740" s="12" t="s">
        <v>69</v>
      </c>
      <c r="M2740">
        <v>17.66</v>
      </c>
      <c r="N2740" s="12" t="s">
        <v>159</v>
      </c>
      <c r="O2740" s="12" t="s">
        <v>160</v>
      </c>
      <c r="P2740" s="12" t="s">
        <v>137</v>
      </c>
      <c r="Q2740" s="13">
        <v>45440</v>
      </c>
      <c r="R2740" s="13">
        <v>45454</v>
      </c>
      <c r="S2740">
        <v>2024</v>
      </c>
      <c r="T2740" s="12" t="s">
        <v>3413</v>
      </c>
      <c r="U2740">
        <v>32</v>
      </c>
      <c r="V2740">
        <v>173.59219999999999</v>
      </c>
      <c r="W2740">
        <v>76.84</v>
      </c>
      <c r="X2740">
        <v>0</v>
      </c>
      <c r="Y2740">
        <v>0</v>
      </c>
      <c r="Z2740">
        <v>5554.95</v>
      </c>
      <c r="AA2740">
        <v>5631.79</v>
      </c>
      <c r="AB2740" s="12" t="s">
        <v>3097</v>
      </c>
      <c r="AC2740">
        <v>173.59219999999999</v>
      </c>
      <c r="AD2740">
        <v>1</v>
      </c>
      <c r="AE2740">
        <v>1</v>
      </c>
      <c r="AF2740">
        <v>0</v>
      </c>
      <c r="AG2740">
        <v>5554.95</v>
      </c>
      <c r="AH2740">
        <v>32</v>
      </c>
      <c r="AI2740">
        <v>32</v>
      </c>
      <c r="AJ2740">
        <v>0</v>
      </c>
      <c r="AK2740">
        <v>1</v>
      </c>
      <c r="AL2740">
        <v>1</v>
      </c>
      <c r="AM2740">
        <v>100</v>
      </c>
      <c r="AN2740">
        <v>175.99350000000001</v>
      </c>
      <c r="AO2740">
        <v>0</v>
      </c>
      <c r="AP2740" s="13">
        <v>45453</v>
      </c>
      <c r="AQ2740">
        <v>-1</v>
      </c>
      <c r="AR2740">
        <v>1</v>
      </c>
    </row>
    <row r="2741" spans="1:44" x14ac:dyDescent="0.35">
      <c r="A2741" s="12" t="s">
        <v>3610</v>
      </c>
      <c r="B2741" s="12" t="s">
        <v>1075</v>
      </c>
      <c r="C2741" s="12" t="s">
        <v>1076</v>
      </c>
      <c r="D2741" s="12" t="s">
        <v>103</v>
      </c>
      <c r="E2741" s="12" t="s">
        <v>65</v>
      </c>
      <c r="F2741">
        <v>2</v>
      </c>
      <c r="G2741">
        <v>4</v>
      </c>
      <c r="H2741">
        <v>0</v>
      </c>
      <c r="I2741" s="12" t="s">
        <v>183</v>
      </c>
      <c r="J2741" s="12" t="s">
        <v>184</v>
      </c>
      <c r="K2741" s="12" t="s">
        <v>133</v>
      </c>
      <c r="L2741" s="12" t="s">
        <v>82</v>
      </c>
      <c r="M2741">
        <v>8.6199999999999992</v>
      </c>
      <c r="N2741" s="12" t="s">
        <v>107</v>
      </c>
      <c r="O2741" s="12" t="s">
        <v>108</v>
      </c>
      <c r="P2741" s="12" t="s">
        <v>109</v>
      </c>
      <c r="Q2741" s="13">
        <v>45440</v>
      </c>
      <c r="R2741" s="13">
        <v>45465</v>
      </c>
      <c r="S2741">
        <v>2024</v>
      </c>
      <c r="T2741" s="12" t="s">
        <v>3413</v>
      </c>
      <c r="U2741">
        <v>47</v>
      </c>
      <c r="V2741">
        <v>77.763499999999993</v>
      </c>
      <c r="W2741">
        <v>41.88</v>
      </c>
      <c r="X2741">
        <v>0</v>
      </c>
      <c r="Y2741">
        <v>0</v>
      </c>
      <c r="Z2741">
        <v>3654.88</v>
      </c>
      <c r="AA2741">
        <v>3696.76</v>
      </c>
      <c r="AB2741" s="12" t="s">
        <v>201</v>
      </c>
      <c r="AD2741">
        <v>0</v>
      </c>
      <c r="AE2741">
        <v>0</v>
      </c>
      <c r="AH2741">
        <v>47</v>
      </c>
      <c r="AI2741">
        <v>47</v>
      </c>
      <c r="AJ2741">
        <v>0</v>
      </c>
      <c r="AK2741">
        <v>1</v>
      </c>
      <c r="AL2741">
        <v>1</v>
      </c>
      <c r="AM2741">
        <v>100</v>
      </c>
      <c r="AN2741">
        <v>78.654600000000002</v>
      </c>
      <c r="AO2741">
        <v>0</v>
      </c>
      <c r="AP2741" s="13">
        <v>45466</v>
      </c>
      <c r="AQ2741">
        <v>1</v>
      </c>
      <c r="AR2741">
        <v>0</v>
      </c>
    </row>
    <row r="2742" spans="1:44" x14ac:dyDescent="0.35">
      <c r="A2742" s="12" t="s">
        <v>3611</v>
      </c>
      <c r="B2742" s="12" t="s">
        <v>339</v>
      </c>
      <c r="C2742" s="12" t="s">
        <v>340</v>
      </c>
      <c r="D2742" s="12" t="s">
        <v>103</v>
      </c>
      <c r="E2742" s="12" t="s">
        <v>142</v>
      </c>
      <c r="F2742">
        <v>2</v>
      </c>
      <c r="G2742">
        <v>9</v>
      </c>
      <c r="H2742">
        <v>0</v>
      </c>
      <c r="I2742" s="12" t="s">
        <v>169</v>
      </c>
      <c r="J2742" s="12" t="s">
        <v>170</v>
      </c>
      <c r="K2742" s="12" t="s">
        <v>89</v>
      </c>
      <c r="L2742" s="12" t="s">
        <v>134</v>
      </c>
      <c r="M2742">
        <v>1.37</v>
      </c>
      <c r="N2742" s="12" t="s">
        <v>145</v>
      </c>
      <c r="O2742" s="12" t="s">
        <v>146</v>
      </c>
      <c r="P2742" s="12" t="s">
        <v>109</v>
      </c>
      <c r="Q2742" s="13">
        <v>45440</v>
      </c>
      <c r="R2742" s="13">
        <v>45475</v>
      </c>
      <c r="S2742">
        <v>2024</v>
      </c>
      <c r="T2742" s="12" t="s">
        <v>3413</v>
      </c>
      <c r="U2742">
        <v>11</v>
      </c>
      <c r="V2742">
        <v>243.06290000000001</v>
      </c>
      <c r="W2742">
        <v>24.46</v>
      </c>
      <c r="X2742">
        <v>87.08</v>
      </c>
      <c r="Y2742">
        <v>1</v>
      </c>
      <c r="Z2742">
        <v>2673.69</v>
      </c>
      <c r="AA2742">
        <v>2785.23</v>
      </c>
      <c r="AB2742" s="12" t="s">
        <v>2786</v>
      </c>
      <c r="AC2742">
        <v>243.06290000000001</v>
      </c>
      <c r="AD2742">
        <v>1</v>
      </c>
      <c r="AE2742">
        <v>1</v>
      </c>
      <c r="AF2742">
        <v>0</v>
      </c>
      <c r="AG2742">
        <v>2673.69</v>
      </c>
      <c r="AH2742">
        <v>11</v>
      </c>
      <c r="AI2742">
        <v>11</v>
      </c>
      <c r="AJ2742">
        <v>0</v>
      </c>
      <c r="AK2742">
        <v>1</v>
      </c>
      <c r="AL2742">
        <v>1</v>
      </c>
      <c r="AM2742">
        <v>100</v>
      </c>
      <c r="AN2742">
        <v>253.2029</v>
      </c>
      <c r="AO2742">
        <v>0</v>
      </c>
      <c r="AP2742" s="13">
        <v>45474</v>
      </c>
      <c r="AQ2742">
        <v>-1</v>
      </c>
      <c r="AR2742">
        <v>1</v>
      </c>
    </row>
    <row r="2743" spans="1:44" x14ac:dyDescent="0.35">
      <c r="A2743" s="12" t="s">
        <v>3612</v>
      </c>
      <c r="B2743" s="12" t="s">
        <v>267</v>
      </c>
      <c r="C2743" s="12" t="s">
        <v>268</v>
      </c>
      <c r="D2743" s="12" t="s">
        <v>269</v>
      </c>
      <c r="E2743" s="12" t="s">
        <v>142</v>
      </c>
      <c r="F2743">
        <v>1</v>
      </c>
      <c r="G2743">
        <v>8</v>
      </c>
      <c r="H2743">
        <v>1</v>
      </c>
      <c r="I2743" s="12" t="s">
        <v>94</v>
      </c>
      <c r="J2743" s="12" t="s">
        <v>95</v>
      </c>
      <c r="K2743" s="12" t="s">
        <v>81</v>
      </c>
      <c r="L2743" s="12" t="s">
        <v>96</v>
      </c>
      <c r="M2743">
        <v>4.8099999999999996</v>
      </c>
      <c r="N2743" s="12" t="s">
        <v>159</v>
      </c>
      <c r="O2743" s="12" t="s">
        <v>160</v>
      </c>
      <c r="P2743" s="12" t="s">
        <v>137</v>
      </c>
      <c r="Q2743" s="13">
        <v>45440</v>
      </c>
      <c r="R2743" s="13">
        <v>45478</v>
      </c>
      <c r="S2743">
        <v>2024</v>
      </c>
      <c r="T2743" s="12" t="s">
        <v>3413</v>
      </c>
      <c r="U2743">
        <v>39</v>
      </c>
      <c r="V2743">
        <v>225.02719999999999</v>
      </c>
      <c r="W2743">
        <v>148.38</v>
      </c>
      <c r="X2743">
        <v>0</v>
      </c>
      <c r="Y2743">
        <v>0</v>
      </c>
      <c r="Z2743">
        <v>8776.06</v>
      </c>
      <c r="AA2743">
        <v>8924.44</v>
      </c>
      <c r="AB2743" s="12" t="s">
        <v>2878</v>
      </c>
      <c r="AC2743">
        <v>225.02719999999999</v>
      </c>
      <c r="AD2743">
        <v>1</v>
      </c>
      <c r="AE2743">
        <v>1</v>
      </c>
      <c r="AF2743">
        <v>0</v>
      </c>
      <c r="AG2743">
        <v>8776.06</v>
      </c>
      <c r="AH2743">
        <v>39</v>
      </c>
      <c r="AI2743">
        <v>39</v>
      </c>
      <c r="AJ2743">
        <v>0</v>
      </c>
      <c r="AK2743">
        <v>1</v>
      </c>
      <c r="AL2743">
        <v>1</v>
      </c>
      <c r="AM2743">
        <v>100</v>
      </c>
      <c r="AN2743">
        <v>228.83179999999999</v>
      </c>
      <c r="AO2743">
        <v>0</v>
      </c>
      <c r="AP2743" s="13">
        <v>45477</v>
      </c>
      <c r="AQ2743">
        <v>-1</v>
      </c>
      <c r="AR2743">
        <v>1</v>
      </c>
    </row>
    <row r="2744" spans="1:44" x14ac:dyDescent="0.35">
      <c r="A2744" s="12" t="s">
        <v>3613</v>
      </c>
      <c r="B2744" s="12" t="s">
        <v>289</v>
      </c>
      <c r="C2744" s="12" t="s">
        <v>290</v>
      </c>
      <c r="D2744" s="12" t="s">
        <v>175</v>
      </c>
      <c r="E2744" s="12" t="s">
        <v>104</v>
      </c>
      <c r="F2744">
        <v>3</v>
      </c>
      <c r="G2744">
        <v>1</v>
      </c>
      <c r="H2744">
        <v>0</v>
      </c>
      <c r="I2744" s="12" t="s">
        <v>157</v>
      </c>
      <c r="J2744" s="12" t="s">
        <v>158</v>
      </c>
      <c r="K2744" s="12" t="s">
        <v>117</v>
      </c>
      <c r="L2744" s="12" t="s">
        <v>96</v>
      </c>
      <c r="M2744">
        <v>4.72</v>
      </c>
      <c r="N2744" s="12" t="s">
        <v>107</v>
      </c>
      <c r="O2744" s="12" t="s">
        <v>108</v>
      </c>
      <c r="P2744" s="12" t="s">
        <v>109</v>
      </c>
      <c r="Q2744" s="13">
        <v>45440</v>
      </c>
      <c r="R2744" s="13">
        <v>45454</v>
      </c>
      <c r="S2744">
        <v>2024</v>
      </c>
      <c r="T2744" s="12" t="s">
        <v>3413</v>
      </c>
      <c r="U2744">
        <v>31</v>
      </c>
      <c r="V2744">
        <v>184.24529999999999</v>
      </c>
      <c r="W2744">
        <v>46.55</v>
      </c>
      <c r="X2744">
        <v>0</v>
      </c>
      <c r="Y2744">
        <v>0</v>
      </c>
      <c r="Z2744">
        <v>5711.6</v>
      </c>
      <c r="AA2744">
        <v>5758.15</v>
      </c>
      <c r="AB2744" s="12" t="s">
        <v>2676</v>
      </c>
      <c r="AC2744">
        <v>184.24529999999999</v>
      </c>
      <c r="AD2744">
        <v>1</v>
      </c>
      <c r="AE2744">
        <v>1</v>
      </c>
      <c r="AF2744">
        <v>0</v>
      </c>
      <c r="AG2744">
        <v>5711.6</v>
      </c>
      <c r="AH2744">
        <v>31</v>
      </c>
      <c r="AI2744">
        <v>31</v>
      </c>
      <c r="AJ2744">
        <v>0</v>
      </c>
      <c r="AK2744">
        <v>1</v>
      </c>
      <c r="AL2744">
        <v>1</v>
      </c>
      <c r="AM2744">
        <v>100</v>
      </c>
      <c r="AN2744">
        <v>185.74690000000001</v>
      </c>
      <c r="AO2744">
        <v>0</v>
      </c>
      <c r="AP2744" s="13">
        <v>45455</v>
      </c>
      <c r="AQ2744">
        <v>1</v>
      </c>
      <c r="AR2744">
        <v>0</v>
      </c>
    </row>
    <row r="2745" spans="1:44" x14ac:dyDescent="0.35">
      <c r="A2745" s="12" t="s">
        <v>3614</v>
      </c>
      <c r="B2745" s="12" t="s">
        <v>1134</v>
      </c>
      <c r="C2745" s="12" t="s">
        <v>1135</v>
      </c>
      <c r="D2745" s="12" t="s">
        <v>269</v>
      </c>
      <c r="E2745" s="12" t="s">
        <v>104</v>
      </c>
      <c r="F2745">
        <v>2</v>
      </c>
      <c r="G2745">
        <v>0</v>
      </c>
      <c r="H2745">
        <v>0</v>
      </c>
      <c r="I2745" s="12" t="s">
        <v>380</v>
      </c>
      <c r="J2745" s="12" t="s">
        <v>381</v>
      </c>
      <c r="K2745" s="12" t="s">
        <v>89</v>
      </c>
      <c r="L2745" s="12" t="s">
        <v>96</v>
      </c>
      <c r="M2745">
        <v>10.210000000000001</v>
      </c>
      <c r="N2745" s="12" t="s">
        <v>159</v>
      </c>
      <c r="O2745" s="12" t="s">
        <v>160</v>
      </c>
      <c r="P2745" s="12" t="s">
        <v>137</v>
      </c>
      <c r="Q2745" s="13">
        <v>45440</v>
      </c>
      <c r="R2745" s="13">
        <v>45465</v>
      </c>
      <c r="S2745">
        <v>2024</v>
      </c>
      <c r="T2745" s="12" t="s">
        <v>3413</v>
      </c>
      <c r="U2745">
        <v>113</v>
      </c>
      <c r="V2745">
        <v>104.06310000000001</v>
      </c>
      <c r="W2745">
        <v>170.39</v>
      </c>
      <c r="X2745">
        <v>355.02</v>
      </c>
      <c r="Y2745">
        <v>1</v>
      </c>
      <c r="Z2745">
        <v>11759.13</v>
      </c>
      <c r="AA2745">
        <v>12284.54</v>
      </c>
      <c r="AB2745" s="12" t="s">
        <v>3615</v>
      </c>
      <c r="AC2745">
        <v>100.0123</v>
      </c>
      <c r="AD2745">
        <v>1</v>
      </c>
      <c r="AE2745">
        <v>1</v>
      </c>
      <c r="AF2745">
        <v>457.74</v>
      </c>
      <c r="AG2745">
        <v>11301.39</v>
      </c>
      <c r="AH2745">
        <v>113</v>
      </c>
      <c r="AI2745">
        <v>112</v>
      </c>
      <c r="AJ2745">
        <v>1</v>
      </c>
      <c r="AK2745">
        <v>1</v>
      </c>
      <c r="AL2745">
        <v>1</v>
      </c>
      <c r="AM2745">
        <v>99.12</v>
      </c>
      <c r="AN2745">
        <v>109.68340000000001</v>
      </c>
      <c r="AO2745">
        <v>104.06</v>
      </c>
      <c r="AP2745" s="13">
        <v>45465</v>
      </c>
      <c r="AQ2745">
        <v>0</v>
      </c>
      <c r="AR2745">
        <v>1</v>
      </c>
    </row>
    <row r="2746" spans="1:44" x14ac:dyDescent="0.35">
      <c r="A2746" s="12" t="s">
        <v>3616</v>
      </c>
      <c r="B2746" s="12" t="s">
        <v>792</v>
      </c>
      <c r="C2746" s="12" t="s">
        <v>793</v>
      </c>
      <c r="D2746" s="12" t="s">
        <v>103</v>
      </c>
      <c r="E2746" s="12" t="s">
        <v>65</v>
      </c>
      <c r="F2746">
        <v>2</v>
      </c>
      <c r="G2746">
        <v>3</v>
      </c>
      <c r="H2746">
        <v>0</v>
      </c>
      <c r="I2746" s="12" t="s">
        <v>115</v>
      </c>
      <c r="J2746" s="12" t="s">
        <v>116</v>
      </c>
      <c r="K2746" s="12" t="s">
        <v>117</v>
      </c>
      <c r="L2746" s="12" t="s">
        <v>82</v>
      </c>
      <c r="M2746">
        <v>17.170000000000002</v>
      </c>
      <c r="N2746" s="12" t="s">
        <v>145</v>
      </c>
      <c r="O2746" s="12" t="s">
        <v>146</v>
      </c>
      <c r="P2746" s="12" t="s">
        <v>109</v>
      </c>
      <c r="Q2746" s="13">
        <v>45440</v>
      </c>
      <c r="R2746" s="13">
        <v>45462</v>
      </c>
      <c r="S2746">
        <v>2024</v>
      </c>
      <c r="T2746" s="12" t="s">
        <v>3413</v>
      </c>
      <c r="U2746">
        <v>19</v>
      </c>
      <c r="V2746">
        <v>98.330600000000004</v>
      </c>
      <c r="W2746">
        <v>24.96</v>
      </c>
      <c r="X2746">
        <v>0</v>
      </c>
      <c r="Y2746">
        <v>0</v>
      </c>
      <c r="Z2746">
        <v>1868.28</v>
      </c>
      <c r="AA2746">
        <v>1893.24</v>
      </c>
      <c r="AB2746" s="12" t="s">
        <v>3411</v>
      </c>
      <c r="AC2746">
        <v>98.330600000000004</v>
      </c>
      <c r="AD2746">
        <v>1</v>
      </c>
      <c r="AE2746">
        <v>1</v>
      </c>
      <c r="AF2746">
        <v>0</v>
      </c>
      <c r="AG2746">
        <v>1868.28</v>
      </c>
      <c r="AH2746">
        <v>19</v>
      </c>
      <c r="AI2746">
        <v>19</v>
      </c>
      <c r="AJ2746">
        <v>0</v>
      </c>
      <c r="AK2746">
        <v>1</v>
      </c>
      <c r="AL2746">
        <v>1</v>
      </c>
      <c r="AM2746">
        <v>100</v>
      </c>
      <c r="AN2746">
        <v>99.644300000000001</v>
      </c>
      <c r="AO2746">
        <v>0</v>
      </c>
      <c r="AP2746" s="13">
        <v>45460</v>
      </c>
      <c r="AQ2746">
        <v>-2</v>
      </c>
      <c r="AR2746">
        <v>1</v>
      </c>
    </row>
    <row r="2747" spans="1:44" x14ac:dyDescent="0.35">
      <c r="A2747" s="12" t="s">
        <v>3617</v>
      </c>
      <c r="B2747" s="12" t="s">
        <v>327</v>
      </c>
      <c r="C2747" s="12" t="s">
        <v>328</v>
      </c>
      <c r="D2747" s="12" t="s">
        <v>130</v>
      </c>
      <c r="E2747" s="12" t="s">
        <v>104</v>
      </c>
      <c r="F2747">
        <v>2</v>
      </c>
      <c r="G2747">
        <v>0</v>
      </c>
      <c r="H2747">
        <v>0</v>
      </c>
      <c r="I2747" s="12" t="s">
        <v>94</v>
      </c>
      <c r="J2747" s="12" t="s">
        <v>95</v>
      </c>
      <c r="K2747" s="12" t="s">
        <v>81</v>
      </c>
      <c r="L2747" s="12" t="s">
        <v>96</v>
      </c>
      <c r="M2747">
        <v>4.8099999999999996</v>
      </c>
      <c r="N2747" s="12" t="s">
        <v>159</v>
      </c>
      <c r="O2747" s="12" t="s">
        <v>160</v>
      </c>
      <c r="P2747" s="12" t="s">
        <v>137</v>
      </c>
      <c r="Q2747" s="13">
        <v>45441</v>
      </c>
      <c r="R2747" s="13">
        <v>45462</v>
      </c>
      <c r="S2747">
        <v>2024</v>
      </c>
      <c r="T2747" s="12" t="s">
        <v>3413</v>
      </c>
      <c r="U2747">
        <v>85</v>
      </c>
      <c r="V2747">
        <v>697.23929999999996</v>
      </c>
      <c r="W2747">
        <v>475.12</v>
      </c>
      <c r="X2747">
        <v>0</v>
      </c>
      <c r="Y2747">
        <v>0</v>
      </c>
      <c r="Z2747">
        <v>59265.34</v>
      </c>
      <c r="AA2747">
        <v>59740.46</v>
      </c>
      <c r="AB2747" s="12" t="s">
        <v>3016</v>
      </c>
      <c r="AC2747">
        <v>697.23929999999996</v>
      </c>
      <c r="AD2747">
        <v>1</v>
      </c>
      <c r="AE2747">
        <v>1</v>
      </c>
      <c r="AF2747">
        <v>0</v>
      </c>
      <c r="AG2747">
        <v>59265.34</v>
      </c>
      <c r="AH2747">
        <v>85</v>
      </c>
      <c r="AI2747">
        <v>84</v>
      </c>
      <c r="AJ2747">
        <v>1</v>
      </c>
      <c r="AK2747">
        <v>1</v>
      </c>
      <c r="AL2747">
        <v>1</v>
      </c>
      <c r="AM2747">
        <v>98.82</v>
      </c>
      <c r="AN2747">
        <v>711.19600000000003</v>
      </c>
      <c r="AO2747">
        <v>697.24</v>
      </c>
      <c r="AP2747" s="13">
        <v>45459</v>
      </c>
      <c r="AQ2747">
        <v>-3</v>
      </c>
      <c r="AR2747">
        <v>1</v>
      </c>
    </row>
    <row r="2748" spans="1:44" x14ac:dyDescent="0.35">
      <c r="A2748" s="12" t="s">
        <v>3618</v>
      </c>
      <c r="B2748" s="12" t="s">
        <v>503</v>
      </c>
      <c r="C2748" s="12" t="s">
        <v>504</v>
      </c>
      <c r="D2748" s="12" t="s">
        <v>103</v>
      </c>
      <c r="E2748" s="12" t="s">
        <v>104</v>
      </c>
      <c r="F2748">
        <v>3</v>
      </c>
      <c r="G2748">
        <v>1</v>
      </c>
      <c r="H2748">
        <v>0</v>
      </c>
      <c r="I2748" s="12" t="s">
        <v>209</v>
      </c>
      <c r="J2748" s="12" t="s">
        <v>210</v>
      </c>
      <c r="K2748" s="12" t="s">
        <v>133</v>
      </c>
      <c r="L2748" s="12" t="s">
        <v>96</v>
      </c>
      <c r="M2748">
        <v>7.82</v>
      </c>
      <c r="N2748" s="12" t="s">
        <v>107</v>
      </c>
      <c r="O2748" s="12" t="s">
        <v>108</v>
      </c>
      <c r="P2748" s="12" t="s">
        <v>109</v>
      </c>
      <c r="Q2748" s="13">
        <v>45441</v>
      </c>
      <c r="R2748" s="13">
        <v>45463</v>
      </c>
      <c r="S2748">
        <v>2024</v>
      </c>
      <c r="T2748" s="12" t="s">
        <v>3413</v>
      </c>
      <c r="U2748">
        <v>93</v>
      </c>
      <c r="V2748">
        <v>156.6559</v>
      </c>
      <c r="W2748">
        <v>351.87</v>
      </c>
      <c r="X2748">
        <v>0</v>
      </c>
      <c r="Y2748">
        <v>0</v>
      </c>
      <c r="Z2748">
        <v>14569</v>
      </c>
      <c r="AA2748">
        <v>14920.87</v>
      </c>
      <c r="AB2748" s="12" t="s">
        <v>3083</v>
      </c>
      <c r="AC2748">
        <v>156.6559</v>
      </c>
      <c r="AD2748">
        <v>1</v>
      </c>
      <c r="AE2748">
        <v>1</v>
      </c>
      <c r="AF2748">
        <v>0</v>
      </c>
      <c r="AG2748">
        <v>14569</v>
      </c>
      <c r="AH2748">
        <v>93</v>
      </c>
      <c r="AI2748">
        <v>92</v>
      </c>
      <c r="AJ2748">
        <v>1</v>
      </c>
      <c r="AK2748">
        <v>1</v>
      </c>
      <c r="AL2748">
        <v>1</v>
      </c>
      <c r="AM2748">
        <v>98.92</v>
      </c>
      <c r="AN2748">
        <v>162.18340000000001</v>
      </c>
      <c r="AO2748">
        <v>156.66</v>
      </c>
      <c r="AP2748" s="13">
        <v>45463</v>
      </c>
      <c r="AQ2748">
        <v>0</v>
      </c>
      <c r="AR2748">
        <v>1</v>
      </c>
    </row>
    <row r="2749" spans="1:44" x14ac:dyDescent="0.35">
      <c r="A2749" s="12" t="s">
        <v>3619</v>
      </c>
      <c r="B2749" s="12" t="s">
        <v>598</v>
      </c>
      <c r="C2749" s="12" t="s">
        <v>599</v>
      </c>
      <c r="D2749" s="12" t="s">
        <v>269</v>
      </c>
      <c r="E2749" s="12" t="s">
        <v>65</v>
      </c>
      <c r="F2749">
        <v>1</v>
      </c>
      <c r="G2749">
        <v>2</v>
      </c>
      <c r="H2749">
        <v>1</v>
      </c>
      <c r="I2749" s="12" t="s">
        <v>176</v>
      </c>
      <c r="J2749" s="12" t="s">
        <v>177</v>
      </c>
      <c r="K2749" s="12" t="s">
        <v>125</v>
      </c>
      <c r="L2749" s="12" t="s">
        <v>134</v>
      </c>
      <c r="M2749">
        <v>1.75</v>
      </c>
      <c r="N2749" s="12" t="s">
        <v>159</v>
      </c>
      <c r="O2749" s="12" t="s">
        <v>160</v>
      </c>
      <c r="P2749" s="12" t="s">
        <v>137</v>
      </c>
      <c r="Q2749" s="13">
        <v>45441</v>
      </c>
      <c r="R2749" s="13">
        <v>45463</v>
      </c>
      <c r="S2749">
        <v>2024</v>
      </c>
      <c r="T2749" s="12" t="s">
        <v>3413</v>
      </c>
      <c r="U2749">
        <v>18</v>
      </c>
      <c r="V2749">
        <v>478.81459999999998</v>
      </c>
      <c r="W2749">
        <v>197.58</v>
      </c>
      <c r="X2749">
        <v>0</v>
      </c>
      <c r="Y2749">
        <v>0</v>
      </c>
      <c r="Z2749">
        <v>8618.66</v>
      </c>
      <c r="AA2749">
        <v>8816.24</v>
      </c>
      <c r="AB2749" s="12" t="s">
        <v>3102</v>
      </c>
      <c r="AC2749">
        <v>454.53089999999997</v>
      </c>
      <c r="AD2749">
        <v>1</v>
      </c>
      <c r="AE2749">
        <v>1</v>
      </c>
      <c r="AF2749">
        <v>437.11</v>
      </c>
      <c r="AG2749">
        <v>8181.56</v>
      </c>
      <c r="AH2749">
        <v>18</v>
      </c>
      <c r="AI2749">
        <v>18</v>
      </c>
      <c r="AJ2749">
        <v>0</v>
      </c>
      <c r="AK2749">
        <v>1</v>
      </c>
      <c r="AL2749">
        <v>1</v>
      </c>
      <c r="AM2749">
        <v>100</v>
      </c>
      <c r="AN2749">
        <v>489.79129999999998</v>
      </c>
      <c r="AO2749">
        <v>0</v>
      </c>
      <c r="AP2749" s="13">
        <v>45463</v>
      </c>
      <c r="AQ2749">
        <v>0</v>
      </c>
      <c r="AR2749">
        <v>1</v>
      </c>
    </row>
    <row r="2750" spans="1:44" x14ac:dyDescent="0.35">
      <c r="A2750" s="12" t="s">
        <v>3620</v>
      </c>
      <c r="B2750" s="12" t="s">
        <v>155</v>
      </c>
      <c r="C2750" s="12" t="s">
        <v>156</v>
      </c>
      <c r="D2750" s="12" t="s">
        <v>130</v>
      </c>
      <c r="E2750" s="12" t="s">
        <v>104</v>
      </c>
      <c r="F2750">
        <v>3</v>
      </c>
      <c r="G2750">
        <v>1</v>
      </c>
      <c r="H2750">
        <v>0</v>
      </c>
      <c r="I2750" s="12" t="s">
        <v>157</v>
      </c>
      <c r="J2750" s="12" t="s">
        <v>158</v>
      </c>
      <c r="K2750" s="12" t="s">
        <v>117</v>
      </c>
      <c r="L2750" s="12" t="s">
        <v>96</v>
      </c>
      <c r="M2750">
        <v>4.72</v>
      </c>
      <c r="N2750" s="12" t="s">
        <v>159</v>
      </c>
      <c r="O2750" s="12" t="s">
        <v>160</v>
      </c>
      <c r="P2750" s="12" t="s">
        <v>137</v>
      </c>
      <c r="Q2750" s="13">
        <v>45441</v>
      </c>
      <c r="R2750" s="13">
        <v>45461</v>
      </c>
      <c r="S2750">
        <v>2024</v>
      </c>
      <c r="T2750" s="12" t="s">
        <v>3413</v>
      </c>
      <c r="U2750">
        <v>79</v>
      </c>
      <c r="V2750">
        <v>210.16659999999999</v>
      </c>
      <c r="W2750">
        <v>251.22</v>
      </c>
      <c r="X2750">
        <v>0</v>
      </c>
      <c r="Y2750">
        <v>0</v>
      </c>
      <c r="Z2750">
        <v>16603.16</v>
      </c>
      <c r="AA2750">
        <v>16854.38</v>
      </c>
      <c r="AB2750" s="12" t="s">
        <v>201</v>
      </c>
      <c r="AD2750">
        <v>0</v>
      </c>
      <c r="AE2750">
        <v>0</v>
      </c>
      <c r="AH2750">
        <v>79</v>
      </c>
      <c r="AI2750">
        <v>78</v>
      </c>
      <c r="AJ2750">
        <v>1</v>
      </c>
      <c r="AK2750">
        <v>1</v>
      </c>
      <c r="AL2750">
        <v>1</v>
      </c>
      <c r="AM2750">
        <v>98.73</v>
      </c>
      <c r="AN2750">
        <v>216.08179999999999</v>
      </c>
      <c r="AO2750">
        <v>210.17</v>
      </c>
      <c r="AP2750" s="13">
        <v>45461</v>
      </c>
      <c r="AQ2750">
        <v>0</v>
      </c>
      <c r="AR2750">
        <v>1</v>
      </c>
    </row>
    <row r="2751" spans="1:44" x14ac:dyDescent="0.35">
      <c r="A2751" s="12" t="s">
        <v>3621</v>
      </c>
      <c r="B2751" s="12" t="s">
        <v>809</v>
      </c>
      <c r="C2751" s="12" t="s">
        <v>810</v>
      </c>
      <c r="D2751" s="12" t="s">
        <v>114</v>
      </c>
      <c r="E2751" s="12" t="s">
        <v>65</v>
      </c>
      <c r="F2751">
        <v>3</v>
      </c>
      <c r="G2751">
        <v>5</v>
      </c>
      <c r="H2751">
        <v>0</v>
      </c>
      <c r="I2751" s="12" t="s">
        <v>804</v>
      </c>
      <c r="J2751" s="12" t="s">
        <v>342</v>
      </c>
      <c r="K2751" s="12" t="s">
        <v>117</v>
      </c>
      <c r="L2751" s="12" t="s">
        <v>69</v>
      </c>
      <c r="M2751">
        <v>30.07</v>
      </c>
      <c r="N2751" s="12" t="s">
        <v>70</v>
      </c>
      <c r="O2751" s="12" t="s">
        <v>71</v>
      </c>
      <c r="P2751" s="12" t="s">
        <v>72</v>
      </c>
      <c r="Q2751" s="13">
        <v>45441</v>
      </c>
      <c r="R2751" s="13">
        <v>45469</v>
      </c>
      <c r="S2751">
        <v>2024</v>
      </c>
      <c r="T2751" s="12" t="s">
        <v>3413</v>
      </c>
      <c r="U2751">
        <v>68</v>
      </c>
      <c r="V2751">
        <v>312.78919999999999</v>
      </c>
      <c r="W2751">
        <v>304.3</v>
      </c>
      <c r="X2751">
        <v>0</v>
      </c>
      <c r="Y2751">
        <v>0</v>
      </c>
      <c r="Z2751">
        <v>21269.67</v>
      </c>
      <c r="AA2751">
        <v>21573.97</v>
      </c>
      <c r="AB2751" s="12" t="s">
        <v>3416</v>
      </c>
      <c r="AC2751">
        <v>312.78919999999999</v>
      </c>
      <c r="AD2751">
        <v>1</v>
      </c>
      <c r="AE2751">
        <v>1</v>
      </c>
      <c r="AF2751">
        <v>0</v>
      </c>
      <c r="AG2751">
        <v>21269.67</v>
      </c>
      <c r="AH2751">
        <v>68</v>
      </c>
      <c r="AI2751">
        <v>68</v>
      </c>
      <c r="AJ2751">
        <v>0</v>
      </c>
      <c r="AK2751">
        <v>1</v>
      </c>
      <c r="AL2751">
        <v>1</v>
      </c>
      <c r="AM2751">
        <v>100</v>
      </c>
      <c r="AN2751">
        <v>317.26420000000002</v>
      </c>
      <c r="AO2751">
        <v>0</v>
      </c>
      <c r="AP2751" s="13">
        <v>45468</v>
      </c>
      <c r="AQ2751">
        <v>-1</v>
      </c>
      <c r="AR2751">
        <v>1</v>
      </c>
    </row>
    <row r="2752" spans="1:44" x14ac:dyDescent="0.35">
      <c r="A2752" s="12" t="s">
        <v>3622</v>
      </c>
      <c r="B2752" s="12" t="s">
        <v>339</v>
      </c>
      <c r="C2752" s="12" t="s">
        <v>340</v>
      </c>
      <c r="D2752" s="12" t="s">
        <v>103</v>
      </c>
      <c r="E2752" s="12" t="s">
        <v>142</v>
      </c>
      <c r="F2752">
        <v>2</v>
      </c>
      <c r="G2752">
        <v>9</v>
      </c>
      <c r="H2752">
        <v>0</v>
      </c>
      <c r="I2752" s="12" t="s">
        <v>341</v>
      </c>
      <c r="J2752" s="12" t="s">
        <v>342</v>
      </c>
      <c r="K2752" s="12" t="s">
        <v>117</v>
      </c>
      <c r="L2752" s="12" t="s">
        <v>82</v>
      </c>
      <c r="M2752">
        <v>18.36</v>
      </c>
      <c r="N2752" s="12" t="s">
        <v>145</v>
      </c>
      <c r="O2752" s="12" t="s">
        <v>146</v>
      </c>
      <c r="P2752" s="12" t="s">
        <v>109</v>
      </c>
      <c r="Q2752" s="13">
        <v>45441</v>
      </c>
      <c r="R2752" s="13">
        <v>45481</v>
      </c>
      <c r="S2752">
        <v>2024</v>
      </c>
      <c r="T2752" s="12" t="s">
        <v>3413</v>
      </c>
      <c r="U2752">
        <v>49</v>
      </c>
      <c r="V2752">
        <v>243.0204</v>
      </c>
      <c r="W2752">
        <v>206.32</v>
      </c>
      <c r="X2752">
        <v>0</v>
      </c>
      <c r="Y2752">
        <v>0</v>
      </c>
      <c r="Z2752">
        <v>11908</v>
      </c>
      <c r="AA2752">
        <v>12114.32</v>
      </c>
      <c r="AB2752" s="12" t="s">
        <v>2954</v>
      </c>
      <c r="AC2752">
        <v>243.0204</v>
      </c>
      <c r="AD2752">
        <v>1</v>
      </c>
      <c r="AE2752">
        <v>1</v>
      </c>
      <c r="AF2752">
        <v>0</v>
      </c>
      <c r="AG2752">
        <v>11908</v>
      </c>
      <c r="AH2752">
        <v>49</v>
      </c>
      <c r="AI2752">
        <v>48</v>
      </c>
      <c r="AJ2752">
        <v>1</v>
      </c>
      <c r="AK2752">
        <v>1</v>
      </c>
      <c r="AL2752">
        <v>1</v>
      </c>
      <c r="AM2752">
        <v>97.96</v>
      </c>
      <c r="AN2752">
        <v>252.3817</v>
      </c>
      <c r="AO2752">
        <v>243.02</v>
      </c>
      <c r="AP2752" s="13">
        <v>45478</v>
      </c>
      <c r="AQ2752">
        <v>-3</v>
      </c>
      <c r="AR2752">
        <v>1</v>
      </c>
    </row>
    <row r="2753" spans="1:44" x14ac:dyDescent="0.35">
      <c r="A2753" s="12" t="s">
        <v>3623</v>
      </c>
      <c r="B2753" s="12" t="s">
        <v>773</v>
      </c>
      <c r="C2753" s="12" t="s">
        <v>774</v>
      </c>
      <c r="D2753" s="12" t="s">
        <v>64</v>
      </c>
      <c r="E2753" s="12" t="s">
        <v>142</v>
      </c>
      <c r="F2753">
        <v>1</v>
      </c>
      <c r="G2753">
        <v>7</v>
      </c>
      <c r="H2753">
        <v>1</v>
      </c>
      <c r="I2753" s="12" t="s">
        <v>251</v>
      </c>
      <c r="J2753" s="12" t="s">
        <v>252</v>
      </c>
      <c r="K2753" s="12" t="s">
        <v>133</v>
      </c>
      <c r="L2753" s="12" t="s">
        <v>69</v>
      </c>
      <c r="M2753">
        <v>34.49</v>
      </c>
      <c r="N2753" s="12" t="s">
        <v>70</v>
      </c>
      <c r="O2753" s="12" t="s">
        <v>71</v>
      </c>
      <c r="P2753" s="12" t="s">
        <v>72</v>
      </c>
      <c r="Q2753" s="13">
        <v>45441</v>
      </c>
      <c r="R2753" s="13">
        <v>45489</v>
      </c>
      <c r="S2753">
        <v>2024</v>
      </c>
      <c r="T2753" s="12" t="s">
        <v>3413</v>
      </c>
      <c r="U2753">
        <v>754</v>
      </c>
      <c r="V2753">
        <v>10.022600000000001</v>
      </c>
      <c r="W2753">
        <v>185.5</v>
      </c>
      <c r="X2753">
        <v>0</v>
      </c>
      <c r="Y2753">
        <v>0</v>
      </c>
      <c r="Z2753">
        <v>7557.04</v>
      </c>
      <c r="AA2753">
        <v>7742.54</v>
      </c>
      <c r="AB2753" s="12" t="s">
        <v>3354</v>
      </c>
      <c r="AC2753">
        <v>10.022600000000001</v>
      </c>
      <c r="AD2753">
        <v>1</v>
      </c>
      <c r="AE2753">
        <v>1</v>
      </c>
      <c r="AF2753">
        <v>0</v>
      </c>
      <c r="AG2753">
        <v>7557.04</v>
      </c>
      <c r="AH2753">
        <v>754</v>
      </c>
      <c r="AI2753">
        <v>747</v>
      </c>
      <c r="AJ2753">
        <v>7</v>
      </c>
      <c r="AK2753">
        <v>1</v>
      </c>
      <c r="AL2753">
        <v>1</v>
      </c>
      <c r="AM2753">
        <v>99.07</v>
      </c>
      <c r="AN2753">
        <v>10.364800000000001</v>
      </c>
      <c r="AO2753">
        <v>70.16</v>
      </c>
      <c r="AP2753" s="13">
        <v>45491</v>
      </c>
      <c r="AQ2753">
        <v>2</v>
      </c>
      <c r="AR2753">
        <v>0</v>
      </c>
    </row>
    <row r="2754" spans="1:44" x14ac:dyDescent="0.35">
      <c r="A2754" s="12" t="s">
        <v>3624</v>
      </c>
      <c r="B2754" s="12" t="s">
        <v>952</v>
      </c>
      <c r="C2754" s="12" t="s">
        <v>953</v>
      </c>
      <c r="D2754" s="12" t="s">
        <v>64</v>
      </c>
      <c r="E2754" s="12" t="s">
        <v>142</v>
      </c>
      <c r="F2754">
        <v>1</v>
      </c>
      <c r="G2754">
        <v>8</v>
      </c>
      <c r="H2754">
        <v>1</v>
      </c>
      <c r="I2754" s="12" t="s">
        <v>131</v>
      </c>
      <c r="J2754" s="12" t="s">
        <v>132</v>
      </c>
      <c r="K2754" s="12" t="s">
        <v>133</v>
      </c>
      <c r="L2754" s="12" t="s">
        <v>134</v>
      </c>
      <c r="M2754">
        <v>1.51</v>
      </c>
      <c r="N2754" s="12" t="s">
        <v>97</v>
      </c>
      <c r="O2754" s="12" t="s">
        <v>98</v>
      </c>
      <c r="P2754" s="12" t="s">
        <v>72</v>
      </c>
      <c r="Q2754" s="13">
        <v>45441</v>
      </c>
      <c r="R2754" s="13">
        <v>45491</v>
      </c>
      <c r="S2754">
        <v>2024</v>
      </c>
      <c r="T2754" s="12" t="s">
        <v>3413</v>
      </c>
      <c r="U2754">
        <v>883</v>
      </c>
      <c r="V2754">
        <v>31.110399999999998</v>
      </c>
      <c r="W2754">
        <v>259.31</v>
      </c>
      <c r="X2754">
        <v>0</v>
      </c>
      <c r="Y2754">
        <v>0</v>
      </c>
      <c r="Z2754">
        <v>27470.48</v>
      </c>
      <c r="AA2754">
        <v>27729.79</v>
      </c>
      <c r="AB2754" s="12" t="s">
        <v>3261</v>
      </c>
      <c r="AC2754">
        <v>31.110399999999998</v>
      </c>
      <c r="AD2754">
        <v>1</v>
      </c>
      <c r="AE2754">
        <v>1</v>
      </c>
      <c r="AF2754">
        <v>0</v>
      </c>
      <c r="AG2754">
        <v>27470.48</v>
      </c>
      <c r="AH2754">
        <v>883</v>
      </c>
      <c r="AI2754">
        <v>871</v>
      </c>
      <c r="AJ2754">
        <v>12</v>
      </c>
      <c r="AK2754">
        <v>1</v>
      </c>
      <c r="AL2754">
        <v>1</v>
      </c>
      <c r="AM2754">
        <v>98.64</v>
      </c>
      <c r="AN2754">
        <v>31.8367</v>
      </c>
      <c r="AO2754">
        <v>373.32</v>
      </c>
      <c r="AP2754" s="13">
        <v>45496</v>
      </c>
      <c r="AQ2754">
        <v>5</v>
      </c>
      <c r="AR2754">
        <v>0</v>
      </c>
    </row>
    <row r="2755" spans="1:44" x14ac:dyDescent="0.35">
      <c r="A2755" s="12" t="s">
        <v>3625</v>
      </c>
      <c r="B2755" s="12" t="s">
        <v>732</v>
      </c>
      <c r="C2755" s="12" t="s">
        <v>733</v>
      </c>
      <c r="D2755" s="12" t="s">
        <v>114</v>
      </c>
      <c r="E2755" s="12" t="s">
        <v>104</v>
      </c>
      <c r="F2755">
        <v>3</v>
      </c>
      <c r="G2755">
        <v>1</v>
      </c>
      <c r="H2755">
        <v>0</v>
      </c>
      <c r="I2755" s="12" t="s">
        <v>199</v>
      </c>
      <c r="J2755" s="12" t="s">
        <v>200</v>
      </c>
      <c r="K2755" s="12" t="s">
        <v>68</v>
      </c>
      <c r="L2755" s="12" t="s">
        <v>96</v>
      </c>
      <c r="M2755">
        <v>9.4700000000000006</v>
      </c>
      <c r="N2755" s="12" t="s">
        <v>70</v>
      </c>
      <c r="O2755" s="12" t="s">
        <v>71</v>
      </c>
      <c r="P2755" s="12" t="s">
        <v>72</v>
      </c>
      <c r="Q2755" s="13">
        <v>45441</v>
      </c>
      <c r="R2755" s="13">
        <v>45470</v>
      </c>
      <c r="S2755">
        <v>2024</v>
      </c>
      <c r="T2755" s="12" t="s">
        <v>3413</v>
      </c>
      <c r="U2755">
        <v>145</v>
      </c>
      <c r="V2755">
        <v>304.28100000000001</v>
      </c>
      <c r="W2755">
        <v>1105.23</v>
      </c>
      <c r="X2755">
        <v>0</v>
      </c>
      <c r="Y2755">
        <v>0</v>
      </c>
      <c r="Z2755">
        <v>44120.75</v>
      </c>
      <c r="AA2755">
        <v>45225.98</v>
      </c>
      <c r="AB2755" s="12" t="s">
        <v>3295</v>
      </c>
      <c r="AC2755">
        <v>304.28100000000001</v>
      </c>
      <c r="AD2755">
        <v>1</v>
      </c>
      <c r="AE2755">
        <v>1</v>
      </c>
      <c r="AF2755">
        <v>0</v>
      </c>
      <c r="AG2755">
        <v>44120.75</v>
      </c>
      <c r="AH2755">
        <v>145</v>
      </c>
      <c r="AI2755">
        <v>142</v>
      </c>
      <c r="AJ2755">
        <v>3</v>
      </c>
      <c r="AK2755">
        <v>1</v>
      </c>
      <c r="AL2755">
        <v>1</v>
      </c>
      <c r="AM2755">
        <v>97.93</v>
      </c>
      <c r="AN2755">
        <v>318.49279999999999</v>
      </c>
      <c r="AO2755">
        <v>912.84</v>
      </c>
      <c r="AP2755" s="13">
        <v>45468</v>
      </c>
      <c r="AQ2755">
        <v>-2</v>
      </c>
      <c r="AR2755">
        <v>1</v>
      </c>
    </row>
    <row r="2756" spans="1:44" x14ac:dyDescent="0.35">
      <c r="A2756" s="12" t="s">
        <v>3626</v>
      </c>
      <c r="B2756" s="12" t="s">
        <v>323</v>
      </c>
      <c r="C2756" s="12" t="s">
        <v>324</v>
      </c>
      <c r="D2756" s="12" t="s">
        <v>64</v>
      </c>
      <c r="E2756" s="12" t="s">
        <v>142</v>
      </c>
      <c r="F2756">
        <v>1</v>
      </c>
      <c r="G2756">
        <v>7</v>
      </c>
      <c r="H2756">
        <v>1</v>
      </c>
      <c r="I2756" s="12" t="s">
        <v>143</v>
      </c>
      <c r="J2756" s="12" t="s">
        <v>144</v>
      </c>
      <c r="K2756" s="12" t="s">
        <v>133</v>
      </c>
      <c r="L2756" s="12" t="s">
        <v>96</v>
      </c>
      <c r="M2756">
        <v>5.43</v>
      </c>
      <c r="N2756" s="12" t="s">
        <v>70</v>
      </c>
      <c r="O2756" s="12" t="s">
        <v>71</v>
      </c>
      <c r="P2756" s="12" t="s">
        <v>72</v>
      </c>
      <c r="Q2756" s="13">
        <v>45441</v>
      </c>
      <c r="R2756" s="13">
        <v>45490</v>
      </c>
      <c r="S2756">
        <v>2024</v>
      </c>
      <c r="T2756" s="12" t="s">
        <v>3413</v>
      </c>
      <c r="U2756">
        <v>810</v>
      </c>
      <c r="V2756">
        <v>39.364800000000002</v>
      </c>
      <c r="W2756">
        <v>644.4</v>
      </c>
      <c r="X2756">
        <v>0</v>
      </c>
      <c r="Y2756">
        <v>0</v>
      </c>
      <c r="Z2756">
        <v>31885.49</v>
      </c>
      <c r="AA2756">
        <v>32529.89</v>
      </c>
      <c r="AB2756" s="12" t="s">
        <v>2828</v>
      </c>
      <c r="AC2756">
        <v>39.364800000000002</v>
      </c>
      <c r="AD2756">
        <v>1</v>
      </c>
      <c r="AE2756">
        <v>1</v>
      </c>
      <c r="AF2756">
        <v>0</v>
      </c>
      <c r="AG2756">
        <v>31885.49</v>
      </c>
      <c r="AH2756">
        <v>810</v>
      </c>
      <c r="AI2756">
        <v>803</v>
      </c>
      <c r="AJ2756">
        <v>7</v>
      </c>
      <c r="AK2756">
        <v>1</v>
      </c>
      <c r="AL2756">
        <v>1</v>
      </c>
      <c r="AM2756">
        <v>99.14</v>
      </c>
      <c r="AN2756">
        <v>40.510399999999997</v>
      </c>
      <c r="AO2756">
        <v>275.55</v>
      </c>
      <c r="AP2756" s="13">
        <v>45490</v>
      </c>
      <c r="AQ2756">
        <v>0</v>
      </c>
      <c r="AR2756">
        <v>1</v>
      </c>
    </row>
    <row r="2757" spans="1:44" x14ac:dyDescent="0.35">
      <c r="A2757" s="12" t="s">
        <v>3627</v>
      </c>
      <c r="B2757" s="12" t="s">
        <v>561</v>
      </c>
      <c r="C2757" s="12" t="s">
        <v>562</v>
      </c>
      <c r="D2757" s="12" t="s">
        <v>130</v>
      </c>
      <c r="E2757" s="12" t="s">
        <v>142</v>
      </c>
      <c r="F2757">
        <v>1</v>
      </c>
      <c r="G2757">
        <v>9</v>
      </c>
      <c r="H2757">
        <v>1</v>
      </c>
      <c r="I2757" s="12" t="s">
        <v>223</v>
      </c>
      <c r="J2757" s="12" t="s">
        <v>224</v>
      </c>
      <c r="K2757" s="12" t="s">
        <v>81</v>
      </c>
      <c r="L2757" s="12" t="s">
        <v>134</v>
      </c>
      <c r="M2757">
        <v>2.4900000000000002</v>
      </c>
      <c r="N2757" s="12" t="s">
        <v>135</v>
      </c>
      <c r="O2757" s="12" t="s">
        <v>136</v>
      </c>
      <c r="P2757" s="12" t="s">
        <v>137</v>
      </c>
      <c r="Q2757" s="13">
        <v>45441</v>
      </c>
      <c r="R2757" s="13">
        <v>45484</v>
      </c>
      <c r="S2757">
        <v>2024</v>
      </c>
      <c r="T2757" s="12" t="s">
        <v>3413</v>
      </c>
      <c r="U2757">
        <v>72</v>
      </c>
      <c r="V2757">
        <v>590.59090000000003</v>
      </c>
      <c r="W2757">
        <v>476.4</v>
      </c>
      <c r="X2757">
        <v>0</v>
      </c>
      <c r="Y2757">
        <v>0</v>
      </c>
      <c r="Z2757">
        <v>42522.54</v>
      </c>
      <c r="AA2757">
        <v>42998.94</v>
      </c>
      <c r="AB2757" s="12" t="s">
        <v>201</v>
      </c>
      <c r="AD2757">
        <v>0</v>
      </c>
      <c r="AE2757">
        <v>0</v>
      </c>
      <c r="AH2757">
        <v>72</v>
      </c>
      <c r="AI2757">
        <v>72</v>
      </c>
      <c r="AJ2757">
        <v>0</v>
      </c>
      <c r="AK2757">
        <v>1</v>
      </c>
      <c r="AL2757">
        <v>1</v>
      </c>
      <c r="AM2757">
        <v>100</v>
      </c>
      <c r="AN2757">
        <v>597.20759999999996</v>
      </c>
      <c r="AO2757">
        <v>0</v>
      </c>
      <c r="AP2757" s="13">
        <v>45483</v>
      </c>
      <c r="AQ2757">
        <v>-1</v>
      </c>
      <c r="AR2757">
        <v>1</v>
      </c>
    </row>
    <row r="2758" spans="1:44" x14ac:dyDescent="0.35">
      <c r="A2758" s="12" t="s">
        <v>3628</v>
      </c>
      <c r="B2758" s="12" t="s">
        <v>891</v>
      </c>
      <c r="C2758" s="12" t="s">
        <v>892</v>
      </c>
      <c r="D2758" s="12" t="s">
        <v>122</v>
      </c>
      <c r="E2758" s="12" t="s">
        <v>65</v>
      </c>
      <c r="F2758">
        <v>3</v>
      </c>
      <c r="G2758">
        <v>5</v>
      </c>
      <c r="H2758">
        <v>0</v>
      </c>
      <c r="I2758" s="12" t="s">
        <v>195</v>
      </c>
      <c r="J2758" s="12" t="s">
        <v>196</v>
      </c>
      <c r="K2758" s="12" t="s">
        <v>117</v>
      </c>
      <c r="L2758" s="12" t="s">
        <v>134</v>
      </c>
      <c r="M2758">
        <v>4.7699999999999996</v>
      </c>
      <c r="N2758" s="12" t="s">
        <v>97</v>
      </c>
      <c r="O2758" s="12" t="s">
        <v>98</v>
      </c>
      <c r="P2758" s="12" t="s">
        <v>72</v>
      </c>
      <c r="Q2758" s="13">
        <v>45442</v>
      </c>
      <c r="R2758" s="13">
        <v>45478</v>
      </c>
      <c r="S2758">
        <v>2024</v>
      </c>
      <c r="T2758" s="12" t="s">
        <v>3413</v>
      </c>
      <c r="U2758">
        <v>1729</v>
      </c>
      <c r="V2758">
        <v>37.859200000000001</v>
      </c>
      <c r="W2758">
        <v>1216.21</v>
      </c>
      <c r="X2758">
        <v>0</v>
      </c>
      <c r="Y2758">
        <v>0</v>
      </c>
      <c r="Z2758">
        <v>65458.559999999998</v>
      </c>
      <c r="AA2758">
        <v>66674.77</v>
      </c>
      <c r="AB2758" s="12" t="s">
        <v>3629</v>
      </c>
      <c r="AC2758">
        <v>37.859200000000001</v>
      </c>
      <c r="AD2758">
        <v>1</v>
      </c>
      <c r="AE2758">
        <v>1</v>
      </c>
      <c r="AF2758">
        <v>0</v>
      </c>
      <c r="AG2758">
        <v>65458.559999999998</v>
      </c>
      <c r="AH2758">
        <v>1729</v>
      </c>
      <c r="AI2758">
        <v>1709</v>
      </c>
      <c r="AJ2758">
        <v>20</v>
      </c>
      <c r="AK2758">
        <v>1</v>
      </c>
      <c r="AL2758">
        <v>1</v>
      </c>
      <c r="AM2758">
        <v>98.84</v>
      </c>
      <c r="AN2758">
        <v>39.0139</v>
      </c>
      <c r="AO2758">
        <v>757.18</v>
      </c>
      <c r="AP2758" s="13">
        <v>45476</v>
      </c>
      <c r="AQ2758">
        <v>-2</v>
      </c>
      <c r="AR2758">
        <v>1</v>
      </c>
    </row>
    <row r="2759" spans="1:44" x14ac:dyDescent="0.35">
      <c r="A2759" s="12" t="s">
        <v>3630</v>
      </c>
      <c r="B2759" s="12" t="s">
        <v>1054</v>
      </c>
      <c r="C2759" s="12" t="s">
        <v>1055</v>
      </c>
      <c r="D2759" s="12" t="s">
        <v>122</v>
      </c>
      <c r="E2759" s="12" t="s">
        <v>65</v>
      </c>
      <c r="F2759">
        <v>1</v>
      </c>
      <c r="G2759">
        <v>2</v>
      </c>
      <c r="H2759">
        <v>1</v>
      </c>
      <c r="I2759" s="12" t="s">
        <v>176</v>
      </c>
      <c r="J2759" s="12" t="s">
        <v>177</v>
      </c>
      <c r="K2759" s="12" t="s">
        <v>125</v>
      </c>
      <c r="L2759" s="12" t="s">
        <v>134</v>
      </c>
      <c r="M2759">
        <v>1.75</v>
      </c>
      <c r="N2759" s="12" t="s">
        <v>97</v>
      </c>
      <c r="O2759" s="12" t="s">
        <v>98</v>
      </c>
      <c r="P2759" s="12" t="s">
        <v>72</v>
      </c>
      <c r="Q2759" s="13">
        <v>45442</v>
      </c>
      <c r="R2759" s="13">
        <v>45475</v>
      </c>
      <c r="S2759">
        <v>2024</v>
      </c>
      <c r="T2759" s="12" t="s">
        <v>3413</v>
      </c>
      <c r="U2759">
        <v>1449</v>
      </c>
      <c r="V2759">
        <v>45.850499999999997</v>
      </c>
      <c r="W2759">
        <v>799.68</v>
      </c>
      <c r="X2759">
        <v>0</v>
      </c>
      <c r="Y2759">
        <v>0</v>
      </c>
      <c r="Z2759">
        <v>66437.37</v>
      </c>
      <c r="AA2759">
        <v>67237.05</v>
      </c>
      <c r="AB2759" s="12" t="s">
        <v>3227</v>
      </c>
      <c r="AC2759">
        <v>45.850499999999997</v>
      </c>
      <c r="AD2759">
        <v>1</v>
      </c>
      <c r="AE2759">
        <v>1</v>
      </c>
      <c r="AF2759">
        <v>0</v>
      </c>
      <c r="AG2759">
        <v>66437.37</v>
      </c>
      <c r="AH2759">
        <v>1449</v>
      </c>
      <c r="AI2759">
        <v>1437</v>
      </c>
      <c r="AJ2759">
        <v>12</v>
      </c>
      <c r="AK2759">
        <v>1</v>
      </c>
      <c r="AL2759">
        <v>1</v>
      </c>
      <c r="AM2759">
        <v>99.17</v>
      </c>
      <c r="AN2759">
        <v>46.789900000000003</v>
      </c>
      <c r="AO2759">
        <v>550.21</v>
      </c>
      <c r="AP2759" s="13">
        <v>45482</v>
      </c>
      <c r="AQ2759">
        <v>7</v>
      </c>
      <c r="AR2759">
        <v>0</v>
      </c>
    </row>
    <row r="2760" spans="1:44" x14ac:dyDescent="0.35">
      <c r="A2760" s="12" t="s">
        <v>3631</v>
      </c>
      <c r="B2760" s="12" t="s">
        <v>1666</v>
      </c>
      <c r="C2760" s="12" t="s">
        <v>1667</v>
      </c>
      <c r="D2760" s="12" t="s">
        <v>78</v>
      </c>
      <c r="E2760" s="12" t="s">
        <v>65</v>
      </c>
      <c r="F2760">
        <v>2</v>
      </c>
      <c r="G2760">
        <v>3</v>
      </c>
      <c r="H2760">
        <v>0</v>
      </c>
      <c r="I2760" s="12" t="s">
        <v>310</v>
      </c>
      <c r="J2760" s="12" t="s">
        <v>311</v>
      </c>
      <c r="K2760" s="12" t="s">
        <v>81</v>
      </c>
      <c r="L2760" s="12" t="s">
        <v>69</v>
      </c>
      <c r="M2760">
        <v>28.3</v>
      </c>
      <c r="N2760" s="12" t="s">
        <v>70</v>
      </c>
      <c r="O2760" s="12" t="s">
        <v>71</v>
      </c>
      <c r="P2760" s="12" t="s">
        <v>72</v>
      </c>
      <c r="Q2760" s="13">
        <v>45442</v>
      </c>
      <c r="R2760" s="13">
        <v>45470</v>
      </c>
      <c r="S2760">
        <v>2024</v>
      </c>
      <c r="T2760" s="12" t="s">
        <v>3413</v>
      </c>
      <c r="U2760">
        <v>148</v>
      </c>
      <c r="V2760">
        <v>75.476100000000002</v>
      </c>
      <c r="W2760">
        <v>257.79000000000002</v>
      </c>
      <c r="X2760">
        <v>0</v>
      </c>
      <c r="Y2760">
        <v>0</v>
      </c>
      <c r="Z2760">
        <v>11170.46</v>
      </c>
      <c r="AA2760">
        <v>11428.25</v>
      </c>
      <c r="AB2760" s="12" t="s">
        <v>3090</v>
      </c>
      <c r="AC2760">
        <v>73.412099999999995</v>
      </c>
      <c r="AD2760">
        <v>1</v>
      </c>
      <c r="AE2760">
        <v>1</v>
      </c>
      <c r="AF2760">
        <v>305.47000000000003</v>
      </c>
      <c r="AG2760">
        <v>10864.99</v>
      </c>
      <c r="AH2760">
        <v>148</v>
      </c>
      <c r="AI2760">
        <v>146</v>
      </c>
      <c r="AJ2760">
        <v>2</v>
      </c>
      <c r="AK2760">
        <v>1</v>
      </c>
      <c r="AL2760">
        <v>1</v>
      </c>
      <c r="AM2760">
        <v>98.65</v>
      </c>
      <c r="AN2760">
        <v>78.275700000000001</v>
      </c>
      <c r="AO2760">
        <v>150.94999999999999</v>
      </c>
      <c r="AP2760" s="13">
        <v>45468</v>
      </c>
      <c r="AQ2760">
        <v>-2</v>
      </c>
      <c r="AR2760">
        <v>1</v>
      </c>
    </row>
    <row r="2761" spans="1:44" x14ac:dyDescent="0.35">
      <c r="A2761" s="12" t="s">
        <v>3632</v>
      </c>
      <c r="B2761" s="12" t="s">
        <v>302</v>
      </c>
      <c r="C2761" s="12" t="s">
        <v>303</v>
      </c>
      <c r="D2761" s="12" t="s">
        <v>78</v>
      </c>
      <c r="E2761" s="12" t="s">
        <v>65</v>
      </c>
      <c r="F2761">
        <v>2</v>
      </c>
      <c r="G2761">
        <v>3</v>
      </c>
      <c r="H2761">
        <v>0</v>
      </c>
      <c r="I2761" s="12" t="s">
        <v>243</v>
      </c>
      <c r="J2761" s="12" t="s">
        <v>244</v>
      </c>
      <c r="K2761" s="12" t="s">
        <v>81</v>
      </c>
      <c r="L2761" s="12" t="s">
        <v>82</v>
      </c>
      <c r="M2761">
        <v>9.2200000000000006</v>
      </c>
      <c r="N2761" s="12" t="s">
        <v>97</v>
      </c>
      <c r="O2761" s="12" t="s">
        <v>98</v>
      </c>
      <c r="P2761" s="12" t="s">
        <v>72</v>
      </c>
      <c r="Q2761" s="13">
        <v>45442</v>
      </c>
      <c r="R2761" s="13">
        <v>45464</v>
      </c>
      <c r="S2761">
        <v>2024</v>
      </c>
      <c r="T2761" s="12" t="s">
        <v>3413</v>
      </c>
      <c r="U2761">
        <v>61</v>
      </c>
      <c r="V2761">
        <v>136.7945</v>
      </c>
      <c r="W2761">
        <v>120.55</v>
      </c>
      <c r="X2761">
        <v>0</v>
      </c>
      <c r="Y2761">
        <v>0</v>
      </c>
      <c r="Z2761">
        <v>8344.4599999999991</v>
      </c>
      <c r="AA2761">
        <v>8465.01</v>
      </c>
      <c r="AB2761" s="12" t="s">
        <v>3633</v>
      </c>
      <c r="AC2761">
        <v>136.7945</v>
      </c>
      <c r="AD2761">
        <v>1</v>
      </c>
      <c r="AE2761">
        <v>1</v>
      </c>
      <c r="AF2761">
        <v>0</v>
      </c>
      <c r="AG2761">
        <v>8344.4599999999991</v>
      </c>
      <c r="AH2761">
        <v>61</v>
      </c>
      <c r="AI2761">
        <v>60</v>
      </c>
      <c r="AJ2761">
        <v>1</v>
      </c>
      <c r="AK2761">
        <v>1</v>
      </c>
      <c r="AL2761">
        <v>1</v>
      </c>
      <c r="AM2761">
        <v>98.36</v>
      </c>
      <c r="AN2761">
        <v>141.08359999999999</v>
      </c>
      <c r="AO2761">
        <v>136.79</v>
      </c>
      <c r="AP2761" s="13">
        <v>45464</v>
      </c>
      <c r="AQ2761">
        <v>0</v>
      </c>
      <c r="AR2761">
        <v>1</v>
      </c>
    </row>
    <row r="2762" spans="1:44" x14ac:dyDescent="0.35">
      <c r="A2762" s="12" t="s">
        <v>3634</v>
      </c>
      <c r="B2762" s="12" t="s">
        <v>482</v>
      </c>
      <c r="C2762" s="12" t="s">
        <v>483</v>
      </c>
      <c r="D2762" s="12" t="s">
        <v>78</v>
      </c>
      <c r="E2762" s="12" t="s">
        <v>142</v>
      </c>
      <c r="F2762">
        <v>2</v>
      </c>
      <c r="G2762">
        <v>9</v>
      </c>
      <c r="H2762">
        <v>0</v>
      </c>
      <c r="I2762" s="12" t="s">
        <v>87</v>
      </c>
      <c r="J2762" s="12" t="s">
        <v>88</v>
      </c>
      <c r="K2762" s="12" t="s">
        <v>89</v>
      </c>
      <c r="L2762" s="12" t="s">
        <v>69</v>
      </c>
      <c r="M2762">
        <v>14.93</v>
      </c>
      <c r="N2762" s="12" t="s">
        <v>70</v>
      </c>
      <c r="O2762" s="12" t="s">
        <v>71</v>
      </c>
      <c r="P2762" s="12" t="s">
        <v>72</v>
      </c>
      <c r="Q2762" s="13">
        <v>45442</v>
      </c>
      <c r="R2762" s="13">
        <v>45481</v>
      </c>
      <c r="S2762">
        <v>2024</v>
      </c>
      <c r="T2762" s="12" t="s">
        <v>3413</v>
      </c>
      <c r="U2762">
        <v>109</v>
      </c>
      <c r="V2762">
        <v>47.101599999999998</v>
      </c>
      <c r="W2762">
        <v>115.51</v>
      </c>
      <c r="X2762">
        <v>0</v>
      </c>
      <c r="Y2762">
        <v>0</v>
      </c>
      <c r="Z2762">
        <v>5134.07</v>
      </c>
      <c r="AA2762">
        <v>5249.58</v>
      </c>
      <c r="AB2762" s="12" t="s">
        <v>3145</v>
      </c>
      <c r="AC2762">
        <v>47.101599999999998</v>
      </c>
      <c r="AD2762">
        <v>1</v>
      </c>
      <c r="AE2762">
        <v>1</v>
      </c>
      <c r="AF2762">
        <v>0</v>
      </c>
      <c r="AG2762">
        <v>5134.07</v>
      </c>
      <c r="AH2762">
        <v>109</v>
      </c>
      <c r="AI2762">
        <v>108</v>
      </c>
      <c r="AJ2762">
        <v>1</v>
      </c>
      <c r="AK2762">
        <v>1</v>
      </c>
      <c r="AL2762">
        <v>1</v>
      </c>
      <c r="AM2762">
        <v>99.08</v>
      </c>
      <c r="AN2762">
        <v>48.607300000000002</v>
      </c>
      <c r="AO2762">
        <v>47.1</v>
      </c>
      <c r="AP2762" s="13">
        <v>45478</v>
      </c>
      <c r="AQ2762">
        <v>-3</v>
      </c>
      <c r="AR2762">
        <v>1</v>
      </c>
    </row>
    <row r="2763" spans="1:44" x14ac:dyDescent="0.35">
      <c r="A2763" s="12" t="s">
        <v>3635</v>
      </c>
      <c r="B2763" s="12" t="s">
        <v>924</v>
      </c>
      <c r="C2763" s="12" t="s">
        <v>925</v>
      </c>
      <c r="D2763" s="12" t="s">
        <v>103</v>
      </c>
      <c r="E2763" s="12" t="s">
        <v>104</v>
      </c>
      <c r="F2763">
        <v>2</v>
      </c>
      <c r="G2763">
        <v>0</v>
      </c>
      <c r="H2763">
        <v>0</v>
      </c>
      <c r="I2763" s="12" t="s">
        <v>335</v>
      </c>
      <c r="J2763" s="12" t="s">
        <v>336</v>
      </c>
      <c r="K2763" s="12" t="s">
        <v>89</v>
      </c>
      <c r="L2763" s="12" t="s">
        <v>82</v>
      </c>
      <c r="M2763">
        <v>16</v>
      </c>
      <c r="N2763" s="12" t="s">
        <v>145</v>
      </c>
      <c r="O2763" s="12" t="s">
        <v>146</v>
      </c>
      <c r="P2763" s="12" t="s">
        <v>109</v>
      </c>
      <c r="Q2763" s="13">
        <v>45442</v>
      </c>
      <c r="R2763" s="13">
        <v>45462</v>
      </c>
      <c r="S2763">
        <v>2024</v>
      </c>
      <c r="T2763" s="12" t="s">
        <v>3413</v>
      </c>
      <c r="U2763">
        <v>76</v>
      </c>
      <c r="V2763">
        <v>165.98570000000001</v>
      </c>
      <c r="W2763">
        <v>263.70999999999998</v>
      </c>
      <c r="X2763">
        <v>0</v>
      </c>
      <c r="Y2763">
        <v>0</v>
      </c>
      <c r="Z2763">
        <v>12614.91</v>
      </c>
      <c r="AA2763">
        <v>12878.62</v>
      </c>
      <c r="AB2763" s="12" t="s">
        <v>201</v>
      </c>
      <c r="AD2763">
        <v>0</v>
      </c>
      <c r="AE2763">
        <v>0</v>
      </c>
      <c r="AH2763">
        <v>76</v>
      </c>
      <c r="AI2763">
        <v>75</v>
      </c>
      <c r="AJ2763">
        <v>1</v>
      </c>
      <c r="AK2763">
        <v>1</v>
      </c>
      <c r="AL2763">
        <v>1</v>
      </c>
      <c r="AM2763">
        <v>98.68</v>
      </c>
      <c r="AN2763">
        <v>171.715</v>
      </c>
      <c r="AO2763">
        <v>165.99</v>
      </c>
      <c r="AP2763" s="13">
        <v>45461</v>
      </c>
      <c r="AQ2763">
        <v>-1</v>
      </c>
      <c r="AR2763">
        <v>1</v>
      </c>
    </row>
    <row r="2764" spans="1:44" x14ac:dyDescent="0.35">
      <c r="A2764" s="12" t="s">
        <v>3636</v>
      </c>
      <c r="B2764" s="12" t="s">
        <v>149</v>
      </c>
      <c r="C2764" s="12" t="s">
        <v>150</v>
      </c>
      <c r="D2764" s="12" t="s">
        <v>78</v>
      </c>
      <c r="E2764" s="12" t="s">
        <v>65</v>
      </c>
      <c r="F2764">
        <v>2</v>
      </c>
      <c r="G2764">
        <v>2</v>
      </c>
      <c r="H2764">
        <v>0</v>
      </c>
      <c r="I2764" s="12" t="s">
        <v>151</v>
      </c>
      <c r="J2764" s="12" t="s">
        <v>152</v>
      </c>
      <c r="K2764" s="12" t="s">
        <v>125</v>
      </c>
      <c r="L2764" s="12" t="s">
        <v>69</v>
      </c>
      <c r="M2764">
        <v>36.479999999999997</v>
      </c>
      <c r="N2764" s="12" t="s">
        <v>97</v>
      </c>
      <c r="O2764" s="12" t="s">
        <v>98</v>
      </c>
      <c r="P2764" s="12" t="s">
        <v>72</v>
      </c>
      <c r="Q2764" s="13">
        <v>45443</v>
      </c>
      <c r="R2764" s="13">
        <v>45475</v>
      </c>
      <c r="S2764">
        <v>2024</v>
      </c>
      <c r="T2764" s="12" t="s">
        <v>3413</v>
      </c>
      <c r="U2764">
        <v>208</v>
      </c>
      <c r="V2764">
        <v>70.838700000000003</v>
      </c>
      <c r="W2764">
        <v>188.73</v>
      </c>
      <c r="X2764">
        <v>0</v>
      </c>
      <c r="Y2764">
        <v>0</v>
      </c>
      <c r="Z2764">
        <v>14734.45</v>
      </c>
      <c r="AA2764">
        <v>14923.18</v>
      </c>
      <c r="AB2764" s="12" t="s">
        <v>2546</v>
      </c>
      <c r="AC2764">
        <v>70.838700000000003</v>
      </c>
      <c r="AD2764">
        <v>1</v>
      </c>
      <c r="AE2764">
        <v>1</v>
      </c>
      <c r="AF2764">
        <v>0</v>
      </c>
      <c r="AG2764">
        <v>14734.45</v>
      </c>
      <c r="AH2764">
        <v>208</v>
      </c>
      <c r="AI2764">
        <v>203</v>
      </c>
      <c r="AJ2764">
        <v>5</v>
      </c>
      <c r="AK2764">
        <v>1</v>
      </c>
      <c r="AL2764">
        <v>1</v>
      </c>
      <c r="AM2764">
        <v>97.6</v>
      </c>
      <c r="AN2764">
        <v>73.513199999999998</v>
      </c>
      <c r="AO2764">
        <v>354.19</v>
      </c>
      <c r="AP2764" s="13">
        <v>45477</v>
      </c>
      <c r="AQ2764">
        <v>2</v>
      </c>
      <c r="AR2764">
        <v>0</v>
      </c>
    </row>
    <row r="2765" spans="1:44" x14ac:dyDescent="0.35">
      <c r="A2765" s="12" t="s">
        <v>3637</v>
      </c>
      <c r="B2765" s="12" t="s">
        <v>609</v>
      </c>
      <c r="C2765" s="12" t="s">
        <v>610</v>
      </c>
      <c r="D2765" s="12" t="s">
        <v>64</v>
      </c>
      <c r="E2765" s="12" t="s">
        <v>104</v>
      </c>
      <c r="F2765">
        <v>1</v>
      </c>
      <c r="G2765">
        <v>0</v>
      </c>
      <c r="H2765">
        <v>1</v>
      </c>
      <c r="I2765" s="12" t="s">
        <v>227</v>
      </c>
      <c r="J2765" s="12" t="s">
        <v>228</v>
      </c>
      <c r="K2765" s="12" t="s">
        <v>89</v>
      </c>
      <c r="L2765" s="12" t="s">
        <v>96</v>
      </c>
      <c r="M2765">
        <v>9.15</v>
      </c>
      <c r="N2765" s="12" t="s">
        <v>70</v>
      </c>
      <c r="O2765" s="12" t="s">
        <v>71</v>
      </c>
      <c r="P2765" s="12" t="s">
        <v>72</v>
      </c>
      <c r="Q2765" s="13">
        <v>45443</v>
      </c>
      <c r="R2765" s="13">
        <v>45467</v>
      </c>
      <c r="S2765">
        <v>2024</v>
      </c>
      <c r="T2765" s="12" t="s">
        <v>3413</v>
      </c>
      <c r="U2765">
        <v>701</v>
      </c>
      <c r="V2765">
        <v>20.698799999999999</v>
      </c>
      <c r="W2765">
        <v>263.69</v>
      </c>
      <c r="X2765">
        <v>0</v>
      </c>
      <c r="Y2765">
        <v>0</v>
      </c>
      <c r="Z2765">
        <v>14509.86</v>
      </c>
      <c r="AA2765">
        <v>14773.55</v>
      </c>
      <c r="AB2765" s="12" t="s">
        <v>3349</v>
      </c>
      <c r="AC2765">
        <v>20.698799999999999</v>
      </c>
      <c r="AD2765">
        <v>1</v>
      </c>
      <c r="AE2765">
        <v>1</v>
      </c>
      <c r="AF2765">
        <v>0</v>
      </c>
      <c r="AG2765">
        <v>14509.86</v>
      </c>
      <c r="AH2765">
        <v>701</v>
      </c>
      <c r="AI2765">
        <v>693</v>
      </c>
      <c r="AJ2765">
        <v>8</v>
      </c>
      <c r="AK2765">
        <v>1</v>
      </c>
      <c r="AL2765">
        <v>1</v>
      </c>
      <c r="AM2765">
        <v>98.86</v>
      </c>
      <c r="AN2765">
        <v>21.318300000000001</v>
      </c>
      <c r="AO2765">
        <v>165.59</v>
      </c>
      <c r="AP2765" s="13">
        <v>45464</v>
      </c>
      <c r="AQ2765">
        <v>-3</v>
      </c>
      <c r="AR2765">
        <v>1</v>
      </c>
    </row>
    <row r="2766" spans="1:44" x14ac:dyDescent="0.35">
      <c r="A2766" s="12" t="s">
        <v>3638</v>
      </c>
      <c r="B2766" s="12" t="s">
        <v>241</v>
      </c>
      <c r="C2766" s="12" t="s">
        <v>242</v>
      </c>
      <c r="D2766" s="12" t="s">
        <v>103</v>
      </c>
      <c r="E2766" s="12" t="s">
        <v>142</v>
      </c>
      <c r="F2766">
        <v>3</v>
      </c>
      <c r="G2766">
        <v>11</v>
      </c>
      <c r="H2766">
        <v>0</v>
      </c>
      <c r="I2766" s="12" t="s">
        <v>243</v>
      </c>
      <c r="J2766" s="12" t="s">
        <v>244</v>
      </c>
      <c r="K2766" s="12" t="s">
        <v>81</v>
      </c>
      <c r="L2766" s="12" t="s">
        <v>82</v>
      </c>
      <c r="M2766">
        <v>9.2200000000000006</v>
      </c>
      <c r="N2766" s="12" t="s">
        <v>145</v>
      </c>
      <c r="O2766" s="12" t="s">
        <v>146</v>
      </c>
      <c r="P2766" s="12" t="s">
        <v>109</v>
      </c>
      <c r="Q2766" s="13">
        <v>45443</v>
      </c>
      <c r="R2766" s="13">
        <v>45478</v>
      </c>
      <c r="S2766">
        <v>2024</v>
      </c>
      <c r="T2766" s="12" t="s">
        <v>3413</v>
      </c>
      <c r="U2766">
        <v>13</v>
      </c>
      <c r="V2766">
        <v>174.67449999999999</v>
      </c>
      <c r="W2766">
        <v>39.78</v>
      </c>
      <c r="X2766">
        <v>0</v>
      </c>
      <c r="Y2766">
        <v>0</v>
      </c>
      <c r="Z2766">
        <v>2270.77</v>
      </c>
      <c r="AA2766">
        <v>2310.5500000000002</v>
      </c>
      <c r="AB2766" s="12" t="s">
        <v>201</v>
      </c>
      <c r="AD2766">
        <v>0</v>
      </c>
      <c r="AE2766">
        <v>0</v>
      </c>
      <c r="AH2766">
        <v>13</v>
      </c>
      <c r="AI2766">
        <v>13</v>
      </c>
      <c r="AJ2766">
        <v>0</v>
      </c>
      <c r="AK2766">
        <v>1</v>
      </c>
      <c r="AL2766">
        <v>1</v>
      </c>
      <c r="AM2766">
        <v>100</v>
      </c>
      <c r="AN2766">
        <v>177.7345</v>
      </c>
      <c r="AO2766">
        <v>0</v>
      </c>
      <c r="AP2766" s="13">
        <v>45476</v>
      </c>
      <c r="AQ2766">
        <v>-2</v>
      </c>
      <c r="AR2766">
        <v>1</v>
      </c>
    </row>
    <row r="2767" spans="1:44" x14ac:dyDescent="0.35">
      <c r="A2767" s="12" t="s">
        <v>3639</v>
      </c>
      <c r="B2767" s="12" t="s">
        <v>241</v>
      </c>
      <c r="C2767" s="12" t="s">
        <v>242</v>
      </c>
      <c r="D2767" s="12" t="s">
        <v>103</v>
      </c>
      <c r="E2767" s="12" t="s">
        <v>142</v>
      </c>
      <c r="F2767">
        <v>3</v>
      </c>
      <c r="G2767">
        <v>11</v>
      </c>
      <c r="H2767">
        <v>0</v>
      </c>
      <c r="I2767" s="12" t="s">
        <v>157</v>
      </c>
      <c r="J2767" s="12" t="s">
        <v>158</v>
      </c>
      <c r="K2767" s="12" t="s">
        <v>117</v>
      </c>
      <c r="L2767" s="12" t="s">
        <v>96</v>
      </c>
      <c r="M2767">
        <v>4.72</v>
      </c>
      <c r="N2767" s="12" t="s">
        <v>145</v>
      </c>
      <c r="O2767" s="12" t="s">
        <v>146</v>
      </c>
      <c r="P2767" s="12" t="s">
        <v>109</v>
      </c>
      <c r="Q2767" s="13">
        <v>45443</v>
      </c>
      <c r="R2767" s="13">
        <v>45492</v>
      </c>
      <c r="S2767">
        <v>2024</v>
      </c>
      <c r="T2767" s="12" t="s">
        <v>3413</v>
      </c>
      <c r="U2767">
        <v>119</v>
      </c>
      <c r="V2767">
        <v>163.56630000000001</v>
      </c>
      <c r="W2767">
        <v>383.68</v>
      </c>
      <c r="X2767">
        <v>0</v>
      </c>
      <c r="Y2767">
        <v>0</v>
      </c>
      <c r="Z2767">
        <v>19464.39</v>
      </c>
      <c r="AA2767">
        <v>19848.07</v>
      </c>
      <c r="AB2767" s="12" t="s">
        <v>3444</v>
      </c>
      <c r="AC2767">
        <v>163.56630000000001</v>
      </c>
      <c r="AD2767">
        <v>1</v>
      </c>
      <c r="AE2767">
        <v>1</v>
      </c>
      <c r="AF2767">
        <v>0</v>
      </c>
      <c r="AG2767">
        <v>19464.39</v>
      </c>
      <c r="AH2767">
        <v>119</v>
      </c>
      <c r="AI2767">
        <v>117</v>
      </c>
      <c r="AJ2767">
        <v>2</v>
      </c>
      <c r="AK2767">
        <v>1</v>
      </c>
      <c r="AL2767">
        <v>1</v>
      </c>
      <c r="AM2767">
        <v>98.32</v>
      </c>
      <c r="AN2767">
        <v>169.64160000000001</v>
      </c>
      <c r="AO2767">
        <v>327.13</v>
      </c>
      <c r="AP2767" s="13">
        <v>45490</v>
      </c>
      <c r="AQ2767">
        <v>-2</v>
      </c>
      <c r="AR2767">
        <v>1</v>
      </c>
    </row>
    <row r="2768" spans="1:44" x14ac:dyDescent="0.35">
      <c r="A2768" s="12" t="s">
        <v>3640</v>
      </c>
      <c r="B2768" s="12" t="s">
        <v>357</v>
      </c>
      <c r="C2768" s="12" t="s">
        <v>358</v>
      </c>
      <c r="D2768" s="12" t="s">
        <v>103</v>
      </c>
      <c r="E2768" s="12" t="s">
        <v>104</v>
      </c>
      <c r="F2768">
        <v>3</v>
      </c>
      <c r="G2768">
        <v>1</v>
      </c>
      <c r="H2768">
        <v>0</v>
      </c>
      <c r="I2768" s="12" t="s">
        <v>105</v>
      </c>
      <c r="J2768" s="12" t="s">
        <v>106</v>
      </c>
      <c r="K2768" s="12" t="s">
        <v>81</v>
      </c>
      <c r="L2768" s="12" t="s">
        <v>96</v>
      </c>
      <c r="M2768">
        <v>5.01</v>
      </c>
      <c r="N2768" s="12" t="s">
        <v>107</v>
      </c>
      <c r="O2768" s="12" t="s">
        <v>108</v>
      </c>
      <c r="P2768" s="12" t="s">
        <v>109</v>
      </c>
      <c r="Q2768" s="13">
        <v>45443</v>
      </c>
      <c r="R2768" s="13">
        <v>45466</v>
      </c>
      <c r="S2768">
        <v>2024</v>
      </c>
      <c r="T2768" s="12" t="s">
        <v>3413</v>
      </c>
      <c r="U2768">
        <v>96</v>
      </c>
      <c r="V2768">
        <v>106.6647</v>
      </c>
      <c r="W2768">
        <v>148.93</v>
      </c>
      <c r="X2768">
        <v>0</v>
      </c>
      <c r="Y2768">
        <v>0</v>
      </c>
      <c r="Z2768">
        <v>10239.81</v>
      </c>
      <c r="AA2768">
        <v>10388.74</v>
      </c>
      <c r="AB2768" s="12" t="s">
        <v>2591</v>
      </c>
      <c r="AC2768">
        <v>106.6647</v>
      </c>
      <c r="AD2768">
        <v>1</v>
      </c>
      <c r="AE2768">
        <v>1</v>
      </c>
      <c r="AF2768">
        <v>0</v>
      </c>
      <c r="AG2768">
        <v>10239.81</v>
      </c>
      <c r="AH2768">
        <v>96</v>
      </c>
      <c r="AI2768">
        <v>95</v>
      </c>
      <c r="AJ2768">
        <v>1</v>
      </c>
      <c r="AK2768">
        <v>1</v>
      </c>
      <c r="AL2768">
        <v>1</v>
      </c>
      <c r="AM2768">
        <v>98.96</v>
      </c>
      <c r="AN2768">
        <v>109.3552</v>
      </c>
      <c r="AO2768">
        <v>106.66</v>
      </c>
      <c r="AP2768" s="13">
        <v>45466</v>
      </c>
      <c r="AQ2768">
        <v>0</v>
      </c>
      <c r="AR2768">
        <v>1</v>
      </c>
    </row>
    <row r="2769" spans="1:44" x14ac:dyDescent="0.35">
      <c r="A2769" s="12" t="s">
        <v>3641</v>
      </c>
      <c r="B2769" s="12" t="s">
        <v>231</v>
      </c>
      <c r="C2769" s="12" t="s">
        <v>232</v>
      </c>
      <c r="D2769" s="12" t="s">
        <v>130</v>
      </c>
      <c r="E2769" s="12" t="s">
        <v>65</v>
      </c>
      <c r="F2769">
        <v>1</v>
      </c>
      <c r="G2769">
        <v>2</v>
      </c>
      <c r="H2769">
        <v>1</v>
      </c>
      <c r="I2769" s="12" t="s">
        <v>233</v>
      </c>
      <c r="J2769" s="12" t="s">
        <v>234</v>
      </c>
      <c r="K2769" s="12" t="s">
        <v>125</v>
      </c>
      <c r="L2769" s="12" t="s">
        <v>96</v>
      </c>
      <c r="M2769">
        <v>3.73</v>
      </c>
      <c r="N2769" s="12" t="s">
        <v>135</v>
      </c>
      <c r="O2769" s="12" t="s">
        <v>136</v>
      </c>
      <c r="P2769" s="12" t="s">
        <v>137</v>
      </c>
      <c r="Q2769" s="13">
        <v>45443</v>
      </c>
      <c r="R2769" s="13">
        <v>45475</v>
      </c>
      <c r="S2769">
        <v>2024</v>
      </c>
      <c r="T2769" s="12" t="s">
        <v>3413</v>
      </c>
      <c r="U2769">
        <v>101</v>
      </c>
      <c r="V2769">
        <v>449.2604</v>
      </c>
      <c r="W2769">
        <v>299.07</v>
      </c>
      <c r="X2769">
        <v>0</v>
      </c>
      <c r="Y2769">
        <v>0</v>
      </c>
      <c r="Z2769">
        <v>45375.3</v>
      </c>
      <c r="AA2769">
        <v>45674.37</v>
      </c>
      <c r="AB2769" s="12" t="s">
        <v>201</v>
      </c>
      <c r="AD2769">
        <v>0</v>
      </c>
      <c r="AE2769">
        <v>0</v>
      </c>
      <c r="AH2769">
        <v>101</v>
      </c>
      <c r="AI2769">
        <v>100</v>
      </c>
      <c r="AJ2769">
        <v>1</v>
      </c>
      <c r="AK2769">
        <v>1</v>
      </c>
      <c r="AL2769">
        <v>1</v>
      </c>
      <c r="AM2769">
        <v>99.01</v>
      </c>
      <c r="AN2769">
        <v>456.74369999999999</v>
      </c>
      <c r="AO2769">
        <v>449.26</v>
      </c>
      <c r="AP2769" s="13">
        <v>45483</v>
      </c>
      <c r="AQ2769">
        <v>8</v>
      </c>
      <c r="AR2769">
        <v>0</v>
      </c>
    </row>
    <row r="2770" spans="1:44" x14ac:dyDescent="0.35">
      <c r="A2770" s="12" t="s">
        <v>3642</v>
      </c>
      <c r="B2770" s="12" t="s">
        <v>957</v>
      </c>
      <c r="C2770" s="12" t="s">
        <v>958</v>
      </c>
      <c r="D2770" s="12" t="s">
        <v>103</v>
      </c>
      <c r="E2770" s="12" t="s">
        <v>142</v>
      </c>
      <c r="F2770">
        <v>1</v>
      </c>
      <c r="G2770">
        <v>7</v>
      </c>
      <c r="H2770">
        <v>1</v>
      </c>
      <c r="I2770" s="12" t="s">
        <v>183</v>
      </c>
      <c r="J2770" s="12" t="s">
        <v>184</v>
      </c>
      <c r="K2770" s="12" t="s">
        <v>133</v>
      </c>
      <c r="L2770" s="12" t="s">
        <v>82</v>
      </c>
      <c r="M2770">
        <v>8.6199999999999992</v>
      </c>
      <c r="N2770" s="12" t="s">
        <v>107</v>
      </c>
      <c r="O2770" s="12" t="s">
        <v>108</v>
      </c>
      <c r="P2770" s="12" t="s">
        <v>109</v>
      </c>
      <c r="Q2770" s="13">
        <v>45443</v>
      </c>
      <c r="R2770" s="13">
        <v>45484</v>
      </c>
      <c r="S2770">
        <v>2024</v>
      </c>
      <c r="T2770" s="12" t="s">
        <v>3413</v>
      </c>
      <c r="U2770">
        <v>61</v>
      </c>
      <c r="V2770">
        <v>193.65539999999999</v>
      </c>
      <c r="W2770">
        <v>213.02</v>
      </c>
      <c r="X2770">
        <v>0</v>
      </c>
      <c r="Y2770">
        <v>0</v>
      </c>
      <c r="Z2770">
        <v>11812.98</v>
      </c>
      <c r="AA2770">
        <v>12026</v>
      </c>
      <c r="AB2770" s="12" t="s">
        <v>3249</v>
      </c>
      <c r="AC2770">
        <v>193.65539999999999</v>
      </c>
      <c r="AD2770">
        <v>1</v>
      </c>
      <c r="AE2770">
        <v>1</v>
      </c>
      <c r="AF2770">
        <v>0</v>
      </c>
      <c r="AG2770">
        <v>11812.98</v>
      </c>
      <c r="AH2770">
        <v>61</v>
      </c>
      <c r="AI2770">
        <v>61</v>
      </c>
      <c r="AJ2770">
        <v>0</v>
      </c>
      <c r="AK2770">
        <v>1</v>
      </c>
      <c r="AL2770">
        <v>1</v>
      </c>
      <c r="AM2770">
        <v>100</v>
      </c>
      <c r="AN2770">
        <v>197.14750000000001</v>
      </c>
      <c r="AO2770">
        <v>0</v>
      </c>
      <c r="AP2770" s="13">
        <v>45482</v>
      </c>
      <c r="AQ2770">
        <v>-2</v>
      </c>
      <c r="AR2770">
        <v>1</v>
      </c>
    </row>
    <row r="2771" spans="1:44" x14ac:dyDescent="0.35">
      <c r="A2771" s="12" t="s">
        <v>3643</v>
      </c>
      <c r="B2771" s="12" t="s">
        <v>869</v>
      </c>
      <c r="C2771" s="12" t="s">
        <v>870</v>
      </c>
      <c r="D2771" s="12" t="s">
        <v>130</v>
      </c>
      <c r="E2771" s="12" t="s">
        <v>104</v>
      </c>
      <c r="F2771">
        <v>2</v>
      </c>
      <c r="G2771">
        <v>0</v>
      </c>
      <c r="H2771">
        <v>0</v>
      </c>
      <c r="I2771" s="12" t="s">
        <v>515</v>
      </c>
      <c r="J2771" s="12" t="s">
        <v>516</v>
      </c>
      <c r="K2771" s="12" t="s">
        <v>68</v>
      </c>
      <c r="L2771" s="12" t="s">
        <v>134</v>
      </c>
      <c r="M2771">
        <v>3.69</v>
      </c>
      <c r="N2771" s="12" t="s">
        <v>159</v>
      </c>
      <c r="O2771" s="12" t="s">
        <v>160</v>
      </c>
      <c r="P2771" s="12" t="s">
        <v>137</v>
      </c>
      <c r="Q2771" s="13">
        <v>45443</v>
      </c>
      <c r="R2771" s="13">
        <v>45460</v>
      </c>
      <c r="S2771">
        <v>2024</v>
      </c>
      <c r="T2771" s="12" t="s">
        <v>3413</v>
      </c>
      <c r="U2771">
        <v>51</v>
      </c>
      <c r="V2771">
        <v>663.14120000000003</v>
      </c>
      <c r="W2771">
        <v>405.52</v>
      </c>
      <c r="X2771">
        <v>0</v>
      </c>
      <c r="Y2771">
        <v>0</v>
      </c>
      <c r="Z2771">
        <v>33820.199999999997</v>
      </c>
      <c r="AA2771">
        <v>34225.72</v>
      </c>
      <c r="AB2771" s="12" t="s">
        <v>201</v>
      </c>
      <c r="AD2771">
        <v>0</v>
      </c>
      <c r="AE2771">
        <v>0</v>
      </c>
      <c r="AH2771">
        <v>51</v>
      </c>
      <c r="AI2771">
        <v>51</v>
      </c>
      <c r="AJ2771">
        <v>0</v>
      </c>
      <c r="AK2771">
        <v>1</v>
      </c>
      <c r="AL2771">
        <v>1</v>
      </c>
      <c r="AM2771">
        <v>100</v>
      </c>
      <c r="AN2771">
        <v>671.09259999999995</v>
      </c>
      <c r="AO2771">
        <v>0</v>
      </c>
      <c r="AP2771" s="13">
        <v>45460</v>
      </c>
      <c r="AQ2771">
        <v>0</v>
      </c>
      <c r="AR2771">
        <v>1</v>
      </c>
    </row>
    <row r="2772" spans="1:44" x14ac:dyDescent="0.35">
      <c r="A2772" s="12" t="s">
        <v>3644</v>
      </c>
      <c r="B2772" s="12" t="s">
        <v>1134</v>
      </c>
      <c r="C2772" s="12" t="s">
        <v>1135</v>
      </c>
      <c r="D2772" s="12" t="s">
        <v>269</v>
      </c>
      <c r="E2772" s="12" t="s">
        <v>104</v>
      </c>
      <c r="F2772">
        <v>2</v>
      </c>
      <c r="G2772">
        <v>0</v>
      </c>
      <c r="H2772">
        <v>0</v>
      </c>
      <c r="I2772" s="12" t="s">
        <v>380</v>
      </c>
      <c r="J2772" s="12" t="s">
        <v>381</v>
      </c>
      <c r="K2772" s="12" t="s">
        <v>89</v>
      </c>
      <c r="L2772" s="12" t="s">
        <v>96</v>
      </c>
      <c r="M2772">
        <v>10.210000000000001</v>
      </c>
      <c r="N2772" s="12" t="s">
        <v>159</v>
      </c>
      <c r="O2772" s="12" t="s">
        <v>160</v>
      </c>
      <c r="P2772" s="12" t="s">
        <v>137</v>
      </c>
      <c r="Q2772" s="13">
        <v>45443</v>
      </c>
      <c r="R2772" s="13">
        <v>45470</v>
      </c>
      <c r="S2772">
        <v>2024</v>
      </c>
      <c r="T2772" s="12" t="s">
        <v>3413</v>
      </c>
      <c r="U2772">
        <v>133</v>
      </c>
      <c r="V2772">
        <v>100.0123</v>
      </c>
      <c r="W2772">
        <v>158.68</v>
      </c>
      <c r="X2772">
        <v>0</v>
      </c>
      <c r="Y2772">
        <v>0</v>
      </c>
      <c r="Z2772">
        <v>13301.64</v>
      </c>
      <c r="AA2772">
        <v>13460.32</v>
      </c>
      <c r="AB2772" s="12" t="s">
        <v>3615</v>
      </c>
      <c r="AC2772">
        <v>100.0123</v>
      </c>
      <c r="AD2772">
        <v>1</v>
      </c>
      <c r="AE2772">
        <v>1</v>
      </c>
      <c r="AF2772">
        <v>0</v>
      </c>
      <c r="AG2772">
        <v>13301.64</v>
      </c>
      <c r="AH2772">
        <v>133</v>
      </c>
      <c r="AI2772">
        <v>133</v>
      </c>
      <c r="AJ2772">
        <v>0</v>
      </c>
      <c r="AK2772">
        <v>1</v>
      </c>
      <c r="AL2772">
        <v>1</v>
      </c>
      <c r="AM2772">
        <v>100</v>
      </c>
      <c r="AN2772">
        <v>101.2054</v>
      </c>
      <c r="AO2772">
        <v>0</v>
      </c>
      <c r="AP2772" s="13">
        <v>45467</v>
      </c>
      <c r="AQ2772">
        <v>-3</v>
      </c>
      <c r="AR2772">
        <v>1</v>
      </c>
    </row>
    <row r="2773" spans="1:44" x14ac:dyDescent="0.35">
      <c r="A2773" s="12" t="s">
        <v>3645</v>
      </c>
      <c r="B2773" s="12" t="s">
        <v>640</v>
      </c>
      <c r="C2773" s="12" t="s">
        <v>641</v>
      </c>
      <c r="D2773" s="12" t="s">
        <v>130</v>
      </c>
      <c r="E2773" s="12" t="s">
        <v>104</v>
      </c>
      <c r="F2773">
        <v>3</v>
      </c>
      <c r="G2773">
        <v>0</v>
      </c>
      <c r="H2773">
        <v>0</v>
      </c>
      <c r="I2773" s="12" t="s">
        <v>209</v>
      </c>
      <c r="J2773" s="12" t="s">
        <v>210</v>
      </c>
      <c r="K2773" s="12" t="s">
        <v>133</v>
      </c>
      <c r="L2773" s="12" t="s">
        <v>96</v>
      </c>
      <c r="M2773">
        <v>7.82</v>
      </c>
      <c r="N2773" s="12" t="s">
        <v>159</v>
      </c>
      <c r="O2773" s="12" t="s">
        <v>160</v>
      </c>
      <c r="P2773" s="12" t="s">
        <v>137</v>
      </c>
      <c r="Q2773" s="13">
        <v>45443</v>
      </c>
      <c r="R2773" s="13">
        <v>45468</v>
      </c>
      <c r="S2773">
        <v>2024</v>
      </c>
      <c r="T2773" s="12" t="s">
        <v>3413</v>
      </c>
      <c r="U2773">
        <v>112</v>
      </c>
      <c r="V2773">
        <v>977.20889999999997</v>
      </c>
      <c r="W2773">
        <v>729.21</v>
      </c>
      <c r="X2773">
        <v>3297.86</v>
      </c>
      <c r="Y2773">
        <v>1</v>
      </c>
      <c r="Z2773">
        <v>109447.4</v>
      </c>
      <c r="AA2773">
        <v>113474.47</v>
      </c>
      <c r="AB2773" s="12" t="s">
        <v>3211</v>
      </c>
      <c r="AC2773">
        <v>977.20889999999997</v>
      </c>
      <c r="AD2773">
        <v>1</v>
      </c>
      <c r="AE2773">
        <v>1</v>
      </c>
      <c r="AF2773">
        <v>0</v>
      </c>
      <c r="AG2773">
        <v>109447.4</v>
      </c>
      <c r="AH2773">
        <v>112</v>
      </c>
      <c r="AI2773">
        <v>110</v>
      </c>
      <c r="AJ2773">
        <v>2</v>
      </c>
      <c r="AK2773">
        <v>1</v>
      </c>
      <c r="AL2773">
        <v>1</v>
      </c>
      <c r="AM2773">
        <v>98.21</v>
      </c>
      <c r="AN2773">
        <v>1031.5861</v>
      </c>
      <c r="AO2773">
        <v>1954.42</v>
      </c>
      <c r="AP2773" s="13">
        <v>45465</v>
      </c>
      <c r="AQ2773">
        <v>-3</v>
      </c>
      <c r="AR2773">
        <v>1</v>
      </c>
    </row>
    <row r="2774" spans="1:44" x14ac:dyDescent="0.35">
      <c r="A2774" s="12" t="s">
        <v>3646</v>
      </c>
      <c r="B2774" s="12" t="s">
        <v>902</v>
      </c>
      <c r="C2774" s="12" t="s">
        <v>903</v>
      </c>
      <c r="D2774" s="12" t="s">
        <v>122</v>
      </c>
      <c r="E2774" s="12" t="s">
        <v>142</v>
      </c>
      <c r="F2774">
        <v>1</v>
      </c>
      <c r="G2774">
        <v>6</v>
      </c>
      <c r="H2774">
        <v>1</v>
      </c>
      <c r="I2774" s="12" t="s">
        <v>105</v>
      </c>
      <c r="J2774" s="12" t="s">
        <v>106</v>
      </c>
      <c r="K2774" s="12" t="s">
        <v>81</v>
      </c>
      <c r="L2774" s="12" t="s">
        <v>96</v>
      </c>
      <c r="M2774">
        <v>5.01</v>
      </c>
      <c r="N2774" s="12" t="s">
        <v>70</v>
      </c>
      <c r="O2774" s="12" t="s">
        <v>71</v>
      </c>
      <c r="P2774" s="12" t="s">
        <v>72</v>
      </c>
      <c r="Q2774" s="13">
        <v>45443</v>
      </c>
      <c r="R2774" s="13">
        <v>45491</v>
      </c>
      <c r="S2774">
        <v>2024</v>
      </c>
      <c r="T2774" s="12" t="s">
        <v>3413</v>
      </c>
      <c r="U2774">
        <v>1536</v>
      </c>
      <c r="V2774">
        <v>41.6892</v>
      </c>
      <c r="W2774">
        <v>397.15</v>
      </c>
      <c r="X2774">
        <v>0</v>
      </c>
      <c r="Y2774">
        <v>0</v>
      </c>
      <c r="Z2774">
        <v>64034.61</v>
      </c>
      <c r="AA2774">
        <v>64431.76</v>
      </c>
      <c r="AB2774" s="12" t="s">
        <v>3284</v>
      </c>
      <c r="AC2774">
        <v>41.6892</v>
      </c>
      <c r="AD2774">
        <v>1</v>
      </c>
      <c r="AE2774">
        <v>1</v>
      </c>
      <c r="AF2774">
        <v>0</v>
      </c>
      <c r="AG2774">
        <v>64034.61</v>
      </c>
      <c r="AH2774">
        <v>1536</v>
      </c>
      <c r="AI2774">
        <v>1522</v>
      </c>
      <c r="AJ2774">
        <v>14</v>
      </c>
      <c r="AK2774">
        <v>1</v>
      </c>
      <c r="AL2774">
        <v>1</v>
      </c>
      <c r="AM2774">
        <v>99.09</v>
      </c>
      <c r="AN2774">
        <v>42.333599999999997</v>
      </c>
      <c r="AO2774">
        <v>583.65</v>
      </c>
      <c r="AP2774" s="13">
        <v>45489</v>
      </c>
      <c r="AQ2774">
        <v>-2</v>
      </c>
      <c r="AR2774">
        <v>1</v>
      </c>
    </row>
    <row r="2775" spans="1:44" x14ac:dyDescent="0.35">
      <c r="A2775" s="12" t="s">
        <v>3647</v>
      </c>
      <c r="B2775" s="12" t="s">
        <v>561</v>
      </c>
      <c r="C2775" s="12" t="s">
        <v>562</v>
      </c>
      <c r="D2775" s="12" t="s">
        <v>130</v>
      </c>
      <c r="E2775" s="12" t="s">
        <v>142</v>
      </c>
      <c r="F2775">
        <v>1</v>
      </c>
      <c r="G2775">
        <v>9</v>
      </c>
      <c r="H2775">
        <v>1</v>
      </c>
      <c r="I2775" s="12" t="s">
        <v>223</v>
      </c>
      <c r="J2775" s="12" t="s">
        <v>224</v>
      </c>
      <c r="K2775" s="12" t="s">
        <v>81</v>
      </c>
      <c r="L2775" s="12" t="s">
        <v>134</v>
      </c>
      <c r="M2775">
        <v>2.4900000000000002</v>
      </c>
      <c r="N2775" s="12" t="s">
        <v>159</v>
      </c>
      <c r="O2775" s="12" t="s">
        <v>160</v>
      </c>
      <c r="P2775" s="12" t="s">
        <v>137</v>
      </c>
      <c r="Q2775" s="13">
        <v>45443</v>
      </c>
      <c r="R2775" s="13">
        <v>45481</v>
      </c>
      <c r="S2775">
        <v>2024</v>
      </c>
      <c r="T2775" s="12" t="s">
        <v>3413</v>
      </c>
      <c r="U2775">
        <v>34</v>
      </c>
      <c r="V2775">
        <v>577.36040000000003</v>
      </c>
      <c r="W2775">
        <v>219.38</v>
      </c>
      <c r="X2775">
        <v>0</v>
      </c>
      <c r="Y2775">
        <v>0</v>
      </c>
      <c r="Z2775">
        <v>19630.25</v>
      </c>
      <c r="AA2775">
        <v>19849.63</v>
      </c>
      <c r="AB2775" s="12" t="s">
        <v>201</v>
      </c>
      <c r="AD2775">
        <v>0</v>
      </c>
      <c r="AE2775">
        <v>0</v>
      </c>
      <c r="AH2775">
        <v>34</v>
      </c>
      <c r="AI2775">
        <v>34</v>
      </c>
      <c r="AJ2775">
        <v>0</v>
      </c>
      <c r="AK2775">
        <v>1</v>
      </c>
      <c r="AL2775">
        <v>1</v>
      </c>
      <c r="AM2775">
        <v>100</v>
      </c>
      <c r="AN2775">
        <v>583.81280000000004</v>
      </c>
      <c r="AO2775">
        <v>0</v>
      </c>
      <c r="AP2775" s="13">
        <v>45478</v>
      </c>
      <c r="AQ2775">
        <v>-3</v>
      </c>
      <c r="AR2775">
        <v>1</v>
      </c>
    </row>
    <row r="2776" spans="1:44" x14ac:dyDescent="0.35">
      <c r="A2776" s="12" t="s">
        <v>3648</v>
      </c>
      <c r="B2776" s="12" t="s">
        <v>674</v>
      </c>
      <c r="C2776" s="12" t="s">
        <v>675</v>
      </c>
      <c r="D2776" s="12" t="s">
        <v>269</v>
      </c>
      <c r="E2776" s="12" t="s">
        <v>142</v>
      </c>
      <c r="F2776">
        <v>1</v>
      </c>
      <c r="G2776">
        <v>7</v>
      </c>
      <c r="H2776">
        <v>1</v>
      </c>
      <c r="I2776" s="12" t="s">
        <v>676</v>
      </c>
      <c r="J2776" s="12" t="s">
        <v>677</v>
      </c>
      <c r="K2776" s="12" t="s">
        <v>68</v>
      </c>
      <c r="L2776" s="12" t="s">
        <v>96</v>
      </c>
      <c r="M2776">
        <v>3.57</v>
      </c>
      <c r="N2776" s="12" t="s">
        <v>159</v>
      </c>
      <c r="O2776" s="12" t="s">
        <v>160</v>
      </c>
      <c r="P2776" s="12" t="s">
        <v>137</v>
      </c>
      <c r="Q2776" s="13">
        <v>45446</v>
      </c>
      <c r="R2776" s="13">
        <v>45482</v>
      </c>
      <c r="S2776">
        <v>2024</v>
      </c>
      <c r="T2776" s="12" t="s">
        <v>3649</v>
      </c>
      <c r="U2776">
        <v>21</v>
      </c>
      <c r="V2776">
        <v>388.49099999999999</v>
      </c>
      <c r="W2776">
        <v>190.5</v>
      </c>
      <c r="X2776">
        <v>0</v>
      </c>
      <c r="Y2776">
        <v>0</v>
      </c>
      <c r="Z2776">
        <v>8158.31</v>
      </c>
      <c r="AA2776">
        <v>8348.81</v>
      </c>
      <c r="AB2776" s="12" t="s">
        <v>201</v>
      </c>
      <c r="AD2776">
        <v>0</v>
      </c>
      <c r="AE2776">
        <v>0</v>
      </c>
      <c r="AH2776">
        <v>21</v>
      </c>
      <c r="AI2776">
        <v>21</v>
      </c>
      <c r="AJ2776">
        <v>0</v>
      </c>
      <c r="AK2776">
        <v>1</v>
      </c>
      <c r="AL2776">
        <v>1</v>
      </c>
      <c r="AM2776">
        <v>100</v>
      </c>
      <c r="AN2776">
        <v>397.56240000000003</v>
      </c>
      <c r="AO2776">
        <v>0</v>
      </c>
      <c r="AP2776" s="13">
        <v>45480</v>
      </c>
      <c r="AQ2776">
        <v>-2</v>
      </c>
      <c r="AR2776">
        <v>1</v>
      </c>
    </row>
    <row r="2777" spans="1:44" x14ac:dyDescent="0.35">
      <c r="A2777" s="12" t="s">
        <v>3650</v>
      </c>
      <c r="B2777" s="12" t="s">
        <v>327</v>
      </c>
      <c r="C2777" s="12" t="s">
        <v>328</v>
      </c>
      <c r="D2777" s="12" t="s">
        <v>130</v>
      </c>
      <c r="E2777" s="12" t="s">
        <v>104</v>
      </c>
      <c r="F2777">
        <v>2</v>
      </c>
      <c r="G2777">
        <v>0</v>
      </c>
      <c r="H2777">
        <v>0</v>
      </c>
      <c r="I2777" s="12" t="s">
        <v>123</v>
      </c>
      <c r="J2777" s="12" t="s">
        <v>124</v>
      </c>
      <c r="K2777" s="12" t="s">
        <v>125</v>
      </c>
      <c r="L2777" s="12" t="s">
        <v>82</v>
      </c>
      <c r="M2777">
        <v>6.75</v>
      </c>
      <c r="N2777" s="12" t="s">
        <v>159</v>
      </c>
      <c r="O2777" s="12" t="s">
        <v>160</v>
      </c>
      <c r="P2777" s="12" t="s">
        <v>137</v>
      </c>
      <c r="Q2777" s="13">
        <v>45446</v>
      </c>
      <c r="R2777" s="13">
        <v>45459</v>
      </c>
      <c r="S2777">
        <v>2024</v>
      </c>
      <c r="T2777" s="12" t="s">
        <v>3649</v>
      </c>
      <c r="U2777">
        <v>19</v>
      </c>
      <c r="V2777">
        <v>794.60770000000002</v>
      </c>
      <c r="W2777">
        <v>304.39999999999998</v>
      </c>
      <c r="X2777">
        <v>0</v>
      </c>
      <c r="Y2777">
        <v>0</v>
      </c>
      <c r="Z2777">
        <v>15097.55</v>
      </c>
      <c r="AA2777">
        <v>15401.95</v>
      </c>
      <c r="AB2777" s="12" t="s">
        <v>201</v>
      </c>
      <c r="AD2777">
        <v>0</v>
      </c>
      <c r="AE2777">
        <v>0</v>
      </c>
      <c r="AH2777">
        <v>19</v>
      </c>
      <c r="AI2777">
        <v>19</v>
      </c>
      <c r="AJ2777">
        <v>0</v>
      </c>
      <c r="AK2777">
        <v>1</v>
      </c>
      <c r="AL2777">
        <v>1</v>
      </c>
      <c r="AM2777">
        <v>100</v>
      </c>
      <c r="AN2777">
        <v>810.62879999999996</v>
      </c>
      <c r="AO2777">
        <v>0</v>
      </c>
      <c r="AP2777" s="13">
        <v>45457</v>
      </c>
      <c r="AQ2777">
        <v>-2</v>
      </c>
      <c r="AR2777">
        <v>1</v>
      </c>
    </row>
    <row r="2778" spans="1:44" x14ac:dyDescent="0.35">
      <c r="A2778" s="12" t="s">
        <v>3651</v>
      </c>
      <c r="B2778" s="12" t="s">
        <v>404</v>
      </c>
      <c r="C2778" s="12" t="s">
        <v>405</v>
      </c>
      <c r="D2778" s="12" t="s">
        <v>269</v>
      </c>
      <c r="E2778" s="12" t="s">
        <v>65</v>
      </c>
      <c r="F2778">
        <v>3</v>
      </c>
      <c r="G2778">
        <v>5</v>
      </c>
      <c r="H2778">
        <v>0</v>
      </c>
      <c r="I2778" s="12" t="s">
        <v>79</v>
      </c>
      <c r="J2778" s="12" t="s">
        <v>80</v>
      </c>
      <c r="K2778" s="12" t="s">
        <v>81</v>
      </c>
      <c r="L2778" s="12" t="s">
        <v>82</v>
      </c>
      <c r="M2778">
        <v>12.07</v>
      </c>
      <c r="N2778" s="12" t="s">
        <v>135</v>
      </c>
      <c r="O2778" s="12" t="s">
        <v>136</v>
      </c>
      <c r="P2778" s="12" t="s">
        <v>137</v>
      </c>
      <c r="Q2778" s="13">
        <v>45446</v>
      </c>
      <c r="R2778" s="13">
        <v>45475</v>
      </c>
      <c r="S2778">
        <v>2024</v>
      </c>
      <c r="T2778" s="12" t="s">
        <v>3649</v>
      </c>
      <c r="U2778">
        <v>79</v>
      </c>
      <c r="V2778">
        <v>430.2559</v>
      </c>
      <c r="W2778">
        <v>234.4</v>
      </c>
      <c r="X2778">
        <v>0</v>
      </c>
      <c r="Y2778">
        <v>0</v>
      </c>
      <c r="Z2778">
        <v>33990.22</v>
      </c>
      <c r="AA2778">
        <v>34224.620000000003</v>
      </c>
      <c r="AB2778" s="12" t="s">
        <v>2910</v>
      </c>
      <c r="AC2778">
        <v>430.2559</v>
      </c>
      <c r="AD2778">
        <v>1</v>
      </c>
      <c r="AE2778">
        <v>1</v>
      </c>
      <c r="AF2778">
        <v>0</v>
      </c>
      <c r="AG2778">
        <v>33990.22</v>
      </c>
      <c r="AH2778">
        <v>79</v>
      </c>
      <c r="AI2778">
        <v>78</v>
      </c>
      <c r="AJ2778">
        <v>1</v>
      </c>
      <c r="AK2778">
        <v>1</v>
      </c>
      <c r="AL2778">
        <v>1</v>
      </c>
      <c r="AM2778">
        <v>98.73</v>
      </c>
      <c r="AN2778">
        <v>438.77710000000002</v>
      </c>
      <c r="AO2778">
        <v>430.26</v>
      </c>
      <c r="AP2778" s="13">
        <v>45478</v>
      </c>
      <c r="AQ2778">
        <v>3</v>
      </c>
      <c r="AR2778">
        <v>0</v>
      </c>
    </row>
    <row r="2779" spans="1:44" x14ac:dyDescent="0.35">
      <c r="A2779" s="12" t="s">
        <v>3652</v>
      </c>
      <c r="B2779" s="12" t="s">
        <v>706</v>
      </c>
      <c r="C2779" s="12" t="s">
        <v>707</v>
      </c>
      <c r="D2779" s="12" t="s">
        <v>130</v>
      </c>
      <c r="E2779" s="12" t="s">
        <v>142</v>
      </c>
      <c r="F2779">
        <v>1</v>
      </c>
      <c r="G2779">
        <v>8</v>
      </c>
      <c r="H2779">
        <v>1</v>
      </c>
      <c r="I2779" s="12" t="s">
        <v>263</v>
      </c>
      <c r="J2779" s="12" t="s">
        <v>264</v>
      </c>
      <c r="K2779" s="12" t="s">
        <v>125</v>
      </c>
      <c r="L2779" s="12" t="s">
        <v>82</v>
      </c>
      <c r="M2779">
        <v>10.210000000000001</v>
      </c>
      <c r="N2779" s="12" t="s">
        <v>159</v>
      </c>
      <c r="O2779" s="12" t="s">
        <v>160</v>
      </c>
      <c r="P2779" s="12" t="s">
        <v>137</v>
      </c>
      <c r="Q2779" s="13">
        <v>45446</v>
      </c>
      <c r="R2779" s="13">
        <v>45484</v>
      </c>
      <c r="S2779">
        <v>2024</v>
      </c>
      <c r="T2779" s="12" t="s">
        <v>3649</v>
      </c>
      <c r="U2779">
        <v>38</v>
      </c>
      <c r="V2779">
        <v>277.214</v>
      </c>
      <c r="W2779">
        <v>183.25</v>
      </c>
      <c r="X2779">
        <v>0</v>
      </c>
      <c r="Y2779">
        <v>0</v>
      </c>
      <c r="Z2779">
        <v>10534.13</v>
      </c>
      <c r="AA2779">
        <v>10717.38</v>
      </c>
      <c r="AB2779" s="12" t="s">
        <v>3434</v>
      </c>
      <c r="AC2779">
        <v>277.214</v>
      </c>
      <c r="AD2779">
        <v>1</v>
      </c>
      <c r="AE2779">
        <v>1</v>
      </c>
      <c r="AF2779">
        <v>0</v>
      </c>
      <c r="AG2779">
        <v>10534.13</v>
      </c>
      <c r="AH2779">
        <v>38</v>
      </c>
      <c r="AI2779">
        <v>37</v>
      </c>
      <c r="AJ2779">
        <v>1</v>
      </c>
      <c r="AK2779">
        <v>1</v>
      </c>
      <c r="AL2779">
        <v>1</v>
      </c>
      <c r="AM2779">
        <v>97.37</v>
      </c>
      <c r="AN2779">
        <v>289.65899999999999</v>
      </c>
      <c r="AO2779">
        <v>277.20999999999998</v>
      </c>
      <c r="AP2779" s="13">
        <v>45481</v>
      </c>
      <c r="AQ2779">
        <v>-3</v>
      </c>
      <c r="AR2779">
        <v>1</v>
      </c>
    </row>
    <row r="2780" spans="1:44" x14ac:dyDescent="0.35">
      <c r="A2780" s="12" t="s">
        <v>3653</v>
      </c>
      <c r="B2780" s="12" t="s">
        <v>565</v>
      </c>
      <c r="C2780" s="12" t="s">
        <v>566</v>
      </c>
      <c r="D2780" s="12" t="s">
        <v>122</v>
      </c>
      <c r="E2780" s="12" t="s">
        <v>104</v>
      </c>
      <c r="F2780">
        <v>3</v>
      </c>
      <c r="G2780">
        <v>1</v>
      </c>
      <c r="H2780">
        <v>0</v>
      </c>
      <c r="I2780" s="12" t="s">
        <v>87</v>
      </c>
      <c r="J2780" s="12" t="s">
        <v>88</v>
      </c>
      <c r="K2780" s="12" t="s">
        <v>89</v>
      </c>
      <c r="L2780" s="12" t="s">
        <v>69</v>
      </c>
      <c r="M2780">
        <v>14.93</v>
      </c>
      <c r="N2780" s="12" t="s">
        <v>70</v>
      </c>
      <c r="O2780" s="12" t="s">
        <v>71</v>
      </c>
      <c r="P2780" s="12" t="s">
        <v>72</v>
      </c>
      <c r="Q2780" s="13">
        <v>45446</v>
      </c>
      <c r="R2780" s="13">
        <v>45460</v>
      </c>
      <c r="S2780">
        <v>2024</v>
      </c>
      <c r="T2780" s="12" t="s">
        <v>3649</v>
      </c>
      <c r="U2780">
        <v>436</v>
      </c>
      <c r="V2780">
        <v>34.7179</v>
      </c>
      <c r="W2780">
        <v>247.69</v>
      </c>
      <c r="X2780">
        <v>0</v>
      </c>
      <c r="Y2780">
        <v>0</v>
      </c>
      <c r="Z2780">
        <v>15137</v>
      </c>
      <c r="AA2780">
        <v>15384.69</v>
      </c>
      <c r="AB2780" s="12" t="s">
        <v>3238</v>
      </c>
      <c r="AC2780">
        <v>34.7179</v>
      </c>
      <c r="AD2780">
        <v>1</v>
      </c>
      <c r="AE2780">
        <v>1</v>
      </c>
      <c r="AF2780">
        <v>0</v>
      </c>
      <c r="AG2780">
        <v>15137</v>
      </c>
      <c r="AH2780">
        <v>436</v>
      </c>
      <c r="AI2780">
        <v>435</v>
      </c>
      <c r="AJ2780">
        <v>1</v>
      </c>
      <c r="AK2780">
        <v>1</v>
      </c>
      <c r="AL2780">
        <v>1</v>
      </c>
      <c r="AM2780">
        <v>99.77</v>
      </c>
      <c r="AN2780">
        <v>35.367100000000001</v>
      </c>
      <c r="AO2780">
        <v>34.72</v>
      </c>
      <c r="AP2780" s="13">
        <v>45459</v>
      </c>
      <c r="AQ2780">
        <v>-1</v>
      </c>
      <c r="AR2780">
        <v>1</v>
      </c>
    </row>
    <row r="2781" spans="1:44" x14ac:dyDescent="0.35">
      <c r="A2781" s="12" t="s">
        <v>3654</v>
      </c>
      <c r="B2781" s="12" t="s">
        <v>630</v>
      </c>
      <c r="C2781" s="12" t="s">
        <v>631</v>
      </c>
      <c r="D2781" s="12" t="s">
        <v>130</v>
      </c>
      <c r="E2781" s="12" t="s">
        <v>65</v>
      </c>
      <c r="F2781">
        <v>1</v>
      </c>
      <c r="G2781">
        <v>2</v>
      </c>
      <c r="H2781">
        <v>1</v>
      </c>
      <c r="I2781" s="12" t="s">
        <v>335</v>
      </c>
      <c r="J2781" s="12" t="s">
        <v>336</v>
      </c>
      <c r="K2781" s="12" t="s">
        <v>89</v>
      </c>
      <c r="L2781" s="12" t="s">
        <v>82</v>
      </c>
      <c r="M2781">
        <v>16</v>
      </c>
      <c r="N2781" s="12" t="s">
        <v>135</v>
      </c>
      <c r="O2781" s="12" t="s">
        <v>136</v>
      </c>
      <c r="P2781" s="12" t="s">
        <v>137</v>
      </c>
      <c r="Q2781" s="13">
        <v>45446</v>
      </c>
      <c r="R2781" s="13">
        <v>45472</v>
      </c>
      <c r="S2781">
        <v>2024</v>
      </c>
      <c r="T2781" s="12" t="s">
        <v>3649</v>
      </c>
      <c r="U2781">
        <v>56</v>
      </c>
      <c r="V2781">
        <v>446.36720000000003</v>
      </c>
      <c r="W2781">
        <v>357.03</v>
      </c>
      <c r="X2781">
        <v>0</v>
      </c>
      <c r="Y2781">
        <v>0</v>
      </c>
      <c r="Z2781">
        <v>24996.560000000001</v>
      </c>
      <c r="AA2781">
        <v>25353.59</v>
      </c>
      <c r="AB2781" s="12" t="s">
        <v>2944</v>
      </c>
      <c r="AC2781">
        <v>446.36720000000003</v>
      </c>
      <c r="AD2781">
        <v>1</v>
      </c>
      <c r="AE2781">
        <v>1</v>
      </c>
      <c r="AF2781">
        <v>0</v>
      </c>
      <c r="AG2781">
        <v>24996.560000000001</v>
      </c>
      <c r="AH2781">
        <v>56</v>
      </c>
      <c r="AI2781">
        <v>56</v>
      </c>
      <c r="AJ2781">
        <v>0</v>
      </c>
      <c r="AK2781">
        <v>1</v>
      </c>
      <c r="AL2781">
        <v>1</v>
      </c>
      <c r="AM2781">
        <v>100</v>
      </c>
      <c r="AN2781">
        <v>452.74270000000001</v>
      </c>
      <c r="AO2781">
        <v>0</v>
      </c>
      <c r="AP2781" s="13">
        <v>45481</v>
      </c>
      <c r="AQ2781">
        <v>9</v>
      </c>
      <c r="AR2781">
        <v>0</v>
      </c>
    </row>
    <row r="2782" spans="1:44" x14ac:dyDescent="0.35">
      <c r="A2782" s="12" t="s">
        <v>3655</v>
      </c>
      <c r="B2782" s="12" t="s">
        <v>1054</v>
      </c>
      <c r="C2782" s="12" t="s">
        <v>1055</v>
      </c>
      <c r="D2782" s="12" t="s">
        <v>122</v>
      </c>
      <c r="E2782" s="12" t="s">
        <v>65</v>
      </c>
      <c r="F2782">
        <v>1</v>
      </c>
      <c r="G2782">
        <v>2</v>
      </c>
      <c r="H2782">
        <v>1</v>
      </c>
      <c r="I2782" s="12" t="s">
        <v>176</v>
      </c>
      <c r="J2782" s="12" t="s">
        <v>177</v>
      </c>
      <c r="K2782" s="12" t="s">
        <v>125</v>
      </c>
      <c r="L2782" s="12" t="s">
        <v>134</v>
      </c>
      <c r="M2782">
        <v>1.75</v>
      </c>
      <c r="N2782" s="12" t="s">
        <v>97</v>
      </c>
      <c r="O2782" s="12" t="s">
        <v>98</v>
      </c>
      <c r="P2782" s="12" t="s">
        <v>72</v>
      </c>
      <c r="Q2782" s="13">
        <v>45446</v>
      </c>
      <c r="R2782" s="13">
        <v>45484</v>
      </c>
      <c r="S2782">
        <v>2024</v>
      </c>
      <c r="T2782" s="12" t="s">
        <v>3649</v>
      </c>
      <c r="U2782">
        <v>1931</v>
      </c>
      <c r="V2782">
        <v>45.850499999999997</v>
      </c>
      <c r="W2782">
        <v>2187.87</v>
      </c>
      <c r="X2782">
        <v>0</v>
      </c>
      <c r="Y2782">
        <v>0</v>
      </c>
      <c r="Z2782">
        <v>88537.32</v>
      </c>
      <c r="AA2782">
        <v>90725.19</v>
      </c>
      <c r="AB2782" s="12" t="s">
        <v>3227</v>
      </c>
      <c r="AC2782">
        <v>45.850499999999997</v>
      </c>
      <c r="AD2782">
        <v>1</v>
      </c>
      <c r="AE2782">
        <v>1</v>
      </c>
      <c r="AF2782">
        <v>0</v>
      </c>
      <c r="AG2782">
        <v>88537.32</v>
      </c>
      <c r="AH2782">
        <v>1931</v>
      </c>
      <c r="AI2782">
        <v>1926</v>
      </c>
      <c r="AJ2782">
        <v>5</v>
      </c>
      <c r="AK2782">
        <v>1</v>
      </c>
      <c r="AL2782">
        <v>1</v>
      </c>
      <c r="AM2782">
        <v>99.74</v>
      </c>
      <c r="AN2782">
        <v>47.105499999999999</v>
      </c>
      <c r="AO2782">
        <v>229.25</v>
      </c>
      <c r="AP2782" s="13">
        <v>45482</v>
      </c>
      <c r="AQ2782">
        <v>-2</v>
      </c>
      <c r="AR2782">
        <v>1</v>
      </c>
    </row>
    <row r="2783" spans="1:44" x14ac:dyDescent="0.35">
      <c r="A2783" s="12" t="s">
        <v>3656</v>
      </c>
      <c r="B2783" s="12" t="s">
        <v>350</v>
      </c>
      <c r="C2783" s="12" t="s">
        <v>351</v>
      </c>
      <c r="D2783" s="12" t="s">
        <v>64</v>
      </c>
      <c r="E2783" s="12" t="s">
        <v>104</v>
      </c>
      <c r="F2783">
        <v>3</v>
      </c>
      <c r="G2783">
        <v>1</v>
      </c>
      <c r="H2783">
        <v>0</v>
      </c>
      <c r="I2783" s="12" t="s">
        <v>223</v>
      </c>
      <c r="J2783" s="12" t="s">
        <v>224</v>
      </c>
      <c r="K2783" s="12" t="s">
        <v>81</v>
      </c>
      <c r="L2783" s="12" t="s">
        <v>134</v>
      </c>
      <c r="M2783">
        <v>2.4900000000000002</v>
      </c>
      <c r="N2783" s="12" t="s">
        <v>97</v>
      </c>
      <c r="O2783" s="12" t="s">
        <v>98</v>
      </c>
      <c r="P2783" s="12" t="s">
        <v>72</v>
      </c>
      <c r="Q2783" s="13">
        <v>45446</v>
      </c>
      <c r="R2783" s="13">
        <v>45467</v>
      </c>
      <c r="S2783">
        <v>2024</v>
      </c>
      <c r="T2783" s="12" t="s">
        <v>3649</v>
      </c>
      <c r="U2783">
        <v>568</v>
      </c>
      <c r="V2783">
        <v>9.2591000000000001</v>
      </c>
      <c r="W2783">
        <v>89.87</v>
      </c>
      <c r="X2783">
        <v>0</v>
      </c>
      <c r="Y2783">
        <v>0</v>
      </c>
      <c r="Z2783">
        <v>5259.17</v>
      </c>
      <c r="AA2783">
        <v>5349.04</v>
      </c>
      <c r="AB2783" s="12" t="s">
        <v>201</v>
      </c>
      <c r="AD2783">
        <v>0</v>
      </c>
      <c r="AE2783">
        <v>0</v>
      </c>
      <c r="AH2783">
        <v>568</v>
      </c>
      <c r="AI2783">
        <v>564</v>
      </c>
      <c r="AJ2783">
        <v>4</v>
      </c>
      <c r="AK2783">
        <v>1</v>
      </c>
      <c r="AL2783">
        <v>1</v>
      </c>
      <c r="AM2783">
        <v>99.3</v>
      </c>
      <c r="AN2783">
        <v>9.4840999999999998</v>
      </c>
      <c r="AO2783">
        <v>37.04</v>
      </c>
      <c r="AP2783" s="13">
        <v>45465</v>
      </c>
      <c r="AQ2783">
        <v>-2</v>
      </c>
      <c r="AR2783">
        <v>1</v>
      </c>
    </row>
    <row r="2784" spans="1:44" x14ac:dyDescent="0.35">
      <c r="A2784" s="12" t="s">
        <v>3657</v>
      </c>
      <c r="B2784" s="12" t="s">
        <v>308</v>
      </c>
      <c r="C2784" s="12" t="s">
        <v>309</v>
      </c>
      <c r="D2784" s="12" t="s">
        <v>122</v>
      </c>
      <c r="E2784" s="12" t="s">
        <v>142</v>
      </c>
      <c r="F2784">
        <v>1</v>
      </c>
      <c r="G2784">
        <v>6</v>
      </c>
      <c r="H2784">
        <v>1</v>
      </c>
      <c r="I2784" s="12" t="s">
        <v>310</v>
      </c>
      <c r="J2784" s="12" t="s">
        <v>311</v>
      </c>
      <c r="K2784" s="12" t="s">
        <v>81</v>
      </c>
      <c r="L2784" s="12" t="s">
        <v>69</v>
      </c>
      <c r="M2784">
        <v>28.3</v>
      </c>
      <c r="N2784" s="12" t="s">
        <v>97</v>
      </c>
      <c r="O2784" s="12" t="s">
        <v>98</v>
      </c>
      <c r="P2784" s="12" t="s">
        <v>72</v>
      </c>
      <c r="Q2784" s="13">
        <v>45446</v>
      </c>
      <c r="R2784" s="13">
        <v>45498</v>
      </c>
      <c r="S2784">
        <v>2024</v>
      </c>
      <c r="T2784" s="12" t="s">
        <v>3649</v>
      </c>
      <c r="U2784">
        <v>1959</v>
      </c>
      <c r="V2784">
        <v>58.086399999999998</v>
      </c>
      <c r="W2784">
        <v>1176</v>
      </c>
      <c r="X2784">
        <v>0</v>
      </c>
      <c r="Y2784">
        <v>0</v>
      </c>
      <c r="Z2784">
        <v>113791.26</v>
      </c>
      <c r="AA2784">
        <v>114967.26</v>
      </c>
      <c r="AB2784" s="12" t="s">
        <v>2726</v>
      </c>
      <c r="AC2784">
        <v>58.086399999999998</v>
      </c>
      <c r="AD2784">
        <v>1</v>
      </c>
      <c r="AE2784">
        <v>1</v>
      </c>
      <c r="AF2784">
        <v>0</v>
      </c>
      <c r="AG2784">
        <v>113791.26</v>
      </c>
      <c r="AH2784">
        <v>1959</v>
      </c>
      <c r="AI2784">
        <v>1939</v>
      </c>
      <c r="AJ2784">
        <v>20</v>
      </c>
      <c r="AK2784">
        <v>1</v>
      </c>
      <c r="AL2784">
        <v>1</v>
      </c>
      <c r="AM2784">
        <v>98.98</v>
      </c>
      <c r="AN2784">
        <v>59.292000000000002</v>
      </c>
      <c r="AO2784">
        <v>1161.73</v>
      </c>
      <c r="AP2784" s="13">
        <v>45498</v>
      </c>
      <c r="AQ2784">
        <v>0</v>
      </c>
      <c r="AR2784">
        <v>1</v>
      </c>
    </row>
    <row r="2785" spans="1:44" x14ac:dyDescent="0.35">
      <c r="A2785" s="12" t="s">
        <v>3658</v>
      </c>
      <c r="B2785" s="12" t="s">
        <v>694</v>
      </c>
      <c r="C2785" s="12" t="s">
        <v>695</v>
      </c>
      <c r="D2785" s="12" t="s">
        <v>103</v>
      </c>
      <c r="E2785" s="12" t="s">
        <v>65</v>
      </c>
      <c r="F2785">
        <v>2</v>
      </c>
      <c r="G2785">
        <v>3</v>
      </c>
      <c r="H2785">
        <v>0</v>
      </c>
      <c r="I2785" s="12" t="s">
        <v>263</v>
      </c>
      <c r="J2785" s="12" t="s">
        <v>264</v>
      </c>
      <c r="K2785" s="12" t="s">
        <v>125</v>
      </c>
      <c r="L2785" s="12" t="s">
        <v>82</v>
      </c>
      <c r="M2785">
        <v>10.210000000000001</v>
      </c>
      <c r="N2785" s="12" t="s">
        <v>107</v>
      </c>
      <c r="O2785" s="12" t="s">
        <v>108</v>
      </c>
      <c r="P2785" s="12" t="s">
        <v>109</v>
      </c>
      <c r="Q2785" s="13">
        <v>45446</v>
      </c>
      <c r="R2785" s="13">
        <v>45479</v>
      </c>
      <c r="S2785">
        <v>2024</v>
      </c>
      <c r="T2785" s="12" t="s">
        <v>3649</v>
      </c>
      <c r="U2785">
        <v>108</v>
      </c>
      <c r="V2785">
        <v>211.1463</v>
      </c>
      <c r="W2785">
        <v>354.99</v>
      </c>
      <c r="X2785">
        <v>0</v>
      </c>
      <c r="Y2785">
        <v>0</v>
      </c>
      <c r="Z2785">
        <v>22803.8</v>
      </c>
      <c r="AA2785">
        <v>23158.79</v>
      </c>
      <c r="AB2785" s="12" t="s">
        <v>3377</v>
      </c>
      <c r="AC2785">
        <v>211.1463</v>
      </c>
      <c r="AD2785">
        <v>1</v>
      </c>
      <c r="AE2785">
        <v>1</v>
      </c>
      <c r="AF2785">
        <v>0</v>
      </c>
      <c r="AG2785">
        <v>22803.8</v>
      </c>
      <c r="AH2785">
        <v>108</v>
      </c>
      <c r="AI2785">
        <v>107</v>
      </c>
      <c r="AJ2785">
        <v>1</v>
      </c>
      <c r="AK2785">
        <v>1</v>
      </c>
      <c r="AL2785">
        <v>1</v>
      </c>
      <c r="AM2785">
        <v>99.07</v>
      </c>
      <c r="AN2785">
        <v>216.43729999999999</v>
      </c>
      <c r="AO2785">
        <v>211.15</v>
      </c>
      <c r="AP2785" s="13">
        <v>45476</v>
      </c>
      <c r="AQ2785">
        <v>-3</v>
      </c>
      <c r="AR2785">
        <v>1</v>
      </c>
    </row>
    <row r="2786" spans="1:44" x14ac:dyDescent="0.35">
      <c r="A2786" s="12" t="s">
        <v>3659</v>
      </c>
      <c r="B2786" s="12" t="s">
        <v>555</v>
      </c>
      <c r="C2786" s="12" t="s">
        <v>556</v>
      </c>
      <c r="D2786" s="12" t="s">
        <v>114</v>
      </c>
      <c r="E2786" s="12" t="s">
        <v>142</v>
      </c>
      <c r="F2786">
        <v>1</v>
      </c>
      <c r="G2786">
        <v>6</v>
      </c>
      <c r="H2786">
        <v>1</v>
      </c>
      <c r="I2786" s="12" t="s">
        <v>151</v>
      </c>
      <c r="J2786" s="12" t="s">
        <v>152</v>
      </c>
      <c r="K2786" s="12" t="s">
        <v>125</v>
      </c>
      <c r="L2786" s="12" t="s">
        <v>69</v>
      </c>
      <c r="M2786">
        <v>36.479999999999997</v>
      </c>
      <c r="N2786" s="12" t="s">
        <v>97</v>
      </c>
      <c r="O2786" s="12" t="s">
        <v>98</v>
      </c>
      <c r="P2786" s="12" t="s">
        <v>72</v>
      </c>
      <c r="Q2786" s="13">
        <v>45446</v>
      </c>
      <c r="R2786" s="13">
        <v>45485</v>
      </c>
      <c r="S2786">
        <v>2024</v>
      </c>
      <c r="T2786" s="12" t="s">
        <v>3649</v>
      </c>
      <c r="U2786">
        <v>46</v>
      </c>
      <c r="V2786">
        <v>278.31920000000002</v>
      </c>
      <c r="W2786">
        <v>329.18</v>
      </c>
      <c r="X2786">
        <v>0</v>
      </c>
      <c r="Y2786">
        <v>0</v>
      </c>
      <c r="Z2786">
        <v>12802.68</v>
      </c>
      <c r="AA2786">
        <v>13131.86</v>
      </c>
      <c r="AB2786" s="12" t="s">
        <v>2922</v>
      </c>
      <c r="AC2786">
        <v>278.31920000000002</v>
      </c>
      <c r="AD2786">
        <v>1</v>
      </c>
      <c r="AE2786">
        <v>1</v>
      </c>
      <c r="AF2786">
        <v>0</v>
      </c>
      <c r="AG2786">
        <v>12802.68</v>
      </c>
      <c r="AH2786">
        <v>46</v>
      </c>
      <c r="AI2786">
        <v>45</v>
      </c>
      <c r="AJ2786">
        <v>1</v>
      </c>
      <c r="AK2786">
        <v>1</v>
      </c>
      <c r="AL2786">
        <v>1</v>
      </c>
      <c r="AM2786">
        <v>97.83</v>
      </c>
      <c r="AN2786">
        <v>291.81920000000002</v>
      </c>
      <c r="AO2786">
        <v>278.32</v>
      </c>
      <c r="AP2786" s="13">
        <v>45492</v>
      </c>
      <c r="AQ2786">
        <v>7</v>
      </c>
      <c r="AR2786">
        <v>0</v>
      </c>
    </row>
    <row r="2787" spans="1:44" x14ac:dyDescent="0.35">
      <c r="A2787" s="12" t="s">
        <v>3660</v>
      </c>
      <c r="B2787" s="12" t="s">
        <v>876</v>
      </c>
      <c r="C2787" s="12" t="s">
        <v>877</v>
      </c>
      <c r="D2787" s="12" t="s">
        <v>269</v>
      </c>
      <c r="E2787" s="12" t="s">
        <v>142</v>
      </c>
      <c r="F2787">
        <v>3</v>
      </c>
      <c r="G2787">
        <v>11</v>
      </c>
      <c r="H2787">
        <v>0</v>
      </c>
      <c r="I2787" s="12" t="s">
        <v>515</v>
      </c>
      <c r="J2787" s="12" t="s">
        <v>516</v>
      </c>
      <c r="K2787" s="12" t="s">
        <v>68</v>
      </c>
      <c r="L2787" s="12" t="s">
        <v>134</v>
      </c>
      <c r="M2787">
        <v>3.69</v>
      </c>
      <c r="N2787" s="12" t="s">
        <v>135</v>
      </c>
      <c r="O2787" s="12" t="s">
        <v>136</v>
      </c>
      <c r="P2787" s="12" t="s">
        <v>137</v>
      </c>
      <c r="Q2787" s="13">
        <v>45446</v>
      </c>
      <c r="R2787" s="13">
        <v>45486</v>
      </c>
      <c r="S2787">
        <v>2024</v>
      </c>
      <c r="T2787" s="12" t="s">
        <v>3649</v>
      </c>
      <c r="U2787">
        <v>56</v>
      </c>
      <c r="V2787">
        <v>191.71029999999999</v>
      </c>
      <c r="W2787">
        <v>214.41</v>
      </c>
      <c r="X2787">
        <v>0</v>
      </c>
      <c r="Y2787">
        <v>0</v>
      </c>
      <c r="Z2787">
        <v>10735.78</v>
      </c>
      <c r="AA2787">
        <v>10950.19</v>
      </c>
      <c r="AB2787" s="12" t="s">
        <v>3591</v>
      </c>
      <c r="AC2787">
        <v>191.71029999999999</v>
      </c>
      <c r="AD2787">
        <v>1</v>
      </c>
      <c r="AE2787">
        <v>1</v>
      </c>
      <c r="AF2787">
        <v>0</v>
      </c>
      <c r="AG2787">
        <v>10735.78</v>
      </c>
      <c r="AH2787">
        <v>56</v>
      </c>
      <c r="AI2787">
        <v>56</v>
      </c>
      <c r="AJ2787">
        <v>0</v>
      </c>
      <c r="AK2787">
        <v>1</v>
      </c>
      <c r="AL2787">
        <v>1</v>
      </c>
      <c r="AM2787">
        <v>100</v>
      </c>
      <c r="AN2787">
        <v>195.53909999999999</v>
      </c>
      <c r="AO2787">
        <v>0</v>
      </c>
      <c r="AP2787" s="13">
        <v>45484</v>
      </c>
      <c r="AQ2787">
        <v>-2</v>
      </c>
      <c r="AR2787">
        <v>1</v>
      </c>
    </row>
    <row r="2788" spans="1:44" x14ac:dyDescent="0.35">
      <c r="A2788" s="12" t="s">
        <v>3661</v>
      </c>
      <c r="B2788" s="12" t="s">
        <v>173</v>
      </c>
      <c r="C2788" s="12" t="s">
        <v>174</v>
      </c>
      <c r="D2788" s="12" t="s">
        <v>175</v>
      </c>
      <c r="E2788" s="12" t="s">
        <v>104</v>
      </c>
      <c r="F2788">
        <v>3</v>
      </c>
      <c r="G2788">
        <v>1</v>
      </c>
      <c r="H2788">
        <v>0</v>
      </c>
      <c r="I2788" s="12" t="s">
        <v>227</v>
      </c>
      <c r="J2788" s="12" t="s">
        <v>228</v>
      </c>
      <c r="K2788" s="12" t="s">
        <v>89</v>
      </c>
      <c r="L2788" s="12" t="s">
        <v>96</v>
      </c>
      <c r="M2788">
        <v>9.15</v>
      </c>
      <c r="N2788" s="12" t="s">
        <v>145</v>
      </c>
      <c r="O2788" s="12" t="s">
        <v>146</v>
      </c>
      <c r="P2788" s="12" t="s">
        <v>109</v>
      </c>
      <c r="Q2788" s="13">
        <v>45446</v>
      </c>
      <c r="R2788" s="13">
        <v>45466</v>
      </c>
      <c r="S2788">
        <v>2024</v>
      </c>
      <c r="T2788" s="12" t="s">
        <v>3649</v>
      </c>
      <c r="U2788">
        <v>74</v>
      </c>
      <c r="V2788">
        <v>79.944699999999997</v>
      </c>
      <c r="W2788">
        <v>94.57</v>
      </c>
      <c r="X2788">
        <v>0</v>
      </c>
      <c r="Y2788">
        <v>0</v>
      </c>
      <c r="Z2788">
        <v>5915.91</v>
      </c>
      <c r="AA2788">
        <v>6010.48</v>
      </c>
      <c r="AB2788" s="12" t="s">
        <v>3662</v>
      </c>
      <c r="AC2788">
        <v>79.944699999999997</v>
      </c>
      <c r="AD2788">
        <v>1</v>
      </c>
      <c r="AE2788">
        <v>1</v>
      </c>
      <c r="AF2788">
        <v>0</v>
      </c>
      <c r="AG2788">
        <v>5915.91</v>
      </c>
      <c r="AH2788">
        <v>74</v>
      </c>
      <c r="AI2788">
        <v>73</v>
      </c>
      <c r="AJ2788">
        <v>1</v>
      </c>
      <c r="AK2788">
        <v>1</v>
      </c>
      <c r="AL2788">
        <v>1</v>
      </c>
      <c r="AM2788">
        <v>98.65</v>
      </c>
      <c r="AN2788">
        <v>82.335300000000004</v>
      </c>
      <c r="AO2788">
        <v>79.94</v>
      </c>
      <c r="AP2788" s="13">
        <v>45465</v>
      </c>
      <c r="AQ2788">
        <v>-1</v>
      </c>
      <c r="AR2788">
        <v>1</v>
      </c>
    </row>
    <row r="2789" spans="1:44" x14ac:dyDescent="0.35">
      <c r="A2789" s="12" t="s">
        <v>3663</v>
      </c>
      <c r="B2789" s="12" t="s">
        <v>728</v>
      </c>
      <c r="C2789" s="12" t="s">
        <v>729</v>
      </c>
      <c r="D2789" s="12" t="s">
        <v>269</v>
      </c>
      <c r="E2789" s="12" t="s">
        <v>65</v>
      </c>
      <c r="F2789">
        <v>2</v>
      </c>
      <c r="G2789">
        <v>3</v>
      </c>
      <c r="H2789">
        <v>0</v>
      </c>
      <c r="I2789" s="12" t="s">
        <v>243</v>
      </c>
      <c r="J2789" s="12" t="s">
        <v>244</v>
      </c>
      <c r="K2789" s="12" t="s">
        <v>81</v>
      </c>
      <c r="L2789" s="12" t="s">
        <v>82</v>
      </c>
      <c r="M2789">
        <v>9.2200000000000006</v>
      </c>
      <c r="N2789" s="12" t="s">
        <v>159</v>
      </c>
      <c r="O2789" s="12" t="s">
        <v>160</v>
      </c>
      <c r="P2789" s="12" t="s">
        <v>137</v>
      </c>
      <c r="Q2789" s="13">
        <v>45446</v>
      </c>
      <c r="R2789" s="13">
        <v>45468</v>
      </c>
      <c r="S2789">
        <v>2024</v>
      </c>
      <c r="T2789" s="12" t="s">
        <v>3649</v>
      </c>
      <c r="U2789">
        <v>21</v>
      </c>
      <c r="V2789">
        <v>343.27870000000001</v>
      </c>
      <c r="W2789">
        <v>145.72</v>
      </c>
      <c r="X2789">
        <v>0</v>
      </c>
      <c r="Y2789">
        <v>0</v>
      </c>
      <c r="Z2789">
        <v>7208.85</v>
      </c>
      <c r="AA2789">
        <v>7354.57</v>
      </c>
      <c r="AB2789" s="12" t="s">
        <v>3540</v>
      </c>
      <c r="AC2789">
        <v>364.83319999999998</v>
      </c>
      <c r="AD2789">
        <v>1</v>
      </c>
      <c r="AE2789">
        <v>1</v>
      </c>
      <c r="AF2789">
        <v>-452.64</v>
      </c>
      <c r="AG2789">
        <v>7661.5</v>
      </c>
      <c r="AH2789">
        <v>21</v>
      </c>
      <c r="AI2789">
        <v>21</v>
      </c>
      <c r="AJ2789">
        <v>0</v>
      </c>
      <c r="AK2789">
        <v>1</v>
      </c>
      <c r="AL2789">
        <v>1</v>
      </c>
      <c r="AM2789">
        <v>100</v>
      </c>
      <c r="AN2789">
        <v>350.21769999999998</v>
      </c>
      <c r="AO2789">
        <v>0</v>
      </c>
      <c r="AP2789" s="13">
        <v>45468</v>
      </c>
      <c r="AQ2789">
        <v>0</v>
      </c>
      <c r="AR2789">
        <v>1</v>
      </c>
    </row>
    <row r="2790" spans="1:44" x14ac:dyDescent="0.35">
      <c r="A2790" s="12" t="s">
        <v>3664</v>
      </c>
      <c r="B2790" s="12" t="s">
        <v>728</v>
      </c>
      <c r="C2790" s="12" t="s">
        <v>729</v>
      </c>
      <c r="D2790" s="12" t="s">
        <v>269</v>
      </c>
      <c r="E2790" s="12" t="s">
        <v>65</v>
      </c>
      <c r="F2790">
        <v>2</v>
      </c>
      <c r="G2790">
        <v>3</v>
      </c>
      <c r="H2790">
        <v>0</v>
      </c>
      <c r="I2790" s="12" t="s">
        <v>310</v>
      </c>
      <c r="J2790" s="12" t="s">
        <v>311</v>
      </c>
      <c r="K2790" s="12" t="s">
        <v>81</v>
      </c>
      <c r="L2790" s="12" t="s">
        <v>69</v>
      </c>
      <c r="M2790">
        <v>28.3</v>
      </c>
      <c r="N2790" s="12" t="s">
        <v>159</v>
      </c>
      <c r="O2790" s="12" t="s">
        <v>160</v>
      </c>
      <c r="P2790" s="12" t="s">
        <v>137</v>
      </c>
      <c r="Q2790" s="13">
        <v>45446</v>
      </c>
      <c r="R2790" s="13">
        <v>45484</v>
      </c>
      <c r="S2790">
        <v>2024</v>
      </c>
      <c r="T2790" s="12" t="s">
        <v>3649</v>
      </c>
      <c r="U2790">
        <v>149</v>
      </c>
      <c r="V2790">
        <v>364.55509999999998</v>
      </c>
      <c r="W2790">
        <v>450.98</v>
      </c>
      <c r="X2790">
        <v>0</v>
      </c>
      <c r="Y2790">
        <v>0</v>
      </c>
      <c r="Z2790">
        <v>54318.71</v>
      </c>
      <c r="AA2790">
        <v>54769.69</v>
      </c>
      <c r="AB2790" s="12" t="s">
        <v>3329</v>
      </c>
      <c r="AC2790">
        <v>364.55509999999998</v>
      </c>
      <c r="AD2790">
        <v>1</v>
      </c>
      <c r="AE2790">
        <v>1</v>
      </c>
      <c r="AF2790">
        <v>0</v>
      </c>
      <c r="AG2790">
        <v>54318.71</v>
      </c>
      <c r="AH2790">
        <v>149</v>
      </c>
      <c r="AI2790">
        <v>148</v>
      </c>
      <c r="AJ2790">
        <v>1</v>
      </c>
      <c r="AK2790">
        <v>1</v>
      </c>
      <c r="AL2790">
        <v>1</v>
      </c>
      <c r="AM2790">
        <v>99.33</v>
      </c>
      <c r="AN2790">
        <v>370.06549999999999</v>
      </c>
      <c r="AO2790">
        <v>364.56</v>
      </c>
      <c r="AP2790" s="13">
        <v>45483</v>
      </c>
      <c r="AQ2790">
        <v>-1</v>
      </c>
      <c r="AR2790">
        <v>1</v>
      </c>
    </row>
    <row r="2791" spans="1:44" x14ac:dyDescent="0.35">
      <c r="A2791" s="12" t="s">
        <v>3665</v>
      </c>
      <c r="B2791" s="12" t="s">
        <v>952</v>
      </c>
      <c r="C2791" s="12" t="s">
        <v>953</v>
      </c>
      <c r="D2791" s="12" t="s">
        <v>64</v>
      </c>
      <c r="E2791" s="12" t="s">
        <v>142</v>
      </c>
      <c r="F2791">
        <v>1</v>
      </c>
      <c r="G2791">
        <v>8</v>
      </c>
      <c r="H2791">
        <v>1</v>
      </c>
      <c r="I2791" s="12" t="s">
        <v>131</v>
      </c>
      <c r="J2791" s="12" t="s">
        <v>132</v>
      </c>
      <c r="K2791" s="12" t="s">
        <v>133</v>
      </c>
      <c r="L2791" s="12" t="s">
        <v>134</v>
      </c>
      <c r="M2791">
        <v>1.51</v>
      </c>
      <c r="N2791" s="12" t="s">
        <v>70</v>
      </c>
      <c r="O2791" s="12" t="s">
        <v>71</v>
      </c>
      <c r="P2791" s="12" t="s">
        <v>72</v>
      </c>
      <c r="Q2791" s="13">
        <v>45446</v>
      </c>
      <c r="R2791" s="13">
        <v>45496</v>
      </c>
      <c r="S2791">
        <v>2024</v>
      </c>
      <c r="T2791" s="12" t="s">
        <v>3649</v>
      </c>
      <c r="U2791">
        <v>879</v>
      </c>
      <c r="V2791">
        <v>31.110399999999998</v>
      </c>
      <c r="W2791">
        <v>581.76</v>
      </c>
      <c r="X2791">
        <v>0</v>
      </c>
      <c r="Y2791">
        <v>0</v>
      </c>
      <c r="Z2791">
        <v>27346.04</v>
      </c>
      <c r="AA2791">
        <v>27927.8</v>
      </c>
      <c r="AB2791" s="12" t="s">
        <v>3261</v>
      </c>
      <c r="AC2791">
        <v>31.110399999999998</v>
      </c>
      <c r="AD2791">
        <v>1</v>
      </c>
      <c r="AE2791">
        <v>1</v>
      </c>
      <c r="AF2791">
        <v>0</v>
      </c>
      <c r="AG2791">
        <v>27346.04</v>
      </c>
      <c r="AH2791">
        <v>879</v>
      </c>
      <c r="AI2791">
        <v>877</v>
      </c>
      <c r="AJ2791">
        <v>2</v>
      </c>
      <c r="AK2791">
        <v>1</v>
      </c>
      <c r="AL2791">
        <v>1</v>
      </c>
      <c r="AM2791">
        <v>99.77</v>
      </c>
      <c r="AN2791">
        <v>31.8447</v>
      </c>
      <c r="AO2791">
        <v>62.22</v>
      </c>
      <c r="AP2791" s="13">
        <v>45493</v>
      </c>
      <c r="AQ2791">
        <v>-3</v>
      </c>
      <c r="AR2791">
        <v>1</v>
      </c>
    </row>
    <row r="2792" spans="1:44" x14ac:dyDescent="0.35">
      <c r="A2792" s="12" t="s">
        <v>3666</v>
      </c>
      <c r="B2792" s="12" t="s">
        <v>289</v>
      </c>
      <c r="C2792" s="12" t="s">
        <v>290</v>
      </c>
      <c r="D2792" s="12" t="s">
        <v>175</v>
      </c>
      <c r="E2792" s="12" t="s">
        <v>104</v>
      </c>
      <c r="F2792">
        <v>3</v>
      </c>
      <c r="G2792">
        <v>1</v>
      </c>
      <c r="H2792">
        <v>0</v>
      </c>
      <c r="I2792" s="12" t="s">
        <v>157</v>
      </c>
      <c r="J2792" s="12" t="s">
        <v>158</v>
      </c>
      <c r="K2792" s="12" t="s">
        <v>117</v>
      </c>
      <c r="L2792" s="12" t="s">
        <v>96</v>
      </c>
      <c r="M2792">
        <v>4.72</v>
      </c>
      <c r="N2792" s="12" t="s">
        <v>145</v>
      </c>
      <c r="O2792" s="12" t="s">
        <v>146</v>
      </c>
      <c r="P2792" s="12" t="s">
        <v>109</v>
      </c>
      <c r="Q2792" s="13">
        <v>45446</v>
      </c>
      <c r="R2792" s="13">
        <v>45474</v>
      </c>
      <c r="S2792">
        <v>2024</v>
      </c>
      <c r="T2792" s="12" t="s">
        <v>3649</v>
      </c>
      <c r="U2792">
        <v>140</v>
      </c>
      <c r="V2792">
        <v>184.24529999999999</v>
      </c>
      <c r="W2792">
        <v>304.91000000000003</v>
      </c>
      <c r="X2792">
        <v>0</v>
      </c>
      <c r="Y2792">
        <v>0</v>
      </c>
      <c r="Z2792">
        <v>25794.34</v>
      </c>
      <c r="AA2792">
        <v>26099.25</v>
      </c>
      <c r="AB2792" s="12" t="s">
        <v>2676</v>
      </c>
      <c r="AC2792">
        <v>184.24529999999999</v>
      </c>
      <c r="AD2792">
        <v>1</v>
      </c>
      <c r="AE2792">
        <v>1</v>
      </c>
      <c r="AF2792">
        <v>0</v>
      </c>
      <c r="AG2792">
        <v>25794.34</v>
      </c>
      <c r="AH2792">
        <v>140</v>
      </c>
      <c r="AI2792">
        <v>139</v>
      </c>
      <c r="AJ2792">
        <v>1</v>
      </c>
      <c r="AK2792">
        <v>1</v>
      </c>
      <c r="AL2792">
        <v>1</v>
      </c>
      <c r="AM2792">
        <v>99.29</v>
      </c>
      <c r="AN2792">
        <v>187.76439999999999</v>
      </c>
      <c r="AO2792">
        <v>184.25</v>
      </c>
      <c r="AP2792" s="13">
        <v>45472</v>
      </c>
      <c r="AQ2792">
        <v>-2</v>
      </c>
      <c r="AR2792">
        <v>1</v>
      </c>
    </row>
    <row r="2793" spans="1:44" x14ac:dyDescent="0.35">
      <c r="A2793" s="12" t="s">
        <v>3667</v>
      </c>
      <c r="B2793" s="12" t="s">
        <v>561</v>
      </c>
      <c r="C2793" s="12" t="s">
        <v>562</v>
      </c>
      <c r="D2793" s="12" t="s">
        <v>130</v>
      </c>
      <c r="E2793" s="12" t="s">
        <v>142</v>
      </c>
      <c r="F2793">
        <v>1</v>
      </c>
      <c r="G2793">
        <v>9</v>
      </c>
      <c r="H2793">
        <v>1</v>
      </c>
      <c r="I2793" s="12" t="s">
        <v>223</v>
      </c>
      <c r="J2793" s="12" t="s">
        <v>224</v>
      </c>
      <c r="K2793" s="12" t="s">
        <v>81</v>
      </c>
      <c r="L2793" s="12" t="s">
        <v>134</v>
      </c>
      <c r="M2793">
        <v>2.4900000000000002</v>
      </c>
      <c r="N2793" s="12" t="s">
        <v>135</v>
      </c>
      <c r="O2793" s="12" t="s">
        <v>136</v>
      </c>
      <c r="P2793" s="12" t="s">
        <v>137</v>
      </c>
      <c r="Q2793" s="13">
        <v>45446</v>
      </c>
      <c r="R2793" s="13">
        <v>45486</v>
      </c>
      <c r="S2793">
        <v>2024</v>
      </c>
      <c r="T2793" s="12" t="s">
        <v>3649</v>
      </c>
      <c r="U2793">
        <v>54</v>
      </c>
      <c r="V2793">
        <v>600.56259999999997</v>
      </c>
      <c r="W2793">
        <v>427.15</v>
      </c>
      <c r="X2793">
        <v>0</v>
      </c>
      <c r="Y2793">
        <v>0</v>
      </c>
      <c r="Z2793">
        <v>32430.38</v>
      </c>
      <c r="AA2793">
        <v>32857.53</v>
      </c>
      <c r="AB2793" s="12" t="s">
        <v>201</v>
      </c>
      <c r="AD2793">
        <v>0</v>
      </c>
      <c r="AE2793">
        <v>0</v>
      </c>
      <c r="AH2793">
        <v>54</v>
      </c>
      <c r="AI2793">
        <v>53</v>
      </c>
      <c r="AJ2793">
        <v>1</v>
      </c>
      <c r="AK2793">
        <v>1</v>
      </c>
      <c r="AL2793">
        <v>1</v>
      </c>
      <c r="AM2793">
        <v>98.15</v>
      </c>
      <c r="AN2793">
        <v>619.95339999999999</v>
      </c>
      <c r="AO2793">
        <v>600.55999999999995</v>
      </c>
      <c r="AP2793" s="13">
        <v>45495</v>
      </c>
      <c r="AQ2793">
        <v>9</v>
      </c>
      <c r="AR2793">
        <v>0</v>
      </c>
    </row>
    <row r="2794" spans="1:44" x14ac:dyDescent="0.35">
      <c r="A2794" s="12" t="s">
        <v>3668</v>
      </c>
      <c r="B2794" s="12" t="s">
        <v>1054</v>
      </c>
      <c r="C2794" s="12" t="s">
        <v>1055</v>
      </c>
      <c r="D2794" s="12" t="s">
        <v>122</v>
      </c>
      <c r="E2794" s="12" t="s">
        <v>65</v>
      </c>
      <c r="F2794">
        <v>1</v>
      </c>
      <c r="G2794">
        <v>2</v>
      </c>
      <c r="H2794">
        <v>1</v>
      </c>
      <c r="I2794" s="12" t="s">
        <v>176</v>
      </c>
      <c r="J2794" s="12" t="s">
        <v>177</v>
      </c>
      <c r="K2794" s="12" t="s">
        <v>125</v>
      </c>
      <c r="L2794" s="12" t="s">
        <v>134</v>
      </c>
      <c r="M2794">
        <v>1.75</v>
      </c>
      <c r="N2794" s="12" t="s">
        <v>97</v>
      </c>
      <c r="O2794" s="12" t="s">
        <v>98</v>
      </c>
      <c r="P2794" s="12" t="s">
        <v>72</v>
      </c>
      <c r="Q2794" s="13">
        <v>45446</v>
      </c>
      <c r="R2794" s="13">
        <v>45484</v>
      </c>
      <c r="S2794">
        <v>2024</v>
      </c>
      <c r="T2794" s="12" t="s">
        <v>3649</v>
      </c>
      <c r="U2794">
        <v>1931</v>
      </c>
      <c r="V2794">
        <v>45.850499999999997</v>
      </c>
      <c r="W2794">
        <v>2187.87</v>
      </c>
      <c r="X2794">
        <v>0</v>
      </c>
      <c r="Y2794">
        <v>0</v>
      </c>
      <c r="Z2794">
        <v>88537.32</v>
      </c>
      <c r="AA2794">
        <v>90725.19</v>
      </c>
      <c r="AB2794" s="12" t="s">
        <v>3227</v>
      </c>
      <c r="AC2794">
        <v>45.850499999999997</v>
      </c>
      <c r="AD2794">
        <v>1</v>
      </c>
      <c r="AE2794">
        <v>1</v>
      </c>
      <c r="AF2794">
        <v>0</v>
      </c>
      <c r="AG2794">
        <v>88537.32</v>
      </c>
      <c r="AK2794">
        <v>0</v>
      </c>
      <c r="AL2794">
        <v>0</v>
      </c>
      <c r="AO2794">
        <v>0</v>
      </c>
      <c r="AP2794" s="13"/>
    </row>
    <row r="2795" spans="1:44" x14ac:dyDescent="0.35">
      <c r="A2795" s="12" t="s">
        <v>3669</v>
      </c>
      <c r="B2795" s="12" t="s">
        <v>843</v>
      </c>
      <c r="C2795" s="12" t="s">
        <v>844</v>
      </c>
      <c r="D2795" s="12" t="s">
        <v>175</v>
      </c>
      <c r="E2795" s="12" t="s">
        <v>65</v>
      </c>
      <c r="F2795">
        <v>3</v>
      </c>
      <c r="G2795">
        <v>5</v>
      </c>
      <c r="H2795">
        <v>0</v>
      </c>
      <c r="I2795" s="12" t="s">
        <v>359</v>
      </c>
      <c r="J2795" s="12" t="s">
        <v>360</v>
      </c>
      <c r="K2795" s="12" t="s">
        <v>133</v>
      </c>
      <c r="L2795" s="12" t="s">
        <v>82</v>
      </c>
      <c r="M2795">
        <v>12.65</v>
      </c>
      <c r="N2795" s="12" t="s">
        <v>107</v>
      </c>
      <c r="O2795" s="12" t="s">
        <v>108</v>
      </c>
      <c r="P2795" s="12" t="s">
        <v>109</v>
      </c>
      <c r="Q2795" s="13">
        <v>45447</v>
      </c>
      <c r="R2795" s="13">
        <v>45483</v>
      </c>
      <c r="S2795">
        <v>2024</v>
      </c>
      <c r="T2795" s="12" t="s">
        <v>3649</v>
      </c>
      <c r="U2795">
        <v>127</v>
      </c>
      <c r="V2795">
        <v>251.77279999999999</v>
      </c>
      <c r="W2795">
        <v>234.8</v>
      </c>
      <c r="X2795">
        <v>0</v>
      </c>
      <c r="Y2795">
        <v>0</v>
      </c>
      <c r="Z2795">
        <v>31975.15</v>
      </c>
      <c r="AA2795">
        <v>32209.95</v>
      </c>
      <c r="AB2795" s="12" t="s">
        <v>3324</v>
      </c>
      <c r="AC2795">
        <v>251.77279999999999</v>
      </c>
      <c r="AD2795">
        <v>1</v>
      </c>
      <c r="AE2795">
        <v>1</v>
      </c>
      <c r="AF2795">
        <v>0</v>
      </c>
      <c r="AG2795">
        <v>31975.15</v>
      </c>
      <c r="AH2795">
        <v>127</v>
      </c>
      <c r="AI2795">
        <v>125</v>
      </c>
      <c r="AJ2795">
        <v>2</v>
      </c>
      <c r="AK2795">
        <v>1</v>
      </c>
      <c r="AL2795">
        <v>1</v>
      </c>
      <c r="AM2795">
        <v>98.43</v>
      </c>
      <c r="AN2795">
        <v>257.67959999999999</v>
      </c>
      <c r="AO2795">
        <v>503.55</v>
      </c>
      <c r="AP2795" s="13">
        <v>45481</v>
      </c>
      <c r="AQ2795">
        <v>-2</v>
      </c>
      <c r="AR2795">
        <v>1</v>
      </c>
    </row>
    <row r="2796" spans="1:44" x14ac:dyDescent="0.35">
      <c r="A2796" s="12" t="s">
        <v>3670</v>
      </c>
      <c r="B2796" s="12" t="s">
        <v>513</v>
      </c>
      <c r="C2796" s="12" t="s">
        <v>514</v>
      </c>
      <c r="D2796" s="12" t="s">
        <v>269</v>
      </c>
      <c r="E2796" s="12" t="s">
        <v>65</v>
      </c>
      <c r="F2796">
        <v>1</v>
      </c>
      <c r="G2796">
        <v>2</v>
      </c>
      <c r="H2796">
        <v>1</v>
      </c>
      <c r="I2796" s="12" t="s">
        <v>515</v>
      </c>
      <c r="J2796" s="12" t="s">
        <v>516</v>
      </c>
      <c r="K2796" s="12" t="s">
        <v>68</v>
      </c>
      <c r="L2796" s="12" t="s">
        <v>134</v>
      </c>
      <c r="M2796">
        <v>3.69</v>
      </c>
      <c r="N2796" s="12" t="s">
        <v>159</v>
      </c>
      <c r="O2796" s="12" t="s">
        <v>160</v>
      </c>
      <c r="P2796" s="12" t="s">
        <v>137</v>
      </c>
      <c r="Q2796" s="13">
        <v>45447</v>
      </c>
      <c r="R2796" s="13">
        <v>45470</v>
      </c>
      <c r="S2796">
        <v>2024</v>
      </c>
      <c r="T2796" s="12" t="s">
        <v>3649</v>
      </c>
      <c r="U2796">
        <v>30</v>
      </c>
      <c r="V2796">
        <v>213.00280000000001</v>
      </c>
      <c r="W2796">
        <v>93.81</v>
      </c>
      <c r="X2796">
        <v>0</v>
      </c>
      <c r="Y2796">
        <v>0</v>
      </c>
      <c r="Z2796">
        <v>6390.08</v>
      </c>
      <c r="AA2796">
        <v>6483.89</v>
      </c>
      <c r="AB2796" s="12" t="s">
        <v>201</v>
      </c>
      <c r="AD2796">
        <v>0</v>
      </c>
      <c r="AE2796">
        <v>0</v>
      </c>
      <c r="AH2796">
        <v>30</v>
      </c>
      <c r="AI2796">
        <v>30</v>
      </c>
      <c r="AJ2796">
        <v>0</v>
      </c>
      <c r="AK2796">
        <v>1</v>
      </c>
      <c r="AL2796">
        <v>1</v>
      </c>
      <c r="AM2796">
        <v>100</v>
      </c>
      <c r="AN2796">
        <v>216.12979999999999</v>
      </c>
      <c r="AO2796">
        <v>0</v>
      </c>
      <c r="AP2796" s="13">
        <v>45467</v>
      </c>
      <c r="AQ2796">
        <v>-3</v>
      </c>
      <c r="AR2796">
        <v>1</v>
      </c>
    </row>
    <row r="2797" spans="1:44" x14ac:dyDescent="0.35">
      <c r="A2797" s="12" t="s">
        <v>3671</v>
      </c>
      <c r="B2797" s="12" t="s">
        <v>249</v>
      </c>
      <c r="C2797" s="12" t="s">
        <v>250</v>
      </c>
      <c r="D2797" s="12" t="s">
        <v>64</v>
      </c>
      <c r="E2797" s="12" t="s">
        <v>65</v>
      </c>
      <c r="F2797">
        <v>2</v>
      </c>
      <c r="G2797">
        <v>3</v>
      </c>
      <c r="H2797">
        <v>0</v>
      </c>
      <c r="I2797" s="12" t="s">
        <v>251</v>
      </c>
      <c r="J2797" s="12" t="s">
        <v>252</v>
      </c>
      <c r="K2797" s="12" t="s">
        <v>133</v>
      </c>
      <c r="L2797" s="12" t="s">
        <v>69</v>
      </c>
      <c r="M2797">
        <v>34.49</v>
      </c>
      <c r="N2797" s="12" t="s">
        <v>70</v>
      </c>
      <c r="O2797" s="12" t="s">
        <v>71</v>
      </c>
      <c r="P2797" s="12" t="s">
        <v>72</v>
      </c>
      <c r="Q2797" s="13">
        <v>45447</v>
      </c>
      <c r="R2797" s="13">
        <v>45482</v>
      </c>
      <c r="S2797">
        <v>2024</v>
      </c>
      <c r="T2797" s="12" t="s">
        <v>3649</v>
      </c>
      <c r="U2797">
        <v>845</v>
      </c>
      <c r="V2797">
        <v>10.292</v>
      </c>
      <c r="W2797">
        <v>219.18</v>
      </c>
      <c r="X2797">
        <v>0</v>
      </c>
      <c r="Y2797">
        <v>0</v>
      </c>
      <c r="Z2797">
        <v>8696.74</v>
      </c>
      <c r="AA2797">
        <v>8915.92</v>
      </c>
      <c r="AB2797" s="12" t="s">
        <v>2747</v>
      </c>
      <c r="AC2797">
        <v>10.292</v>
      </c>
      <c r="AD2797">
        <v>1</v>
      </c>
      <c r="AE2797">
        <v>1</v>
      </c>
      <c r="AF2797">
        <v>0</v>
      </c>
      <c r="AG2797">
        <v>8696.74</v>
      </c>
      <c r="AH2797">
        <v>845</v>
      </c>
      <c r="AI2797">
        <v>835</v>
      </c>
      <c r="AJ2797">
        <v>10</v>
      </c>
      <c r="AK2797">
        <v>1</v>
      </c>
      <c r="AL2797">
        <v>1</v>
      </c>
      <c r="AM2797">
        <v>98.82</v>
      </c>
      <c r="AN2797">
        <v>10.6777</v>
      </c>
      <c r="AO2797">
        <v>102.92</v>
      </c>
      <c r="AP2797" s="13">
        <v>45478</v>
      </c>
      <c r="AQ2797">
        <v>-4</v>
      </c>
      <c r="AR2797">
        <v>1</v>
      </c>
    </row>
    <row r="2798" spans="1:44" x14ac:dyDescent="0.35">
      <c r="A2798" s="12" t="s">
        <v>3672</v>
      </c>
      <c r="B2798" s="12" t="s">
        <v>952</v>
      </c>
      <c r="C2798" s="12" t="s">
        <v>953</v>
      </c>
      <c r="D2798" s="12" t="s">
        <v>64</v>
      </c>
      <c r="E2798" s="12" t="s">
        <v>142</v>
      </c>
      <c r="F2798">
        <v>1</v>
      </c>
      <c r="G2798">
        <v>8</v>
      </c>
      <c r="H2798">
        <v>1</v>
      </c>
      <c r="I2798" s="12" t="s">
        <v>131</v>
      </c>
      <c r="J2798" s="12" t="s">
        <v>132</v>
      </c>
      <c r="K2798" s="12" t="s">
        <v>133</v>
      </c>
      <c r="L2798" s="12" t="s">
        <v>134</v>
      </c>
      <c r="M2798">
        <v>1.51</v>
      </c>
      <c r="N2798" s="12" t="s">
        <v>70</v>
      </c>
      <c r="O2798" s="12" t="s">
        <v>71</v>
      </c>
      <c r="P2798" s="12" t="s">
        <v>72</v>
      </c>
      <c r="Q2798" s="13">
        <v>45447</v>
      </c>
      <c r="R2798" s="13">
        <v>45498</v>
      </c>
      <c r="S2798">
        <v>2024</v>
      </c>
      <c r="T2798" s="12" t="s">
        <v>3649</v>
      </c>
      <c r="U2798">
        <v>924</v>
      </c>
      <c r="V2798">
        <v>31.110399999999998</v>
      </c>
      <c r="W2798">
        <v>201.58</v>
      </c>
      <c r="X2798">
        <v>0</v>
      </c>
      <c r="Y2798">
        <v>0</v>
      </c>
      <c r="Z2798">
        <v>28746.01</v>
      </c>
      <c r="AA2798">
        <v>28947.59</v>
      </c>
      <c r="AB2798" s="12" t="s">
        <v>3261</v>
      </c>
      <c r="AC2798">
        <v>31.110399999999998</v>
      </c>
      <c r="AD2798">
        <v>1</v>
      </c>
      <c r="AE2798">
        <v>1</v>
      </c>
      <c r="AF2798">
        <v>0</v>
      </c>
      <c r="AG2798">
        <v>28746.01</v>
      </c>
      <c r="AH2798">
        <v>924</v>
      </c>
      <c r="AI2798">
        <v>915</v>
      </c>
      <c r="AJ2798">
        <v>9</v>
      </c>
      <c r="AK2798">
        <v>1</v>
      </c>
      <c r="AL2798">
        <v>1</v>
      </c>
      <c r="AM2798">
        <v>99.03</v>
      </c>
      <c r="AN2798">
        <v>31.636700000000001</v>
      </c>
      <c r="AO2798">
        <v>279.99</v>
      </c>
      <c r="AP2798" s="13">
        <v>45495</v>
      </c>
      <c r="AQ2798">
        <v>-3</v>
      </c>
      <c r="AR2798">
        <v>1</v>
      </c>
    </row>
    <row r="2799" spans="1:44" x14ac:dyDescent="0.35">
      <c r="A2799" s="12" t="s">
        <v>3673</v>
      </c>
      <c r="B2799" s="12" t="s">
        <v>602</v>
      </c>
      <c r="C2799" s="12" t="s">
        <v>603</v>
      </c>
      <c r="D2799" s="12" t="s">
        <v>114</v>
      </c>
      <c r="E2799" s="12" t="s">
        <v>142</v>
      </c>
      <c r="F2799">
        <v>2</v>
      </c>
      <c r="G2799">
        <v>10</v>
      </c>
      <c r="H2799">
        <v>0</v>
      </c>
      <c r="I2799" s="12" t="s">
        <v>263</v>
      </c>
      <c r="J2799" s="12" t="s">
        <v>264</v>
      </c>
      <c r="K2799" s="12" t="s">
        <v>125</v>
      </c>
      <c r="L2799" s="12" t="s">
        <v>82</v>
      </c>
      <c r="M2799">
        <v>10.210000000000001</v>
      </c>
      <c r="N2799" s="12" t="s">
        <v>97</v>
      </c>
      <c r="O2799" s="12" t="s">
        <v>98</v>
      </c>
      <c r="P2799" s="12" t="s">
        <v>72</v>
      </c>
      <c r="Q2799" s="13">
        <v>45447</v>
      </c>
      <c r="R2799" s="13">
        <v>45484</v>
      </c>
      <c r="S2799">
        <v>2024</v>
      </c>
      <c r="T2799" s="12" t="s">
        <v>3649</v>
      </c>
      <c r="U2799">
        <v>28</v>
      </c>
      <c r="V2799">
        <v>210.69990000000001</v>
      </c>
      <c r="W2799">
        <v>97.96</v>
      </c>
      <c r="X2799">
        <v>0</v>
      </c>
      <c r="Y2799">
        <v>0</v>
      </c>
      <c r="Z2799">
        <v>5899.6</v>
      </c>
      <c r="AA2799">
        <v>5997.56</v>
      </c>
      <c r="AB2799" s="12" t="s">
        <v>2790</v>
      </c>
      <c r="AC2799">
        <v>210.69990000000001</v>
      </c>
      <c r="AD2799">
        <v>1</v>
      </c>
      <c r="AE2799">
        <v>1</v>
      </c>
      <c r="AF2799">
        <v>0</v>
      </c>
      <c r="AG2799">
        <v>5899.6</v>
      </c>
      <c r="AH2799">
        <v>28</v>
      </c>
      <c r="AI2799">
        <v>27</v>
      </c>
      <c r="AJ2799">
        <v>1</v>
      </c>
      <c r="AK2799">
        <v>1</v>
      </c>
      <c r="AL2799">
        <v>1</v>
      </c>
      <c r="AM2799">
        <v>96.43</v>
      </c>
      <c r="AN2799">
        <v>222.1317</v>
      </c>
      <c r="AO2799">
        <v>210.7</v>
      </c>
      <c r="AP2799" s="13">
        <v>45491</v>
      </c>
      <c r="AQ2799">
        <v>7</v>
      </c>
      <c r="AR2799">
        <v>0</v>
      </c>
    </row>
    <row r="2800" spans="1:44" x14ac:dyDescent="0.35">
      <c r="A2800" s="12" t="s">
        <v>3674</v>
      </c>
      <c r="B2800" s="12" t="s">
        <v>843</v>
      </c>
      <c r="C2800" s="12" t="s">
        <v>844</v>
      </c>
      <c r="D2800" s="12" t="s">
        <v>175</v>
      </c>
      <c r="E2800" s="12" t="s">
        <v>65</v>
      </c>
      <c r="F2800">
        <v>3</v>
      </c>
      <c r="G2800">
        <v>5</v>
      </c>
      <c r="H2800">
        <v>0</v>
      </c>
      <c r="I2800" s="12" t="s">
        <v>359</v>
      </c>
      <c r="J2800" s="12" t="s">
        <v>360</v>
      </c>
      <c r="K2800" s="12" t="s">
        <v>133</v>
      </c>
      <c r="L2800" s="12" t="s">
        <v>82</v>
      </c>
      <c r="M2800">
        <v>12.65</v>
      </c>
      <c r="N2800" s="12" t="s">
        <v>145</v>
      </c>
      <c r="O2800" s="12" t="s">
        <v>146</v>
      </c>
      <c r="P2800" s="12" t="s">
        <v>109</v>
      </c>
      <c r="Q2800" s="13">
        <v>45448</v>
      </c>
      <c r="R2800" s="13">
        <v>45486</v>
      </c>
      <c r="S2800">
        <v>2024</v>
      </c>
      <c r="T2800" s="12" t="s">
        <v>3649</v>
      </c>
      <c r="U2800">
        <v>149</v>
      </c>
      <c r="V2800">
        <v>251.77279999999999</v>
      </c>
      <c r="W2800">
        <v>652.29999999999995</v>
      </c>
      <c r="X2800">
        <v>0</v>
      </c>
      <c r="Y2800">
        <v>0</v>
      </c>
      <c r="Z2800">
        <v>37514.15</v>
      </c>
      <c r="AA2800">
        <v>38166.449999999997</v>
      </c>
      <c r="AB2800" s="12" t="s">
        <v>3324</v>
      </c>
      <c r="AC2800">
        <v>251.77279999999999</v>
      </c>
      <c r="AD2800">
        <v>1</v>
      </c>
      <c r="AE2800">
        <v>1</v>
      </c>
      <c r="AF2800">
        <v>0</v>
      </c>
      <c r="AG2800">
        <v>37514.15</v>
      </c>
      <c r="AH2800">
        <v>149</v>
      </c>
      <c r="AI2800">
        <v>147</v>
      </c>
      <c r="AJ2800">
        <v>2</v>
      </c>
      <c r="AK2800">
        <v>1</v>
      </c>
      <c r="AL2800">
        <v>1</v>
      </c>
      <c r="AM2800">
        <v>98.66</v>
      </c>
      <c r="AN2800">
        <v>259.63569999999999</v>
      </c>
      <c r="AO2800">
        <v>503.55</v>
      </c>
      <c r="AP2800" s="13">
        <v>45484</v>
      </c>
      <c r="AQ2800">
        <v>-2</v>
      </c>
      <c r="AR2800">
        <v>1</v>
      </c>
    </row>
    <row r="2801" spans="1:44" x14ac:dyDescent="0.35">
      <c r="A2801" s="12" t="s">
        <v>3675</v>
      </c>
      <c r="B2801" s="12" t="s">
        <v>416</v>
      </c>
      <c r="C2801" s="12" t="s">
        <v>417</v>
      </c>
      <c r="D2801" s="12" t="s">
        <v>78</v>
      </c>
      <c r="E2801" s="12" t="s">
        <v>65</v>
      </c>
      <c r="F2801">
        <v>3</v>
      </c>
      <c r="G2801">
        <v>5</v>
      </c>
      <c r="H2801">
        <v>0</v>
      </c>
      <c r="I2801" s="12" t="s">
        <v>169</v>
      </c>
      <c r="J2801" s="12" t="s">
        <v>170</v>
      </c>
      <c r="K2801" s="12" t="s">
        <v>89</v>
      </c>
      <c r="L2801" s="12" t="s">
        <v>134</v>
      </c>
      <c r="M2801">
        <v>1.37</v>
      </c>
      <c r="N2801" s="12" t="s">
        <v>70</v>
      </c>
      <c r="O2801" s="12" t="s">
        <v>71</v>
      </c>
      <c r="P2801" s="12" t="s">
        <v>72</v>
      </c>
      <c r="Q2801" s="13">
        <v>45448</v>
      </c>
      <c r="R2801" s="13">
        <v>45477</v>
      </c>
      <c r="S2801">
        <v>2024</v>
      </c>
      <c r="T2801" s="12" t="s">
        <v>3649</v>
      </c>
      <c r="U2801">
        <v>162</v>
      </c>
      <c r="V2801">
        <v>136.4109</v>
      </c>
      <c r="W2801">
        <v>436.83</v>
      </c>
      <c r="X2801">
        <v>0</v>
      </c>
      <c r="Y2801">
        <v>0</v>
      </c>
      <c r="Z2801">
        <v>22098.57</v>
      </c>
      <c r="AA2801">
        <v>22535.4</v>
      </c>
      <c r="AB2801" s="12" t="s">
        <v>2980</v>
      </c>
      <c r="AC2801">
        <v>136.4109</v>
      </c>
      <c r="AD2801">
        <v>1</v>
      </c>
      <c r="AE2801">
        <v>1</v>
      </c>
      <c r="AF2801">
        <v>0</v>
      </c>
      <c r="AG2801">
        <v>22098.57</v>
      </c>
      <c r="AH2801">
        <v>162</v>
      </c>
      <c r="AI2801">
        <v>160</v>
      </c>
      <c r="AJ2801">
        <v>2</v>
      </c>
      <c r="AK2801">
        <v>1</v>
      </c>
      <c r="AL2801">
        <v>1</v>
      </c>
      <c r="AM2801">
        <v>98.77</v>
      </c>
      <c r="AN2801">
        <v>140.84620000000001</v>
      </c>
      <c r="AO2801">
        <v>272.82</v>
      </c>
      <c r="AP2801" s="13">
        <v>45475</v>
      </c>
      <c r="AQ2801">
        <v>-2</v>
      </c>
      <c r="AR2801">
        <v>1</v>
      </c>
    </row>
    <row r="2802" spans="1:44" x14ac:dyDescent="0.35">
      <c r="A2802" s="12" t="s">
        <v>3676</v>
      </c>
      <c r="B2802" s="12" t="s">
        <v>395</v>
      </c>
      <c r="C2802" s="12" t="s">
        <v>396</v>
      </c>
      <c r="D2802" s="12" t="s">
        <v>130</v>
      </c>
      <c r="E2802" s="12" t="s">
        <v>104</v>
      </c>
      <c r="F2802">
        <v>3</v>
      </c>
      <c r="G2802">
        <v>1</v>
      </c>
      <c r="H2802">
        <v>0</v>
      </c>
      <c r="I2802" s="12" t="s">
        <v>804</v>
      </c>
      <c r="J2802" s="12" t="s">
        <v>342</v>
      </c>
      <c r="K2802" s="12" t="s">
        <v>117</v>
      </c>
      <c r="L2802" s="12" t="s">
        <v>69</v>
      </c>
      <c r="M2802">
        <v>30.07</v>
      </c>
      <c r="N2802" s="12" t="s">
        <v>159</v>
      </c>
      <c r="O2802" s="12" t="s">
        <v>160</v>
      </c>
      <c r="P2802" s="12" t="s">
        <v>137</v>
      </c>
      <c r="Q2802" s="13">
        <v>45448</v>
      </c>
      <c r="R2802" s="13">
        <v>45475</v>
      </c>
      <c r="S2802">
        <v>2024</v>
      </c>
      <c r="T2802" s="12" t="s">
        <v>3649</v>
      </c>
      <c r="U2802">
        <v>127</v>
      </c>
      <c r="V2802">
        <v>190.31620000000001</v>
      </c>
      <c r="W2802">
        <v>517.35</v>
      </c>
      <c r="X2802">
        <v>0</v>
      </c>
      <c r="Y2802">
        <v>0</v>
      </c>
      <c r="Z2802">
        <v>24170.16</v>
      </c>
      <c r="AA2802">
        <v>24687.51</v>
      </c>
      <c r="AB2802" s="12" t="s">
        <v>3677</v>
      </c>
      <c r="AC2802">
        <v>190.31620000000001</v>
      </c>
      <c r="AD2802">
        <v>1</v>
      </c>
      <c r="AE2802">
        <v>1</v>
      </c>
      <c r="AF2802">
        <v>0</v>
      </c>
      <c r="AG2802">
        <v>24170.16</v>
      </c>
      <c r="AH2802">
        <v>127</v>
      </c>
      <c r="AI2802">
        <v>127</v>
      </c>
      <c r="AJ2802">
        <v>0</v>
      </c>
      <c r="AK2802">
        <v>1</v>
      </c>
      <c r="AL2802">
        <v>1</v>
      </c>
      <c r="AM2802">
        <v>100</v>
      </c>
      <c r="AN2802">
        <v>194.38980000000001</v>
      </c>
      <c r="AO2802">
        <v>0</v>
      </c>
      <c r="AP2802" s="13">
        <v>45473</v>
      </c>
      <c r="AQ2802">
        <v>-2</v>
      </c>
      <c r="AR2802">
        <v>1</v>
      </c>
    </row>
    <row r="2803" spans="1:44" x14ac:dyDescent="0.35">
      <c r="A2803" s="12" t="s">
        <v>3678</v>
      </c>
      <c r="B2803" s="12" t="s">
        <v>513</v>
      </c>
      <c r="C2803" s="12" t="s">
        <v>514</v>
      </c>
      <c r="D2803" s="12" t="s">
        <v>269</v>
      </c>
      <c r="E2803" s="12" t="s">
        <v>65</v>
      </c>
      <c r="F2803">
        <v>1</v>
      </c>
      <c r="G2803">
        <v>2</v>
      </c>
      <c r="H2803">
        <v>1</v>
      </c>
      <c r="I2803" s="12" t="s">
        <v>515</v>
      </c>
      <c r="J2803" s="12" t="s">
        <v>516</v>
      </c>
      <c r="K2803" s="12" t="s">
        <v>68</v>
      </c>
      <c r="L2803" s="12" t="s">
        <v>134</v>
      </c>
      <c r="M2803">
        <v>3.69</v>
      </c>
      <c r="N2803" s="12" t="s">
        <v>159</v>
      </c>
      <c r="O2803" s="12" t="s">
        <v>160</v>
      </c>
      <c r="P2803" s="12" t="s">
        <v>137</v>
      </c>
      <c r="Q2803" s="13">
        <v>45448</v>
      </c>
      <c r="R2803" s="13">
        <v>45471</v>
      </c>
      <c r="S2803">
        <v>2024</v>
      </c>
      <c r="T2803" s="12" t="s">
        <v>3649</v>
      </c>
      <c r="U2803">
        <v>25</v>
      </c>
      <c r="V2803">
        <v>221.0343</v>
      </c>
      <c r="W2803">
        <v>54.11</v>
      </c>
      <c r="X2803">
        <v>0</v>
      </c>
      <c r="Y2803">
        <v>0</v>
      </c>
      <c r="Z2803">
        <v>5525.86</v>
      </c>
      <c r="AA2803">
        <v>5579.97</v>
      </c>
      <c r="AB2803" s="12" t="s">
        <v>201</v>
      </c>
      <c r="AD2803">
        <v>0</v>
      </c>
      <c r="AE2803">
        <v>0</v>
      </c>
      <c r="AH2803">
        <v>25</v>
      </c>
      <c r="AI2803">
        <v>25</v>
      </c>
      <c r="AJ2803">
        <v>0</v>
      </c>
      <c r="AK2803">
        <v>1</v>
      </c>
      <c r="AL2803">
        <v>1</v>
      </c>
      <c r="AM2803">
        <v>100</v>
      </c>
      <c r="AN2803">
        <v>223.1987</v>
      </c>
      <c r="AO2803">
        <v>0</v>
      </c>
      <c r="AP2803" s="13">
        <v>45472</v>
      </c>
      <c r="AQ2803">
        <v>1</v>
      </c>
      <c r="AR2803">
        <v>0</v>
      </c>
    </row>
    <row r="2804" spans="1:44" x14ac:dyDescent="0.35">
      <c r="A2804" s="12" t="s">
        <v>3679</v>
      </c>
      <c r="B2804" s="12" t="s">
        <v>848</v>
      </c>
      <c r="C2804" s="12" t="s">
        <v>849</v>
      </c>
      <c r="D2804" s="12" t="s">
        <v>103</v>
      </c>
      <c r="E2804" s="12" t="s">
        <v>65</v>
      </c>
      <c r="F2804">
        <v>2</v>
      </c>
      <c r="G2804">
        <v>4</v>
      </c>
      <c r="H2804">
        <v>0</v>
      </c>
      <c r="I2804" s="12" t="s">
        <v>87</v>
      </c>
      <c r="J2804" s="12" t="s">
        <v>88</v>
      </c>
      <c r="K2804" s="12" t="s">
        <v>89</v>
      </c>
      <c r="L2804" s="12" t="s">
        <v>69</v>
      </c>
      <c r="M2804">
        <v>14.93</v>
      </c>
      <c r="N2804" s="12" t="s">
        <v>107</v>
      </c>
      <c r="O2804" s="12" t="s">
        <v>108</v>
      </c>
      <c r="P2804" s="12" t="s">
        <v>109</v>
      </c>
      <c r="Q2804" s="13">
        <v>45448</v>
      </c>
      <c r="R2804" s="13">
        <v>45485</v>
      </c>
      <c r="S2804">
        <v>2024</v>
      </c>
      <c r="T2804" s="12" t="s">
        <v>3649</v>
      </c>
      <c r="U2804">
        <v>142</v>
      </c>
      <c r="V2804">
        <v>121.1635</v>
      </c>
      <c r="W2804">
        <v>423.48</v>
      </c>
      <c r="X2804">
        <v>0</v>
      </c>
      <c r="Y2804">
        <v>0</v>
      </c>
      <c r="Z2804">
        <v>17205.22</v>
      </c>
      <c r="AA2804">
        <v>17628.7</v>
      </c>
      <c r="AB2804" s="12" t="s">
        <v>3680</v>
      </c>
      <c r="AC2804">
        <v>121.1635</v>
      </c>
      <c r="AD2804">
        <v>1</v>
      </c>
      <c r="AE2804">
        <v>1</v>
      </c>
      <c r="AF2804">
        <v>0</v>
      </c>
      <c r="AG2804">
        <v>17205.22</v>
      </c>
      <c r="AH2804">
        <v>142</v>
      </c>
      <c r="AI2804">
        <v>140</v>
      </c>
      <c r="AJ2804">
        <v>2</v>
      </c>
      <c r="AK2804">
        <v>1</v>
      </c>
      <c r="AL2804">
        <v>1</v>
      </c>
      <c r="AM2804">
        <v>98.59</v>
      </c>
      <c r="AN2804">
        <v>125.91930000000001</v>
      </c>
      <c r="AO2804">
        <v>242.33</v>
      </c>
      <c r="AP2804" s="13">
        <v>45492</v>
      </c>
      <c r="AQ2804">
        <v>7</v>
      </c>
      <c r="AR2804">
        <v>0</v>
      </c>
    </row>
    <row r="2805" spans="1:44" x14ac:dyDescent="0.35">
      <c r="A2805" s="12" t="s">
        <v>3681</v>
      </c>
      <c r="B2805" s="12" t="s">
        <v>207</v>
      </c>
      <c r="C2805" s="12" t="s">
        <v>208</v>
      </c>
      <c r="D2805" s="12" t="s">
        <v>78</v>
      </c>
      <c r="E2805" s="12" t="s">
        <v>65</v>
      </c>
      <c r="F2805">
        <v>2</v>
      </c>
      <c r="G2805">
        <v>3</v>
      </c>
      <c r="H2805">
        <v>0</v>
      </c>
      <c r="I2805" s="12" t="s">
        <v>209</v>
      </c>
      <c r="J2805" s="12" t="s">
        <v>210</v>
      </c>
      <c r="K2805" s="12" t="s">
        <v>133</v>
      </c>
      <c r="L2805" s="12" t="s">
        <v>96</v>
      </c>
      <c r="M2805">
        <v>7.82</v>
      </c>
      <c r="N2805" s="12" t="s">
        <v>97</v>
      </c>
      <c r="O2805" s="12" t="s">
        <v>98</v>
      </c>
      <c r="P2805" s="12" t="s">
        <v>72</v>
      </c>
      <c r="Q2805" s="13">
        <v>45448</v>
      </c>
      <c r="R2805" s="13">
        <v>45484</v>
      </c>
      <c r="S2805">
        <v>2024</v>
      </c>
      <c r="T2805" s="12" t="s">
        <v>3649</v>
      </c>
      <c r="U2805">
        <v>262</v>
      </c>
      <c r="V2805">
        <v>148.61590000000001</v>
      </c>
      <c r="W2805">
        <v>933.38</v>
      </c>
      <c r="X2805">
        <v>0</v>
      </c>
      <c r="Y2805">
        <v>0</v>
      </c>
      <c r="Z2805">
        <v>38937.370000000003</v>
      </c>
      <c r="AA2805">
        <v>39870.75</v>
      </c>
      <c r="AB2805" s="12" t="s">
        <v>2832</v>
      </c>
      <c r="AC2805">
        <v>148.61590000000001</v>
      </c>
      <c r="AD2805">
        <v>1</v>
      </c>
      <c r="AE2805">
        <v>1</v>
      </c>
      <c r="AF2805">
        <v>0</v>
      </c>
      <c r="AG2805">
        <v>38937.370000000003</v>
      </c>
      <c r="AH2805">
        <v>262</v>
      </c>
      <c r="AI2805">
        <v>255</v>
      </c>
      <c r="AJ2805">
        <v>7</v>
      </c>
      <c r="AK2805">
        <v>1</v>
      </c>
      <c r="AL2805">
        <v>1</v>
      </c>
      <c r="AM2805">
        <v>97.33</v>
      </c>
      <c r="AN2805">
        <v>156.35589999999999</v>
      </c>
      <c r="AO2805">
        <v>1040.31</v>
      </c>
      <c r="AP2805" s="13">
        <v>45484</v>
      </c>
      <c r="AQ2805">
        <v>0</v>
      </c>
      <c r="AR2805">
        <v>1</v>
      </c>
    </row>
    <row r="2806" spans="1:44" x14ac:dyDescent="0.35">
      <c r="A2806" s="12" t="s">
        <v>3682</v>
      </c>
      <c r="B2806" s="12" t="s">
        <v>207</v>
      </c>
      <c r="C2806" s="12" t="s">
        <v>208</v>
      </c>
      <c r="D2806" s="12" t="s">
        <v>78</v>
      </c>
      <c r="E2806" s="12" t="s">
        <v>65</v>
      </c>
      <c r="F2806">
        <v>2</v>
      </c>
      <c r="G2806">
        <v>3</v>
      </c>
      <c r="H2806">
        <v>0</v>
      </c>
      <c r="I2806" s="12" t="s">
        <v>209</v>
      </c>
      <c r="J2806" s="12" t="s">
        <v>210</v>
      </c>
      <c r="K2806" s="12" t="s">
        <v>133</v>
      </c>
      <c r="L2806" s="12" t="s">
        <v>96</v>
      </c>
      <c r="M2806">
        <v>7.82</v>
      </c>
      <c r="N2806" s="12" t="s">
        <v>70</v>
      </c>
      <c r="O2806" s="12" t="s">
        <v>71</v>
      </c>
      <c r="P2806" s="12" t="s">
        <v>72</v>
      </c>
      <c r="Q2806" s="13">
        <v>45448</v>
      </c>
      <c r="R2806" s="13">
        <v>45477</v>
      </c>
      <c r="S2806">
        <v>2024</v>
      </c>
      <c r="T2806" s="12" t="s">
        <v>3649</v>
      </c>
      <c r="U2806">
        <v>160</v>
      </c>
      <c r="V2806">
        <v>148.61590000000001</v>
      </c>
      <c r="W2806">
        <v>503.24</v>
      </c>
      <c r="X2806">
        <v>0</v>
      </c>
      <c r="Y2806">
        <v>0</v>
      </c>
      <c r="Z2806">
        <v>23778.54</v>
      </c>
      <c r="AA2806">
        <v>24281.78</v>
      </c>
      <c r="AB2806" s="12" t="s">
        <v>2832</v>
      </c>
      <c r="AC2806">
        <v>148.61590000000001</v>
      </c>
      <c r="AD2806">
        <v>1</v>
      </c>
      <c r="AE2806">
        <v>1</v>
      </c>
      <c r="AF2806">
        <v>0</v>
      </c>
      <c r="AG2806">
        <v>23778.54</v>
      </c>
      <c r="AH2806">
        <v>160</v>
      </c>
      <c r="AI2806">
        <v>157</v>
      </c>
      <c r="AJ2806">
        <v>3</v>
      </c>
      <c r="AK2806">
        <v>1</v>
      </c>
      <c r="AL2806">
        <v>1</v>
      </c>
      <c r="AM2806">
        <v>98.13</v>
      </c>
      <c r="AN2806">
        <v>154.661</v>
      </c>
      <c r="AO2806">
        <v>445.85</v>
      </c>
      <c r="AP2806" s="13">
        <v>45477</v>
      </c>
      <c r="AQ2806">
        <v>0</v>
      </c>
      <c r="AR2806">
        <v>1</v>
      </c>
    </row>
    <row r="2807" spans="1:44" x14ac:dyDescent="0.35">
      <c r="A2807" s="12" t="s">
        <v>3683</v>
      </c>
      <c r="B2807" s="12" t="s">
        <v>92</v>
      </c>
      <c r="C2807" s="12" t="s">
        <v>93</v>
      </c>
      <c r="D2807" s="12" t="s">
        <v>64</v>
      </c>
      <c r="E2807" s="12" t="s">
        <v>65</v>
      </c>
      <c r="F2807">
        <v>3</v>
      </c>
      <c r="G2807">
        <v>5</v>
      </c>
      <c r="H2807">
        <v>0</v>
      </c>
      <c r="I2807" s="12" t="s">
        <v>94</v>
      </c>
      <c r="J2807" s="12" t="s">
        <v>95</v>
      </c>
      <c r="K2807" s="12" t="s">
        <v>81</v>
      </c>
      <c r="L2807" s="12" t="s">
        <v>96</v>
      </c>
      <c r="M2807">
        <v>4.8099999999999996</v>
      </c>
      <c r="N2807" s="12" t="s">
        <v>70</v>
      </c>
      <c r="O2807" s="12" t="s">
        <v>71</v>
      </c>
      <c r="P2807" s="12" t="s">
        <v>72</v>
      </c>
      <c r="Q2807" s="13">
        <v>45448</v>
      </c>
      <c r="R2807" s="13">
        <v>45481</v>
      </c>
      <c r="S2807">
        <v>2024</v>
      </c>
      <c r="T2807" s="12" t="s">
        <v>3649</v>
      </c>
      <c r="U2807">
        <v>749</v>
      </c>
      <c r="V2807">
        <v>23.8764</v>
      </c>
      <c r="W2807">
        <v>392.77</v>
      </c>
      <c r="X2807">
        <v>0</v>
      </c>
      <c r="Y2807">
        <v>0</v>
      </c>
      <c r="Z2807">
        <v>17883.419999999998</v>
      </c>
      <c r="AA2807">
        <v>18276.189999999999</v>
      </c>
      <c r="AB2807" s="12" t="s">
        <v>2802</v>
      </c>
      <c r="AC2807">
        <v>23.8764</v>
      </c>
      <c r="AD2807">
        <v>1</v>
      </c>
      <c r="AE2807">
        <v>1</v>
      </c>
      <c r="AF2807">
        <v>0</v>
      </c>
      <c r="AG2807">
        <v>17883.419999999998</v>
      </c>
      <c r="AH2807">
        <v>749</v>
      </c>
      <c r="AI2807">
        <v>746</v>
      </c>
      <c r="AJ2807">
        <v>3</v>
      </c>
      <c r="AK2807">
        <v>1</v>
      </c>
      <c r="AL2807">
        <v>1</v>
      </c>
      <c r="AM2807">
        <v>99.6</v>
      </c>
      <c r="AN2807">
        <v>24.498899999999999</v>
      </c>
      <c r="AO2807">
        <v>71.63</v>
      </c>
      <c r="AP2807" s="13">
        <v>45478</v>
      </c>
      <c r="AQ2807">
        <v>-3</v>
      </c>
      <c r="AR2807">
        <v>1</v>
      </c>
    </row>
    <row r="2808" spans="1:44" x14ac:dyDescent="0.35">
      <c r="A2808" s="12" t="s">
        <v>3684</v>
      </c>
      <c r="B2808" s="12" t="s">
        <v>323</v>
      </c>
      <c r="C2808" s="12" t="s">
        <v>324</v>
      </c>
      <c r="D2808" s="12" t="s">
        <v>64</v>
      </c>
      <c r="E2808" s="12" t="s">
        <v>142</v>
      </c>
      <c r="F2808">
        <v>1</v>
      </c>
      <c r="G2808">
        <v>7</v>
      </c>
      <c r="H2808">
        <v>1</v>
      </c>
      <c r="I2808" s="12" t="s">
        <v>143</v>
      </c>
      <c r="J2808" s="12" t="s">
        <v>144</v>
      </c>
      <c r="K2808" s="12" t="s">
        <v>133</v>
      </c>
      <c r="L2808" s="12" t="s">
        <v>96</v>
      </c>
      <c r="M2808">
        <v>5.43</v>
      </c>
      <c r="N2808" s="12" t="s">
        <v>70</v>
      </c>
      <c r="O2808" s="12" t="s">
        <v>71</v>
      </c>
      <c r="P2808" s="12" t="s">
        <v>72</v>
      </c>
      <c r="Q2808" s="13">
        <v>45448</v>
      </c>
      <c r="R2808" s="13">
        <v>45496</v>
      </c>
      <c r="S2808">
        <v>2024</v>
      </c>
      <c r="T2808" s="12" t="s">
        <v>3649</v>
      </c>
      <c r="U2808">
        <v>776</v>
      </c>
      <c r="V2808">
        <v>39.364800000000002</v>
      </c>
      <c r="W2808">
        <v>396.28</v>
      </c>
      <c r="X2808">
        <v>0</v>
      </c>
      <c r="Y2808">
        <v>0</v>
      </c>
      <c r="Z2808">
        <v>30547.08</v>
      </c>
      <c r="AA2808">
        <v>30943.360000000001</v>
      </c>
      <c r="AB2808" s="12" t="s">
        <v>2828</v>
      </c>
      <c r="AC2808">
        <v>39.364800000000002</v>
      </c>
      <c r="AD2808">
        <v>1</v>
      </c>
      <c r="AE2808">
        <v>1</v>
      </c>
      <c r="AF2808">
        <v>0</v>
      </c>
      <c r="AG2808">
        <v>30547.08</v>
      </c>
      <c r="AH2808">
        <v>776</v>
      </c>
      <c r="AI2808">
        <v>770</v>
      </c>
      <c r="AJ2808">
        <v>6</v>
      </c>
      <c r="AK2808">
        <v>1</v>
      </c>
      <c r="AL2808">
        <v>1</v>
      </c>
      <c r="AM2808">
        <v>99.23</v>
      </c>
      <c r="AN2808">
        <v>40.186199999999999</v>
      </c>
      <c r="AO2808">
        <v>236.19</v>
      </c>
      <c r="AP2808" s="13">
        <v>45494</v>
      </c>
      <c r="AQ2808">
        <v>-2</v>
      </c>
      <c r="AR2808">
        <v>1</v>
      </c>
    </row>
    <row r="2809" spans="1:44" x14ac:dyDescent="0.35">
      <c r="A2809" s="12" t="s">
        <v>3685</v>
      </c>
      <c r="B2809" s="12" t="s">
        <v>163</v>
      </c>
      <c r="C2809" s="12" t="s">
        <v>164</v>
      </c>
      <c r="D2809" s="12" t="s">
        <v>64</v>
      </c>
      <c r="E2809" s="12" t="s">
        <v>104</v>
      </c>
      <c r="F2809">
        <v>2</v>
      </c>
      <c r="G2809">
        <v>0</v>
      </c>
      <c r="H2809">
        <v>0</v>
      </c>
      <c r="I2809" s="12" t="s">
        <v>79</v>
      </c>
      <c r="J2809" s="12" t="s">
        <v>80</v>
      </c>
      <c r="K2809" s="12" t="s">
        <v>81</v>
      </c>
      <c r="L2809" s="12" t="s">
        <v>82</v>
      </c>
      <c r="M2809">
        <v>12.07</v>
      </c>
      <c r="N2809" s="12" t="s">
        <v>97</v>
      </c>
      <c r="O2809" s="12" t="s">
        <v>98</v>
      </c>
      <c r="P2809" s="12" t="s">
        <v>72</v>
      </c>
      <c r="Q2809" s="13">
        <v>45449</v>
      </c>
      <c r="R2809" s="13">
        <v>45476</v>
      </c>
      <c r="S2809">
        <v>2024</v>
      </c>
      <c r="T2809" s="12" t="s">
        <v>3649</v>
      </c>
      <c r="U2809">
        <v>888</v>
      </c>
      <c r="V2809">
        <v>11.6143</v>
      </c>
      <c r="W2809">
        <v>153.91999999999999</v>
      </c>
      <c r="X2809">
        <v>0</v>
      </c>
      <c r="Y2809">
        <v>0</v>
      </c>
      <c r="Z2809">
        <v>10313.5</v>
      </c>
      <c r="AA2809">
        <v>10467.42</v>
      </c>
      <c r="AB2809" s="12" t="s">
        <v>2780</v>
      </c>
      <c r="AC2809">
        <v>11.6143</v>
      </c>
      <c r="AD2809">
        <v>1</v>
      </c>
      <c r="AE2809">
        <v>1</v>
      </c>
      <c r="AF2809">
        <v>0</v>
      </c>
      <c r="AG2809">
        <v>10313.5</v>
      </c>
      <c r="AH2809">
        <v>888</v>
      </c>
      <c r="AI2809">
        <v>883</v>
      </c>
      <c r="AJ2809">
        <v>5</v>
      </c>
      <c r="AK2809">
        <v>1</v>
      </c>
      <c r="AL2809">
        <v>1</v>
      </c>
      <c r="AM2809">
        <v>99.44</v>
      </c>
      <c r="AN2809">
        <v>11.8544</v>
      </c>
      <c r="AO2809">
        <v>58.07</v>
      </c>
      <c r="AP2809" s="13">
        <v>45475</v>
      </c>
      <c r="AQ2809">
        <v>-1</v>
      </c>
      <c r="AR2809">
        <v>1</v>
      </c>
    </row>
    <row r="2810" spans="1:44" x14ac:dyDescent="0.35">
      <c r="A2810" s="12" t="s">
        <v>3686</v>
      </c>
      <c r="B2810" s="12" t="s">
        <v>1220</v>
      </c>
      <c r="C2810" s="12" t="s">
        <v>1221</v>
      </c>
      <c r="D2810" s="12" t="s">
        <v>175</v>
      </c>
      <c r="E2810" s="12" t="s">
        <v>104</v>
      </c>
      <c r="F2810">
        <v>3</v>
      </c>
      <c r="G2810">
        <v>1</v>
      </c>
      <c r="H2810">
        <v>0</v>
      </c>
      <c r="I2810" s="12" t="s">
        <v>251</v>
      </c>
      <c r="J2810" s="12" t="s">
        <v>252</v>
      </c>
      <c r="K2810" s="12" t="s">
        <v>133</v>
      </c>
      <c r="L2810" s="12" t="s">
        <v>69</v>
      </c>
      <c r="M2810">
        <v>34.49</v>
      </c>
      <c r="N2810" s="12" t="s">
        <v>107</v>
      </c>
      <c r="O2810" s="12" t="s">
        <v>108</v>
      </c>
      <c r="P2810" s="12" t="s">
        <v>109</v>
      </c>
      <c r="Q2810" s="13">
        <v>45449</v>
      </c>
      <c r="R2810" s="13">
        <v>45472</v>
      </c>
      <c r="S2810">
        <v>2024</v>
      </c>
      <c r="T2810" s="12" t="s">
        <v>3649</v>
      </c>
      <c r="U2810">
        <v>96</v>
      </c>
      <c r="V2810">
        <v>138.95140000000001</v>
      </c>
      <c r="W2810">
        <v>246.12</v>
      </c>
      <c r="X2810">
        <v>0</v>
      </c>
      <c r="Y2810">
        <v>0</v>
      </c>
      <c r="Z2810">
        <v>13339.33</v>
      </c>
      <c r="AA2810">
        <v>13585.45</v>
      </c>
      <c r="AB2810" s="12" t="s">
        <v>3687</v>
      </c>
      <c r="AC2810">
        <v>138.95140000000001</v>
      </c>
      <c r="AD2810">
        <v>1</v>
      </c>
      <c r="AE2810">
        <v>1</v>
      </c>
      <c r="AF2810">
        <v>0</v>
      </c>
      <c r="AG2810">
        <v>13339.33</v>
      </c>
      <c r="AH2810">
        <v>96</v>
      </c>
      <c r="AI2810">
        <v>96</v>
      </c>
      <c r="AJ2810">
        <v>0</v>
      </c>
      <c r="AK2810">
        <v>1</v>
      </c>
      <c r="AL2810">
        <v>1</v>
      </c>
      <c r="AM2810">
        <v>100</v>
      </c>
      <c r="AN2810">
        <v>141.51519999999999</v>
      </c>
      <c r="AO2810">
        <v>0</v>
      </c>
      <c r="AP2810" s="13">
        <v>45472</v>
      </c>
      <c r="AQ2810">
        <v>0</v>
      </c>
      <c r="AR2810">
        <v>1</v>
      </c>
    </row>
    <row r="2811" spans="1:44" x14ac:dyDescent="0.35">
      <c r="A2811" s="12" t="s">
        <v>3688</v>
      </c>
      <c r="B2811" s="12" t="s">
        <v>399</v>
      </c>
      <c r="C2811" s="12" t="s">
        <v>400</v>
      </c>
      <c r="D2811" s="12" t="s">
        <v>114</v>
      </c>
      <c r="E2811" s="12" t="s">
        <v>65</v>
      </c>
      <c r="F2811">
        <v>1</v>
      </c>
      <c r="G2811">
        <v>2</v>
      </c>
      <c r="H2811">
        <v>1</v>
      </c>
      <c r="I2811" s="12" t="s">
        <v>151</v>
      </c>
      <c r="J2811" s="12" t="s">
        <v>152</v>
      </c>
      <c r="K2811" s="12" t="s">
        <v>125</v>
      </c>
      <c r="L2811" s="12" t="s">
        <v>69</v>
      </c>
      <c r="M2811">
        <v>36.479999999999997</v>
      </c>
      <c r="N2811" s="12" t="s">
        <v>70</v>
      </c>
      <c r="O2811" s="12" t="s">
        <v>71</v>
      </c>
      <c r="P2811" s="12" t="s">
        <v>72</v>
      </c>
      <c r="Q2811" s="13">
        <v>45449</v>
      </c>
      <c r="R2811" s="13">
        <v>45472</v>
      </c>
      <c r="S2811">
        <v>2024</v>
      </c>
      <c r="T2811" s="12" t="s">
        <v>3649</v>
      </c>
      <c r="U2811">
        <v>26</v>
      </c>
      <c r="V2811">
        <v>275.3546</v>
      </c>
      <c r="W2811">
        <v>185.91</v>
      </c>
      <c r="X2811">
        <v>0</v>
      </c>
      <c r="Y2811">
        <v>0</v>
      </c>
      <c r="Z2811">
        <v>7159.22</v>
      </c>
      <c r="AA2811">
        <v>7345.13</v>
      </c>
      <c r="AB2811" s="12" t="s">
        <v>3009</v>
      </c>
      <c r="AC2811">
        <v>292.26440000000002</v>
      </c>
      <c r="AD2811">
        <v>1</v>
      </c>
      <c r="AE2811">
        <v>1</v>
      </c>
      <c r="AF2811">
        <v>-439.65</v>
      </c>
      <c r="AG2811">
        <v>7598.87</v>
      </c>
      <c r="AH2811">
        <v>26</v>
      </c>
      <c r="AI2811">
        <v>25</v>
      </c>
      <c r="AJ2811">
        <v>1</v>
      </c>
      <c r="AK2811">
        <v>1</v>
      </c>
      <c r="AL2811">
        <v>1</v>
      </c>
      <c r="AM2811">
        <v>96.15</v>
      </c>
      <c r="AN2811">
        <v>293.80520000000001</v>
      </c>
      <c r="AO2811">
        <v>275.35000000000002</v>
      </c>
      <c r="AP2811" s="13">
        <v>45470</v>
      </c>
      <c r="AQ2811">
        <v>-2</v>
      </c>
      <c r="AR2811">
        <v>1</v>
      </c>
    </row>
    <row r="2812" spans="1:44" x14ac:dyDescent="0.35">
      <c r="A2812" s="12" t="s">
        <v>3689</v>
      </c>
      <c r="B2812" s="12" t="s">
        <v>680</v>
      </c>
      <c r="C2812" s="12" t="s">
        <v>681</v>
      </c>
      <c r="D2812" s="12" t="s">
        <v>122</v>
      </c>
      <c r="E2812" s="12" t="s">
        <v>104</v>
      </c>
      <c r="F2812">
        <v>3</v>
      </c>
      <c r="G2812">
        <v>1</v>
      </c>
      <c r="H2812">
        <v>0</v>
      </c>
      <c r="I2812" s="12" t="s">
        <v>227</v>
      </c>
      <c r="J2812" s="12" t="s">
        <v>228</v>
      </c>
      <c r="K2812" s="12" t="s">
        <v>89</v>
      </c>
      <c r="L2812" s="12" t="s">
        <v>96</v>
      </c>
      <c r="M2812">
        <v>9.15</v>
      </c>
      <c r="N2812" s="12" t="s">
        <v>70</v>
      </c>
      <c r="O2812" s="12" t="s">
        <v>71</v>
      </c>
      <c r="P2812" s="12" t="s">
        <v>72</v>
      </c>
      <c r="Q2812" s="13">
        <v>45450</v>
      </c>
      <c r="R2812" s="13">
        <v>45468</v>
      </c>
      <c r="S2812">
        <v>2024</v>
      </c>
      <c r="T2812" s="12" t="s">
        <v>3649</v>
      </c>
      <c r="U2812">
        <v>886</v>
      </c>
      <c r="V2812">
        <v>25.1891</v>
      </c>
      <c r="W2812">
        <v>522.21</v>
      </c>
      <c r="X2812">
        <v>0</v>
      </c>
      <c r="Y2812">
        <v>0</v>
      </c>
      <c r="Z2812">
        <v>22317.54</v>
      </c>
      <c r="AA2812">
        <v>22839.75</v>
      </c>
      <c r="AB2812" s="12" t="s">
        <v>201</v>
      </c>
      <c r="AD2812">
        <v>0</v>
      </c>
      <c r="AE2812">
        <v>0</v>
      </c>
      <c r="AH2812">
        <v>886</v>
      </c>
      <c r="AI2812">
        <v>878</v>
      </c>
      <c r="AJ2812">
        <v>8</v>
      </c>
      <c r="AK2812">
        <v>1</v>
      </c>
      <c r="AL2812">
        <v>1</v>
      </c>
      <c r="AM2812">
        <v>99.1</v>
      </c>
      <c r="AN2812">
        <v>26.013400000000001</v>
      </c>
      <c r="AO2812">
        <v>201.51</v>
      </c>
      <c r="AP2812" s="13">
        <v>45465</v>
      </c>
      <c r="AQ2812">
        <v>-3</v>
      </c>
      <c r="AR2812">
        <v>1</v>
      </c>
    </row>
    <row r="2813" spans="1:44" x14ac:dyDescent="0.35">
      <c r="A2813" s="12" t="s">
        <v>3690</v>
      </c>
      <c r="B2813" s="12" t="s">
        <v>680</v>
      </c>
      <c r="C2813" s="12" t="s">
        <v>681</v>
      </c>
      <c r="D2813" s="12" t="s">
        <v>122</v>
      </c>
      <c r="E2813" s="12" t="s">
        <v>104</v>
      </c>
      <c r="F2813">
        <v>3</v>
      </c>
      <c r="G2813">
        <v>1</v>
      </c>
      <c r="H2813">
        <v>0</v>
      </c>
      <c r="I2813" s="12" t="s">
        <v>243</v>
      </c>
      <c r="J2813" s="12" t="s">
        <v>244</v>
      </c>
      <c r="K2813" s="12" t="s">
        <v>81</v>
      </c>
      <c r="L2813" s="12" t="s">
        <v>82</v>
      </c>
      <c r="M2813">
        <v>9.2200000000000006</v>
      </c>
      <c r="N2813" s="12" t="s">
        <v>97</v>
      </c>
      <c r="O2813" s="12" t="s">
        <v>98</v>
      </c>
      <c r="P2813" s="12" t="s">
        <v>72</v>
      </c>
      <c r="Q2813" s="13">
        <v>45450</v>
      </c>
      <c r="R2813" s="13">
        <v>45467</v>
      </c>
      <c r="S2813">
        <v>2024</v>
      </c>
      <c r="T2813" s="12" t="s">
        <v>3649</v>
      </c>
      <c r="U2813">
        <v>708</v>
      </c>
      <c r="V2813">
        <v>21.516500000000001</v>
      </c>
      <c r="W2813">
        <v>172.45</v>
      </c>
      <c r="X2813">
        <v>0</v>
      </c>
      <c r="Y2813">
        <v>0</v>
      </c>
      <c r="Z2813">
        <v>15233.68</v>
      </c>
      <c r="AA2813">
        <v>15406.13</v>
      </c>
      <c r="AB2813" s="12" t="s">
        <v>3691</v>
      </c>
      <c r="AC2813">
        <v>22.8827</v>
      </c>
      <c r="AD2813">
        <v>1</v>
      </c>
      <c r="AE2813">
        <v>1</v>
      </c>
      <c r="AF2813">
        <v>-967.27</v>
      </c>
      <c r="AG2813">
        <v>16200.95</v>
      </c>
      <c r="AH2813">
        <v>708</v>
      </c>
      <c r="AI2813">
        <v>701</v>
      </c>
      <c r="AJ2813">
        <v>7</v>
      </c>
      <c r="AK2813">
        <v>1</v>
      </c>
      <c r="AL2813">
        <v>1</v>
      </c>
      <c r="AM2813">
        <v>99.01</v>
      </c>
      <c r="AN2813">
        <v>21.977399999999999</v>
      </c>
      <c r="AO2813">
        <v>150.62</v>
      </c>
      <c r="AP2813" s="13">
        <v>45464</v>
      </c>
      <c r="AQ2813">
        <v>-3</v>
      </c>
      <c r="AR2813">
        <v>1</v>
      </c>
    </row>
    <row r="2814" spans="1:44" x14ac:dyDescent="0.35">
      <c r="A2814" s="12" t="s">
        <v>3692</v>
      </c>
      <c r="B2814" s="12" t="s">
        <v>706</v>
      </c>
      <c r="C2814" s="12" t="s">
        <v>707</v>
      </c>
      <c r="D2814" s="12" t="s">
        <v>130</v>
      </c>
      <c r="E2814" s="12" t="s">
        <v>142</v>
      </c>
      <c r="F2814">
        <v>1</v>
      </c>
      <c r="G2814">
        <v>8</v>
      </c>
      <c r="H2814">
        <v>1</v>
      </c>
      <c r="I2814" s="12" t="s">
        <v>263</v>
      </c>
      <c r="J2814" s="12" t="s">
        <v>264</v>
      </c>
      <c r="K2814" s="12" t="s">
        <v>125</v>
      </c>
      <c r="L2814" s="12" t="s">
        <v>82</v>
      </c>
      <c r="M2814">
        <v>10.210000000000001</v>
      </c>
      <c r="N2814" s="12" t="s">
        <v>135</v>
      </c>
      <c r="O2814" s="12" t="s">
        <v>136</v>
      </c>
      <c r="P2814" s="12" t="s">
        <v>137</v>
      </c>
      <c r="Q2814" s="13">
        <v>45450</v>
      </c>
      <c r="R2814" s="13">
        <v>45495</v>
      </c>
      <c r="S2814">
        <v>2024</v>
      </c>
      <c r="T2814" s="12" t="s">
        <v>3649</v>
      </c>
      <c r="U2814">
        <v>95</v>
      </c>
      <c r="V2814">
        <v>277.214</v>
      </c>
      <c r="W2814">
        <v>577.86</v>
      </c>
      <c r="X2814">
        <v>0</v>
      </c>
      <c r="Y2814">
        <v>0</v>
      </c>
      <c r="Z2814">
        <v>26335.33</v>
      </c>
      <c r="AA2814">
        <v>26913.19</v>
      </c>
      <c r="AB2814" s="12" t="s">
        <v>3434</v>
      </c>
      <c r="AC2814">
        <v>277.214</v>
      </c>
      <c r="AD2814">
        <v>1</v>
      </c>
      <c r="AE2814">
        <v>1</v>
      </c>
      <c r="AF2814">
        <v>0</v>
      </c>
      <c r="AG2814">
        <v>26335.33</v>
      </c>
      <c r="AH2814">
        <v>95</v>
      </c>
      <c r="AI2814">
        <v>95</v>
      </c>
      <c r="AJ2814">
        <v>0</v>
      </c>
      <c r="AK2814">
        <v>1</v>
      </c>
      <c r="AL2814">
        <v>1</v>
      </c>
      <c r="AM2814">
        <v>100</v>
      </c>
      <c r="AN2814">
        <v>283.29669999999999</v>
      </c>
      <c r="AO2814">
        <v>0</v>
      </c>
      <c r="AP2814" s="13">
        <v>45492</v>
      </c>
      <c r="AQ2814">
        <v>-3</v>
      </c>
      <c r="AR2814">
        <v>1</v>
      </c>
    </row>
    <row r="2815" spans="1:44" x14ac:dyDescent="0.35">
      <c r="A2815" s="12" t="s">
        <v>3693</v>
      </c>
      <c r="B2815" s="12" t="s">
        <v>630</v>
      </c>
      <c r="C2815" s="12" t="s">
        <v>631</v>
      </c>
      <c r="D2815" s="12" t="s">
        <v>130</v>
      </c>
      <c r="E2815" s="12" t="s">
        <v>65</v>
      </c>
      <c r="F2815">
        <v>1</v>
      </c>
      <c r="G2815">
        <v>2</v>
      </c>
      <c r="H2815">
        <v>1</v>
      </c>
      <c r="I2815" s="12" t="s">
        <v>335</v>
      </c>
      <c r="J2815" s="12" t="s">
        <v>336</v>
      </c>
      <c r="K2815" s="12" t="s">
        <v>89</v>
      </c>
      <c r="L2815" s="12" t="s">
        <v>82</v>
      </c>
      <c r="M2815">
        <v>16</v>
      </c>
      <c r="N2815" s="12" t="s">
        <v>135</v>
      </c>
      <c r="O2815" s="12" t="s">
        <v>136</v>
      </c>
      <c r="P2815" s="12" t="s">
        <v>137</v>
      </c>
      <c r="Q2815" s="13">
        <v>45450</v>
      </c>
      <c r="R2815" s="13">
        <v>45480</v>
      </c>
      <c r="S2815">
        <v>2024</v>
      </c>
      <c r="T2815" s="12" t="s">
        <v>3649</v>
      </c>
      <c r="U2815">
        <v>85</v>
      </c>
      <c r="V2815">
        <v>420.1189</v>
      </c>
      <c r="W2815">
        <v>475.56</v>
      </c>
      <c r="X2815">
        <v>0</v>
      </c>
      <c r="Y2815">
        <v>0</v>
      </c>
      <c r="Z2815">
        <v>35710.11</v>
      </c>
      <c r="AA2815">
        <v>36185.67</v>
      </c>
      <c r="AB2815" s="12" t="s">
        <v>2944</v>
      </c>
      <c r="AC2815">
        <v>446.36720000000003</v>
      </c>
      <c r="AD2815">
        <v>1</v>
      </c>
      <c r="AE2815">
        <v>1</v>
      </c>
      <c r="AF2815">
        <v>-2231.11</v>
      </c>
      <c r="AG2815">
        <v>37941.21</v>
      </c>
      <c r="AH2815">
        <v>85</v>
      </c>
      <c r="AI2815">
        <v>84</v>
      </c>
      <c r="AJ2815">
        <v>1</v>
      </c>
      <c r="AK2815">
        <v>1</v>
      </c>
      <c r="AL2815">
        <v>1</v>
      </c>
      <c r="AM2815">
        <v>98.82</v>
      </c>
      <c r="AN2815">
        <v>430.7817</v>
      </c>
      <c r="AO2815">
        <v>420.12</v>
      </c>
      <c r="AP2815" s="13">
        <v>45480</v>
      </c>
      <c r="AQ2815">
        <v>0</v>
      </c>
      <c r="AR2815">
        <v>1</v>
      </c>
    </row>
    <row r="2816" spans="1:44" x14ac:dyDescent="0.35">
      <c r="A2816" s="12" t="s">
        <v>3694</v>
      </c>
      <c r="B2816" s="12" t="s">
        <v>1220</v>
      </c>
      <c r="C2816" s="12" t="s">
        <v>1221</v>
      </c>
      <c r="D2816" s="12" t="s">
        <v>175</v>
      </c>
      <c r="E2816" s="12" t="s">
        <v>104</v>
      </c>
      <c r="F2816">
        <v>3</v>
      </c>
      <c r="G2816">
        <v>1</v>
      </c>
      <c r="H2816">
        <v>0</v>
      </c>
      <c r="I2816" s="12" t="s">
        <v>251</v>
      </c>
      <c r="J2816" s="12" t="s">
        <v>252</v>
      </c>
      <c r="K2816" s="12" t="s">
        <v>133</v>
      </c>
      <c r="L2816" s="12" t="s">
        <v>69</v>
      </c>
      <c r="M2816">
        <v>34.49</v>
      </c>
      <c r="N2816" s="12" t="s">
        <v>107</v>
      </c>
      <c r="O2816" s="12" t="s">
        <v>108</v>
      </c>
      <c r="P2816" s="12" t="s">
        <v>109</v>
      </c>
      <c r="Q2816" s="13">
        <v>45450</v>
      </c>
      <c r="R2816" s="13">
        <v>45478</v>
      </c>
      <c r="S2816">
        <v>2024</v>
      </c>
      <c r="T2816" s="12" t="s">
        <v>3649</v>
      </c>
      <c r="U2816">
        <v>136</v>
      </c>
      <c r="V2816">
        <v>138.95140000000001</v>
      </c>
      <c r="W2816">
        <v>210.98</v>
      </c>
      <c r="X2816">
        <v>0</v>
      </c>
      <c r="Y2816">
        <v>0</v>
      </c>
      <c r="Z2816">
        <v>18897.39</v>
      </c>
      <c r="AA2816">
        <v>19108.37</v>
      </c>
      <c r="AB2816" s="12" t="s">
        <v>3687</v>
      </c>
      <c r="AC2816">
        <v>138.95140000000001</v>
      </c>
      <c r="AD2816">
        <v>1</v>
      </c>
      <c r="AE2816">
        <v>1</v>
      </c>
      <c r="AF2816">
        <v>0</v>
      </c>
      <c r="AG2816">
        <v>18897.39</v>
      </c>
      <c r="AH2816">
        <v>136</v>
      </c>
      <c r="AI2816">
        <v>134</v>
      </c>
      <c r="AJ2816">
        <v>2</v>
      </c>
      <c r="AK2816">
        <v>1</v>
      </c>
      <c r="AL2816">
        <v>1</v>
      </c>
      <c r="AM2816">
        <v>98.53</v>
      </c>
      <c r="AN2816">
        <v>142.59979999999999</v>
      </c>
      <c r="AO2816">
        <v>277.89999999999998</v>
      </c>
      <c r="AP2816" s="13">
        <v>45475</v>
      </c>
      <c r="AQ2816">
        <v>-3</v>
      </c>
      <c r="AR2816">
        <v>1</v>
      </c>
    </row>
    <row r="2817" spans="1:44" x14ac:dyDescent="0.35">
      <c r="A2817" s="12" t="s">
        <v>3695</v>
      </c>
      <c r="B2817" s="12" t="s">
        <v>646</v>
      </c>
      <c r="C2817" s="12" t="s">
        <v>647</v>
      </c>
      <c r="D2817" s="12" t="s">
        <v>175</v>
      </c>
      <c r="E2817" s="12" t="s">
        <v>104</v>
      </c>
      <c r="F2817">
        <v>3</v>
      </c>
      <c r="G2817">
        <v>1</v>
      </c>
      <c r="H2817">
        <v>0</v>
      </c>
      <c r="I2817" s="12" t="s">
        <v>227</v>
      </c>
      <c r="J2817" s="12" t="s">
        <v>228</v>
      </c>
      <c r="K2817" s="12" t="s">
        <v>89</v>
      </c>
      <c r="L2817" s="12" t="s">
        <v>96</v>
      </c>
      <c r="M2817">
        <v>9.15</v>
      </c>
      <c r="N2817" s="12" t="s">
        <v>107</v>
      </c>
      <c r="O2817" s="12" t="s">
        <v>108</v>
      </c>
      <c r="P2817" s="12" t="s">
        <v>109</v>
      </c>
      <c r="Q2817" s="13">
        <v>45450</v>
      </c>
      <c r="R2817" s="13">
        <v>45471</v>
      </c>
      <c r="S2817">
        <v>2024</v>
      </c>
      <c r="T2817" s="12" t="s">
        <v>3649</v>
      </c>
      <c r="U2817">
        <v>84</v>
      </c>
      <c r="V2817">
        <v>203.7088</v>
      </c>
      <c r="W2817">
        <v>178.6</v>
      </c>
      <c r="X2817">
        <v>0</v>
      </c>
      <c r="Y2817">
        <v>0</v>
      </c>
      <c r="Z2817">
        <v>17111.54</v>
      </c>
      <c r="AA2817">
        <v>17290.14</v>
      </c>
      <c r="AB2817" s="12" t="s">
        <v>3535</v>
      </c>
      <c r="AC2817">
        <v>203.7088</v>
      </c>
      <c r="AD2817">
        <v>1</v>
      </c>
      <c r="AE2817">
        <v>1</v>
      </c>
      <c r="AF2817">
        <v>0</v>
      </c>
      <c r="AG2817">
        <v>17111.54</v>
      </c>
      <c r="AH2817">
        <v>84</v>
      </c>
      <c r="AI2817">
        <v>83</v>
      </c>
      <c r="AJ2817">
        <v>1</v>
      </c>
      <c r="AK2817">
        <v>1</v>
      </c>
      <c r="AL2817">
        <v>1</v>
      </c>
      <c r="AM2817">
        <v>98.81</v>
      </c>
      <c r="AN2817">
        <v>208.31489999999999</v>
      </c>
      <c r="AO2817">
        <v>203.71</v>
      </c>
      <c r="AP2817" s="13">
        <v>45469</v>
      </c>
      <c r="AQ2817">
        <v>-2</v>
      </c>
      <c r="AR2817">
        <v>1</v>
      </c>
    </row>
    <row r="2818" spans="1:44" x14ac:dyDescent="0.35">
      <c r="A2818" s="12" t="s">
        <v>3696</v>
      </c>
      <c r="B2818" s="12" t="s">
        <v>241</v>
      </c>
      <c r="C2818" s="12" t="s">
        <v>242</v>
      </c>
      <c r="D2818" s="12" t="s">
        <v>103</v>
      </c>
      <c r="E2818" s="12" t="s">
        <v>142</v>
      </c>
      <c r="F2818">
        <v>3</v>
      </c>
      <c r="G2818">
        <v>11</v>
      </c>
      <c r="H2818">
        <v>0</v>
      </c>
      <c r="I2818" s="12" t="s">
        <v>243</v>
      </c>
      <c r="J2818" s="12" t="s">
        <v>244</v>
      </c>
      <c r="K2818" s="12" t="s">
        <v>81</v>
      </c>
      <c r="L2818" s="12" t="s">
        <v>82</v>
      </c>
      <c r="M2818">
        <v>9.2200000000000006</v>
      </c>
      <c r="N2818" s="12" t="s">
        <v>107</v>
      </c>
      <c r="O2818" s="12" t="s">
        <v>108</v>
      </c>
      <c r="P2818" s="12" t="s">
        <v>109</v>
      </c>
      <c r="Q2818" s="13">
        <v>45450</v>
      </c>
      <c r="R2818" s="13">
        <v>45491</v>
      </c>
      <c r="S2818">
        <v>2024</v>
      </c>
      <c r="T2818" s="12" t="s">
        <v>3649</v>
      </c>
      <c r="U2818">
        <v>63</v>
      </c>
      <c r="V2818">
        <v>175.60429999999999</v>
      </c>
      <c r="W2818">
        <v>85.98</v>
      </c>
      <c r="X2818">
        <v>0</v>
      </c>
      <c r="Y2818">
        <v>0</v>
      </c>
      <c r="Z2818">
        <v>11063.07</v>
      </c>
      <c r="AA2818">
        <v>11149.05</v>
      </c>
      <c r="AB2818" s="12" t="s">
        <v>201</v>
      </c>
      <c r="AD2818">
        <v>0</v>
      </c>
      <c r="AE2818">
        <v>0</v>
      </c>
      <c r="AH2818">
        <v>63</v>
      </c>
      <c r="AI2818">
        <v>62</v>
      </c>
      <c r="AJ2818">
        <v>1</v>
      </c>
      <c r="AK2818">
        <v>1</v>
      </c>
      <c r="AL2818">
        <v>1</v>
      </c>
      <c r="AM2818">
        <v>98.41</v>
      </c>
      <c r="AN2818">
        <v>179.82339999999999</v>
      </c>
      <c r="AO2818">
        <v>175.6</v>
      </c>
      <c r="AP2818" s="13">
        <v>45489</v>
      </c>
      <c r="AQ2818">
        <v>-2</v>
      </c>
      <c r="AR2818">
        <v>1</v>
      </c>
    </row>
    <row r="2819" spans="1:44" x14ac:dyDescent="0.35">
      <c r="A2819" s="12" t="s">
        <v>3697</v>
      </c>
      <c r="B2819" s="12" t="s">
        <v>952</v>
      </c>
      <c r="C2819" s="12" t="s">
        <v>953</v>
      </c>
      <c r="D2819" s="12" t="s">
        <v>64</v>
      </c>
      <c r="E2819" s="12" t="s">
        <v>142</v>
      </c>
      <c r="F2819">
        <v>1</v>
      </c>
      <c r="G2819">
        <v>8</v>
      </c>
      <c r="H2819">
        <v>1</v>
      </c>
      <c r="I2819" s="12" t="s">
        <v>131</v>
      </c>
      <c r="J2819" s="12" t="s">
        <v>132</v>
      </c>
      <c r="K2819" s="12" t="s">
        <v>133</v>
      </c>
      <c r="L2819" s="12" t="s">
        <v>134</v>
      </c>
      <c r="M2819">
        <v>1.51</v>
      </c>
      <c r="N2819" s="12" t="s">
        <v>97</v>
      </c>
      <c r="O2819" s="12" t="s">
        <v>98</v>
      </c>
      <c r="P2819" s="12" t="s">
        <v>72</v>
      </c>
      <c r="Q2819" s="13">
        <v>45450</v>
      </c>
      <c r="R2819" s="13">
        <v>45489</v>
      </c>
      <c r="S2819">
        <v>2024</v>
      </c>
      <c r="T2819" s="12" t="s">
        <v>3649</v>
      </c>
      <c r="U2819">
        <v>323</v>
      </c>
      <c r="V2819">
        <v>31.110399999999998</v>
      </c>
      <c r="W2819">
        <v>215.16</v>
      </c>
      <c r="X2819">
        <v>0</v>
      </c>
      <c r="Y2819">
        <v>0</v>
      </c>
      <c r="Z2819">
        <v>10048.66</v>
      </c>
      <c r="AA2819">
        <v>10263.82</v>
      </c>
      <c r="AB2819" s="12" t="s">
        <v>3261</v>
      </c>
      <c r="AC2819">
        <v>31.110399999999998</v>
      </c>
      <c r="AD2819">
        <v>1</v>
      </c>
      <c r="AE2819">
        <v>1</v>
      </c>
      <c r="AF2819">
        <v>0</v>
      </c>
      <c r="AG2819">
        <v>10048.66</v>
      </c>
      <c r="AH2819">
        <v>323</v>
      </c>
      <c r="AI2819">
        <v>322</v>
      </c>
      <c r="AJ2819">
        <v>1</v>
      </c>
      <c r="AK2819">
        <v>1</v>
      </c>
      <c r="AL2819">
        <v>1</v>
      </c>
      <c r="AM2819">
        <v>99.69</v>
      </c>
      <c r="AN2819">
        <v>31.8752</v>
      </c>
      <c r="AO2819">
        <v>31.11</v>
      </c>
      <c r="AP2819" s="13">
        <v>45487</v>
      </c>
      <c r="AQ2819">
        <v>-2</v>
      </c>
      <c r="AR2819">
        <v>1</v>
      </c>
    </row>
    <row r="2820" spans="1:44" x14ac:dyDescent="0.35">
      <c r="A2820" s="12" t="s">
        <v>3698</v>
      </c>
      <c r="B2820" s="12" t="s">
        <v>855</v>
      </c>
      <c r="C2820" s="12" t="s">
        <v>856</v>
      </c>
      <c r="D2820" s="12" t="s">
        <v>269</v>
      </c>
      <c r="E2820" s="12" t="s">
        <v>65</v>
      </c>
      <c r="F2820">
        <v>3</v>
      </c>
      <c r="G2820">
        <v>5</v>
      </c>
      <c r="H2820">
        <v>0</v>
      </c>
      <c r="I2820" s="12" t="s">
        <v>94</v>
      </c>
      <c r="J2820" s="12" t="s">
        <v>95</v>
      </c>
      <c r="K2820" s="12" t="s">
        <v>81</v>
      </c>
      <c r="L2820" s="12" t="s">
        <v>96</v>
      </c>
      <c r="M2820">
        <v>4.8099999999999996</v>
      </c>
      <c r="N2820" s="12" t="s">
        <v>135</v>
      </c>
      <c r="O2820" s="12" t="s">
        <v>136</v>
      </c>
      <c r="P2820" s="12" t="s">
        <v>137</v>
      </c>
      <c r="Q2820" s="13">
        <v>45450</v>
      </c>
      <c r="R2820" s="13">
        <v>45482</v>
      </c>
      <c r="S2820">
        <v>2024</v>
      </c>
      <c r="T2820" s="12" t="s">
        <v>3649</v>
      </c>
      <c r="U2820">
        <v>97</v>
      </c>
      <c r="V2820">
        <v>479.86860000000001</v>
      </c>
      <c r="W2820">
        <v>397.31</v>
      </c>
      <c r="X2820">
        <v>0</v>
      </c>
      <c r="Y2820">
        <v>0</v>
      </c>
      <c r="Z2820">
        <v>46547.25</v>
      </c>
      <c r="AA2820">
        <v>46944.56</v>
      </c>
      <c r="AB2820" s="12" t="s">
        <v>3699</v>
      </c>
      <c r="AC2820">
        <v>479.86860000000001</v>
      </c>
      <c r="AD2820">
        <v>1</v>
      </c>
      <c r="AE2820">
        <v>1</v>
      </c>
      <c r="AF2820">
        <v>0</v>
      </c>
      <c r="AG2820">
        <v>46547.25</v>
      </c>
      <c r="AH2820">
        <v>97</v>
      </c>
      <c r="AI2820">
        <v>96</v>
      </c>
      <c r="AJ2820">
        <v>1</v>
      </c>
      <c r="AK2820">
        <v>1</v>
      </c>
      <c r="AL2820">
        <v>1</v>
      </c>
      <c r="AM2820">
        <v>98.97</v>
      </c>
      <c r="AN2820">
        <v>489.0059</v>
      </c>
      <c r="AO2820">
        <v>479.87</v>
      </c>
      <c r="AP2820" s="13">
        <v>45482</v>
      </c>
      <c r="AQ2820">
        <v>0</v>
      </c>
      <c r="AR2820">
        <v>1</v>
      </c>
    </row>
    <row r="2821" spans="1:44" x14ac:dyDescent="0.35">
      <c r="A2821" s="12" t="s">
        <v>3700</v>
      </c>
      <c r="B2821" s="12" t="s">
        <v>391</v>
      </c>
      <c r="C2821" s="12" t="s">
        <v>392</v>
      </c>
      <c r="D2821" s="12" t="s">
        <v>114</v>
      </c>
      <c r="E2821" s="12" t="s">
        <v>65</v>
      </c>
      <c r="F2821">
        <v>2</v>
      </c>
      <c r="G2821">
        <v>2</v>
      </c>
      <c r="H2821">
        <v>0</v>
      </c>
      <c r="I2821" s="12" t="s">
        <v>310</v>
      </c>
      <c r="J2821" s="12" t="s">
        <v>311</v>
      </c>
      <c r="K2821" s="12" t="s">
        <v>81</v>
      </c>
      <c r="L2821" s="12" t="s">
        <v>69</v>
      </c>
      <c r="M2821">
        <v>28.3</v>
      </c>
      <c r="N2821" s="12" t="s">
        <v>97</v>
      </c>
      <c r="O2821" s="12" t="s">
        <v>98</v>
      </c>
      <c r="P2821" s="12" t="s">
        <v>72</v>
      </c>
      <c r="Q2821" s="13">
        <v>45450</v>
      </c>
      <c r="R2821" s="13">
        <v>45481</v>
      </c>
      <c r="S2821">
        <v>2024</v>
      </c>
      <c r="T2821" s="12" t="s">
        <v>3649</v>
      </c>
      <c r="U2821">
        <v>88</v>
      </c>
      <c r="V2821">
        <v>220.328</v>
      </c>
      <c r="W2821">
        <v>182.28</v>
      </c>
      <c r="X2821">
        <v>0</v>
      </c>
      <c r="Y2821">
        <v>0</v>
      </c>
      <c r="Z2821">
        <v>19388.86</v>
      </c>
      <c r="AA2821">
        <v>19571.14</v>
      </c>
      <c r="AB2821" s="12" t="s">
        <v>2890</v>
      </c>
      <c r="AC2821">
        <v>220.328</v>
      </c>
      <c r="AD2821">
        <v>1</v>
      </c>
      <c r="AE2821">
        <v>1</v>
      </c>
      <c r="AF2821">
        <v>0</v>
      </c>
      <c r="AG2821">
        <v>19388.86</v>
      </c>
      <c r="AH2821">
        <v>88</v>
      </c>
      <c r="AI2821">
        <v>87</v>
      </c>
      <c r="AJ2821">
        <v>1</v>
      </c>
      <c r="AK2821">
        <v>1</v>
      </c>
      <c r="AL2821">
        <v>1</v>
      </c>
      <c r="AM2821">
        <v>98.86</v>
      </c>
      <c r="AN2821">
        <v>224.95570000000001</v>
      </c>
      <c r="AO2821">
        <v>220.33</v>
      </c>
      <c r="AP2821" s="13">
        <v>45479</v>
      </c>
      <c r="AQ2821">
        <v>-2</v>
      </c>
      <c r="AR2821">
        <v>1</v>
      </c>
    </row>
    <row r="2822" spans="1:44" x14ac:dyDescent="0.35">
      <c r="A2822" s="12" t="s">
        <v>3701</v>
      </c>
      <c r="B2822" s="12" t="s">
        <v>792</v>
      </c>
      <c r="C2822" s="12" t="s">
        <v>793</v>
      </c>
      <c r="D2822" s="12" t="s">
        <v>103</v>
      </c>
      <c r="E2822" s="12" t="s">
        <v>65</v>
      </c>
      <c r="F2822">
        <v>2</v>
      </c>
      <c r="G2822">
        <v>3</v>
      </c>
      <c r="H2822">
        <v>0</v>
      </c>
      <c r="I2822" s="12" t="s">
        <v>115</v>
      </c>
      <c r="J2822" s="12" t="s">
        <v>116</v>
      </c>
      <c r="K2822" s="12" t="s">
        <v>117</v>
      </c>
      <c r="L2822" s="12" t="s">
        <v>82</v>
      </c>
      <c r="M2822">
        <v>17.170000000000002</v>
      </c>
      <c r="N2822" s="12" t="s">
        <v>145</v>
      </c>
      <c r="O2822" s="12" t="s">
        <v>146</v>
      </c>
      <c r="P2822" s="12" t="s">
        <v>109</v>
      </c>
      <c r="Q2822" s="13">
        <v>45450</v>
      </c>
      <c r="R2822" s="13">
        <v>45480</v>
      </c>
      <c r="S2822">
        <v>2024</v>
      </c>
      <c r="T2822" s="12" t="s">
        <v>3649</v>
      </c>
      <c r="U2822">
        <v>84</v>
      </c>
      <c r="V2822">
        <v>98.330600000000004</v>
      </c>
      <c r="W2822">
        <v>198.84</v>
      </c>
      <c r="X2822">
        <v>0</v>
      </c>
      <c r="Y2822">
        <v>0</v>
      </c>
      <c r="Z2822">
        <v>8259.77</v>
      </c>
      <c r="AA2822">
        <v>8458.61</v>
      </c>
      <c r="AB2822" s="12" t="s">
        <v>3411</v>
      </c>
      <c r="AC2822">
        <v>98.330600000000004</v>
      </c>
      <c r="AD2822">
        <v>1</v>
      </c>
      <c r="AE2822">
        <v>1</v>
      </c>
      <c r="AF2822">
        <v>0</v>
      </c>
      <c r="AG2822">
        <v>8259.77</v>
      </c>
      <c r="AH2822">
        <v>84</v>
      </c>
      <c r="AI2822">
        <v>83</v>
      </c>
      <c r="AJ2822">
        <v>1</v>
      </c>
      <c r="AK2822">
        <v>1</v>
      </c>
      <c r="AL2822">
        <v>1</v>
      </c>
      <c r="AM2822">
        <v>98.81</v>
      </c>
      <c r="AN2822">
        <v>101.911</v>
      </c>
      <c r="AO2822">
        <v>98.33</v>
      </c>
      <c r="AP2822" s="13">
        <v>45477</v>
      </c>
      <c r="AQ2822">
        <v>-3</v>
      </c>
      <c r="AR2822">
        <v>1</v>
      </c>
    </row>
    <row r="2823" spans="1:44" x14ac:dyDescent="0.35">
      <c r="A2823" s="12" t="s">
        <v>3702</v>
      </c>
      <c r="B2823" s="12" t="s">
        <v>1433</v>
      </c>
      <c r="C2823" s="12" t="s">
        <v>1434</v>
      </c>
      <c r="D2823" s="12" t="s">
        <v>269</v>
      </c>
      <c r="E2823" s="12" t="s">
        <v>65</v>
      </c>
      <c r="F2823">
        <v>3</v>
      </c>
      <c r="G2823">
        <v>5</v>
      </c>
      <c r="H2823">
        <v>0</v>
      </c>
      <c r="I2823" s="12" t="s">
        <v>223</v>
      </c>
      <c r="J2823" s="12" t="s">
        <v>224</v>
      </c>
      <c r="K2823" s="12" t="s">
        <v>81</v>
      </c>
      <c r="L2823" s="12" t="s">
        <v>134</v>
      </c>
      <c r="M2823">
        <v>2.4900000000000002</v>
      </c>
      <c r="N2823" s="12" t="s">
        <v>135</v>
      </c>
      <c r="O2823" s="12" t="s">
        <v>136</v>
      </c>
      <c r="P2823" s="12" t="s">
        <v>137</v>
      </c>
      <c r="Q2823" s="13">
        <v>45450</v>
      </c>
      <c r="R2823" s="13">
        <v>45486</v>
      </c>
      <c r="S2823">
        <v>2024</v>
      </c>
      <c r="T2823" s="12" t="s">
        <v>3649</v>
      </c>
      <c r="U2823">
        <v>133</v>
      </c>
      <c r="V2823">
        <v>466.94099999999997</v>
      </c>
      <c r="W2823">
        <v>495.48</v>
      </c>
      <c r="X2823">
        <v>0</v>
      </c>
      <c r="Y2823">
        <v>0</v>
      </c>
      <c r="Z2823">
        <v>62103.15</v>
      </c>
      <c r="AA2823">
        <v>62598.63</v>
      </c>
      <c r="AB2823" s="12" t="s">
        <v>201</v>
      </c>
      <c r="AD2823">
        <v>0</v>
      </c>
      <c r="AE2823">
        <v>0</v>
      </c>
      <c r="AH2823">
        <v>133</v>
      </c>
      <c r="AI2823">
        <v>132</v>
      </c>
      <c r="AJ2823">
        <v>1</v>
      </c>
      <c r="AK2823">
        <v>1</v>
      </c>
      <c r="AL2823">
        <v>1</v>
      </c>
      <c r="AM2823">
        <v>99.25</v>
      </c>
      <c r="AN2823">
        <v>474.2321</v>
      </c>
      <c r="AO2823">
        <v>466.94</v>
      </c>
      <c r="AP2823" s="13">
        <v>45485</v>
      </c>
      <c r="AQ2823">
        <v>-1</v>
      </c>
      <c r="AR2823">
        <v>1</v>
      </c>
    </row>
    <row r="2824" spans="1:44" x14ac:dyDescent="0.35">
      <c r="A2824" s="12" t="s">
        <v>3703</v>
      </c>
      <c r="B2824" s="12" t="s">
        <v>238</v>
      </c>
      <c r="C2824" s="12" t="s">
        <v>239</v>
      </c>
      <c r="D2824" s="12" t="s">
        <v>122</v>
      </c>
      <c r="E2824" s="12" t="s">
        <v>65</v>
      </c>
      <c r="F2824">
        <v>3</v>
      </c>
      <c r="G2824">
        <v>4</v>
      </c>
      <c r="H2824">
        <v>0</v>
      </c>
      <c r="I2824" s="12" t="s">
        <v>79</v>
      </c>
      <c r="J2824" s="12" t="s">
        <v>80</v>
      </c>
      <c r="K2824" s="12" t="s">
        <v>81</v>
      </c>
      <c r="L2824" s="12" t="s">
        <v>82</v>
      </c>
      <c r="M2824">
        <v>12.07</v>
      </c>
      <c r="N2824" s="12" t="s">
        <v>70</v>
      </c>
      <c r="O2824" s="12" t="s">
        <v>71</v>
      </c>
      <c r="P2824" s="12" t="s">
        <v>72</v>
      </c>
      <c r="Q2824" s="13">
        <v>45450</v>
      </c>
      <c r="R2824" s="13">
        <v>45485</v>
      </c>
      <c r="S2824">
        <v>2024</v>
      </c>
      <c r="T2824" s="12" t="s">
        <v>3649</v>
      </c>
      <c r="U2824">
        <v>1644</v>
      </c>
      <c r="V2824">
        <v>37.502000000000002</v>
      </c>
      <c r="W2824">
        <v>1126.0899999999999</v>
      </c>
      <c r="X2824">
        <v>0</v>
      </c>
      <c r="Y2824">
        <v>0</v>
      </c>
      <c r="Z2824">
        <v>61653.29</v>
      </c>
      <c r="AA2824">
        <v>62779.38</v>
      </c>
      <c r="AB2824" s="12" t="s">
        <v>2688</v>
      </c>
      <c r="AC2824">
        <v>35.6462</v>
      </c>
      <c r="AD2824">
        <v>1</v>
      </c>
      <c r="AE2824">
        <v>1</v>
      </c>
      <c r="AF2824">
        <v>3050.94</v>
      </c>
      <c r="AG2824">
        <v>58602.35</v>
      </c>
      <c r="AH2824">
        <v>1644</v>
      </c>
      <c r="AI2824">
        <v>1626</v>
      </c>
      <c r="AJ2824">
        <v>18</v>
      </c>
      <c r="AK2824">
        <v>1</v>
      </c>
      <c r="AL2824">
        <v>1</v>
      </c>
      <c r="AM2824">
        <v>98.91</v>
      </c>
      <c r="AN2824">
        <v>38.609699999999997</v>
      </c>
      <c r="AO2824">
        <v>675.04</v>
      </c>
      <c r="AP2824" s="13">
        <v>45485</v>
      </c>
      <c r="AQ2824">
        <v>0</v>
      </c>
      <c r="AR2824">
        <v>1</v>
      </c>
    </row>
    <row r="2825" spans="1:44" x14ac:dyDescent="0.35">
      <c r="A2825" s="12" t="s">
        <v>3704</v>
      </c>
      <c r="B2825" s="12" t="s">
        <v>1034</v>
      </c>
      <c r="C2825" s="12" t="s">
        <v>1035</v>
      </c>
      <c r="D2825" s="12" t="s">
        <v>64</v>
      </c>
      <c r="E2825" s="12" t="s">
        <v>104</v>
      </c>
      <c r="F2825">
        <v>2</v>
      </c>
      <c r="G2825">
        <v>0</v>
      </c>
      <c r="H2825">
        <v>0</v>
      </c>
      <c r="I2825" s="12" t="s">
        <v>157</v>
      </c>
      <c r="J2825" s="12" t="s">
        <v>158</v>
      </c>
      <c r="K2825" s="12" t="s">
        <v>117</v>
      </c>
      <c r="L2825" s="12" t="s">
        <v>96</v>
      </c>
      <c r="M2825">
        <v>4.72</v>
      </c>
      <c r="N2825" s="12" t="s">
        <v>97</v>
      </c>
      <c r="O2825" s="12" t="s">
        <v>98</v>
      </c>
      <c r="P2825" s="12" t="s">
        <v>72</v>
      </c>
      <c r="Q2825" s="13">
        <v>45453</v>
      </c>
      <c r="R2825" s="13">
        <v>45467</v>
      </c>
      <c r="S2825">
        <v>2024</v>
      </c>
      <c r="T2825" s="12" t="s">
        <v>3649</v>
      </c>
      <c r="U2825">
        <v>206</v>
      </c>
      <c r="V2825">
        <v>9.2698</v>
      </c>
      <c r="W2825">
        <v>25.99</v>
      </c>
      <c r="X2825">
        <v>0</v>
      </c>
      <c r="Y2825">
        <v>0</v>
      </c>
      <c r="Z2825">
        <v>1909.58</v>
      </c>
      <c r="AA2825">
        <v>1935.57</v>
      </c>
      <c r="AB2825" s="12" t="s">
        <v>3309</v>
      </c>
      <c r="AC2825">
        <v>9.2698</v>
      </c>
      <c r="AD2825">
        <v>1</v>
      </c>
      <c r="AE2825">
        <v>1</v>
      </c>
      <c r="AF2825">
        <v>0</v>
      </c>
      <c r="AG2825">
        <v>1909.58</v>
      </c>
      <c r="AH2825">
        <v>206</v>
      </c>
      <c r="AI2825">
        <v>203</v>
      </c>
      <c r="AJ2825">
        <v>3</v>
      </c>
      <c r="AK2825">
        <v>1</v>
      </c>
      <c r="AL2825">
        <v>1</v>
      </c>
      <c r="AM2825">
        <v>98.54</v>
      </c>
      <c r="AN2825">
        <v>9.5348000000000006</v>
      </c>
      <c r="AO2825">
        <v>27.81</v>
      </c>
      <c r="AP2825" s="13">
        <v>45463</v>
      </c>
      <c r="AQ2825">
        <v>-4</v>
      </c>
      <c r="AR2825">
        <v>1</v>
      </c>
    </row>
    <row r="2826" spans="1:44" x14ac:dyDescent="0.35">
      <c r="A2826" s="12" t="s">
        <v>3705</v>
      </c>
      <c r="B2826" s="12" t="s">
        <v>843</v>
      </c>
      <c r="C2826" s="12" t="s">
        <v>844</v>
      </c>
      <c r="D2826" s="12" t="s">
        <v>175</v>
      </c>
      <c r="E2826" s="12" t="s">
        <v>65</v>
      </c>
      <c r="F2826">
        <v>3</v>
      </c>
      <c r="G2826">
        <v>5</v>
      </c>
      <c r="H2826">
        <v>0</v>
      </c>
      <c r="I2826" s="12" t="s">
        <v>359</v>
      </c>
      <c r="J2826" s="12" t="s">
        <v>360</v>
      </c>
      <c r="K2826" s="12" t="s">
        <v>133</v>
      </c>
      <c r="L2826" s="12" t="s">
        <v>82</v>
      </c>
      <c r="M2826">
        <v>12.65</v>
      </c>
      <c r="N2826" s="12" t="s">
        <v>107</v>
      </c>
      <c r="O2826" s="12" t="s">
        <v>108</v>
      </c>
      <c r="P2826" s="12" t="s">
        <v>109</v>
      </c>
      <c r="Q2826" s="13">
        <v>45453</v>
      </c>
      <c r="R2826" s="13">
        <v>45478</v>
      </c>
      <c r="S2826">
        <v>2024</v>
      </c>
      <c r="T2826" s="12" t="s">
        <v>3649</v>
      </c>
      <c r="U2826">
        <v>41</v>
      </c>
      <c r="V2826">
        <v>251.77279999999999</v>
      </c>
      <c r="W2826">
        <v>205.87</v>
      </c>
      <c r="X2826">
        <v>0</v>
      </c>
      <c r="Y2826">
        <v>0</v>
      </c>
      <c r="Z2826">
        <v>10322.68</v>
      </c>
      <c r="AA2826">
        <v>10528.55</v>
      </c>
      <c r="AB2826" s="12" t="s">
        <v>3324</v>
      </c>
      <c r="AC2826">
        <v>251.77279999999999</v>
      </c>
      <c r="AD2826">
        <v>1</v>
      </c>
      <c r="AE2826">
        <v>1</v>
      </c>
      <c r="AF2826">
        <v>0</v>
      </c>
      <c r="AG2826">
        <v>10322.68</v>
      </c>
      <c r="AH2826">
        <v>41</v>
      </c>
      <c r="AI2826">
        <v>40</v>
      </c>
      <c r="AJ2826">
        <v>1</v>
      </c>
      <c r="AK2826">
        <v>1</v>
      </c>
      <c r="AL2826">
        <v>1</v>
      </c>
      <c r="AM2826">
        <v>97.56</v>
      </c>
      <c r="AN2826">
        <v>263.21390000000002</v>
      </c>
      <c r="AO2826">
        <v>251.77</v>
      </c>
      <c r="AP2826" s="13">
        <v>45478</v>
      </c>
      <c r="AQ2826">
        <v>0</v>
      </c>
      <c r="AR2826">
        <v>1</v>
      </c>
    </row>
    <row r="2827" spans="1:44" x14ac:dyDescent="0.35">
      <c r="A2827" s="12" t="s">
        <v>3706</v>
      </c>
      <c r="B2827" s="12" t="s">
        <v>399</v>
      </c>
      <c r="C2827" s="12" t="s">
        <v>400</v>
      </c>
      <c r="D2827" s="12" t="s">
        <v>114</v>
      </c>
      <c r="E2827" s="12" t="s">
        <v>65</v>
      </c>
      <c r="F2827">
        <v>1</v>
      </c>
      <c r="G2827">
        <v>2</v>
      </c>
      <c r="H2827">
        <v>1</v>
      </c>
      <c r="I2827" s="12" t="s">
        <v>151</v>
      </c>
      <c r="J2827" s="12" t="s">
        <v>152</v>
      </c>
      <c r="K2827" s="12" t="s">
        <v>125</v>
      </c>
      <c r="L2827" s="12" t="s">
        <v>69</v>
      </c>
      <c r="M2827">
        <v>36.479999999999997</v>
      </c>
      <c r="N2827" s="12" t="s">
        <v>97</v>
      </c>
      <c r="O2827" s="12" t="s">
        <v>98</v>
      </c>
      <c r="P2827" s="12" t="s">
        <v>72</v>
      </c>
      <c r="Q2827" s="13">
        <v>45453</v>
      </c>
      <c r="R2827" s="13">
        <v>45491</v>
      </c>
      <c r="S2827">
        <v>2024</v>
      </c>
      <c r="T2827" s="12" t="s">
        <v>3649</v>
      </c>
      <c r="U2827">
        <v>145</v>
      </c>
      <c r="V2827">
        <v>292.26440000000002</v>
      </c>
      <c r="W2827">
        <v>747.66</v>
      </c>
      <c r="X2827">
        <v>0</v>
      </c>
      <c r="Y2827">
        <v>0</v>
      </c>
      <c r="Z2827">
        <v>42378.34</v>
      </c>
      <c r="AA2827">
        <v>43126</v>
      </c>
      <c r="AB2827" s="12" t="s">
        <v>3009</v>
      </c>
      <c r="AC2827">
        <v>292.26440000000002</v>
      </c>
      <c r="AD2827">
        <v>1</v>
      </c>
      <c r="AE2827">
        <v>1</v>
      </c>
      <c r="AF2827">
        <v>0</v>
      </c>
      <c r="AG2827">
        <v>42378.34</v>
      </c>
      <c r="AH2827">
        <v>145</v>
      </c>
      <c r="AI2827">
        <v>143</v>
      </c>
      <c r="AJ2827">
        <v>2</v>
      </c>
      <c r="AK2827">
        <v>1</v>
      </c>
      <c r="AL2827">
        <v>1</v>
      </c>
      <c r="AM2827">
        <v>98.62</v>
      </c>
      <c r="AN2827">
        <v>301.5804</v>
      </c>
      <c r="AO2827">
        <v>584.53</v>
      </c>
      <c r="AP2827" s="13">
        <v>45488</v>
      </c>
      <c r="AQ2827">
        <v>-3</v>
      </c>
      <c r="AR2827">
        <v>1</v>
      </c>
    </row>
    <row r="2828" spans="1:44" x14ac:dyDescent="0.35">
      <c r="A2828" s="12" t="s">
        <v>3707</v>
      </c>
      <c r="B2828" s="12" t="s">
        <v>465</v>
      </c>
      <c r="C2828" s="12" t="s">
        <v>466</v>
      </c>
      <c r="D2828" s="12" t="s">
        <v>78</v>
      </c>
      <c r="E2828" s="12" t="s">
        <v>142</v>
      </c>
      <c r="F2828">
        <v>3</v>
      </c>
      <c r="G2828">
        <v>11</v>
      </c>
      <c r="H2828">
        <v>0</v>
      </c>
      <c r="I2828" s="12" t="s">
        <v>195</v>
      </c>
      <c r="J2828" s="12" t="s">
        <v>196</v>
      </c>
      <c r="K2828" s="12" t="s">
        <v>117</v>
      </c>
      <c r="L2828" s="12" t="s">
        <v>134</v>
      </c>
      <c r="M2828">
        <v>4.7699999999999996</v>
      </c>
      <c r="N2828" s="12" t="s">
        <v>70</v>
      </c>
      <c r="O2828" s="12" t="s">
        <v>71</v>
      </c>
      <c r="P2828" s="12" t="s">
        <v>72</v>
      </c>
      <c r="Q2828" s="13">
        <v>45453</v>
      </c>
      <c r="R2828" s="13">
        <v>45488</v>
      </c>
      <c r="S2828">
        <v>2024</v>
      </c>
      <c r="T2828" s="12" t="s">
        <v>3649</v>
      </c>
      <c r="U2828">
        <v>43</v>
      </c>
      <c r="V2828">
        <v>107.81189999999999</v>
      </c>
      <c r="W2828">
        <v>82.69</v>
      </c>
      <c r="X2828">
        <v>0</v>
      </c>
      <c r="Y2828">
        <v>0</v>
      </c>
      <c r="Z2828">
        <v>4635.91</v>
      </c>
      <c r="AA2828">
        <v>4718.6000000000004</v>
      </c>
      <c r="AB2828" s="12" t="s">
        <v>3058</v>
      </c>
      <c r="AC2828">
        <v>107.81189999999999</v>
      </c>
      <c r="AD2828">
        <v>1</v>
      </c>
      <c r="AE2828">
        <v>1</v>
      </c>
      <c r="AF2828">
        <v>0</v>
      </c>
      <c r="AG2828">
        <v>4635.91</v>
      </c>
      <c r="AH2828">
        <v>43</v>
      </c>
      <c r="AI2828">
        <v>43</v>
      </c>
      <c r="AJ2828">
        <v>0</v>
      </c>
      <c r="AK2828">
        <v>1</v>
      </c>
      <c r="AL2828">
        <v>1</v>
      </c>
      <c r="AM2828">
        <v>100</v>
      </c>
      <c r="AN2828">
        <v>109.7349</v>
      </c>
      <c r="AO2828">
        <v>0</v>
      </c>
      <c r="AP2828" s="13">
        <v>45488</v>
      </c>
      <c r="AQ2828">
        <v>0</v>
      </c>
      <c r="AR2828">
        <v>1</v>
      </c>
    </row>
    <row r="2829" spans="1:44" x14ac:dyDescent="0.35">
      <c r="A2829" s="12" t="s">
        <v>3708</v>
      </c>
      <c r="B2829" s="12" t="s">
        <v>685</v>
      </c>
      <c r="C2829" s="12" t="s">
        <v>686</v>
      </c>
      <c r="D2829" s="12" t="s">
        <v>175</v>
      </c>
      <c r="E2829" s="12" t="s">
        <v>104</v>
      </c>
      <c r="F2829">
        <v>2</v>
      </c>
      <c r="G2829">
        <v>0</v>
      </c>
      <c r="H2829">
        <v>0</v>
      </c>
      <c r="I2829" s="12" t="s">
        <v>243</v>
      </c>
      <c r="J2829" s="12" t="s">
        <v>244</v>
      </c>
      <c r="K2829" s="12" t="s">
        <v>81</v>
      </c>
      <c r="L2829" s="12" t="s">
        <v>82</v>
      </c>
      <c r="M2829">
        <v>9.2200000000000006</v>
      </c>
      <c r="N2829" s="12" t="s">
        <v>145</v>
      </c>
      <c r="O2829" s="12" t="s">
        <v>146</v>
      </c>
      <c r="P2829" s="12" t="s">
        <v>109</v>
      </c>
      <c r="Q2829" s="13">
        <v>45453</v>
      </c>
      <c r="R2829" s="13">
        <v>45466</v>
      </c>
      <c r="S2829">
        <v>2024</v>
      </c>
      <c r="T2829" s="12" t="s">
        <v>3649</v>
      </c>
      <c r="U2829">
        <v>23</v>
      </c>
      <c r="V2829">
        <v>242.04949999999999</v>
      </c>
      <c r="W2829">
        <v>47.46</v>
      </c>
      <c r="X2829">
        <v>0</v>
      </c>
      <c r="Y2829">
        <v>0</v>
      </c>
      <c r="Z2829">
        <v>5567.14</v>
      </c>
      <c r="AA2829">
        <v>5614.6</v>
      </c>
      <c r="AB2829" s="12" t="s">
        <v>201</v>
      </c>
      <c r="AD2829">
        <v>0</v>
      </c>
      <c r="AE2829">
        <v>0</v>
      </c>
      <c r="AH2829">
        <v>23</v>
      </c>
      <c r="AI2829">
        <v>23</v>
      </c>
      <c r="AJ2829">
        <v>0</v>
      </c>
      <c r="AK2829">
        <v>1</v>
      </c>
      <c r="AL2829">
        <v>1</v>
      </c>
      <c r="AM2829">
        <v>100</v>
      </c>
      <c r="AN2829">
        <v>244.113</v>
      </c>
      <c r="AO2829">
        <v>0</v>
      </c>
      <c r="AP2829" s="13">
        <v>45463</v>
      </c>
      <c r="AQ2829">
        <v>-3</v>
      </c>
      <c r="AR2829">
        <v>1</v>
      </c>
    </row>
    <row r="2830" spans="1:44" x14ac:dyDescent="0.35">
      <c r="A2830" s="12" t="s">
        <v>3709</v>
      </c>
      <c r="B2830" s="12" t="s">
        <v>207</v>
      </c>
      <c r="C2830" s="12" t="s">
        <v>208</v>
      </c>
      <c r="D2830" s="12" t="s">
        <v>78</v>
      </c>
      <c r="E2830" s="12" t="s">
        <v>65</v>
      </c>
      <c r="F2830">
        <v>2</v>
      </c>
      <c r="G2830">
        <v>3</v>
      </c>
      <c r="H2830">
        <v>0</v>
      </c>
      <c r="I2830" s="12" t="s">
        <v>209</v>
      </c>
      <c r="J2830" s="12" t="s">
        <v>210</v>
      </c>
      <c r="K2830" s="12" t="s">
        <v>133</v>
      </c>
      <c r="L2830" s="12" t="s">
        <v>96</v>
      </c>
      <c r="M2830">
        <v>7.82</v>
      </c>
      <c r="N2830" s="12" t="s">
        <v>97</v>
      </c>
      <c r="O2830" s="12" t="s">
        <v>98</v>
      </c>
      <c r="P2830" s="12" t="s">
        <v>72</v>
      </c>
      <c r="Q2830" s="13">
        <v>45453</v>
      </c>
      <c r="R2830" s="13">
        <v>45491</v>
      </c>
      <c r="S2830">
        <v>2024</v>
      </c>
      <c r="T2830" s="12" t="s">
        <v>3649</v>
      </c>
      <c r="U2830">
        <v>294</v>
      </c>
      <c r="V2830">
        <v>148.61590000000001</v>
      </c>
      <c r="W2830">
        <v>815.13</v>
      </c>
      <c r="X2830">
        <v>0</v>
      </c>
      <c r="Y2830">
        <v>0</v>
      </c>
      <c r="Z2830">
        <v>43693.07</v>
      </c>
      <c r="AA2830">
        <v>44508.2</v>
      </c>
      <c r="AB2830" s="12" t="s">
        <v>2832</v>
      </c>
      <c r="AC2830">
        <v>148.61590000000001</v>
      </c>
      <c r="AD2830">
        <v>1</v>
      </c>
      <c r="AE2830">
        <v>1</v>
      </c>
      <c r="AF2830">
        <v>0</v>
      </c>
      <c r="AG2830">
        <v>43693.07</v>
      </c>
      <c r="AH2830">
        <v>294</v>
      </c>
      <c r="AI2830">
        <v>288</v>
      </c>
      <c r="AJ2830">
        <v>6</v>
      </c>
      <c r="AK2830">
        <v>1</v>
      </c>
      <c r="AL2830">
        <v>1</v>
      </c>
      <c r="AM2830">
        <v>97.96</v>
      </c>
      <c r="AN2830">
        <v>154.54239999999999</v>
      </c>
      <c r="AO2830">
        <v>891.7</v>
      </c>
      <c r="AP2830" s="13">
        <v>45490</v>
      </c>
      <c r="AQ2830">
        <v>-1</v>
      </c>
      <c r="AR2830">
        <v>1</v>
      </c>
    </row>
    <row r="2831" spans="1:44" x14ac:dyDescent="0.35">
      <c r="A2831" s="12" t="s">
        <v>3710</v>
      </c>
      <c r="B2831" s="12" t="s">
        <v>952</v>
      </c>
      <c r="C2831" s="12" t="s">
        <v>953</v>
      </c>
      <c r="D2831" s="12" t="s">
        <v>64</v>
      </c>
      <c r="E2831" s="12" t="s">
        <v>142</v>
      </c>
      <c r="F2831">
        <v>1</v>
      </c>
      <c r="G2831">
        <v>8</v>
      </c>
      <c r="H2831">
        <v>1</v>
      </c>
      <c r="I2831" s="12" t="s">
        <v>131</v>
      </c>
      <c r="J2831" s="12" t="s">
        <v>132</v>
      </c>
      <c r="K2831" s="12" t="s">
        <v>133</v>
      </c>
      <c r="L2831" s="12" t="s">
        <v>134</v>
      </c>
      <c r="M2831">
        <v>1.51</v>
      </c>
      <c r="N2831" s="12" t="s">
        <v>70</v>
      </c>
      <c r="O2831" s="12" t="s">
        <v>71</v>
      </c>
      <c r="P2831" s="12" t="s">
        <v>72</v>
      </c>
      <c r="Q2831" s="13">
        <v>45453</v>
      </c>
      <c r="R2831" s="13">
        <v>45488</v>
      </c>
      <c r="S2831">
        <v>2024</v>
      </c>
      <c r="T2831" s="12" t="s">
        <v>3649</v>
      </c>
      <c r="U2831">
        <v>127</v>
      </c>
      <c r="V2831">
        <v>31.110399999999998</v>
      </c>
      <c r="W2831">
        <v>39.979999999999997</v>
      </c>
      <c r="X2831">
        <v>0</v>
      </c>
      <c r="Y2831">
        <v>0</v>
      </c>
      <c r="Z2831">
        <v>3951.02</v>
      </c>
      <c r="AA2831">
        <v>3991</v>
      </c>
      <c r="AB2831" s="12" t="s">
        <v>3261</v>
      </c>
      <c r="AC2831">
        <v>31.110399999999998</v>
      </c>
      <c r="AD2831">
        <v>1</v>
      </c>
      <c r="AE2831">
        <v>1</v>
      </c>
      <c r="AF2831">
        <v>0</v>
      </c>
      <c r="AG2831">
        <v>3951.02</v>
      </c>
      <c r="AH2831">
        <v>127</v>
      </c>
      <c r="AI2831">
        <v>127</v>
      </c>
      <c r="AJ2831">
        <v>0</v>
      </c>
      <c r="AK2831">
        <v>1</v>
      </c>
      <c r="AL2831">
        <v>1</v>
      </c>
      <c r="AM2831">
        <v>100</v>
      </c>
      <c r="AN2831">
        <v>31.4252</v>
      </c>
      <c r="AO2831">
        <v>0</v>
      </c>
      <c r="AP2831" s="13">
        <v>45490</v>
      </c>
      <c r="AQ2831">
        <v>2</v>
      </c>
      <c r="AR2831">
        <v>0</v>
      </c>
    </row>
    <row r="2832" spans="1:44" x14ac:dyDescent="0.35">
      <c r="A2832" s="12" t="s">
        <v>3711</v>
      </c>
      <c r="B2832" s="12" t="s">
        <v>85</v>
      </c>
      <c r="C2832" s="12" t="s">
        <v>86</v>
      </c>
      <c r="D2832" s="12" t="s">
        <v>78</v>
      </c>
      <c r="E2832" s="12" t="s">
        <v>65</v>
      </c>
      <c r="F2832">
        <v>3</v>
      </c>
      <c r="G2832">
        <v>5</v>
      </c>
      <c r="H2832">
        <v>0</v>
      </c>
      <c r="I2832" s="12" t="s">
        <v>87</v>
      </c>
      <c r="J2832" s="12" t="s">
        <v>88</v>
      </c>
      <c r="K2832" s="12" t="s">
        <v>89</v>
      </c>
      <c r="L2832" s="12" t="s">
        <v>69</v>
      </c>
      <c r="M2832">
        <v>14.93</v>
      </c>
      <c r="N2832" s="12" t="s">
        <v>70</v>
      </c>
      <c r="O2832" s="12" t="s">
        <v>71</v>
      </c>
      <c r="P2832" s="12" t="s">
        <v>72</v>
      </c>
      <c r="Q2832" s="13">
        <v>45453</v>
      </c>
      <c r="R2832" s="13">
        <v>45484</v>
      </c>
      <c r="S2832">
        <v>2024</v>
      </c>
      <c r="T2832" s="12" t="s">
        <v>3649</v>
      </c>
      <c r="U2832">
        <v>191</v>
      </c>
      <c r="V2832">
        <v>139.59649999999999</v>
      </c>
      <c r="W2832">
        <v>498.72</v>
      </c>
      <c r="X2832">
        <v>0</v>
      </c>
      <c r="Y2832">
        <v>0</v>
      </c>
      <c r="Z2832">
        <v>26662.93</v>
      </c>
      <c r="AA2832">
        <v>27161.65</v>
      </c>
      <c r="AB2832" s="12" t="s">
        <v>2621</v>
      </c>
      <c r="AC2832">
        <v>139.59649999999999</v>
      </c>
      <c r="AD2832">
        <v>1</v>
      </c>
      <c r="AE2832">
        <v>1</v>
      </c>
      <c r="AF2832">
        <v>0</v>
      </c>
      <c r="AG2832">
        <v>26662.93</v>
      </c>
      <c r="AH2832">
        <v>191</v>
      </c>
      <c r="AI2832">
        <v>188</v>
      </c>
      <c r="AJ2832">
        <v>3</v>
      </c>
      <c r="AK2832">
        <v>1</v>
      </c>
      <c r="AL2832">
        <v>1</v>
      </c>
      <c r="AM2832">
        <v>98.43</v>
      </c>
      <c r="AN2832">
        <v>144.4769</v>
      </c>
      <c r="AO2832">
        <v>418.79</v>
      </c>
      <c r="AP2832" s="13">
        <v>45481</v>
      </c>
      <c r="AQ2832">
        <v>-3</v>
      </c>
      <c r="AR2832">
        <v>1</v>
      </c>
    </row>
    <row r="2833" spans="1:44" x14ac:dyDescent="0.35">
      <c r="A2833" s="12" t="s">
        <v>3712</v>
      </c>
      <c r="B2833" s="12" t="s">
        <v>1433</v>
      </c>
      <c r="C2833" s="12" t="s">
        <v>1434</v>
      </c>
      <c r="D2833" s="12" t="s">
        <v>269</v>
      </c>
      <c r="E2833" s="12" t="s">
        <v>65</v>
      </c>
      <c r="F2833">
        <v>3</v>
      </c>
      <c r="G2833">
        <v>5</v>
      </c>
      <c r="H2833">
        <v>0</v>
      </c>
      <c r="I2833" s="12" t="s">
        <v>223</v>
      </c>
      <c r="J2833" s="12" t="s">
        <v>224</v>
      </c>
      <c r="K2833" s="12" t="s">
        <v>81</v>
      </c>
      <c r="L2833" s="12" t="s">
        <v>134</v>
      </c>
      <c r="M2833">
        <v>2.4900000000000002</v>
      </c>
      <c r="N2833" s="12" t="s">
        <v>159</v>
      </c>
      <c r="O2833" s="12" t="s">
        <v>160</v>
      </c>
      <c r="P2833" s="12" t="s">
        <v>137</v>
      </c>
      <c r="Q2833" s="13">
        <v>45453</v>
      </c>
      <c r="R2833" s="13">
        <v>45490</v>
      </c>
      <c r="S2833">
        <v>2024</v>
      </c>
      <c r="T2833" s="12" t="s">
        <v>3649</v>
      </c>
      <c r="U2833">
        <v>141</v>
      </c>
      <c r="V2833">
        <v>488.03339999999997</v>
      </c>
      <c r="W2833">
        <v>993.32</v>
      </c>
      <c r="X2833">
        <v>0</v>
      </c>
      <c r="Y2833">
        <v>0</v>
      </c>
      <c r="Z2833">
        <v>68812.710000000006</v>
      </c>
      <c r="AA2833">
        <v>69806.03</v>
      </c>
      <c r="AB2833" s="12" t="s">
        <v>201</v>
      </c>
      <c r="AD2833">
        <v>0</v>
      </c>
      <c r="AE2833">
        <v>0</v>
      </c>
      <c r="AH2833">
        <v>141</v>
      </c>
      <c r="AI2833">
        <v>141</v>
      </c>
      <c r="AJ2833">
        <v>0</v>
      </c>
      <c r="AK2833">
        <v>1</v>
      </c>
      <c r="AL2833">
        <v>1</v>
      </c>
      <c r="AM2833">
        <v>100</v>
      </c>
      <c r="AN2833">
        <v>495.07819999999998</v>
      </c>
      <c r="AO2833">
        <v>0</v>
      </c>
      <c r="AP2833" s="13">
        <v>45487</v>
      </c>
      <c r="AQ2833">
        <v>-3</v>
      </c>
      <c r="AR2833">
        <v>1</v>
      </c>
    </row>
    <row r="2834" spans="1:44" x14ac:dyDescent="0.35">
      <c r="A2834" s="12" t="s">
        <v>3713</v>
      </c>
      <c r="B2834" s="12" t="s">
        <v>602</v>
      </c>
      <c r="C2834" s="12" t="s">
        <v>603</v>
      </c>
      <c r="D2834" s="12" t="s">
        <v>114</v>
      </c>
      <c r="E2834" s="12" t="s">
        <v>142</v>
      </c>
      <c r="F2834">
        <v>2</v>
      </c>
      <c r="G2834">
        <v>10</v>
      </c>
      <c r="H2834">
        <v>0</v>
      </c>
      <c r="I2834" s="12" t="s">
        <v>263</v>
      </c>
      <c r="J2834" s="12" t="s">
        <v>264</v>
      </c>
      <c r="K2834" s="12" t="s">
        <v>125</v>
      </c>
      <c r="L2834" s="12" t="s">
        <v>82</v>
      </c>
      <c r="M2834">
        <v>10.210000000000001</v>
      </c>
      <c r="N2834" s="12" t="s">
        <v>97</v>
      </c>
      <c r="O2834" s="12" t="s">
        <v>98</v>
      </c>
      <c r="P2834" s="12" t="s">
        <v>72</v>
      </c>
      <c r="Q2834" s="13">
        <v>45453</v>
      </c>
      <c r="R2834" s="13">
        <v>45498</v>
      </c>
      <c r="S2834">
        <v>2024</v>
      </c>
      <c r="T2834" s="12" t="s">
        <v>3649</v>
      </c>
      <c r="U2834">
        <v>95</v>
      </c>
      <c r="V2834">
        <v>210.69990000000001</v>
      </c>
      <c r="W2834">
        <v>329.83</v>
      </c>
      <c r="X2834">
        <v>0</v>
      </c>
      <c r="Y2834">
        <v>0</v>
      </c>
      <c r="Z2834">
        <v>20016.490000000002</v>
      </c>
      <c r="AA2834">
        <v>20346.32</v>
      </c>
      <c r="AB2834" s="12" t="s">
        <v>2790</v>
      </c>
      <c r="AC2834">
        <v>210.69990000000001</v>
      </c>
      <c r="AD2834">
        <v>1</v>
      </c>
      <c r="AE2834">
        <v>1</v>
      </c>
      <c r="AF2834">
        <v>0</v>
      </c>
      <c r="AG2834">
        <v>20016.490000000002</v>
      </c>
      <c r="AH2834">
        <v>95</v>
      </c>
      <c r="AI2834">
        <v>93</v>
      </c>
      <c r="AJ2834">
        <v>2</v>
      </c>
      <c r="AK2834">
        <v>1</v>
      </c>
      <c r="AL2834">
        <v>1</v>
      </c>
      <c r="AM2834">
        <v>97.89</v>
      </c>
      <c r="AN2834">
        <v>218.77760000000001</v>
      </c>
      <c r="AO2834">
        <v>421.4</v>
      </c>
      <c r="AP2834" s="13">
        <v>45498</v>
      </c>
      <c r="AQ2834">
        <v>0</v>
      </c>
      <c r="AR2834">
        <v>1</v>
      </c>
    </row>
    <row r="2835" spans="1:44" x14ac:dyDescent="0.35">
      <c r="A2835" s="12" t="s">
        <v>3714</v>
      </c>
      <c r="B2835" s="12" t="s">
        <v>963</v>
      </c>
      <c r="C2835" s="12" t="s">
        <v>964</v>
      </c>
      <c r="D2835" s="12" t="s">
        <v>114</v>
      </c>
      <c r="E2835" s="12" t="s">
        <v>142</v>
      </c>
      <c r="F2835">
        <v>1</v>
      </c>
      <c r="G2835">
        <v>6</v>
      </c>
      <c r="H2835">
        <v>1</v>
      </c>
      <c r="I2835" s="12" t="s">
        <v>176</v>
      </c>
      <c r="J2835" s="12" t="s">
        <v>177</v>
      </c>
      <c r="K2835" s="12" t="s">
        <v>125</v>
      </c>
      <c r="L2835" s="12" t="s">
        <v>134</v>
      </c>
      <c r="M2835">
        <v>1.75</v>
      </c>
      <c r="N2835" s="12" t="s">
        <v>70</v>
      </c>
      <c r="O2835" s="12" t="s">
        <v>71</v>
      </c>
      <c r="P2835" s="12" t="s">
        <v>72</v>
      </c>
      <c r="Q2835" s="13">
        <v>45454</v>
      </c>
      <c r="R2835" s="13">
        <v>45494</v>
      </c>
      <c r="S2835">
        <v>2024</v>
      </c>
      <c r="T2835" s="12" t="s">
        <v>3649</v>
      </c>
      <c r="U2835">
        <v>56</v>
      </c>
      <c r="V2835">
        <v>194.16829999999999</v>
      </c>
      <c r="W2835">
        <v>222.76</v>
      </c>
      <c r="X2835">
        <v>0</v>
      </c>
      <c r="Y2835">
        <v>0</v>
      </c>
      <c r="Z2835">
        <v>10873.42</v>
      </c>
      <c r="AA2835">
        <v>11096.18</v>
      </c>
      <c r="AB2835" s="12" t="s">
        <v>3290</v>
      </c>
      <c r="AC2835">
        <v>194.16829999999999</v>
      </c>
      <c r="AD2835">
        <v>1</v>
      </c>
      <c r="AE2835">
        <v>1</v>
      </c>
      <c r="AF2835">
        <v>0</v>
      </c>
      <c r="AG2835">
        <v>10873.42</v>
      </c>
      <c r="AH2835">
        <v>56</v>
      </c>
      <c r="AI2835">
        <v>55</v>
      </c>
      <c r="AJ2835">
        <v>1</v>
      </c>
      <c r="AK2835">
        <v>1</v>
      </c>
      <c r="AL2835">
        <v>1</v>
      </c>
      <c r="AM2835">
        <v>98.21</v>
      </c>
      <c r="AN2835">
        <v>201.74879999999999</v>
      </c>
      <c r="AO2835">
        <v>194.17</v>
      </c>
      <c r="AP2835" s="13">
        <v>45501</v>
      </c>
      <c r="AQ2835">
        <v>7</v>
      </c>
      <c r="AR2835">
        <v>0</v>
      </c>
    </row>
    <row r="2836" spans="1:44" x14ac:dyDescent="0.35">
      <c r="A2836" s="12" t="s">
        <v>3715</v>
      </c>
      <c r="B2836" s="12" t="s">
        <v>1034</v>
      </c>
      <c r="C2836" s="12" t="s">
        <v>1035</v>
      </c>
      <c r="D2836" s="12" t="s">
        <v>64</v>
      </c>
      <c r="E2836" s="12" t="s">
        <v>104</v>
      </c>
      <c r="F2836">
        <v>2</v>
      </c>
      <c r="G2836">
        <v>0</v>
      </c>
      <c r="H2836">
        <v>0</v>
      </c>
      <c r="I2836" s="12" t="s">
        <v>157</v>
      </c>
      <c r="J2836" s="12" t="s">
        <v>158</v>
      </c>
      <c r="K2836" s="12" t="s">
        <v>117</v>
      </c>
      <c r="L2836" s="12" t="s">
        <v>96</v>
      </c>
      <c r="M2836">
        <v>4.72</v>
      </c>
      <c r="N2836" s="12" t="s">
        <v>70</v>
      </c>
      <c r="O2836" s="12" t="s">
        <v>71</v>
      </c>
      <c r="P2836" s="12" t="s">
        <v>72</v>
      </c>
      <c r="Q2836" s="13">
        <v>45454</v>
      </c>
      <c r="R2836" s="13">
        <v>45473</v>
      </c>
      <c r="S2836">
        <v>2024</v>
      </c>
      <c r="T2836" s="12" t="s">
        <v>3649</v>
      </c>
      <c r="U2836">
        <v>476</v>
      </c>
      <c r="V2836">
        <v>9.2698</v>
      </c>
      <c r="W2836">
        <v>103.87</v>
      </c>
      <c r="X2836">
        <v>0</v>
      </c>
      <c r="Y2836">
        <v>0</v>
      </c>
      <c r="Z2836">
        <v>4412.42</v>
      </c>
      <c r="AA2836">
        <v>4516.29</v>
      </c>
      <c r="AB2836" s="12" t="s">
        <v>3309</v>
      </c>
      <c r="AC2836">
        <v>9.2698</v>
      </c>
      <c r="AD2836">
        <v>1</v>
      </c>
      <c r="AE2836">
        <v>1</v>
      </c>
      <c r="AF2836">
        <v>0</v>
      </c>
      <c r="AG2836">
        <v>4412.42</v>
      </c>
      <c r="AH2836">
        <v>476</v>
      </c>
      <c r="AI2836">
        <v>474</v>
      </c>
      <c r="AJ2836">
        <v>2</v>
      </c>
      <c r="AK2836">
        <v>1</v>
      </c>
      <c r="AL2836">
        <v>1</v>
      </c>
      <c r="AM2836">
        <v>99.58</v>
      </c>
      <c r="AN2836">
        <v>9.5280000000000005</v>
      </c>
      <c r="AO2836">
        <v>18.54</v>
      </c>
      <c r="AP2836" s="13">
        <v>45473</v>
      </c>
      <c r="AQ2836">
        <v>0</v>
      </c>
      <c r="AR2836">
        <v>1</v>
      </c>
    </row>
    <row r="2837" spans="1:44" x14ac:dyDescent="0.35">
      <c r="A2837" s="12" t="s">
        <v>3716</v>
      </c>
      <c r="B2837" s="12" t="s">
        <v>416</v>
      </c>
      <c r="C2837" s="12" t="s">
        <v>417</v>
      </c>
      <c r="D2837" s="12" t="s">
        <v>78</v>
      </c>
      <c r="E2837" s="12" t="s">
        <v>65</v>
      </c>
      <c r="F2837">
        <v>3</v>
      </c>
      <c r="G2837">
        <v>5</v>
      </c>
      <c r="H2837">
        <v>0</v>
      </c>
      <c r="I2837" s="12" t="s">
        <v>169</v>
      </c>
      <c r="J2837" s="12" t="s">
        <v>170</v>
      </c>
      <c r="K2837" s="12" t="s">
        <v>89</v>
      </c>
      <c r="L2837" s="12" t="s">
        <v>134</v>
      </c>
      <c r="M2837">
        <v>1.37</v>
      </c>
      <c r="N2837" s="12" t="s">
        <v>97</v>
      </c>
      <c r="O2837" s="12" t="s">
        <v>98</v>
      </c>
      <c r="P2837" s="12" t="s">
        <v>72</v>
      </c>
      <c r="Q2837" s="13">
        <v>45454</v>
      </c>
      <c r="R2837" s="13">
        <v>45481</v>
      </c>
      <c r="S2837">
        <v>2024</v>
      </c>
      <c r="T2837" s="12" t="s">
        <v>3649</v>
      </c>
      <c r="U2837">
        <v>134</v>
      </c>
      <c r="V2837">
        <v>128.59880000000001</v>
      </c>
      <c r="W2837">
        <v>129.91999999999999</v>
      </c>
      <c r="X2837">
        <v>0</v>
      </c>
      <c r="Y2837">
        <v>0</v>
      </c>
      <c r="Z2837">
        <v>17232.240000000002</v>
      </c>
      <c r="AA2837">
        <v>17362.16</v>
      </c>
      <c r="AB2837" s="12" t="s">
        <v>2980</v>
      </c>
      <c r="AC2837">
        <v>136.4109</v>
      </c>
      <c r="AD2837">
        <v>1</v>
      </c>
      <c r="AE2837">
        <v>1</v>
      </c>
      <c r="AF2837">
        <v>-1046.82</v>
      </c>
      <c r="AG2837">
        <v>18279.060000000001</v>
      </c>
      <c r="AH2837">
        <v>134</v>
      </c>
      <c r="AI2837">
        <v>132</v>
      </c>
      <c r="AJ2837">
        <v>2</v>
      </c>
      <c r="AK2837">
        <v>1</v>
      </c>
      <c r="AL2837">
        <v>1</v>
      </c>
      <c r="AM2837">
        <v>98.51</v>
      </c>
      <c r="AN2837">
        <v>131.53149999999999</v>
      </c>
      <c r="AO2837">
        <v>257.2</v>
      </c>
      <c r="AP2837" s="13">
        <v>45478</v>
      </c>
      <c r="AQ2837">
        <v>-3</v>
      </c>
      <c r="AR2837">
        <v>1</v>
      </c>
    </row>
    <row r="2838" spans="1:44" x14ac:dyDescent="0.35">
      <c r="A2838" s="12" t="s">
        <v>3717</v>
      </c>
      <c r="B2838" s="12" t="s">
        <v>241</v>
      </c>
      <c r="C2838" s="12" t="s">
        <v>242</v>
      </c>
      <c r="D2838" s="12" t="s">
        <v>103</v>
      </c>
      <c r="E2838" s="12" t="s">
        <v>142</v>
      </c>
      <c r="F2838">
        <v>3</v>
      </c>
      <c r="G2838">
        <v>11</v>
      </c>
      <c r="H2838">
        <v>0</v>
      </c>
      <c r="I2838" s="12" t="s">
        <v>243</v>
      </c>
      <c r="J2838" s="12" t="s">
        <v>244</v>
      </c>
      <c r="K2838" s="12" t="s">
        <v>81</v>
      </c>
      <c r="L2838" s="12" t="s">
        <v>82</v>
      </c>
      <c r="M2838">
        <v>9.2200000000000006</v>
      </c>
      <c r="N2838" s="12" t="s">
        <v>145</v>
      </c>
      <c r="O2838" s="12" t="s">
        <v>146</v>
      </c>
      <c r="P2838" s="12" t="s">
        <v>109</v>
      </c>
      <c r="Q2838" s="13">
        <v>45454</v>
      </c>
      <c r="R2838" s="13">
        <v>45505</v>
      </c>
      <c r="S2838">
        <v>2024</v>
      </c>
      <c r="T2838" s="12" t="s">
        <v>3649</v>
      </c>
      <c r="U2838">
        <v>135</v>
      </c>
      <c r="V2838">
        <v>187.73439999999999</v>
      </c>
      <c r="W2838">
        <v>401.22</v>
      </c>
      <c r="X2838">
        <v>0</v>
      </c>
      <c r="Y2838">
        <v>0</v>
      </c>
      <c r="Z2838">
        <v>25344.14</v>
      </c>
      <c r="AA2838">
        <v>25745.360000000001</v>
      </c>
      <c r="AB2838" s="12" t="s">
        <v>201</v>
      </c>
      <c r="AD2838">
        <v>0</v>
      </c>
      <c r="AE2838">
        <v>0</v>
      </c>
      <c r="AH2838">
        <v>135</v>
      </c>
      <c r="AI2838">
        <v>134</v>
      </c>
      <c r="AJ2838">
        <v>1</v>
      </c>
      <c r="AK2838">
        <v>1</v>
      </c>
      <c r="AL2838">
        <v>1</v>
      </c>
      <c r="AM2838">
        <v>99.26</v>
      </c>
      <c r="AN2838">
        <v>192.12960000000001</v>
      </c>
      <c r="AO2838">
        <v>187.73</v>
      </c>
      <c r="AP2838" s="13">
        <v>45503</v>
      </c>
      <c r="AQ2838">
        <v>-2</v>
      </c>
      <c r="AR2838">
        <v>1</v>
      </c>
    </row>
    <row r="2839" spans="1:44" x14ac:dyDescent="0.35">
      <c r="A2839" s="12" t="s">
        <v>3718</v>
      </c>
      <c r="B2839" s="12" t="s">
        <v>339</v>
      </c>
      <c r="C2839" s="12" t="s">
        <v>340</v>
      </c>
      <c r="D2839" s="12" t="s">
        <v>103</v>
      </c>
      <c r="E2839" s="12" t="s">
        <v>142</v>
      </c>
      <c r="F2839">
        <v>2</v>
      </c>
      <c r="G2839">
        <v>9</v>
      </c>
      <c r="H2839">
        <v>0</v>
      </c>
      <c r="I2839" s="12" t="s">
        <v>169</v>
      </c>
      <c r="J2839" s="12" t="s">
        <v>170</v>
      </c>
      <c r="K2839" s="12" t="s">
        <v>89</v>
      </c>
      <c r="L2839" s="12" t="s">
        <v>134</v>
      </c>
      <c r="M2839">
        <v>1.37</v>
      </c>
      <c r="N2839" s="12" t="s">
        <v>107</v>
      </c>
      <c r="O2839" s="12" t="s">
        <v>108</v>
      </c>
      <c r="P2839" s="12" t="s">
        <v>109</v>
      </c>
      <c r="Q2839" s="13">
        <v>45454</v>
      </c>
      <c r="R2839" s="13">
        <v>45498</v>
      </c>
      <c r="S2839">
        <v>2024</v>
      </c>
      <c r="T2839" s="12" t="s">
        <v>3649</v>
      </c>
      <c r="U2839">
        <v>81</v>
      </c>
      <c r="V2839">
        <v>243.06290000000001</v>
      </c>
      <c r="W2839">
        <v>166.39</v>
      </c>
      <c r="X2839">
        <v>0</v>
      </c>
      <c r="Y2839">
        <v>0</v>
      </c>
      <c r="Z2839">
        <v>19688.09</v>
      </c>
      <c r="AA2839">
        <v>19854.48</v>
      </c>
      <c r="AB2839" s="12" t="s">
        <v>2786</v>
      </c>
      <c r="AC2839">
        <v>243.06290000000001</v>
      </c>
      <c r="AD2839">
        <v>1</v>
      </c>
      <c r="AE2839">
        <v>1</v>
      </c>
      <c r="AF2839">
        <v>0</v>
      </c>
      <c r="AG2839">
        <v>19688.09</v>
      </c>
      <c r="AH2839">
        <v>81</v>
      </c>
      <c r="AI2839">
        <v>81</v>
      </c>
      <c r="AJ2839">
        <v>0</v>
      </c>
      <c r="AK2839">
        <v>1</v>
      </c>
      <c r="AL2839">
        <v>1</v>
      </c>
      <c r="AM2839">
        <v>100</v>
      </c>
      <c r="AN2839">
        <v>245.11709999999999</v>
      </c>
      <c r="AO2839">
        <v>0</v>
      </c>
      <c r="AP2839" s="13">
        <v>45496</v>
      </c>
      <c r="AQ2839">
        <v>-2</v>
      </c>
      <c r="AR2839">
        <v>1</v>
      </c>
    </row>
    <row r="2840" spans="1:44" x14ac:dyDescent="0.35">
      <c r="A2840" s="12" t="s">
        <v>3719</v>
      </c>
      <c r="B2840" s="12" t="s">
        <v>255</v>
      </c>
      <c r="C2840" s="12" t="s">
        <v>256</v>
      </c>
      <c r="D2840" s="12" t="s">
        <v>103</v>
      </c>
      <c r="E2840" s="12" t="s">
        <v>65</v>
      </c>
      <c r="F2840">
        <v>2</v>
      </c>
      <c r="G2840">
        <v>4</v>
      </c>
      <c r="H2840">
        <v>0</v>
      </c>
      <c r="I2840" s="12" t="s">
        <v>251</v>
      </c>
      <c r="J2840" s="12" t="s">
        <v>252</v>
      </c>
      <c r="K2840" s="12" t="s">
        <v>133</v>
      </c>
      <c r="L2840" s="12" t="s">
        <v>69</v>
      </c>
      <c r="M2840">
        <v>34.49</v>
      </c>
      <c r="N2840" s="12" t="s">
        <v>145</v>
      </c>
      <c r="O2840" s="12" t="s">
        <v>146</v>
      </c>
      <c r="P2840" s="12" t="s">
        <v>109</v>
      </c>
      <c r="Q2840" s="13">
        <v>45454</v>
      </c>
      <c r="R2840" s="13">
        <v>45484</v>
      </c>
      <c r="S2840">
        <v>2024</v>
      </c>
      <c r="T2840" s="12" t="s">
        <v>3649</v>
      </c>
      <c r="U2840">
        <v>86</v>
      </c>
      <c r="V2840">
        <v>94.280900000000003</v>
      </c>
      <c r="W2840">
        <v>141.76</v>
      </c>
      <c r="X2840">
        <v>0</v>
      </c>
      <c r="Y2840">
        <v>0</v>
      </c>
      <c r="Z2840">
        <v>8108.16</v>
      </c>
      <c r="AA2840">
        <v>8249.92</v>
      </c>
      <c r="AB2840" s="12" t="s">
        <v>3720</v>
      </c>
      <c r="AC2840">
        <v>94.280900000000003</v>
      </c>
      <c r="AD2840">
        <v>1</v>
      </c>
      <c r="AE2840">
        <v>1</v>
      </c>
      <c r="AF2840">
        <v>0</v>
      </c>
      <c r="AG2840">
        <v>8108.16</v>
      </c>
      <c r="AH2840">
        <v>86</v>
      </c>
      <c r="AI2840">
        <v>86</v>
      </c>
      <c r="AJ2840">
        <v>0</v>
      </c>
      <c r="AK2840">
        <v>1</v>
      </c>
      <c r="AL2840">
        <v>1</v>
      </c>
      <c r="AM2840">
        <v>100</v>
      </c>
      <c r="AN2840">
        <v>95.929299999999998</v>
      </c>
      <c r="AO2840">
        <v>0</v>
      </c>
      <c r="AP2840" s="13">
        <v>45482</v>
      </c>
      <c r="AQ2840">
        <v>-2</v>
      </c>
      <c r="AR2840">
        <v>1</v>
      </c>
    </row>
    <row r="2841" spans="1:44" x14ac:dyDescent="0.35">
      <c r="A2841" s="12" t="s">
        <v>3721</v>
      </c>
      <c r="B2841" s="12" t="s">
        <v>289</v>
      </c>
      <c r="C2841" s="12" t="s">
        <v>290</v>
      </c>
      <c r="D2841" s="12" t="s">
        <v>175</v>
      </c>
      <c r="E2841" s="12" t="s">
        <v>104</v>
      </c>
      <c r="F2841">
        <v>3</v>
      </c>
      <c r="G2841">
        <v>1</v>
      </c>
      <c r="H2841">
        <v>0</v>
      </c>
      <c r="I2841" s="12" t="s">
        <v>209</v>
      </c>
      <c r="J2841" s="12" t="s">
        <v>210</v>
      </c>
      <c r="K2841" s="12" t="s">
        <v>133</v>
      </c>
      <c r="L2841" s="12" t="s">
        <v>96</v>
      </c>
      <c r="M2841">
        <v>7.82</v>
      </c>
      <c r="N2841" s="12" t="s">
        <v>145</v>
      </c>
      <c r="O2841" s="12" t="s">
        <v>146</v>
      </c>
      <c r="P2841" s="12" t="s">
        <v>109</v>
      </c>
      <c r="Q2841" s="13">
        <v>45454</v>
      </c>
      <c r="R2841" s="13">
        <v>45472</v>
      </c>
      <c r="S2841">
        <v>2024</v>
      </c>
      <c r="T2841" s="12" t="s">
        <v>3649</v>
      </c>
      <c r="U2841">
        <v>61</v>
      </c>
      <c r="V2841">
        <v>217.6052</v>
      </c>
      <c r="W2841">
        <v>197.89</v>
      </c>
      <c r="X2841">
        <v>0</v>
      </c>
      <c r="Y2841">
        <v>0</v>
      </c>
      <c r="Z2841">
        <v>13273.92</v>
      </c>
      <c r="AA2841">
        <v>13471.81</v>
      </c>
      <c r="AB2841" s="12" t="s">
        <v>201</v>
      </c>
      <c r="AD2841">
        <v>0</v>
      </c>
      <c r="AE2841">
        <v>0</v>
      </c>
      <c r="AH2841">
        <v>61</v>
      </c>
      <c r="AI2841">
        <v>60</v>
      </c>
      <c r="AJ2841">
        <v>1</v>
      </c>
      <c r="AK2841">
        <v>1</v>
      </c>
      <c r="AL2841">
        <v>1</v>
      </c>
      <c r="AM2841">
        <v>98.36</v>
      </c>
      <c r="AN2841">
        <v>224.5301</v>
      </c>
      <c r="AO2841">
        <v>217.61</v>
      </c>
      <c r="AP2841" s="13">
        <v>45469</v>
      </c>
      <c r="AQ2841">
        <v>-3</v>
      </c>
      <c r="AR2841">
        <v>1</v>
      </c>
    </row>
    <row r="2842" spans="1:44" x14ac:dyDescent="0.35">
      <c r="A2842" s="12" t="s">
        <v>3722</v>
      </c>
      <c r="B2842" s="12" t="s">
        <v>532</v>
      </c>
      <c r="C2842" s="12" t="s">
        <v>533</v>
      </c>
      <c r="D2842" s="12" t="s">
        <v>114</v>
      </c>
      <c r="E2842" s="12" t="s">
        <v>65</v>
      </c>
      <c r="F2842">
        <v>2</v>
      </c>
      <c r="G2842">
        <v>3</v>
      </c>
      <c r="H2842">
        <v>0</v>
      </c>
      <c r="I2842" s="12" t="s">
        <v>105</v>
      </c>
      <c r="J2842" s="12" t="s">
        <v>106</v>
      </c>
      <c r="K2842" s="12" t="s">
        <v>81</v>
      </c>
      <c r="L2842" s="12" t="s">
        <v>96</v>
      </c>
      <c r="M2842">
        <v>5.01</v>
      </c>
      <c r="N2842" s="12" t="s">
        <v>70</v>
      </c>
      <c r="O2842" s="12" t="s">
        <v>71</v>
      </c>
      <c r="P2842" s="12" t="s">
        <v>72</v>
      </c>
      <c r="Q2842" s="13">
        <v>45454</v>
      </c>
      <c r="R2842" s="13">
        <v>45481</v>
      </c>
      <c r="S2842">
        <v>2024</v>
      </c>
      <c r="T2842" s="12" t="s">
        <v>3649</v>
      </c>
      <c r="U2842">
        <v>57</v>
      </c>
      <c r="V2842">
        <v>249.9546</v>
      </c>
      <c r="W2842">
        <v>364.64</v>
      </c>
      <c r="X2842">
        <v>0</v>
      </c>
      <c r="Y2842">
        <v>0</v>
      </c>
      <c r="Z2842">
        <v>14247.41</v>
      </c>
      <c r="AA2842">
        <v>14612.05</v>
      </c>
      <c r="AB2842" s="12" t="s">
        <v>3041</v>
      </c>
      <c r="AC2842">
        <v>249.9546</v>
      </c>
      <c r="AD2842">
        <v>1</v>
      </c>
      <c r="AE2842">
        <v>1</v>
      </c>
      <c r="AF2842">
        <v>0</v>
      </c>
      <c r="AG2842">
        <v>14247.41</v>
      </c>
      <c r="AH2842">
        <v>57</v>
      </c>
      <c r="AI2842">
        <v>56</v>
      </c>
      <c r="AJ2842">
        <v>1</v>
      </c>
      <c r="AK2842">
        <v>1</v>
      </c>
      <c r="AL2842">
        <v>1</v>
      </c>
      <c r="AM2842">
        <v>98.25</v>
      </c>
      <c r="AN2842">
        <v>260.92950000000002</v>
      </c>
      <c r="AO2842">
        <v>249.95</v>
      </c>
      <c r="AP2842" s="13">
        <v>45488</v>
      </c>
      <c r="AQ2842">
        <v>7</v>
      </c>
      <c r="AR2842">
        <v>0</v>
      </c>
    </row>
    <row r="2843" spans="1:44" x14ac:dyDescent="0.35">
      <c r="A2843" s="12" t="s">
        <v>3723</v>
      </c>
      <c r="B2843" s="12" t="s">
        <v>140</v>
      </c>
      <c r="C2843" s="12" t="s">
        <v>141</v>
      </c>
      <c r="D2843" s="12" t="s">
        <v>103</v>
      </c>
      <c r="E2843" s="12" t="s">
        <v>142</v>
      </c>
      <c r="F2843">
        <v>1</v>
      </c>
      <c r="G2843">
        <v>7</v>
      </c>
      <c r="H2843">
        <v>1</v>
      </c>
      <c r="I2843" s="12" t="s">
        <v>143</v>
      </c>
      <c r="J2843" s="12" t="s">
        <v>144</v>
      </c>
      <c r="K2843" s="12" t="s">
        <v>133</v>
      </c>
      <c r="L2843" s="12" t="s">
        <v>96</v>
      </c>
      <c r="M2843">
        <v>5.43</v>
      </c>
      <c r="N2843" s="12" t="s">
        <v>107</v>
      </c>
      <c r="O2843" s="12" t="s">
        <v>108</v>
      </c>
      <c r="P2843" s="12" t="s">
        <v>109</v>
      </c>
      <c r="Q2843" s="13">
        <v>45454</v>
      </c>
      <c r="R2843" s="13">
        <v>45489</v>
      </c>
      <c r="S2843">
        <v>2024</v>
      </c>
      <c r="T2843" s="12" t="s">
        <v>3649</v>
      </c>
      <c r="U2843">
        <v>10</v>
      </c>
      <c r="V2843">
        <v>211.35810000000001</v>
      </c>
      <c r="W2843">
        <v>36.799999999999997</v>
      </c>
      <c r="X2843">
        <v>0</v>
      </c>
      <c r="Y2843">
        <v>0</v>
      </c>
      <c r="Z2843">
        <v>2113.58</v>
      </c>
      <c r="AA2843">
        <v>2150.38</v>
      </c>
      <c r="AB2843" s="12" t="s">
        <v>2815</v>
      </c>
      <c r="AC2843">
        <v>211.35810000000001</v>
      </c>
      <c r="AD2843">
        <v>1</v>
      </c>
      <c r="AE2843">
        <v>1</v>
      </c>
      <c r="AF2843">
        <v>0</v>
      </c>
      <c r="AG2843">
        <v>2113.58</v>
      </c>
      <c r="AH2843">
        <v>10</v>
      </c>
      <c r="AI2843">
        <v>10</v>
      </c>
      <c r="AJ2843">
        <v>0</v>
      </c>
      <c r="AK2843">
        <v>1</v>
      </c>
      <c r="AL2843">
        <v>1</v>
      </c>
      <c r="AM2843">
        <v>100</v>
      </c>
      <c r="AN2843">
        <v>215.03809999999999</v>
      </c>
      <c r="AO2843">
        <v>0</v>
      </c>
      <c r="AP2843" s="13">
        <v>45499</v>
      </c>
      <c r="AQ2843">
        <v>10</v>
      </c>
      <c r="AR2843">
        <v>0</v>
      </c>
    </row>
    <row r="2844" spans="1:44" x14ac:dyDescent="0.35">
      <c r="A2844" s="12" t="s">
        <v>3724</v>
      </c>
      <c r="B2844" s="12" t="s">
        <v>323</v>
      </c>
      <c r="C2844" s="12" t="s">
        <v>324</v>
      </c>
      <c r="D2844" s="12" t="s">
        <v>64</v>
      </c>
      <c r="E2844" s="12" t="s">
        <v>142</v>
      </c>
      <c r="F2844">
        <v>1</v>
      </c>
      <c r="G2844">
        <v>7</v>
      </c>
      <c r="H2844">
        <v>1</v>
      </c>
      <c r="I2844" s="12" t="s">
        <v>143</v>
      </c>
      <c r="J2844" s="12" t="s">
        <v>144</v>
      </c>
      <c r="K2844" s="12" t="s">
        <v>133</v>
      </c>
      <c r="L2844" s="12" t="s">
        <v>96</v>
      </c>
      <c r="M2844">
        <v>5.43</v>
      </c>
      <c r="N2844" s="12" t="s">
        <v>97</v>
      </c>
      <c r="O2844" s="12" t="s">
        <v>98</v>
      </c>
      <c r="P2844" s="12" t="s">
        <v>72</v>
      </c>
      <c r="Q2844" s="13">
        <v>45454</v>
      </c>
      <c r="R2844" s="13">
        <v>45495</v>
      </c>
      <c r="S2844">
        <v>2024</v>
      </c>
      <c r="T2844" s="12" t="s">
        <v>3649</v>
      </c>
      <c r="U2844">
        <v>409</v>
      </c>
      <c r="V2844">
        <v>39.364800000000002</v>
      </c>
      <c r="W2844">
        <v>280.16000000000003</v>
      </c>
      <c r="X2844">
        <v>0</v>
      </c>
      <c r="Y2844">
        <v>0</v>
      </c>
      <c r="Z2844">
        <v>16100.2</v>
      </c>
      <c r="AA2844">
        <v>16380.36</v>
      </c>
      <c r="AB2844" s="12" t="s">
        <v>2828</v>
      </c>
      <c r="AC2844">
        <v>39.364800000000002</v>
      </c>
      <c r="AD2844">
        <v>1</v>
      </c>
      <c r="AE2844">
        <v>1</v>
      </c>
      <c r="AF2844">
        <v>0</v>
      </c>
      <c r="AG2844">
        <v>16100.2</v>
      </c>
      <c r="AH2844">
        <v>409</v>
      </c>
      <c r="AI2844">
        <v>405</v>
      </c>
      <c r="AJ2844">
        <v>4</v>
      </c>
      <c r="AK2844">
        <v>1</v>
      </c>
      <c r="AL2844">
        <v>1</v>
      </c>
      <c r="AM2844">
        <v>99.02</v>
      </c>
      <c r="AN2844">
        <v>40.445300000000003</v>
      </c>
      <c r="AO2844">
        <v>157.46</v>
      </c>
      <c r="AP2844" s="13">
        <v>45502</v>
      </c>
      <c r="AQ2844">
        <v>7</v>
      </c>
      <c r="AR2844">
        <v>0</v>
      </c>
    </row>
    <row r="2845" spans="1:44" x14ac:dyDescent="0.35">
      <c r="A2845" s="12" t="s">
        <v>3725</v>
      </c>
      <c r="B2845" s="12" t="s">
        <v>327</v>
      </c>
      <c r="C2845" s="12" t="s">
        <v>328</v>
      </c>
      <c r="D2845" s="12" t="s">
        <v>130</v>
      </c>
      <c r="E2845" s="12" t="s">
        <v>104</v>
      </c>
      <c r="F2845">
        <v>2</v>
      </c>
      <c r="G2845">
        <v>0</v>
      </c>
      <c r="H2845">
        <v>0</v>
      </c>
      <c r="I2845" s="12" t="s">
        <v>94</v>
      </c>
      <c r="J2845" s="12" t="s">
        <v>95</v>
      </c>
      <c r="K2845" s="12" t="s">
        <v>81</v>
      </c>
      <c r="L2845" s="12" t="s">
        <v>96</v>
      </c>
      <c r="M2845">
        <v>4.8099999999999996</v>
      </c>
      <c r="N2845" s="12" t="s">
        <v>135</v>
      </c>
      <c r="O2845" s="12" t="s">
        <v>136</v>
      </c>
      <c r="P2845" s="12" t="s">
        <v>137</v>
      </c>
      <c r="Q2845" s="13">
        <v>45455</v>
      </c>
      <c r="R2845" s="13">
        <v>45472</v>
      </c>
      <c r="S2845">
        <v>2024</v>
      </c>
      <c r="T2845" s="12" t="s">
        <v>3649</v>
      </c>
      <c r="U2845">
        <v>54</v>
      </c>
      <c r="V2845">
        <v>656.19870000000003</v>
      </c>
      <c r="W2845">
        <v>853.28</v>
      </c>
      <c r="X2845">
        <v>0</v>
      </c>
      <c r="Y2845">
        <v>0</v>
      </c>
      <c r="Z2845">
        <v>35434.730000000003</v>
      </c>
      <c r="AA2845">
        <v>36288.01</v>
      </c>
      <c r="AB2845" s="12" t="s">
        <v>3016</v>
      </c>
      <c r="AC2845">
        <v>697.23929999999996</v>
      </c>
      <c r="AD2845">
        <v>1</v>
      </c>
      <c r="AE2845">
        <v>1</v>
      </c>
      <c r="AF2845">
        <v>-2216.19</v>
      </c>
      <c r="AG2845">
        <v>37650.92</v>
      </c>
      <c r="AH2845">
        <v>54</v>
      </c>
      <c r="AI2845">
        <v>53</v>
      </c>
      <c r="AJ2845">
        <v>1</v>
      </c>
      <c r="AK2845">
        <v>1</v>
      </c>
      <c r="AL2845">
        <v>1</v>
      </c>
      <c r="AM2845">
        <v>98.15</v>
      </c>
      <c r="AN2845">
        <v>684.67939999999999</v>
      </c>
      <c r="AO2845">
        <v>656.2</v>
      </c>
      <c r="AP2845" s="13">
        <v>45472</v>
      </c>
      <c r="AQ2845">
        <v>0</v>
      </c>
      <c r="AR2845">
        <v>1</v>
      </c>
    </row>
    <row r="2846" spans="1:44" x14ac:dyDescent="0.35">
      <c r="A2846" s="12" t="s">
        <v>3726</v>
      </c>
      <c r="B2846" s="12" t="s">
        <v>163</v>
      </c>
      <c r="C2846" s="12" t="s">
        <v>164</v>
      </c>
      <c r="D2846" s="12" t="s">
        <v>64</v>
      </c>
      <c r="E2846" s="12" t="s">
        <v>104</v>
      </c>
      <c r="F2846">
        <v>2</v>
      </c>
      <c r="G2846">
        <v>0</v>
      </c>
      <c r="H2846">
        <v>0</v>
      </c>
      <c r="I2846" s="12" t="s">
        <v>79</v>
      </c>
      <c r="J2846" s="12" t="s">
        <v>80</v>
      </c>
      <c r="K2846" s="12" t="s">
        <v>81</v>
      </c>
      <c r="L2846" s="12" t="s">
        <v>82</v>
      </c>
      <c r="M2846">
        <v>12.07</v>
      </c>
      <c r="N2846" s="12" t="s">
        <v>70</v>
      </c>
      <c r="O2846" s="12" t="s">
        <v>71</v>
      </c>
      <c r="P2846" s="12" t="s">
        <v>72</v>
      </c>
      <c r="Q2846" s="13">
        <v>45455</v>
      </c>
      <c r="R2846" s="13">
        <v>45471</v>
      </c>
      <c r="S2846">
        <v>2024</v>
      </c>
      <c r="T2846" s="12" t="s">
        <v>3649</v>
      </c>
      <c r="U2846">
        <v>340</v>
      </c>
      <c r="V2846">
        <v>11.6143</v>
      </c>
      <c r="W2846">
        <v>55.47</v>
      </c>
      <c r="X2846">
        <v>0</v>
      </c>
      <c r="Y2846">
        <v>0</v>
      </c>
      <c r="Z2846">
        <v>3948.86</v>
      </c>
      <c r="AA2846">
        <v>4004.33</v>
      </c>
      <c r="AB2846" s="12" t="s">
        <v>2780</v>
      </c>
      <c r="AC2846">
        <v>11.6143</v>
      </c>
      <c r="AD2846">
        <v>1</v>
      </c>
      <c r="AE2846">
        <v>1</v>
      </c>
      <c r="AF2846">
        <v>0</v>
      </c>
      <c r="AG2846">
        <v>3948.86</v>
      </c>
      <c r="AH2846">
        <v>340</v>
      </c>
      <c r="AI2846">
        <v>335</v>
      </c>
      <c r="AJ2846">
        <v>5</v>
      </c>
      <c r="AK2846">
        <v>1</v>
      </c>
      <c r="AL2846">
        <v>1</v>
      </c>
      <c r="AM2846">
        <v>98.53</v>
      </c>
      <c r="AN2846">
        <v>11.953200000000001</v>
      </c>
      <c r="AO2846">
        <v>58.07</v>
      </c>
      <c r="AP2846" s="13">
        <v>45471</v>
      </c>
      <c r="AQ2846">
        <v>0</v>
      </c>
      <c r="AR2846">
        <v>1</v>
      </c>
    </row>
    <row r="2847" spans="1:44" x14ac:dyDescent="0.35">
      <c r="A2847" s="12" t="s">
        <v>3727</v>
      </c>
      <c r="B2847" s="12" t="s">
        <v>630</v>
      </c>
      <c r="C2847" s="12" t="s">
        <v>631</v>
      </c>
      <c r="D2847" s="12" t="s">
        <v>130</v>
      </c>
      <c r="E2847" s="12" t="s">
        <v>65</v>
      </c>
      <c r="F2847">
        <v>1</v>
      </c>
      <c r="G2847">
        <v>2</v>
      </c>
      <c r="H2847">
        <v>1</v>
      </c>
      <c r="I2847" s="12" t="s">
        <v>335</v>
      </c>
      <c r="J2847" s="12" t="s">
        <v>336</v>
      </c>
      <c r="K2847" s="12" t="s">
        <v>89</v>
      </c>
      <c r="L2847" s="12" t="s">
        <v>82</v>
      </c>
      <c r="M2847">
        <v>16</v>
      </c>
      <c r="N2847" s="12" t="s">
        <v>135</v>
      </c>
      <c r="O2847" s="12" t="s">
        <v>136</v>
      </c>
      <c r="P2847" s="12" t="s">
        <v>137</v>
      </c>
      <c r="Q2847" s="13">
        <v>45455</v>
      </c>
      <c r="R2847" s="13">
        <v>45480</v>
      </c>
      <c r="S2847">
        <v>2024</v>
      </c>
      <c r="T2847" s="12" t="s">
        <v>3649</v>
      </c>
      <c r="U2847">
        <v>47</v>
      </c>
      <c r="V2847">
        <v>420.80840000000001</v>
      </c>
      <c r="W2847">
        <v>490.13</v>
      </c>
      <c r="X2847">
        <v>0</v>
      </c>
      <c r="Y2847">
        <v>0</v>
      </c>
      <c r="Z2847">
        <v>19777.990000000002</v>
      </c>
      <c r="AA2847">
        <v>20268.12</v>
      </c>
      <c r="AB2847" s="12" t="s">
        <v>2944</v>
      </c>
      <c r="AC2847">
        <v>446.36720000000003</v>
      </c>
      <c r="AD2847">
        <v>1</v>
      </c>
      <c r="AE2847">
        <v>1</v>
      </c>
      <c r="AF2847">
        <v>-1201.26</v>
      </c>
      <c r="AG2847">
        <v>20979.26</v>
      </c>
      <c r="AH2847">
        <v>47</v>
      </c>
      <c r="AI2847">
        <v>46</v>
      </c>
      <c r="AJ2847">
        <v>1</v>
      </c>
      <c r="AK2847">
        <v>1</v>
      </c>
      <c r="AL2847">
        <v>1</v>
      </c>
      <c r="AM2847">
        <v>97.87</v>
      </c>
      <c r="AN2847">
        <v>440.6114</v>
      </c>
      <c r="AO2847">
        <v>420.81</v>
      </c>
      <c r="AP2847" s="13">
        <v>45479</v>
      </c>
      <c r="AQ2847">
        <v>-1</v>
      </c>
      <c r="AR2847">
        <v>1</v>
      </c>
    </row>
    <row r="2848" spans="1:44" x14ac:dyDescent="0.35">
      <c r="A2848" s="12" t="s">
        <v>3728</v>
      </c>
      <c r="B2848" s="12" t="s">
        <v>1054</v>
      </c>
      <c r="C2848" s="12" t="s">
        <v>1055</v>
      </c>
      <c r="D2848" s="12" t="s">
        <v>122</v>
      </c>
      <c r="E2848" s="12" t="s">
        <v>65</v>
      </c>
      <c r="F2848">
        <v>1</v>
      </c>
      <c r="G2848">
        <v>2</v>
      </c>
      <c r="H2848">
        <v>1</v>
      </c>
      <c r="I2848" s="12" t="s">
        <v>176</v>
      </c>
      <c r="J2848" s="12" t="s">
        <v>177</v>
      </c>
      <c r="K2848" s="12" t="s">
        <v>125</v>
      </c>
      <c r="L2848" s="12" t="s">
        <v>134</v>
      </c>
      <c r="M2848">
        <v>1.75</v>
      </c>
      <c r="N2848" s="12" t="s">
        <v>70</v>
      </c>
      <c r="O2848" s="12" t="s">
        <v>71</v>
      </c>
      <c r="P2848" s="12" t="s">
        <v>72</v>
      </c>
      <c r="Q2848" s="13">
        <v>45455</v>
      </c>
      <c r="R2848" s="13">
        <v>45477</v>
      </c>
      <c r="S2848">
        <v>2024</v>
      </c>
      <c r="T2848" s="12" t="s">
        <v>3649</v>
      </c>
      <c r="U2848">
        <v>301</v>
      </c>
      <c r="V2848">
        <v>43.110199999999999</v>
      </c>
      <c r="W2848">
        <v>321.10000000000002</v>
      </c>
      <c r="X2848">
        <v>0</v>
      </c>
      <c r="Y2848">
        <v>0</v>
      </c>
      <c r="Z2848">
        <v>12976.17</v>
      </c>
      <c r="AA2848">
        <v>13297.27</v>
      </c>
      <c r="AB2848" s="12" t="s">
        <v>3227</v>
      </c>
      <c r="AC2848">
        <v>45.850499999999997</v>
      </c>
      <c r="AD2848">
        <v>1</v>
      </c>
      <c r="AE2848">
        <v>1</v>
      </c>
      <c r="AF2848">
        <v>-824.83</v>
      </c>
      <c r="AG2848">
        <v>13801</v>
      </c>
      <c r="AH2848">
        <v>301</v>
      </c>
      <c r="AI2848">
        <v>300</v>
      </c>
      <c r="AJ2848">
        <v>1</v>
      </c>
      <c r="AK2848">
        <v>1</v>
      </c>
      <c r="AL2848">
        <v>1</v>
      </c>
      <c r="AM2848">
        <v>99.67</v>
      </c>
      <c r="AN2848">
        <v>44.324199999999998</v>
      </c>
      <c r="AO2848">
        <v>43.11</v>
      </c>
      <c r="AP2848" s="13">
        <v>45481</v>
      </c>
      <c r="AQ2848">
        <v>4</v>
      </c>
      <c r="AR2848">
        <v>0</v>
      </c>
    </row>
    <row r="2849" spans="1:44" x14ac:dyDescent="0.35">
      <c r="A2849" s="12" t="s">
        <v>3729</v>
      </c>
      <c r="B2849" s="12" t="s">
        <v>308</v>
      </c>
      <c r="C2849" s="12" t="s">
        <v>309</v>
      </c>
      <c r="D2849" s="12" t="s">
        <v>122</v>
      </c>
      <c r="E2849" s="12" t="s">
        <v>142</v>
      </c>
      <c r="F2849">
        <v>1</v>
      </c>
      <c r="G2849">
        <v>6</v>
      </c>
      <c r="H2849">
        <v>1</v>
      </c>
      <c r="I2849" s="12" t="s">
        <v>310</v>
      </c>
      <c r="J2849" s="12" t="s">
        <v>311</v>
      </c>
      <c r="K2849" s="12" t="s">
        <v>81</v>
      </c>
      <c r="L2849" s="12" t="s">
        <v>69</v>
      </c>
      <c r="M2849">
        <v>28.3</v>
      </c>
      <c r="N2849" s="12" t="s">
        <v>97</v>
      </c>
      <c r="O2849" s="12" t="s">
        <v>98</v>
      </c>
      <c r="P2849" s="12" t="s">
        <v>72</v>
      </c>
      <c r="Q2849" s="13">
        <v>45455</v>
      </c>
      <c r="R2849" s="13">
        <v>45505</v>
      </c>
      <c r="S2849">
        <v>2024</v>
      </c>
      <c r="T2849" s="12" t="s">
        <v>3649</v>
      </c>
      <c r="U2849">
        <v>1784</v>
      </c>
      <c r="V2849">
        <v>58.086399999999998</v>
      </c>
      <c r="W2849">
        <v>720.76</v>
      </c>
      <c r="X2849">
        <v>0</v>
      </c>
      <c r="Y2849">
        <v>0</v>
      </c>
      <c r="Z2849">
        <v>103626.14</v>
      </c>
      <c r="AA2849">
        <v>104346.9</v>
      </c>
      <c r="AB2849" s="12" t="s">
        <v>2726</v>
      </c>
      <c r="AC2849">
        <v>58.086399999999998</v>
      </c>
      <c r="AD2849">
        <v>1</v>
      </c>
      <c r="AE2849">
        <v>1</v>
      </c>
      <c r="AF2849">
        <v>0</v>
      </c>
      <c r="AG2849">
        <v>103626.14</v>
      </c>
      <c r="AH2849">
        <v>1784</v>
      </c>
      <c r="AI2849">
        <v>1778</v>
      </c>
      <c r="AJ2849">
        <v>6</v>
      </c>
      <c r="AK2849">
        <v>1</v>
      </c>
      <c r="AL2849">
        <v>1</v>
      </c>
      <c r="AM2849">
        <v>99.66</v>
      </c>
      <c r="AN2849">
        <v>58.687800000000003</v>
      </c>
      <c r="AO2849">
        <v>348.52</v>
      </c>
      <c r="AP2849" s="13">
        <v>45511</v>
      </c>
      <c r="AQ2849">
        <v>6</v>
      </c>
      <c r="AR2849">
        <v>0</v>
      </c>
    </row>
    <row r="2850" spans="1:44" x14ac:dyDescent="0.35">
      <c r="A2850" s="12" t="s">
        <v>3730</v>
      </c>
      <c r="B2850" s="12" t="s">
        <v>685</v>
      </c>
      <c r="C2850" s="12" t="s">
        <v>686</v>
      </c>
      <c r="D2850" s="12" t="s">
        <v>175</v>
      </c>
      <c r="E2850" s="12" t="s">
        <v>104</v>
      </c>
      <c r="F2850">
        <v>2</v>
      </c>
      <c r="G2850">
        <v>0</v>
      </c>
      <c r="H2850">
        <v>0</v>
      </c>
      <c r="I2850" s="12" t="s">
        <v>243</v>
      </c>
      <c r="J2850" s="12" t="s">
        <v>244</v>
      </c>
      <c r="K2850" s="12" t="s">
        <v>81</v>
      </c>
      <c r="L2850" s="12" t="s">
        <v>82</v>
      </c>
      <c r="M2850">
        <v>9.2200000000000006</v>
      </c>
      <c r="N2850" s="12" t="s">
        <v>145</v>
      </c>
      <c r="O2850" s="12" t="s">
        <v>146</v>
      </c>
      <c r="P2850" s="12" t="s">
        <v>109</v>
      </c>
      <c r="Q2850" s="13">
        <v>45455</v>
      </c>
      <c r="R2850" s="13">
        <v>45484</v>
      </c>
      <c r="S2850">
        <v>2024</v>
      </c>
      <c r="T2850" s="12" t="s">
        <v>3649</v>
      </c>
      <c r="U2850">
        <v>146</v>
      </c>
      <c r="V2850">
        <v>251.6987</v>
      </c>
      <c r="W2850">
        <v>433.62</v>
      </c>
      <c r="X2850">
        <v>0</v>
      </c>
      <c r="Y2850">
        <v>0</v>
      </c>
      <c r="Z2850">
        <v>36748.01</v>
      </c>
      <c r="AA2850">
        <v>37181.629999999997</v>
      </c>
      <c r="AB2850" s="12" t="s">
        <v>201</v>
      </c>
      <c r="AD2850">
        <v>0</v>
      </c>
      <c r="AE2850">
        <v>0</v>
      </c>
      <c r="AH2850">
        <v>146</v>
      </c>
      <c r="AI2850">
        <v>144</v>
      </c>
      <c r="AJ2850">
        <v>2</v>
      </c>
      <c r="AK2850">
        <v>1</v>
      </c>
      <c r="AL2850">
        <v>1</v>
      </c>
      <c r="AM2850">
        <v>98.63</v>
      </c>
      <c r="AN2850">
        <v>258.20580000000001</v>
      </c>
      <c r="AO2850">
        <v>503.4</v>
      </c>
      <c r="AP2850" s="13">
        <v>45481</v>
      </c>
      <c r="AQ2850">
        <v>-3</v>
      </c>
      <c r="AR2850">
        <v>1</v>
      </c>
    </row>
    <row r="2851" spans="1:44" x14ac:dyDescent="0.35">
      <c r="A2851" s="12" t="s">
        <v>3731</v>
      </c>
      <c r="B2851" s="12" t="s">
        <v>241</v>
      </c>
      <c r="C2851" s="12" t="s">
        <v>242</v>
      </c>
      <c r="D2851" s="12" t="s">
        <v>103</v>
      </c>
      <c r="E2851" s="12" t="s">
        <v>142</v>
      </c>
      <c r="F2851">
        <v>3</v>
      </c>
      <c r="G2851">
        <v>11</v>
      </c>
      <c r="H2851">
        <v>0</v>
      </c>
      <c r="I2851" s="12" t="s">
        <v>157</v>
      </c>
      <c r="J2851" s="12" t="s">
        <v>158</v>
      </c>
      <c r="K2851" s="12" t="s">
        <v>117</v>
      </c>
      <c r="L2851" s="12" t="s">
        <v>96</v>
      </c>
      <c r="M2851">
        <v>4.72</v>
      </c>
      <c r="N2851" s="12" t="s">
        <v>145</v>
      </c>
      <c r="O2851" s="12" t="s">
        <v>146</v>
      </c>
      <c r="P2851" s="12" t="s">
        <v>109</v>
      </c>
      <c r="Q2851" s="13">
        <v>45455</v>
      </c>
      <c r="R2851" s="13">
        <v>45491</v>
      </c>
      <c r="S2851">
        <v>2024</v>
      </c>
      <c r="T2851" s="12" t="s">
        <v>3649</v>
      </c>
      <c r="U2851">
        <v>18</v>
      </c>
      <c r="V2851">
        <v>163.56630000000001</v>
      </c>
      <c r="W2851">
        <v>32.950000000000003</v>
      </c>
      <c r="X2851">
        <v>0</v>
      </c>
      <c r="Y2851">
        <v>0</v>
      </c>
      <c r="Z2851">
        <v>2944.19</v>
      </c>
      <c r="AA2851">
        <v>2977.14</v>
      </c>
      <c r="AB2851" s="12" t="s">
        <v>3444</v>
      </c>
      <c r="AC2851">
        <v>163.56630000000001</v>
      </c>
      <c r="AD2851">
        <v>1</v>
      </c>
      <c r="AE2851">
        <v>1</v>
      </c>
      <c r="AF2851">
        <v>0</v>
      </c>
      <c r="AG2851">
        <v>2944.19</v>
      </c>
      <c r="AH2851">
        <v>18</v>
      </c>
      <c r="AI2851">
        <v>18</v>
      </c>
      <c r="AJ2851">
        <v>0</v>
      </c>
      <c r="AK2851">
        <v>1</v>
      </c>
      <c r="AL2851">
        <v>1</v>
      </c>
      <c r="AM2851">
        <v>100</v>
      </c>
      <c r="AN2851">
        <v>165.39689999999999</v>
      </c>
      <c r="AO2851">
        <v>0</v>
      </c>
      <c r="AP2851" s="13">
        <v>45489</v>
      </c>
      <c r="AQ2851">
        <v>-2</v>
      </c>
      <c r="AR2851">
        <v>1</v>
      </c>
    </row>
    <row r="2852" spans="1:44" x14ac:dyDescent="0.35">
      <c r="A2852" s="12" t="s">
        <v>3732</v>
      </c>
      <c r="B2852" s="12" t="s">
        <v>173</v>
      </c>
      <c r="C2852" s="12" t="s">
        <v>174</v>
      </c>
      <c r="D2852" s="12" t="s">
        <v>175</v>
      </c>
      <c r="E2852" s="12" t="s">
        <v>104</v>
      </c>
      <c r="F2852">
        <v>3</v>
      </c>
      <c r="G2852">
        <v>1</v>
      </c>
      <c r="H2852">
        <v>0</v>
      </c>
      <c r="I2852" s="12" t="s">
        <v>176</v>
      </c>
      <c r="J2852" s="12" t="s">
        <v>177</v>
      </c>
      <c r="K2852" s="12" t="s">
        <v>125</v>
      </c>
      <c r="L2852" s="12" t="s">
        <v>134</v>
      </c>
      <c r="M2852">
        <v>1.75</v>
      </c>
      <c r="N2852" s="12" t="s">
        <v>107</v>
      </c>
      <c r="O2852" s="12" t="s">
        <v>108</v>
      </c>
      <c r="P2852" s="12" t="s">
        <v>109</v>
      </c>
      <c r="Q2852" s="13">
        <v>45455</v>
      </c>
      <c r="R2852" s="13">
        <v>45468</v>
      </c>
      <c r="S2852">
        <v>2024</v>
      </c>
      <c r="T2852" s="12" t="s">
        <v>3649</v>
      </c>
      <c r="U2852">
        <v>22</v>
      </c>
      <c r="V2852">
        <v>77.474400000000003</v>
      </c>
      <c r="W2852">
        <v>44.19</v>
      </c>
      <c r="X2852">
        <v>0</v>
      </c>
      <c r="Y2852">
        <v>0</v>
      </c>
      <c r="Z2852">
        <v>1704.44</v>
      </c>
      <c r="AA2852">
        <v>1748.63</v>
      </c>
      <c r="AB2852" s="12" t="s">
        <v>2717</v>
      </c>
      <c r="AC2852">
        <v>75.626000000000005</v>
      </c>
      <c r="AD2852">
        <v>1</v>
      </c>
      <c r="AE2852">
        <v>1</v>
      </c>
      <c r="AF2852">
        <v>40.659999999999997</v>
      </c>
      <c r="AG2852">
        <v>1663.77</v>
      </c>
      <c r="AH2852">
        <v>22</v>
      </c>
      <c r="AI2852">
        <v>22</v>
      </c>
      <c r="AJ2852">
        <v>0</v>
      </c>
      <c r="AK2852">
        <v>1</v>
      </c>
      <c r="AL2852">
        <v>1</v>
      </c>
      <c r="AM2852">
        <v>100</v>
      </c>
      <c r="AN2852">
        <v>79.483000000000004</v>
      </c>
      <c r="AO2852">
        <v>0</v>
      </c>
      <c r="AP2852" s="13">
        <v>45468</v>
      </c>
      <c r="AQ2852">
        <v>0</v>
      </c>
      <c r="AR2852">
        <v>1</v>
      </c>
    </row>
    <row r="2853" spans="1:44" x14ac:dyDescent="0.35">
      <c r="A2853" s="12" t="s">
        <v>3733</v>
      </c>
      <c r="B2853" s="12" t="s">
        <v>173</v>
      </c>
      <c r="C2853" s="12" t="s">
        <v>174</v>
      </c>
      <c r="D2853" s="12" t="s">
        <v>175</v>
      </c>
      <c r="E2853" s="12" t="s">
        <v>104</v>
      </c>
      <c r="F2853">
        <v>3</v>
      </c>
      <c r="G2853">
        <v>1</v>
      </c>
      <c r="H2853">
        <v>0</v>
      </c>
      <c r="I2853" s="12" t="s">
        <v>176</v>
      </c>
      <c r="J2853" s="12" t="s">
        <v>177</v>
      </c>
      <c r="K2853" s="12" t="s">
        <v>125</v>
      </c>
      <c r="L2853" s="12" t="s">
        <v>134</v>
      </c>
      <c r="M2853">
        <v>1.75</v>
      </c>
      <c r="N2853" s="12" t="s">
        <v>145</v>
      </c>
      <c r="O2853" s="12" t="s">
        <v>146</v>
      </c>
      <c r="P2853" s="12" t="s">
        <v>109</v>
      </c>
      <c r="Q2853" s="13">
        <v>45455</v>
      </c>
      <c r="R2853" s="13">
        <v>45475</v>
      </c>
      <c r="S2853">
        <v>2024</v>
      </c>
      <c r="T2853" s="12" t="s">
        <v>3649</v>
      </c>
      <c r="U2853">
        <v>78</v>
      </c>
      <c r="V2853">
        <v>75.626000000000005</v>
      </c>
      <c r="W2853">
        <v>98.38</v>
      </c>
      <c r="X2853">
        <v>0</v>
      </c>
      <c r="Y2853">
        <v>0</v>
      </c>
      <c r="Z2853">
        <v>5898.83</v>
      </c>
      <c r="AA2853">
        <v>5997.21</v>
      </c>
      <c r="AB2853" s="12" t="s">
        <v>2717</v>
      </c>
      <c r="AC2853">
        <v>75.626000000000005</v>
      </c>
      <c r="AD2853">
        <v>1</v>
      </c>
      <c r="AE2853">
        <v>1</v>
      </c>
      <c r="AF2853">
        <v>0</v>
      </c>
      <c r="AG2853">
        <v>5898.83</v>
      </c>
      <c r="AH2853">
        <v>78</v>
      </c>
      <c r="AI2853">
        <v>77</v>
      </c>
      <c r="AJ2853">
        <v>1</v>
      </c>
      <c r="AK2853">
        <v>1</v>
      </c>
      <c r="AL2853">
        <v>1</v>
      </c>
      <c r="AM2853">
        <v>98.72</v>
      </c>
      <c r="AN2853">
        <v>77.885800000000003</v>
      </c>
      <c r="AO2853">
        <v>75.63</v>
      </c>
      <c r="AP2853" s="13">
        <v>45471</v>
      </c>
      <c r="AQ2853">
        <v>-4</v>
      </c>
      <c r="AR2853">
        <v>1</v>
      </c>
    </row>
    <row r="2854" spans="1:44" x14ac:dyDescent="0.35">
      <c r="A2854" s="12" t="s">
        <v>3734</v>
      </c>
      <c r="B2854" s="12" t="s">
        <v>532</v>
      </c>
      <c r="C2854" s="12" t="s">
        <v>533</v>
      </c>
      <c r="D2854" s="12" t="s">
        <v>114</v>
      </c>
      <c r="E2854" s="12" t="s">
        <v>65</v>
      </c>
      <c r="F2854">
        <v>2</v>
      </c>
      <c r="G2854">
        <v>3</v>
      </c>
      <c r="H2854">
        <v>0</v>
      </c>
      <c r="I2854" s="12" t="s">
        <v>105</v>
      </c>
      <c r="J2854" s="12" t="s">
        <v>106</v>
      </c>
      <c r="K2854" s="12" t="s">
        <v>81</v>
      </c>
      <c r="L2854" s="12" t="s">
        <v>96</v>
      </c>
      <c r="M2854">
        <v>5.01</v>
      </c>
      <c r="N2854" s="12" t="s">
        <v>70</v>
      </c>
      <c r="O2854" s="12" t="s">
        <v>71</v>
      </c>
      <c r="P2854" s="12" t="s">
        <v>72</v>
      </c>
      <c r="Q2854" s="13">
        <v>45455</v>
      </c>
      <c r="R2854" s="13">
        <v>45491</v>
      </c>
      <c r="S2854">
        <v>2024</v>
      </c>
      <c r="T2854" s="12" t="s">
        <v>3649</v>
      </c>
      <c r="U2854">
        <v>127</v>
      </c>
      <c r="V2854">
        <v>249.9546</v>
      </c>
      <c r="W2854">
        <v>825.16</v>
      </c>
      <c r="X2854">
        <v>0</v>
      </c>
      <c r="Y2854">
        <v>0</v>
      </c>
      <c r="Z2854">
        <v>31744.23</v>
      </c>
      <c r="AA2854">
        <v>32569.39</v>
      </c>
      <c r="AB2854" s="12" t="s">
        <v>3041</v>
      </c>
      <c r="AC2854">
        <v>249.9546</v>
      </c>
      <c r="AD2854">
        <v>1</v>
      </c>
      <c r="AE2854">
        <v>1</v>
      </c>
      <c r="AF2854">
        <v>0</v>
      </c>
      <c r="AG2854">
        <v>31744.23</v>
      </c>
      <c r="AH2854">
        <v>127</v>
      </c>
      <c r="AI2854">
        <v>125</v>
      </c>
      <c r="AJ2854">
        <v>2</v>
      </c>
      <c r="AK2854">
        <v>1</v>
      </c>
      <c r="AL2854">
        <v>1</v>
      </c>
      <c r="AM2854">
        <v>98.43</v>
      </c>
      <c r="AN2854">
        <v>260.55520000000001</v>
      </c>
      <c r="AO2854">
        <v>499.91</v>
      </c>
      <c r="AP2854" s="13">
        <v>45488</v>
      </c>
      <c r="AQ2854">
        <v>-3</v>
      </c>
      <c r="AR2854">
        <v>1</v>
      </c>
    </row>
    <row r="2855" spans="1:44" x14ac:dyDescent="0.35">
      <c r="A2855" s="12" t="s">
        <v>3735</v>
      </c>
      <c r="B2855" s="12" t="s">
        <v>293</v>
      </c>
      <c r="C2855" s="12" t="s">
        <v>294</v>
      </c>
      <c r="D2855" s="12" t="s">
        <v>114</v>
      </c>
      <c r="E2855" s="12" t="s">
        <v>142</v>
      </c>
      <c r="F2855">
        <v>1</v>
      </c>
      <c r="G2855">
        <v>6</v>
      </c>
      <c r="H2855">
        <v>1</v>
      </c>
      <c r="I2855" s="12" t="s">
        <v>195</v>
      </c>
      <c r="J2855" s="12" t="s">
        <v>196</v>
      </c>
      <c r="K2855" s="12" t="s">
        <v>117</v>
      </c>
      <c r="L2855" s="12" t="s">
        <v>134</v>
      </c>
      <c r="M2855">
        <v>4.7699999999999996</v>
      </c>
      <c r="N2855" s="12" t="s">
        <v>97</v>
      </c>
      <c r="O2855" s="12" t="s">
        <v>98</v>
      </c>
      <c r="P2855" s="12" t="s">
        <v>72</v>
      </c>
      <c r="Q2855" s="13">
        <v>45455</v>
      </c>
      <c r="R2855" s="13">
        <v>45494</v>
      </c>
      <c r="S2855">
        <v>2024</v>
      </c>
      <c r="T2855" s="12" t="s">
        <v>3649</v>
      </c>
      <c r="U2855">
        <v>47</v>
      </c>
      <c r="V2855">
        <v>202.91499999999999</v>
      </c>
      <c r="W2855">
        <v>241.17</v>
      </c>
      <c r="X2855">
        <v>0</v>
      </c>
      <c r="Y2855">
        <v>0</v>
      </c>
      <c r="Z2855">
        <v>9537.01</v>
      </c>
      <c r="AA2855">
        <v>9778.18</v>
      </c>
      <c r="AB2855" s="12" t="s">
        <v>2837</v>
      </c>
      <c r="AC2855">
        <v>202.91499999999999</v>
      </c>
      <c r="AD2855">
        <v>1</v>
      </c>
      <c r="AE2855">
        <v>1</v>
      </c>
      <c r="AF2855">
        <v>0</v>
      </c>
      <c r="AG2855">
        <v>9537.01</v>
      </c>
      <c r="AH2855">
        <v>47</v>
      </c>
      <c r="AI2855">
        <v>46</v>
      </c>
      <c r="AJ2855">
        <v>1</v>
      </c>
      <c r="AK2855">
        <v>1</v>
      </c>
      <c r="AL2855">
        <v>1</v>
      </c>
      <c r="AM2855">
        <v>97.87</v>
      </c>
      <c r="AN2855">
        <v>212.56899999999999</v>
      </c>
      <c r="AO2855">
        <v>202.92</v>
      </c>
      <c r="AP2855" s="13">
        <v>45494</v>
      </c>
      <c r="AQ2855">
        <v>0</v>
      </c>
      <c r="AR2855">
        <v>1</v>
      </c>
    </row>
    <row r="2856" spans="1:44" x14ac:dyDescent="0.35">
      <c r="A2856" s="12" t="s">
        <v>3736</v>
      </c>
      <c r="B2856" s="12" t="s">
        <v>509</v>
      </c>
      <c r="C2856" s="12" t="s">
        <v>510</v>
      </c>
      <c r="D2856" s="12" t="s">
        <v>78</v>
      </c>
      <c r="E2856" s="12" t="s">
        <v>142</v>
      </c>
      <c r="F2856">
        <v>3</v>
      </c>
      <c r="G2856">
        <v>11</v>
      </c>
      <c r="H2856">
        <v>0</v>
      </c>
      <c r="I2856" s="12" t="s">
        <v>176</v>
      </c>
      <c r="J2856" s="12" t="s">
        <v>177</v>
      </c>
      <c r="K2856" s="12" t="s">
        <v>125</v>
      </c>
      <c r="L2856" s="12" t="s">
        <v>134</v>
      </c>
      <c r="M2856">
        <v>1.75</v>
      </c>
      <c r="N2856" s="12" t="s">
        <v>70</v>
      </c>
      <c r="O2856" s="12" t="s">
        <v>71</v>
      </c>
      <c r="P2856" s="12" t="s">
        <v>72</v>
      </c>
      <c r="Q2856" s="13">
        <v>45455</v>
      </c>
      <c r="R2856" s="13">
        <v>45499</v>
      </c>
      <c r="S2856">
        <v>2024</v>
      </c>
      <c r="T2856" s="12" t="s">
        <v>3649</v>
      </c>
      <c r="U2856">
        <v>181</v>
      </c>
      <c r="V2856">
        <v>151.81739999999999</v>
      </c>
      <c r="W2856">
        <v>238.62</v>
      </c>
      <c r="X2856">
        <v>0</v>
      </c>
      <c r="Y2856">
        <v>0</v>
      </c>
      <c r="Z2856">
        <v>27478.95</v>
      </c>
      <c r="AA2856">
        <v>27717.57</v>
      </c>
      <c r="AB2856" s="12" t="s">
        <v>201</v>
      </c>
      <c r="AD2856">
        <v>0</v>
      </c>
      <c r="AE2856">
        <v>0</v>
      </c>
      <c r="AH2856">
        <v>181</v>
      </c>
      <c r="AI2856">
        <v>177</v>
      </c>
      <c r="AJ2856">
        <v>4</v>
      </c>
      <c r="AK2856">
        <v>1</v>
      </c>
      <c r="AL2856">
        <v>1</v>
      </c>
      <c r="AM2856">
        <v>97.79</v>
      </c>
      <c r="AN2856">
        <v>156.59639999999999</v>
      </c>
      <c r="AO2856">
        <v>607.27</v>
      </c>
      <c r="AP2856" s="13">
        <v>45497</v>
      </c>
      <c r="AQ2856">
        <v>-2</v>
      </c>
      <c r="AR2856">
        <v>1</v>
      </c>
    </row>
    <row r="2857" spans="1:44" x14ac:dyDescent="0.35">
      <c r="A2857" s="12" t="s">
        <v>3737</v>
      </c>
      <c r="B2857" s="12" t="s">
        <v>537</v>
      </c>
      <c r="C2857" s="12" t="s">
        <v>538</v>
      </c>
      <c r="D2857" s="12" t="s">
        <v>103</v>
      </c>
      <c r="E2857" s="12" t="s">
        <v>104</v>
      </c>
      <c r="F2857">
        <v>3</v>
      </c>
      <c r="G2857">
        <v>0</v>
      </c>
      <c r="H2857">
        <v>0</v>
      </c>
      <c r="I2857" s="12" t="s">
        <v>380</v>
      </c>
      <c r="J2857" s="12" t="s">
        <v>381</v>
      </c>
      <c r="K2857" s="12" t="s">
        <v>89</v>
      </c>
      <c r="L2857" s="12" t="s">
        <v>96</v>
      </c>
      <c r="M2857">
        <v>10.210000000000001</v>
      </c>
      <c r="N2857" s="12" t="s">
        <v>145</v>
      </c>
      <c r="O2857" s="12" t="s">
        <v>146</v>
      </c>
      <c r="P2857" s="12" t="s">
        <v>109</v>
      </c>
      <c r="Q2857" s="13">
        <v>45456</v>
      </c>
      <c r="R2857" s="13">
        <v>45482</v>
      </c>
      <c r="S2857">
        <v>2024</v>
      </c>
      <c r="T2857" s="12" t="s">
        <v>3649</v>
      </c>
      <c r="U2857">
        <v>124</v>
      </c>
      <c r="V2857">
        <v>249.5548</v>
      </c>
      <c r="W2857">
        <v>288.45</v>
      </c>
      <c r="X2857">
        <v>0</v>
      </c>
      <c r="Y2857">
        <v>0</v>
      </c>
      <c r="Z2857">
        <v>30944.799999999999</v>
      </c>
      <c r="AA2857">
        <v>31233.25</v>
      </c>
      <c r="AB2857" s="12" t="s">
        <v>3095</v>
      </c>
      <c r="AC2857">
        <v>242.5198</v>
      </c>
      <c r="AD2857">
        <v>1</v>
      </c>
      <c r="AE2857">
        <v>1</v>
      </c>
      <c r="AF2857">
        <v>872.34</v>
      </c>
      <c r="AG2857">
        <v>30072.46</v>
      </c>
      <c r="AH2857">
        <v>124</v>
      </c>
      <c r="AI2857">
        <v>123</v>
      </c>
      <c r="AJ2857">
        <v>1</v>
      </c>
      <c r="AK2857">
        <v>1</v>
      </c>
      <c r="AL2857">
        <v>1</v>
      </c>
      <c r="AM2857">
        <v>99.19</v>
      </c>
      <c r="AN2857">
        <v>253.9288</v>
      </c>
      <c r="AO2857">
        <v>249.55</v>
      </c>
      <c r="AP2857" s="13">
        <v>45480</v>
      </c>
      <c r="AQ2857">
        <v>-2</v>
      </c>
      <c r="AR2857">
        <v>1</v>
      </c>
    </row>
    <row r="2858" spans="1:44" x14ac:dyDescent="0.35">
      <c r="A2858" s="12" t="s">
        <v>3738</v>
      </c>
      <c r="B2858" s="12" t="s">
        <v>395</v>
      </c>
      <c r="C2858" s="12" t="s">
        <v>396</v>
      </c>
      <c r="D2858" s="12" t="s">
        <v>130</v>
      </c>
      <c r="E2858" s="12" t="s">
        <v>104</v>
      </c>
      <c r="F2858">
        <v>3</v>
      </c>
      <c r="G2858">
        <v>1</v>
      </c>
      <c r="H2858">
        <v>0</v>
      </c>
      <c r="I2858" s="12" t="s">
        <v>804</v>
      </c>
      <c r="J2858" s="12" t="s">
        <v>342</v>
      </c>
      <c r="K2858" s="12" t="s">
        <v>117</v>
      </c>
      <c r="L2858" s="12" t="s">
        <v>69</v>
      </c>
      <c r="M2858">
        <v>30.07</v>
      </c>
      <c r="N2858" s="12" t="s">
        <v>159</v>
      </c>
      <c r="O2858" s="12" t="s">
        <v>160</v>
      </c>
      <c r="P2858" s="12" t="s">
        <v>137</v>
      </c>
      <c r="Q2858" s="13">
        <v>45456</v>
      </c>
      <c r="R2858" s="13">
        <v>45468</v>
      </c>
      <c r="S2858">
        <v>2024</v>
      </c>
      <c r="T2858" s="12" t="s">
        <v>3649</v>
      </c>
      <c r="U2858">
        <v>17</v>
      </c>
      <c r="V2858">
        <v>190.31620000000001</v>
      </c>
      <c r="W2858">
        <v>64.28</v>
      </c>
      <c r="X2858">
        <v>0</v>
      </c>
      <c r="Y2858">
        <v>0</v>
      </c>
      <c r="Z2858">
        <v>3235.38</v>
      </c>
      <c r="AA2858">
        <v>3299.66</v>
      </c>
      <c r="AB2858" s="12" t="s">
        <v>3677</v>
      </c>
      <c r="AC2858">
        <v>190.31620000000001</v>
      </c>
      <c r="AD2858">
        <v>1</v>
      </c>
      <c r="AE2858">
        <v>1</v>
      </c>
      <c r="AF2858">
        <v>0</v>
      </c>
      <c r="AG2858">
        <v>3235.38</v>
      </c>
      <c r="AH2858">
        <v>17</v>
      </c>
      <c r="AI2858">
        <v>17</v>
      </c>
      <c r="AJ2858">
        <v>0</v>
      </c>
      <c r="AK2858">
        <v>1</v>
      </c>
      <c r="AL2858">
        <v>1</v>
      </c>
      <c r="AM2858">
        <v>100</v>
      </c>
      <c r="AN2858">
        <v>194.09739999999999</v>
      </c>
      <c r="AO2858">
        <v>0</v>
      </c>
      <c r="AP2858" s="13">
        <v>45467</v>
      </c>
      <c r="AQ2858">
        <v>-1</v>
      </c>
      <c r="AR2858">
        <v>1</v>
      </c>
    </row>
    <row r="2859" spans="1:44" x14ac:dyDescent="0.35">
      <c r="A2859" s="12" t="s">
        <v>3739</v>
      </c>
      <c r="B2859" s="12" t="s">
        <v>284</v>
      </c>
      <c r="C2859" s="12" t="s">
        <v>285</v>
      </c>
      <c r="D2859" s="12" t="s">
        <v>269</v>
      </c>
      <c r="E2859" s="12" t="s">
        <v>104</v>
      </c>
      <c r="F2859">
        <v>3</v>
      </c>
      <c r="G2859">
        <v>1</v>
      </c>
      <c r="H2859">
        <v>0</v>
      </c>
      <c r="I2859" s="12" t="s">
        <v>199</v>
      </c>
      <c r="J2859" s="12" t="s">
        <v>200</v>
      </c>
      <c r="K2859" s="12" t="s">
        <v>68</v>
      </c>
      <c r="L2859" s="12" t="s">
        <v>96</v>
      </c>
      <c r="M2859">
        <v>9.4700000000000006</v>
      </c>
      <c r="N2859" s="12" t="s">
        <v>135</v>
      </c>
      <c r="O2859" s="12" t="s">
        <v>136</v>
      </c>
      <c r="P2859" s="12" t="s">
        <v>137</v>
      </c>
      <c r="Q2859" s="13">
        <v>45456</v>
      </c>
      <c r="R2859" s="13">
        <v>45472</v>
      </c>
      <c r="S2859">
        <v>2024</v>
      </c>
      <c r="T2859" s="12" t="s">
        <v>3649</v>
      </c>
      <c r="U2859">
        <v>48</v>
      </c>
      <c r="V2859">
        <v>424.13400000000001</v>
      </c>
      <c r="W2859">
        <v>436.34</v>
      </c>
      <c r="X2859">
        <v>0</v>
      </c>
      <c r="Y2859">
        <v>0</v>
      </c>
      <c r="Z2859">
        <v>20358.43</v>
      </c>
      <c r="AA2859">
        <v>20794.77</v>
      </c>
      <c r="AB2859" s="12" t="s">
        <v>201</v>
      </c>
      <c r="AD2859">
        <v>0</v>
      </c>
      <c r="AE2859">
        <v>0</v>
      </c>
      <c r="AH2859">
        <v>48</v>
      </c>
      <c r="AI2859">
        <v>48</v>
      </c>
      <c r="AJ2859">
        <v>0</v>
      </c>
      <c r="AK2859">
        <v>1</v>
      </c>
      <c r="AL2859">
        <v>1</v>
      </c>
      <c r="AM2859">
        <v>100</v>
      </c>
      <c r="AN2859">
        <v>433.2244</v>
      </c>
      <c r="AO2859">
        <v>0</v>
      </c>
      <c r="AP2859" s="13">
        <v>45474</v>
      </c>
      <c r="AQ2859">
        <v>2</v>
      </c>
      <c r="AR2859">
        <v>0</v>
      </c>
    </row>
    <row r="2860" spans="1:44" x14ac:dyDescent="0.35">
      <c r="A2860" s="12" t="s">
        <v>3740</v>
      </c>
      <c r="B2860" s="12" t="s">
        <v>465</v>
      </c>
      <c r="C2860" s="12" t="s">
        <v>466</v>
      </c>
      <c r="D2860" s="12" t="s">
        <v>78</v>
      </c>
      <c r="E2860" s="12" t="s">
        <v>142</v>
      </c>
      <c r="F2860">
        <v>3</v>
      </c>
      <c r="G2860">
        <v>11</v>
      </c>
      <c r="H2860">
        <v>0</v>
      </c>
      <c r="I2860" s="12" t="s">
        <v>195</v>
      </c>
      <c r="J2860" s="12" t="s">
        <v>196</v>
      </c>
      <c r="K2860" s="12" t="s">
        <v>117</v>
      </c>
      <c r="L2860" s="12" t="s">
        <v>134</v>
      </c>
      <c r="M2860">
        <v>4.7699999999999996</v>
      </c>
      <c r="N2860" s="12" t="s">
        <v>97</v>
      </c>
      <c r="O2860" s="12" t="s">
        <v>98</v>
      </c>
      <c r="P2860" s="12" t="s">
        <v>72</v>
      </c>
      <c r="Q2860" s="13">
        <v>45456</v>
      </c>
      <c r="R2860" s="13">
        <v>45495</v>
      </c>
      <c r="S2860">
        <v>2024</v>
      </c>
      <c r="T2860" s="12" t="s">
        <v>3649</v>
      </c>
      <c r="U2860">
        <v>98</v>
      </c>
      <c r="V2860">
        <v>107.81189999999999</v>
      </c>
      <c r="W2860">
        <v>229.95</v>
      </c>
      <c r="X2860">
        <v>0</v>
      </c>
      <c r="Y2860">
        <v>0</v>
      </c>
      <c r="Z2860">
        <v>10565.57</v>
      </c>
      <c r="AA2860">
        <v>10795.52</v>
      </c>
      <c r="AB2860" s="12" t="s">
        <v>3058</v>
      </c>
      <c r="AC2860">
        <v>107.81189999999999</v>
      </c>
      <c r="AD2860">
        <v>1</v>
      </c>
      <c r="AE2860">
        <v>1</v>
      </c>
      <c r="AF2860">
        <v>0</v>
      </c>
      <c r="AG2860">
        <v>10565.57</v>
      </c>
      <c r="AH2860">
        <v>98</v>
      </c>
      <c r="AI2860">
        <v>97</v>
      </c>
      <c r="AJ2860">
        <v>1</v>
      </c>
      <c r="AK2860">
        <v>1</v>
      </c>
      <c r="AL2860">
        <v>1</v>
      </c>
      <c r="AM2860">
        <v>98.98</v>
      </c>
      <c r="AN2860">
        <v>111.294</v>
      </c>
      <c r="AO2860">
        <v>107.81</v>
      </c>
      <c r="AP2860" s="13">
        <v>45492</v>
      </c>
      <c r="AQ2860">
        <v>-3</v>
      </c>
      <c r="AR2860">
        <v>1</v>
      </c>
    </row>
    <row r="2861" spans="1:44" x14ac:dyDescent="0.35">
      <c r="A2861" s="12" t="s">
        <v>3741</v>
      </c>
      <c r="B2861" s="12" t="s">
        <v>685</v>
      </c>
      <c r="C2861" s="12" t="s">
        <v>686</v>
      </c>
      <c r="D2861" s="12" t="s">
        <v>175</v>
      </c>
      <c r="E2861" s="12" t="s">
        <v>104</v>
      </c>
      <c r="F2861">
        <v>2</v>
      </c>
      <c r="G2861">
        <v>0</v>
      </c>
      <c r="H2861">
        <v>0</v>
      </c>
      <c r="I2861" s="12" t="s">
        <v>243</v>
      </c>
      <c r="J2861" s="12" t="s">
        <v>244</v>
      </c>
      <c r="K2861" s="12" t="s">
        <v>81</v>
      </c>
      <c r="L2861" s="12" t="s">
        <v>82</v>
      </c>
      <c r="M2861">
        <v>9.2200000000000006</v>
      </c>
      <c r="N2861" s="12" t="s">
        <v>107</v>
      </c>
      <c r="O2861" s="12" t="s">
        <v>108</v>
      </c>
      <c r="P2861" s="12" t="s">
        <v>109</v>
      </c>
      <c r="Q2861" s="13">
        <v>45456</v>
      </c>
      <c r="R2861" s="13">
        <v>45472</v>
      </c>
      <c r="S2861">
        <v>2024</v>
      </c>
      <c r="T2861" s="12" t="s">
        <v>3649</v>
      </c>
      <c r="U2861">
        <v>47</v>
      </c>
      <c r="V2861">
        <v>247.99199999999999</v>
      </c>
      <c r="W2861">
        <v>92.01</v>
      </c>
      <c r="X2861">
        <v>0</v>
      </c>
      <c r="Y2861">
        <v>0</v>
      </c>
      <c r="Z2861">
        <v>11655.62</v>
      </c>
      <c r="AA2861">
        <v>11747.63</v>
      </c>
      <c r="AB2861" s="12" t="s">
        <v>201</v>
      </c>
      <c r="AD2861">
        <v>0</v>
      </c>
      <c r="AE2861">
        <v>0</v>
      </c>
      <c r="AH2861">
        <v>47</v>
      </c>
      <c r="AI2861">
        <v>47</v>
      </c>
      <c r="AJ2861">
        <v>0</v>
      </c>
      <c r="AK2861">
        <v>1</v>
      </c>
      <c r="AL2861">
        <v>1</v>
      </c>
      <c r="AM2861">
        <v>100</v>
      </c>
      <c r="AN2861">
        <v>249.94970000000001</v>
      </c>
      <c r="AO2861">
        <v>0</v>
      </c>
      <c r="AP2861" s="13">
        <v>45479</v>
      </c>
      <c r="AQ2861">
        <v>7</v>
      </c>
      <c r="AR2861">
        <v>0</v>
      </c>
    </row>
    <row r="2862" spans="1:44" x14ac:dyDescent="0.35">
      <c r="A2862" s="12" t="s">
        <v>3742</v>
      </c>
      <c r="B2862" s="12" t="s">
        <v>909</v>
      </c>
      <c r="C2862" s="12" t="s">
        <v>910</v>
      </c>
      <c r="D2862" s="12" t="s">
        <v>269</v>
      </c>
      <c r="E2862" s="12" t="s">
        <v>65</v>
      </c>
      <c r="F2862">
        <v>3</v>
      </c>
      <c r="G2862">
        <v>4</v>
      </c>
      <c r="H2862">
        <v>0</v>
      </c>
      <c r="I2862" s="12" t="s">
        <v>123</v>
      </c>
      <c r="J2862" s="12" t="s">
        <v>124</v>
      </c>
      <c r="K2862" s="12" t="s">
        <v>125</v>
      </c>
      <c r="L2862" s="12" t="s">
        <v>82</v>
      </c>
      <c r="M2862">
        <v>6.75</v>
      </c>
      <c r="N2862" s="12" t="s">
        <v>159</v>
      </c>
      <c r="O2862" s="12" t="s">
        <v>160</v>
      </c>
      <c r="P2862" s="12" t="s">
        <v>137</v>
      </c>
      <c r="Q2862" s="13">
        <v>45456</v>
      </c>
      <c r="R2862" s="13">
        <v>45486</v>
      </c>
      <c r="S2862">
        <v>2024</v>
      </c>
      <c r="T2862" s="12" t="s">
        <v>3649</v>
      </c>
      <c r="U2862">
        <v>85</v>
      </c>
      <c r="V2862">
        <v>110.7034</v>
      </c>
      <c r="W2862">
        <v>203.73</v>
      </c>
      <c r="X2862">
        <v>0</v>
      </c>
      <c r="Y2862">
        <v>0</v>
      </c>
      <c r="Z2862">
        <v>9409.7900000000009</v>
      </c>
      <c r="AA2862">
        <v>9613.52</v>
      </c>
      <c r="AB2862" s="12" t="s">
        <v>201</v>
      </c>
      <c r="AD2862">
        <v>0</v>
      </c>
      <c r="AE2862">
        <v>0</v>
      </c>
      <c r="AH2862">
        <v>85</v>
      </c>
      <c r="AI2862">
        <v>84</v>
      </c>
      <c r="AJ2862">
        <v>1</v>
      </c>
      <c r="AK2862">
        <v>1</v>
      </c>
      <c r="AL2862">
        <v>1</v>
      </c>
      <c r="AM2862">
        <v>98.82</v>
      </c>
      <c r="AN2862">
        <v>114.44670000000001</v>
      </c>
      <c r="AO2862">
        <v>110.7</v>
      </c>
      <c r="AP2862" s="13">
        <v>45492</v>
      </c>
      <c r="AQ2862">
        <v>6</v>
      </c>
      <c r="AR2862">
        <v>0</v>
      </c>
    </row>
    <row r="2863" spans="1:44" x14ac:dyDescent="0.35">
      <c r="A2863" s="12" t="s">
        <v>3743</v>
      </c>
      <c r="B2863" s="12" t="s">
        <v>755</v>
      </c>
      <c r="C2863" s="12" t="s">
        <v>756</v>
      </c>
      <c r="D2863" s="12" t="s">
        <v>78</v>
      </c>
      <c r="E2863" s="12" t="s">
        <v>65</v>
      </c>
      <c r="F2863">
        <v>2</v>
      </c>
      <c r="G2863">
        <v>2</v>
      </c>
      <c r="H2863">
        <v>0</v>
      </c>
      <c r="I2863" s="12" t="s">
        <v>359</v>
      </c>
      <c r="J2863" s="12" t="s">
        <v>360</v>
      </c>
      <c r="K2863" s="12" t="s">
        <v>133</v>
      </c>
      <c r="L2863" s="12" t="s">
        <v>82</v>
      </c>
      <c r="M2863">
        <v>12.65</v>
      </c>
      <c r="N2863" s="12" t="s">
        <v>70</v>
      </c>
      <c r="O2863" s="12" t="s">
        <v>71</v>
      </c>
      <c r="P2863" s="12" t="s">
        <v>72</v>
      </c>
      <c r="Q2863" s="13">
        <v>45456</v>
      </c>
      <c r="R2863" s="13">
        <v>45491</v>
      </c>
      <c r="S2863">
        <v>2024</v>
      </c>
      <c r="T2863" s="12" t="s">
        <v>3649</v>
      </c>
      <c r="U2863">
        <v>252</v>
      </c>
      <c r="V2863">
        <v>43.122799999999998</v>
      </c>
      <c r="W2863">
        <v>234.41</v>
      </c>
      <c r="X2863">
        <v>0</v>
      </c>
      <c r="Y2863">
        <v>0</v>
      </c>
      <c r="Z2863">
        <v>10866.95</v>
      </c>
      <c r="AA2863">
        <v>11101.36</v>
      </c>
      <c r="AB2863" s="12" t="s">
        <v>3414</v>
      </c>
      <c r="AC2863">
        <v>43.122799999999998</v>
      </c>
      <c r="AD2863">
        <v>1</v>
      </c>
      <c r="AE2863">
        <v>1</v>
      </c>
      <c r="AF2863">
        <v>0</v>
      </c>
      <c r="AG2863">
        <v>10866.95</v>
      </c>
      <c r="AH2863">
        <v>252</v>
      </c>
      <c r="AI2863">
        <v>247</v>
      </c>
      <c r="AJ2863">
        <v>5</v>
      </c>
      <c r="AK2863">
        <v>1</v>
      </c>
      <c r="AL2863">
        <v>1</v>
      </c>
      <c r="AM2863">
        <v>98.02</v>
      </c>
      <c r="AN2863">
        <v>44.944800000000001</v>
      </c>
      <c r="AO2863">
        <v>215.61</v>
      </c>
      <c r="AP2863" s="13">
        <v>45489</v>
      </c>
      <c r="AQ2863">
        <v>-2</v>
      </c>
      <c r="AR2863">
        <v>1</v>
      </c>
    </row>
    <row r="2864" spans="1:44" x14ac:dyDescent="0.35">
      <c r="A2864" s="12" t="s">
        <v>3744</v>
      </c>
      <c r="B2864" s="12" t="s">
        <v>728</v>
      </c>
      <c r="C2864" s="12" t="s">
        <v>729</v>
      </c>
      <c r="D2864" s="12" t="s">
        <v>269</v>
      </c>
      <c r="E2864" s="12" t="s">
        <v>65</v>
      </c>
      <c r="F2864">
        <v>2</v>
      </c>
      <c r="G2864">
        <v>3</v>
      </c>
      <c r="H2864">
        <v>0</v>
      </c>
      <c r="I2864" s="12" t="s">
        <v>310</v>
      </c>
      <c r="J2864" s="12" t="s">
        <v>311</v>
      </c>
      <c r="K2864" s="12" t="s">
        <v>81</v>
      </c>
      <c r="L2864" s="12" t="s">
        <v>69</v>
      </c>
      <c r="M2864">
        <v>28.3</v>
      </c>
      <c r="N2864" s="12" t="s">
        <v>159</v>
      </c>
      <c r="O2864" s="12" t="s">
        <v>160</v>
      </c>
      <c r="P2864" s="12" t="s">
        <v>137</v>
      </c>
      <c r="Q2864" s="13">
        <v>45456</v>
      </c>
      <c r="R2864" s="13">
        <v>45487</v>
      </c>
      <c r="S2864">
        <v>2024</v>
      </c>
      <c r="T2864" s="12" t="s">
        <v>3649</v>
      </c>
      <c r="U2864">
        <v>91</v>
      </c>
      <c r="V2864">
        <v>364.55509999999998</v>
      </c>
      <c r="W2864">
        <v>405.01</v>
      </c>
      <c r="X2864">
        <v>0</v>
      </c>
      <c r="Y2864">
        <v>0</v>
      </c>
      <c r="Z2864">
        <v>33174.51</v>
      </c>
      <c r="AA2864">
        <v>33579.519999999997</v>
      </c>
      <c r="AB2864" s="12" t="s">
        <v>3329</v>
      </c>
      <c r="AC2864">
        <v>364.55509999999998</v>
      </c>
      <c r="AD2864">
        <v>1</v>
      </c>
      <c r="AE2864">
        <v>1</v>
      </c>
      <c r="AF2864">
        <v>0</v>
      </c>
      <c r="AG2864">
        <v>33174.51</v>
      </c>
      <c r="AH2864">
        <v>91</v>
      </c>
      <c r="AI2864">
        <v>90</v>
      </c>
      <c r="AJ2864">
        <v>1</v>
      </c>
      <c r="AK2864">
        <v>1</v>
      </c>
      <c r="AL2864">
        <v>1</v>
      </c>
      <c r="AM2864">
        <v>98.9</v>
      </c>
      <c r="AN2864">
        <v>373.10579999999999</v>
      </c>
      <c r="AO2864">
        <v>364.56</v>
      </c>
      <c r="AP2864" s="13">
        <v>45487</v>
      </c>
      <c r="AQ2864">
        <v>0</v>
      </c>
      <c r="AR2864">
        <v>1</v>
      </c>
    </row>
    <row r="2865" spans="1:44" x14ac:dyDescent="0.35">
      <c r="A2865" s="12" t="s">
        <v>3745</v>
      </c>
      <c r="B2865" s="12" t="s">
        <v>1166</v>
      </c>
      <c r="C2865" s="12" t="s">
        <v>1167</v>
      </c>
      <c r="D2865" s="12" t="s">
        <v>175</v>
      </c>
      <c r="E2865" s="12" t="s">
        <v>65</v>
      </c>
      <c r="F2865">
        <v>3</v>
      </c>
      <c r="G2865">
        <v>5</v>
      </c>
      <c r="H2865">
        <v>0</v>
      </c>
      <c r="I2865" s="12" t="s">
        <v>105</v>
      </c>
      <c r="J2865" s="12" t="s">
        <v>106</v>
      </c>
      <c r="K2865" s="12" t="s">
        <v>81</v>
      </c>
      <c r="L2865" s="12" t="s">
        <v>96</v>
      </c>
      <c r="M2865">
        <v>5.01</v>
      </c>
      <c r="N2865" s="12" t="s">
        <v>145</v>
      </c>
      <c r="O2865" s="12" t="s">
        <v>146</v>
      </c>
      <c r="P2865" s="12" t="s">
        <v>109</v>
      </c>
      <c r="Q2865" s="13">
        <v>45456</v>
      </c>
      <c r="R2865" s="13">
        <v>45486</v>
      </c>
      <c r="S2865">
        <v>2024</v>
      </c>
      <c r="T2865" s="12" t="s">
        <v>3649</v>
      </c>
      <c r="U2865">
        <v>81</v>
      </c>
      <c r="V2865">
        <v>233.78229999999999</v>
      </c>
      <c r="W2865">
        <v>277.74</v>
      </c>
      <c r="X2865">
        <v>0</v>
      </c>
      <c r="Y2865">
        <v>0</v>
      </c>
      <c r="Z2865">
        <v>18936.37</v>
      </c>
      <c r="AA2865">
        <v>19214.11</v>
      </c>
      <c r="AB2865" s="12" t="s">
        <v>3746</v>
      </c>
      <c r="AC2865">
        <v>233.78229999999999</v>
      </c>
      <c r="AD2865">
        <v>1</v>
      </c>
      <c r="AE2865">
        <v>1</v>
      </c>
      <c r="AF2865">
        <v>0</v>
      </c>
      <c r="AG2865">
        <v>18936.37</v>
      </c>
      <c r="AH2865">
        <v>81</v>
      </c>
      <c r="AI2865">
        <v>80</v>
      </c>
      <c r="AJ2865">
        <v>1</v>
      </c>
      <c r="AK2865">
        <v>1</v>
      </c>
      <c r="AL2865">
        <v>1</v>
      </c>
      <c r="AM2865">
        <v>98.77</v>
      </c>
      <c r="AN2865">
        <v>240.1763</v>
      </c>
      <c r="AO2865">
        <v>233.78</v>
      </c>
      <c r="AP2865" s="13">
        <v>45485</v>
      </c>
      <c r="AQ2865">
        <v>-1</v>
      </c>
      <c r="AR2865">
        <v>1</v>
      </c>
    </row>
    <row r="2866" spans="1:44" x14ac:dyDescent="0.35">
      <c r="A2866" s="12" t="s">
        <v>3747</v>
      </c>
      <c r="B2866" s="12" t="s">
        <v>482</v>
      </c>
      <c r="C2866" s="12" t="s">
        <v>483</v>
      </c>
      <c r="D2866" s="12" t="s">
        <v>78</v>
      </c>
      <c r="E2866" s="12" t="s">
        <v>142</v>
      </c>
      <c r="F2866">
        <v>2</v>
      </c>
      <c r="G2866">
        <v>9</v>
      </c>
      <c r="H2866">
        <v>0</v>
      </c>
      <c r="I2866" s="12" t="s">
        <v>87</v>
      </c>
      <c r="J2866" s="12" t="s">
        <v>88</v>
      </c>
      <c r="K2866" s="12" t="s">
        <v>89</v>
      </c>
      <c r="L2866" s="12" t="s">
        <v>69</v>
      </c>
      <c r="M2866">
        <v>14.93</v>
      </c>
      <c r="N2866" s="12" t="s">
        <v>70</v>
      </c>
      <c r="O2866" s="12" t="s">
        <v>71</v>
      </c>
      <c r="P2866" s="12" t="s">
        <v>72</v>
      </c>
      <c r="Q2866" s="13">
        <v>45456</v>
      </c>
      <c r="R2866" s="13">
        <v>45505</v>
      </c>
      <c r="S2866">
        <v>2024</v>
      </c>
      <c r="T2866" s="12" t="s">
        <v>3649</v>
      </c>
      <c r="U2866">
        <v>249</v>
      </c>
      <c r="V2866">
        <v>47.101599999999998</v>
      </c>
      <c r="W2866">
        <v>152.66999999999999</v>
      </c>
      <c r="X2866">
        <v>0</v>
      </c>
      <c r="Y2866">
        <v>0</v>
      </c>
      <c r="Z2866">
        <v>11728.3</v>
      </c>
      <c r="AA2866">
        <v>11880.97</v>
      </c>
      <c r="AB2866" s="12" t="s">
        <v>3145</v>
      </c>
      <c r="AC2866">
        <v>47.101599999999998</v>
      </c>
      <c r="AD2866">
        <v>1</v>
      </c>
      <c r="AE2866">
        <v>1</v>
      </c>
      <c r="AF2866">
        <v>0</v>
      </c>
      <c r="AG2866">
        <v>11728.3</v>
      </c>
      <c r="AH2866">
        <v>249</v>
      </c>
      <c r="AI2866">
        <v>243</v>
      </c>
      <c r="AJ2866">
        <v>6</v>
      </c>
      <c r="AK2866">
        <v>1</v>
      </c>
      <c r="AL2866">
        <v>1</v>
      </c>
      <c r="AM2866">
        <v>97.59</v>
      </c>
      <c r="AN2866">
        <v>48.892899999999997</v>
      </c>
      <c r="AO2866">
        <v>282.61</v>
      </c>
      <c r="AP2866" s="13">
        <v>45503</v>
      </c>
      <c r="AQ2866">
        <v>-2</v>
      </c>
      <c r="AR2866">
        <v>1</v>
      </c>
    </row>
    <row r="2867" spans="1:44" x14ac:dyDescent="0.35">
      <c r="A2867" s="12" t="s">
        <v>3748</v>
      </c>
      <c r="B2867" s="12" t="s">
        <v>85</v>
      </c>
      <c r="C2867" s="12" t="s">
        <v>86</v>
      </c>
      <c r="D2867" s="12" t="s">
        <v>78</v>
      </c>
      <c r="E2867" s="12" t="s">
        <v>65</v>
      </c>
      <c r="F2867">
        <v>3</v>
      </c>
      <c r="G2867">
        <v>5</v>
      </c>
      <c r="H2867">
        <v>0</v>
      </c>
      <c r="I2867" s="12" t="s">
        <v>195</v>
      </c>
      <c r="J2867" s="12" t="s">
        <v>196</v>
      </c>
      <c r="K2867" s="12" t="s">
        <v>117</v>
      </c>
      <c r="L2867" s="12" t="s">
        <v>134</v>
      </c>
      <c r="M2867">
        <v>4.7699999999999996</v>
      </c>
      <c r="N2867" s="12" t="s">
        <v>97</v>
      </c>
      <c r="O2867" s="12" t="s">
        <v>98</v>
      </c>
      <c r="P2867" s="12" t="s">
        <v>72</v>
      </c>
      <c r="Q2867" s="13">
        <v>45456</v>
      </c>
      <c r="R2867" s="13">
        <v>45477</v>
      </c>
      <c r="S2867">
        <v>2024</v>
      </c>
      <c r="T2867" s="12" t="s">
        <v>3649</v>
      </c>
      <c r="U2867">
        <v>45</v>
      </c>
      <c r="V2867">
        <v>131.88470000000001</v>
      </c>
      <c r="W2867">
        <v>97.29</v>
      </c>
      <c r="X2867">
        <v>0</v>
      </c>
      <c r="Y2867">
        <v>0</v>
      </c>
      <c r="Z2867">
        <v>5934.81</v>
      </c>
      <c r="AA2867">
        <v>6032.1</v>
      </c>
      <c r="AB2867" s="12" t="s">
        <v>2907</v>
      </c>
      <c r="AC2867">
        <v>139.9503</v>
      </c>
      <c r="AD2867">
        <v>1</v>
      </c>
      <c r="AE2867">
        <v>1</v>
      </c>
      <c r="AF2867">
        <v>-362.95</v>
      </c>
      <c r="AG2867">
        <v>6297.76</v>
      </c>
      <c r="AH2867">
        <v>45</v>
      </c>
      <c r="AI2867">
        <v>44</v>
      </c>
      <c r="AJ2867">
        <v>1</v>
      </c>
      <c r="AK2867">
        <v>1</v>
      </c>
      <c r="AL2867">
        <v>1</v>
      </c>
      <c r="AM2867">
        <v>97.78</v>
      </c>
      <c r="AN2867">
        <v>137.0932</v>
      </c>
      <c r="AO2867">
        <v>131.88</v>
      </c>
      <c r="AP2867" s="13">
        <v>45477</v>
      </c>
      <c r="AQ2867">
        <v>0</v>
      </c>
      <c r="AR2867">
        <v>1</v>
      </c>
    </row>
    <row r="2868" spans="1:44" x14ac:dyDescent="0.35">
      <c r="A2868" s="12" t="s">
        <v>3749</v>
      </c>
      <c r="B2868" s="12" t="s">
        <v>792</v>
      </c>
      <c r="C2868" s="12" t="s">
        <v>793</v>
      </c>
      <c r="D2868" s="12" t="s">
        <v>103</v>
      </c>
      <c r="E2868" s="12" t="s">
        <v>65</v>
      </c>
      <c r="F2868">
        <v>2</v>
      </c>
      <c r="G2868">
        <v>3</v>
      </c>
      <c r="H2868">
        <v>0</v>
      </c>
      <c r="I2868" s="12" t="s">
        <v>115</v>
      </c>
      <c r="J2868" s="12" t="s">
        <v>116</v>
      </c>
      <c r="K2868" s="12" t="s">
        <v>117</v>
      </c>
      <c r="L2868" s="12" t="s">
        <v>82</v>
      </c>
      <c r="M2868">
        <v>17.170000000000002</v>
      </c>
      <c r="N2868" s="12" t="s">
        <v>107</v>
      </c>
      <c r="O2868" s="12" t="s">
        <v>108</v>
      </c>
      <c r="P2868" s="12" t="s">
        <v>109</v>
      </c>
      <c r="Q2868" s="13">
        <v>45456</v>
      </c>
      <c r="R2868" s="13">
        <v>45483</v>
      </c>
      <c r="S2868">
        <v>2024</v>
      </c>
      <c r="T2868" s="12" t="s">
        <v>3649</v>
      </c>
      <c r="U2868">
        <v>57</v>
      </c>
      <c r="V2868">
        <v>98.330600000000004</v>
      </c>
      <c r="W2868">
        <v>69.63</v>
      </c>
      <c r="X2868">
        <v>0</v>
      </c>
      <c r="Y2868">
        <v>0</v>
      </c>
      <c r="Z2868">
        <v>5604.84</v>
      </c>
      <c r="AA2868">
        <v>5674.47</v>
      </c>
      <c r="AB2868" s="12" t="s">
        <v>3411</v>
      </c>
      <c r="AC2868">
        <v>98.330600000000004</v>
      </c>
      <c r="AD2868">
        <v>1</v>
      </c>
      <c r="AE2868">
        <v>1</v>
      </c>
      <c r="AF2868">
        <v>0</v>
      </c>
      <c r="AG2868">
        <v>5604.84</v>
      </c>
      <c r="AH2868">
        <v>57</v>
      </c>
      <c r="AI2868">
        <v>57</v>
      </c>
      <c r="AJ2868">
        <v>0</v>
      </c>
      <c r="AK2868">
        <v>1</v>
      </c>
      <c r="AL2868">
        <v>1</v>
      </c>
      <c r="AM2868">
        <v>100</v>
      </c>
      <c r="AN2868">
        <v>99.552199999999999</v>
      </c>
      <c r="AO2868">
        <v>0</v>
      </c>
      <c r="AP2868" s="13">
        <v>45491</v>
      </c>
      <c r="AQ2868">
        <v>8</v>
      </c>
      <c r="AR2868">
        <v>0</v>
      </c>
    </row>
    <row r="2869" spans="1:44" x14ac:dyDescent="0.35">
      <c r="A2869" s="12" t="s">
        <v>3750</v>
      </c>
      <c r="B2869" s="12" t="s">
        <v>602</v>
      </c>
      <c r="C2869" s="12" t="s">
        <v>603</v>
      </c>
      <c r="D2869" s="12" t="s">
        <v>114</v>
      </c>
      <c r="E2869" s="12" t="s">
        <v>142</v>
      </c>
      <c r="F2869">
        <v>2</v>
      </c>
      <c r="G2869">
        <v>10</v>
      </c>
      <c r="H2869">
        <v>0</v>
      </c>
      <c r="I2869" s="12" t="s">
        <v>263</v>
      </c>
      <c r="J2869" s="12" t="s">
        <v>264</v>
      </c>
      <c r="K2869" s="12" t="s">
        <v>125</v>
      </c>
      <c r="L2869" s="12" t="s">
        <v>82</v>
      </c>
      <c r="M2869">
        <v>10.210000000000001</v>
      </c>
      <c r="N2869" s="12" t="s">
        <v>97</v>
      </c>
      <c r="O2869" s="12" t="s">
        <v>98</v>
      </c>
      <c r="P2869" s="12" t="s">
        <v>72</v>
      </c>
      <c r="Q2869" s="13">
        <v>45456</v>
      </c>
      <c r="R2869" s="13">
        <v>45506</v>
      </c>
      <c r="S2869">
        <v>2024</v>
      </c>
      <c r="T2869" s="12" t="s">
        <v>3649</v>
      </c>
      <c r="U2869">
        <v>131</v>
      </c>
      <c r="V2869">
        <v>210.69990000000001</v>
      </c>
      <c r="W2869">
        <v>184</v>
      </c>
      <c r="X2869">
        <v>0</v>
      </c>
      <c r="Y2869">
        <v>0</v>
      </c>
      <c r="Z2869">
        <v>27601.69</v>
      </c>
      <c r="AA2869">
        <v>27785.69</v>
      </c>
      <c r="AB2869" s="12" t="s">
        <v>2790</v>
      </c>
      <c r="AC2869">
        <v>210.69990000000001</v>
      </c>
      <c r="AD2869">
        <v>1</v>
      </c>
      <c r="AE2869">
        <v>1</v>
      </c>
      <c r="AF2869">
        <v>0</v>
      </c>
      <c r="AG2869">
        <v>27601.69</v>
      </c>
      <c r="AH2869">
        <v>131</v>
      </c>
      <c r="AI2869">
        <v>130</v>
      </c>
      <c r="AJ2869">
        <v>1</v>
      </c>
      <c r="AK2869">
        <v>1</v>
      </c>
      <c r="AL2869">
        <v>1</v>
      </c>
      <c r="AM2869">
        <v>99.24</v>
      </c>
      <c r="AN2869">
        <v>213.73609999999999</v>
      </c>
      <c r="AO2869">
        <v>210.7</v>
      </c>
      <c r="AP2869" s="13">
        <v>45513</v>
      </c>
      <c r="AQ2869">
        <v>7</v>
      </c>
      <c r="AR2869">
        <v>0</v>
      </c>
    </row>
    <row r="2870" spans="1:44" x14ac:dyDescent="0.35">
      <c r="A2870" s="12" t="s">
        <v>3751</v>
      </c>
      <c r="B2870" s="12" t="s">
        <v>802</v>
      </c>
      <c r="C2870" s="12" t="s">
        <v>803</v>
      </c>
      <c r="D2870" s="12" t="s">
        <v>114</v>
      </c>
      <c r="E2870" s="12" t="s">
        <v>65</v>
      </c>
      <c r="F2870">
        <v>3</v>
      </c>
      <c r="G2870">
        <v>5</v>
      </c>
      <c r="H2870">
        <v>0</v>
      </c>
      <c r="I2870" s="12" t="s">
        <v>804</v>
      </c>
      <c r="J2870" s="12" t="s">
        <v>342</v>
      </c>
      <c r="K2870" s="12" t="s">
        <v>117</v>
      </c>
      <c r="L2870" s="12" t="s">
        <v>69</v>
      </c>
      <c r="M2870">
        <v>30.07</v>
      </c>
      <c r="N2870" s="12" t="s">
        <v>70</v>
      </c>
      <c r="O2870" s="12" t="s">
        <v>71</v>
      </c>
      <c r="P2870" s="12" t="s">
        <v>72</v>
      </c>
      <c r="Q2870" s="13">
        <v>45457</v>
      </c>
      <c r="R2870" s="13">
        <v>45479</v>
      </c>
      <c r="S2870">
        <v>2024</v>
      </c>
      <c r="T2870" s="12" t="s">
        <v>3649</v>
      </c>
      <c r="U2870">
        <v>21</v>
      </c>
      <c r="V2870">
        <v>383.03890000000001</v>
      </c>
      <c r="W2870">
        <v>107.33</v>
      </c>
      <c r="X2870">
        <v>0</v>
      </c>
      <c r="Y2870">
        <v>0</v>
      </c>
      <c r="Z2870">
        <v>8043.82</v>
      </c>
      <c r="AA2870">
        <v>8151.15</v>
      </c>
      <c r="AB2870" s="12" t="s">
        <v>201</v>
      </c>
      <c r="AD2870">
        <v>0</v>
      </c>
      <c r="AE2870">
        <v>0</v>
      </c>
      <c r="AH2870">
        <v>21</v>
      </c>
      <c r="AI2870">
        <v>21</v>
      </c>
      <c r="AJ2870">
        <v>0</v>
      </c>
      <c r="AK2870">
        <v>1</v>
      </c>
      <c r="AL2870">
        <v>1</v>
      </c>
      <c r="AM2870">
        <v>100</v>
      </c>
      <c r="AN2870">
        <v>388.1499</v>
      </c>
      <c r="AO2870">
        <v>0</v>
      </c>
      <c r="AP2870" s="13">
        <v>45489</v>
      </c>
      <c r="AQ2870">
        <v>10</v>
      </c>
      <c r="AR2870">
        <v>0</v>
      </c>
    </row>
    <row r="2871" spans="1:44" x14ac:dyDescent="0.35">
      <c r="A2871" s="12" t="s">
        <v>3752</v>
      </c>
      <c r="B2871" s="12" t="s">
        <v>548</v>
      </c>
      <c r="C2871" s="12" t="s">
        <v>549</v>
      </c>
      <c r="D2871" s="12" t="s">
        <v>78</v>
      </c>
      <c r="E2871" s="12" t="s">
        <v>104</v>
      </c>
      <c r="F2871">
        <v>3</v>
      </c>
      <c r="G2871">
        <v>1</v>
      </c>
      <c r="H2871">
        <v>0</v>
      </c>
      <c r="I2871" s="12" t="s">
        <v>223</v>
      </c>
      <c r="J2871" s="12" t="s">
        <v>224</v>
      </c>
      <c r="K2871" s="12" t="s">
        <v>81</v>
      </c>
      <c r="L2871" s="12" t="s">
        <v>134</v>
      </c>
      <c r="M2871">
        <v>2.4900000000000002</v>
      </c>
      <c r="N2871" s="12" t="s">
        <v>97</v>
      </c>
      <c r="O2871" s="12" t="s">
        <v>98</v>
      </c>
      <c r="P2871" s="12" t="s">
        <v>72</v>
      </c>
      <c r="Q2871" s="13">
        <v>45457</v>
      </c>
      <c r="R2871" s="13">
        <v>45480</v>
      </c>
      <c r="S2871">
        <v>2024</v>
      </c>
      <c r="T2871" s="12" t="s">
        <v>3649</v>
      </c>
      <c r="U2871">
        <v>206</v>
      </c>
      <c r="V2871">
        <v>59.346200000000003</v>
      </c>
      <c r="W2871">
        <v>96.56</v>
      </c>
      <c r="X2871">
        <v>0</v>
      </c>
      <c r="Y2871">
        <v>0</v>
      </c>
      <c r="Z2871">
        <v>12225.32</v>
      </c>
      <c r="AA2871">
        <v>12321.88</v>
      </c>
      <c r="AB2871" s="12" t="s">
        <v>3127</v>
      </c>
      <c r="AC2871">
        <v>59.346200000000003</v>
      </c>
      <c r="AD2871">
        <v>1</v>
      </c>
      <c r="AE2871">
        <v>1</v>
      </c>
      <c r="AF2871">
        <v>0</v>
      </c>
      <c r="AG2871">
        <v>12225.32</v>
      </c>
      <c r="AH2871">
        <v>206</v>
      </c>
      <c r="AI2871">
        <v>203</v>
      </c>
      <c r="AJ2871">
        <v>3</v>
      </c>
      <c r="AK2871">
        <v>1</v>
      </c>
      <c r="AL2871">
        <v>1</v>
      </c>
      <c r="AM2871">
        <v>98.54</v>
      </c>
      <c r="AN2871">
        <v>60.698900000000002</v>
      </c>
      <c r="AO2871">
        <v>178.04</v>
      </c>
      <c r="AP2871" s="13">
        <v>45477</v>
      </c>
      <c r="AQ2871">
        <v>-3</v>
      </c>
      <c r="AR2871">
        <v>1</v>
      </c>
    </row>
    <row r="2872" spans="1:44" x14ac:dyDescent="0.35">
      <c r="A2872" s="12" t="s">
        <v>3753</v>
      </c>
      <c r="B2872" s="12" t="s">
        <v>284</v>
      </c>
      <c r="C2872" s="12" t="s">
        <v>285</v>
      </c>
      <c r="D2872" s="12" t="s">
        <v>269</v>
      </c>
      <c r="E2872" s="12" t="s">
        <v>104</v>
      </c>
      <c r="F2872">
        <v>3</v>
      </c>
      <c r="G2872">
        <v>1</v>
      </c>
      <c r="H2872">
        <v>0</v>
      </c>
      <c r="I2872" s="12" t="s">
        <v>199</v>
      </c>
      <c r="J2872" s="12" t="s">
        <v>200</v>
      </c>
      <c r="K2872" s="12" t="s">
        <v>68</v>
      </c>
      <c r="L2872" s="12" t="s">
        <v>96</v>
      </c>
      <c r="M2872">
        <v>9.4700000000000006</v>
      </c>
      <c r="N2872" s="12" t="s">
        <v>135</v>
      </c>
      <c r="O2872" s="12" t="s">
        <v>136</v>
      </c>
      <c r="P2872" s="12" t="s">
        <v>137</v>
      </c>
      <c r="Q2872" s="13">
        <v>45457</v>
      </c>
      <c r="R2872" s="13">
        <v>45486</v>
      </c>
      <c r="S2872">
        <v>2024</v>
      </c>
      <c r="T2872" s="12" t="s">
        <v>3649</v>
      </c>
      <c r="U2872">
        <v>148</v>
      </c>
      <c r="V2872">
        <v>425.14659999999998</v>
      </c>
      <c r="W2872">
        <v>1518.32</v>
      </c>
      <c r="X2872">
        <v>0</v>
      </c>
      <c r="Y2872">
        <v>0</v>
      </c>
      <c r="Z2872">
        <v>62921.7</v>
      </c>
      <c r="AA2872">
        <v>64440.02</v>
      </c>
      <c r="AB2872" s="12" t="s">
        <v>201</v>
      </c>
      <c r="AD2872">
        <v>0</v>
      </c>
      <c r="AE2872">
        <v>0</v>
      </c>
      <c r="AH2872">
        <v>148</v>
      </c>
      <c r="AI2872">
        <v>146</v>
      </c>
      <c r="AJ2872">
        <v>2</v>
      </c>
      <c r="AK2872">
        <v>1</v>
      </c>
      <c r="AL2872">
        <v>1</v>
      </c>
      <c r="AM2872">
        <v>98.65</v>
      </c>
      <c r="AN2872">
        <v>441.37</v>
      </c>
      <c r="AO2872">
        <v>850.29</v>
      </c>
      <c r="AP2872" s="13">
        <v>45490</v>
      </c>
      <c r="AQ2872">
        <v>4</v>
      </c>
      <c r="AR2872">
        <v>0</v>
      </c>
    </row>
    <row r="2873" spans="1:44" x14ac:dyDescent="0.35">
      <c r="A2873" s="12" t="s">
        <v>3754</v>
      </c>
      <c r="B2873" s="12" t="s">
        <v>308</v>
      </c>
      <c r="C2873" s="12" t="s">
        <v>309</v>
      </c>
      <c r="D2873" s="12" t="s">
        <v>122</v>
      </c>
      <c r="E2873" s="12" t="s">
        <v>142</v>
      </c>
      <c r="F2873">
        <v>1</v>
      </c>
      <c r="G2873">
        <v>6</v>
      </c>
      <c r="H2873">
        <v>1</v>
      </c>
      <c r="I2873" s="12" t="s">
        <v>310</v>
      </c>
      <c r="J2873" s="12" t="s">
        <v>311</v>
      </c>
      <c r="K2873" s="12" t="s">
        <v>81</v>
      </c>
      <c r="L2873" s="12" t="s">
        <v>69</v>
      </c>
      <c r="M2873">
        <v>28.3</v>
      </c>
      <c r="N2873" s="12" t="s">
        <v>70</v>
      </c>
      <c r="O2873" s="12" t="s">
        <v>71</v>
      </c>
      <c r="P2873" s="12" t="s">
        <v>72</v>
      </c>
      <c r="Q2873" s="13">
        <v>45457</v>
      </c>
      <c r="R2873" s="13">
        <v>45509</v>
      </c>
      <c r="S2873">
        <v>2024</v>
      </c>
      <c r="T2873" s="12" t="s">
        <v>3649</v>
      </c>
      <c r="U2873">
        <v>1908</v>
      </c>
      <c r="V2873">
        <v>58.086399999999998</v>
      </c>
      <c r="W2873">
        <v>1351.28</v>
      </c>
      <c r="X2873">
        <v>0</v>
      </c>
      <c r="Y2873">
        <v>0</v>
      </c>
      <c r="Z2873">
        <v>110828.85</v>
      </c>
      <c r="AA2873">
        <v>112180.13</v>
      </c>
      <c r="AB2873" s="12" t="s">
        <v>2726</v>
      </c>
      <c r="AC2873">
        <v>58.086399999999998</v>
      </c>
      <c r="AD2873">
        <v>1</v>
      </c>
      <c r="AE2873">
        <v>1</v>
      </c>
      <c r="AF2873">
        <v>0</v>
      </c>
      <c r="AG2873">
        <v>110828.85</v>
      </c>
      <c r="AH2873">
        <v>1908</v>
      </c>
      <c r="AI2873">
        <v>1895</v>
      </c>
      <c r="AJ2873">
        <v>13</v>
      </c>
      <c r="AK2873">
        <v>1</v>
      </c>
      <c r="AL2873">
        <v>1</v>
      </c>
      <c r="AM2873">
        <v>99.32</v>
      </c>
      <c r="AN2873">
        <v>59.198</v>
      </c>
      <c r="AO2873">
        <v>755.12</v>
      </c>
      <c r="AP2873" s="13">
        <v>45507</v>
      </c>
      <c r="AQ2873">
        <v>-2</v>
      </c>
      <c r="AR2873">
        <v>1</v>
      </c>
    </row>
    <row r="2874" spans="1:44" x14ac:dyDescent="0.35">
      <c r="A2874" s="12" t="s">
        <v>3755</v>
      </c>
      <c r="B2874" s="12" t="s">
        <v>519</v>
      </c>
      <c r="C2874" s="12" t="s">
        <v>520</v>
      </c>
      <c r="D2874" s="12" t="s">
        <v>78</v>
      </c>
      <c r="E2874" s="12" t="s">
        <v>65</v>
      </c>
      <c r="F2874">
        <v>2</v>
      </c>
      <c r="G2874">
        <v>3</v>
      </c>
      <c r="H2874">
        <v>0</v>
      </c>
      <c r="I2874" s="12" t="s">
        <v>143</v>
      </c>
      <c r="J2874" s="12" t="s">
        <v>144</v>
      </c>
      <c r="K2874" s="12" t="s">
        <v>133</v>
      </c>
      <c r="L2874" s="12" t="s">
        <v>96</v>
      </c>
      <c r="M2874">
        <v>5.43</v>
      </c>
      <c r="N2874" s="12" t="s">
        <v>70</v>
      </c>
      <c r="O2874" s="12" t="s">
        <v>71</v>
      </c>
      <c r="P2874" s="12" t="s">
        <v>72</v>
      </c>
      <c r="Q2874" s="13">
        <v>45457</v>
      </c>
      <c r="R2874" s="13">
        <v>45493</v>
      </c>
      <c r="S2874">
        <v>2024</v>
      </c>
      <c r="T2874" s="12" t="s">
        <v>3649</v>
      </c>
      <c r="U2874">
        <v>269</v>
      </c>
      <c r="V2874">
        <v>30.843499999999999</v>
      </c>
      <c r="W2874">
        <v>185.07</v>
      </c>
      <c r="X2874">
        <v>0</v>
      </c>
      <c r="Y2874">
        <v>0</v>
      </c>
      <c r="Z2874">
        <v>8296.9</v>
      </c>
      <c r="AA2874">
        <v>8481.9699999999993</v>
      </c>
      <c r="AB2874" s="12" t="s">
        <v>3130</v>
      </c>
      <c r="AC2874">
        <v>30.1342</v>
      </c>
      <c r="AD2874">
        <v>1</v>
      </c>
      <c r="AE2874">
        <v>1</v>
      </c>
      <c r="AF2874">
        <v>190.8</v>
      </c>
      <c r="AG2874">
        <v>8106.1</v>
      </c>
      <c r="AH2874">
        <v>269</v>
      </c>
      <c r="AI2874">
        <v>265</v>
      </c>
      <c r="AJ2874">
        <v>4</v>
      </c>
      <c r="AK2874">
        <v>1</v>
      </c>
      <c r="AL2874">
        <v>1</v>
      </c>
      <c r="AM2874">
        <v>98.51</v>
      </c>
      <c r="AN2874">
        <v>32.007399999999997</v>
      </c>
      <c r="AO2874">
        <v>123.37</v>
      </c>
      <c r="AP2874" s="13">
        <v>45490</v>
      </c>
      <c r="AQ2874">
        <v>-3</v>
      </c>
      <c r="AR2874">
        <v>1</v>
      </c>
    </row>
    <row r="2875" spans="1:44" x14ac:dyDescent="0.35">
      <c r="A2875" s="12" t="s">
        <v>3756</v>
      </c>
      <c r="B2875" s="12" t="s">
        <v>519</v>
      </c>
      <c r="C2875" s="12" t="s">
        <v>520</v>
      </c>
      <c r="D2875" s="12" t="s">
        <v>78</v>
      </c>
      <c r="E2875" s="12" t="s">
        <v>65</v>
      </c>
      <c r="F2875">
        <v>2</v>
      </c>
      <c r="G2875">
        <v>3</v>
      </c>
      <c r="H2875">
        <v>0</v>
      </c>
      <c r="I2875" s="12" t="s">
        <v>66</v>
      </c>
      <c r="J2875" s="12" t="s">
        <v>67</v>
      </c>
      <c r="K2875" s="12" t="s">
        <v>68</v>
      </c>
      <c r="L2875" s="12" t="s">
        <v>69</v>
      </c>
      <c r="M2875">
        <v>17.66</v>
      </c>
      <c r="N2875" s="12" t="s">
        <v>97</v>
      </c>
      <c r="O2875" s="12" t="s">
        <v>98</v>
      </c>
      <c r="P2875" s="12" t="s">
        <v>72</v>
      </c>
      <c r="Q2875" s="13">
        <v>45457</v>
      </c>
      <c r="R2875" s="13">
        <v>45494</v>
      </c>
      <c r="S2875">
        <v>2024</v>
      </c>
      <c r="T2875" s="12" t="s">
        <v>3649</v>
      </c>
      <c r="U2875">
        <v>272</v>
      </c>
      <c r="V2875">
        <v>36.242899999999999</v>
      </c>
      <c r="W2875">
        <v>88.06</v>
      </c>
      <c r="X2875">
        <v>0</v>
      </c>
      <c r="Y2875">
        <v>0</v>
      </c>
      <c r="Z2875">
        <v>9858.07</v>
      </c>
      <c r="AA2875">
        <v>9946.1299999999992</v>
      </c>
      <c r="AB2875" s="12" t="s">
        <v>201</v>
      </c>
      <c r="AD2875">
        <v>0</v>
      </c>
      <c r="AE2875">
        <v>0</v>
      </c>
      <c r="AH2875">
        <v>272</v>
      </c>
      <c r="AI2875">
        <v>266</v>
      </c>
      <c r="AJ2875">
        <v>6</v>
      </c>
      <c r="AK2875">
        <v>1</v>
      </c>
      <c r="AL2875">
        <v>1</v>
      </c>
      <c r="AM2875">
        <v>97.79</v>
      </c>
      <c r="AN2875">
        <v>37.391500000000001</v>
      </c>
      <c r="AO2875">
        <v>217.46</v>
      </c>
      <c r="AP2875" s="13">
        <v>45492</v>
      </c>
      <c r="AQ2875">
        <v>-2</v>
      </c>
      <c r="AR2875">
        <v>1</v>
      </c>
    </row>
    <row r="2876" spans="1:44" x14ac:dyDescent="0.35">
      <c r="A2876" s="12" t="s">
        <v>3757</v>
      </c>
      <c r="B2876" s="12" t="s">
        <v>569</v>
      </c>
      <c r="C2876" s="12" t="s">
        <v>570</v>
      </c>
      <c r="D2876" s="12" t="s">
        <v>114</v>
      </c>
      <c r="E2876" s="12" t="s">
        <v>142</v>
      </c>
      <c r="F2876">
        <v>1</v>
      </c>
      <c r="G2876">
        <v>6</v>
      </c>
      <c r="H2876">
        <v>1</v>
      </c>
      <c r="I2876" s="12" t="s">
        <v>123</v>
      </c>
      <c r="J2876" s="12" t="s">
        <v>124</v>
      </c>
      <c r="K2876" s="12" t="s">
        <v>125</v>
      </c>
      <c r="L2876" s="12" t="s">
        <v>82</v>
      </c>
      <c r="M2876">
        <v>6.75</v>
      </c>
      <c r="N2876" s="12" t="s">
        <v>70</v>
      </c>
      <c r="O2876" s="12" t="s">
        <v>71</v>
      </c>
      <c r="P2876" s="12" t="s">
        <v>72</v>
      </c>
      <c r="Q2876" s="13">
        <v>45457</v>
      </c>
      <c r="R2876" s="13">
        <v>45498</v>
      </c>
      <c r="S2876">
        <v>2024</v>
      </c>
      <c r="T2876" s="12" t="s">
        <v>3649</v>
      </c>
      <c r="U2876">
        <v>64</v>
      </c>
      <c r="V2876">
        <v>349.07319999999999</v>
      </c>
      <c r="W2876">
        <v>226.54</v>
      </c>
      <c r="X2876">
        <v>0</v>
      </c>
      <c r="Y2876">
        <v>0</v>
      </c>
      <c r="Z2876">
        <v>22340.68</v>
      </c>
      <c r="AA2876">
        <v>22567.22</v>
      </c>
      <c r="AB2876" s="12" t="s">
        <v>3205</v>
      </c>
      <c r="AC2876">
        <v>349.07319999999999</v>
      </c>
      <c r="AD2876">
        <v>1</v>
      </c>
      <c r="AE2876">
        <v>1</v>
      </c>
      <c r="AF2876">
        <v>0</v>
      </c>
      <c r="AG2876">
        <v>22340.68</v>
      </c>
      <c r="AH2876">
        <v>64</v>
      </c>
      <c r="AI2876">
        <v>63</v>
      </c>
      <c r="AJ2876">
        <v>1</v>
      </c>
      <c r="AK2876">
        <v>1</v>
      </c>
      <c r="AL2876">
        <v>1</v>
      </c>
      <c r="AM2876">
        <v>98.44</v>
      </c>
      <c r="AN2876">
        <v>358.2099</v>
      </c>
      <c r="AO2876">
        <v>349.07</v>
      </c>
      <c r="AP2876" s="13">
        <v>45497</v>
      </c>
      <c r="AQ2876">
        <v>-1</v>
      </c>
      <c r="AR2876">
        <v>1</v>
      </c>
    </row>
    <row r="2877" spans="1:44" x14ac:dyDescent="0.35">
      <c r="A2877" s="12" t="s">
        <v>3758</v>
      </c>
      <c r="B2877" s="12" t="s">
        <v>490</v>
      </c>
      <c r="C2877" s="12" t="s">
        <v>491</v>
      </c>
      <c r="D2877" s="12" t="s">
        <v>130</v>
      </c>
      <c r="E2877" s="12" t="s">
        <v>104</v>
      </c>
      <c r="F2877">
        <v>3</v>
      </c>
      <c r="G2877">
        <v>1</v>
      </c>
      <c r="H2877">
        <v>0</v>
      </c>
      <c r="I2877" s="12" t="s">
        <v>176</v>
      </c>
      <c r="J2877" s="12" t="s">
        <v>177</v>
      </c>
      <c r="K2877" s="12" t="s">
        <v>125</v>
      </c>
      <c r="L2877" s="12" t="s">
        <v>134</v>
      </c>
      <c r="M2877">
        <v>1.75</v>
      </c>
      <c r="N2877" s="12" t="s">
        <v>135</v>
      </c>
      <c r="O2877" s="12" t="s">
        <v>136</v>
      </c>
      <c r="P2877" s="12" t="s">
        <v>137</v>
      </c>
      <c r="Q2877" s="13">
        <v>45457</v>
      </c>
      <c r="R2877" s="13">
        <v>45481</v>
      </c>
      <c r="S2877">
        <v>2024</v>
      </c>
      <c r="T2877" s="12" t="s">
        <v>3649</v>
      </c>
      <c r="U2877">
        <v>104</v>
      </c>
      <c r="V2877">
        <v>264.23239999999998</v>
      </c>
      <c r="W2877">
        <v>244.82</v>
      </c>
      <c r="X2877">
        <v>0</v>
      </c>
      <c r="Y2877">
        <v>0</v>
      </c>
      <c r="Z2877">
        <v>27480.17</v>
      </c>
      <c r="AA2877">
        <v>27724.99</v>
      </c>
      <c r="AB2877" s="12" t="s">
        <v>3122</v>
      </c>
      <c r="AC2877">
        <v>264.23239999999998</v>
      </c>
      <c r="AD2877">
        <v>1</v>
      </c>
      <c r="AE2877">
        <v>1</v>
      </c>
      <c r="AF2877">
        <v>0</v>
      </c>
      <c r="AG2877">
        <v>27480.17</v>
      </c>
      <c r="AH2877">
        <v>104</v>
      </c>
      <c r="AI2877">
        <v>102</v>
      </c>
      <c r="AJ2877">
        <v>2</v>
      </c>
      <c r="AK2877">
        <v>1</v>
      </c>
      <c r="AL2877">
        <v>1</v>
      </c>
      <c r="AM2877">
        <v>98.08</v>
      </c>
      <c r="AN2877">
        <v>271.81360000000001</v>
      </c>
      <c r="AO2877">
        <v>528.46</v>
      </c>
      <c r="AP2877" s="13">
        <v>45480</v>
      </c>
      <c r="AQ2877">
        <v>-1</v>
      </c>
      <c r="AR2877">
        <v>1</v>
      </c>
    </row>
    <row r="2878" spans="1:44" x14ac:dyDescent="0.35">
      <c r="A2878" s="12" t="s">
        <v>3759</v>
      </c>
      <c r="B2878" s="12" t="s">
        <v>302</v>
      </c>
      <c r="C2878" s="12" t="s">
        <v>303</v>
      </c>
      <c r="D2878" s="12" t="s">
        <v>78</v>
      </c>
      <c r="E2878" s="12" t="s">
        <v>65</v>
      </c>
      <c r="F2878">
        <v>2</v>
      </c>
      <c r="G2878">
        <v>3</v>
      </c>
      <c r="H2878">
        <v>0</v>
      </c>
      <c r="I2878" s="12" t="s">
        <v>335</v>
      </c>
      <c r="J2878" s="12" t="s">
        <v>336</v>
      </c>
      <c r="K2878" s="12" t="s">
        <v>89</v>
      </c>
      <c r="L2878" s="12" t="s">
        <v>82</v>
      </c>
      <c r="M2878">
        <v>16</v>
      </c>
      <c r="N2878" s="12" t="s">
        <v>70</v>
      </c>
      <c r="O2878" s="12" t="s">
        <v>71</v>
      </c>
      <c r="P2878" s="12" t="s">
        <v>72</v>
      </c>
      <c r="Q2878" s="13">
        <v>45457</v>
      </c>
      <c r="R2878" s="13">
        <v>45479</v>
      </c>
      <c r="S2878">
        <v>2024</v>
      </c>
      <c r="T2878" s="12" t="s">
        <v>3649</v>
      </c>
      <c r="U2878">
        <v>56</v>
      </c>
      <c r="V2878">
        <v>141.08359999999999</v>
      </c>
      <c r="W2878">
        <v>87.33</v>
      </c>
      <c r="X2878">
        <v>0</v>
      </c>
      <c r="Y2878">
        <v>0</v>
      </c>
      <c r="Z2878">
        <v>7900.68</v>
      </c>
      <c r="AA2878">
        <v>7988.01</v>
      </c>
      <c r="AB2878" s="12" t="s">
        <v>2834</v>
      </c>
      <c r="AC2878">
        <v>141.08359999999999</v>
      </c>
      <c r="AD2878">
        <v>1</v>
      </c>
      <c r="AE2878">
        <v>1</v>
      </c>
      <c r="AF2878">
        <v>0</v>
      </c>
      <c r="AG2878">
        <v>7900.68</v>
      </c>
      <c r="AH2878">
        <v>56</v>
      </c>
      <c r="AI2878">
        <v>55</v>
      </c>
      <c r="AJ2878">
        <v>1</v>
      </c>
      <c r="AK2878">
        <v>1</v>
      </c>
      <c r="AL2878">
        <v>1</v>
      </c>
      <c r="AM2878">
        <v>98.21</v>
      </c>
      <c r="AN2878">
        <v>145.23660000000001</v>
      </c>
      <c r="AO2878">
        <v>141.08000000000001</v>
      </c>
      <c r="AP2878" s="13">
        <v>45477</v>
      </c>
      <c r="AQ2878">
        <v>-2</v>
      </c>
      <c r="AR2878">
        <v>1</v>
      </c>
    </row>
    <row r="2879" spans="1:44" x14ac:dyDescent="0.35">
      <c r="A2879" s="12" t="s">
        <v>3760</v>
      </c>
      <c r="B2879" s="12" t="s">
        <v>561</v>
      </c>
      <c r="C2879" s="12" t="s">
        <v>562</v>
      </c>
      <c r="D2879" s="12" t="s">
        <v>130</v>
      </c>
      <c r="E2879" s="12" t="s">
        <v>142</v>
      </c>
      <c r="F2879">
        <v>1</v>
      </c>
      <c r="G2879">
        <v>9</v>
      </c>
      <c r="H2879">
        <v>1</v>
      </c>
      <c r="I2879" s="12" t="s">
        <v>223</v>
      </c>
      <c r="J2879" s="12" t="s">
        <v>224</v>
      </c>
      <c r="K2879" s="12" t="s">
        <v>81</v>
      </c>
      <c r="L2879" s="12" t="s">
        <v>134</v>
      </c>
      <c r="M2879">
        <v>2.4900000000000002</v>
      </c>
      <c r="N2879" s="12" t="s">
        <v>159</v>
      </c>
      <c r="O2879" s="12" t="s">
        <v>160</v>
      </c>
      <c r="P2879" s="12" t="s">
        <v>137</v>
      </c>
      <c r="Q2879" s="13">
        <v>45457</v>
      </c>
      <c r="R2879" s="13">
        <v>45507</v>
      </c>
      <c r="S2879">
        <v>2024</v>
      </c>
      <c r="T2879" s="12" t="s">
        <v>3649</v>
      </c>
      <c r="U2879">
        <v>132</v>
      </c>
      <c r="V2879">
        <v>599.11940000000004</v>
      </c>
      <c r="W2879">
        <v>1513.27</v>
      </c>
      <c r="X2879">
        <v>0</v>
      </c>
      <c r="Y2879">
        <v>0</v>
      </c>
      <c r="Z2879">
        <v>79083.759999999995</v>
      </c>
      <c r="AA2879">
        <v>80597.03</v>
      </c>
      <c r="AB2879" s="12" t="s">
        <v>201</v>
      </c>
      <c r="AD2879">
        <v>0</v>
      </c>
      <c r="AE2879">
        <v>0</v>
      </c>
      <c r="AH2879">
        <v>132</v>
      </c>
      <c r="AI2879">
        <v>131</v>
      </c>
      <c r="AJ2879">
        <v>1</v>
      </c>
      <c r="AK2879">
        <v>1</v>
      </c>
      <c r="AL2879">
        <v>1</v>
      </c>
      <c r="AM2879">
        <v>99.24</v>
      </c>
      <c r="AN2879">
        <v>615.24450000000002</v>
      </c>
      <c r="AO2879">
        <v>599.12</v>
      </c>
      <c r="AP2879" s="13">
        <v>45505</v>
      </c>
      <c r="AQ2879">
        <v>-2</v>
      </c>
      <c r="AR2879">
        <v>1</v>
      </c>
    </row>
    <row r="2880" spans="1:44" x14ac:dyDescent="0.35">
      <c r="A2880" s="12" t="s">
        <v>3761</v>
      </c>
      <c r="B2880" s="12" t="s">
        <v>674</v>
      </c>
      <c r="C2880" s="12" t="s">
        <v>675</v>
      </c>
      <c r="D2880" s="12" t="s">
        <v>269</v>
      </c>
      <c r="E2880" s="12" t="s">
        <v>142</v>
      </c>
      <c r="F2880">
        <v>1</v>
      </c>
      <c r="G2880">
        <v>7</v>
      </c>
      <c r="H2880">
        <v>1</v>
      </c>
      <c r="I2880" s="12" t="s">
        <v>676</v>
      </c>
      <c r="J2880" s="12" t="s">
        <v>677</v>
      </c>
      <c r="K2880" s="12" t="s">
        <v>68</v>
      </c>
      <c r="L2880" s="12" t="s">
        <v>96</v>
      </c>
      <c r="M2880">
        <v>3.57</v>
      </c>
      <c r="N2880" s="12" t="s">
        <v>135</v>
      </c>
      <c r="O2880" s="12" t="s">
        <v>136</v>
      </c>
      <c r="P2880" s="12" t="s">
        <v>137</v>
      </c>
      <c r="Q2880" s="13">
        <v>45460</v>
      </c>
      <c r="R2880" s="13">
        <v>45501</v>
      </c>
      <c r="S2880">
        <v>2024</v>
      </c>
      <c r="T2880" s="12" t="s">
        <v>3649</v>
      </c>
      <c r="U2880">
        <v>63</v>
      </c>
      <c r="V2880">
        <v>378.77789999999999</v>
      </c>
      <c r="W2880">
        <v>505.47</v>
      </c>
      <c r="X2880">
        <v>0</v>
      </c>
      <c r="Y2880">
        <v>0</v>
      </c>
      <c r="Z2880">
        <v>23863.01</v>
      </c>
      <c r="AA2880">
        <v>24368.48</v>
      </c>
      <c r="AB2880" s="12" t="s">
        <v>201</v>
      </c>
      <c r="AD2880">
        <v>0</v>
      </c>
      <c r="AE2880">
        <v>0</v>
      </c>
      <c r="AH2880">
        <v>63</v>
      </c>
      <c r="AI2880">
        <v>63</v>
      </c>
      <c r="AJ2880">
        <v>0</v>
      </c>
      <c r="AK2880">
        <v>1</v>
      </c>
      <c r="AL2880">
        <v>1</v>
      </c>
      <c r="AM2880">
        <v>100</v>
      </c>
      <c r="AN2880">
        <v>386.80119999999999</v>
      </c>
      <c r="AO2880">
        <v>0</v>
      </c>
      <c r="AP2880" s="13">
        <v>45506</v>
      </c>
      <c r="AQ2880">
        <v>5</v>
      </c>
      <c r="AR2880">
        <v>0</v>
      </c>
    </row>
    <row r="2881" spans="1:44" x14ac:dyDescent="0.35">
      <c r="A2881" s="12" t="s">
        <v>3762</v>
      </c>
      <c r="B2881" s="12" t="s">
        <v>112</v>
      </c>
      <c r="C2881" s="12" t="s">
        <v>113</v>
      </c>
      <c r="D2881" s="12" t="s">
        <v>114</v>
      </c>
      <c r="E2881" s="12" t="s">
        <v>104</v>
      </c>
      <c r="F2881">
        <v>3</v>
      </c>
      <c r="G2881">
        <v>1</v>
      </c>
      <c r="H2881">
        <v>0</v>
      </c>
      <c r="I2881" s="12" t="s">
        <v>227</v>
      </c>
      <c r="J2881" s="12" t="s">
        <v>228</v>
      </c>
      <c r="K2881" s="12" t="s">
        <v>89</v>
      </c>
      <c r="L2881" s="12" t="s">
        <v>96</v>
      </c>
      <c r="M2881">
        <v>9.15</v>
      </c>
      <c r="N2881" s="12" t="s">
        <v>70</v>
      </c>
      <c r="O2881" s="12" t="s">
        <v>71</v>
      </c>
      <c r="P2881" s="12" t="s">
        <v>72</v>
      </c>
      <c r="Q2881" s="13">
        <v>45460</v>
      </c>
      <c r="R2881" s="13">
        <v>45484</v>
      </c>
      <c r="S2881">
        <v>2024</v>
      </c>
      <c r="T2881" s="12" t="s">
        <v>3649</v>
      </c>
      <c r="U2881">
        <v>108</v>
      </c>
      <c r="V2881">
        <v>240.65700000000001</v>
      </c>
      <c r="W2881">
        <v>338.9</v>
      </c>
      <c r="X2881">
        <v>0</v>
      </c>
      <c r="Y2881">
        <v>0</v>
      </c>
      <c r="Z2881">
        <v>25990.959999999999</v>
      </c>
      <c r="AA2881">
        <v>26329.86</v>
      </c>
      <c r="AB2881" s="12" t="s">
        <v>2839</v>
      </c>
      <c r="AC2881">
        <v>255.786</v>
      </c>
      <c r="AD2881">
        <v>1</v>
      </c>
      <c r="AE2881">
        <v>1</v>
      </c>
      <c r="AF2881">
        <v>-1633.93</v>
      </c>
      <c r="AG2881">
        <v>27624.89</v>
      </c>
      <c r="AH2881">
        <v>108</v>
      </c>
      <c r="AI2881">
        <v>106</v>
      </c>
      <c r="AJ2881">
        <v>2</v>
      </c>
      <c r="AK2881">
        <v>1</v>
      </c>
      <c r="AL2881">
        <v>1</v>
      </c>
      <c r="AM2881">
        <v>98.15</v>
      </c>
      <c r="AN2881">
        <v>248.39490000000001</v>
      </c>
      <c r="AO2881">
        <v>481.31</v>
      </c>
      <c r="AP2881" s="13">
        <v>45482</v>
      </c>
      <c r="AQ2881">
        <v>-2</v>
      </c>
      <c r="AR2881">
        <v>1</v>
      </c>
    </row>
    <row r="2882" spans="1:44" x14ac:dyDescent="0.35">
      <c r="A2882" s="12" t="s">
        <v>3763</v>
      </c>
      <c r="B2882" s="12" t="s">
        <v>646</v>
      </c>
      <c r="C2882" s="12" t="s">
        <v>647</v>
      </c>
      <c r="D2882" s="12" t="s">
        <v>175</v>
      </c>
      <c r="E2882" s="12" t="s">
        <v>104</v>
      </c>
      <c r="F2882">
        <v>3</v>
      </c>
      <c r="G2882">
        <v>1</v>
      </c>
      <c r="H2882">
        <v>0</v>
      </c>
      <c r="I2882" s="12" t="s">
        <v>227</v>
      </c>
      <c r="J2882" s="12" t="s">
        <v>228</v>
      </c>
      <c r="K2882" s="12" t="s">
        <v>89</v>
      </c>
      <c r="L2882" s="12" t="s">
        <v>96</v>
      </c>
      <c r="M2882">
        <v>9.15</v>
      </c>
      <c r="N2882" s="12" t="s">
        <v>107</v>
      </c>
      <c r="O2882" s="12" t="s">
        <v>108</v>
      </c>
      <c r="P2882" s="12" t="s">
        <v>109</v>
      </c>
      <c r="Q2882" s="13">
        <v>45460</v>
      </c>
      <c r="R2882" s="13">
        <v>45486</v>
      </c>
      <c r="S2882">
        <v>2024</v>
      </c>
      <c r="T2882" s="12" t="s">
        <v>3649</v>
      </c>
      <c r="U2882">
        <v>125</v>
      </c>
      <c r="V2882">
        <v>203.7088</v>
      </c>
      <c r="W2882">
        <v>225.23</v>
      </c>
      <c r="X2882">
        <v>0</v>
      </c>
      <c r="Y2882">
        <v>0</v>
      </c>
      <c r="Z2882">
        <v>25463.599999999999</v>
      </c>
      <c r="AA2882">
        <v>25688.83</v>
      </c>
      <c r="AB2882" s="12" t="s">
        <v>3535</v>
      </c>
      <c r="AC2882">
        <v>203.7088</v>
      </c>
      <c r="AD2882">
        <v>1</v>
      </c>
      <c r="AE2882">
        <v>1</v>
      </c>
      <c r="AF2882">
        <v>0</v>
      </c>
      <c r="AG2882">
        <v>25463.599999999999</v>
      </c>
      <c r="AH2882">
        <v>125</v>
      </c>
      <c r="AI2882">
        <v>123</v>
      </c>
      <c r="AJ2882">
        <v>2</v>
      </c>
      <c r="AK2882">
        <v>1</v>
      </c>
      <c r="AL2882">
        <v>1</v>
      </c>
      <c r="AM2882">
        <v>98.4</v>
      </c>
      <c r="AN2882">
        <v>208.85230000000001</v>
      </c>
      <c r="AO2882">
        <v>407.42</v>
      </c>
      <c r="AP2882" s="13">
        <v>45485</v>
      </c>
      <c r="AQ2882">
        <v>-1</v>
      </c>
      <c r="AR2882">
        <v>1</v>
      </c>
    </row>
    <row r="2883" spans="1:44" x14ac:dyDescent="0.35">
      <c r="A2883" s="12" t="s">
        <v>3764</v>
      </c>
      <c r="B2883" s="12" t="s">
        <v>685</v>
      </c>
      <c r="C2883" s="12" t="s">
        <v>686</v>
      </c>
      <c r="D2883" s="12" t="s">
        <v>175</v>
      </c>
      <c r="E2883" s="12" t="s">
        <v>104</v>
      </c>
      <c r="F2883">
        <v>2</v>
      </c>
      <c r="G2883">
        <v>0</v>
      </c>
      <c r="H2883">
        <v>0</v>
      </c>
      <c r="I2883" s="12" t="s">
        <v>243</v>
      </c>
      <c r="J2883" s="12" t="s">
        <v>244</v>
      </c>
      <c r="K2883" s="12" t="s">
        <v>81</v>
      </c>
      <c r="L2883" s="12" t="s">
        <v>82</v>
      </c>
      <c r="M2883">
        <v>9.2200000000000006</v>
      </c>
      <c r="N2883" s="12" t="s">
        <v>107</v>
      </c>
      <c r="O2883" s="12" t="s">
        <v>108</v>
      </c>
      <c r="P2883" s="12" t="s">
        <v>109</v>
      </c>
      <c r="Q2883" s="13">
        <v>45460</v>
      </c>
      <c r="R2883" s="13">
        <v>45484</v>
      </c>
      <c r="S2883">
        <v>2024</v>
      </c>
      <c r="T2883" s="12" t="s">
        <v>3649</v>
      </c>
      <c r="U2883">
        <v>105</v>
      </c>
      <c r="V2883">
        <v>242.16249999999999</v>
      </c>
      <c r="W2883">
        <v>610.72</v>
      </c>
      <c r="X2883">
        <v>0</v>
      </c>
      <c r="Y2883">
        <v>0</v>
      </c>
      <c r="Z2883">
        <v>25427.06</v>
      </c>
      <c r="AA2883">
        <v>26037.78</v>
      </c>
      <c r="AB2883" s="12" t="s">
        <v>201</v>
      </c>
      <c r="AD2883">
        <v>0</v>
      </c>
      <c r="AE2883">
        <v>0</v>
      </c>
      <c r="AH2883">
        <v>105</v>
      </c>
      <c r="AI2883">
        <v>104</v>
      </c>
      <c r="AJ2883">
        <v>1</v>
      </c>
      <c r="AK2883">
        <v>1</v>
      </c>
      <c r="AL2883">
        <v>1</v>
      </c>
      <c r="AM2883">
        <v>99.05</v>
      </c>
      <c r="AN2883">
        <v>250.36330000000001</v>
      </c>
      <c r="AO2883">
        <v>242.16</v>
      </c>
      <c r="AP2883" s="13">
        <v>45484</v>
      </c>
      <c r="AQ2883">
        <v>0</v>
      </c>
      <c r="AR2883">
        <v>1</v>
      </c>
    </row>
    <row r="2884" spans="1:44" x14ac:dyDescent="0.35">
      <c r="A2884" s="12" t="s">
        <v>3765</v>
      </c>
      <c r="B2884" s="12" t="s">
        <v>477</v>
      </c>
      <c r="C2884" s="12" t="s">
        <v>478</v>
      </c>
      <c r="D2884" s="12" t="s">
        <v>130</v>
      </c>
      <c r="E2884" s="12" t="s">
        <v>104</v>
      </c>
      <c r="F2884">
        <v>3</v>
      </c>
      <c r="G2884">
        <v>1</v>
      </c>
      <c r="H2884">
        <v>0</v>
      </c>
      <c r="I2884" s="12" t="s">
        <v>380</v>
      </c>
      <c r="J2884" s="12" t="s">
        <v>381</v>
      </c>
      <c r="K2884" s="12" t="s">
        <v>89</v>
      </c>
      <c r="L2884" s="12" t="s">
        <v>96</v>
      </c>
      <c r="M2884">
        <v>10.210000000000001</v>
      </c>
      <c r="N2884" s="12" t="s">
        <v>135</v>
      </c>
      <c r="O2884" s="12" t="s">
        <v>136</v>
      </c>
      <c r="P2884" s="12" t="s">
        <v>137</v>
      </c>
      <c r="Q2884" s="13">
        <v>45460</v>
      </c>
      <c r="R2884" s="13">
        <v>45481</v>
      </c>
      <c r="S2884">
        <v>2024</v>
      </c>
      <c r="T2884" s="12" t="s">
        <v>3649</v>
      </c>
      <c r="U2884">
        <v>85</v>
      </c>
      <c r="V2884">
        <v>748.95129999999995</v>
      </c>
      <c r="W2884">
        <v>789.56</v>
      </c>
      <c r="X2884">
        <v>0</v>
      </c>
      <c r="Y2884">
        <v>0</v>
      </c>
      <c r="Z2884">
        <v>63660.86</v>
      </c>
      <c r="AA2884">
        <v>64450.42</v>
      </c>
      <c r="AB2884" s="12" t="s">
        <v>3380</v>
      </c>
      <c r="AC2884">
        <v>714.96169999999995</v>
      </c>
      <c r="AD2884">
        <v>1</v>
      </c>
      <c r="AE2884">
        <v>1</v>
      </c>
      <c r="AF2884">
        <v>2889.12</v>
      </c>
      <c r="AG2884">
        <v>60771.74</v>
      </c>
      <c r="AH2884">
        <v>85</v>
      </c>
      <c r="AI2884">
        <v>84</v>
      </c>
      <c r="AJ2884">
        <v>1</v>
      </c>
      <c r="AK2884">
        <v>1</v>
      </c>
      <c r="AL2884">
        <v>1</v>
      </c>
      <c r="AM2884">
        <v>98.82</v>
      </c>
      <c r="AN2884">
        <v>767.26689999999996</v>
      </c>
      <c r="AO2884">
        <v>748.95</v>
      </c>
      <c r="AP2884" s="13">
        <v>45481</v>
      </c>
      <c r="AQ2884">
        <v>0</v>
      </c>
      <c r="AR2884">
        <v>1</v>
      </c>
    </row>
    <row r="2885" spans="1:44" x14ac:dyDescent="0.35">
      <c r="A2885" s="12" t="s">
        <v>3766</v>
      </c>
      <c r="B2885" s="12" t="s">
        <v>420</v>
      </c>
      <c r="C2885" s="12" t="s">
        <v>421</v>
      </c>
      <c r="D2885" s="12" t="s">
        <v>269</v>
      </c>
      <c r="E2885" s="12" t="s">
        <v>104</v>
      </c>
      <c r="F2885">
        <v>2</v>
      </c>
      <c r="G2885">
        <v>0</v>
      </c>
      <c r="H2885">
        <v>0</v>
      </c>
      <c r="I2885" s="12" t="s">
        <v>380</v>
      </c>
      <c r="J2885" s="12" t="s">
        <v>381</v>
      </c>
      <c r="K2885" s="12" t="s">
        <v>89</v>
      </c>
      <c r="L2885" s="12" t="s">
        <v>96</v>
      </c>
      <c r="M2885">
        <v>10.210000000000001</v>
      </c>
      <c r="N2885" s="12" t="s">
        <v>159</v>
      </c>
      <c r="O2885" s="12" t="s">
        <v>160</v>
      </c>
      <c r="P2885" s="12" t="s">
        <v>137</v>
      </c>
      <c r="Q2885" s="13">
        <v>45460</v>
      </c>
      <c r="R2885" s="13">
        <v>45485</v>
      </c>
      <c r="S2885">
        <v>2024</v>
      </c>
      <c r="T2885" s="12" t="s">
        <v>3649</v>
      </c>
      <c r="U2885">
        <v>117</v>
      </c>
      <c r="V2885">
        <v>146.6086</v>
      </c>
      <c r="W2885">
        <v>383.79</v>
      </c>
      <c r="X2885">
        <v>0</v>
      </c>
      <c r="Y2885">
        <v>0</v>
      </c>
      <c r="Z2885">
        <v>17153.21</v>
      </c>
      <c r="AA2885">
        <v>17537</v>
      </c>
      <c r="AB2885" s="12" t="s">
        <v>2925</v>
      </c>
      <c r="AC2885">
        <v>142.20349999999999</v>
      </c>
      <c r="AD2885">
        <v>1</v>
      </c>
      <c r="AE2885">
        <v>1</v>
      </c>
      <c r="AF2885">
        <v>515.4</v>
      </c>
      <c r="AG2885">
        <v>16637.810000000001</v>
      </c>
      <c r="AH2885">
        <v>117</v>
      </c>
      <c r="AI2885">
        <v>116</v>
      </c>
      <c r="AJ2885">
        <v>1</v>
      </c>
      <c r="AK2885">
        <v>1</v>
      </c>
      <c r="AL2885">
        <v>1</v>
      </c>
      <c r="AM2885">
        <v>99.15</v>
      </c>
      <c r="AN2885">
        <v>151.18100000000001</v>
      </c>
      <c r="AO2885">
        <v>146.61000000000001</v>
      </c>
      <c r="AP2885" s="13">
        <v>45485</v>
      </c>
      <c r="AQ2885">
        <v>0</v>
      </c>
      <c r="AR2885">
        <v>1</v>
      </c>
    </row>
    <row r="2886" spans="1:44" x14ac:dyDescent="0.35">
      <c r="A2886" s="12" t="s">
        <v>3767</v>
      </c>
      <c r="B2886" s="12" t="s">
        <v>990</v>
      </c>
      <c r="C2886" s="12" t="s">
        <v>991</v>
      </c>
      <c r="D2886" s="12" t="s">
        <v>122</v>
      </c>
      <c r="E2886" s="12" t="s">
        <v>142</v>
      </c>
      <c r="F2886">
        <v>1</v>
      </c>
      <c r="G2886">
        <v>6</v>
      </c>
      <c r="H2886">
        <v>1</v>
      </c>
      <c r="I2886" s="12" t="s">
        <v>217</v>
      </c>
      <c r="J2886" s="12" t="s">
        <v>218</v>
      </c>
      <c r="K2886" s="12" t="s">
        <v>68</v>
      </c>
      <c r="L2886" s="12" t="s">
        <v>82</v>
      </c>
      <c r="M2886">
        <v>14.24</v>
      </c>
      <c r="N2886" s="12" t="s">
        <v>97</v>
      </c>
      <c r="O2886" s="12" t="s">
        <v>98</v>
      </c>
      <c r="P2886" s="12" t="s">
        <v>72</v>
      </c>
      <c r="Q2886" s="13">
        <v>45460</v>
      </c>
      <c r="R2886" s="13">
        <v>45510</v>
      </c>
      <c r="S2886">
        <v>2024</v>
      </c>
      <c r="T2886" s="12" t="s">
        <v>3649</v>
      </c>
      <c r="U2886">
        <v>1742</v>
      </c>
      <c r="V2886">
        <v>33.6252</v>
      </c>
      <c r="W2886">
        <v>871.38</v>
      </c>
      <c r="X2886">
        <v>0</v>
      </c>
      <c r="Y2886">
        <v>0</v>
      </c>
      <c r="Z2886">
        <v>58575.1</v>
      </c>
      <c r="AA2886">
        <v>59446.48</v>
      </c>
      <c r="AB2886" s="12" t="s">
        <v>3368</v>
      </c>
      <c r="AC2886">
        <v>33.6252</v>
      </c>
      <c r="AD2886">
        <v>1</v>
      </c>
      <c r="AE2886">
        <v>1</v>
      </c>
      <c r="AF2886">
        <v>0</v>
      </c>
      <c r="AG2886">
        <v>58575.1</v>
      </c>
      <c r="AH2886">
        <v>1742</v>
      </c>
      <c r="AI2886">
        <v>1732</v>
      </c>
      <c r="AJ2886">
        <v>10</v>
      </c>
      <c r="AK2886">
        <v>1</v>
      </c>
      <c r="AL2886">
        <v>1</v>
      </c>
      <c r="AM2886">
        <v>99.43</v>
      </c>
      <c r="AN2886">
        <v>34.322400000000002</v>
      </c>
      <c r="AO2886">
        <v>336.25</v>
      </c>
      <c r="AP2886" s="13">
        <v>45517</v>
      </c>
      <c r="AQ2886">
        <v>7</v>
      </c>
      <c r="AR2886">
        <v>0</v>
      </c>
    </row>
    <row r="2887" spans="1:44" x14ac:dyDescent="0.35">
      <c r="A2887" s="12" t="s">
        <v>3768</v>
      </c>
      <c r="B2887" s="12" t="s">
        <v>193</v>
      </c>
      <c r="C2887" s="12" t="s">
        <v>194</v>
      </c>
      <c r="D2887" s="12" t="s">
        <v>114</v>
      </c>
      <c r="E2887" s="12" t="s">
        <v>65</v>
      </c>
      <c r="F2887">
        <v>3</v>
      </c>
      <c r="G2887">
        <v>4</v>
      </c>
      <c r="H2887">
        <v>0</v>
      </c>
      <c r="I2887" s="12" t="s">
        <v>195</v>
      </c>
      <c r="J2887" s="12" t="s">
        <v>196</v>
      </c>
      <c r="K2887" s="12" t="s">
        <v>117</v>
      </c>
      <c r="L2887" s="12" t="s">
        <v>134</v>
      </c>
      <c r="M2887">
        <v>4.7699999999999996</v>
      </c>
      <c r="N2887" s="12" t="s">
        <v>70</v>
      </c>
      <c r="O2887" s="12" t="s">
        <v>71</v>
      </c>
      <c r="P2887" s="12" t="s">
        <v>72</v>
      </c>
      <c r="Q2887" s="13">
        <v>45460</v>
      </c>
      <c r="R2887" s="13">
        <v>45490</v>
      </c>
      <c r="S2887">
        <v>2024</v>
      </c>
      <c r="T2887" s="12" t="s">
        <v>3649</v>
      </c>
      <c r="U2887">
        <v>86</v>
      </c>
      <c r="V2887">
        <v>110.03619999999999</v>
      </c>
      <c r="W2887">
        <v>237.81</v>
      </c>
      <c r="X2887">
        <v>0</v>
      </c>
      <c r="Y2887">
        <v>0</v>
      </c>
      <c r="Z2887">
        <v>9463.11</v>
      </c>
      <c r="AA2887">
        <v>9700.92</v>
      </c>
      <c r="AB2887" s="12" t="s">
        <v>3197</v>
      </c>
      <c r="AC2887">
        <v>105.8943</v>
      </c>
      <c r="AD2887">
        <v>1</v>
      </c>
      <c r="AE2887">
        <v>1</v>
      </c>
      <c r="AF2887">
        <v>356.2</v>
      </c>
      <c r="AG2887">
        <v>9106.91</v>
      </c>
      <c r="AH2887">
        <v>86</v>
      </c>
      <c r="AI2887">
        <v>84</v>
      </c>
      <c r="AJ2887">
        <v>2</v>
      </c>
      <c r="AK2887">
        <v>1</v>
      </c>
      <c r="AL2887">
        <v>1</v>
      </c>
      <c r="AM2887">
        <v>97.67</v>
      </c>
      <c r="AN2887">
        <v>115.4872</v>
      </c>
      <c r="AO2887">
        <v>220.07</v>
      </c>
      <c r="AP2887" s="13">
        <v>45488</v>
      </c>
      <c r="AQ2887">
        <v>-2</v>
      </c>
      <c r="AR2887">
        <v>1</v>
      </c>
    </row>
    <row r="2888" spans="1:44" x14ac:dyDescent="0.35">
      <c r="A2888" s="12" t="s">
        <v>3769</v>
      </c>
      <c r="B2888" s="12" t="s">
        <v>482</v>
      </c>
      <c r="C2888" s="12" t="s">
        <v>483</v>
      </c>
      <c r="D2888" s="12" t="s">
        <v>78</v>
      </c>
      <c r="E2888" s="12" t="s">
        <v>142</v>
      </c>
      <c r="F2888">
        <v>2</v>
      </c>
      <c r="G2888">
        <v>9</v>
      </c>
      <c r="H2888">
        <v>0</v>
      </c>
      <c r="I2888" s="12" t="s">
        <v>183</v>
      </c>
      <c r="J2888" s="12" t="s">
        <v>184</v>
      </c>
      <c r="K2888" s="12" t="s">
        <v>133</v>
      </c>
      <c r="L2888" s="12" t="s">
        <v>82</v>
      </c>
      <c r="M2888">
        <v>8.6199999999999992</v>
      </c>
      <c r="N2888" s="12" t="s">
        <v>97</v>
      </c>
      <c r="O2888" s="12" t="s">
        <v>98</v>
      </c>
      <c r="P2888" s="12" t="s">
        <v>72</v>
      </c>
      <c r="Q2888" s="13">
        <v>45460</v>
      </c>
      <c r="R2888" s="13">
        <v>45499</v>
      </c>
      <c r="S2888">
        <v>2024</v>
      </c>
      <c r="T2888" s="12" t="s">
        <v>3649</v>
      </c>
      <c r="U2888">
        <v>107</v>
      </c>
      <c r="V2888">
        <v>49.676299999999998</v>
      </c>
      <c r="W2888">
        <v>109.95</v>
      </c>
      <c r="X2888">
        <v>0</v>
      </c>
      <c r="Y2888">
        <v>0</v>
      </c>
      <c r="Z2888">
        <v>5315.36</v>
      </c>
      <c r="AA2888">
        <v>5425.31</v>
      </c>
      <c r="AB2888" s="12" t="s">
        <v>201</v>
      </c>
      <c r="AD2888">
        <v>0</v>
      </c>
      <c r="AE2888">
        <v>0</v>
      </c>
      <c r="AH2888">
        <v>107</v>
      </c>
      <c r="AI2888">
        <v>106</v>
      </c>
      <c r="AJ2888">
        <v>1</v>
      </c>
      <c r="AK2888">
        <v>1</v>
      </c>
      <c r="AL2888">
        <v>1</v>
      </c>
      <c r="AM2888">
        <v>99.07</v>
      </c>
      <c r="AN2888">
        <v>51.182200000000002</v>
      </c>
      <c r="AO2888">
        <v>49.68</v>
      </c>
      <c r="AP2888" s="13">
        <v>45498</v>
      </c>
      <c r="AQ2888">
        <v>-1</v>
      </c>
      <c r="AR2888">
        <v>1</v>
      </c>
    </row>
    <row r="2889" spans="1:44" x14ac:dyDescent="0.35">
      <c r="A2889" s="12" t="s">
        <v>3770</v>
      </c>
      <c r="B2889" s="12" t="s">
        <v>494</v>
      </c>
      <c r="C2889" s="12" t="s">
        <v>495</v>
      </c>
      <c r="D2889" s="12" t="s">
        <v>175</v>
      </c>
      <c r="E2889" s="12" t="s">
        <v>65</v>
      </c>
      <c r="F2889">
        <v>2</v>
      </c>
      <c r="G2889">
        <v>3</v>
      </c>
      <c r="H2889">
        <v>0</v>
      </c>
      <c r="I2889" s="12" t="s">
        <v>275</v>
      </c>
      <c r="J2889" s="12" t="s">
        <v>276</v>
      </c>
      <c r="K2889" s="12" t="s">
        <v>89</v>
      </c>
      <c r="L2889" s="12" t="s">
        <v>82</v>
      </c>
      <c r="M2889">
        <v>14.26</v>
      </c>
      <c r="N2889" s="12" t="s">
        <v>145</v>
      </c>
      <c r="O2889" s="12" t="s">
        <v>146</v>
      </c>
      <c r="P2889" s="12" t="s">
        <v>109</v>
      </c>
      <c r="Q2889" s="13">
        <v>45460</v>
      </c>
      <c r="R2889" s="13">
        <v>45489</v>
      </c>
      <c r="S2889">
        <v>2024</v>
      </c>
      <c r="T2889" s="12" t="s">
        <v>3649</v>
      </c>
      <c r="U2889">
        <v>75</v>
      </c>
      <c r="V2889">
        <v>166.04849999999999</v>
      </c>
      <c r="W2889">
        <v>78.13</v>
      </c>
      <c r="X2889">
        <v>0</v>
      </c>
      <c r="Y2889">
        <v>0</v>
      </c>
      <c r="Z2889">
        <v>12453.64</v>
      </c>
      <c r="AA2889">
        <v>12531.77</v>
      </c>
      <c r="AB2889" s="12" t="s">
        <v>201</v>
      </c>
      <c r="AD2889">
        <v>0</v>
      </c>
      <c r="AE2889">
        <v>0</v>
      </c>
      <c r="AH2889">
        <v>75</v>
      </c>
      <c r="AI2889">
        <v>74</v>
      </c>
      <c r="AJ2889">
        <v>1</v>
      </c>
      <c r="AK2889">
        <v>1</v>
      </c>
      <c r="AL2889">
        <v>1</v>
      </c>
      <c r="AM2889">
        <v>98.67</v>
      </c>
      <c r="AN2889">
        <v>169.34819999999999</v>
      </c>
      <c r="AO2889">
        <v>166.05</v>
      </c>
      <c r="AP2889" s="13">
        <v>45488</v>
      </c>
      <c r="AQ2889">
        <v>-1</v>
      </c>
      <c r="AR2889">
        <v>1</v>
      </c>
    </row>
    <row r="2890" spans="1:44" x14ac:dyDescent="0.35">
      <c r="A2890" s="12" t="s">
        <v>3771</v>
      </c>
      <c r="B2890" s="12" t="s">
        <v>447</v>
      </c>
      <c r="C2890" s="12" t="s">
        <v>448</v>
      </c>
      <c r="D2890" s="12" t="s">
        <v>269</v>
      </c>
      <c r="E2890" s="12" t="s">
        <v>65</v>
      </c>
      <c r="F2890">
        <v>2</v>
      </c>
      <c r="G2890">
        <v>2</v>
      </c>
      <c r="H2890">
        <v>0</v>
      </c>
      <c r="I2890" s="12" t="s">
        <v>94</v>
      </c>
      <c r="J2890" s="12" t="s">
        <v>95</v>
      </c>
      <c r="K2890" s="12" t="s">
        <v>81</v>
      </c>
      <c r="L2890" s="12" t="s">
        <v>96</v>
      </c>
      <c r="M2890">
        <v>4.8099999999999996</v>
      </c>
      <c r="N2890" s="12" t="s">
        <v>135</v>
      </c>
      <c r="O2890" s="12" t="s">
        <v>136</v>
      </c>
      <c r="P2890" s="12" t="s">
        <v>137</v>
      </c>
      <c r="Q2890" s="13">
        <v>45460</v>
      </c>
      <c r="R2890" s="13">
        <v>45481</v>
      </c>
      <c r="S2890">
        <v>2024</v>
      </c>
      <c r="T2890" s="12" t="s">
        <v>3649</v>
      </c>
      <c r="U2890">
        <v>14</v>
      </c>
      <c r="V2890">
        <v>377.76080000000002</v>
      </c>
      <c r="W2890">
        <v>61.08</v>
      </c>
      <c r="X2890">
        <v>0</v>
      </c>
      <c r="Y2890">
        <v>0</v>
      </c>
      <c r="Z2890">
        <v>5288.65</v>
      </c>
      <c r="AA2890">
        <v>5349.73</v>
      </c>
      <c r="AB2890" s="12" t="s">
        <v>3078</v>
      </c>
      <c r="AC2890">
        <v>377.76080000000002</v>
      </c>
      <c r="AD2890">
        <v>1</v>
      </c>
      <c r="AE2890">
        <v>1</v>
      </c>
      <c r="AF2890">
        <v>0</v>
      </c>
      <c r="AG2890">
        <v>5288.65</v>
      </c>
      <c r="AH2890">
        <v>14</v>
      </c>
      <c r="AI2890">
        <v>14</v>
      </c>
      <c r="AJ2890">
        <v>0</v>
      </c>
      <c r="AK2890">
        <v>1</v>
      </c>
      <c r="AL2890">
        <v>1</v>
      </c>
      <c r="AM2890">
        <v>100</v>
      </c>
      <c r="AN2890">
        <v>382.12369999999999</v>
      </c>
      <c r="AO2890">
        <v>0</v>
      </c>
      <c r="AP2890" s="13">
        <v>45479</v>
      </c>
      <c r="AQ2890">
        <v>-2</v>
      </c>
      <c r="AR2890">
        <v>1</v>
      </c>
    </row>
    <row r="2891" spans="1:44" x14ac:dyDescent="0.35">
      <c r="A2891" s="12" t="s">
        <v>3772</v>
      </c>
      <c r="B2891" s="12" t="s">
        <v>630</v>
      </c>
      <c r="C2891" s="12" t="s">
        <v>631</v>
      </c>
      <c r="D2891" s="12" t="s">
        <v>130</v>
      </c>
      <c r="E2891" s="12" t="s">
        <v>65</v>
      </c>
      <c r="F2891">
        <v>1</v>
      </c>
      <c r="G2891">
        <v>2</v>
      </c>
      <c r="H2891">
        <v>1</v>
      </c>
      <c r="I2891" s="12" t="s">
        <v>335</v>
      </c>
      <c r="J2891" s="12" t="s">
        <v>336</v>
      </c>
      <c r="K2891" s="12" t="s">
        <v>89</v>
      </c>
      <c r="L2891" s="12" t="s">
        <v>82</v>
      </c>
      <c r="M2891">
        <v>16</v>
      </c>
      <c r="N2891" s="12" t="s">
        <v>159</v>
      </c>
      <c r="O2891" s="12" t="s">
        <v>160</v>
      </c>
      <c r="P2891" s="12" t="s">
        <v>137</v>
      </c>
      <c r="Q2891" s="13">
        <v>45461</v>
      </c>
      <c r="R2891" s="13">
        <v>45484</v>
      </c>
      <c r="S2891">
        <v>2024</v>
      </c>
      <c r="T2891" s="12" t="s">
        <v>3649</v>
      </c>
      <c r="U2891">
        <v>27</v>
      </c>
      <c r="V2891">
        <v>446.36720000000003</v>
      </c>
      <c r="W2891">
        <v>305.24</v>
      </c>
      <c r="X2891">
        <v>0</v>
      </c>
      <c r="Y2891">
        <v>0</v>
      </c>
      <c r="Z2891">
        <v>12051.91</v>
      </c>
      <c r="AA2891">
        <v>12357.15</v>
      </c>
      <c r="AB2891" s="12" t="s">
        <v>2944</v>
      </c>
      <c r="AC2891">
        <v>446.36720000000003</v>
      </c>
      <c r="AD2891">
        <v>1</v>
      </c>
      <c r="AE2891">
        <v>1</v>
      </c>
      <c r="AF2891">
        <v>0</v>
      </c>
      <c r="AG2891">
        <v>12051.91</v>
      </c>
      <c r="AH2891">
        <v>27</v>
      </c>
      <c r="AI2891">
        <v>27</v>
      </c>
      <c r="AJ2891">
        <v>0</v>
      </c>
      <c r="AK2891">
        <v>1</v>
      </c>
      <c r="AL2891">
        <v>1</v>
      </c>
      <c r="AM2891">
        <v>100</v>
      </c>
      <c r="AN2891">
        <v>457.67239999999998</v>
      </c>
      <c r="AO2891">
        <v>0</v>
      </c>
      <c r="AP2891" s="13">
        <v>45484</v>
      </c>
      <c r="AQ2891">
        <v>0</v>
      </c>
      <c r="AR2891">
        <v>1</v>
      </c>
    </row>
    <row r="2892" spans="1:44" x14ac:dyDescent="0.35">
      <c r="A2892" s="12" t="s">
        <v>3773</v>
      </c>
      <c r="B2892" s="12" t="s">
        <v>408</v>
      </c>
      <c r="C2892" s="12" t="s">
        <v>409</v>
      </c>
      <c r="D2892" s="12" t="s">
        <v>130</v>
      </c>
      <c r="E2892" s="12" t="s">
        <v>65</v>
      </c>
      <c r="F2892">
        <v>3</v>
      </c>
      <c r="G2892">
        <v>5</v>
      </c>
      <c r="H2892">
        <v>0</v>
      </c>
      <c r="I2892" s="12" t="s">
        <v>275</v>
      </c>
      <c r="J2892" s="12" t="s">
        <v>276</v>
      </c>
      <c r="K2892" s="12" t="s">
        <v>89</v>
      </c>
      <c r="L2892" s="12" t="s">
        <v>82</v>
      </c>
      <c r="M2892">
        <v>14.26</v>
      </c>
      <c r="N2892" s="12" t="s">
        <v>159</v>
      </c>
      <c r="O2892" s="12" t="s">
        <v>160</v>
      </c>
      <c r="P2892" s="12" t="s">
        <v>137</v>
      </c>
      <c r="Q2892" s="13">
        <v>45461</v>
      </c>
      <c r="R2892" s="13">
        <v>45493</v>
      </c>
      <c r="S2892">
        <v>2024</v>
      </c>
      <c r="T2892" s="12" t="s">
        <v>3649</v>
      </c>
      <c r="U2892">
        <v>100</v>
      </c>
      <c r="V2892">
        <v>804.8175</v>
      </c>
      <c r="W2892">
        <v>593.04999999999995</v>
      </c>
      <c r="X2892">
        <v>0</v>
      </c>
      <c r="Y2892">
        <v>0</v>
      </c>
      <c r="Z2892">
        <v>80481.75</v>
      </c>
      <c r="AA2892">
        <v>81074.8</v>
      </c>
      <c r="AB2892" s="12" t="s">
        <v>201</v>
      </c>
      <c r="AD2892">
        <v>0</v>
      </c>
      <c r="AE2892">
        <v>0</v>
      </c>
      <c r="AH2892">
        <v>100</v>
      </c>
      <c r="AI2892">
        <v>99</v>
      </c>
      <c r="AJ2892">
        <v>1</v>
      </c>
      <c r="AK2892">
        <v>1</v>
      </c>
      <c r="AL2892">
        <v>1</v>
      </c>
      <c r="AM2892">
        <v>99</v>
      </c>
      <c r="AN2892">
        <v>818.93740000000003</v>
      </c>
      <c r="AO2892">
        <v>804.82</v>
      </c>
      <c r="AP2892" s="13">
        <v>45492</v>
      </c>
      <c r="AQ2892">
        <v>-1</v>
      </c>
      <c r="AR2892">
        <v>1</v>
      </c>
    </row>
    <row r="2893" spans="1:44" x14ac:dyDescent="0.35">
      <c r="A2893" s="12" t="s">
        <v>3774</v>
      </c>
      <c r="B2893" s="12" t="s">
        <v>555</v>
      </c>
      <c r="C2893" s="12" t="s">
        <v>556</v>
      </c>
      <c r="D2893" s="12" t="s">
        <v>114</v>
      </c>
      <c r="E2893" s="12" t="s">
        <v>142</v>
      </c>
      <c r="F2893">
        <v>1</v>
      </c>
      <c r="G2893">
        <v>6</v>
      </c>
      <c r="H2893">
        <v>1</v>
      </c>
      <c r="I2893" s="12" t="s">
        <v>151</v>
      </c>
      <c r="J2893" s="12" t="s">
        <v>152</v>
      </c>
      <c r="K2893" s="12" t="s">
        <v>125</v>
      </c>
      <c r="L2893" s="12" t="s">
        <v>69</v>
      </c>
      <c r="M2893">
        <v>36.479999999999997</v>
      </c>
      <c r="N2893" s="12" t="s">
        <v>70</v>
      </c>
      <c r="O2893" s="12" t="s">
        <v>71</v>
      </c>
      <c r="P2893" s="12" t="s">
        <v>72</v>
      </c>
      <c r="Q2893" s="13">
        <v>45461</v>
      </c>
      <c r="R2893" s="13">
        <v>45506</v>
      </c>
      <c r="S2893">
        <v>2024</v>
      </c>
      <c r="T2893" s="12" t="s">
        <v>3649</v>
      </c>
      <c r="U2893">
        <v>87</v>
      </c>
      <c r="V2893">
        <v>278.31920000000002</v>
      </c>
      <c r="W2893">
        <v>516.45000000000005</v>
      </c>
      <c r="X2893">
        <v>0</v>
      </c>
      <c r="Y2893">
        <v>0</v>
      </c>
      <c r="Z2893">
        <v>24213.77</v>
      </c>
      <c r="AA2893">
        <v>24730.22</v>
      </c>
      <c r="AB2893" s="12" t="s">
        <v>2922</v>
      </c>
      <c r="AC2893">
        <v>278.31920000000002</v>
      </c>
      <c r="AD2893">
        <v>1</v>
      </c>
      <c r="AE2893">
        <v>1</v>
      </c>
      <c r="AF2893">
        <v>0</v>
      </c>
      <c r="AG2893">
        <v>24213.77</v>
      </c>
      <c r="AH2893">
        <v>87</v>
      </c>
      <c r="AI2893">
        <v>86</v>
      </c>
      <c r="AJ2893">
        <v>1</v>
      </c>
      <c r="AK2893">
        <v>1</v>
      </c>
      <c r="AL2893">
        <v>1</v>
      </c>
      <c r="AM2893">
        <v>98.85</v>
      </c>
      <c r="AN2893">
        <v>287.5607</v>
      </c>
      <c r="AO2893">
        <v>278.32</v>
      </c>
      <c r="AP2893" s="13">
        <v>45506</v>
      </c>
      <c r="AQ2893">
        <v>0</v>
      </c>
      <c r="AR2893">
        <v>1</v>
      </c>
    </row>
    <row r="2894" spans="1:44" x14ac:dyDescent="0.35">
      <c r="A2894" s="12" t="s">
        <v>3775</v>
      </c>
      <c r="B2894" s="12" t="s">
        <v>92</v>
      </c>
      <c r="C2894" s="12" t="s">
        <v>93</v>
      </c>
      <c r="D2894" s="12" t="s">
        <v>64</v>
      </c>
      <c r="E2894" s="12" t="s">
        <v>65</v>
      </c>
      <c r="F2894">
        <v>3</v>
      </c>
      <c r="G2894">
        <v>5</v>
      </c>
      <c r="H2894">
        <v>0</v>
      </c>
      <c r="I2894" s="12" t="s">
        <v>94</v>
      </c>
      <c r="J2894" s="12" t="s">
        <v>95</v>
      </c>
      <c r="K2894" s="12" t="s">
        <v>81</v>
      </c>
      <c r="L2894" s="12" t="s">
        <v>96</v>
      </c>
      <c r="M2894">
        <v>4.8099999999999996</v>
      </c>
      <c r="N2894" s="12" t="s">
        <v>70</v>
      </c>
      <c r="O2894" s="12" t="s">
        <v>71</v>
      </c>
      <c r="P2894" s="12" t="s">
        <v>72</v>
      </c>
      <c r="Q2894" s="13">
        <v>45461</v>
      </c>
      <c r="R2894" s="13">
        <v>45483</v>
      </c>
      <c r="S2894">
        <v>2024</v>
      </c>
      <c r="T2894" s="12" t="s">
        <v>3649</v>
      </c>
      <c r="U2894">
        <v>154</v>
      </c>
      <c r="V2894">
        <v>23.8764</v>
      </c>
      <c r="W2894">
        <v>27.77</v>
      </c>
      <c r="X2894">
        <v>0</v>
      </c>
      <c r="Y2894">
        <v>0</v>
      </c>
      <c r="Z2894">
        <v>3676.97</v>
      </c>
      <c r="AA2894">
        <v>3704.74</v>
      </c>
      <c r="AB2894" s="12" t="s">
        <v>2802</v>
      </c>
      <c r="AC2894">
        <v>23.8764</v>
      </c>
      <c r="AD2894">
        <v>1</v>
      </c>
      <c r="AE2894">
        <v>1</v>
      </c>
      <c r="AF2894">
        <v>0</v>
      </c>
      <c r="AG2894">
        <v>3676.97</v>
      </c>
      <c r="AH2894">
        <v>154</v>
      </c>
      <c r="AI2894">
        <v>152</v>
      </c>
      <c r="AJ2894">
        <v>2</v>
      </c>
      <c r="AK2894">
        <v>1</v>
      </c>
      <c r="AL2894">
        <v>1</v>
      </c>
      <c r="AM2894">
        <v>98.7</v>
      </c>
      <c r="AN2894">
        <v>24.3733</v>
      </c>
      <c r="AO2894">
        <v>47.75</v>
      </c>
      <c r="AP2894" s="13">
        <v>45481</v>
      </c>
      <c r="AQ2894">
        <v>-2</v>
      </c>
      <c r="AR2894">
        <v>1</v>
      </c>
    </row>
    <row r="2895" spans="1:44" x14ac:dyDescent="0.35">
      <c r="A2895" s="12" t="s">
        <v>3776</v>
      </c>
      <c r="B2895" s="12" t="s">
        <v>640</v>
      </c>
      <c r="C2895" s="12" t="s">
        <v>641</v>
      </c>
      <c r="D2895" s="12" t="s">
        <v>130</v>
      </c>
      <c r="E2895" s="12" t="s">
        <v>104</v>
      </c>
      <c r="F2895">
        <v>3</v>
      </c>
      <c r="G2895">
        <v>0</v>
      </c>
      <c r="H2895">
        <v>0</v>
      </c>
      <c r="I2895" s="12" t="s">
        <v>209</v>
      </c>
      <c r="J2895" s="12" t="s">
        <v>210</v>
      </c>
      <c r="K2895" s="12" t="s">
        <v>133</v>
      </c>
      <c r="L2895" s="12" t="s">
        <v>96</v>
      </c>
      <c r="M2895">
        <v>7.82</v>
      </c>
      <c r="N2895" s="12" t="s">
        <v>159</v>
      </c>
      <c r="O2895" s="12" t="s">
        <v>160</v>
      </c>
      <c r="P2895" s="12" t="s">
        <v>137</v>
      </c>
      <c r="Q2895" s="13">
        <v>45461</v>
      </c>
      <c r="R2895" s="13">
        <v>45482</v>
      </c>
      <c r="S2895">
        <v>2024</v>
      </c>
      <c r="T2895" s="12" t="s">
        <v>3649</v>
      </c>
      <c r="U2895">
        <v>86</v>
      </c>
      <c r="V2895">
        <v>1002.7861</v>
      </c>
      <c r="W2895">
        <v>1787.11</v>
      </c>
      <c r="X2895">
        <v>0</v>
      </c>
      <c r="Y2895">
        <v>0</v>
      </c>
      <c r="Z2895">
        <v>86239.6</v>
      </c>
      <c r="AA2895">
        <v>88026.71</v>
      </c>
      <c r="AB2895" s="12" t="s">
        <v>3211</v>
      </c>
      <c r="AC2895">
        <v>977.20889999999997</v>
      </c>
      <c r="AD2895">
        <v>1</v>
      </c>
      <c r="AE2895">
        <v>1</v>
      </c>
      <c r="AF2895">
        <v>2199.64</v>
      </c>
      <c r="AG2895">
        <v>84039.97</v>
      </c>
      <c r="AH2895">
        <v>86</v>
      </c>
      <c r="AI2895">
        <v>86</v>
      </c>
      <c r="AJ2895">
        <v>0</v>
      </c>
      <c r="AK2895">
        <v>1</v>
      </c>
      <c r="AL2895">
        <v>1</v>
      </c>
      <c r="AM2895">
        <v>100</v>
      </c>
      <c r="AN2895">
        <v>1023.5664</v>
      </c>
      <c r="AO2895">
        <v>0</v>
      </c>
      <c r="AP2895" s="13">
        <v>45492</v>
      </c>
      <c r="AQ2895">
        <v>10</v>
      </c>
      <c r="AR2895">
        <v>0</v>
      </c>
    </row>
    <row r="2896" spans="1:44" x14ac:dyDescent="0.35">
      <c r="A2896" s="12" t="s">
        <v>3777</v>
      </c>
      <c r="B2896" s="12" t="s">
        <v>1433</v>
      </c>
      <c r="C2896" s="12" t="s">
        <v>1434</v>
      </c>
      <c r="D2896" s="12" t="s">
        <v>269</v>
      </c>
      <c r="E2896" s="12" t="s">
        <v>65</v>
      </c>
      <c r="F2896">
        <v>3</v>
      </c>
      <c r="G2896">
        <v>5</v>
      </c>
      <c r="H2896">
        <v>0</v>
      </c>
      <c r="I2896" s="12" t="s">
        <v>223</v>
      </c>
      <c r="J2896" s="12" t="s">
        <v>224</v>
      </c>
      <c r="K2896" s="12" t="s">
        <v>81</v>
      </c>
      <c r="L2896" s="12" t="s">
        <v>134</v>
      </c>
      <c r="M2896">
        <v>2.4900000000000002</v>
      </c>
      <c r="N2896" s="12" t="s">
        <v>135</v>
      </c>
      <c r="O2896" s="12" t="s">
        <v>136</v>
      </c>
      <c r="P2896" s="12" t="s">
        <v>137</v>
      </c>
      <c r="Q2896" s="13">
        <v>45461</v>
      </c>
      <c r="R2896" s="13">
        <v>45489</v>
      </c>
      <c r="S2896">
        <v>2024</v>
      </c>
      <c r="T2896" s="12" t="s">
        <v>3649</v>
      </c>
      <c r="U2896">
        <v>70</v>
      </c>
      <c r="V2896">
        <v>513.36959999999999</v>
      </c>
      <c r="W2896">
        <v>772.96</v>
      </c>
      <c r="X2896">
        <v>0</v>
      </c>
      <c r="Y2896">
        <v>0</v>
      </c>
      <c r="Z2896">
        <v>35935.870000000003</v>
      </c>
      <c r="AA2896">
        <v>36708.83</v>
      </c>
      <c r="AB2896" s="12" t="s">
        <v>201</v>
      </c>
      <c r="AD2896">
        <v>0</v>
      </c>
      <c r="AE2896">
        <v>0</v>
      </c>
      <c r="AH2896">
        <v>70</v>
      </c>
      <c r="AI2896">
        <v>69</v>
      </c>
      <c r="AJ2896">
        <v>1</v>
      </c>
      <c r="AK2896">
        <v>1</v>
      </c>
      <c r="AL2896">
        <v>1</v>
      </c>
      <c r="AM2896">
        <v>98.57</v>
      </c>
      <c r="AN2896">
        <v>532.01210000000003</v>
      </c>
      <c r="AO2896">
        <v>513.37</v>
      </c>
      <c r="AP2896" s="13">
        <v>45489</v>
      </c>
      <c r="AQ2896">
        <v>0</v>
      </c>
      <c r="AR2896">
        <v>1</v>
      </c>
    </row>
    <row r="2897" spans="1:44" x14ac:dyDescent="0.35">
      <c r="A2897" s="12" t="s">
        <v>3778</v>
      </c>
      <c r="B2897" s="12" t="s">
        <v>963</v>
      </c>
      <c r="C2897" s="12" t="s">
        <v>964</v>
      </c>
      <c r="D2897" s="12" t="s">
        <v>114</v>
      </c>
      <c r="E2897" s="12" t="s">
        <v>142</v>
      </c>
      <c r="F2897">
        <v>1</v>
      </c>
      <c r="G2897">
        <v>6</v>
      </c>
      <c r="H2897">
        <v>1</v>
      </c>
      <c r="I2897" s="12" t="s">
        <v>176</v>
      </c>
      <c r="J2897" s="12" t="s">
        <v>177</v>
      </c>
      <c r="K2897" s="12" t="s">
        <v>125</v>
      </c>
      <c r="L2897" s="12" t="s">
        <v>134</v>
      </c>
      <c r="M2897">
        <v>1.75</v>
      </c>
      <c r="N2897" s="12" t="s">
        <v>97</v>
      </c>
      <c r="O2897" s="12" t="s">
        <v>98</v>
      </c>
      <c r="P2897" s="12" t="s">
        <v>72</v>
      </c>
      <c r="Q2897" s="13">
        <v>45462</v>
      </c>
      <c r="R2897" s="13">
        <v>45498</v>
      </c>
      <c r="S2897">
        <v>2024</v>
      </c>
      <c r="T2897" s="12" t="s">
        <v>3649</v>
      </c>
      <c r="U2897">
        <v>20</v>
      </c>
      <c r="V2897">
        <v>194.16829999999999</v>
      </c>
      <c r="W2897">
        <v>94.35</v>
      </c>
      <c r="X2897">
        <v>0</v>
      </c>
      <c r="Y2897">
        <v>0</v>
      </c>
      <c r="Z2897">
        <v>3883.37</v>
      </c>
      <c r="AA2897">
        <v>3977.72</v>
      </c>
      <c r="AB2897" s="12" t="s">
        <v>3290</v>
      </c>
      <c r="AC2897">
        <v>194.16829999999999</v>
      </c>
      <c r="AD2897">
        <v>1</v>
      </c>
      <c r="AE2897">
        <v>1</v>
      </c>
      <c r="AF2897">
        <v>0</v>
      </c>
      <c r="AG2897">
        <v>3883.37</v>
      </c>
      <c r="AH2897">
        <v>20</v>
      </c>
      <c r="AI2897">
        <v>20</v>
      </c>
      <c r="AJ2897">
        <v>0</v>
      </c>
      <c r="AK2897">
        <v>1</v>
      </c>
      <c r="AL2897">
        <v>1</v>
      </c>
      <c r="AM2897">
        <v>100</v>
      </c>
      <c r="AN2897">
        <v>198.88579999999999</v>
      </c>
      <c r="AO2897">
        <v>0</v>
      </c>
      <c r="AP2897" s="13">
        <v>45500</v>
      </c>
      <c r="AQ2897">
        <v>2</v>
      </c>
      <c r="AR2897">
        <v>0</v>
      </c>
    </row>
    <row r="2898" spans="1:44" x14ac:dyDescent="0.35">
      <c r="A2898" s="12" t="s">
        <v>3779</v>
      </c>
      <c r="B2898" s="12" t="s">
        <v>630</v>
      </c>
      <c r="C2898" s="12" t="s">
        <v>631</v>
      </c>
      <c r="D2898" s="12" t="s">
        <v>130</v>
      </c>
      <c r="E2898" s="12" t="s">
        <v>65</v>
      </c>
      <c r="F2898">
        <v>1</v>
      </c>
      <c r="G2898">
        <v>2</v>
      </c>
      <c r="H2898">
        <v>1</v>
      </c>
      <c r="I2898" s="12" t="s">
        <v>335</v>
      </c>
      <c r="J2898" s="12" t="s">
        <v>336</v>
      </c>
      <c r="K2898" s="12" t="s">
        <v>89</v>
      </c>
      <c r="L2898" s="12" t="s">
        <v>82</v>
      </c>
      <c r="M2898">
        <v>16</v>
      </c>
      <c r="N2898" s="12" t="s">
        <v>135</v>
      </c>
      <c r="O2898" s="12" t="s">
        <v>136</v>
      </c>
      <c r="P2898" s="12" t="s">
        <v>137</v>
      </c>
      <c r="Q2898" s="13">
        <v>45462</v>
      </c>
      <c r="R2898" s="13">
        <v>45494</v>
      </c>
      <c r="S2898">
        <v>2024</v>
      </c>
      <c r="T2898" s="12" t="s">
        <v>3649</v>
      </c>
      <c r="U2898">
        <v>95</v>
      </c>
      <c r="V2898">
        <v>446.36720000000003</v>
      </c>
      <c r="W2898">
        <v>716.76</v>
      </c>
      <c r="X2898">
        <v>0</v>
      </c>
      <c r="Y2898">
        <v>0</v>
      </c>
      <c r="Z2898">
        <v>42404.88</v>
      </c>
      <c r="AA2898">
        <v>43121.64</v>
      </c>
      <c r="AB2898" s="12" t="s">
        <v>2944</v>
      </c>
      <c r="AC2898">
        <v>446.36720000000003</v>
      </c>
      <c r="AD2898">
        <v>1</v>
      </c>
      <c r="AE2898">
        <v>1</v>
      </c>
      <c r="AF2898">
        <v>0</v>
      </c>
      <c r="AG2898">
        <v>42404.88</v>
      </c>
      <c r="AH2898">
        <v>95</v>
      </c>
      <c r="AI2898">
        <v>94</v>
      </c>
      <c r="AJ2898">
        <v>1</v>
      </c>
      <c r="AK2898">
        <v>1</v>
      </c>
      <c r="AL2898">
        <v>1</v>
      </c>
      <c r="AM2898">
        <v>98.95</v>
      </c>
      <c r="AN2898">
        <v>458.74090000000001</v>
      </c>
      <c r="AO2898">
        <v>446.37</v>
      </c>
      <c r="AP2898" s="13">
        <v>45491</v>
      </c>
      <c r="AQ2898">
        <v>-3</v>
      </c>
      <c r="AR2898">
        <v>1</v>
      </c>
    </row>
    <row r="2899" spans="1:44" x14ac:dyDescent="0.35">
      <c r="A2899" s="12" t="s">
        <v>3780</v>
      </c>
      <c r="B2899" s="12" t="s">
        <v>167</v>
      </c>
      <c r="C2899" s="12" t="s">
        <v>168</v>
      </c>
      <c r="D2899" s="12" t="s">
        <v>64</v>
      </c>
      <c r="E2899" s="12" t="s">
        <v>104</v>
      </c>
      <c r="F2899">
        <v>3</v>
      </c>
      <c r="G2899">
        <v>1</v>
      </c>
      <c r="H2899">
        <v>0</v>
      </c>
      <c r="I2899" s="12" t="s">
        <v>195</v>
      </c>
      <c r="J2899" s="12" t="s">
        <v>196</v>
      </c>
      <c r="K2899" s="12" t="s">
        <v>117</v>
      </c>
      <c r="L2899" s="12" t="s">
        <v>134</v>
      </c>
      <c r="M2899">
        <v>4.7699999999999996</v>
      </c>
      <c r="N2899" s="12" t="s">
        <v>97</v>
      </c>
      <c r="O2899" s="12" t="s">
        <v>98</v>
      </c>
      <c r="P2899" s="12" t="s">
        <v>72</v>
      </c>
      <c r="Q2899" s="13">
        <v>45462</v>
      </c>
      <c r="R2899" s="13">
        <v>45477</v>
      </c>
      <c r="S2899">
        <v>2024</v>
      </c>
      <c r="T2899" s="12" t="s">
        <v>3649</v>
      </c>
      <c r="U2899">
        <v>277</v>
      </c>
      <c r="V2899">
        <v>27.489599999999999</v>
      </c>
      <c r="W2899">
        <v>111.75</v>
      </c>
      <c r="X2899">
        <v>0</v>
      </c>
      <c r="Y2899">
        <v>0</v>
      </c>
      <c r="Z2899">
        <v>7614.62</v>
      </c>
      <c r="AA2899">
        <v>7726.37</v>
      </c>
      <c r="AB2899" s="12" t="s">
        <v>201</v>
      </c>
      <c r="AD2899">
        <v>0</v>
      </c>
      <c r="AE2899">
        <v>0</v>
      </c>
      <c r="AH2899">
        <v>277</v>
      </c>
      <c r="AI2899">
        <v>276</v>
      </c>
      <c r="AJ2899">
        <v>1</v>
      </c>
      <c r="AK2899">
        <v>1</v>
      </c>
      <c r="AL2899">
        <v>1</v>
      </c>
      <c r="AM2899">
        <v>99.64</v>
      </c>
      <c r="AN2899">
        <v>27.9941</v>
      </c>
      <c r="AO2899">
        <v>27.49</v>
      </c>
      <c r="AP2899" s="13">
        <v>45475</v>
      </c>
      <c r="AQ2899">
        <v>-2</v>
      </c>
      <c r="AR2899">
        <v>1</v>
      </c>
    </row>
    <row r="2900" spans="1:44" x14ac:dyDescent="0.35">
      <c r="A2900" s="12" t="s">
        <v>3781</v>
      </c>
      <c r="B2900" s="12" t="s">
        <v>519</v>
      </c>
      <c r="C2900" s="12" t="s">
        <v>520</v>
      </c>
      <c r="D2900" s="12" t="s">
        <v>78</v>
      </c>
      <c r="E2900" s="12" t="s">
        <v>65</v>
      </c>
      <c r="F2900">
        <v>2</v>
      </c>
      <c r="G2900">
        <v>3</v>
      </c>
      <c r="H2900">
        <v>0</v>
      </c>
      <c r="I2900" s="12" t="s">
        <v>143</v>
      </c>
      <c r="J2900" s="12" t="s">
        <v>144</v>
      </c>
      <c r="K2900" s="12" t="s">
        <v>133</v>
      </c>
      <c r="L2900" s="12" t="s">
        <v>96</v>
      </c>
      <c r="M2900">
        <v>5.43</v>
      </c>
      <c r="N2900" s="12" t="s">
        <v>70</v>
      </c>
      <c r="O2900" s="12" t="s">
        <v>71</v>
      </c>
      <c r="P2900" s="12" t="s">
        <v>72</v>
      </c>
      <c r="Q2900" s="13">
        <v>45462</v>
      </c>
      <c r="R2900" s="13">
        <v>45488</v>
      </c>
      <c r="S2900">
        <v>2024</v>
      </c>
      <c r="T2900" s="12" t="s">
        <v>3649</v>
      </c>
      <c r="U2900">
        <v>113</v>
      </c>
      <c r="V2900">
        <v>28.360499999999998</v>
      </c>
      <c r="W2900">
        <v>34.6</v>
      </c>
      <c r="X2900">
        <v>0</v>
      </c>
      <c r="Y2900">
        <v>0</v>
      </c>
      <c r="Z2900">
        <v>3204.74</v>
      </c>
      <c r="AA2900">
        <v>3239.34</v>
      </c>
      <c r="AB2900" s="12" t="s">
        <v>3130</v>
      </c>
      <c r="AC2900">
        <v>30.1342</v>
      </c>
      <c r="AD2900">
        <v>1</v>
      </c>
      <c r="AE2900">
        <v>1</v>
      </c>
      <c r="AF2900">
        <v>-200.43</v>
      </c>
      <c r="AG2900">
        <v>3405.16</v>
      </c>
      <c r="AH2900">
        <v>113</v>
      </c>
      <c r="AI2900">
        <v>113</v>
      </c>
      <c r="AJ2900">
        <v>0</v>
      </c>
      <c r="AK2900">
        <v>1</v>
      </c>
      <c r="AL2900">
        <v>1</v>
      </c>
      <c r="AM2900">
        <v>100</v>
      </c>
      <c r="AN2900">
        <v>28.666699999999999</v>
      </c>
      <c r="AO2900">
        <v>0</v>
      </c>
      <c r="AP2900" s="13">
        <v>45485</v>
      </c>
      <c r="AQ2900">
        <v>-3</v>
      </c>
      <c r="AR2900">
        <v>1</v>
      </c>
    </row>
    <row r="2901" spans="1:44" x14ac:dyDescent="0.35">
      <c r="A2901" s="12" t="s">
        <v>3782</v>
      </c>
      <c r="B2901" s="12" t="s">
        <v>773</v>
      </c>
      <c r="C2901" s="12" t="s">
        <v>774</v>
      </c>
      <c r="D2901" s="12" t="s">
        <v>64</v>
      </c>
      <c r="E2901" s="12" t="s">
        <v>142</v>
      </c>
      <c r="F2901">
        <v>1</v>
      </c>
      <c r="G2901">
        <v>7</v>
      </c>
      <c r="H2901">
        <v>1</v>
      </c>
      <c r="I2901" s="12" t="s">
        <v>251</v>
      </c>
      <c r="J2901" s="12" t="s">
        <v>252</v>
      </c>
      <c r="K2901" s="12" t="s">
        <v>133</v>
      </c>
      <c r="L2901" s="12" t="s">
        <v>69</v>
      </c>
      <c r="M2901">
        <v>34.49</v>
      </c>
      <c r="N2901" s="12" t="s">
        <v>70</v>
      </c>
      <c r="O2901" s="12" t="s">
        <v>71</v>
      </c>
      <c r="P2901" s="12" t="s">
        <v>72</v>
      </c>
      <c r="Q2901" s="13">
        <v>45462</v>
      </c>
      <c r="R2901" s="13">
        <v>45513</v>
      </c>
      <c r="S2901">
        <v>2024</v>
      </c>
      <c r="T2901" s="12" t="s">
        <v>3649</v>
      </c>
      <c r="U2901">
        <v>919</v>
      </c>
      <c r="V2901">
        <v>10.022600000000001</v>
      </c>
      <c r="W2901">
        <v>88.32</v>
      </c>
      <c r="X2901">
        <v>0</v>
      </c>
      <c r="Y2901">
        <v>0</v>
      </c>
      <c r="Z2901">
        <v>9210.77</v>
      </c>
      <c r="AA2901">
        <v>9299.09</v>
      </c>
      <c r="AB2901" s="12" t="s">
        <v>3354</v>
      </c>
      <c r="AC2901">
        <v>10.022600000000001</v>
      </c>
      <c r="AD2901">
        <v>1</v>
      </c>
      <c r="AE2901">
        <v>1</v>
      </c>
      <c r="AF2901">
        <v>0</v>
      </c>
      <c r="AG2901">
        <v>9210.77</v>
      </c>
      <c r="AH2901">
        <v>919</v>
      </c>
      <c r="AI2901">
        <v>916</v>
      </c>
      <c r="AJ2901">
        <v>3</v>
      </c>
      <c r="AK2901">
        <v>1</v>
      </c>
      <c r="AL2901">
        <v>1</v>
      </c>
      <c r="AM2901">
        <v>99.67</v>
      </c>
      <c r="AN2901">
        <v>10.1518</v>
      </c>
      <c r="AO2901">
        <v>30.07</v>
      </c>
      <c r="AP2901" s="13">
        <v>45513</v>
      </c>
      <c r="AQ2901">
        <v>0</v>
      </c>
      <c r="AR2901">
        <v>1</v>
      </c>
    </row>
    <row r="2902" spans="1:44" x14ac:dyDescent="0.35">
      <c r="A2902" s="12" t="s">
        <v>3783</v>
      </c>
      <c r="B2902" s="12" t="s">
        <v>454</v>
      </c>
      <c r="C2902" s="12" t="s">
        <v>455</v>
      </c>
      <c r="D2902" s="12" t="s">
        <v>122</v>
      </c>
      <c r="E2902" s="12" t="s">
        <v>104</v>
      </c>
      <c r="F2902">
        <v>3</v>
      </c>
      <c r="G2902">
        <v>1</v>
      </c>
      <c r="H2902">
        <v>0</v>
      </c>
      <c r="I2902" s="12" t="s">
        <v>123</v>
      </c>
      <c r="J2902" s="12" t="s">
        <v>124</v>
      </c>
      <c r="K2902" s="12" t="s">
        <v>125</v>
      </c>
      <c r="L2902" s="12" t="s">
        <v>82</v>
      </c>
      <c r="M2902">
        <v>6.75</v>
      </c>
      <c r="N2902" s="12" t="s">
        <v>97</v>
      </c>
      <c r="O2902" s="12" t="s">
        <v>98</v>
      </c>
      <c r="P2902" s="12" t="s">
        <v>72</v>
      </c>
      <c r="Q2902" s="13">
        <v>45462</v>
      </c>
      <c r="R2902" s="13">
        <v>45488</v>
      </c>
      <c r="S2902">
        <v>2024</v>
      </c>
      <c r="T2902" s="12" t="s">
        <v>3649</v>
      </c>
      <c r="U2902">
        <v>1698</v>
      </c>
      <c r="V2902">
        <v>23.341000000000001</v>
      </c>
      <c r="W2902">
        <v>977.7</v>
      </c>
      <c r="X2902">
        <v>0</v>
      </c>
      <c r="Y2902">
        <v>0</v>
      </c>
      <c r="Z2902">
        <v>39633.019999999997</v>
      </c>
      <c r="AA2902">
        <v>40610.720000000001</v>
      </c>
      <c r="AB2902" s="12" t="s">
        <v>201</v>
      </c>
      <c r="AD2902">
        <v>0</v>
      </c>
      <c r="AE2902">
        <v>0</v>
      </c>
      <c r="AH2902">
        <v>1698</v>
      </c>
      <c r="AI2902">
        <v>1684</v>
      </c>
      <c r="AJ2902">
        <v>14</v>
      </c>
      <c r="AK2902">
        <v>1</v>
      </c>
      <c r="AL2902">
        <v>1</v>
      </c>
      <c r="AM2902">
        <v>99.18</v>
      </c>
      <c r="AN2902">
        <v>24.115600000000001</v>
      </c>
      <c r="AO2902">
        <v>326.77</v>
      </c>
      <c r="AP2902" s="13">
        <v>45487</v>
      </c>
      <c r="AQ2902">
        <v>-1</v>
      </c>
      <c r="AR2902">
        <v>1</v>
      </c>
    </row>
    <row r="2903" spans="1:44" x14ac:dyDescent="0.35">
      <c r="A2903" s="12" t="s">
        <v>3784</v>
      </c>
      <c r="B2903" s="12" t="s">
        <v>732</v>
      </c>
      <c r="C2903" s="12" t="s">
        <v>733</v>
      </c>
      <c r="D2903" s="12" t="s">
        <v>114</v>
      </c>
      <c r="E2903" s="12" t="s">
        <v>104</v>
      </c>
      <c r="F2903">
        <v>3</v>
      </c>
      <c r="G2903">
        <v>1</v>
      </c>
      <c r="H2903">
        <v>0</v>
      </c>
      <c r="I2903" s="12" t="s">
        <v>199</v>
      </c>
      <c r="J2903" s="12" t="s">
        <v>200</v>
      </c>
      <c r="K2903" s="12" t="s">
        <v>68</v>
      </c>
      <c r="L2903" s="12" t="s">
        <v>96</v>
      </c>
      <c r="M2903">
        <v>9.4700000000000006</v>
      </c>
      <c r="N2903" s="12" t="s">
        <v>97</v>
      </c>
      <c r="O2903" s="12" t="s">
        <v>98</v>
      </c>
      <c r="P2903" s="12" t="s">
        <v>72</v>
      </c>
      <c r="Q2903" s="13">
        <v>45462</v>
      </c>
      <c r="R2903" s="13">
        <v>45478</v>
      </c>
      <c r="S2903">
        <v>2024</v>
      </c>
      <c r="T2903" s="12" t="s">
        <v>3649</v>
      </c>
      <c r="U2903">
        <v>47</v>
      </c>
      <c r="V2903">
        <v>304.28100000000001</v>
      </c>
      <c r="W2903">
        <v>311.73</v>
      </c>
      <c r="X2903">
        <v>0</v>
      </c>
      <c r="Y2903">
        <v>0</v>
      </c>
      <c r="Z2903">
        <v>14301.21</v>
      </c>
      <c r="AA2903">
        <v>14612.94</v>
      </c>
      <c r="AB2903" s="12" t="s">
        <v>3295</v>
      </c>
      <c r="AC2903">
        <v>304.28100000000001</v>
      </c>
      <c r="AD2903">
        <v>1</v>
      </c>
      <c r="AE2903">
        <v>1</v>
      </c>
      <c r="AF2903">
        <v>0</v>
      </c>
      <c r="AG2903">
        <v>14301.21</v>
      </c>
      <c r="AH2903">
        <v>47</v>
      </c>
      <c r="AI2903">
        <v>46</v>
      </c>
      <c r="AJ2903">
        <v>1</v>
      </c>
      <c r="AK2903">
        <v>1</v>
      </c>
      <c r="AL2903">
        <v>1</v>
      </c>
      <c r="AM2903">
        <v>97.87</v>
      </c>
      <c r="AN2903">
        <v>317.67250000000001</v>
      </c>
      <c r="AO2903">
        <v>304.27999999999997</v>
      </c>
      <c r="AP2903" s="13">
        <v>45479</v>
      </c>
      <c r="AQ2903">
        <v>1</v>
      </c>
      <c r="AR2903">
        <v>0</v>
      </c>
    </row>
    <row r="2904" spans="1:44" x14ac:dyDescent="0.35">
      <c r="A2904" s="12" t="s">
        <v>3785</v>
      </c>
      <c r="B2904" s="12" t="s">
        <v>1026</v>
      </c>
      <c r="C2904" s="12" t="s">
        <v>1027</v>
      </c>
      <c r="D2904" s="12" t="s">
        <v>122</v>
      </c>
      <c r="E2904" s="12" t="s">
        <v>104</v>
      </c>
      <c r="F2904">
        <v>3</v>
      </c>
      <c r="G2904">
        <v>1</v>
      </c>
      <c r="H2904">
        <v>0</v>
      </c>
      <c r="I2904" s="12" t="s">
        <v>604</v>
      </c>
      <c r="J2904" s="12" t="s">
        <v>605</v>
      </c>
      <c r="K2904" s="12" t="s">
        <v>68</v>
      </c>
      <c r="L2904" s="12" t="s">
        <v>82</v>
      </c>
      <c r="M2904">
        <v>7.24</v>
      </c>
      <c r="N2904" s="12" t="s">
        <v>97</v>
      </c>
      <c r="O2904" s="12" t="s">
        <v>98</v>
      </c>
      <c r="P2904" s="12" t="s">
        <v>72</v>
      </c>
      <c r="Q2904" s="13">
        <v>45462</v>
      </c>
      <c r="R2904" s="13">
        <v>45476</v>
      </c>
      <c r="S2904">
        <v>2024</v>
      </c>
      <c r="T2904" s="12" t="s">
        <v>3649</v>
      </c>
      <c r="U2904">
        <v>486</v>
      </c>
      <c r="V2904">
        <v>41.213299999999997</v>
      </c>
      <c r="W2904">
        <v>436.17</v>
      </c>
      <c r="X2904">
        <v>0</v>
      </c>
      <c r="Y2904">
        <v>0</v>
      </c>
      <c r="Z2904">
        <v>20029.66</v>
      </c>
      <c r="AA2904">
        <v>20465.830000000002</v>
      </c>
      <c r="AB2904" s="12" t="s">
        <v>3786</v>
      </c>
      <c r="AC2904">
        <v>41.213299999999997</v>
      </c>
      <c r="AD2904">
        <v>1</v>
      </c>
      <c r="AE2904">
        <v>1</v>
      </c>
      <c r="AF2904">
        <v>0</v>
      </c>
      <c r="AG2904">
        <v>20029.66</v>
      </c>
      <c r="AH2904">
        <v>486</v>
      </c>
      <c r="AI2904">
        <v>481</v>
      </c>
      <c r="AJ2904">
        <v>5</v>
      </c>
      <c r="AK2904">
        <v>1</v>
      </c>
      <c r="AL2904">
        <v>1</v>
      </c>
      <c r="AM2904">
        <v>98.97</v>
      </c>
      <c r="AN2904">
        <v>42.548499999999997</v>
      </c>
      <c r="AO2904">
        <v>206.07</v>
      </c>
      <c r="AP2904" s="13">
        <v>45474</v>
      </c>
      <c r="AQ2904">
        <v>-2</v>
      </c>
      <c r="AR2904">
        <v>1</v>
      </c>
    </row>
    <row r="2905" spans="1:44" x14ac:dyDescent="0.35">
      <c r="A2905" s="12" t="s">
        <v>3787</v>
      </c>
      <c r="B2905" s="12" t="s">
        <v>1042</v>
      </c>
      <c r="C2905" s="12" t="s">
        <v>1043</v>
      </c>
      <c r="D2905" s="12" t="s">
        <v>269</v>
      </c>
      <c r="E2905" s="12" t="s">
        <v>104</v>
      </c>
      <c r="F2905">
        <v>2</v>
      </c>
      <c r="G2905">
        <v>0</v>
      </c>
      <c r="H2905">
        <v>0</v>
      </c>
      <c r="I2905" s="12" t="s">
        <v>143</v>
      </c>
      <c r="J2905" s="12" t="s">
        <v>144</v>
      </c>
      <c r="K2905" s="12" t="s">
        <v>133</v>
      </c>
      <c r="L2905" s="12" t="s">
        <v>96</v>
      </c>
      <c r="M2905">
        <v>5.43</v>
      </c>
      <c r="N2905" s="12" t="s">
        <v>159</v>
      </c>
      <c r="O2905" s="12" t="s">
        <v>160</v>
      </c>
      <c r="P2905" s="12" t="s">
        <v>137</v>
      </c>
      <c r="Q2905" s="13">
        <v>45462</v>
      </c>
      <c r="R2905" s="13">
        <v>45490</v>
      </c>
      <c r="S2905">
        <v>2024</v>
      </c>
      <c r="T2905" s="12" t="s">
        <v>3649</v>
      </c>
      <c r="U2905">
        <v>137</v>
      </c>
      <c r="V2905">
        <v>282.86169999999998</v>
      </c>
      <c r="W2905">
        <v>498.91</v>
      </c>
      <c r="X2905">
        <v>0</v>
      </c>
      <c r="Y2905">
        <v>0</v>
      </c>
      <c r="Z2905">
        <v>38752.050000000003</v>
      </c>
      <c r="AA2905">
        <v>39250.959999999999</v>
      </c>
      <c r="AB2905" s="12" t="s">
        <v>3788</v>
      </c>
      <c r="AC2905">
        <v>282.86169999999998</v>
      </c>
      <c r="AD2905">
        <v>1</v>
      </c>
      <c r="AE2905">
        <v>1</v>
      </c>
      <c r="AF2905">
        <v>0</v>
      </c>
      <c r="AG2905">
        <v>38752.050000000003</v>
      </c>
      <c r="AH2905">
        <v>137</v>
      </c>
      <c r="AI2905">
        <v>135</v>
      </c>
      <c r="AJ2905">
        <v>2</v>
      </c>
      <c r="AK2905">
        <v>1</v>
      </c>
      <c r="AL2905">
        <v>1</v>
      </c>
      <c r="AM2905">
        <v>98.54</v>
      </c>
      <c r="AN2905">
        <v>290.74790000000002</v>
      </c>
      <c r="AO2905">
        <v>565.72</v>
      </c>
      <c r="AP2905" s="13">
        <v>45492</v>
      </c>
      <c r="AQ2905">
        <v>2</v>
      </c>
      <c r="AR2905">
        <v>0</v>
      </c>
    </row>
    <row r="2906" spans="1:44" x14ac:dyDescent="0.35">
      <c r="A2906" s="12" t="s">
        <v>3789</v>
      </c>
      <c r="B2906" s="12" t="s">
        <v>802</v>
      </c>
      <c r="C2906" s="12" t="s">
        <v>803</v>
      </c>
      <c r="D2906" s="12" t="s">
        <v>114</v>
      </c>
      <c r="E2906" s="12" t="s">
        <v>65</v>
      </c>
      <c r="F2906">
        <v>3</v>
      </c>
      <c r="G2906">
        <v>5</v>
      </c>
      <c r="H2906">
        <v>0</v>
      </c>
      <c r="I2906" s="12" t="s">
        <v>804</v>
      </c>
      <c r="J2906" s="12" t="s">
        <v>342</v>
      </c>
      <c r="K2906" s="12" t="s">
        <v>117</v>
      </c>
      <c r="L2906" s="12" t="s">
        <v>69</v>
      </c>
      <c r="M2906">
        <v>30.07</v>
      </c>
      <c r="N2906" s="12" t="s">
        <v>70</v>
      </c>
      <c r="O2906" s="12" t="s">
        <v>71</v>
      </c>
      <c r="P2906" s="12" t="s">
        <v>72</v>
      </c>
      <c r="Q2906" s="13">
        <v>45463</v>
      </c>
      <c r="R2906" s="13">
        <v>45486</v>
      </c>
      <c r="S2906">
        <v>2024</v>
      </c>
      <c r="T2906" s="12" t="s">
        <v>3649</v>
      </c>
      <c r="U2906">
        <v>29</v>
      </c>
      <c r="V2906">
        <v>367.93180000000001</v>
      </c>
      <c r="W2906">
        <v>196.84</v>
      </c>
      <c r="X2906">
        <v>340.5</v>
      </c>
      <c r="Y2906">
        <v>1</v>
      </c>
      <c r="Z2906">
        <v>10670.02</v>
      </c>
      <c r="AA2906">
        <v>11207.36</v>
      </c>
      <c r="AB2906" s="12" t="s">
        <v>201</v>
      </c>
      <c r="AD2906">
        <v>0</v>
      </c>
      <c r="AE2906">
        <v>0</v>
      </c>
      <c r="AH2906">
        <v>29</v>
      </c>
      <c r="AI2906">
        <v>29</v>
      </c>
      <c r="AJ2906">
        <v>0</v>
      </c>
      <c r="AK2906">
        <v>1</v>
      </c>
      <c r="AL2906">
        <v>1</v>
      </c>
      <c r="AM2906">
        <v>100</v>
      </c>
      <c r="AN2906">
        <v>386.46080000000001</v>
      </c>
      <c r="AO2906">
        <v>0</v>
      </c>
      <c r="AP2906" s="13">
        <v>45483</v>
      </c>
      <c r="AQ2906">
        <v>-3</v>
      </c>
      <c r="AR2906">
        <v>1</v>
      </c>
    </row>
    <row r="2907" spans="1:44" x14ac:dyDescent="0.35">
      <c r="A2907" s="12" t="s">
        <v>3790</v>
      </c>
      <c r="B2907" s="12" t="s">
        <v>630</v>
      </c>
      <c r="C2907" s="12" t="s">
        <v>631</v>
      </c>
      <c r="D2907" s="12" t="s">
        <v>130</v>
      </c>
      <c r="E2907" s="12" t="s">
        <v>65</v>
      </c>
      <c r="F2907">
        <v>1</v>
      </c>
      <c r="G2907">
        <v>2</v>
      </c>
      <c r="H2907">
        <v>1</v>
      </c>
      <c r="I2907" s="12" t="s">
        <v>335</v>
      </c>
      <c r="J2907" s="12" t="s">
        <v>336</v>
      </c>
      <c r="K2907" s="12" t="s">
        <v>89</v>
      </c>
      <c r="L2907" s="12" t="s">
        <v>82</v>
      </c>
      <c r="M2907">
        <v>16</v>
      </c>
      <c r="N2907" s="12" t="s">
        <v>159</v>
      </c>
      <c r="O2907" s="12" t="s">
        <v>160</v>
      </c>
      <c r="P2907" s="12" t="s">
        <v>137</v>
      </c>
      <c r="Q2907" s="13">
        <v>45463</v>
      </c>
      <c r="R2907" s="13">
        <v>45499</v>
      </c>
      <c r="S2907">
        <v>2024</v>
      </c>
      <c r="T2907" s="12" t="s">
        <v>3649</v>
      </c>
      <c r="U2907">
        <v>132</v>
      </c>
      <c r="V2907">
        <v>446.36720000000003</v>
      </c>
      <c r="W2907">
        <v>777.65</v>
      </c>
      <c r="X2907">
        <v>0</v>
      </c>
      <c r="Y2907">
        <v>0</v>
      </c>
      <c r="Z2907">
        <v>58920.47</v>
      </c>
      <c r="AA2907">
        <v>59698.12</v>
      </c>
      <c r="AB2907" s="12" t="s">
        <v>2944</v>
      </c>
      <c r="AC2907">
        <v>446.36720000000003</v>
      </c>
      <c r="AD2907">
        <v>1</v>
      </c>
      <c r="AE2907">
        <v>1</v>
      </c>
      <c r="AF2907">
        <v>0</v>
      </c>
      <c r="AG2907">
        <v>58920.47</v>
      </c>
      <c r="AH2907">
        <v>132</v>
      </c>
      <c r="AI2907">
        <v>131</v>
      </c>
      <c r="AJ2907">
        <v>1</v>
      </c>
      <c r="AK2907">
        <v>1</v>
      </c>
      <c r="AL2907">
        <v>1</v>
      </c>
      <c r="AM2907">
        <v>99.24</v>
      </c>
      <c r="AN2907">
        <v>455.71080000000001</v>
      </c>
      <c r="AO2907">
        <v>446.37</v>
      </c>
      <c r="AP2907" s="13">
        <v>45500</v>
      </c>
      <c r="AQ2907">
        <v>1</v>
      </c>
      <c r="AR2907">
        <v>0</v>
      </c>
    </row>
    <row r="2908" spans="1:44" x14ac:dyDescent="0.35">
      <c r="A2908" s="12" t="s">
        <v>3791</v>
      </c>
      <c r="B2908" s="12" t="s">
        <v>76</v>
      </c>
      <c r="C2908" s="12" t="s">
        <v>77</v>
      </c>
      <c r="D2908" s="12" t="s">
        <v>78</v>
      </c>
      <c r="E2908" s="12" t="s">
        <v>65</v>
      </c>
      <c r="F2908">
        <v>2</v>
      </c>
      <c r="G2908">
        <v>4</v>
      </c>
      <c r="H2908">
        <v>0</v>
      </c>
      <c r="I2908" s="12" t="s">
        <v>79</v>
      </c>
      <c r="J2908" s="12" t="s">
        <v>80</v>
      </c>
      <c r="K2908" s="12" t="s">
        <v>81</v>
      </c>
      <c r="L2908" s="12" t="s">
        <v>82</v>
      </c>
      <c r="M2908">
        <v>12.07</v>
      </c>
      <c r="N2908" s="12" t="s">
        <v>70</v>
      </c>
      <c r="O2908" s="12" t="s">
        <v>71</v>
      </c>
      <c r="P2908" s="12" t="s">
        <v>72</v>
      </c>
      <c r="Q2908" s="13">
        <v>45463</v>
      </c>
      <c r="R2908" s="13">
        <v>45485</v>
      </c>
      <c r="S2908">
        <v>2024</v>
      </c>
      <c r="T2908" s="12" t="s">
        <v>3649</v>
      </c>
      <c r="U2908">
        <v>60</v>
      </c>
      <c r="V2908">
        <v>45.034100000000002</v>
      </c>
      <c r="W2908">
        <v>32.520000000000003</v>
      </c>
      <c r="X2908">
        <v>83.6</v>
      </c>
      <c r="Y2908">
        <v>1</v>
      </c>
      <c r="Z2908">
        <v>2702.05</v>
      </c>
      <c r="AA2908">
        <v>2818.17</v>
      </c>
      <c r="AB2908" s="12" t="s">
        <v>2672</v>
      </c>
      <c r="AC2908">
        <v>45.034100000000002</v>
      </c>
      <c r="AD2908">
        <v>1</v>
      </c>
      <c r="AE2908">
        <v>1</v>
      </c>
      <c r="AF2908">
        <v>0</v>
      </c>
      <c r="AG2908">
        <v>2702.05</v>
      </c>
      <c r="AH2908">
        <v>60</v>
      </c>
      <c r="AI2908">
        <v>59</v>
      </c>
      <c r="AJ2908">
        <v>1</v>
      </c>
      <c r="AK2908">
        <v>1</v>
      </c>
      <c r="AL2908">
        <v>1</v>
      </c>
      <c r="AM2908">
        <v>98.33</v>
      </c>
      <c r="AN2908">
        <v>47.765500000000003</v>
      </c>
      <c r="AO2908">
        <v>45.03</v>
      </c>
      <c r="AP2908" s="13">
        <v>45486</v>
      </c>
      <c r="AQ2908">
        <v>1</v>
      </c>
      <c r="AR2908">
        <v>0</v>
      </c>
    </row>
    <row r="2909" spans="1:44" x14ac:dyDescent="0.35">
      <c r="A2909" s="12" t="s">
        <v>3792</v>
      </c>
      <c r="B2909" s="12" t="s">
        <v>284</v>
      </c>
      <c r="C2909" s="12" t="s">
        <v>285</v>
      </c>
      <c r="D2909" s="12" t="s">
        <v>269</v>
      </c>
      <c r="E2909" s="12" t="s">
        <v>104</v>
      </c>
      <c r="F2909">
        <v>3</v>
      </c>
      <c r="G2909">
        <v>1</v>
      </c>
      <c r="H2909">
        <v>0</v>
      </c>
      <c r="I2909" s="12" t="s">
        <v>199</v>
      </c>
      <c r="J2909" s="12" t="s">
        <v>200</v>
      </c>
      <c r="K2909" s="12" t="s">
        <v>68</v>
      </c>
      <c r="L2909" s="12" t="s">
        <v>96</v>
      </c>
      <c r="M2909">
        <v>9.4700000000000006</v>
      </c>
      <c r="N2909" s="12" t="s">
        <v>135</v>
      </c>
      <c r="O2909" s="12" t="s">
        <v>136</v>
      </c>
      <c r="P2909" s="12" t="s">
        <v>137</v>
      </c>
      <c r="Q2909" s="13">
        <v>45463</v>
      </c>
      <c r="R2909" s="13">
        <v>45481</v>
      </c>
      <c r="S2909">
        <v>2024</v>
      </c>
      <c r="T2909" s="12" t="s">
        <v>3649</v>
      </c>
      <c r="U2909">
        <v>56</v>
      </c>
      <c r="V2909">
        <v>399.8458</v>
      </c>
      <c r="W2909">
        <v>347.35</v>
      </c>
      <c r="X2909">
        <v>0</v>
      </c>
      <c r="Y2909">
        <v>0</v>
      </c>
      <c r="Z2909">
        <v>22391.360000000001</v>
      </c>
      <c r="AA2909">
        <v>22738.71</v>
      </c>
      <c r="AB2909" s="12" t="s">
        <v>201</v>
      </c>
      <c r="AD2909">
        <v>0</v>
      </c>
      <c r="AE2909">
        <v>0</v>
      </c>
      <c r="AH2909">
        <v>56</v>
      </c>
      <c r="AI2909">
        <v>56</v>
      </c>
      <c r="AJ2909">
        <v>0</v>
      </c>
      <c r="AK2909">
        <v>1</v>
      </c>
      <c r="AL2909">
        <v>1</v>
      </c>
      <c r="AM2909">
        <v>100</v>
      </c>
      <c r="AN2909">
        <v>406.04849999999999</v>
      </c>
      <c r="AO2909">
        <v>0</v>
      </c>
      <c r="AP2909" s="13">
        <v>45478</v>
      </c>
      <c r="AQ2909">
        <v>-3</v>
      </c>
      <c r="AR2909">
        <v>1</v>
      </c>
    </row>
    <row r="2910" spans="1:44" x14ac:dyDescent="0.35">
      <c r="A2910" s="12" t="s">
        <v>3793</v>
      </c>
      <c r="B2910" s="12" t="s">
        <v>167</v>
      </c>
      <c r="C2910" s="12" t="s">
        <v>168</v>
      </c>
      <c r="D2910" s="12" t="s">
        <v>64</v>
      </c>
      <c r="E2910" s="12" t="s">
        <v>104</v>
      </c>
      <c r="F2910">
        <v>3</v>
      </c>
      <c r="G2910">
        <v>1</v>
      </c>
      <c r="H2910">
        <v>0</v>
      </c>
      <c r="I2910" s="12" t="s">
        <v>169</v>
      </c>
      <c r="J2910" s="12" t="s">
        <v>170</v>
      </c>
      <c r="K2910" s="12" t="s">
        <v>89</v>
      </c>
      <c r="L2910" s="12" t="s">
        <v>134</v>
      </c>
      <c r="M2910">
        <v>1.37</v>
      </c>
      <c r="N2910" s="12" t="s">
        <v>70</v>
      </c>
      <c r="O2910" s="12" t="s">
        <v>71</v>
      </c>
      <c r="P2910" s="12" t="s">
        <v>72</v>
      </c>
      <c r="Q2910" s="13">
        <v>45463</v>
      </c>
      <c r="R2910" s="13">
        <v>45484</v>
      </c>
      <c r="S2910">
        <v>2024</v>
      </c>
      <c r="T2910" s="12" t="s">
        <v>3649</v>
      </c>
      <c r="U2910">
        <v>583</v>
      </c>
      <c r="V2910">
        <v>26.559100000000001</v>
      </c>
      <c r="W2910">
        <v>159.80000000000001</v>
      </c>
      <c r="X2910">
        <v>0</v>
      </c>
      <c r="Y2910">
        <v>0</v>
      </c>
      <c r="Z2910">
        <v>15483.96</v>
      </c>
      <c r="AA2910">
        <v>15643.76</v>
      </c>
      <c r="AB2910" s="12" t="s">
        <v>2885</v>
      </c>
      <c r="AC2910">
        <v>26.559100000000001</v>
      </c>
      <c r="AD2910">
        <v>1</v>
      </c>
      <c r="AE2910">
        <v>1</v>
      </c>
      <c r="AF2910">
        <v>0</v>
      </c>
      <c r="AG2910">
        <v>15483.96</v>
      </c>
      <c r="AH2910">
        <v>583</v>
      </c>
      <c r="AI2910">
        <v>582</v>
      </c>
      <c r="AJ2910">
        <v>1</v>
      </c>
      <c r="AK2910">
        <v>1</v>
      </c>
      <c r="AL2910">
        <v>1</v>
      </c>
      <c r="AM2910">
        <v>99.83</v>
      </c>
      <c r="AN2910">
        <v>26.879300000000001</v>
      </c>
      <c r="AO2910">
        <v>26.56</v>
      </c>
      <c r="AP2910" s="13">
        <v>45481</v>
      </c>
      <c r="AQ2910">
        <v>-3</v>
      </c>
      <c r="AR2910">
        <v>1</v>
      </c>
    </row>
    <row r="2911" spans="1:44" x14ac:dyDescent="0.35">
      <c r="A2911" s="12" t="s">
        <v>3794</v>
      </c>
      <c r="B2911" s="12" t="s">
        <v>442</v>
      </c>
      <c r="C2911" s="12" t="s">
        <v>443</v>
      </c>
      <c r="D2911" s="12" t="s">
        <v>130</v>
      </c>
      <c r="E2911" s="12" t="s">
        <v>65</v>
      </c>
      <c r="F2911">
        <v>3</v>
      </c>
      <c r="G2911">
        <v>4</v>
      </c>
      <c r="H2911">
        <v>0</v>
      </c>
      <c r="I2911" s="12" t="s">
        <v>251</v>
      </c>
      <c r="J2911" s="12" t="s">
        <v>252</v>
      </c>
      <c r="K2911" s="12" t="s">
        <v>133</v>
      </c>
      <c r="L2911" s="12" t="s">
        <v>69</v>
      </c>
      <c r="M2911">
        <v>34.49</v>
      </c>
      <c r="N2911" s="12" t="s">
        <v>159</v>
      </c>
      <c r="O2911" s="12" t="s">
        <v>160</v>
      </c>
      <c r="P2911" s="12" t="s">
        <v>137</v>
      </c>
      <c r="Q2911" s="13">
        <v>45463</v>
      </c>
      <c r="R2911" s="13">
        <v>45499</v>
      </c>
      <c r="S2911">
        <v>2024</v>
      </c>
      <c r="T2911" s="12" t="s">
        <v>3649</v>
      </c>
      <c r="U2911">
        <v>127</v>
      </c>
      <c r="V2911">
        <v>579.76959999999997</v>
      </c>
      <c r="W2911">
        <v>1407.78</v>
      </c>
      <c r="X2911">
        <v>0</v>
      </c>
      <c r="Y2911">
        <v>0</v>
      </c>
      <c r="Z2911">
        <v>73630.740000000005</v>
      </c>
      <c r="AA2911">
        <v>75038.52</v>
      </c>
      <c r="AB2911" s="12" t="s">
        <v>3116</v>
      </c>
      <c r="AC2911">
        <v>560.57730000000004</v>
      </c>
      <c r="AD2911">
        <v>1</v>
      </c>
      <c r="AE2911">
        <v>1</v>
      </c>
      <c r="AF2911">
        <v>2437.42</v>
      </c>
      <c r="AG2911">
        <v>71193.320000000007</v>
      </c>
      <c r="AH2911">
        <v>127</v>
      </c>
      <c r="AI2911">
        <v>125</v>
      </c>
      <c r="AJ2911">
        <v>2</v>
      </c>
      <c r="AK2911">
        <v>1</v>
      </c>
      <c r="AL2911">
        <v>1</v>
      </c>
      <c r="AM2911">
        <v>98.43</v>
      </c>
      <c r="AN2911">
        <v>600.30820000000006</v>
      </c>
      <c r="AO2911">
        <v>1159.54</v>
      </c>
      <c r="AP2911" s="13">
        <v>45503</v>
      </c>
      <c r="AQ2911">
        <v>4</v>
      </c>
      <c r="AR2911">
        <v>0</v>
      </c>
    </row>
    <row r="2912" spans="1:44" x14ac:dyDescent="0.35">
      <c r="A2912" s="12" t="s">
        <v>3795</v>
      </c>
      <c r="B2912" s="12" t="s">
        <v>598</v>
      </c>
      <c r="C2912" s="12" t="s">
        <v>599</v>
      </c>
      <c r="D2912" s="12" t="s">
        <v>269</v>
      </c>
      <c r="E2912" s="12" t="s">
        <v>65</v>
      </c>
      <c r="F2912">
        <v>1</v>
      </c>
      <c r="G2912">
        <v>2</v>
      </c>
      <c r="H2912">
        <v>1</v>
      </c>
      <c r="I2912" s="12" t="s">
        <v>176</v>
      </c>
      <c r="J2912" s="12" t="s">
        <v>177</v>
      </c>
      <c r="K2912" s="12" t="s">
        <v>125</v>
      </c>
      <c r="L2912" s="12" t="s">
        <v>134</v>
      </c>
      <c r="M2912">
        <v>1.75</v>
      </c>
      <c r="N2912" s="12" t="s">
        <v>159</v>
      </c>
      <c r="O2912" s="12" t="s">
        <v>160</v>
      </c>
      <c r="P2912" s="12" t="s">
        <v>137</v>
      </c>
      <c r="Q2912" s="13">
        <v>45463</v>
      </c>
      <c r="R2912" s="13">
        <v>45486</v>
      </c>
      <c r="S2912">
        <v>2024</v>
      </c>
      <c r="T2912" s="12" t="s">
        <v>3649</v>
      </c>
      <c r="U2912">
        <v>28</v>
      </c>
      <c r="V2912">
        <v>454.53089999999997</v>
      </c>
      <c r="W2912">
        <v>317.8</v>
      </c>
      <c r="X2912">
        <v>0</v>
      </c>
      <c r="Y2912">
        <v>0</v>
      </c>
      <c r="Z2912">
        <v>12726.87</v>
      </c>
      <c r="AA2912">
        <v>13044.67</v>
      </c>
      <c r="AB2912" s="12" t="s">
        <v>3102</v>
      </c>
      <c r="AC2912">
        <v>454.53089999999997</v>
      </c>
      <c r="AD2912">
        <v>1</v>
      </c>
      <c r="AE2912">
        <v>1</v>
      </c>
      <c r="AF2912">
        <v>0</v>
      </c>
      <c r="AG2912">
        <v>12726.87</v>
      </c>
      <c r="AH2912">
        <v>28</v>
      </c>
      <c r="AI2912">
        <v>28</v>
      </c>
      <c r="AJ2912">
        <v>0</v>
      </c>
      <c r="AK2912">
        <v>1</v>
      </c>
      <c r="AL2912">
        <v>1</v>
      </c>
      <c r="AM2912">
        <v>100</v>
      </c>
      <c r="AN2912">
        <v>465.8809</v>
      </c>
      <c r="AO2912">
        <v>0</v>
      </c>
      <c r="AP2912" s="13">
        <v>45484</v>
      </c>
      <c r="AQ2912">
        <v>-2</v>
      </c>
      <c r="AR2912">
        <v>1</v>
      </c>
    </row>
    <row r="2913" spans="1:44" x14ac:dyDescent="0.35">
      <c r="A2913" s="12" t="s">
        <v>3796</v>
      </c>
      <c r="B2913" s="12" t="s">
        <v>598</v>
      </c>
      <c r="C2913" s="12" t="s">
        <v>599</v>
      </c>
      <c r="D2913" s="12" t="s">
        <v>269</v>
      </c>
      <c r="E2913" s="12" t="s">
        <v>65</v>
      </c>
      <c r="F2913">
        <v>1</v>
      </c>
      <c r="G2913">
        <v>2</v>
      </c>
      <c r="H2913">
        <v>1</v>
      </c>
      <c r="I2913" s="12" t="s">
        <v>176</v>
      </c>
      <c r="J2913" s="12" t="s">
        <v>177</v>
      </c>
      <c r="K2913" s="12" t="s">
        <v>125</v>
      </c>
      <c r="L2913" s="12" t="s">
        <v>134</v>
      </c>
      <c r="M2913">
        <v>1.75</v>
      </c>
      <c r="N2913" s="12" t="s">
        <v>135</v>
      </c>
      <c r="O2913" s="12" t="s">
        <v>136</v>
      </c>
      <c r="P2913" s="12" t="s">
        <v>137</v>
      </c>
      <c r="Q2913" s="13">
        <v>45463</v>
      </c>
      <c r="R2913" s="13">
        <v>45484</v>
      </c>
      <c r="S2913">
        <v>2024</v>
      </c>
      <c r="T2913" s="12" t="s">
        <v>3649</v>
      </c>
      <c r="U2913">
        <v>15</v>
      </c>
      <c r="V2913">
        <v>454.53089999999997</v>
      </c>
      <c r="W2913">
        <v>66.680000000000007</v>
      </c>
      <c r="X2913">
        <v>0</v>
      </c>
      <c r="Y2913">
        <v>0</v>
      </c>
      <c r="Z2913">
        <v>6817.96</v>
      </c>
      <c r="AA2913">
        <v>6884.64</v>
      </c>
      <c r="AB2913" s="12" t="s">
        <v>3102</v>
      </c>
      <c r="AC2913">
        <v>454.53089999999997</v>
      </c>
      <c r="AD2913">
        <v>1</v>
      </c>
      <c r="AE2913">
        <v>1</v>
      </c>
      <c r="AF2913">
        <v>0</v>
      </c>
      <c r="AG2913">
        <v>6817.96</v>
      </c>
      <c r="AH2913">
        <v>15</v>
      </c>
      <c r="AI2913">
        <v>15</v>
      </c>
      <c r="AJ2913">
        <v>0</v>
      </c>
      <c r="AK2913">
        <v>1</v>
      </c>
      <c r="AL2913">
        <v>1</v>
      </c>
      <c r="AM2913">
        <v>100</v>
      </c>
      <c r="AN2913">
        <v>458.97620000000001</v>
      </c>
      <c r="AO2913">
        <v>0</v>
      </c>
      <c r="AP2913" s="13">
        <v>45481</v>
      </c>
      <c r="AQ2913">
        <v>-3</v>
      </c>
      <c r="AR2913">
        <v>1</v>
      </c>
    </row>
    <row r="2914" spans="1:44" x14ac:dyDescent="0.35">
      <c r="A2914" s="12" t="s">
        <v>3797</v>
      </c>
      <c r="B2914" s="12" t="s">
        <v>331</v>
      </c>
      <c r="C2914" s="12" t="s">
        <v>332</v>
      </c>
      <c r="D2914" s="12" t="s">
        <v>122</v>
      </c>
      <c r="E2914" s="12" t="s">
        <v>142</v>
      </c>
      <c r="F2914">
        <v>3</v>
      </c>
      <c r="G2914">
        <v>11</v>
      </c>
      <c r="H2914">
        <v>0</v>
      </c>
      <c r="I2914" s="12" t="s">
        <v>263</v>
      </c>
      <c r="J2914" s="12" t="s">
        <v>264</v>
      </c>
      <c r="K2914" s="12" t="s">
        <v>125</v>
      </c>
      <c r="L2914" s="12" t="s">
        <v>82</v>
      </c>
      <c r="M2914">
        <v>10.210000000000001</v>
      </c>
      <c r="N2914" s="12" t="s">
        <v>97</v>
      </c>
      <c r="O2914" s="12" t="s">
        <v>98</v>
      </c>
      <c r="P2914" s="12" t="s">
        <v>72</v>
      </c>
      <c r="Q2914" s="13">
        <v>45463</v>
      </c>
      <c r="R2914" s="13">
        <v>45507</v>
      </c>
      <c r="S2914">
        <v>2024</v>
      </c>
      <c r="T2914" s="12" t="s">
        <v>3649</v>
      </c>
      <c r="U2914">
        <v>1143</v>
      </c>
      <c r="V2914">
        <v>24.008700000000001</v>
      </c>
      <c r="W2914">
        <v>279.55</v>
      </c>
      <c r="X2914">
        <v>0</v>
      </c>
      <c r="Y2914">
        <v>0</v>
      </c>
      <c r="Z2914">
        <v>27441.94</v>
      </c>
      <c r="AA2914">
        <v>27721.49</v>
      </c>
      <c r="AB2914" s="12" t="s">
        <v>2732</v>
      </c>
      <c r="AC2914">
        <v>24.008700000000001</v>
      </c>
      <c r="AD2914">
        <v>1</v>
      </c>
      <c r="AE2914">
        <v>1</v>
      </c>
      <c r="AF2914">
        <v>0</v>
      </c>
      <c r="AG2914">
        <v>27441.94</v>
      </c>
      <c r="AH2914">
        <v>1143</v>
      </c>
      <c r="AI2914">
        <v>1132</v>
      </c>
      <c r="AJ2914">
        <v>11</v>
      </c>
      <c r="AK2914">
        <v>1</v>
      </c>
      <c r="AL2914">
        <v>1</v>
      </c>
      <c r="AM2914">
        <v>99.04</v>
      </c>
      <c r="AN2914">
        <v>24.489000000000001</v>
      </c>
      <c r="AO2914">
        <v>264.10000000000002</v>
      </c>
      <c r="AP2914" s="13">
        <v>45505</v>
      </c>
      <c r="AQ2914">
        <v>-2</v>
      </c>
      <c r="AR2914">
        <v>1</v>
      </c>
    </row>
    <row r="2915" spans="1:44" x14ac:dyDescent="0.35">
      <c r="A2915" s="12" t="s">
        <v>3798</v>
      </c>
      <c r="B2915" s="12" t="s">
        <v>339</v>
      </c>
      <c r="C2915" s="12" t="s">
        <v>340</v>
      </c>
      <c r="D2915" s="12" t="s">
        <v>103</v>
      </c>
      <c r="E2915" s="12" t="s">
        <v>142</v>
      </c>
      <c r="F2915">
        <v>2</v>
      </c>
      <c r="G2915">
        <v>9</v>
      </c>
      <c r="H2915">
        <v>0</v>
      </c>
      <c r="I2915" s="12" t="s">
        <v>341</v>
      </c>
      <c r="J2915" s="12" t="s">
        <v>342</v>
      </c>
      <c r="K2915" s="12" t="s">
        <v>117</v>
      </c>
      <c r="L2915" s="12" t="s">
        <v>82</v>
      </c>
      <c r="M2915">
        <v>18.36</v>
      </c>
      <c r="N2915" s="12" t="s">
        <v>145</v>
      </c>
      <c r="O2915" s="12" t="s">
        <v>146</v>
      </c>
      <c r="P2915" s="12" t="s">
        <v>109</v>
      </c>
      <c r="Q2915" s="13">
        <v>45463</v>
      </c>
      <c r="R2915" s="13">
        <v>45500</v>
      </c>
      <c r="S2915">
        <v>2024</v>
      </c>
      <c r="T2915" s="12" t="s">
        <v>3649</v>
      </c>
      <c r="U2915">
        <v>31</v>
      </c>
      <c r="V2915">
        <v>243.0204</v>
      </c>
      <c r="W2915">
        <v>188.58</v>
      </c>
      <c r="X2915">
        <v>0</v>
      </c>
      <c r="Y2915">
        <v>0</v>
      </c>
      <c r="Z2915">
        <v>7533.63</v>
      </c>
      <c r="AA2915">
        <v>7722.21</v>
      </c>
      <c r="AB2915" s="12" t="s">
        <v>2954</v>
      </c>
      <c r="AC2915">
        <v>243.0204</v>
      </c>
      <c r="AD2915">
        <v>1</v>
      </c>
      <c r="AE2915">
        <v>1</v>
      </c>
      <c r="AF2915">
        <v>0</v>
      </c>
      <c r="AG2915">
        <v>7533.63</v>
      </c>
      <c r="AH2915">
        <v>31</v>
      </c>
      <c r="AI2915">
        <v>31</v>
      </c>
      <c r="AJ2915">
        <v>0</v>
      </c>
      <c r="AK2915">
        <v>1</v>
      </c>
      <c r="AL2915">
        <v>1</v>
      </c>
      <c r="AM2915">
        <v>100</v>
      </c>
      <c r="AN2915">
        <v>249.1036</v>
      </c>
      <c r="AO2915">
        <v>0</v>
      </c>
      <c r="AP2915" s="13">
        <v>45506</v>
      </c>
      <c r="AQ2915">
        <v>6</v>
      </c>
      <c r="AR2915">
        <v>0</v>
      </c>
    </row>
    <row r="2916" spans="1:44" x14ac:dyDescent="0.35">
      <c r="A2916" s="12" t="s">
        <v>3799</v>
      </c>
      <c r="B2916" s="12" t="s">
        <v>978</v>
      </c>
      <c r="C2916" s="12" t="s">
        <v>979</v>
      </c>
      <c r="D2916" s="12" t="s">
        <v>122</v>
      </c>
      <c r="E2916" s="12" t="s">
        <v>65</v>
      </c>
      <c r="F2916">
        <v>1</v>
      </c>
      <c r="G2916">
        <v>2</v>
      </c>
      <c r="H2916">
        <v>1</v>
      </c>
      <c r="I2916" s="12" t="s">
        <v>310</v>
      </c>
      <c r="J2916" s="12" t="s">
        <v>311</v>
      </c>
      <c r="K2916" s="12" t="s">
        <v>81</v>
      </c>
      <c r="L2916" s="12" t="s">
        <v>69</v>
      </c>
      <c r="M2916">
        <v>28.3</v>
      </c>
      <c r="N2916" s="12" t="s">
        <v>97</v>
      </c>
      <c r="O2916" s="12" t="s">
        <v>98</v>
      </c>
      <c r="P2916" s="12" t="s">
        <v>72</v>
      </c>
      <c r="Q2916" s="13">
        <v>45463</v>
      </c>
      <c r="R2916" s="13">
        <v>45484</v>
      </c>
      <c r="S2916">
        <v>2024</v>
      </c>
      <c r="T2916" s="12" t="s">
        <v>3649</v>
      </c>
      <c r="U2916">
        <v>235</v>
      </c>
      <c r="V2916">
        <v>46.179400000000001</v>
      </c>
      <c r="W2916">
        <v>206.9</v>
      </c>
      <c r="X2916">
        <v>0</v>
      </c>
      <c r="Y2916">
        <v>0</v>
      </c>
      <c r="Z2916">
        <v>10852.16</v>
      </c>
      <c r="AA2916">
        <v>11059.06</v>
      </c>
      <c r="AB2916" s="12" t="s">
        <v>3471</v>
      </c>
      <c r="AC2916">
        <v>43.574800000000003</v>
      </c>
      <c r="AD2916">
        <v>1</v>
      </c>
      <c r="AE2916">
        <v>1</v>
      </c>
      <c r="AF2916">
        <v>612.08000000000004</v>
      </c>
      <c r="AG2916">
        <v>10240.08</v>
      </c>
      <c r="AH2916">
        <v>235</v>
      </c>
      <c r="AI2916">
        <v>232</v>
      </c>
      <c r="AJ2916">
        <v>3</v>
      </c>
      <c r="AK2916">
        <v>1</v>
      </c>
      <c r="AL2916">
        <v>1</v>
      </c>
      <c r="AM2916">
        <v>98.72</v>
      </c>
      <c r="AN2916">
        <v>47.668399999999998</v>
      </c>
      <c r="AO2916">
        <v>138.54</v>
      </c>
      <c r="AP2916" s="13">
        <v>45482</v>
      </c>
      <c r="AQ2916">
        <v>-2</v>
      </c>
      <c r="AR2916">
        <v>1</v>
      </c>
    </row>
    <row r="2917" spans="1:44" x14ac:dyDescent="0.35">
      <c r="A2917" s="12" t="s">
        <v>3800</v>
      </c>
      <c r="B2917" s="12" t="s">
        <v>661</v>
      </c>
      <c r="C2917" s="12" t="s">
        <v>662</v>
      </c>
      <c r="D2917" s="12" t="s">
        <v>175</v>
      </c>
      <c r="E2917" s="12" t="s">
        <v>104</v>
      </c>
      <c r="F2917">
        <v>1</v>
      </c>
      <c r="G2917">
        <v>0</v>
      </c>
      <c r="H2917">
        <v>1</v>
      </c>
      <c r="I2917" s="12" t="s">
        <v>183</v>
      </c>
      <c r="J2917" s="12" t="s">
        <v>184</v>
      </c>
      <c r="K2917" s="12" t="s">
        <v>133</v>
      </c>
      <c r="L2917" s="12" t="s">
        <v>82</v>
      </c>
      <c r="M2917">
        <v>8.6199999999999992</v>
      </c>
      <c r="N2917" s="12" t="s">
        <v>145</v>
      </c>
      <c r="O2917" s="12" t="s">
        <v>146</v>
      </c>
      <c r="P2917" s="12" t="s">
        <v>109</v>
      </c>
      <c r="Q2917" s="13">
        <v>45463</v>
      </c>
      <c r="R2917" s="13">
        <v>45484</v>
      </c>
      <c r="S2917">
        <v>2024</v>
      </c>
      <c r="T2917" s="12" t="s">
        <v>3649</v>
      </c>
      <c r="U2917">
        <v>86</v>
      </c>
      <c r="V2917">
        <v>180.0376</v>
      </c>
      <c r="W2917">
        <v>112.01</v>
      </c>
      <c r="X2917">
        <v>0</v>
      </c>
      <c r="Y2917">
        <v>0</v>
      </c>
      <c r="Z2917">
        <v>15483.23</v>
      </c>
      <c r="AA2917">
        <v>15595.24</v>
      </c>
      <c r="AB2917" s="12" t="s">
        <v>2851</v>
      </c>
      <c r="AC2917">
        <v>180.0376</v>
      </c>
      <c r="AD2917">
        <v>1</v>
      </c>
      <c r="AE2917">
        <v>1</v>
      </c>
      <c r="AF2917">
        <v>0</v>
      </c>
      <c r="AG2917">
        <v>15483.23</v>
      </c>
      <c r="AH2917">
        <v>86</v>
      </c>
      <c r="AI2917">
        <v>85</v>
      </c>
      <c r="AJ2917">
        <v>1</v>
      </c>
      <c r="AK2917">
        <v>1</v>
      </c>
      <c r="AL2917">
        <v>1</v>
      </c>
      <c r="AM2917">
        <v>98.84</v>
      </c>
      <c r="AN2917">
        <v>183.4735</v>
      </c>
      <c r="AO2917">
        <v>180.04</v>
      </c>
      <c r="AP2917" s="13">
        <v>45483</v>
      </c>
      <c r="AQ2917">
        <v>-1</v>
      </c>
      <c r="AR2917">
        <v>1</v>
      </c>
    </row>
    <row r="2918" spans="1:44" x14ac:dyDescent="0.35">
      <c r="A2918" s="12" t="s">
        <v>3801</v>
      </c>
      <c r="B2918" s="12" t="s">
        <v>458</v>
      </c>
      <c r="C2918" s="12" t="s">
        <v>459</v>
      </c>
      <c r="D2918" s="12" t="s">
        <v>64</v>
      </c>
      <c r="E2918" s="12" t="s">
        <v>104</v>
      </c>
      <c r="F2918">
        <v>2</v>
      </c>
      <c r="G2918">
        <v>0</v>
      </c>
      <c r="H2918">
        <v>0</v>
      </c>
      <c r="I2918" s="12" t="s">
        <v>199</v>
      </c>
      <c r="J2918" s="12" t="s">
        <v>200</v>
      </c>
      <c r="K2918" s="12" t="s">
        <v>68</v>
      </c>
      <c r="L2918" s="12" t="s">
        <v>96</v>
      </c>
      <c r="M2918">
        <v>9.4700000000000006</v>
      </c>
      <c r="N2918" s="12" t="s">
        <v>97</v>
      </c>
      <c r="O2918" s="12" t="s">
        <v>98</v>
      </c>
      <c r="P2918" s="12" t="s">
        <v>72</v>
      </c>
      <c r="Q2918" s="13">
        <v>45463</v>
      </c>
      <c r="R2918" s="13">
        <v>45478</v>
      </c>
      <c r="S2918">
        <v>2024</v>
      </c>
      <c r="T2918" s="12" t="s">
        <v>3649</v>
      </c>
      <c r="U2918">
        <v>269</v>
      </c>
      <c r="V2918">
        <v>23.0014</v>
      </c>
      <c r="W2918">
        <v>140.49</v>
      </c>
      <c r="X2918">
        <v>0</v>
      </c>
      <c r="Y2918">
        <v>0</v>
      </c>
      <c r="Z2918">
        <v>6187.38</v>
      </c>
      <c r="AA2918">
        <v>6327.87</v>
      </c>
      <c r="AB2918" s="12" t="s">
        <v>3341</v>
      </c>
      <c r="AC2918">
        <v>23.0014</v>
      </c>
      <c r="AD2918">
        <v>1</v>
      </c>
      <c r="AE2918">
        <v>1</v>
      </c>
      <c r="AF2918">
        <v>0</v>
      </c>
      <c r="AG2918">
        <v>6187.38</v>
      </c>
      <c r="AH2918">
        <v>269</v>
      </c>
      <c r="AI2918">
        <v>267</v>
      </c>
      <c r="AJ2918">
        <v>2</v>
      </c>
      <c r="AK2918">
        <v>1</v>
      </c>
      <c r="AL2918">
        <v>1</v>
      </c>
      <c r="AM2918">
        <v>99.26</v>
      </c>
      <c r="AN2918">
        <v>23.6999</v>
      </c>
      <c r="AO2918">
        <v>46</v>
      </c>
      <c r="AP2918" s="13">
        <v>45484</v>
      </c>
      <c r="AQ2918">
        <v>6</v>
      </c>
      <c r="AR2918">
        <v>0</v>
      </c>
    </row>
    <row r="2919" spans="1:44" x14ac:dyDescent="0.35">
      <c r="A2919" s="12" t="s">
        <v>3802</v>
      </c>
      <c r="B2919" s="12" t="s">
        <v>428</v>
      </c>
      <c r="C2919" s="12" t="s">
        <v>429</v>
      </c>
      <c r="D2919" s="12" t="s">
        <v>64</v>
      </c>
      <c r="E2919" s="12" t="s">
        <v>65</v>
      </c>
      <c r="F2919">
        <v>3</v>
      </c>
      <c r="G2919">
        <v>4</v>
      </c>
      <c r="H2919">
        <v>0</v>
      </c>
      <c r="I2919" s="12" t="s">
        <v>105</v>
      </c>
      <c r="J2919" s="12" t="s">
        <v>106</v>
      </c>
      <c r="K2919" s="12" t="s">
        <v>81</v>
      </c>
      <c r="L2919" s="12" t="s">
        <v>96</v>
      </c>
      <c r="M2919">
        <v>5.01</v>
      </c>
      <c r="N2919" s="12" t="s">
        <v>97</v>
      </c>
      <c r="O2919" s="12" t="s">
        <v>98</v>
      </c>
      <c r="P2919" s="12" t="s">
        <v>72</v>
      </c>
      <c r="Q2919" s="13">
        <v>45463</v>
      </c>
      <c r="R2919" s="13">
        <v>45491</v>
      </c>
      <c r="S2919">
        <v>2024</v>
      </c>
      <c r="T2919" s="12" t="s">
        <v>3649</v>
      </c>
      <c r="U2919">
        <v>462</v>
      </c>
      <c r="V2919">
        <v>13.953099999999999</v>
      </c>
      <c r="W2919">
        <v>72.150000000000006</v>
      </c>
      <c r="X2919">
        <v>0</v>
      </c>
      <c r="Y2919">
        <v>0</v>
      </c>
      <c r="Z2919">
        <v>6446.33</v>
      </c>
      <c r="AA2919">
        <v>6518.48</v>
      </c>
      <c r="AB2919" s="12" t="s">
        <v>3004</v>
      </c>
      <c r="AC2919">
        <v>13.953099999999999</v>
      </c>
      <c r="AD2919">
        <v>1</v>
      </c>
      <c r="AE2919">
        <v>1</v>
      </c>
      <c r="AF2919">
        <v>0</v>
      </c>
      <c r="AG2919">
        <v>6446.33</v>
      </c>
      <c r="AH2919">
        <v>462</v>
      </c>
      <c r="AI2919">
        <v>459</v>
      </c>
      <c r="AJ2919">
        <v>3</v>
      </c>
      <c r="AK2919">
        <v>1</v>
      </c>
      <c r="AL2919">
        <v>1</v>
      </c>
      <c r="AM2919">
        <v>99.35</v>
      </c>
      <c r="AN2919">
        <v>14.201499999999999</v>
      </c>
      <c r="AO2919">
        <v>41.86</v>
      </c>
      <c r="AP2919" s="13">
        <v>45491</v>
      </c>
      <c r="AQ2919">
        <v>0</v>
      </c>
      <c r="AR2919">
        <v>1</v>
      </c>
    </row>
    <row r="2920" spans="1:44" x14ac:dyDescent="0.35">
      <c r="A2920" s="12" t="s">
        <v>3803</v>
      </c>
      <c r="B2920" s="12" t="s">
        <v>433</v>
      </c>
      <c r="C2920" s="12" t="s">
        <v>434</v>
      </c>
      <c r="D2920" s="12" t="s">
        <v>78</v>
      </c>
      <c r="E2920" s="12" t="s">
        <v>65</v>
      </c>
      <c r="F2920">
        <v>2</v>
      </c>
      <c r="G2920">
        <v>4</v>
      </c>
      <c r="H2920">
        <v>0</v>
      </c>
      <c r="I2920" s="12" t="s">
        <v>105</v>
      </c>
      <c r="J2920" s="12" t="s">
        <v>106</v>
      </c>
      <c r="K2920" s="12" t="s">
        <v>81</v>
      </c>
      <c r="L2920" s="12" t="s">
        <v>96</v>
      </c>
      <c r="M2920">
        <v>5.01</v>
      </c>
      <c r="N2920" s="12" t="s">
        <v>70</v>
      </c>
      <c r="O2920" s="12" t="s">
        <v>71</v>
      </c>
      <c r="P2920" s="12" t="s">
        <v>72</v>
      </c>
      <c r="Q2920" s="13">
        <v>45463</v>
      </c>
      <c r="R2920" s="13">
        <v>45487</v>
      </c>
      <c r="S2920">
        <v>2024</v>
      </c>
      <c r="T2920" s="12" t="s">
        <v>3649</v>
      </c>
      <c r="U2920">
        <v>93</v>
      </c>
      <c r="V2920">
        <v>72.364500000000007</v>
      </c>
      <c r="W2920">
        <v>85.1</v>
      </c>
      <c r="X2920">
        <v>0</v>
      </c>
      <c r="Y2920">
        <v>0</v>
      </c>
      <c r="Z2920">
        <v>6729.9</v>
      </c>
      <c r="AA2920">
        <v>6815</v>
      </c>
      <c r="AB2920" s="12" t="s">
        <v>2930</v>
      </c>
      <c r="AC2920">
        <v>72.364500000000007</v>
      </c>
      <c r="AD2920">
        <v>1</v>
      </c>
      <c r="AE2920">
        <v>1</v>
      </c>
      <c r="AF2920">
        <v>0</v>
      </c>
      <c r="AG2920">
        <v>6729.9</v>
      </c>
      <c r="AH2920">
        <v>93</v>
      </c>
      <c r="AI2920">
        <v>91</v>
      </c>
      <c r="AJ2920">
        <v>2</v>
      </c>
      <c r="AK2920">
        <v>1</v>
      </c>
      <c r="AL2920">
        <v>1</v>
      </c>
      <c r="AM2920">
        <v>97.85</v>
      </c>
      <c r="AN2920">
        <v>74.890100000000004</v>
      </c>
      <c r="AO2920">
        <v>144.72999999999999</v>
      </c>
      <c r="AP2920" s="13">
        <v>45485</v>
      </c>
      <c r="AQ2920">
        <v>-2</v>
      </c>
      <c r="AR2920">
        <v>1</v>
      </c>
    </row>
    <row r="2921" spans="1:44" x14ac:dyDescent="0.35">
      <c r="A2921" s="12" t="s">
        <v>3804</v>
      </c>
      <c r="B2921" s="12" t="s">
        <v>802</v>
      </c>
      <c r="C2921" s="12" t="s">
        <v>803</v>
      </c>
      <c r="D2921" s="12" t="s">
        <v>114</v>
      </c>
      <c r="E2921" s="12" t="s">
        <v>65</v>
      </c>
      <c r="F2921">
        <v>3</v>
      </c>
      <c r="G2921">
        <v>5</v>
      </c>
      <c r="H2921">
        <v>0</v>
      </c>
      <c r="I2921" s="12" t="s">
        <v>804</v>
      </c>
      <c r="J2921" s="12" t="s">
        <v>342</v>
      </c>
      <c r="K2921" s="12" t="s">
        <v>117</v>
      </c>
      <c r="L2921" s="12" t="s">
        <v>69</v>
      </c>
      <c r="M2921">
        <v>30.07</v>
      </c>
      <c r="N2921" s="12" t="s">
        <v>70</v>
      </c>
      <c r="O2921" s="12" t="s">
        <v>71</v>
      </c>
      <c r="P2921" s="12" t="s">
        <v>72</v>
      </c>
      <c r="Q2921" s="13">
        <v>45464</v>
      </c>
      <c r="R2921" s="13">
        <v>45496</v>
      </c>
      <c r="S2921">
        <v>2024</v>
      </c>
      <c r="T2921" s="12" t="s">
        <v>3649</v>
      </c>
      <c r="U2921">
        <v>100</v>
      </c>
      <c r="V2921">
        <v>368.589</v>
      </c>
      <c r="W2921">
        <v>278.67</v>
      </c>
      <c r="X2921">
        <v>0</v>
      </c>
      <c r="Y2921">
        <v>0</v>
      </c>
      <c r="Z2921">
        <v>36858.9</v>
      </c>
      <c r="AA2921">
        <v>37137.57</v>
      </c>
      <c r="AB2921" s="12" t="s">
        <v>201</v>
      </c>
      <c r="AD2921">
        <v>0</v>
      </c>
      <c r="AE2921">
        <v>0</v>
      </c>
      <c r="AH2921">
        <v>100</v>
      </c>
      <c r="AI2921">
        <v>99</v>
      </c>
      <c r="AJ2921">
        <v>1</v>
      </c>
      <c r="AK2921">
        <v>1</v>
      </c>
      <c r="AL2921">
        <v>1</v>
      </c>
      <c r="AM2921">
        <v>99</v>
      </c>
      <c r="AN2921">
        <v>375.12700000000001</v>
      </c>
      <c r="AO2921">
        <v>368.59</v>
      </c>
      <c r="AP2921" s="13">
        <v>45496</v>
      </c>
      <c r="AQ2921">
        <v>0</v>
      </c>
      <c r="AR2921">
        <v>1</v>
      </c>
    </row>
    <row r="2922" spans="1:44" x14ac:dyDescent="0.35">
      <c r="A2922" s="12" t="s">
        <v>3805</v>
      </c>
      <c r="B2922" s="12" t="s">
        <v>163</v>
      </c>
      <c r="C2922" s="12" t="s">
        <v>164</v>
      </c>
      <c r="D2922" s="12" t="s">
        <v>64</v>
      </c>
      <c r="E2922" s="12" t="s">
        <v>104</v>
      </c>
      <c r="F2922">
        <v>2</v>
      </c>
      <c r="G2922">
        <v>0</v>
      </c>
      <c r="H2922">
        <v>0</v>
      </c>
      <c r="I2922" s="12" t="s">
        <v>79</v>
      </c>
      <c r="J2922" s="12" t="s">
        <v>80</v>
      </c>
      <c r="K2922" s="12" t="s">
        <v>81</v>
      </c>
      <c r="L2922" s="12" t="s">
        <v>82</v>
      </c>
      <c r="M2922">
        <v>12.07</v>
      </c>
      <c r="N2922" s="12" t="s">
        <v>97</v>
      </c>
      <c r="O2922" s="12" t="s">
        <v>98</v>
      </c>
      <c r="P2922" s="12" t="s">
        <v>72</v>
      </c>
      <c r="Q2922" s="13">
        <v>45464</v>
      </c>
      <c r="R2922" s="13">
        <v>45477</v>
      </c>
      <c r="S2922">
        <v>2024</v>
      </c>
      <c r="T2922" s="12" t="s">
        <v>3649</v>
      </c>
      <c r="U2922">
        <v>151</v>
      </c>
      <c r="V2922">
        <v>11.6143</v>
      </c>
      <c r="W2922">
        <v>23.55</v>
      </c>
      <c r="X2922">
        <v>0</v>
      </c>
      <c r="Y2922">
        <v>0</v>
      </c>
      <c r="Z2922">
        <v>1753.76</v>
      </c>
      <c r="AA2922">
        <v>1777.31</v>
      </c>
      <c r="AB2922" s="12" t="s">
        <v>2780</v>
      </c>
      <c r="AC2922">
        <v>11.6143</v>
      </c>
      <c r="AD2922">
        <v>1</v>
      </c>
      <c r="AE2922">
        <v>1</v>
      </c>
      <c r="AF2922">
        <v>0</v>
      </c>
      <c r="AG2922">
        <v>1753.76</v>
      </c>
      <c r="AH2922">
        <v>151</v>
      </c>
      <c r="AI2922">
        <v>149</v>
      </c>
      <c r="AJ2922">
        <v>2</v>
      </c>
      <c r="AK2922">
        <v>1</v>
      </c>
      <c r="AL2922">
        <v>1</v>
      </c>
      <c r="AM2922">
        <v>98.68</v>
      </c>
      <c r="AN2922">
        <v>11.9283</v>
      </c>
      <c r="AO2922">
        <v>23.23</v>
      </c>
      <c r="AP2922" s="13">
        <v>45473</v>
      </c>
      <c r="AQ2922">
        <v>-4</v>
      </c>
      <c r="AR2922">
        <v>1</v>
      </c>
    </row>
    <row r="2923" spans="1:44" x14ac:dyDescent="0.35">
      <c r="A2923" s="12" t="s">
        <v>3806</v>
      </c>
      <c r="B2923" s="12" t="s">
        <v>395</v>
      </c>
      <c r="C2923" s="12" t="s">
        <v>396</v>
      </c>
      <c r="D2923" s="12" t="s">
        <v>130</v>
      </c>
      <c r="E2923" s="12" t="s">
        <v>104</v>
      </c>
      <c r="F2923">
        <v>3</v>
      </c>
      <c r="G2923">
        <v>1</v>
      </c>
      <c r="H2923">
        <v>0</v>
      </c>
      <c r="I2923" s="12" t="s">
        <v>341</v>
      </c>
      <c r="J2923" s="12" t="s">
        <v>342</v>
      </c>
      <c r="K2923" s="12" t="s">
        <v>117</v>
      </c>
      <c r="L2923" s="12" t="s">
        <v>82</v>
      </c>
      <c r="M2923">
        <v>18.36</v>
      </c>
      <c r="N2923" s="12" t="s">
        <v>135</v>
      </c>
      <c r="O2923" s="12" t="s">
        <v>136</v>
      </c>
      <c r="P2923" s="12" t="s">
        <v>137</v>
      </c>
      <c r="Q2923" s="13">
        <v>45464</v>
      </c>
      <c r="R2923" s="13">
        <v>45492</v>
      </c>
      <c r="S2923">
        <v>2024</v>
      </c>
      <c r="T2923" s="12" t="s">
        <v>3649</v>
      </c>
      <c r="U2923">
        <v>138</v>
      </c>
      <c r="V2923">
        <v>174.20429999999999</v>
      </c>
      <c r="W2923">
        <v>193</v>
      </c>
      <c r="X2923">
        <v>0</v>
      </c>
      <c r="Y2923">
        <v>0</v>
      </c>
      <c r="Z2923">
        <v>24040.19</v>
      </c>
      <c r="AA2923">
        <v>24233.19</v>
      </c>
      <c r="AB2923" s="12" t="s">
        <v>2742</v>
      </c>
      <c r="AC2923">
        <v>174.20429999999999</v>
      </c>
      <c r="AD2923">
        <v>1</v>
      </c>
      <c r="AE2923">
        <v>1</v>
      </c>
      <c r="AF2923">
        <v>0</v>
      </c>
      <c r="AG2923">
        <v>24040.19</v>
      </c>
      <c r="AH2923">
        <v>138</v>
      </c>
      <c r="AI2923">
        <v>137</v>
      </c>
      <c r="AJ2923">
        <v>1</v>
      </c>
      <c r="AK2923">
        <v>1</v>
      </c>
      <c r="AL2923">
        <v>1</v>
      </c>
      <c r="AM2923">
        <v>99.28</v>
      </c>
      <c r="AN2923">
        <v>176.88460000000001</v>
      </c>
      <c r="AO2923">
        <v>174.2</v>
      </c>
      <c r="AP2923" s="13">
        <v>45489</v>
      </c>
      <c r="AQ2923">
        <v>-3</v>
      </c>
      <c r="AR2923">
        <v>1</v>
      </c>
    </row>
    <row r="2924" spans="1:44" x14ac:dyDescent="0.35">
      <c r="A2924" s="12" t="s">
        <v>3807</v>
      </c>
      <c r="B2924" s="12" t="s">
        <v>465</v>
      </c>
      <c r="C2924" s="12" t="s">
        <v>466</v>
      </c>
      <c r="D2924" s="12" t="s">
        <v>78</v>
      </c>
      <c r="E2924" s="12" t="s">
        <v>142</v>
      </c>
      <c r="F2924">
        <v>3</v>
      </c>
      <c r="G2924">
        <v>11</v>
      </c>
      <c r="H2924">
        <v>0</v>
      </c>
      <c r="I2924" s="12" t="s">
        <v>195</v>
      </c>
      <c r="J2924" s="12" t="s">
        <v>196</v>
      </c>
      <c r="K2924" s="12" t="s">
        <v>117</v>
      </c>
      <c r="L2924" s="12" t="s">
        <v>134</v>
      </c>
      <c r="M2924">
        <v>4.7699999999999996</v>
      </c>
      <c r="N2924" s="12" t="s">
        <v>70</v>
      </c>
      <c r="O2924" s="12" t="s">
        <v>71</v>
      </c>
      <c r="P2924" s="12" t="s">
        <v>72</v>
      </c>
      <c r="Q2924" s="13">
        <v>45464</v>
      </c>
      <c r="R2924" s="13">
        <v>45511</v>
      </c>
      <c r="S2924">
        <v>2024</v>
      </c>
      <c r="T2924" s="12" t="s">
        <v>3649</v>
      </c>
      <c r="U2924">
        <v>223</v>
      </c>
      <c r="V2924">
        <v>107.81189999999999</v>
      </c>
      <c r="W2924">
        <v>233.06</v>
      </c>
      <c r="X2924">
        <v>0</v>
      </c>
      <c r="Y2924">
        <v>0</v>
      </c>
      <c r="Z2924">
        <v>24042.05</v>
      </c>
      <c r="AA2924">
        <v>24275.11</v>
      </c>
      <c r="AB2924" s="12" t="s">
        <v>3058</v>
      </c>
      <c r="AC2924">
        <v>107.81189999999999</v>
      </c>
      <c r="AD2924">
        <v>1</v>
      </c>
      <c r="AE2924">
        <v>1</v>
      </c>
      <c r="AF2924">
        <v>0</v>
      </c>
      <c r="AG2924">
        <v>24042.05</v>
      </c>
      <c r="AH2924">
        <v>223</v>
      </c>
      <c r="AI2924">
        <v>220</v>
      </c>
      <c r="AJ2924">
        <v>3</v>
      </c>
      <c r="AK2924">
        <v>1</v>
      </c>
      <c r="AL2924">
        <v>1</v>
      </c>
      <c r="AM2924">
        <v>98.65</v>
      </c>
      <c r="AN2924">
        <v>110.34139999999999</v>
      </c>
      <c r="AO2924">
        <v>323.44</v>
      </c>
      <c r="AP2924" s="13">
        <v>45511</v>
      </c>
      <c r="AQ2924">
        <v>0</v>
      </c>
      <c r="AR2924">
        <v>1</v>
      </c>
    </row>
    <row r="2925" spans="1:44" x14ac:dyDescent="0.35">
      <c r="A2925" s="12" t="s">
        <v>3808</v>
      </c>
      <c r="B2925" s="12" t="s">
        <v>755</v>
      </c>
      <c r="C2925" s="12" t="s">
        <v>756</v>
      </c>
      <c r="D2925" s="12" t="s">
        <v>78</v>
      </c>
      <c r="E2925" s="12" t="s">
        <v>65</v>
      </c>
      <c r="F2925">
        <v>2</v>
      </c>
      <c r="G2925">
        <v>2</v>
      </c>
      <c r="H2925">
        <v>0</v>
      </c>
      <c r="I2925" s="12" t="s">
        <v>359</v>
      </c>
      <c r="J2925" s="12" t="s">
        <v>360</v>
      </c>
      <c r="K2925" s="12" t="s">
        <v>133</v>
      </c>
      <c r="L2925" s="12" t="s">
        <v>82</v>
      </c>
      <c r="M2925">
        <v>12.65</v>
      </c>
      <c r="N2925" s="12" t="s">
        <v>97</v>
      </c>
      <c r="O2925" s="12" t="s">
        <v>98</v>
      </c>
      <c r="P2925" s="12" t="s">
        <v>72</v>
      </c>
      <c r="Q2925" s="13">
        <v>45464</v>
      </c>
      <c r="R2925" s="13">
        <v>45501</v>
      </c>
      <c r="S2925">
        <v>2024</v>
      </c>
      <c r="T2925" s="12" t="s">
        <v>3649</v>
      </c>
      <c r="U2925">
        <v>284</v>
      </c>
      <c r="V2925">
        <v>43.122799999999998</v>
      </c>
      <c r="W2925">
        <v>127.76</v>
      </c>
      <c r="X2925">
        <v>0</v>
      </c>
      <c r="Y2925">
        <v>0</v>
      </c>
      <c r="Z2925">
        <v>12246.88</v>
      </c>
      <c r="AA2925">
        <v>12374.64</v>
      </c>
      <c r="AB2925" s="12" t="s">
        <v>3414</v>
      </c>
      <c r="AC2925">
        <v>43.122799999999998</v>
      </c>
      <c r="AD2925">
        <v>1</v>
      </c>
      <c r="AE2925">
        <v>1</v>
      </c>
      <c r="AF2925">
        <v>0</v>
      </c>
      <c r="AG2925">
        <v>12246.88</v>
      </c>
      <c r="AH2925">
        <v>284</v>
      </c>
      <c r="AI2925">
        <v>281</v>
      </c>
      <c r="AJ2925">
        <v>3</v>
      </c>
      <c r="AK2925">
        <v>1</v>
      </c>
      <c r="AL2925">
        <v>1</v>
      </c>
      <c r="AM2925">
        <v>98.94</v>
      </c>
      <c r="AN2925">
        <v>44.037799999999997</v>
      </c>
      <c r="AO2925">
        <v>129.37</v>
      </c>
      <c r="AP2925" s="13">
        <v>45501</v>
      </c>
      <c r="AQ2925">
        <v>0</v>
      </c>
      <c r="AR2925">
        <v>1</v>
      </c>
    </row>
    <row r="2926" spans="1:44" x14ac:dyDescent="0.35">
      <c r="A2926" s="12" t="s">
        <v>3809</v>
      </c>
      <c r="B2926" s="12" t="s">
        <v>952</v>
      </c>
      <c r="C2926" s="12" t="s">
        <v>953</v>
      </c>
      <c r="D2926" s="12" t="s">
        <v>64</v>
      </c>
      <c r="E2926" s="12" t="s">
        <v>142</v>
      </c>
      <c r="F2926">
        <v>1</v>
      </c>
      <c r="G2926">
        <v>8</v>
      </c>
      <c r="H2926">
        <v>1</v>
      </c>
      <c r="I2926" s="12" t="s">
        <v>131</v>
      </c>
      <c r="J2926" s="12" t="s">
        <v>132</v>
      </c>
      <c r="K2926" s="12" t="s">
        <v>133</v>
      </c>
      <c r="L2926" s="12" t="s">
        <v>134</v>
      </c>
      <c r="M2926">
        <v>1.51</v>
      </c>
      <c r="N2926" s="12" t="s">
        <v>70</v>
      </c>
      <c r="O2926" s="12" t="s">
        <v>71</v>
      </c>
      <c r="P2926" s="12" t="s">
        <v>72</v>
      </c>
      <c r="Q2926" s="13">
        <v>45464</v>
      </c>
      <c r="R2926" s="13">
        <v>45509</v>
      </c>
      <c r="S2926">
        <v>2024</v>
      </c>
      <c r="T2926" s="12" t="s">
        <v>3649</v>
      </c>
      <c r="U2926">
        <v>620</v>
      </c>
      <c r="V2926">
        <v>31.110399999999998</v>
      </c>
      <c r="W2926">
        <v>454.69</v>
      </c>
      <c r="X2926">
        <v>0</v>
      </c>
      <c r="Y2926">
        <v>0</v>
      </c>
      <c r="Z2926">
        <v>19288.45</v>
      </c>
      <c r="AA2926">
        <v>19743.14</v>
      </c>
      <c r="AB2926" s="12" t="s">
        <v>3261</v>
      </c>
      <c r="AC2926">
        <v>31.110399999999998</v>
      </c>
      <c r="AD2926">
        <v>1</v>
      </c>
      <c r="AE2926">
        <v>1</v>
      </c>
      <c r="AF2926">
        <v>0</v>
      </c>
      <c r="AG2926">
        <v>19288.45</v>
      </c>
      <c r="AH2926">
        <v>620</v>
      </c>
      <c r="AI2926">
        <v>613</v>
      </c>
      <c r="AJ2926">
        <v>7</v>
      </c>
      <c r="AK2926">
        <v>1</v>
      </c>
      <c r="AL2926">
        <v>1</v>
      </c>
      <c r="AM2926">
        <v>98.87</v>
      </c>
      <c r="AN2926">
        <v>32.2074</v>
      </c>
      <c r="AO2926">
        <v>217.77</v>
      </c>
      <c r="AP2926" s="13">
        <v>45509</v>
      </c>
      <c r="AQ2926">
        <v>0</v>
      </c>
      <c r="AR2926">
        <v>1</v>
      </c>
    </row>
    <row r="2927" spans="1:44" x14ac:dyDescent="0.35">
      <c r="A2927" s="12" t="s">
        <v>3810</v>
      </c>
      <c r="B2927" s="12" t="s">
        <v>661</v>
      </c>
      <c r="C2927" s="12" t="s">
        <v>662</v>
      </c>
      <c r="D2927" s="12" t="s">
        <v>175</v>
      </c>
      <c r="E2927" s="12" t="s">
        <v>104</v>
      </c>
      <c r="F2927">
        <v>1</v>
      </c>
      <c r="G2927">
        <v>0</v>
      </c>
      <c r="H2927">
        <v>1</v>
      </c>
      <c r="I2927" s="12" t="s">
        <v>183</v>
      </c>
      <c r="J2927" s="12" t="s">
        <v>184</v>
      </c>
      <c r="K2927" s="12" t="s">
        <v>133</v>
      </c>
      <c r="L2927" s="12" t="s">
        <v>82</v>
      </c>
      <c r="M2927">
        <v>8.6199999999999992</v>
      </c>
      <c r="N2927" s="12" t="s">
        <v>145</v>
      </c>
      <c r="O2927" s="12" t="s">
        <v>146</v>
      </c>
      <c r="P2927" s="12" t="s">
        <v>109</v>
      </c>
      <c r="Q2927" s="13">
        <v>45464</v>
      </c>
      <c r="R2927" s="13">
        <v>45482</v>
      </c>
      <c r="S2927">
        <v>2024</v>
      </c>
      <c r="T2927" s="12" t="s">
        <v>3649</v>
      </c>
      <c r="U2927">
        <v>57</v>
      </c>
      <c r="V2927">
        <v>180.0376</v>
      </c>
      <c r="W2927">
        <v>183.9</v>
      </c>
      <c r="X2927">
        <v>0</v>
      </c>
      <c r="Y2927">
        <v>0</v>
      </c>
      <c r="Z2927">
        <v>10262.14</v>
      </c>
      <c r="AA2927">
        <v>10446.040000000001</v>
      </c>
      <c r="AB2927" s="12" t="s">
        <v>2851</v>
      </c>
      <c r="AC2927">
        <v>180.0376</v>
      </c>
      <c r="AD2927">
        <v>1</v>
      </c>
      <c r="AE2927">
        <v>1</v>
      </c>
      <c r="AF2927">
        <v>0</v>
      </c>
      <c r="AG2927">
        <v>10262.14</v>
      </c>
      <c r="AH2927">
        <v>57</v>
      </c>
      <c r="AI2927">
        <v>56</v>
      </c>
      <c r="AJ2927">
        <v>1</v>
      </c>
      <c r="AK2927">
        <v>1</v>
      </c>
      <c r="AL2927">
        <v>1</v>
      </c>
      <c r="AM2927">
        <v>98.25</v>
      </c>
      <c r="AN2927">
        <v>186.53649999999999</v>
      </c>
      <c r="AO2927">
        <v>180.04</v>
      </c>
      <c r="AP2927" s="13">
        <v>45481</v>
      </c>
      <c r="AQ2927">
        <v>-1</v>
      </c>
      <c r="AR2927">
        <v>1</v>
      </c>
    </row>
    <row r="2928" spans="1:44" x14ac:dyDescent="0.35">
      <c r="A2928" s="12" t="s">
        <v>3811</v>
      </c>
      <c r="B2928" s="12" t="s">
        <v>458</v>
      </c>
      <c r="C2928" s="12" t="s">
        <v>459</v>
      </c>
      <c r="D2928" s="12" t="s">
        <v>64</v>
      </c>
      <c r="E2928" s="12" t="s">
        <v>104</v>
      </c>
      <c r="F2928">
        <v>2</v>
      </c>
      <c r="G2928">
        <v>0</v>
      </c>
      <c r="H2928">
        <v>0</v>
      </c>
      <c r="I2928" s="12" t="s">
        <v>199</v>
      </c>
      <c r="J2928" s="12" t="s">
        <v>200</v>
      </c>
      <c r="K2928" s="12" t="s">
        <v>68</v>
      </c>
      <c r="L2928" s="12" t="s">
        <v>96</v>
      </c>
      <c r="M2928">
        <v>9.4700000000000006</v>
      </c>
      <c r="N2928" s="12" t="s">
        <v>70</v>
      </c>
      <c r="O2928" s="12" t="s">
        <v>71</v>
      </c>
      <c r="P2928" s="12" t="s">
        <v>72</v>
      </c>
      <c r="Q2928" s="13">
        <v>45464</v>
      </c>
      <c r="R2928" s="13">
        <v>45488</v>
      </c>
      <c r="S2928">
        <v>2024</v>
      </c>
      <c r="T2928" s="12" t="s">
        <v>3649</v>
      </c>
      <c r="U2928">
        <v>736</v>
      </c>
      <c r="V2928">
        <v>23.0014</v>
      </c>
      <c r="W2928">
        <v>312.11</v>
      </c>
      <c r="X2928">
        <v>0</v>
      </c>
      <c r="Y2928">
        <v>0</v>
      </c>
      <c r="Z2928">
        <v>16929.03</v>
      </c>
      <c r="AA2928">
        <v>17241.14</v>
      </c>
      <c r="AB2928" s="12" t="s">
        <v>3341</v>
      </c>
      <c r="AC2928">
        <v>23.0014</v>
      </c>
      <c r="AD2928">
        <v>1</v>
      </c>
      <c r="AE2928">
        <v>1</v>
      </c>
      <c r="AF2928">
        <v>0</v>
      </c>
      <c r="AG2928">
        <v>16929.03</v>
      </c>
      <c r="AH2928">
        <v>736</v>
      </c>
      <c r="AI2928">
        <v>731</v>
      </c>
      <c r="AJ2928">
        <v>5</v>
      </c>
      <c r="AK2928">
        <v>1</v>
      </c>
      <c r="AL2928">
        <v>1</v>
      </c>
      <c r="AM2928">
        <v>99.32</v>
      </c>
      <c r="AN2928">
        <v>23.585699999999999</v>
      </c>
      <c r="AO2928">
        <v>115.01</v>
      </c>
      <c r="AP2928" s="13">
        <v>45486</v>
      </c>
      <c r="AQ2928">
        <v>-2</v>
      </c>
      <c r="AR2928">
        <v>1</v>
      </c>
    </row>
    <row r="2929" spans="1:44" x14ac:dyDescent="0.35">
      <c r="A2929" s="12" t="s">
        <v>3812</v>
      </c>
      <c r="B2929" s="12" t="s">
        <v>787</v>
      </c>
      <c r="C2929" s="12" t="s">
        <v>788</v>
      </c>
      <c r="D2929" s="12" t="s">
        <v>269</v>
      </c>
      <c r="E2929" s="12" t="s">
        <v>65</v>
      </c>
      <c r="F2929">
        <v>2</v>
      </c>
      <c r="G2929">
        <v>3</v>
      </c>
      <c r="H2929">
        <v>0</v>
      </c>
      <c r="I2929" s="12" t="s">
        <v>143</v>
      </c>
      <c r="J2929" s="12" t="s">
        <v>144</v>
      </c>
      <c r="K2929" s="12" t="s">
        <v>133</v>
      </c>
      <c r="L2929" s="12" t="s">
        <v>96</v>
      </c>
      <c r="M2929">
        <v>5.43</v>
      </c>
      <c r="N2929" s="12" t="s">
        <v>135</v>
      </c>
      <c r="O2929" s="12" t="s">
        <v>136</v>
      </c>
      <c r="P2929" s="12" t="s">
        <v>137</v>
      </c>
      <c r="Q2929" s="13">
        <v>45464</v>
      </c>
      <c r="R2929" s="13">
        <v>45499</v>
      </c>
      <c r="S2929">
        <v>2024</v>
      </c>
      <c r="T2929" s="12" t="s">
        <v>3649</v>
      </c>
      <c r="U2929">
        <v>120</v>
      </c>
      <c r="V2929">
        <v>342.88099999999997</v>
      </c>
      <c r="W2929">
        <v>506.89</v>
      </c>
      <c r="X2929">
        <v>0</v>
      </c>
      <c r="Y2929">
        <v>0</v>
      </c>
      <c r="Z2929">
        <v>41145.72</v>
      </c>
      <c r="AA2929">
        <v>41652.61</v>
      </c>
      <c r="AB2929" s="12" t="s">
        <v>3813</v>
      </c>
      <c r="AC2929">
        <v>342.88099999999997</v>
      </c>
      <c r="AD2929">
        <v>1</v>
      </c>
      <c r="AE2929">
        <v>1</v>
      </c>
      <c r="AF2929">
        <v>0</v>
      </c>
      <c r="AG2929">
        <v>41145.72</v>
      </c>
      <c r="AH2929">
        <v>120</v>
      </c>
      <c r="AI2929">
        <v>118</v>
      </c>
      <c r="AJ2929">
        <v>2</v>
      </c>
      <c r="AK2929">
        <v>1</v>
      </c>
      <c r="AL2929">
        <v>1</v>
      </c>
      <c r="AM2929">
        <v>98.33</v>
      </c>
      <c r="AN2929">
        <v>352.98820000000001</v>
      </c>
      <c r="AO2929">
        <v>685.76</v>
      </c>
      <c r="AP2929" s="13">
        <v>45499</v>
      </c>
      <c r="AQ2929">
        <v>0</v>
      </c>
      <c r="AR2929">
        <v>1</v>
      </c>
    </row>
    <row r="2930" spans="1:44" x14ac:dyDescent="0.35">
      <c r="A2930" s="12" t="s">
        <v>3814</v>
      </c>
      <c r="B2930" s="12" t="s">
        <v>215</v>
      </c>
      <c r="C2930" s="12" t="s">
        <v>216</v>
      </c>
      <c r="D2930" s="12" t="s">
        <v>122</v>
      </c>
      <c r="E2930" s="12" t="s">
        <v>142</v>
      </c>
      <c r="F2930">
        <v>3</v>
      </c>
      <c r="G2930">
        <v>11</v>
      </c>
      <c r="H2930">
        <v>0</v>
      </c>
      <c r="I2930" s="12" t="s">
        <v>217</v>
      </c>
      <c r="J2930" s="12" t="s">
        <v>218</v>
      </c>
      <c r="K2930" s="12" t="s">
        <v>68</v>
      </c>
      <c r="L2930" s="12" t="s">
        <v>82</v>
      </c>
      <c r="M2930">
        <v>14.24</v>
      </c>
      <c r="N2930" s="12" t="s">
        <v>70</v>
      </c>
      <c r="O2930" s="12" t="s">
        <v>71</v>
      </c>
      <c r="P2930" s="12" t="s">
        <v>72</v>
      </c>
      <c r="Q2930" s="13">
        <v>45464</v>
      </c>
      <c r="R2930" s="13">
        <v>45500</v>
      </c>
      <c r="S2930">
        <v>2024</v>
      </c>
      <c r="T2930" s="12" t="s">
        <v>3649</v>
      </c>
      <c r="U2930">
        <v>342</v>
      </c>
      <c r="V2930">
        <v>14.797000000000001</v>
      </c>
      <c r="W2930">
        <v>127.28</v>
      </c>
      <c r="X2930">
        <v>0</v>
      </c>
      <c r="Y2930">
        <v>0</v>
      </c>
      <c r="Z2930">
        <v>5060.57</v>
      </c>
      <c r="AA2930">
        <v>5187.8500000000004</v>
      </c>
      <c r="AB2930" s="12" t="s">
        <v>2696</v>
      </c>
      <c r="AC2930">
        <v>14.797000000000001</v>
      </c>
      <c r="AD2930">
        <v>1</v>
      </c>
      <c r="AE2930">
        <v>1</v>
      </c>
      <c r="AF2930">
        <v>0</v>
      </c>
      <c r="AG2930">
        <v>5060.57</v>
      </c>
      <c r="AH2930">
        <v>342</v>
      </c>
      <c r="AI2930">
        <v>339</v>
      </c>
      <c r="AJ2930">
        <v>3</v>
      </c>
      <c r="AK2930">
        <v>1</v>
      </c>
      <c r="AL2930">
        <v>1</v>
      </c>
      <c r="AM2930">
        <v>99.12</v>
      </c>
      <c r="AN2930">
        <v>15.3034</v>
      </c>
      <c r="AO2930">
        <v>44.39</v>
      </c>
      <c r="AP2930" s="13">
        <v>45497</v>
      </c>
      <c r="AQ2930">
        <v>-3</v>
      </c>
      <c r="AR2930">
        <v>1</v>
      </c>
    </row>
    <row r="2931" spans="1:44" x14ac:dyDescent="0.35">
      <c r="A2931" s="12" t="s">
        <v>3815</v>
      </c>
      <c r="B2931" s="12" t="s">
        <v>1042</v>
      </c>
      <c r="C2931" s="12" t="s">
        <v>1043</v>
      </c>
      <c r="D2931" s="12" t="s">
        <v>269</v>
      </c>
      <c r="E2931" s="12" t="s">
        <v>104</v>
      </c>
      <c r="F2931">
        <v>2</v>
      </c>
      <c r="G2931">
        <v>0</v>
      </c>
      <c r="H2931">
        <v>0</v>
      </c>
      <c r="I2931" s="12" t="s">
        <v>143</v>
      </c>
      <c r="J2931" s="12" t="s">
        <v>144</v>
      </c>
      <c r="K2931" s="12" t="s">
        <v>133</v>
      </c>
      <c r="L2931" s="12" t="s">
        <v>96</v>
      </c>
      <c r="M2931">
        <v>5.43</v>
      </c>
      <c r="N2931" s="12" t="s">
        <v>159</v>
      </c>
      <c r="O2931" s="12" t="s">
        <v>160</v>
      </c>
      <c r="P2931" s="12" t="s">
        <v>137</v>
      </c>
      <c r="Q2931" s="13">
        <v>45464</v>
      </c>
      <c r="R2931" s="13">
        <v>45483</v>
      </c>
      <c r="S2931">
        <v>2024</v>
      </c>
      <c r="T2931" s="12" t="s">
        <v>3649</v>
      </c>
      <c r="U2931">
        <v>70</v>
      </c>
      <c r="V2931">
        <v>282.86169999999998</v>
      </c>
      <c r="W2931">
        <v>248.47</v>
      </c>
      <c r="X2931">
        <v>0</v>
      </c>
      <c r="Y2931">
        <v>0</v>
      </c>
      <c r="Z2931">
        <v>19800.32</v>
      </c>
      <c r="AA2931">
        <v>20048.79</v>
      </c>
      <c r="AB2931" s="12" t="s">
        <v>3788</v>
      </c>
      <c r="AC2931">
        <v>282.86169999999998</v>
      </c>
      <c r="AD2931">
        <v>1</v>
      </c>
      <c r="AE2931">
        <v>1</v>
      </c>
      <c r="AF2931">
        <v>0</v>
      </c>
      <c r="AG2931">
        <v>19800.32</v>
      </c>
      <c r="AH2931">
        <v>70</v>
      </c>
      <c r="AI2931">
        <v>69</v>
      </c>
      <c r="AJ2931">
        <v>1</v>
      </c>
      <c r="AK2931">
        <v>1</v>
      </c>
      <c r="AL2931">
        <v>1</v>
      </c>
      <c r="AM2931">
        <v>98.57</v>
      </c>
      <c r="AN2931">
        <v>290.56220000000002</v>
      </c>
      <c r="AO2931">
        <v>282.86</v>
      </c>
      <c r="AP2931" s="13">
        <v>45482</v>
      </c>
      <c r="AQ2931">
        <v>-1</v>
      </c>
      <c r="AR2931">
        <v>1</v>
      </c>
    </row>
    <row r="2932" spans="1:44" x14ac:dyDescent="0.35">
      <c r="A2932" s="12" t="s">
        <v>3816</v>
      </c>
      <c r="B2932" s="12" t="s">
        <v>598</v>
      </c>
      <c r="C2932" s="12" t="s">
        <v>599</v>
      </c>
      <c r="D2932" s="12" t="s">
        <v>269</v>
      </c>
      <c r="E2932" s="12" t="s">
        <v>65</v>
      </c>
      <c r="F2932">
        <v>1</v>
      </c>
      <c r="G2932">
        <v>2</v>
      </c>
      <c r="H2932">
        <v>1</v>
      </c>
      <c r="I2932" s="12" t="s">
        <v>176</v>
      </c>
      <c r="J2932" s="12" t="s">
        <v>177</v>
      </c>
      <c r="K2932" s="12" t="s">
        <v>125</v>
      </c>
      <c r="L2932" s="12" t="s">
        <v>134</v>
      </c>
      <c r="M2932">
        <v>1.75</v>
      </c>
      <c r="N2932" s="12" t="s">
        <v>159</v>
      </c>
      <c r="O2932" s="12" t="s">
        <v>160</v>
      </c>
      <c r="P2932" s="12" t="s">
        <v>137</v>
      </c>
      <c r="Q2932" s="13">
        <v>45467</v>
      </c>
      <c r="R2932" s="13">
        <v>45497</v>
      </c>
      <c r="S2932">
        <v>2024</v>
      </c>
      <c r="T2932" s="12" t="s">
        <v>3649</v>
      </c>
      <c r="U2932">
        <v>84</v>
      </c>
      <c r="V2932">
        <v>454.53089999999997</v>
      </c>
      <c r="W2932">
        <v>971.88</v>
      </c>
      <c r="X2932">
        <v>0</v>
      </c>
      <c r="Y2932">
        <v>0</v>
      </c>
      <c r="Z2932">
        <v>38180.6</v>
      </c>
      <c r="AA2932">
        <v>39152.480000000003</v>
      </c>
      <c r="AB2932" s="12" t="s">
        <v>3102</v>
      </c>
      <c r="AC2932">
        <v>454.53089999999997</v>
      </c>
      <c r="AD2932">
        <v>1</v>
      </c>
      <c r="AE2932">
        <v>1</v>
      </c>
      <c r="AF2932">
        <v>0</v>
      </c>
      <c r="AG2932">
        <v>38180.6</v>
      </c>
      <c r="AH2932">
        <v>84</v>
      </c>
      <c r="AI2932">
        <v>83</v>
      </c>
      <c r="AJ2932">
        <v>1</v>
      </c>
      <c r="AK2932">
        <v>1</v>
      </c>
      <c r="AL2932">
        <v>1</v>
      </c>
      <c r="AM2932">
        <v>98.81</v>
      </c>
      <c r="AN2932">
        <v>471.71660000000003</v>
      </c>
      <c r="AO2932">
        <v>454.53</v>
      </c>
      <c r="AP2932" s="13">
        <v>45496</v>
      </c>
      <c r="AQ2932">
        <v>-1</v>
      </c>
      <c r="AR2932">
        <v>1</v>
      </c>
    </row>
    <row r="2933" spans="1:44" x14ac:dyDescent="0.35">
      <c r="A2933" s="12" t="s">
        <v>3817</v>
      </c>
      <c r="B2933" s="12" t="s">
        <v>249</v>
      </c>
      <c r="C2933" s="12" t="s">
        <v>250</v>
      </c>
      <c r="D2933" s="12" t="s">
        <v>64</v>
      </c>
      <c r="E2933" s="12" t="s">
        <v>65</v>
      </c>
      <c r="F2933">
        <v>2</v>
      </c>
      <c r="G2933">
        <v>3</v>
      </c>
      <c r="H2933">
        <v>0</v>
      </c>
      <c r="I2933" s="12" t="s">
        <v>251</v>
      </c>
      <c r="J2933" s="12" t="s">
        <v>252</v>
      </c>
      <c r="K2933" s="12" t="s">
        <v>133</v>
      </c>
      <c r="L2933" s="12" t="s">
        <v>69</v>
      </c>
      <c r="M2933">
        <v>34.49</v>
      </c>
      <c r="N2933" s="12" t="s">
        <v>70</v>
      </c>
      <c r="O2933" s="12" t="s">
        <v>71</v>
      </c>
      <c r="P2933" s="12" t="s">
        <v>72</v>
      </c>
      <c r="Q2933" s="13">
        <v>45467</v>
      </c>
      <c r="R2933" s="13">
        <v>45505</v>
      </c>
      <c r="S2933">
        <v>2024</v>
      </c>
      <c r="T2933" s="12" t="s">
        <v>3649</v>
      </c>
      <c r="U2933">
        <v>972</v>
      </c>
      <c r="V2933">
        <v>10.292</v>
      </c>
      <c r="W2933">
        <v>149.44</v>
      </c>
      <c r="X2933">
        <v>0</v>
      </c>
      <c r="Y2933">
        <v>0</v>
      </c>
      <c r="Z2933">
        <v>10003.82</v>
      </c>
      <c r="AA2933">
        <v>10153.26</v>
      </c>
      <c r="AB2933" s="12" t="s">
        <v>2747</v>
      </c>
      <c r="AC2933">
        <v>10.292</v>
      </c>
      <c r="AD2933">
        <v>1</v>
      </c>
      <c r="AE2933">
        <v>1</v>
      </c>
      <c r="AF2933">
        <v>0</v>
      </c>
      <c r="AG2933">
        <v>10003.82</v>
      </c>
      <c r="AH2933">
        <v>972</v>
      </c>
      <c r="AI2933">
        <v>960</v>
      </c>
      <c r="AJ2933">
        <v>12</v>
      </c>
      <c r="AK2933">
        <v>1</v>
      </c>
      <c r="AL2933">
        <v>1</v>
      </c>
      <c r="AM2933">
        <v>98.77</v>
      </c>
      <c r="AN2933">
        <v>10.5763</v>
      </c>
      <c r="AO2933">
        <v>123.5</v>
      </c>
      <c r="AP2933" s="13">
        <v>45502</v>
      </c>
      <c r="AQ2933">
        <v>-3</v>
      </c>
      <c r="AR2933">
        <v>1</v>
      </c>
    </row>
    <row r="2934" spans="1:44" x14ac:dyDescent="0.35">
      <c r="A2934" s="12" t="s">
        <v>3818</v>
      </c>
      <c r="B2934" s="12" t="s">
        <v>755</v>
      </c>
      <c r="C2934" s="12" t="s">
        <v>756</v>
      </c>
      <c r="D2934" s="12" t="s">
        <v>78</v>
      </c>
      <c r="E2934" s="12" t="s">
        <v>65</v>
      </c>
      <c r="F2934">
        <v>2</v>
      </c>
      <c r="G2934">
        <v>2</v>
      </c>
      <c r="H2934">
        <v>0</v>
      </c>
      <c r="I2934" s="12" t="s">
        <v>359</v>
      </c>
      <c r="J2934" s="12" t="s">
        <v>360</v>
      </c>
      <c r="K2934" s="12" t="s">
        <v>133</v>
      </c>
      <c r="L2934" s="12" t="s">
        <v>82</v>
      </c>
      <c r="M2934">
        <v>12.65</v>
      </c>
      <c r="N2934" s="12" t="s">
        <v>97</v>
      </c>
      <c r="O2934" s="12" t="s">
        <v>98</v>
      </c>
      <c r="P2934" s="12" t="s">
        <v>72</v>
      </c>
      <c r="Q2934" s="13">
        <v>45467</v>
      </c>
      <c r="R2934" s="13">
        <v>45497</v>
      </c>
      <c r="S2934">
        <v>2024</v>
      </c>
      <c r="T2934" s="12" t="s">
        <v>3649</v>
      </c>
      <c r="U2934">
        <v>182</v>
      </c>
      <c r="V2934">
        <v>43.122799999999998</v>
      </c>
      <c r="W2934">
        <v>108.77</v>
      </c>
      <c r="X2934">
        <v>0</v>
      </c>
      <c r="Y2934">
        <v>0</v>
      </c>
      <c r="Z2934">
        <v>7848.35</v>
      </c>
      <c r="AA2934">
        <v>7957.12</v>
      </c>
      <c r="AB2934" s="12" t="s">
        <v>3414</v>
      </c>
      <c r="AC2934">
        <v>43.122799999999998</v>
      </c>
      <c r="AD2934">
        <v>1</v>
      </c>
      <c r="AE2934">
        <v>1</v>
      </c>
      <c r="AF2934">
        <v>0</v>
      </c>
      <c r="AG2934">
        <v>7848.35</v>
      </c>
      <c r="AH2934">
        <v>182</v>
      </c>
      <c r="AI2934">
        <v>178</v>
      </c>
      <c r="AJ2934">
        <v>4</v>
      </c>
      <c r="AK2934">
        <v>1</v>
      </c>
      <c r="AL2934">
        <v>1</v>
      </c>
      <c r="AM2934">
        <v>97.8</v>
      </c>
      <c r="AN2934">
        <v>44.7029</v>
      </c>
      <c r="AO2934">
        <v>172.49</v>
      </c>
      <c r="AP2934" s="13">
        <v>45494</v>
      </c>
      <c r="AQ2934">
        <v>-3</v>
      </c>
      <c r="AR2934">
        <v>1</v>
      </c>
    </row>
    <row r="2935" spans="1:44" x14ac:dyDescent="0.35">
      <c r="A2935" s="12" t="s">
        <v>3819</v>
      </c>
      <c r="B2935" s="12" t="s">
        <v>837</v>
      </c>
      <c r="C2935" s="12" t="s">
        <v>838</v>
      </c>
      <c r="D2935" s="12" t="s">
        <v>114</v>
      </c>
      <c r="E2935" s="12" t="s">
        <v>104</v>
      </c>
      <c r="F2935">
        <v>2</v>
      </c>
      <c r="G2935">
        <v>0</v>
      </c>
      <c r="H2935">
        <v>0</v>
      </c>
      <c r="I2935" s="12" t="s">
        <v>199</v>
      </c>
      <c r="J2935" s="12" t="s">
        <v>200</v>
      </c>
      <c r="K2935" s="12" t="s">
        <v>68</v>
      </c>
      <c r="L2935" s="12" t="s">
        <v>96</v>
      </c>
      <c r="M2935">
        <v>9.4700000000000006</v>
      </c>
      <c r="N2935" s="12" t="s">
        <v>70</v>
      </c>
      <c r="O2935" s="12" t="s">
        <v>71</v>
      </c>
      <c r="P2935" s="12" t="s">
        <v>72</v>
      </c>
      <c r="Q2935" s="13">
        <v>45468</v>
      </c>
      <c r="R2935" s="13">
        <v>45483</v>
      </c>
      <c r="S2935">
        <v>2024</v>
      </c>
      <c r="T2935" s="12" t="s">
        <v>3649</v>
      </c>
      <c r="U2935">
        <v>39</v>
      </c>
      <c r="V2935">
        <v>70.468999999999994</v>
      </c>
      <c r="W2935">
        <v>38.47</v>
      </c>
      <c r="X2935">
        <v>0</v>
      </c>
      <c r="Y2935">
        <v>0</v>
      </c>
      <c r="Z2935">
        <v>2748.29</v>
      </c>
      <c r="AA2935">
        <v>2786.76</v>
      </c>
      <c r="AB2935" s="12" t="s">
        <v>3432</v>
      </c>
      <c r="AC2935">
        <v>68.916300000000007</v>
      </c>
      <c r="AD2935">
        <v>1</v>
      </c>
      <c r="AE2935">
        <v>1</v>
      </c>
      <c r="AF2935">
        <v>60.56</v>
      </c>
      <c r="AG2935">
        <v>2687.74</v>
      </c>
      <c r="AH2935">
        <v>39</v>
      </c>
      <c r="AI2935">
        <v>38</v>
      </c>
      <c r="AJ2935">
        <v>1</v>
      </c>
      <c r="AK2935">
        <v>1</v>
      </c>
      <c r="AL2935">
        <v>1</v>
      </c>
      <c r="AM2935">
        <v>97.44</v>
      </c>
      <c r="AN2935">
        <v>73.335800000000006</v>
      </c>
      <c r="AO2935">
        <v>70.47</v>
      </c>
      <c r="AP2935" s="13">
        <v>45482</v>
      </c>
      <c r="AQ2935">
        <v>-1</v>
      </c>
      <c r="AR2935">
        <v>1</v>
      </c>
    </row>
    <row r="2936" spans="1:44" x14ac:dyDescent="0.35">
      <c r="A2936" s="12" t="s">
        <v>3820</v>
      </c>
      <c r="B2936" s="12" t="s">
        <v>537</v>
      </c>
      <c r="C2936" s="12" t="s">
        <v>538</v>
      </c>
      <c r="D2936" s="12" t="s">
        <v>103</v>
      </c>
      <c r="E2936" s="12" t="s">
        <v>104</v>
      </c>
      <c r="F2936">
        <v>3</v>
      </c>
      <c r="G2936">
        <v>0</v>
      </c>
      <c r="H2936">
        <v>0</v>
      </c>
      <c r="I2936" s="12" t="s">
        <v>143</v>
      </c>
      <c r="J2936" s="12" t="s">
        <v>144</v>
      </c>
      <c r="K2936" s="12" t="s">
        <v>133</v>
      </c>
      <c r="L2936" s="12" t="s">
        <v>96</v>
      </c>
      <c r="M2936">
        <v>5.43</v>
      </c>
      <c r="N2936" s="12" t="s">
        <v>145</v>
      </c>
      <c r="O2936" s="12" t="s">
        <v>146</v>
      </c>
      <c r="P2936" s="12" t="s">
        <v>109</v>
      </c>
      <c r="Q2936" s="13">
        <v>45468</v>
      </c>
      <c r="R2936" s="13">
        <v>45486</v>
      </c>
      <c r="S2936">
        <v>2024</v>
      </c>
      <c r="T2936" s="12" t="s">
        <v>3649</v>
      </c>
      <c r="U2936">
        <v>59</v>
      </c>
      <c r="V2936">
        <v>240.59469999999999</v>
      </c>
      <c r="W2936">
        <v>321.23</v>
      </c>
      <c r="X2936">
        <v>0</v>
      </c>
      <c r="Y2936">
        <v>0</v>
      </c>
      <c r="Z2936">
        <v>14195.09</v>
      </c>
      <c r="AA2936">
        <v>14516.32</v>
      </c>
      <c r="AB2936" s="12" t="s">
        <v>3321</v>
      </c>
      <c r="AC2936">
        <v>240.59469999999999</v>
      </c>
      <c r="AD2936">
        <v>1</v>
      </c>
      <c r="AE2936">
        <v>1</v>
      </c>
      <c r="AF2936">
        <v>0</v>
      </c>
      <c r="AG2936">
        <v>14195.09</v>
      </c>
      <c r="AH2936">
        <v>59</v>
      </c>
      <c r="AI2936">
        <v>59</v>
      </c>
      <c r="AJ2936">
        <v>0</v>
      </c>
      <c r="AK2936">
        <v>1</v>
      </c>
      <c r="AL2936">
        <v>1</v>
      </c>
      <c r="AM2936">
        <v>100</v>
      </c>
      <c r="AN2936">
        <v>246.0393</v>
      </c>
      <c r="AO2936">
        <v>0</v>
      </c>
      <c r="AP2936" s="13">
        <v>45486</v>
      </c>
      <c r="AQ2936">
        <v>0</v>
      </c>
      <c r="AR2936">
        <v>1</v>
      </c>
    </row>
    <row r="2937" spans="1:44" x14ac:dyDescent="0.35">
      <c r="A2937" s="12" t="s">
        <v>3821</v>
      </c>
      <c r="B2937" s="12" t="s">
        <v>891</v>
      </c>
      <c r="C2937" s="12" t="s">
        <v>892</v>
      </c>
      <c r="D2937" s="12" t="s">
        <v>122</v>
      </c>
      <c r="E2937" s="12" t="s">
        <v>65</v>
      </c>
      <c r="F2937">
        <v>3</v>
      </c>
      <c r="G2937">
        <v>5</v>
      </c>
      <c r="H2937">
        <v>0</v>
      </c>
      <c r="I2937" s="12" t="s">
        <v>169</v>
      </c>
      <c r="J2937" s="12" t="s">
        <v>170</v>
      </c>
      <c r="K2937" s="12" t="s">
        <v>89</v>
      </c>
      <c r="L2937" s="12" t="s">
        <v>134</v>
      </c>
      <c r="M2937">
        <v>1.37</v>
      </c>
      <c r="N2937" s="12" t="s">
        <v>97</v>
      </c>
      <c r="O2937" s="12" t="s">
        <v>98</v>
      </c>
      <c r="P2937" s="12" t="s">
        <v>72</v>
      </c>
      <c r="Q2937" s="13">
        <v>45468</v>
      </c>
      <c r="R2937" s="13">
        <v>45503</v>
      </c>
      <c r="S2937">
        <v>2024</v>
      </c>
      <c r="T2937" s="12" t="s">
        <v>3649</v>
      </c>
      <c r="U2937">
        <v>1674</v>
      </c>
      <c r="V2937">
        <v>35.714199999999998</v>
      </c>
      <c r="W2937">
        <v>658.18</v>
      </c>
      <c r="X2937">
        <v>0</v>
      </c>
      <c r="Y2937">
        <v>0</v>
      </c>
      <c r="Z2937">
        <v>59785.57</v>
      </c>
      <c r="AA2937">
        <v>60443.75</v>
      </c>
      <c r="AB2937" s="12" t="s">
        <v>3822</v>
      </c>
      <c r="AC2937">
        <v>37.903399999999998</v>
      </c>
      <c r="AD2937">
        <v>1</v>
      </c>
      <c r="AE2937">
        <v>1</v>
      </c>
      <c r="AF2937">
        <v>-3664.72</v>
      </c>
      <c r="AG2937">
        <v>63450.29</v>
      </c>
      <c r="AH2937">
        <v>1674</v>
      </c>
      <c r="AI2937">
        <v>1663</v>
      </c>
      <c r="AJ2937">
        <v>11</v>
      </c>
      <c r="AK2937">
        <v>1</v>
      </c>
      <c r="AL2937">
        <v>1</v>
      </c>
      <c r="AM2937">
        <v>99.34</v>
      </c>
      <c r="AN2937">
        <v>36.346200000000003</v>
      </c>
      <c r="AO2937">
        <v>392.86</v>
      </c>
      <c r="AP2937" s="13">
        <v>45500</v>
      </c>
      <c r="AQ2937">
        <v>-3</v>
      </c>
      <c r="AR2937">
        <v>1</v>
      </c>
    </row>
    <row r="2938" spans="1:44" x14ac:dyDescent="0.35">
      <c r="A2938" s="12" t="s">
        <v>3823</v>
      </c>
      <c r="B2938" s="12" t="s">
        <v>630</v>
      </c>
      <c r="C2938" s="12" t="s">
        <v>631</v>
      </c>
      <c r="D2938" s="12" t="s">
        <v>130</v>
      </c>
      <c r="E2938" s="12" t="s">
        <v>65</v>
      </c>
      <c r="F2938">
        <v>1</v>
      </c>
      <c r="G2938">
        <v>2</v>
      </c>
      <c r="H2938">
        <v>1</v>
      </c>
      <c r="I2938" s="12" t="s">
        <v>335</v>
      </c>
      <c r="J2938" s="12" t="s">
        <v>336</v>
      </c>
      <c r="K2938" s="12" t="s">
        <v>89</v>
      </c>
      <c r="L2938" s="12" t="s">
        <v>82</v>
      </c>
      <c r="M2938">
        <v>16</v>
      </c>
      <c r="N2938" s="12" t="s">
        <v>159</v>
      </c>
      <c r="O2938" s="12" t="s">
        <v>160</v>
      </c>
      <c r="P2938" s="12" t="s">
        <v>137</v>
      </c>
      <c r="Q2938" s="13">
        <v>45468</v>
      </c>
      <c r="R2938" s="13">
        <v>45499</v>
      </c>
      <c r="S2938">
        <v>2024</v>
      </c>
      <c r="T2938" s="12" t="s">
        <v>3649</v>
      </c>
      <c r="U2938">
        <v>87</v>
      </c>
      <c r="V2938">
        <v>446.36720000000003</v>
      </c>
      <c r="W2938">
        <v>888.34</v>
      </c>
      <c r="X2938">
        <v>0</v>
      </c>
      <c r="Y2938">
        <v>0</v>
      </c>
      <c r="Z2938">
        <v>38833.949999999997</v>
      </c>
      <c r="AA2938">
        <v>39722.29</v>
      </c>
      <c r="AB2938" s="12" t="s">
        <v>2944</v>
      </c>
      <c r="AC2938">
        <v>446.36720000000003</v>
      </c>
      <c r="AD2938">
        <v>1</v>
      </c>
      <c r="AE2938">
        <v>1</v>
      </c>
      <c r="AF2938">
        <v>0</v>
      </c>
      <c r="AG2938">
        <v>38833.949999999997</v>
      </c>
      <c r="AH2938">
        <v>87</v>
      </c>
      <c r="AI2938">
        <v>87</v>
      </c>
      <c r="AJ2938">
        <v>0</v>
      </c>
      <c r="AK2938">
        <v>1</v>
      </c>
      <c r="AL2938">
        <v>1</v>
      </c>
      <c r="AM2938">
        <v>100</v>
      </c>
      <c r="AN2938">
        <v>456.57799999999997</v>
      </c>
      <c r="AO2938">
        <v>0</v>
      </c>
      <c r="AP2938" s="13">
        <v>45497</v>
      </c>
      <c r="AQ2938">
        <v>-2</v>
      </c>
      <c r="AR2938">
        <v>1</v>
      </c>
    </row>
    <row r="2939" spans="1:44" x14ac:dyDescent="0.35">
      <c r="A2939" s="12" t="s">
        <v>3824</v>
      </c>
      <c r="B2939" s="12" t="s">
        <v>646</v>
      </c>
      <c r="C2939" s="12" t="s">
        <v>647</v>
      </c>
      <c r="D2939" s="12" t="s">
        <v>175</v>
      </c>
      <c r="E2939" s="12" t="s">
        <v>104</v>
      </c>
      <c r="F2939">
        <v>3</v>
      </c>
      <c r="G2939">
        <v>1</v>
      </c>
      <c r="H2939">
        <v>0</v>
      </c>
      <c r="I2939" s="12" t="s">
        <v>227</v>
      </c>
      <c r="J2939" s="12" t="s">
        <v>228</v>
      </c>
      <c r="K2939" s="12" t="s">
        <v>89</v>
      </c>
      <c r="L2939" s="12" t="s">
        <v>96</v>
      </c>
      <c r="M2939">
        <v>9.15</v>
      </c>
      <c r="N2939" s="12" t="s">
        <v>107</v>
      </c>
      <c r="O2939" s="12" t="s">
        <v>108</v>
      </c>
      <c r="P2939" s="12" t="s">
        <v>109</v>
      </c>
      <c r="Q2939" s="13">
        <v>45468</v>
      </c>
      <c r="R2939" s="13">
        <v>45490</v>
      </c>
      <c r="S2939">
        <v>2024</v>
      </c>
      <c r="T2939" s="12" t="s">
        <v>3649</v>
      </c>
      <c r="U2939">
        <v>91</v>
      </c>
      <c r="V2939">
        <v>203.7088</v>
      </c>
      <c r="W2939">
        <v>248.34</v>
      </c>
      <c r="X2939">
        <v>0</v>
      </c>
      <c r="Y2939">
        <v>0</v>
      </c>
      <c r="Z2939">
        <v>18537.5</v>
      </c>
      <c r="AA2939">
        <v>18785.84</v>
      </c>
      <c r="AB2939" s="12" t="s">
        <v>3535</v>
      </c>
      <c r="AC2939">
        <v>203.7088</v>
      </c>
      <c r="AD2939">
        <v>1</v>
      </c>
      <c r="AE2939">
        <v>1</v>
      </c>
      <c r="AF2939">
        <v>0</v>
      </c>
      <c r="AG2939">
        <v>18537.5</v>
      </c>
      <c r="AH2939">
        <v>91</v>
      </c>
      <c r="AI2939">
        <v>90</v>
      </c>
      <c r="AJ2939">
        <v>1</v>
      </c>
      <c r="AK2939">
        <v>1</v>
      </c>
      <c r="AL2939">
        <v>1</v>
      </c>
      <c r="AM2939">
        <v>98.9</v>
      </c>
      <c r="AN2939">
        <v>208.73159999999999</v>
      </c>
      <c r="AO2939">
        <v>203.71</v>
      </c>
      <c r="AP2939" s="13">
        <v>45488</v>
      </c>
      <c r="AQ2939">
        <v>-2</v>
      </c>
      <c r="AR2939">
        <v>1</v>
      </c>
    </row>
    <row r="2940" spans="1:44" x14ac:dyDescent="0.35">
      <c r="A2940" s="12" t="s">
        <v>3825</v>
      </c>
      <c r="B2940" s="12" t="s">
        <v>273</v>
      </c>
      <c r="C2940" s="12" t="s">
        <v>274</v>
      </c>
      <c r="D2940" s="12" t="s">
        <v>175</v>
      </c>
      <c r="E2940" s="12" t="s">
        <v>104</v>
      </c>
      <c r="F2940">
        <v>3</v>
      </c>
      <c r="G2940">
        <v>1</v>
      </c>
      <c r="H2940">
        <v>0</v>
      </c>
      <c r="I2940" s="12" t="s">
        <v>275</v>
      </c>
      <c r="J2940" s="12" t="s">
        <v>276</v>
      </c>
      <c r="K2940" s="12" t="s">
        <v>89</v>
      </c>
      <c r="L2940" s="12" t="s">
        <v>82</v>
      </c>
      <c r="M2940">
        <v>14.26</v>
      </c>
      <c r="N2940" s="12" t="s">
        <v>107</v>
      </c>
      <c r="O2940" s="12" t="s">
        <v>108</v>
      </c>
      <c r="P2940" s="12" t="s">
        <v>109</v>
      </c>
      <c r="Q2940" s="13">
        <v>45468</v>
      </c>
      <c r="R2940" s="13">
        <v>45493</v>
      </c>
      <c r="S2940">
        <v>2024</v>
      </c>
      <c r="T2940" s="12" t="s">
        <v>3649</v>
      </c>
      <c r="U2940">
        <v>114</v>
      </c>
      <c r="V2940">
        <v>104.452</v>
      </c>
      <c r="W2940">
        <v>218.5</v>
      </c>
      <c r="X2940">
        <v>0</v>
      </c>
      <c r="Y2940">
        <v>0</v>
      </c>
      <c r="Z2940">
        <v>11907.53</v>
      </c>
      <c r="AA2940">
        <v>12126.03</v>
      </c>
      <c r="AB2940" s="12" t="s">
        <v>3580</v>
      </c>
      <c r="AC2940">
        <v>111.0129</v>
      </c>
      <c r="AD2940">
        <v>1</v>
      </c>
      <c r="AE2940">
        <v>1</v>
      </c>
      <c r="AF2940">
        <v>-747.94</v>
      </c>
      <c r="AG2940">
        <v>12655.47</v>
      </c>
      <c r="AH2940">
        <v>114</v>
      </c>
      <c r="AI2940">
        <v>113</v>
      </c>
      <c r="AJ2940">
        <v>1</v>
      </c>
      <c r="AK2940">
        <v>1</v>
      </c>
      <c r="AL2940">
        <v>1</v>
      </c>
      <c r="AM2940">
        <v>99.12</v>
      </c>
      <c r="AN2940">
        <v>107.31</v>
      </c>
      <c r="AO2940">
        <v>104.45</v>
      </c>
      <c r="AP2940" s="13">
        <v>45490</v>
      </c>
      <c r="AQ2940">
        <v>-3</v>
      </c>
      <c r="AR2940">
        <v>1</v>
      </c>
    </row>
    <row r="2941" spans="1:44" x14ac:dyDescent="0.35">
      <c r="A2941" s="12" t="s">
        <v>3826</v>
      </c>
      <c r="B2941" s="12" t="s">
        <v>747</v>
      </c>
      <c r="C2941" s="12" t="s">
        <v>748</v>
      </c>
      <c r="D2941" s="12" t="s">
        <v>114</v>
      </c>
      <c r="E2941" s="12" t="s">
        <v>104</v>
      </c>
      <c r="F2941">
        <v>2</v>
      </c>
      <c r="G2941">
        <v>0</v>
      </c>
      <c r="H2941">
        <v>0</v>
      </c>
      <c r="I2941" s="12" t="s">
        <v>251</v>
      </c>
      <c r="J2941" s="12" t="s">
        <v>252</v>
      </c>
      <c r="K2941" s="12" t="s">
        <v>133</v>
      </c>
      <c r="L2941" s="12" t="s">
        <v>69</v>
      </c>
      <c r="M2941">
        <v>34.49</v>
      </c>
      <c r="N2941" s="12" t="s">
        <v>97</v>
      </c>
      <c r="O2941" s="12" t="s">
        <v>98</v>
      </c>
      <c r="P2941" s="12" t="s">
        <v>72</v>
      </c>
      <c r="Q2941" s="13">
        <v>45468</v>
      </c>
      <c r="R2941" s="13">
        <v>45494</v>
      </c>
      <c r="S2941">
        <v>2024</v>
      </c>
      <c r="T2941" s="12" t="s">
        <v>3649</v>
      </c>
      <c r="U2941">
        <v>120</v>
      </c>
      <c r="V2941">
        <v>242.2371</v>
      </c>
      <c r="W2941">
        <v>320.52</v>
      </c>
      <c r="X2941">
        <v>0</v>
      </c>
      <c r="Y2941">
        <v>0</v>
      </c>
      <c r="Z2941">
        <v>29068.45</v>
      </c>
      <c r="AA2941">
        <v>29388.97</v>
      </c>
      <c r="AB2941" s="12" t="s">
        <v>3119</v>
      </c>
      <c r="AC2941">
        <v>242.2371</v>
      </c>
      <c r="AD2941">
        <v>1</v>
      </c>
      <c r="AE2941">
        <v>1</v>
      </c>
      <c r="AF2941">
        <v>0</v>
      </c>
      <c r="AG2941">
        <v>29068.45</v>
      </c>
      <c r="AH2941">
        <v>120</v>
      </c>
      <c r="AI2941">
        <v>119</v>
      </c>
      <c r="AJ2941">
        <v>1</v>
      </c>
      <c r="AK2941">
        <v>1</v>
      </c>
      <c r="AL2941">
        <v>1</v>
      </c>
      <c r="AM2941">
        <v>99.17</v>
      </c>
      <c r="AN2941">
        <v>246.96619999999999</v>
      </c>
      <c r="AO2941">
        <v>242.24</v>
      </c>
      <c r="AP2941" s="13">
        <v>45491</v>
      </c>
      <c r="AQ2941">
        <v>-3</v>
      </c>
      <c r="AR2941">
        <v>1</v>
      </c>
    </row>
    <row r="2942" spans="1:44" x14ac:dyDescent="0.35">
      <c r="A2942" s="12" t="s">
        <v>3827</v>
      </c>
      <c r="B2942" s="12" t="s">
        <v>477</v>
      </c>
      <c r="C2942" s="12" t="s">
        <v>478</v>
      </c>
      <c r="D2942" s="12" t="s">
        <v>130</v>
      </c>
      <c r="E2942" s="12" t="s">
        <v>104</v>
      </c>
      <c r="F2942">
        <v>3</v>
      </c>
      <c r="G2942">
        <v>1</v>
      </c>
      <c r="H2942">
        <v>0</v>
      </c>
      <c r="I2942" s="12" t="s">
        <v>380</v>
      </c>
      <c r="J2942" s="12" t="s">
        <v>381</v>
      </c>
      <c r="K2942" s="12" t="s">
        <v>89</v>
      </c>
      <c r="L2942" s="12" t="s">
        <v>96</v>
      </c>
      <c r="M2942">
        <v>10.210000000000001</v>
      </c>
      <c r="N2942" s="12" t="s">
        <v>135</v>
      </c>
      <c r="O2942" s="12" t="s">
        <v>136</v>
      </c>
      <c r="P2942" s="12" t="s">
        <v>137</v>
      </c>
      <c r="Q2942" s="13">
        <v>45468</v>
      </c>
      <c r="R2942" s="13">
        <v>45488</v>
      </c>
      <c r="S2942">
        <v>2024</v>
      </c>
      <c r="T2942" s="12" t="s">
        <v>3649</v>
      </c>
      <c r="U2942">
        <v>76</v>
      </c>
      <c r="V2942">
        <v>714.96169999999995</v>
      </c>
      <c r="W2942">
        <v>1053.98</v>
      </c>
      <c r="X2942">
        <v>0</v>
      </c>
      <c r="Y2942">
        <v>0</v>
      </c>
      <c r="Z2942">
        <v>54337.09</v>
      </c>
      <c r="AA2942">
        <v>55391.07</v>
      </c>
      <c r="AB2942" s="12" t="s">
        <v>3380</v>
      </c>
      <c r="AC2942">
        <v>714.96169999999995</v>
      </c>
      <c r="AD2942">
        <v>1</v>
      </c>
      <c r="AE2942">
        <v>1</v>
      </c>
      <c r="AF2942">
        <v>0</v>
      </c>
      <c r="AG2942">
        <v>54337.09</v>
      </c>
      <c r="AH2942">
        <v>76</v>
      </c>
      <c r="AI2942">
        <v>76</v>
      </c>
      <c r="AJ2942">
        <v>0</v>
      </c>
      <c r="AK2942">
        <v>1</v>
      </c>
      <c r="AL2942">
        <v>1</v>
      </c>
      <c r="AM2942">
        <v>100</v>
      </c>
      <c r="AN2942">
        <v>728.82989999999995</v>
      </c>
      <c r="AO2942">
        <v>0</v>
      </c>
      <c r="AP2942" s="13">
        <v>45488</v>
      </c>
      <c r="AQ2942">
        <v>0</v>
      </c>
      <c r="AR2942">
        <v>1</v>
      </c>
    </row>
    <row r="2943" spans="1:44" x14ac:dyDescent="0.35">
      <c r="A2943" s="12" t="s">
        <v>3828</v>
      </c>
      <c r="B2943" s="12" t="s">
        <v>823</v>
      </c>
      <c r="C2943" s="12" t="s">
        <v>824</v>
      </c>
      <c r="D2943" s="12" t="s">
        <v>114</v>
      </c>
      <c r="E2943" s="12" t="s">
        <v>142</v>
      </c>
      <c r="F2943">
        <v>1</v>
      </c>
      <c r="G2943">
        <v>8</v>
      </c>
      <c r="H2943">
        <v>1</v>
      </c>
      <c r="I2943" s="12" t="s">
        <v>515</v>
      </c>
      <c r="J2943" s="12" t="s">
        <v>516</v>
      </c>
      <c r="K2943" s="12" t="s">
        <v>68</v>
      </c>
      <c r="L2943" s="12" t="s">
        <v>134</v>
      </c>
      <c r="M2943">
        <v>3.69</v>
      </c>
      <c r="N2943" s="12" t="s">
        <v>70</v>
      </c>
      <c r="O2943" s="12" t="s">
        <v>71</v>
      </c>
      <c r="P2943" s="12" t="s">
        <v>72</v>
      </c>
      <c r="Q2943" s="13">
        <v>45468</v>
      </c>
      <c r="R2943" s="13">
        <v>45514</v>
      </c>
      <c r="S2943">
        <v>2024</v>
      </c>
      <c r="T2943" s="12" t="s">
        <v>3649</v>
      </c>
      <c r="U2943">
        <v>97</v>
      </c>
      <c r="V2943">
        <v>361.71230000000003</v>
      </c>
      <c r="W2943">
        <v>344.46</v>
      </c>
      <c r="X2943">
        <v>0</v>
      </c>
      <c r="Y2943">
        <v>0</v>
      </c>
      <c r="Z2943">
        <v>35086.089999999997</v>
      </c>
      <c r="AA2943">
        <v>35430.550000000003</v>
      </c>
      <c r="AB2943" s="12" t="s">
        <v>3483</v>
      </c>
      <c r="AC2943">
        <v>361.71230000000003</v>
      </c>
      <c r="AD2943">
        <v>1</v>
      </c>
      <c r="AE2943">
        <v>1</v>
      </c>
      <c r="AF2943">
        <v>0</v>
      </c>
      <c r="AG2943">
        <v>35086.089999999997</v>
      </c>
      <c r="AH2943">
        <v>97</v>
      </c>
      <c r="AI2943">
        <v>96</v>
      </c>
      <c r="AJ2943">
        <v>1</v>
      </c>
      <c r="AK2943">
        <v>1</v>
      </c>
      <c r="AL2943">
        <v>1</v>
      </c>
      <c r="AM2943">
        <v>98.97</v>
      </c>
      <c r="AN2943">
        <v>369.06830000000002</v>
      </c>
      <c r="AO2943">
        <v>361.71</v>
      </c>
      <c r="AP2943" s="13">
        <v>45513</v>
      </c>
      <c r="AQ2943">
        <v>-1</v>
      </c>
      <c r="AR2943">
        <v>1</v>
      </c>
    </row>
    <row r="2944" spans="1:44" x14ac:dyDescent="0.35">
      <c r="A2944" s="12" t="s">
        <v>3829</v>
      </c>
      <c r="B2944" s="12" t="s">
        <v>827</v>
      </c>
      <c r="C2944" s="12" t="s">
        <v>828</v>
      </c>
      <c r="D2944" s="12" t="s">
        <v>175</v>
      </c>
      <c r="E2944" s="12" t="s">
        <v>104</v>
      </c>
      <c r="F2944">
        <v>2</v>
      </c>
      <c r="G2944">
        <v>0</v>
      </c>
      <c r="H2944">
        <v>0</v>
      </c>
      <c r="I2944" s="12" t="s">
        <v>183</v>
      </c>
      <c r="J2944" s="12" t="s">
        <v>184</v>
      </c>
      <c r="K2944" s="12" t="s">
        <v>133</v>
      </c>
      <c r="L2944" s="12" t="s">
        <v>82</v>
      </c>
      <c r="M2944">
        <v>8.6199999999999992</v>
      </c>
      <c r="N2944" s="12" t="s">
        <v>107</v>
      </c>
      <c r="O2944" s="12" t="s">
        <v>108</v>
      </c>
      <c r="P2944" s="12" t="s">
        <v>109</v>
      </c>
      <c r="Q2944" s="13">
        <v>45468</v>
      </c>
      <c r="R2944" s="13">
        <v>45481</v>
      </c>
      <c r="S2944">
        <v>2024</v>
      </c>
      <c r="T2944" s="12" t="s">
        <v>3649</v>
      </c>
      <c r="U2944">
        <v>19</v>
      </c>
      <c r="V2944">
        <v>101.62560000000001</v>
      </c>
      <c r="W2944">
        <v>38.42</v>
      </c>
      <c r="X2944">
        <v>60.13</v>
      </c>
      <c r="Y2944">
        <v>1</v>
      </c>
      <c r="Z2944">
        <v>1930.89</v>
      </c>
      <c r="AA2944">
        <v>2029.44</v>
      </c>
      <c r="AB2944" s="12" t="s">
        <v>3394</v>
      </c>
      <c r="AC2944">
        <v>101.62560000000001</v>
      </c>
      <c r="AD2944">
        <v>1</v>
      </c>
      <c r="AE2944">
        <v>1</v>
      </c>
      <c r="AF2944">
        <v>0</v>
      </c>
      <c r="AG2944">
        <v>1930.89</v>
      </c>
      <c r="AH2944">
        <v>19</v>
      </c>
      <c r="AI2944">
        <v>19</v>
      </c>
      <c r="AJ2944">
        <v>0</v>
      </c>
      <c r="AK2944">
        <v>1</v>
      </c>
      <c r="AL2944">
        <v>1</v>
      </c>
      <c r="AM2944">
        <v>100</v>
      </c>
      <c r="AN2944">
        <v>106.8124</v>
      </c>
      <c r="AO2944">
        <v>0</v>
      </c>
      <c r="AP2944" s="13">
        <v>45479</v>
      </c>
      <c r="AQ2944">
        <v>-2</v>
      </c>
      <c r="AR2944">
        <v>1</v>
      </c>
    </row>
    <row r="2945" spans="1:44" x14ac:dyDescent="0.35">
      <c r="A2945" s="12" t="s">
        <v>3830</v>
      </c>
      <c r="B2945" s="12" t="s">
        <v>482</v>
      </c>
      <c r="C2945" s="12" t="s">
        <v>483</v>
      </c>
      <c r="D2945" s="12" t="s">
        <v>78</v>
      </c>
      <c r="E2945" s="12" t="s">
        <v>142</v>
      </c>
      <c r="F2945">
        <v>2</v>
      </c>
      <c r="G2945">
        <v>9</v>
      </c>
      <c r="H2945">
        <v>0</v>
      </c>
      <c r="I2945" s="12" t="s">
        <v>87</v>
      </c>
      <c r="J2945" s="12" t="s">
        <v>88</v>
      </c>
      <c r="K2945" s="12" t="s">
        <v>89</v>
      </c>
      <c r="L2945" s="12" t="s">
        <v>69</v>
      </c>
      <c r="M2945">
        <v>14.93</v>
      </c>
      <c r="N2945" s="12" t="s">
        <v>97</v>
      </c>
      <c r="O2945" s="12" t="s">
        <v>98</v>
      </c>
      <c r="P2945" s="12" t="s">
        <v>72</v>
      </c>
      <c r="Q2945" s="13">
        <v>45468</v>
      </c>
      <c r="R2945" s="13">
        <v>45514</v>
      </c>
      <c r="S2945">
        <v>2024</v>
      </c>
      <c r="T2945" s="12" t="s">
        <v>3649</v>
      </c>
      <c r="U2945">
        <v>212</v>
      </c>
      <c r="V2945">
        <v>44.317799999999998</v>
      </c>
      <c r="W2945">
        <v>175.76</v>
      </c>
      <c r="X2945">
        <v>0</v>
      </c>
      <c r="Y2945">
        <v>0</v>
      </c>
      <c r="Z2945">
        <v>9395.3700000000008</v>
      </c>
      <c r="AA2945">
        <v>9571.1299999999992</v>
      </c>
      <c r="AB2945" s="12" t="s">
        <v>3145</v>
      </c>
      <c r="AC2945">
        <v>47.101599999999998</v>
      </c>
      <c r="AD2945">
        <v>1</v>
      </c>
      <c r="AE2945">
        <v>1</v>
      </c>
      <c r="AF2945">
        <v>-590.16999999999996</v>
      </c>
      <c r="AG2945">
        <v>9985.5400000000009</v>
      </c>
      <c r="AH2945">
        <v>212</v>
      </c>
      <c r="AI2945">
        <v>208</v>
      </c>
      <c r="AJ2945">
        <v>4</v>
      </c>
      <c r="AK2945">
        <v>1</v>
      </c>
      <c r="AL2945">
        <v>1</v>
      </c>
      <c r="AM2945">
        <v>98.11</v>
      </c>
      <c r="AN2945">
        <v>46.015099999999997</v>
      </c>
      <c r="AO2945">
        <v>177.27</v>
      </c>
      <c r="AP2945" s="13">
        <v>45512</v>
      </c>
      <c r="AQ2945">
        <v>-2</v>
      </c>
      <c r="AR2945">
        <v>1</v>
      </c>
    </row>
    <row r="2946" spans="1:44" x14ac:dyDescent="0.35">
      <c r="A2946" s="12" t="s">
        <v>3831</v>
      </c>
      <c r="B2946" s="12" t="s">
        <v>85</v>
      </c>
      <c r="C2946" s="12" t="s">
        <v>86</v>
      </c>
      <c r="D2946" s="12" t="s">
        <v>78</v>
      </c>
      <c r="E2946" s="12" t="s">
        <v>65</v>
      </c>
      <c r="F2946">
        <v>3</v>
      </c>
      <c r="G2946">
        <v>5</v>
      </c>
      <c r="H2946">
        <v>0</v>
      </c>
      <c r="I2946" s="12" t="s">
        <v>115</v>
      </c>
      <c r="J2946" s="12" t="s">
        <v>116</v>
      </c>
      <c r="K2946" s="12" t="s">
        <v>117</v>
      </c>
      <c r="L2946" s="12" t="s">
        <v>82</v>
      </c>
      <c r="M2946">
        <v>17.170000000000002</v>
      </c>
      <c r="N2946" s="12" t="s">
        <v>97</v>
      </c>
      <c r="O2946" s="12" t="s">
        <v>98</v>
      </c>
      <c r="P2946" s="12" t="s">
        <v>72</v>
      </c>
      <c r="Q2946" s="13">
        <v>45468</v>
      </c>
      <c r="R2946" s="13">
        <v>45502</v>
      </c>
      <c r="S2946">
        <v>2024</v>
      </c>
      <c r="T2946" s="12" t="s">
        <v>3649</v>
      </c>
      <c r="U2946">
        <v>235</v>
      </c>
      <c r="V2946">
        <v>156.41640000000001</v>
      </c>
      <c r="W2946">
        <v>779.08</v>
      </c>
      <c r="X2946">
        <v>0</v>
      </c>
      <c r="Y2946">
        <v>0</v>
      </c>
      <c r="Z2946">
        <v>36757.85</v>
      </c>
      <c r="AA2946">
        <v>37536.93</v>
      </c>
      <c r="AB2946" s="12" t="s">
        <v>201</v>
      </c>
      <c r="AD2946">
        <v>0</v>
      </c>
      <c r="AE2946">
        <v>0</v>
      </c>
      <c r="AH2946">
        <v>235</v>
      </c>
      <c r="AI2946">
        <v>232</v>
      </c>
      <c r="AJ2946">
        <v>3</v>
      </c>
      <c r="AK2946">
        <v>1</v>
      </c>
      <c r="AL2946">
        <v>1</v>
      </c>
      <c r="AM2946">
        <v>98.72</v>
      </c>
      <c r="AN2946">
        <v>161.7971</v>
      </c>
      <c r="AO2946">
        <v>469.25</v>
      </c>
      <c r="AP2946" s="13">
        <v>45501</v>
      </c>
      <c r="AQ2946">
        <v>-1</v>
      </c>
      <c r="AR2946">
        <v>1</v>
      </c>
    </row>
    <row r="2947" spans="1:44" x14ac:dyDescent="0.35">
      <c r="A2947" s="12" t="s">
        <v>3832</v>
      </c>
      <c r="B2947" s="12" t="s">
        <v>433</v>
      </c>
      <c r="C2947" s="12" t="s">
        <v>434</v>
      </c>
      <c r="D2947" s="12" t="s">
        <v>78</v>
      </c>
      <c r="E2947" s="12" t="s">
        <v>65</v>
      </c>
      <c r="F2947">
        <v>2</v>
      </c>
      <c r="G2947">
        <v>4</v>
      </c>
      <c r="H2947">
        <v>0</v>
      </c>
      <c r="I2947" s="12" t="s">
        <v>243</v>
      </c>
      <c r="J2947" s="12" t="s">
        <v>244</v>
      </c>
      <c r="K2947" s="12" t="s">
        <v>81</v>
      </c>
      <c r="L2947" s="12" t="s">
        <v>82</v>
      </c>
      <c r="M2947">
        <v>9.2200000000000006</v>
      </c>
      <c r="N2947" s="12" t="s">
        <v>97</v>
      </c>
      <c r="O2947" s="12" t="s">
        <v>98</v>
      </c>
      <c r="P2947" s="12" t="s">
        <v>72</v>
      </c>
      <c r="Q2947" s="13">
        <v>45468</v>
      </c>
      <c r="R2947" s="13">
        <v>45499</v>
      </c>
      <c r="S2947">
        <v>2024</v>
      </c>
      <c r="T2947" s="12" t="s">
        <v>3649</v>
      </c>
      <c r="U2947">
        <v>188</v>
      </c>
      <c r="V2947">
        <v>72.334800000000001</v>
      </c>
      <c r="W2947">
        <v>304</v>
      </c>
      <c r="X2947">
        <v>0</v>
      </c>
      <c r="Y2947">
        <v>0</v>
      </c>
      <c r="Z2947">
        <v>13598.94</v>
      </c>
      <c r="AA2947">
        <v>13902.94</v>
      </c>
      <c r="AB2947" s="12" t="s">
        <v>3109</v>
      </c>
      <c r="AC2947">
        <v>72.334800000000001</v>
      </c>
      <c r="AD2947">
        <v>1</v>
      </c>
      <c r="AE2947">
        <v>1</v>
      </c>
      <c r="AF2947">
        <v>0</v>
      </c>
      <c r="AG2947">
        <v>13598.94</v>
      </c>
      <c r="AH2947">
        <v>188</v>
      </c>
      <c r="AI2947">
        <v>184</v>
      </c>
      <c r="AJ2947">
        <v>4</v>
      </c>
      <c r="AK2947">
        <v>1</v>
      </c>
      <c r="AL2947">
        <v>1</v>
      </c>
      <c r="AM2947">
        <v>97.87</v>
      </c>
      <c r="AN2947">
        <v>75.5595</v>
      </c>
      <c r="AO2947">
        <v>289.33999999999997</v>
      </c>
      <c r="AP2947" s="13">
        <v>45499</v>
      </c>
      <c r="AQ2947">
        <v>0</v>
      </c>
      <c r="AR2947">
        <v>1</v>
      </c>
    </row>
    <row r="2948" spans="1:44" x14ac:dyDescent="0.35">
      <c r="A2948" s="12" t="s">
        <v>3833</v>
      </c>
      <c r="B2948" s="12" t="s">
        <v>404</v>
      </c>
      <c r="C2948" s="12" t="s">
        <v>405</v>
      </c>
      <c r="D2948" s="12" t="s">
        <v>269</v>
      </c>
      <c r="E2948" s="12" t="s">
        <v>65</v>
      </c>
      <c r="F2948">
        <v>3</v>
      </c>
      <c r="G2948">
        <v>5</v>
      </c>
      <c r="H2948">
        <v>0</v>
      </c>
      <c r="I2948" s="12" t="s">
        <v>79</v>
      </c>
      <c r="J2948" s="12" t="s">
        <v>80</v>
      </c>
      <c r="K2948" s="12" t="s">
        <v>81</v>
      </c>
      <c r="L2948" s="12" t="s">
        <v>82</v>
      </c>
      <c r="M2948">
        <v>12.07</v>
      </c>
      <c r="N2948" s="12" t="s">
        <v>159</v>
      </c>
      <c r="O2948" s="12" t="s">
        <v>160</v>
      </c>
      <c r="P2948" s="12" t="s">
        <v>137</v>
      </c>
      <c r="Q2948" s="13">
        <v>45469</v>
      </c>
      <c r="R2948" s="13">
        <v>45498</v>
      </c>
      <c r="S2948">
        <v>2024</v>
      </c>
      <c r="T2948" s="12" t="s">
        <v>3649</v>
      </c>
      <c r="U2948">
        <v>75</v>
      </c>
      <c r="V2948">
        <v>430.2559</v>
      </c>
      <c r="W2948">
        <v>470.6</v>
      </c>
      <c r="X2948">
        <v>0</v>
      </c>
      <c r="Y2948">
        <v>0</v>
      </c>
      <c r="Z2948">
        <v>32269.19</v>
      </c>
      <c r="AA2948">
        <v>32739.79</v>
      </c>
      <c r="AB2948" s="12" t="s">
        <v>2910</v>
      </c>
      <c r="AC2948">
        <v>430.2559</v>
      </c>
      <c r="AD2948">
        <v>1</v>
      </c>
      <c r="AE2948">
        <v>1</v>
      </c>
      <c r="AF2948">
        <v>0</v>
      </c>
      <c r="AG2948">
        <v>32269.19</v>
      </c>
      <c r="AH2948">
        <v>75</v>
      </c>
      <c r="AI2948">
        <v>74</v>
      </c>
      <c r="AJ2948">
        <v>1</v>
      </c>
      <c r="AK2948">
        <v>1</v>
      </c>
      <c r="AL2948">
        <v>1</v>
      </c>
      <c r="AM2948">
        <v>98.67</v>
      </c>
      <c r="AN2948">
        <v>442.42959999999999</v>
      </c>
      <c r="AO2948">
        <v>430.26</v>
      </c>
      <c r="AP2948" s="13">
        <v>45495</v>
      </c>
      <c r="AQ2948">
        <v>-3</v>
      </c>
      <c r="AR2948">
        <v>1</v>
      </c>
    </row>
    <row r="2949" spans="1:44" x14ac:dyDescent="0.35">
      <c r="A2949" s="12" t="s">
        <v>3834</v>
      </c>
      <c r="B2949" s="12" t="s">
        <v>1220</v>
      </c>
      <c r="C2949" s="12" t="s">
        <v>1221</v>
      </c>
      <c r="D2949" s="12" t="s">
        <v>175</v>
      </c>
      <c r="E2949" s="12" t="s">
        <v>104</v>
      </c>
      <c r="F2949">
        <v>3</v>
      </c>
      <c r="G2949">
        <v>1</v>
      </c>
      <c r="H2949">
        <v>0</v>
      </c>
      <c r="I2949" s="12" t="s">
        <v>251</v>
      </c>
      <c r="J2949" s="12" t="s">
        <v>252</v>
      </c>
      <c r="K2949" s="12" t="s">
        <v>133</v>
      </c>
      <c r="L2949" s="12" t="s">
        <v>69</v>
      </c>
      <c r="M2949">
        <v>34.49</v>
      </c>
      <c r="N2949" s="12" t="s">
        <v>145</v>
      </c>
      <c r="O2949" s="12" t="s">
        <v>146</v>
      </c>
      <c r="P2949" s="12" t="s">
        <v>109</v>
      </c>
      <c r="Q2949" s="13">
        <v>45469</v>
      </c>
      <c r="R2949" s="13">
        <v>45483</v>
      </c>
      <c r="S2949">
        <v>2024</v>
      </c>
      <c r="T2949" s="12" t="s">
        <v>3649</v>
      </c>
      <c r="U2949">
        <v>30</v>
      </c>
      <c r="V2949">
        <v>138.95140000000001</v>
      </c>
      <c r="W2949">
        <v>35.659999999999997</v>
      </c>
      <c r="X2949">
        <v>0</v>
      </c>
      <c r="Y2949">
        <v>0</v>
      </c>
      <c r="Z2949">
        <v>4168.54</v>
      </c>
      <c r="AA2949">
        <v>4204.2</v>
      </c>
      <c r="AB2949" s="12" t="s">
        <v>3687</v>
      </c>
      <c r="AC2949">
        <v>138.95140000000001</v>
      </c>
      <c r="AD2949">
        <v>1</v>
      </c>
      <c r="AE2949">
        <v>1</v>
      </c>
      <c r="AF2949">
        <v>0</v>
      </c>
      <c r="AG2949">
        <v>4168.54</v>
      </c>
      <c r="AH2949">
        <v>30</v>
      </c>
      <c r="AI2949">
        <v>30</v>
      </c>
      <c r="AJ2949">
        <v>0</v>
      </c>
      <c r="AK2949">
        <v>1</v>
      </c>
      <c r="AL2949">
        <v>1</v>
      </c>
      <c r="AM2949">
        <v>100</v>
      </c>
      <c r="AN2949">
        <v>140.14009999999999</v>
      </c>
      <c r="AO2949">
        <v>0</v>
      </c>
      <c r="AP2949" s="13">
        <v>45482</v>
      </c>
      <c r="AQ2949">
        <v>-1</v>
      </c>
      <c r="AR2949">
        <v>1</v>
      </c>
    </row>
    <row r="2950" spans="1:44" x14ac:dyDescent="0.35">
      <c r="A2950" s="12" t="s">
        <v>3835</v>
      </c>
      <c r="B2950" s="12" t="s">
        <v>308</v>
      </c>
      <c r="C2950" s="12" t="s">
        <v>309</v>
      </c>
      <c r="D2950" s="12" t="s">
        <v>122</v>
      </c>
      <c r="E2950" s="12" t="s">
        <v>142</v>
      </c>
      <c r="F2950">
        <v>1</v>
      </c>
      <c r="G2950">
        <v>6</v>
      </c>
      <c r="H2950">
        <v>1</v>
      </c>
      <c r="I2950" s="12" t="s">
        <v>310</v>
      </c>
      <c r="J2950" s="12" t="s">
        <v>311</v>
      </c>
      <c r="K2950" s="12" t="s">
        <v>81</v>
      </c>
      <c r="L2950" s="12" t="s">
        <v>69</v>
      </c>
      <c r="M2950">
        <v>28.3</v>
      </c>
      <c r="N2950" s="12" t="s">
        <v>97</v>
      </c>
      <c r="O2950" s="12" t="s">
        <v>98</v>
      </c>
      <c r="P2950" s="12" t="s">
        <v>72</v>
      </c>
      <c r="Q2950" s="13">
        <v>45469</v>
      </c>
      <c r="R2950" s="13">
        <v>45517</v>
      </c>
      <c r="S2950">
        <v>2024</v>
      </c>
      <c r="T2950" s="12" t="s">
        <v>3649</v>
      </c>
      <c r="U2950">
        <v>1575</v>
      </c>
      <c r="V2950">
        <v>54.744100000000003</v>
      </c>
      <c r="W2950">
        <v>830.63</v>
      </c>
      <c r="X2950">
        <v>0</v>
      </c>
      <c r="Y2950">
        <v>0</v>
      </c>
      <c r="Z2950">
        <v>86221.96</v>
      </c>
      <c r="AA2950">
        <v>87052.59</v>
      </c>
      <c r="AB2950" s="12" t="s">
        <v>2726</v>
      </c>
      <c r="AC2950">
        <v>58.086399999999998</v>
      </c>
      <c r="AD2950">
        <v>1</v>
      </c>
      <c r="AE2950">
        <v>1</v>
      </c>
      <c r="AF2950">
        <v>-5264.12</v>
      </c>
      <c r="AG2950">
        <v>91486.080000000002</v>
      </c>
      <c r="AH2950">
        <v>1575</v>
      </c>
      <c r="AI2950">
        <v>1569</v>
      </c>
      <c r="AJ2950">
        <v>6</v>
      </c>
      <c r="AK2950">
        <v>1</v>
      </c>
      <c r="AL2950">
        <v>1</v>
      </c>
      <c r="AM2950">
        <v>99.62</v>
      </c>
      <c r="AN2950">
        <v>55.482799999999997</v>
      </c>
      <c r="AO2950">
        <v>328.46</v>
      </c>
      <c r="AP2950" s="13">
        <v>45516</v>
      </c>
      <c r="AQ2950">
        <v>-1</v>
      </c>
      <c r="AR2950">
        <v>1</v>
      </c>
    </row>
    <row r="2951" spans="1:44" x14ac:dyDescent="0.35">
      <c r="A2951" s="12" t="s">
        <v>3836</v>
      </c>
      <c r="B2951" s="12" t="s">
        <v>621</v>
      </c>
      <c r="C2951" s="12" t="s">
        <v>622</v>
      </c>
      <c r="D2951" s="12" t="s">
        <v>103</v>
      </c>
      <c r="E2951" s="12" t="s">
        <v>65</v>
      </c>
      <c r="F2951">
        <v>1</v>
      </c>
      <c r="G2951">
        <v>2</v>
      </c>
      <c r="H2951">
        <v>1</v>
      </c>
      <c r="I2951" s="12" t="s">
        <v>486</v>
      </c>
      <c r="J2951" s="12" t="s">
        <v>487</v>
      </c>
      <c r="K2951" s="12" t="s">
        <v>125</v>
      </c>
      <c r="L2951" s="12" t="s">
        <v>69</v>
      </c>
      <c r="M2951">
        <v>36.86</v>
      </c>
      <c r="N2951" s="12" t="s">
        <v>107</v>
      </c>
      <c r="O2951" s="12" t="s">
        <v>108</v>
      </c>
      <c r="P2951" s="12" t="s">
        <v>109</v>
      </c>
      <c r="Q2951" s="13">
        <v>45469</v>
      </c>
      <c r="R2951" s="13">
        <v>45505</v>
      </c>
      <c r="S2951">
        <v>2024</v>
      </c>
      <c r="T2951" s="12" t="s">
        <v>3649</v>
      </c>
      <c r="U2951">
        <v>131</v>
      </c>
      <c r="V2951">
        <v>201.08609999999999</v>
      </c>
      <c r="W2951">
        <v>448.55</v>
      </c>
      <c r="X2951">
        <v>0</v>
      </c>
      <c r="Y2951">
        <v>0</v>
      </c>
      <c r="Z2951">
        <v>26342.28</v>
      </c>
      <c r="AA2951">
        <v>26790.83</v>
      </c>
      <c r="AB2951" s="12" t="s">
        <v>2658</v>
      </c>
      <c r="AC2951">
        <v>201.08609999999999</v>
      </c>
      <c r="AD2951">
        <v>1</v>
      </c>
      <c r="AE2951">
        <v>1</v>
      </c>
      <c r="AF2951">
        <v>0</v>
      </c>
      <c r="AG2951">
        <v>26342.28</v>
      </c>
      <c r="AH2951">
        <v>131</v>
      </c>
      <c r="AI2951">
        <v>131</v>
      </c>
      <c r="AJ2951">
        <v>0</v>
      </c>
      <c r="AK2951">
        <v>1</v>
      </c>
      <c r="AL2951">
        <v>1</v>
      </c>
      <c r="AM2951">
        <v>100</v>
      </c>
      <c r="AN2951">
        <v>204.51009999999999</v>
      </c>
      <c r="AO2951">
        <v>0</v>
      </c>
      <c r="AP2951" s="13">
        <v>45502</v>
      </c>
      <c r="AQ2951">
        <v>-3</v>
      </c>
      <c r="AR2951">
        <v>1</v>
      </c>
    </row>
    <row r="2952" spans="1:44" x14ac:dyDescent="0.35">
      <c r="A2952" s="12" t="s">
        <v>3837</v>
      </c>
      <c r="B2952" s="12" t="s">
        <v>331</v>
      </c>
      <c r="C2952" s="12" t="s">
        <v>332</v>
      </c>
      <c r="D2952" s="12" t="s">
        <v>122</v>
      </c>
      <c r="E2952" s="12" t="s">
        <v>142</v>
      </c>
      <c r="F2952">
        <v>3</v>
      </c>
      <c r="G2952">
        <v>11</v>
      </c>
      <c r="H2952">
        <v>0</v>
      </c>
      <c r="I2952" s="12" t="s">
        <v>263</v>
      </c>
      <c r="J2952" s="12" t="s">
        <v>264</v>
      </c>
      <c r="K2952" s="12" t="s">
        <v>125</v>
      </c>
      <c r="L2952" s="12" t="s">
        <v>82</v>
      </c>
      <c r="M2952">
        <v>10.210000000000001</v>
      </c>
      <c r="N2952" s="12" t="s">
        <v>70</v>
      </c>
      <c r="O2952" s="12" t="s">
        <v>71</v>
      </c>
      <c r="P2952" s="12" t="s">
        <v>72</v>
      </c>
      <c r="Q2952" s="13">
        <v>45469</v>
      </c>
      <c r="R2952" s="13">
        <v>45519</v>
      </c>
      <c r="S2952">
        <v>2024</v>
      </c>
      <c r="T2952" s="12" t="s">
        <v>3649</v>
      </c>
      <c r="U2952">
        <v>1756</v>
      </c>
      <c r="V2952">
        <v>22.6172</v>
      </c>
      <c r="W2952">
        <v>826.94</v>
      </c>
      <c r="X2952">
        <v>0</v>
      </c>
      <c r="Y2952">
        <v>0</v>
      </c>
      <c r="Z2952">
        <v>39715.800000000003</v>
      </c>
      <c r="AA2952">
        <v>40542.74</v>
      </c>
      <c r="AB2952" s="12" t="s">
        <v>2732</v>
      </c>
      <c r="AC2952">
        <v>24.008700000000001</v>
      </c>
      <c r="AD2952">
        <v>1</v>
      </c>
      <c r="AE2952">
        <v>1</v>
      </c>
      <c r="AF2952">
        <v>-2443.4699999999998</v>
      </c>
      <c r="AG2952">
        <v>42159.28</v>
      </c>
      <c r="AH2952">
        <v>1756</v>
      </c>
      <c r="AI2952">
        <v>1749</v>
      </c>
      <c r="AJ2952">
        <v>7</v>
      </c>
      <c r="AK2952">
        <v>1</v>
      </c>
      <c r="AL2952">
        <v>1</v>
      </c>
      <c r="AM2952">
        <v>99.6</v>
      </c>
      <c r="AN2952">
        <v>23.180499999999999</v>
      </c>
      <c r="AO2952">
        <v>158.32</v>
      </c>
      <c r="AP2952" s="13">
        <v>45525</v>
      </c>
      <c r="AQ2952">
        <v>6</v>
      </c>
      <c r="AR2952">
        <v>0</v>
      </c>
    </row>
    <row r="2953" spans="1:44" x14ac:dyDescent="0.35">
      <c r="A2953" s="12" t="s">
        <v>3838</v>
      </c>
      <c r="B2953" s="12" t="s">
        <v>869</v>
      </c>
      <c r="C2953" s="12" t="s">
        <v>870</v>
      </c>
      <c r="D2953" s="12" t="s">
        <v>130</v>
      </c>
      <c r="E2953" s="12" t="s">
        <v>104</v>
      </c>
      <c r="F2953">
        <v>2</v>
      </c>
      <c r="G2953">
        <v>0</v>
      </c>
      <c r="H2953">
        <v>0</v>
      </c>
      <c r="I2953" s="12" t="s">
        <v>515</v>
      </c>
      <c r="J2953" s="12" t="s">
        <v>516</v>
      </c>
      <c r="K2953" s="12" t="s">
        <v>68</v>
      </c>
      <c r="L2953" s="12" t="s">
        <v>134</v>
      </c>
      <c r="M2953">
        <v>3.69</v>
      </c>
      <c r="N2953" s="12" t="s">
        <v>159</v>
      </c>
      <c r="O2953" s="12" t="s">
        <v>160</v>
      </c>
      <c r="P2953" s="12" t="s">
        <v>137</v>
      </c>
      <c r="Q2953" s="13">
        <v>45469</v>
      </c>
      <c r="R2953" s="13">
        <v>45491</v>
      </c>
      <c r="S2953">
        <v>2024</v>
      </c>
      <c r="T2953" s="12" t="s">
        <v>3649</v>
      </c>
      <c r="U2953">
        <v>88</v>
      </c>
      <c r="V2953">
        <v>634.55970000000002</v>
      </c>
      <c r="W2953">
        <v>676.72</v>
      </c>
      <c r="X2953">
        <v>0</v>
      </c>
      <c r="Y2953">
        <v>0</v>
      </c>
      <c r="Z2953">
        <v>55841.25</v>
      </c>
      <c r="AA2953">
        <v>56517.97</v>
      </c>
      <c r="AB2953" s="12" t="s">
        <v>201</v>
      </c>
      <c r="AD2953">
        <v>0</v>
      </c>
      <c r="AE2953">
        <v>0</v>
      </c>
      <c r="AH2953">
        <v>88</v>
      </c>
      <c r="AI2953">
        <v>87</v>
      </c>
      <c r="AJ2953">
        <v>1</v>
      </c>
      <c r="AK2953">
        <v>1</v>
      </c>
      <c r="AL2953">
        <v>1</v>
      </c>
      <c r="AM2953">
        <v>98.86</v>
      </c>
      <c r="AN2953">
        <v>649.63189999999997</v>
      </c>
      <c r="AO2953">
        <v>634.55999999999995</v>
      </c>
      <c r="AP2953" s="13">
        <v>45488</v>
      </c>
      <c r="AQ2953">
        <v>-3</v>
      </c>
      <c r="AR2953">
        <v>1</v>
      </c>
    </row>
    <row r="2954" spans="1:44" x14ac:dyDescent="0.35">
      <c r="A2954" s="12" t="s">
        <v>3839</v>
      </c>
      <c r="B2954" s="12" t="s">
        <v>1220</v>
      </c>
      <c r="C2954" s="12" t="s">
        <v>1221</v>
      </c>
      <c r="D2954" s="12" t="s">
        <v>175</v>
      </c>
      <c r="E2954" s="12" t="s">
        <v>104</v>
      </c>
      <c r="F2954">
        <v>3</v>
      </c>
      <c r="G2954">
        <v>1</v>
      </c>
      <c r="H2954">
        <v>0</v>
      </c>
      <c r="I2954" s="12" t="s">
        <v>251</v>
      </c>
      <c r="J2954" s="12" t="s">
        <v>252</v>
      </c>
      <c r="K2954" s="12" t="s">
        <v>133</v>
      </c>
      <c r="L2954" s="12" t="s">
        <v>69</v>
      </c>
      <c r="M2954">
        <v>34.49</v>
      </c>
      <c r="N2954" s="12" t="s">
        <v>107</v>
      </c>
      <c r="O2954" s="12" t="s">
        <v>108</v>
      </c>
      <c r="P2954" s="12" t="s">
        <v>109</v>
      </c>
      <c r="Q2954" s="13">
        <v>45470</v>
      </c>
      <c r="R2954" s="13">
        <v>45495</v>
      </c>
      <c r="S2954">
        <v>2024</v>
      </c>
      <c r="T2954" s="12" t="s">
        <v>3649</v>
      </c>
      <c r="U2954">
        <v>112</v>
      </c>
      <c r="V2954">
        <v>138.95140000000001</v>
      </c>
      <c r="W2954">
        <v>151.21</v>
      </c>
      <c r="X2954">
        <v>0</v>
      </c>
      <c r="Y2954">
        <v>0</v>
      </c>
      <c r="Z2954">
        <v>15562.56</v>
      </c>
      <c r="AA2954">
        <v>15713.77</v>
      </c>
      <c r="AB2954" s="12" t="s">
        <v>3687</v>
      </c>
      <c r="AC2954">
        <v>138.95140000000001</v>
      </c>
      <c r="AD2954">
        <v>1</v>
      </c>
      <c r="AE2954">
        <v>1</v>
      </c>
      <c r="AF2954">
        <v>0</v>
      </c>
      <c r="AG2954">
        <v>15562.56</v>
      </c>
      <c r="AH2954">
        <v>112</v>
      </c>
      <c r="AI2954">
        <v>111</v>
      </c>
      <c r="AJ2954">
        <v>1</v>
      </c>
      <c r="AK2954">
        <v>1</v>
      </c>
      <c r="AL2954">
        <v>1</v>
      </c>
      <c r="AM2954">
        <v>99.11</v>
      </c>
      <c r="AN2954">
        <v>141.56549999999999</v>
      </c>
      <c r="AO2954">
        <v>138.94999999999999</v>
      </c>
      <c r="AP2954" s="13">
        <v>45493</v>
      </c>
      <c r="AQ2954">
        <v>-2</v>
      </c>
      <c r="AR2954">
        <v>1</v>
      </c>
    </row>
    <row r="2955" spans="1:44" x14ac:dyDescent="0.35">
      <c r="A2955" s="12" t="s">
        <v>3840</v>
      </c>
      <c r="B2955" s="12" t="s">
        <v>284</v>
      </c>
      <c r="C2955" s="12" t="s">
        <v>285</v>
      </c>
      <c r="D2955" s="12" t="s">
        <v>269</v>
      </c>
      <c r="E2955" s="12" t="s">
        <v>104</v>
      </c>
      <c r="F2955">
        <v>3</v>
      </c>
      <c r="G2955">
        <v>1</v>
      </c>
      <c r="H2955">
        <v>0</v>
      </c>
      <c r="I2955" s="12" t="s">
        <v>199</v>
      </c>
      <c r="J2955" s="12" t="s">
        <v>200</v>
      </c>
      <c r="K2955" s="12" t="s">
        <v>68</v>
      </c>
      <c r="L2955" s="12" t="s">
        <v>96</v>
      </c>
      <c r="M2955">
        <v>9.4700000000000006</v>
      </c>
      <c r="N2955" s="12" t="s">
        <v>135</v>
      </c>
      <c r="O2955" s="12" t="s">
        <v>136</v>
      </c>
      <c r="P2955" s="12" t="s">
        <v>137</v>
      </c>
      <c r="Q2955" s="13">
        <v>45470</v>
      </c>
      <c r="R2955" s="13">
        <v>45483</v>
      </c>
      <c r="S2955">
        <v>2024</v>
      </c>
      <c r="T2955" s="12" t="s">
        <v>3649</v>
      </c>
      <c r="U2955">
        <v>19</v>
      </c>
      <c r="V2955">
        <v>393.89550000000003</v>
      </c>
      <c r="W2955">
        <v>85.9</v>
      </c>
      <c r="X2955">
        <v>0</v>
      </c>
      <c r="Y2955">
        <v>0</v>
      </c>
      <c r="Z2955">
        <v>7484.01</v>
      </c>
      <c r="AA2955">
        <v>7569.91</v>
      </c>
      <c r="AB2955" s="12" t="s">
        <v>201</v>
      </c>
      <c r="AD2955">
        <v>0</v>
      </c>
      <c r="AE2955">
        <v>0</v>
      </c>
      <c r="AH2955">
        <v>19</v>
      </c>
      <c r="AI2955">
        <v>19</v>
      </c>
      <c r="AJ2955">
        <v>0</v>
      </c>
      <c r="AK2955">
        <v>1</v>
      </c>
      <c r="AL2955">
        <v>1</v>
      </c>
      <c r="AM2955">
        <v>100</v>
      </c>
      <c r="AN2955">
        <v>398.41660000000002</v>
      </c>
      <c r="AO2955">
        <v>0</v>
      </c>
      <c r="AP2955" s="13">
        <v>45482</v>
      </c>
      <c r="AQ2955">
        <v>-1</v>
      </c>
      <c r="AR2955">
        <v>1</v>
      </c>
    </row>
    <row r="2956" spans="1:44" x14ac:dyDescent="0.35">
      <c r="A2956" s="12" t="s">
        <v>3841</v>
      </c>
      <c r="B2956" s="12" t="s">
        <v>694</v>
      </c>
      <c r="C2956" s="12" t="s">
        <v>695</v>
      </c>
      <c r="D2956" s="12" t="s">
        <v>103</v>
      </c>
      <c r="E2956" s="12" t="s">
        <v>65</v>
      </c>
      <c r="F2956">
        <v>2</v>
      </c>
      <c r="G2956">
        <v>3</v>
      </c>
      <c r="H2956">
        <v>0</v>
      </c>
      <c r="I2956" s="12" t="s">
        <v>263</v>
      </c>
      <c r="J2956" s="12" t="s">
        <v>264</v>
      </c>
      <c r="K2956" s="12" t="s">
        <v>125</v>
      </c>
      <c r="L2956" s="12" t="s">
        <v>82</v>
      </c>
      <c r="M2956">
        <v>10.210000000000001</v>
      </c>
      <c r="N2956" s="12" t="s">
        <v>145</v>
      </c>
      <c r="O2956" s="12" t="s">
        <v>146</v>
      </c>
      <c r="P2956" s="12" t="s">
        <v>109</v>
      </c>
      <c r="Q2956" s="13">
        <v>45470</v>
      </c>
      <c r="R2956" s="13">
        <v>45505</v>
      </c>
      <c r="S2956">
        <v>2024</v>
      </c>
      <c r="T2956" s="12" t="s">
        <v>3649</v>
      </c>
      <c r="U2956">
        <v>123</v>
      </c>
      <c r="V2956">
        <v>211.1463</v>
      </c>
      <c r="W2956">
        <v>172.48</v>
      </c>
      <c r="X2956">
        <v>0</v>
      </c>
      <c r="Y2956">
        <v>0</v>
      </c>
      <c r="Z2956">
        <v>25970.99</v>
      </c>
      <c r="AA2956">
        <v>26143.47</v>
      </c>
      <c r="AB2956" s="12" t="s">
        <v>3377</v>
      </c>
      <c r="AC2956">
        <v>211.1463</v>
      </c>
      <c r="AD2956">
        <v>1</v>
      </c>
      <c r="AE2956">
        <v>1</v>
      </c>
      <c r="AF2956">
        <v>0</v>
      </c>
      <c r="AG2956">
        <v>25970.99</v>
      </c>
      <c r="AH2956">
        <v>123</v>
      </c>
      <c r="AI2956">
        <v>123</v>
      </c>
      <c r="AJ2956">
        <v>0</v>
      </c>
      <c r="AK2956">
        <v>1</v>
      </c>
      <c r="AL2956">
        <v>1</v>
      </c>
      <c r="AM2956">
        <v>100</v>
      </c>
      <c r="AN2956">
        <v>212.54859999999999</v>
      </c>
      <c r="AO2956">
        <v>0</v>
      </c>
      <c r="AP2956" s="13">
        <v>45505</v>
      </c>
      <c r="AQ2956">
        <v>0</v>
      </c>
      <c r="AR2956">
        <v>1</v>
      </c>
    </row>
    <row r="2957" spans="1:44" x14ac:dyDescent="0.35">
      <c r="A2957" s="12" t="s">
        <v>3842</v>
      </c>
      <c r="B2957" s="12" t="s">
        <v>555</v>
      </c>
      <c r="C2957" s="12" t="s">
        <v>556</v>
      </c>
      <c r="D2957" s="12" t="s">
        <v>114</v>
      </c>
      <c r="E2957" s="12" t="s">
        <v>142</v>
      </c>
      <c r="F2957">
        <v>1</v>
      </c>
      <c r="G2957">
        <v>6</v>
      </c>
      <c r="H2957">
        <v>1</v>
      </c>
      <c r="I2957" s="12" t="s">
        <v>151</v>
      </c>
      <c r="J2957" s="12" t="s">
        <v>152</v>
      </c>
      <c r="K2957" s="12" t="s">
        <v>125</v>
      </c>
      <c r="L2957" s="12" t="s">
        <v>69</v>
      </c>
      <c r="M2957">
        <v>36.479999999999997</v>
      </c>
      <c r="N2957" s="12" t="s">
        <v>97</v>
      </c>
      <c r="O2957" s="12" t="s">
        <v>98</v>
      </c>
      <c r="P2957" s="12" t="s">
        <v>72</v>
      </c>
      <c r="Q2957" s="13">
        <v>45470</v>
      </c>
      <c r="R2957" s="13">
        <v>45513</v>
      </c>
      <c r="S2957">
        <v>2024</v>
      </c>
      <c r="T2957" s="12" t="s">
        <v>3649</v>
      </c>
      <c r="U2957">
        <v>77</v>
      </c>
      <c r="V2957">
        <v>278.31920000000002</v>
      </c>
      <c r="W2957">
        <v>153.12</v>
      </c>
      <c r="X2957">
        <v>0</v>
      </c>
      <c r="Y2957">
        <v>0</v>
      </c>
      <c r="Z2957">
        <v>21430.58</v>
      </c>
      <c r="AA2957">
        <v>21583.7</v>
      </c>
      <c r="AB2957" s="12" t="s">
        <v>2922</v>
      </c>
      <c r="AC2957">
        <v>278.31920000000002</v>
      </c>
      <c r="AD2957">
        <v>1</v>
      </c>
      <c r="AE2957">
        <v>1</v>
      </c>
      <c r="AF2957">
        <v>0</v>
      </c>
      <c r="AG2957">
        <v>21430.58</v>
      </c>
      <c r="AH2957">
        <v>77</v>
      </c>
      <c r="AI2957">
        <v>77</v>
      </c>
      <c r="AJ2957">
        <v>0</v>
      </c>
      <c r="AK2957">
        <v>1</v>
      </c>
      <c r="AL2957">
        <v>1</v>
      </c>
      <c r="AM2957">
        <v>100</v>
      </c>
      <c r="AN2957">
        <v>280.30779999999999</v>
      </c>
      <c r="AO2957">
        <v>0</v>
      </c>
      <c r="AP2957" s="13">
        <v>45512</v>
      </c>
      <c r="AQ2957">
        <v>-1</v>
      </c>
      <c r="AR2957">
        <v>1</v>
      </c>
    </row>
    <row r="2958" spans="1:44" x14ac:dyDescent="0.35">
      <c r="A2958" s="12" t="s">
        <v>3843</v>
      </c>
      <c r="B2958" s="12" t="s">
        <v>442</v>
      </c>
      <c r="C2958" s="12" t="s">
        <v>443</v>
      </c>
      <c r="D2958" s="12" t="s">
        <v>130</v>
      </c>
      <c r="E2958" s="12" t="s">
        <v>65</v>
      </c>
      <c r="F2958">
        <v>3</v>
      </c>
      <c r="G2958">
        <v>4</v>
      </c>
      <c r="H2958">
        <v>0</v>
      </c>
      <c r="I2958" s="12" t="s">
        <v>251</v>
      </c>
      <c r="J2958" s="12" t="s">
        <v>252</v>
      </c>
      <c r="K2958" s="12" t="s">
        <v>133</v>
      </c>
      <c r="L2958" s="12" t="s">
        <v>69</v>
      </c>
      <c r="M2958">
        <v>34.49</v>
      </c>
      <c r="N2958" s="12" t="s">
        <v>135</v>
      </c>
      <c r="O2958" s="12" t="s">
        <v>136</v>
      </c>
      <c r="P2958" s="12" t="s">
        <v>137</v>
      </c>
      <c r="Q2958" s="13">
        <v>45470</v>
      </c>
      <c r="R2958" s="13">
        <v>45501</v>
      </c>
      <c r="S2958">
        <v>2024</v>
      </c>
      <c r="T2958" s="12" t="s">
        <v>3649</v>
      </c>
      <c r="U2958">
        <v>91</v>
      </c>
      <c r="V2958">
        <v>560.57730000000004</v>
      </c>
      <c r="W2958">
        <v>805.66</v>
      </c>
      <c r="X2958">
        <v>0</v>
      </c>
      <c r="Y2958">
        <v>0</v>
      </c>
      <c r="Z2958">
        <v>51012.53</v>
      </c>
      <c r="AA2958">
        <v>51818.19</v>
      </c>
      <c r="AB2958" s="12" t="s">
        <v>3116</v>
      </c>
      <c r="AC2958">
        <v>560.57730000000004</v>
      </c>
      <c r="AD2958">
        <v>1</v>
      </c>
      <c r="AE2958">
        <v>1</v>
      </c>
      <c r="AF2958">
        <v>0</v>
      </c>
      <c r="AG2958">
        <v>51012.53</v>
      </c>
      <c r="AH2958">
        <v>91</v>
      </c>
      <c r="AI2958">
        <v>90</v>
      </c>
      <c r="AJ2958">
        <v>1</v>
      </c>
      <c r="AK2958">
        <v>1</v>
      </c>
      <c r="AL2958">
        <v>1</v>
      </c>
      <c r="AM2958">
        <v>98.9</v>
      </c>
      <c r="AN2958">
        <v>575.7577</v>
      </c>
      <c r="AO2958">
        <v>560.58000000000004</v>
      </c>
      <c r="AP2958" s="13">
        <v>45499</v>
      </c>
      <c r="AQ2958">
        <v>-2</v>
      </c>
      <c r="AR2958">
        <v>1</v>
      </c>
    </row>
    <row r="2959" spans="1:44" x14ac:dyDescent="0.35">
      <c r="A2959" s="12" t="s">
        <v>3844</v>
      </c>
      <c r="B2959" s="12" t="s">
        <v>454</v>
      </c>
      <c r="C2959" s="12" t="s">
        <v>455</v>
      </c>
      <c r="D2959" s="12" t="s">
        <v>122</v>
      </c>
      <c r="E2959" s="12" t="s">
        <v>104</v>
      </c>
      <c r="F2959">
        <v>3</v>
      </c>
      <c r="G2959">
        <v>1</v>
      </c>
      <c r="H2959">
        <v>0</v>
      </c>
      <c r="I2959" s="12" t="s">
        <v>87</v>
      </c>
      <c r="J2959" s="12" t="s">
        <v>88</v>
      </c>
      <c r="K2959" s="12" t="s">
        <v>89</v>
      </c>
      <c r="L2959" s="12" t="s">
        <v>69</v>
      </c>
      <c r="M2959">
        <v>14.93</v>
      </c>
      <c r="N2959" s="12" t="s">
        <v>70</v>
      </c>
      <c r="O2959" s="12" t="s">
        <v>71</v>
      </c>
      <c r="P2959" s="12" t="s">
        <v>72</v>
      </c>
      <c r="Q2959" s="13">
        <v>45470</v>
      </c>
      <c r="R2959" s="13">
        <v>45484</v>
      </c>
      <c r="S2959">
        <v>2024</v>
      </c>
      <c r="T2959" s="12" t="s">
        <v>3649</v>
      </c>
      <c r="U2959">
        <v>434</v>
      </c>
      <c r="V2959">
        <v>22.249700000000001</v>
      </c>
      <c r="W2959">
        <v>241.96</v>
      </c>
      <c r="X2959">
        <v>0</v>
      </c>
      <c r="Y2959">
        <v>0</v>
      </c>
      <c r="Z2959">
        <v>9656.3700000000008</v>
      </c>
      <c r="AA2959">
        <v>9898.33</v>
      </c>
      <c r="AB2959" s="12" t="s">
        <v>3124</v>
      </c>
      <c r="AC2959">
        <v>21.4115</v>
      </c>
      <c r="AD2959">
        <v>1</v>
      </c>
      <c r="AE2959">
        <v>1</v>
      </c>
      <c r="AF2959">
        <v>363.78</v>
      </c>
      <c r="AG2959">
        <v>9292.59</v>
      </c>
      <c r="AH2959">
        <v>434</v>
      </c>
      <c r="AI2959">
        <v>431</v>
      </c>
      <c r="AJ2959">
        <v>3</v>
      </c>
      <c r="AK2959">
        <v>1</v>
      </c>
      <c r="AL2959">
        <v>1</v>
      </c>
      <c r="AM2959">
        <v>99.31</v>
      </c>
      <c r="AN2959">
        <v>22.966000000000001</v>
      </c>
      <c r="AO2959">
        <v>66.75</v>
      </c>
      <c r="AP2959" s="13">
        <v>45484</v>
      </c>
      <c r="AQ2959">
        <v>0</v>
      </c>
      <c r="AR2959">
        <v>1</v>
      </c>
    </row>
    <row r="2960" spans="1:44" x14ac:dyDescent="0.35">
      <c r="A2960" s="12" t="s">
        <v>3845</v>
      </c>
      <c r="B2960" s="12" t="s">
        <v>902</v>
      </c>
      <c r="C2960" s="12" t="s">
        <v>903</v>
      </c>
      <c r="D2960" s="12" t="s">
        <v>122</v>
      </c>
      <c r="E2960" s="12" t="s">
        <v>142</v>
      </c>
      <c r="F2960">
        <v>1</v>
      </c>
      <c r="G2960">
        <v>6</v>
      </c>
      <c r="H2960">
        <v>1</v>
      </c>
      <c r="I2960" s="12" t="s">
        <v>105</v>
      </c>
      <c r="J2960" s="12" t="s">
        <v>106</v>
      </c>
      <c r="K2960" s="12" t="s">
        <v>81</v>
      </c>
      <c r="L2960" s="12" t="s">
        <v>96</v>
      </c>
      <c r="M2960">
        <v>5.01</v>
      </c>
      <c r="N2960" s="12" t="s">
        <v>97</v>
      </c>
      <c r="O2960" s="12" t="s">
        <v>98</v>
      </c>
      <c r="P2960" s="12" t="s">
        <v>72</v>
      </c>
      <c r="Q2960" s="13">
        <v>45470</v>
      </c>
      <c r="R2960" s="13">
        <v>45511</v>
      </c>
      <c r="S2960">
        <v>2024</v>
      </c>
      <c r="T2960" s="12" t="s">
        <v>3649</v>
      </c>
      <c r="U2960">
        <v>887</v>
      </c>
      <c r="V2960">
        <v>41.6892</v>
      </c>
      <c r="W2960">
        <v>828.31</v>
      </c>
      <c r="X2960">
        <v>0</v>
      </c>
      <c r="Y2960">
        <v>0</v>
      </c>
      <c r="Z2960">
        <v>36978.32</v>
      </c>
      <c r="AA2960">
        <v>37806.629999999997</v>
      </c>
      <c r="AB2960" s="12" t="s">
        <v>3284</v>
      </c>
      <c r="AC2960">
        <v>41.6892</v>
      </c>
      <c r="AD2960">
        <v>1</v>
      </c>
      <c r="AE2960">
        <v>1</v>
      </c>
      <c r="AF2960">
        <v>0</v>
      </c>
      <c r="AG2960">
        <v>36978.32</v>
      </c>
      <c r="AH2960">
        <v>887</v>
      </c>
      <c r="AI2960">
        <v>882</v>
      </c>
      <c r="AJ2960">
        <v>5</v>
      </c>
      <c r="AK2960">
        <v>1</v>
      </c>
      <c r="AL2960">
        <v>1</v>
      </c>
      <c r="AM2960">
        <v>99.44</v>
      </c>
      <c r="AN2960">
        <v>42.864699999999999</v>
      </c>
      <c r="AO2960">
        <v>208.45</v>
      </c>
      <c r="AP2960" s="13">
        <v>45511</v>
      </c>
      <c r="AQ2960">
        <v>0</v>
      </c>
      <c r="AR2960">
        <v>1</v>
      </c>
    </row>
    <row r="2961" spans="1:44" x14ac:dyDescent="0.35">
      <c r="A2961" s="12" t="s">
        <v>3846</v>
      </c>
      <c r="B2961" s="12" t="s">
        <v>613</v>
      </c>
      <c r="C2961" s="12" t="s">
        <v>614</v>
      </c>
      <c r="D2961" s="12" t="s">
        <v>130</v>
      </c>
      <c r="E2961" s="12" t="s">
        <v>104</v>
      </c>
      <c r="F2961">
        <v>3</v>
      </c>
      <c r="G2961">
        <v>1</v>
      </c>
      <c r="H2961">
        <v>0</v>
      </c>
      <c r="I2961" s="12" t="s">
        <v>676</v>
      </c>
      <c r="J2961" s="12" t="s">
        <v>677</v>
      </c>
      <c r="K2961" s="12" t="s">
        <v>68</v>
      </c>
      <c r="L2961" s="12" t="s">
        <v>96</v>
      </c>
      <c r="M2961">
        <v>3.57</v>
      </c>
      <c r="N2961" s="12" t="s">
        <v>159</v>
      </c>
      <c r="O2961" s="12" t="s">
        <v>160</v>
      </c>
      <c r="P2961" s="12" t="s">
        <v>137</v>
      </c>
      <c r="Q2961" s="13">
        <v>45471</v>
      </c>
      <c r="R2961" s="13">
        <v>45500</v>
      </c>
      <c r="S2961">
        <v>2024</v>
      </c>
      <c r="T2961" s="12" t="s">
        <v>3649</v>
      </c>
      <c r="U2961">
        <v>144</v>
      </c>
      <c r="V2961">
        <v>173.64699999999999</v>
      </c>
      <c r="W2961">
        <v>278.26</v>
      </c>
      <c r="X2961">
        <v>772.8</v>
      </c>
      <c r="Y2961">
        <v>1</v>
      </c>
      <c r="Z2961">
        <v>25005.17</v>
      </c>
      <c r="AA2961">
        <v>26056.23</v>
      </c>
      <c r="AB2961" s="12" t="s">
        <v>3847</v>
      </c>
      <c r="AC2961">
        <v>173.64699999999999</v>
      </c>
      <c r="AD2961">
        <v>1</v>
      </c>
      <c r="AE2961">
        <v>1</v>
      </c>
      <c r="AF2961">
        <v>0</v>
      </c>
      <c r="AG2961">
        <v>25005.17</v>
      </c>
      <c r="AH2961">
        <v>144</v>
      </c>
      <c r="AI2961">
        <v>142</v>
      </c>
      <c r="AJ2961">
        <v>2</v>
      </c>
      <c r="AK2961">
        <v>1</v>
      </c>
      <c r="AL2961">
        <v>1</v>
      </c>
      <c r="AM2961">
        <v>98.61</v>
      </c>
      <c r="AN2961">
        <v>183.49459999999999</v>
      </c>
      <c r="AO2961">
        <v>347.29</v>
      </c>
      <c r="AP2961" s="13">
        <v>45499</v>
      </c>
      <c r="AQ2961">
        <v>-1</v>
      </c>
      <c r="AR2961">
        <v>1</v>
      </c>
    </row>
    <row r="2962" spans="1:44" x14ac:dyDescent="0.35">
      <c r="A2962" s="12" t="s">
        <v>3848</v>
      </c>
      <c r="B2962" s="12" t="s">
        <v>990</v>
      </c>
      <c r="C2962" s="12" t="s">
        <v>991</v>
      </c>
      <c r="D2962" s="12" t="s">
        <v>122</v>
      </c>
      <c r="E2962" s="12" t="s">
        <v>142</v>
      </c>
      <c r="F2962">
        <v>1</v>
      </c>
      <c r="G2962">
        <v>6</v>
      </c>
      <c r="H2962">
        <v>1</v>
      </c>
      <c r="I2962" s="12" t="s">
        <v>217</v>
      </c>
      <c r="J2962" s="12" t="s">
        <v>218</v>
      </c>
      <c r="K2962" s="12" t="s">
        <v>68</v>
      </c>
      <c r="L2962" s="12" t="s">
        <v>82</v>
      </c>
      <c r="M2962">
        <v>14.24</v>
      </c>
      <c r="N2962" s="12" t="s">
        <v>97</v>
      </c>
      <c r="O2962" s="12" t="s">
        <v>98</v>
      </c>
      <c r="P2962" s="12" t="s">
        <v>72</v>
      </c>
      <c r="Q2962" s="13">
        <v>45471</v>
      </c>
      <c r="R2962" s="13">
        <v>45515</v>
      </c>
      <c r="S2962">
        <v>2024</v>
      </c>
      <c r="T2962" s="12" t="s">
        <v>3649</v>
      </c>
      <c r="U2962">
        <v>1165</v>
      </c>
      <c r="V2962">
        <v>33.6252</v>
      </c>
      <c r="W2962">
        <v>368.97</v>
      </c>
      <c r="X2962">
        <v>0</v>
      </c>
      <c r="Y2962">
        <v>0</v>
      </c>
      <c r="Z2962">
        <v>39173.360000000001</v>
      </c>
      <c r="AA2962">
        <v>39542.33</v>
      </c>
      <c r="AB2962" s="12" t="s">
        <v>3368</v>
      </c>
      <c r="AC2962">
        <v>33.6252</v>
      </c>
      <c r="AD2962">
        <v>1</v>
      </c>
      <c r="AE2962">
        <v>1</v>
      </c>
      <c r="AF2962">
        <v>0</v>
      </c>
      <c r="AG2962">
        <v>39173.360000000001</v>
      </c>
      <c r="AH2962">
        <v>1165</v>
      </c>
      <c r="AI2962">
        <v>1153</v>
      </c>
      <c r="AJ2962">
        <v>12</v>
      </c>
      <c r="AK2962">
        <v>1</v>
      </c>
      <c r="AL2962">
        <v>1</v>
      </c>
      <c r="AM2962">
        <v>98.97</v>
      </c>
      <c r="AN2962">
        <v>34.295200000000001</v>
      </c>
      <c r="AO2962">
        <v>403.5</v>
      </c>
      <c r="AP2962" s="13">
        <v>45513</v>
      </c>
      <c r="AQ2962">
        <v>-2</v>
      </c>
      <c r="AR2962">
        <v>1</v>
      </c>
    </row>
    <row r="2963" spans="1:44" x14ac:dyDescent="0.35">
      <c r="A2963" s="12" t="s">
        <v>3849</v>
      </c>
      <c r="B2963" s="12" t="s">
        <v>357</v>
      </c>
      <c r="C2963" s="12" t="s">
        <v>358</v>
      </c>
      <c r="D2963" s="12" t="s">
        <v>103</v>
      </c>
      <c r="E2963" s="12" t="s">
        <v>104</v>
      </c>
      <c r="F2963">
        <v>3</v>
      </c>
      <c r="G2963">
        <v>1</v>
      </c>
      <c r="H2963">
        <v>0</v>
      </c>
      <c r="I2963" s="12" t="s">
        <v>105</v>
      </c>
      <c r="J2963" s="12" t="s">
        <v>106</v>
      </c>
      <c r="K2963" s="12" t="s">
        <v>81</v>
      </c>
      <c r="L2963" s="12" t="s">
        <v>96</v>
      </c>
      <c r="M2963">
        <v>5.01</v>
      </c>
      <c r="N2963" s="12" t="s">
        <v>107</v>
      </c>
      <c r="O2963" s="12" t="s">
        <v>108</v>
      </c>
      <c r="P2963" s="12" t="s">
        <v>109</v>
      </c>
      <c r="Q2963" s="13">
        <v>45471</v>
      </c>
      <c r="R2963" s="13">
        <v>45496</v>
      </c>
      <c r="S2963">
        <v>2024</v>
      </c>
      <c r="T2963" s="12" t="s">
        <v>3649</v>
      </c>
      <c r="U2963">
        <v>118</v>
      </c>
      <c r="V2963">
        <v>106.6647</v>
      </c>
      <c r="W2963">
        <v>135.21</v>
      </c>
      <c r="X2963">
        <v>0</v>
      </c>
      <c r="Y2963">
        <v>0</v>
      </c>
      <c r="Z2963">
        <v>12586.43</v>
      </c>
      <c r="AA2963">
        <v>12721.64</v>
      </c>
      <c r="AB2963" s="12" t="s">
        <v>2591</v>
      </c>
      <c r="AC2963">
        <v>106.6647</v>
      </c>
      <c r="AD2963">
        <v>1</v>
      </c>
      <c r="AE2963">
        <v>1</v>
      </c>
      <c r="AF2963">
        <v>0</v>
      </c>
      <c r="AG2963">
        <v>12586.43</v>
      </c>
      <c r="AH2963">
        <v>118</v>
      </c>
      <c r="AI2963">
        <v>117</v>
      </c>
      <c r="AJ2963">
        <v>1</v>
      </c>
      <c r="AK2963">
        <v>1</v>
      </c>
      <c r="AL2963">
        <v>1</v>
      </c>
      <c r="AM2963">
        <v>99.15</v>
      </c>
      <c r="AN2963">
        <v>108.732</v>
      </c>
      <c r="AO2963">
        <v>106.66</v>
      </c>
      <c r="AP2963" s="13">
        <v>45496</v>
      </c>
      <c r="AQ2963">
        <v>0</v>
      </c>
      <c r="AR2963">
        <v>1</v>
      </c>
    </row>
    <row r="2964" spans="1:44" x14ac:dyDescent="0.35">
      <c r="A2964" s="12" t="s">
        <v>3850</v>
      </c>
      <c r="B2964" s="12" t="s">
        <v>827</v>
      </c>
      <c r="C2964" s="12" t="s">
        <v>828</v>
      </c>
      <c r="D2964" s="12" t="s">
        <v>175</v>
      </c>
      <c r="E2964" s="12" t="s">
        <v>104</v>
      </c>
      <c r="F2964">
        <v>2</v>
      </c>
      <c r="G2964">
        <v>0</v>
      </c>
      <c r="H2964">
        <v>0</v>
      </c>
      <c r="I2964" s="12" t="s">
        <v>183</v>
      </c>
      <c r="J2964" s="12" t="s">
        <v>184</v>
      </c>
      <c r="K2964" s="12" t="s">
        <v>133</v>
      </c>
      <c r="L2964" s="12" t="s">
        <v>82</v>
      </c>
      <c r="M2964">
        <v>8.6199999999999992</v>
      </c>
      <c r="N2964" s="12" t="s">
        <v>107</v>
      </c>
      <c r="O2964" s="12" t="s">
        <v>108</v>
      </c>
      <c r="P2964" s="12" t="s">
        <v>109</v>
      </c>
      <c r="Q2964" s="13">
        <v>45471</v>
      </c>
      <c r="R2964" s="13">
        <v>45490</v>
      </c>
      <c r="S2964">
        <v>2024</v>
      </c>
      <c r="T2964" s="12" t="s">
        <v>3649</v>
      </c>
      <c r="U2964">
        <v>70</v>
      </c>
      <c r="V2964">
        <v>101.62560000000001</v>
      </c>
      <c r="W2964">
        <v>151.06</v>
      </c>
      <c r="X2964">
        <v>0</v>
      </c>
      <c r="Y2964">
        <v>0</v>
      </c>
      <c r="Z2964">
        <v>7113.79</v>
      </c>
      <c r="AA2964">
        <v>7264.85</v>
      </c>
      <c r="AB2964" s="12" t="s">
        <v>3394</v>
      </c>
      <c r="AC2964">
        <v>101.62560000000001</v>
      </c>
      <c r="AD2964">
        <v>1</v>
      </c>
      <c r="AE2964">
        <v>1</v>
      </c>
      <c r="AF2964">
        <v>0</v>
      </c>
      <c r="AG2964">
        <v>7113.79</v>
      </c>
      <c r="AH2964">
        <v>70</v>
      </c>
      <c r="AI2964">
        <v>69</v>
      </c>
      <c r="AJ2964">
        <v>1</v>
      </c>
      <c r="AK2964">
        <v>1</v>
      </c>
      <c r="AL2964">
        <v>1</v>
      </c>
      <c r="AM2964">
        <v>98.57</v>
      </c>
      <c r="AN2964">
        <v>105.2877</v>
      </c>
      <c r="AO2964">
        <v>101.63</v>
      </c>
      <c r="AP2964" s="13">
        <v>45487</v>
      </c>
      <c r="AQ2964">
        <v>-3</v>
      </c>
      <c r="AR2964">
        <v>1</v>
      </c>
    </row>
    <row r="2965" spans="1:44" x14ac:dyDescent="0.35">
      <c r="A2965" s="12" t="s">
        <v>3851</v>
      </c>
      <c r="B2965" s="12" t="s">
        <v>267</v>
      </c>
      <c r="C2965" s="12" t="s">
        <v>268</v>
      </c>
      <c r="D2965" s="12" t="s">
        <v>269</v>
      </c>
      <c r="E2965" s="12" t="s">
        <v>142</v>
      </c>
      <c r="F2965">
        <v>1</v>
      </c>
      <c r="G2965">
        <v>8</v>
      </c>
      <c r="H2965">
        <v>1</v>
      </c>
      <c r="I2965" s="12" t="s">
        <v>94</v>
      </c>
      <c r="J2965" s="12" t="s">
        <v>95</v>
      </c>
      <c r="K2965" s="12" t="s">
        <v>81</v>
      </c>
      <c r="L2965" s="12" t="s">
        <v>96</v>
      </c>
      <c r="M2965">
        <v>4.8099999999999996</v>
      </c>
      <c r="N2965" s="12" t="s">
        <v>159</v>
      </c>
      <c r="O2965" s="12" t="s">
        <v>160</v>
      </c>
      <c r="P2965" s="12" t="s">
        <v>137</v>
      </c>
      <c r="Q2965" s="13">
        <v>45471</v>
      </c>
      <c r="R2965" s="13">
        <v>45518</v>
      </c>
      <c r="S2965">
        <v>2024</v>
      </c>
      <c r="T2965" s="12" t="s">
        <v>3649</v>
      </c>
      <c r="U2965">
        <v>104</v>
      </c>
      <c r="V2965">
        <v>225.02719999999999</v>
      </c>
      <c r="W2965">
        <v>462.75</v>
      </c>
      <c r="X2965">
        <v>0</v>
      </c>
      <c r="Y2965">
        <v>0</v>
      </c>
      <c r="Z2965">
        <v>23402.83</v>
      </c>
      <c r="AA2965">
        <v>23865.58</v>
      </c>
      <c r="AB2965" s="12" t="s">
        <v>2878</v>
      </c>
      <c r="AC2965">
        <v>225.02719999999999</v>
      </c>
      <c r="AD2965">
        <v>1</v>
      </c>
      <c r="AE2965">
        <v>1</v>
      </c>
      <c r="AF2965">
        <v>0</v>
      </c>
      <c r="AG2965">
        <v>23402.83</v>
      </c>
      <c r="AH2965">
        <v>104</v>
      </c>
      <c r="AI2965">
        <v>104</v>
      </c>
      <c r="AJ2965">
        <v>0</v>
      </c>
      <c r="AK2965">
        <v>1</v>
      </c>
      <c r="AL2965">
        <v>1</v>
      </c>
      <c r="AM2965">
        <v>100</v>
      </c>
      <c r="AN2965">
        <v>229.47669999999999</v>
      </c>
      <c r="AO2965">
        <v>0</v>
      </c>
      <c r="AP2965" s="13">
        <v>45518</v>
      </c>
      <c r="AQ2965">
        <v>0</v>
      </c>
      <c r="AR2965">
        <v>1</v>
      </c>
    </row>
    <row r="2966" spans="1:44" x14ac:dyDescent="0.35">
      <c r="A2966" s="12" t="s">
        <v>3852</v>
      </c>
      <c r="B2966" s="12" t="s">
        <v>289</v>
      </c>
      <c r="C2966" s="12" t="s">
        <v>290</v>
      </c>
      <c r="D2966" s="12" t="s">
        <v>175</v>
      </c>
      <c r="E2966" s="12" t="s">
        <v>104</v>
      </c>
      <c r="F2966">
        <v>3</v>
      </c>
      <c r="G2966">
        <v>1</v>
      </c>
      <c r="H2966">
        <v>0</v>
      </c>
      <c r="I2966" s="12" t="s">
        <v>157</v>
      </c>
      <c r="J2966" s="12" t="s">
        <v>158</v>
      </c>
      <c r="K2966" s="12" t="s">
        <v>117</v>
      </c>
      <c r="L2966" s="12" t="s">
        <v>96</v>
      </c>
      <c r="M2966">
        <v>4.72</v>
      </c>
      <c r="N2966" s="12" t="s">
        <v>107</v>
      </c>
      <c r="O2966" s="12" t="s">
        <v>108</v>
      </c>
      <c r="P2966" s="12" t="s">
        <v>109</v>
      </c>
      <c r="Q2966" s="13">
        <v>45471</v>
      </c>
      <c r="R2966" s="13">
        <v>45490</v>
      </c>
      <c r="S2966">
        <v>2024</v>
      </c>
      <c r="T2966" s="12" t="s">
        <v>3649</v>
      </c>
      <c r="U2966">
        <v>69</v>
      </c>
      <c r="V2966">
        <v>184.24529999999999</v>
      </c>
      <c r="W2966">
        <v>84.46</v>
      </c>
      <c r="X2966">
        <v>0</v>
      </c>
      <c r="Y2966">
        <v>0</v>
      </c>
      <c r="Z2966">
        <v>12712.93</v>
      </c>
      <c r="AA2966">
        <v>12797.39</v>
      </c>
      <c r="AB2966" s="12" t="s">
        <v>2676</v>
      </c>
      <c r="AC2966">
        <v>184.24529999999999</v>
      </c>
      <c r="AD2966">
        <v>1</v>
      </c>
      <c r="AE2966">
        <v>1</v>
      </c>
      <c r="AF2966">
        <v>0</v>
      </c>
      <c r="AG2966">
        <v>12712.93</v>
      </c>
      <c r="AH2966">
        <v>69</v>
      </c>
      <c r="AI2966">
        <v>69</v>
      </c>
      <c r="AJ2966">
        <v>0</v>
      </c>
      <c r="AK2966">
        <v>1</v>
      </c>
      <c r="AL2966">
        <v>1</v>
      </c>
      <c r="AM2966">
        <v>100</v>
      </c>
      <c r="AN2966">
        <v>185.46940000000001</v>
      </c>
      <c r="AO2966">
        <v>0</v>
      </c>
      <c r="AP2966" s="13">
        <v>45490</v>
      </c>
      <c r="AQ2966">
        <v>0</v>
      </c>
      <c r="AR2966">
        <v>1</v>
      </c>
    </row>
    <row r="2967" spans="1:44" x14ac:dyDescent="0.35">
      <c r="A2967" s="12" t="s">
        <v>3853</v>
      </c>
      <c r="B2967" s="12" t="s">
        <v>261</v>
      </c>
      <c r="C2967" s="12" t="s">
        <v>262</v>
      </c>
      <c r="D2967" s="12" t="s">
        <v>114</v>
      </c>
      <c r="E2967" s="12" t="s">
        <v>142</v>
      </c>
      <c r="F2967">
        <v>1</v>
      </c>
      <c r="G2967">
        <v>8</v>
      </c>
      <c r="H2967">
        <v>1</v>
      </c>
      <c r="I2967" s="12" t="s">
        <v>263</v>
      </c>
      <c r="J2967" s="12" t="s">
        <v>264</v>
      </c>
      <c r="K2967" s="12" t="s">
        <v>125</v>
      </c>
      <c r="L2967" s="12" t="s">
        <v>82</v>
      </c>
      <c r="M2967">
        <v>10.210000000000001</v>
      </c>
      <c r="N2967" s="12" t="s">
        <v>70</v>
      </c>
      <c r="O2967" s="12" t="s">
        <v>71</v>
      </c>
      <c r="P2967" s="12" t="s">
        <v>72</v>
      </c>
      <c r="Q2967" s="13">
        <v>45474</v>
      </c>
      <c r="R2967" s="13">
        <v>45520</v>
      </c>
      <c r="S2967">
        <v>2024</v>
      </c>
      <c r="T2967" s="12" t="s">
        <v>3854</v>
      </c>
      <c r="U2967">
        <v>102</v>
      </c>
      <c r="V2967">
        <v>137.84569999999999</v>
      </c>
      <c r="W2967">
        <v>86.23</v>
      </c>
      <c r="X2967">
        <v>0</v>
      </c>
      <c r="Y2967">
        <v>0</v>
      </c>
      <c r="Z2967">
        <v>14060.26</v>
      </c>
      <c r="AA2967">
        <v>14146.49</v>
      </c>
      <c r="AB2967" s="12" t="s">
        <v>2655</v>
      </c>
      <c r="AC2967">
        <v>137.84569999999999</v>
      </c>
      <c r="AD2967">
        <v>1</v>
      </c>
      <c r="AE2967">
        <v>1</v>
      </c>
      <c r="AF2967">
        <v>0</v>
      </c>
      <c r="AG2967">
        <v>14060.26</v>
      </c>
      <c r="AH2967">
        <v>102</v>
      </c>
      <c r="AI2967">
        <v>101</v>
      </c>
      <c r="AJ2967">
        <v>1</v>
      </c>
      <c r="AK2967">
        <v>1</v>
      </c>
      <c r="AL2967">
        <v>1</v>
      </c>
      <c r="AM2967">
        <v>99.02</v>
      </c>
      <c r="AN2967">
        <v>140.0643</v>
      </c>
      <c r="AO2967">
        <v>137.85</v>
      </c>
      <c r="AP2967" s="13">
        <v>45516</v>
      </c>
      <c r="AQ2967">
        <v>-4</v>
      </c>
      <c r="AR2967">
        <v>1</v>
      </c>
    </row>
    <row r="2968" spans="1:44" x14ac:dyDescent="0.35">
      <c r="A2968" s="12" t="s">
        <v>3855</v>
      </c>
      <c r="B2968" s="12" t="s">
        <v>694</v>
      </c>
      <c r="C2968" s="12" t="s">
        <v>695</v>
      </c>
      <c r="D2968" s="12" t="s">
        <v>103</v>
      </c>
      <c r="E2968" s="12" t="s">
        <v>65</v>
      </c>
      <c r="F2968">
        <v>2</v>
      </c>
      <c r="G2968">
        <v>3</v>
      </c>
      <c r="H2968">
        <v>0</v>
      </c>
      <c r="I2968" s="12" t="s">
        <v>263</v>
      </c>
      <c r="J2968" s="12" t="s">
        <v>264</v>
      </c>
      <c r="K2968" s="12" t="s">
        <v>125</v>
      </c>
      <c r="L2968" s="12" t="s">
        <v>82</v>
      </c>
      <c r="M2968">
        <v>10.210000000000001</v>
      </c>
      <c r="N2968" s="12" t="s">
        <v>145</v>
      </c>
      <c r="O2968" s="12" t="s">
        <v>146</v>
      </c>
      <c r="P2968" s="12" t="s">
        <v>109</v>
      </c>
      <c r="Q2968" s="13">
        <v>45474</v>
      </c>
      <c r="R2968" s="13">
        <v>45505</v>
      </c>
      <c r="S2968">
        <v>2024</v>
      </c>
      <c r="T2968" s="12" t="s">
        <v>3854</v>
      </c>
      <c r="U2968">
        <v>93</v>
      </c>
      <c r="V2968">
        <v>211.1463</v>
      </c>
      <c r="W2968">
        <v>324.33999999999997</v>
      </c>
      <c r="X2968">
        <v>0</v>
      </c>
      <c r="Y2968">
        <v>0</v>
      </c>
      <c r="Z2968">
        <v>19636.61</v>
      </c>
      <c r="AA2968">
        <v>19960.95</v>
      </c>
      <c r="AB2968" s="12" t="s">
        <v>3377</v>
      </c>
      <c r="AC2968">
        <v>211.1463</v>
      </c>
      <c r="AD2968">
        <v>1</v>
      </c>
      <c r="AE2968">
        <v>1</v>
      </c>
      <c r="AF2968">
        <v>0</v>
      </c>
      <c r="AG2968">
        <v>19636.61</v>
      </c>
      <c r="AH2968">
        <v>93</v>
      </c>
      <c r="AI2968">
        <v>92</v>
      </c>
      <c r="AJ2968">
        <v>1</v>
      </c>
      <c r="AK2968">
        <v>1</v>
      </c>
      <c r="AL2968">
        <v>1</v>
      </c>
      <c r="AM2968">
        <v>98.92</v>
      </c>
      <c r="AN2968">
        <v>216.96680000000001</v>
      </c>
      <c r="AO2968">
        <v>211.15</v>
      </c>
      <c r="AP2968" s="13">
        <v>45503</v>
      </c>
      <c r="AQ2968">
        <v>-2</v>
      </c>
      <c r="AR2968">
        <v>1</v>
      </c>
    </row>
    <row r="2969" spans="1:44" x14ac:dyDescent="0.35">
      <c r="A2969" s="12" t="s">
        <v>3856</v>
      </c>
      <c r="B2969" s="12" t="s">
        <v>823</v>
      </c>
      <c r="C2969" s="12" t="s">
        <v>824</v>
      </c>
      <c r="D2969" s="12" t="s">
        <v>114</v>
      </c>
      <c r="E2969" s="12" t="s">
        <v>142</v>
      </c>
      <c r="F2969">
        <v>1</v>
      </c>
      <c r="G2969">
        <v>8</v>
      </c>
      <c r="H2969">
        <v>1</v>
      </c>
      <c r="I2969" s="12" t="s">
        <v>515</v>
      </c>
      <c r="J2969" s="12" t="s">
        <v>516</v>
      </c>
      <c r="K2969" s="12" t="s">
        <v>68</v>
      </c>
      <c r="L2969" s="12" t="s">
        <v>134</v>
      </c>
      <c r="M2969">
        <v>3.69</v>
      </c>
      <c r="N2969" s="12" t="s">
        <v>97</v>
      </c>
      <c r="O2969" s="12" t="s">
        <v>98</v>
      </c>
      <c r="P2969" s="12" t="s">
        <v>72</v>
      </c>
      <c r="Q2969" s="13">
        <v>45474</v>
      </c>
      <c r="R2969" s="13">
        <v>45523</v>
      </c>
      <c r="S2969">
        <v>2024</v>
      </c>
      <c r="T2969" s="12" t="s">
        <v>3854</v>
      </c>
      <c r="U2969">
        <v>126</v>
      </c>
      <c r="V2969">
        <v>375.39440000000002</v>
      </c>
      <c r="W2969">
        <v>587.16</v>
      </c>
      <c r="X2969">
        <v>0</v>
      </c>
      <c r="Y2969">
        <v>0</v>
      </c>
      <c r="Z2969">
        <v>47299.69</v>
      </c>
      <c r="AA2969">
        <v>47886.85</v>
      </c>
      <c r="AB2969" s="12" t="s">
        <v>3483</v>
      </c>
      <c r="AC2969">
        <v>361.71230000000003</v>
      </c>
      <c r="AD2969">
        <v>1</v>
      </c>
      <c r="AE2969">
        <v>1</v>
      </c>
      <c r="AF2969">
        <v>1723.94</v>
      </c>
      <c r="AG2969">
        <v>45575.75</v>
      </c>
      <c r="AH2969">
        <v>126</v>
      </c>
      <c r="AI2969">
        <v>124</v>
      </c>
      <c r="AJ2969">
        <v>2</v>
      </c>
      <c r="AK2969">
        <v>1</v>
      </c>
      <c r="AL2969">
        <v>1</v>
      </c>
      <c r="AM2969">
        <v>98.41</v>
      </c>
      <c r="AN2969">
        <v>386.18430000000001</v>
      </c>
      <c r="AO2969">
        <v>750.79</v>
      </c>
      <c r="AP2969" s="13">
        <v>45522</v>
      </c>
      <c r="AQ2969">
        <v>-1</v>
      </c>
      <c r="AR2969">
        <v>1</v>
      </c>
    </row>
    <row r="2970" spans="1:44" x14ac:dyDescent="0.35">
      <c r="A2970" s="12" t="s">
        <v>3857</v>
      </c>
      <c r="B2970" s="12" t="s">
        <v>302</v>
      </c>
      <c r="C2970" s="12" t="s">
        <v>303</v>
      </c>
      <c r="D2970" s="12" t="s">
        <v>78</v>
      </c>
      <c r="E2970" s="12" t="s">
        <v>65</v>
      </c>
      <c r="F2970">
        <v>2</v>
      </c>
      <c r="G2970">
        <v>3</v>
      </c>
      <c r="H2970">
        <v>0</v>
      </c>
      <c r="I2970" s="12" t="s">
        <v>335</v>
      </c>
      <c r="J2970" s="12" t="s">
        <v>336</v>
      </c>
      <c r="K2970" s="12" t="s">
        <v>89</v>
      </c>
      <c r="L2970" s="12" t="s">
        <v>82</v>
      </c>
      <c r="M2970">
        <v>16</v>
      </c>
      <c r="N2970" s="12" t="s">
        <v>70</v>
      </c>
      <c r="O2970" s="12" t="s">
        <v>71</v>
      </c>
      <c r="P2970" s="12" t="s">
        <v>72</v>
      </c>
      <c r="Q2970" s="13">
        <v>45474</v>
      </c>
      <c r="R2970" s="13">
        <v>45505</v>
      </c>
      <c r="S2970">
        <v>2024</v>
      </c>
      <c r="T2970" s="12" t="s">
        <v>3854</v>
      </c>
      <c r="U2970">
        <v>189</v>
      </c>
      <c r="V2970">
        <v>141.08359999999999</v>
      </c>
      <c r="W2970">
        <v>347.28</v>
      </c>
      <c r="X2970">
        <v>0</v>
      </c>
      <c r="Y2970">
        <v>0</v>
      </c>
      <c r="Z2970">
        <v>26664.799999999999</v>
      </c>
      <c r="AA2970">
        <v>27012.080000000002</v>
      </c>
      <c r="AB2970" s="12" t="s">
        <v>2834</v>
      </c>
      <c r="AC2970">
        <v>141.08359999999999</v>
      </c>
      <c r="AD2970">
        <v>1</v>
      </c>
      <c r="AE2970">
        <v>1</v>
      </c>
      <c r="AF2970">
        <v>0</v>
      </c>
      <c r="AG2970">
        <v>26664.799999999999</v>
      </c>
      <c r="AH2970">
        <v>189</v>
      </c>
      <c r="AI2970">
        <v>185</v>
      </c>
      <c r="AJ2970">
        <v>4</v>
      </c>
      <c r="AK2970">
        <v>1</v>
      </c>
      <c r="AL2970">
        <v>1</v>
      </c>
      <c r="AM2970">
        <v>97.88</v>
      </c>
      <c r="AN2970">
        <v>146.0112</v>
      </c>
      <c r="AO2970">
        <v>564.33000000000004</v>
      </c>
      <c r="AP2970" s="13">
        <v>45502</v>
      </c>
      <c r="AQ2970">
        <v>-3</v>
      </c>
      <c r="AR2970">
        <v>1</v>
      </c>
    </row>
    <row r="2971" spans="1:44" x14ac:dyDescent="0.35">
      <c r="A2971" s="12" t="s">
        <v>3858</v>
      </c>
      <c r="B2971" s="12" t="s">
        <v>215</v>
      </c>
      <c r="C2971" s="12" t="s">
        <v>216</v>
      </c>
      <c r="D2971" s="12" t="s">
        <v>122</v>
      </c>
      <c r="E2971" s="12" t="s">
        <v>142</v>
      </c>
      <c r="F2971">
        <v>3</v>
      </c>
      <c r="G2971">
        <v>11</v>
      </c>
      <c r="H2971">
        <v>0</v>
      </c>
      <c r="I2971" s="12" t="s">
        <v>217</v>
      </c>
      <c r="J2971" s="12" t="s">
        <v>218</v>
      </c>
      <c r="K2971" s="12" t="s">
        <v>68</v>
      </c>
      <c r="L2971" s="12" t="s">
        <v>82</v>
      </c>
      <c r="M2971">
        <v>14.24</v>
      </c>
      <c r="N2971" s="12" t="s">
        <v>97</v>
      </c>
      <c r="O2971" s="12" t="s">
        <v>98</v>
      </c>
      <c r="P2971" s="12" t="s">
        <v>72</v>
      </c>
      <c r="Q2971" s="13">
        <v>45474</v>
      </c>
      <c r="R2971" s="13">
        <v>45519</v>
      </c>
      <c r="S2971">
        <v>2024</v>
      </c>
      <c r="T2971" s="12" t="s">
        <v>3854</v>
      </c>
      <c r="U2971">
        <v>1223</v>
      </c>
      <c r="V2971">
        <v>14.797000000000001</v>
      </c>
      <c r="W2971">
        <v>113.21</v>
      </c>
      <c r="X2971">
        <v>0</v>
      </c>
      <c r="Y2971">
        <v>0</v>
      </c>
      <c r="Z2971">
        <v>18096.73</v>
      </c>
      <c r="AA2971">
        <v>18209.939999999999</v>
      </c>
      <c r="AB2971" s="12" t="s">
        <v>2696</v>
      </c>
      <c r="AC2971">
        <v>14.797000000000001</v>
      </c>
      <c r="AD2971">
        <v>1</v>
      </c>
      <c r="AE2971">
        <v>1</v>
      </c>
      <c r="AF2971">
        <v>0</v>
      </c>
      <c r="AG2971">
        <v>18096.73</v>
      </c>
      <c r="AH2971">
        <v>1223</v>
      </c>
      <c r="AI2971">
        <v>1213</v>
      </c>
      <c r="AJ2971">
        <v>10</v>
      </c>
      <c r="AK2971">
        <v>1</v>
      </c>
      <c r="AL2971">
        <v>1</v>
      </c>
      <c r="AM2971">
        <v>99.18</v>
      </c>
      <c r="AN2971">
        <v>15.0123</v>
      </c>
      <c r="AO2971">
        <v>147.97</v>
      </c>
      <c r="AP2971" s="13">
        <v>45519</v>
      </c>
      <c r="AQ2971">
        <v>0</v>
      </c>
      <c r="AR2971">
        <v>1</v>
      </c>
    </row>
    <row r="2972" spans="1:44" x14ac:dyDescent="0.35">
      <c r="A2972" s="12" t="s">
        <v>3859</v>
      </c>
      <c r="B2972" s="12" t="s">
        <v>902</v>
      </c>
      <c r="C2972" s="12" t="s">
        <v>903</v>
      </c>
      <c r="D2972" s="12" t="s">
        <v>122</v>
      </c>
      <c r="E2972" s="12" t="s">
        <v>142</v>
      </c>
      <c r="F2972">
        <v>1</v>
      </c>
      <c r="G2972">
        <v>6</v>
      </c>
      <c r="H2972">
        <v>1</v>
      </c>
      <c r="I2972" s="12" t="s">
        <v>105</v>
      </c>
      <c r="J2972" s="12" t="s">
        <v>106</v>
      </c>
      <c r="K2972" s="12" t="s">
        <v>81</v>
      </c>
      <c r="L2972" s="12" t="s">
        <v>96</v>
      </c>
      <c r="M2972">
        <v>5.01</v>
      </c>
      <c r="N2972" s="12" t="s">
        <v>70</v>
      </c>
      <c r="O2972" s="12" t="s">
        <v>71</v>
      </c>
      <c r="P2972" s="12" t="s">
        <v>72</v>
      </c>
      <c r="Q2972" s="13">
        <v>45474</v>
      </c>
      <c r="R2972" s="13">
        <v>45525</v>
      </c>
      <c r="S2972">
        <v>2024</v>
      </c>
      <c r="T2972" s="12" t="s">
        <v>3854</v>
      </c>
      <c r="U2972">
        <v>1811</v>
      </c>
      <c r="V2972">
        <v>41.6892</v>
      </c>
      <c r="W2972">
        <v>1932.98</v>
      </c>
      <c r="X2972">
        <v>0</v>
      </c>
      <c r="Y2972">
        <v>0</v>
      </c>
      <c r="Z2972">
        <v>75499.14</v>
      </c>
      <c r="AA2972">
        <v>77432.12</v>
      </c>
      <c r="AB2972" s="12" t="s">
        <v>3284</v>
      </c>
      <c r="AC2972">
        <v>41.6892</v>
      </c>
      <c r="AD2972">
        <v>1</v>
      </c>
      <c r="AE2972">
        <v>1</v>
      </c>
      <c r="AF2972">
        <v>0</v>
      </c>
      <c r="AG2972">
        <v>75499.14</v>
      </c>
      <c r="AH2972">
        <v>1811</v>
      </c>
      <c r="AI2972">
        <v>1805</v>
      </c>
      <c r="AJ2972">
        <v>6</v>
      </c>
      <c r="AK2972">
        <v>1</v>
      </c>
      <c r="AL2972">
        <v>1</v>
      </c>
      <c r="AM2972">
        <v>99.67</v>
      </c>
      <c r="AN2972">
        <v>42.898699999999998</v>
      </c>
      <c r="AO2972">
        <v>250.14</v>
      </c>
      <c r="AP2972" s="13">
        <v>45524</v>
      </c>
      <c r="AQ2972">
        <v>-1</v>
      </c>
      <c r="AR2972">
        <v>1</v>
      </c>
    </row>
    <row r="2973" spans="1:44" x14ac:dyDescent="0.35">
      <c r="A2973" s="12" t="s">
        <v>3860</v>
      </c>
      <c r="B2973" s="12" t="s">
        <v>416</v>
      </c>
      <c r="C2973" s="12" t="s">
        <v>417</v>
      </c>
      <c r="D2973" s="12" t="s">
        <v>78</v>
      </c>
      <c r="E2973" s="12" t="s">
        <v>65</v>
      </c>
      <c r="F2973">
        <v>3</v>
      </c>
      <c r="G2973">
        <v>5</v>
      </c>
      <c r="H2973">
        <v>0</v>
      </c>
      <c r="I2973" s="12" t="s">
        <v>169</v>
      </c>
      <c r="J2973" s="12" t="s">
        <v>170</v>
      </c>
      <c r="K2973" s="12" t="s">
        <v>89</v>
      </c>
      <c r="L2973" s="12" t="s">
        <v>134</v>
      </c>
      <c r="M2973">
        <v>1.37</v>
      </c>
      <c r="N2973" s="12" t="s">
        <v>97</v>
      </c>
      <c r="O2973" s="12" t="s">
        <v>98</v>
      </c>
      <c r="P2973" s="12" t="s">
        <v>72</v>
      </c>
      <c r="Q2973" s="13">
        <v>45475</v>
      </c>
      <c r="R2973" s="13">
        <v>45508</v>
      </c>
      <c r="S2973">
        <v>2024</v>
      </c>
      <c r="T2973" s="12" t="s">
        <v>3854</v>
      </c>
      <c r="U2973">
        <v>224</v>
      </c>
      <c r="V2973">
        <v>136.4109</v>
      </c>
      <c r="W2973">
        <v>320.60000000000002</v>
      </c>
      <c r="X2973">
        <v>0</v>
      </c>
      <c r="Y2973">
        <v>0</v>
      </c>
      <c r="Z2973">
        <v>30556.04</v>
      </c>
      <c r="AA2973">
        <v>30876.639999999999</v>
      </c>
      <c r="AB2973" s="12" t="s">
        <v>2980</v>
      </c>
      <c r="AC2973">
        <v>136.4109</v>
      </c>
      <c r="AD2973">
        <v>1</v>
      </c>
      <c r="AE2973">
        <v>1</v>
      </c>
      <c r="AF2973">
        <v>0</v>
      </c>
      <c r="AG2973">
        <v>30556.04</v>
      </c>
      <c r="AH2973">
        <v>224</v>
      </c>
      <c r="AI2973">
        <v>219</v>
      </c>
      <c r="AJ2973">
        <v>5</v>
      </c>
      <c r="AK2973">
        <v>1</v>
      </c>
      <c r="AL2973">
        <v>1</v>
      </c>
      <c r="AM2973">
        <v>97.77</v>
      </c>
      <c r="AN2973">
        <v>140.98920000000001</v>
      </c>
      <c r="AO2973">
        <v>682.05</v>
      </c>
      <c r="AP2973" s="13">
        <v>45507</v>
      </c>
      <c r="AQ2973">
        <v>-1</v>
      </c>
      <c r="AR2973">
        <v>1</v>
      </c>
    </row>
    <row r="2974" spans="1:44" x14ac:dyDescent="0.35">
      <c r="A2974" s="12" t="s">
        <v>3861</v>
      </c>
      <c r="B2974" s="12" t="s">
        <v>76</v>
      </c>
      <c r="C2974" s="12" t="s">
        <v>77</v>
      </c>
      <c r="D2974" s="12" t="s">
        <v>78</v>
      </c>
      <c r="E2974" s="12" t="s">
        <v>65</v>
      </c>
      <c r="F2974">
        <v>2</v>
      </c>
      <c r="G2974">
        <v>4</v>
      </c>
      <c r="H2974">
        <v>0</v>
      </c>
      <c r="I2974" s="12" t="s">
        <v>79</v>
      </c>
      <c r="J2974" s="12" t="s">
        <v>80</v>
      </c>
      <c r="K2974" s="12" t="s">
        <v>81</v>
      </c>
      <c r="L2974" s="12" t="s">
        <v>82</v>
      </c>
      <c r="M2974">
        <v>12.07</v>
      </c>
      <c r="N2974" s="12" t="s">
        <v>97</v>
      </c>
      <c r="O2974" s="12" t="s">
        <v>98</v>
      </c>
      <c r="P2974" s="12" t="s">
        <v>72</v>
      </c>
      <c r="Q2974" s="13">
        <v>45475</v>
      </c>
      <c r="R2974" s="13">
        <v>45497</v>
      </c>
      <c r="S2974">
        <v>2024</v>
      </c>
      <c r="T2974" s="12" t="s">
        <v>3854</v>
      </c>
      <c r="U2974">
        <v>68</v>
      </c>
      <c r="V2974">
        <v>45.034100000000002</v>
      </c>
      <c r="W2974">
        <v>45.68</v>
      </c>
      <c r="X2974">
        <v>0</v>
      </c>
      <c r="Y2974">
        <v>0</v>
      </c>
      <c r="Z2974">
        <v>3062.32</v>
      </c>
      <c r="AA2974">
        <v>3108</v>
      </c>
      <c r="AB2974" s="12" t="s">
        <v>2672</v>
      </c>
      <c r="AC2974">
        <v>45.034100000000002</v>
      </c>
      <c r="AD2974">
        <v>1</v>
      </c>
      <c r="AE2974">
        <v>1</v>
      </c>
      <c r="AF2974">
        <v>0</v>
      </c>
      <c r="AG2974">
        <v>3062.32</v>
      </c>
      <c r="AH2974">
        <v>68</v>
      </c>
      <c r="AI2974">
        <v>67</v>
      </c>
      <c r="AJ2974">
        <v>1</v>
      </c>
      <c r="AK2974">
        <v>1</v>
      </c>
      <c r="AL2974">
        <v>1</v>
      </c>
      <c r="AM2974">
        <v>98.53</v>
      </c>
      <c r="AN2974">
        <v>46.387999999999998</v>
      </c>
      <c r="AO2974">
        <v>45.03</v>
      </c>
      <c r="AP2974" s="13">
        <v>45500</v>
      </c>
      <c r="AQ2974">
        <v>3</v>
      </c>
      <c r="AR2974">
        <v>0</v>
      </c>
    </row>
    <row r="2975" spans="1:44" x14ac:dyDescent="0.35">
      <c r="A2975" s="12" t="s">
        <v>3862</v>
      </c>
      <c r="B2975" s="12" t="s">
        <v>569</v>
      </c>
      <c r="C2975" s="12" t="s">
        <v>570</v>
      </c>
      <c r="D2975" s="12" t="s">
        <v>114</v>
      </c>
      <c r="E2975" s="12" t="s">
        <v>142</v>
      </c>
      <c r="F2975">
        <v>1</v>
      </c>
      <c r="G2975">
        <v>6</v>
      </c>
      <c r="H2975">
        <v>1</v>
      </c>
      <c r="I2975" s="12" t="s">
        <v>123</v>
      </c>
      <c r="J2975" s="12" t="s">
        <v>124</v>
      </c>
      <c r="K2975" s="12" t="s">
        <v>125</v>
      </c>
      <c r="L2975" s="12" t="s">
        <v>82</v>
      </c>
      <c r="M2975">
        <v>6.75</v>
      </c>
      <c r="N2975" s="12" t="s">
        <v>97</v>
      </c>
      <c r="O2975" s="12" t="s">
        <v>98</v>
      </c>
      <c r="P2975" s="12" t="s">
        <v>72</v>
      </c>
      <c r="Q2975" s="13">
        <v>45475</v>
      </c>
      <c r="R2975" s="13">
        <v>45517</v>
      </c>
      <c r="S2975">
        <v>2024</v>
      </c>
      <c r="T2975" s="12" t="s">
        <v>3854</v>
      </c>
      <c r="U2975">
        <v>71</v>
      </c>
      <c r="V2975">
        <v>349.07319999999999</v>
      </c>
      <c r="W2975">
        <v>622.5</v>
      </c>
      <c r="X2975">
        <v>0</v>
      </c>
      <c r="Y2975">
        <v>0</v>
      </c>
      <c r="Z2975">
        <v>24784.2</v>
      </c>
      <c r="AA2975">
        <v>25406.7</v>
      </c>
      <c r="AB2975" s="12" t="s">
        <v>3205</v>
      </c>
      <c r="AC2975">
        <v>349.07319999999999</v>
      </c>
      <c r="AD2975">
        <v>1</v>
      </c>
      <c r="AE2975">
        <v>1</v>
      </c>
      <c r="AF2975">
        <v>0</v>
      </c>
      <c r="AG2975">
        <v>24784.2</v>
      </c>
      <c r="AH2975">
        <v>71</v>
      </c>
      <c r="AI2975">
        <v>70</v>
      </c>
      <c r="AJ2975">
        <v>1</v>
      </c>
      <c r="AK2975">
        <v>1</v>
      </c>
      <c r="AL2975">
        <v>1</v>
      </c>
      <c r="AM2975">
        <v>98.59</v>
      </c>
      <c r="AN2975">
        <v>362.95280000000002</v>
      </c>
      <c r="AO2975">
        <v>349.07</v>
      </c>
      <c r="AP2975" s="13">
        <v>45516</v>
      </c>
      <c r="AQ2975">
        <v>-1</v>
      </c>
      <c r="AR2975">
        <v>1</v>
      </c>
    </row>
    <row r="2976" spans="1:44" x14ac:dyDescent="0.35">
      <c r="A2976" s="12" t="s">
        <v>3863</v>
      </c>
      <c r="B2976" s="12" t="s">
        <v>809</v>
      </c>
      <c r="C2976" s="12" t="s">
        <v>810</v>
      </c>
      <c r="D2976" s="12" t="s">
        <v>114</v>
      </c>
      <c r="E2976" s="12" t="s">
        <v>65</v>
      </c>
      <c r="F2976">
        <v>3</v>
      </c>
      <c r="G2976">
        <v>5</v>
      </c>
      <c r="H2976">
        <v>0</v>
      </c>
      <c r="I2976" s="12" t="s">
        <v>804</v>
      </c>
      <c r="J2976" s="12" t="s">
        <v>342</v>
      </c>
      <c r="K2976" s="12" t="s">
        <v>117</v>
      </c>
      <c r="L2976" s="12" t="s">
        <v>69</v>
      </c>
      <c r="M2976">
        <v>30.07</v>
      </c>
      <c r="N2976" s="12" t="s">
        <v>70</v>
      </c>
      <c r="O2976" s="12" t="s">
        <v>71</v>
      </c>
      <c r="P2976" s="12" t="s">
        <v>72</v>
      </c>
      <c r="Q2976" s="13">
        <v>45475</v>
      </c>
      <c r="R2976" s="13">
        <v>45512</v>
      </c>
      <c r="S2976">
        <v>2024</v>
      </c>
      <c r="T2976" s="12" t="s">
        <v>3854</v>
      </c>
      <c r="U2976">
        <v>142</v>
      </c>
      <c r="V2976">
        <v>312.78919999999999</v>
      </c>
      <c r="W2976">
        <v>838.05</v>
      </c>
      <c r="X2976">
        <v>0</v>
      </c>
      <c r="Y2976">
        <v>0</v>
      </c>
      <c r="Z2976">
        <v>44416.07</v>
      </c>
      <c r="AA2976">
        <v>45254.12</v>
      </c>
      <c r="AB2976" s="12" t="s">
        <v>3416</v>
      </c>
      <c r="AC2976">
        <v>312.78919999999999</v>
      </c>
      <c r="AD2976">
        <v>1</v>
      </c>
      <c r="AE2976">
        <v>1</v>
      </c>
      <c r="AF2976">
        <v>0</v>
      </c>
      <c r="AG2976">
        <v>44416.07</v>
      </c>
      <c r="AH2976">
        <v>142</v>
      </c>
      <c r="AI2976">
        <v>140</v>
      </c>
      <c r="AJ2976">
        <v>2</v>
      </c>
      <c r="AK2976">
        <v>1</v>
      </c>
      <c r="AL2976">
        <v>1</v>
      </c>
      <c r="AM2976">
        <v>98.59</v>
      </c>
      <c r="AN2976">
        <v>323.24369999999999</v>
      </c>
      <c r="AO2976">
        <v>625.58000000000004</v>
      </c>
      <c r="AP2976" s="13">
        <v>45509</v>
      </c>
      <c r="AQ2976">
        <v>-3</v>
      </c>
      <c r="AR2976">
        <v>1</v>
      </c>
    </row>
    <row r="2977" spans="1:44" x14ac:dyDescent="0.35">
      <c r="A2977" s="12" t="s">
        <v>3864</v>
      </c>
      <c r="B2977" s="12" t="s">
        <v>339</v>
      </c>
      <c r="C2977" s="12" t="s">
        <v>340</v>
      </c>
      <c r="D2977" s="12" t="s">
        <v>103</v>
      </c>
      <c r="E2977" s="12" t="s">
        <v>142</v>
      </c>
      <c r="F2977">
        <v>2</v>
      </c>
      <c r="G2977">
        <v>9</v>
      </c>
      <c r="H2977">
        <v>0</v>
      </c>
      <c r="I2977" s="12" t="s">
        <v>169</v>
      </c>
      <c r="J2977" s="12" t="s">
        <v>170</v>
      </c>
      <c r="K2977" s="12" t="s">
        <v>89</v>
      </c>
      <c r="L2977" s="12" t="s">
        <v>134</v>
      </c>
      <c r="M2977">
        <v>1.37</v>
      </c>
      <c r="N2977" s="12" t="s">
        <v>107</v>
      </c>
      <c r="O2977" s="12" t="s">
        <v>108</v>
      </c>
      <c r="P2977" s="12" t="s">
        <v>109</v>
      </c>
      <c r="Q2977" s="13">
        <v>45475</v>
      </c>
      <c r="R2977" s="13">
        <v>45524</v>
      </c>
      <c r="S2977">
        <v>2024</v>
      </c>
      <c r="T2977" s="12" t="s">
        <v>3854</v>
      </c>
      <c r="U2977">
        <v>123</v>
      </c>
      <c r="V2977">
        <v>254.60069999999999</v>
      </c>
      <c r="W2977">
        <v>437.89</v>
      </c>
      <c r="X2977">
        <v>0</v>
      </c>
      <c r="Y2977">
        <v>0</v>
      </c>
      <c r="Z2977">
        <v>31315.89</v>
      </c>
      <c r="AA2977">
        <v>31753.78</v>
      </c>
      <c r="AB2977" s="12" t="s">
        <v>2786</v>
      </c>
      <c r="AC2977">
        <v>243.06290000000001</v>
      </c>
      <c r="AD2977">
        <v>1</v>
      </c>
      <c r="AE2977">
        <v>1</v>
      </c>
      <c r="AF2977">
        <v>1419.15</v>
      </c>
      <c r="AG2977">
        <v>29896.74</v>
      </c>
      <c r="AH2977">
        <v>123</v>
      </c>
      <c r="AI2977">
        <v>122</v>
      </c>
      <c r="AJ2977">
        <v>1</v>
      </c>
      <c r="AK2977">
        <v>1</v>
      </c>
      <c r="AL2977">
        <v>1</v>
      </c>
      <c r="AM2977">
        <v>99.19</v>
      </c>
      <c r="AN2977">
        <v>260.27690000000001</v>
      </c>
      <c r="AO2977">
        <v>254.6</v>
      </c>
      <c r="AP2977" s="13">
        <v>45521</v>
      </c>
      <c r="AQ2977">
        <v>-3</v>
      </c>
      <c r="AR2977">
        <v>1</v>
      </c>
    </row>
    <row r="2978" spans="1:44" x14ac:dyDescent="0.35">
      <c r="A2978" s="12" t="s">
        <v>3865</v>
      </c>
      <c r="B2978" s="12" t="s">
        <v>952</v>
      </c>
      <c r="C2978" s="12" t="s">
        <v>953</v>
      </c>
      <c r="D2978" s="12" t="s">
        <v>64</v>
      </c>
      <c r="E2978" s="12" t="s">
        <v>142</v>
      </c>
      <c r="F2978">
        <v>1</v>
      </c>
      <c r="G2978">
        <v>8</v>
      </c>
      <c r="H2978">
        <v>1</v>
      </c>
      <c r="I2978" s="12" t="s">
        <v>131</v>
      </c>
      <c r="J2978" s="12" t="s">
        <v>132</v>
      </c>
      <c r="K2978" s="12" t="s">
        <v>133</v>
      </c>
      <c r="L2978" s="12" t="s">
        <v>134</v>
      </c>
      <c r="M2978">
        <v>1.51</v>
      </c>
      <c r="N2978" s="12" t="s">
        <v>97</v>
      </c>
      <c r="O2978" s="12" t="s">
        <v>98</v>
      </c>
      <c r="P2978" s="12" t="s">
        <v>72</v>
      </c>
      <c r="Q2978" s="13">
        <v>45475</v>
      </c>
      <c r="R2978" s="13">
        <v>45521</v>
      </c>
      <c r="S2978">
        <v>2024</v>
      </c>
      <c r="T2978" s="12" t="s">
        <v>3854</v>
      </c>
      <c r="U2978">
        <v>650</v>
      </c>
      <c r="V2978">
        <v>31.110399999999998</v>
      </c>
      <c r="W2978">
        <v>452.19</v>
      </c>
      <c r="X2978">
        <v>0</v>
      </c>
      <c r="Y2978">
        <v>0</v>
      </c>
      <c r="Z2978">
        <v>20221.759999999998</v>
      </c>
      <c r="AA2978">
        <v>20673.95</v>
      </c>
      <c r="AB2978" s="12" t="s">
        <v>3261</v>
      </c>
      <c r="AC2978">
        <v>31.110399999999998</v>
      </c>
      <c r="AD2978">
        <v>1</v>
      </c>
      <c r="AE2978">
        <v>1</v>
      </c>
      <c r="AF2978">
        <v>0</v>
      </c>
      <c r="AG2978">
        <v>20221.759999999998</v>
      </c>
      <c r="AH2978">
        <v>650</v>
      </c>
      <c r="AI2978">
        <v>645</v>
      </c>
      <c r="AJ2978">
        <v>5</v>
      </c>
      <c r="AK2978">
        <v>1</v>
      </c>
      <c r="AL2978">
        <v>1</v>
      </c>
      <c r="AM2978">
        <v>99.23</v>
      </c>
      <c r="AN2978">
        <v>32.052599999999998</v>
      </c>
      <c r="AO2978">
        <v>155.55000000000001</v>
      </c>
      <c r="AP2978" s="13">
        <v>45520</v>
      </c>
      <c r="AQ2978">
        <v>-1</v>
      </c>
      <c r="AR2978">
        <v>1</v>
      </c>
    </row>
    <row r="2979" spans="1:44" x14ac:dyDescent="0.35">
      <c r="A2979" s="12" t="s">
        <v>3866</v>
      </c>
      <c r="B2979" s="12" t="s">
        <v>1013</v>
      </c>
      <c r="C2979" s="12" t="s">
        <v>1014</v>
      </c>
      <c r="D2979" s="12" t="s">
        <v>78</v>
      </c>
      <c r="E2979" s="12" t="s">
        <v>65</v>
      </c>
      <c r="F2979">
        <v>2</v>
      </c>
      <c r="G2979">
        <v>3</v>
      </c>
      <c r="H2979">
        <v>0</v>
      </c>
      <c r="I2979" s="12" t="s">
        <v>123</v>
      </c>
      <c r="J2979" s="12" t="s">
        <v>124</v>
      </c>
      <c r="K2979" s="12" t="s">
        <v>125</v>
      </c>
      <c r="L2979" s="12" t="s">
        <v>82</v>
      </c>
      <c r="M2979">
        <v>6.75</v>
      </c>
      <c r="N2979" s="12" t="s">
        <v>70</v>
      </c>
      <c r="O2979" s="12" t="s">
        <v>71</v>
      </c>
      <c r="P2979" s="12" t="s">
        <v>72</v>
      </c>
      <c r="Q2979" s="13">
        <v>45475</v>
      </c>
      <c r="R2979" s="13">
        <v>45502</v>
      </c>
      <c r="S2979">
        <v>2024</v>
      </c>
      <c r="T2979" s="12" t="s">
        <v>3854</v>
      </c>
      <c r="U2979">
        <v>131</v>
      </c>
      <c r="V2979">
        <v>125.10590000000001</v>
      </c>
      <c r="W2979">
        <v>389.95</v>
      </c>
      <c r="X2979">
        <v>0</v>
      </c>
      <c r="Y2979">
        <v>0</v>
      </c>
      <c r="Z2979">
        <v>16388.87</v>
      </c>
      <c r="AA2979">
        <v>16778.82</v>
      </c>
      <c r="AB2979" s="12" t="s">
        <v>3398</v>
      </c>
      <c r="AC2979">
        <v>125.10590000000001</v>
      </c>
      <c r="AD2979">
        <v>1</v>
      </c>
      <c r="AE2979">
        <v>1</v>
      </c>
      <c r="AF2979">
        <v>0</v>
      </c>
      <c r="AG2979">
        <v>16388.87</v>
      </c>
      <c r="AH2979">
        <v>131</v>
      </c>
      <c r="AI2979">
        <v>129</v>
      </c>
      <c r="AJ2979">
        <v>2</v>
      </c>
      <c r="AK2979">
        <v>1</v>
      </c>
      <c r="AL2979">
        <v>1</v>
      </c>
      <c r="AM2979">
        <v>98.47</v>
      </c>
      <c r="AN2979">
        <v>130.0684</v>
      </c>
      <c r="AO2979">
        <v>250.21</v>
      </c>
      <c r="AP2979" s="13">
        <v>45504</v>
      </c>
      <c r="AQ2979">
        <v>2</v>
      </c>
      <c r="AR2979">
        <v>0</v>
      </c>
    </row>
    <row r="2980" spans="1:44" x14ac:dyDescent="0.35">
      <c r="A2980" s="12" t="s">
        <v>3867</v>
      </c>
      <c r="B2980" s="12" t="s">
        <v>482</v>
      </c>
      <c r="C2980" s="12" t="s">
        <v>483</v>
      </c>
      <c r="D2980" s="12" t="s">
        <v>78</v>
      </c>
      <c r="E2980" s="12" t="s">
        <v>142</v>
      </c>
      <c r="F2980">
        <v>2</v>
      </c>
      <c r="G2980">
        <v>9</v>
      </c>
      <c r="H2980">
        <v>0</v>
      </c>
      <c r="I2980" s="12" t="s">
        <v>183</v>
      </c>
      <c r="J2980" s="12" t="s">
        <v>184</v>
      </c>
      <c r="K2980" s="12" t="s">
        <v>133</v>
      </c>
      <c r="L2980" s="12" t="s">
        <v>82</v>
      </c>
      <c r="M2980">
        <v>8.6199999999999992</v>
      </c>
      <c r="N2980" s="12" t="s">
        <v>97</v>
      </c>
      <c r="O2980" s="12" t="s">
        <v>98</v>
      </c>
      <c r="P2980" s="12" t="s">
        <v>72</v>
      </c>
      <c r="Q2980" s="13">
        <v>45475</v>
      </c>
      <c r="R2980" s="13">
        <v>45522</v>
      </c>
      <c r="S2980">
        <v>2024</v>
      </c>
      <c r="T2980" s="12" t="s">
        <v>3854</v>
      </c>
      <c r="U2980">
        <v>222</v>
      </c>
      <c r="V2980">
        <v>52.117400000000004</v>
      </c>
      <c r="W2980">
        <v>191.33</v>
      </c>
      <c r="X2980">
        <v>0</v>
      </c>
      <c r="Y2980">
        <v>0</v>
      </c>
      <c r="Z2980">
        <v>11570.06</v>
      </c>
      <c r="AA2980">
        <v>11761.39</v>
      </c>
      <c r="AB2980" s="12" t="s">
        <v>201</v>
      </c>
      <c r="AD2980">
        <v>0</v>
      </c>
      <c r="AE2980">
        <v>0</v>
      </c>
      <c r="AH2980">
        <v>222</v>
      </c>
      <c r="AI2980">
        <v>218</v>
      </c>
      <c r="AJ2980">
        <v>4</v>
      </c>
      <c r="AK2980">
        <v>1</v>
      </c>
      <c r="AL2980">
        <v>1</v>
      </c>
      <c r="AM2980">
        <v>98.2</v>
      </c>
      <c r="AN2980">
        <v>53.951300000000003</v>
      </c>
      <c r="AO2980">
        <v>208.47</v>
      </c>
      <c r="AP2980" s="13">
        <v>45527</v>
      </c>
      <c r="AQ2980">
        <v>5</v>
      </c>
      <c r="AR2980">
        <v>0</v>
      </c>
    </row>
    <row r="2981" spans="1:44" x14ac:dyDescent="0.35">
      <c r="A2981" s="12" t="s">
        <v>3868</v>
      </c>
      <c r="B2981" s="12" t="s">
        <v>902</v>
      </c>
      <c r="C2981" s="12" t="s">
        <v>903</v>
      </c>
      <c r="D2981" s="12" t="s">
        <v>122</v>
      </c>
      <c r="E2981" s="12" t="s">
        <v>142</v>
      </c>
      <c r="F2981">
        <v>1</v>
      </c>
      <c r="G2981">
        <v>6</v>
      </c>
      <c r="H2981">
        <v>1</v>
      </c>
      <c r="I2981" s="12" t="s">
        <v>105</v>
      </c>
      <c r="J2981" s="12" t="s">
        <v>106</v>
      </c>
      <c r="K2981" s="12" t="s">
        <v>81</v>
      </c>
      <c r="L2981" s="12" t="s">
        <v>96</v>
      </c>
      <c r="M2981">
        <v>5.01</v>
      </c>
      <c r="N2981" s="12" t="s">
        <v>70</v>
      </c>
      <c r="O2981" s="12" t="s">
        <v>71</v>
      </c>
      <c r="P2981" s="12" t="s">
        <v>72</v>
      </c>
      <c r="Q2981" s="13">
        <v>45475</v>
      </c>
      <c r="R2981" s="13">
        <v>45524</v>
      </c>
      <c r="S2981">
        <v>2024</v>
      </c>
      <c r="T2981" s="12" t="s">
        <v>3854</v>
      </c>
      <c r="U2981">
        <v>1626</v>
      </c>
      <c r="V2981">
        <v>41.6892</v>
      </c>
      <c r="W2981">
        <v>935.88</v>
      </c>
      <c r="X2981">
        <v>0</v>
      </c>
      <c r="Y2981">
        <v>0</v>
      </c>
      <c r="Z2981">
        <v>67786.64</v>
      </c>
      <c r="AA2981">
        <v>68722.52</v>
      </c>
      <c r="AB2981" s="12" t="s">
        <v>3284</v>
      </c>
      <c r="AC2981">
        <v>41.6892</v>
      </c>
      <c r="AD2981">
        <v>1</v>
      </c>
      <c r="AE2981">
        <v>1</v>
      </c>
      <c r="AF2981">
        <v>0</v>
      </c>
      <c r="AG2981">
        <v>67786.64</v>
      </c>
      <c r="AH2981">
        <v>1626</v>
      </c>
      <c r="AI2981">
        <v>1621</v>
      </c>
      <c r="AJ2981">
        <v>5</v>
      </c>
      <c r="AK2981">
        <v>1</v>
      </c>
      <c r="AL2981">
        <v>1</v>
      </c>
      <c r="AM2981">
        <v>99.69</v>
      </c>
      <c r="AN2981">
        <v>42.395099999999999</v>
      </c>
      <c r="AO2981">
        <v>208.45</v>
      </c>
      <c r="AP2981" s="13">
        <v>45523</v>
      </c>
      <c r="AQ2981">
        <v>-1</v>
      </c>
      <c r="AR2981">
        <v>1</v>
      </c>
    </row>
    <row r="2982" spans="1:44" x14ac:dyDescent="0.35">
      <c r="A2982" s="12" t="s">
        <v>3869</v>
      </c>
      <c r="B2982" s="12" t="s">
        <v>238</v>
      </c>
      <c r="C2982" s="12" t="s">
        <v>239</v>
      </c>
      <c r="D2982" s="12" t="s">
        <v>122</v>
      </c>
      <c r="E2982" s="12" t="s">
        <v>65</v>
      </c>
      <c r="F2982">
        <v>3</v>
      </c>
      <c r="G2982">
        <v>4</v>
      </c>
      <c r="H2982">
        <v>0</v>
      </c>
      <c r="I2982" s="12" t="s">
        <v>79</v>
      </c>
      <c r="J2982" s="12" t="s">
        <v>80</v>
      </c>
      <c r="K2982" s="12" t="s">
        <v>81</v>
      </c>
      <c r="L2982" s="12" t="s">
        <v>82</v>
      </c>
      <c r="M2982">
        <v>12.07</v>
      </c>
      <c r="N2982" s="12" t="s">
        <v>97</v>
      </c>
      <c r="O2982" s="12" t="s">
        <v>98</v>
      </c>
      <c r="P2982" s="12" t="s">
        <v>72</v>
      </c>
      <c r="Q2982" s="13">
        <v>45475</v>
      </c>
      <c r="R2982" s="13">
        <v>45506</v>
      </c>
      <c r="S2982">
        <v>2024</v>
      </c>
      <c r="T2982" s="12" t="s">
        <v>3854</v>
      </c>
      <c r="U2982">
        <v>1227</v>
      </c>
      <c r="V2982">
        <v>33.546599999999998</v>
      </c>
      <c r="W2982">
        <v>601.82000000000005</v>
      </c>
      <c r="X2982">
        <v>0</v>
      </c>
      <c r="Y2982">
        <v>0</v>
      </c>
      <c r="Z2982">
        <v>41161.68</v>
      </c>
      <c r="AA2982">
        <v>41763.5</v>
      </c>
      <c r="AB2982" s="12" t="s">
        <v>2688</v>
      </c>
      <c r="AC2982">
        <v>35.6462</v>
      </c>
      <c r="AD2982">
        <v>1</v>
      </c>
      <c r="AE2982">
        <v>1</v>
      </c>
      <c r="AF2982">
        <v>-2576.21</v>
      </c>
      <c r="AG2982">
        <v>43737.89</v>
      </c>
      <c r="AH2982">
        <v>1227</v>
      </c>
      <c r="AI2982">
        <v>1223</v>
      </c>
      <c r="AJ2982">
        <v>4</v>
      </c>
      <c r="AK2982">
        <v>1</v>
      </c>
      <c r="AL2982">
        <v>1</v>
      </c>
      <c r="AM2982">
        <v>99.67</v>
      </c>
      <c r="AN2982">
        <v>34.148400000000002</v>
      </c>
      <c r="AO2982">
        <v>134.19</v>
      </c>
      <c r="AP2982" s="13">
        <v>45506</v>
      </c>
      <c r="AQ2982">
        <v>0</v>
      </c>
      <c r="AR2982">
        <v>1</v>
      </c>
    </row>
    <row r="2983" spans="1:44" x14ac:dyDescent="0.35">
      <c r="A2983" s="12" t="s">
        <v>3870</v>
      </c>
      <c r="B2983" s="12" t="s">
        <v>843</v>
      </c>
      <c r="C2983" s="12" t="s">
        <v>844</v>
      </c>
      <c r="D2983" s="12" t="s">
        <v>175</v>
      </c>
      <c r="E2983" s="12" t="s">
        <v>65</v>
      </c>
      <c r="F2983">
        <v>3</v>
      </c>
      <c r="G2983">
        <v>5</v>
      </c>
      <c r="H2983">
        <v>0</v>
      </c>
      <c r="I2983" s="12" t="s">
        <v>79</v>
      </c>
      <c r="J2983" s="12" t="s">
        <v>80</v>
      </c>
      <c r="K2983" s="12" t="s">
        <v>81</v>
      </c>
      <c r="L2983" s="12" t="s">
        <v>82</v>
      </c>
      <c r="M2983">
        <v>12.07</v>
      </c>
      <c r="N2983" s="12" t="s">
        <v>145</v>
      </c>
      <c r="O2983" s="12" t="s">
        <v>146</v>
      </c>
      <c r="P2983" s="12" t="s">
        <v>109</v>
      </c>
      <c r="Q2983" s="13">
        <v>45476</v>
      </c>
      <c r="R2983" s="13">
        <v>45509</v>
      </c>
      <c r="S2983">
        <v>2024</v>
      </c>
      <c r="T2983" s="12" t="s">
        <v>3854</v>
      </c>
      <c r="U2983">
        <v>104</v>
      </c>
      <c r="V2983">
        <v>251.68450000000001</v>
      </c>
      <c r="W2983">
        <v>432.9</v>
      </c>
      <c r="X2983">
        <v>0</v>
      </c>
      <c r="Y2983">
        <v>0</v>
      </c>
      <c r="Z2983">
        <v>26175.19</v>
      </c>
      <c r="AA2983">
        <v>26608.09</v>
      </c>
      <c r="AB2983" s="12" t="s">
        <v>3871</v>
      </c>
      <c r="AC2983">
        <v>251.68450000000001</v>
      </c>
      <c r="AD2983">
        <v>1</v>
      </c>
      <c r="AE2983">
        <v>1</v>
      </c>
      <c r="AF2983">
        <v>0</v>
      </c>
      <c r="AG2983">
        <v>26175.19</v>
      </c>
      <c r="AH2983">
        <v>104</v>
      </c>
      <c r="AI2983">
        <v>103</v>
      </c>
      <c r="AJ2983">
        <v>1</v>
      </c>
      <c r="AK2983">
        <v>1</v>
      </c>
      <c r="AL2983">
        <v>1</v>
      </c>
      <c r="AM2983">
        <v>99.04</v>
      </c>
      <c r="AN2983">
        <v>258.33100000000002</v>
      </c>
      <c r="AO2983">
        <v>251.68</v>
      </c>
      <c r="AP2983" s="13">
        <v>45517</v>
      </c>
      <c r="AQ2983">
        <v>8</v>
      </c>
      <c r="AR2983">
        <v>0</v>
      </c>
    </row>
    <row r="2984" spans="1:44" x14ac:dyDescent="0.35">
      <c r="A2984" s="12" t="s">
        <v>3872</v>
      </c>
      <c r="B2984" s="12" t="s">
        <v>308</v>
      </c>
      <c r="C2984" s="12" t="s">
        <v>309</v>
      </c>
      <c r="D2984" s="12" t="s">
        <v>122</v>
      </c>
      <c r="E2984" s="12" t="s">
        <v>142</v>
      </c>
      <c r="F2984">
        <v>1</v>
      </c>
      <c r="G2984">
        <v>6</v>
      </c>
      <c r="H2984">
        <v>1</v>
      </c>
      <c r="I2984" s="12" t="s">
        <v>310</v>
      </c>
      <c r="J2984" s="12" t="s">
        <v>311</v>
      </c>
      <c r="K2984" s="12" t="s">
        <v>81</v>
      </c>
      <c r="L2984" s="12" t="s">
        <v>69</v>
      </c>
      <c r="M2984">
        <v>28.3</v>
      </c>
      <c r="N2984" s="12" t="s">
        <v>70</v>
      </c>
      <c r="O2984" s="12" t="s">
        <v>71</v>
      </c>
      <c r="P2984" s="12" t="s">
        <v>72</v>
      </c>
      <c r="Q2984" s="13">
        <v>45476</v>
      </c>
      <c r="R2984" s="13">
        <v>45512</v>
      </c>
      <c r="S2984">
        <v>2024</v>
      </c>
      <c r="T2984" s="12" t="s">
        <v>3854</v>
      </c>
      <c r="U2984">
        <v>365</v>
      </c>
      <c r="V2984">
        <v>58.086399999999998</v>
      </c>
      <c r="W2984">
        <v>269.41000000000003</v>
      </c>
      <c r="X2984">
        <v>0</v>
      </c>
      <c r="Y2984">
        <v>0</v>
      </c>
      <c r="Z2984">
        <v>21201.54</v>
      </c>
      <c r="AA2984">
        <v>21470.95</v>
      </c>
      <c r="AB2984" s="12" t="s">
        <v>2726</v>
      </c>
      <c r="AC2984">
        <v>58.086399999999998</v>
      </c>
      <c r="AD2984">
        <v>1</v>
      </c>
      <c r="AE2984">
        <v>1</v>
      </c>
      <c r="AF2984">
        <v>0</v>
      </c>
      <c r="AG2984">
        <v>21201.54</v>
      </c>
      <c r="AH2984">
        <v>365</v>
      </c>
      <c r="AI2984">
        <v>363</v>
      </c>
      <c r="AJ2984">
        <v>2</v>
      </c>
      <c r="AK2984">
        <v>1</v>
      </c>
      <c r="AL2984">
        <v>1</v>
      </c>
      <c r="AM2984">
        <v>99.45</v>
      </c>
      <c r="AN2984">
        <v>59.148600000000002</v>
      </c>
      <c r="AO2984">
        <v>116.17</v>
      </c>
      <c r="AP2984" s="13">
        <v>45509</v>
      </c>
      <c r="AQ2984">
        <v>-3</v>
      </c>
      <c r="AR2984">
        <v>1</v>
      </c>
    </row>
    <row r="2985" spans="1:44" x14ac:dyDescent="0.35">
      <c r="A2985" s="12" t="s">
        <v>3873</v>
      </c>
      <c r="B2985" s="12" t="s">
        <v>128</v>
      </c>
      <c r="C2985" s="12" t="s">
        <v>129</v>
      </c>
      <c r="D2985" s="12" t="s">
        <v>130</v>
      </c>
      <c r="E2985" s="12" t="s">
        <v>65</v>
      </c>
      <c r="F2985">
        <v>3</v>
      </c>
      <c r="G2985">
        <v>5</v>
      </c>
      <c r="H2985">
        <v>0</v>
      </c>
      <c r="I2985" s="12" t="s">
        <v>131</v>
      </c>
      <c r="J2985" s="12" t="s">
        <v>132</v>
      </c>
      <c r="K2985" s="12" t="s">
        <v>133</v>
      </c>
      <c r="L2985" s="12" t="s">
        <v>134</v>
      </c>
      <c r="M2985">
        <v>1.51</v>
      </c>
      <c r="N2985" s="12" t="s">
        <v>135</v>
      </c>
      <c r="O2985" s="12" t="s">
        <v>136</v>
      </c>
      <c r="P2985" s="12" t="s">
        <v>137</v>
      </c>
      <c r="Q2985" s="13">
        <v>45476</v>
      </c>
      <c r="R2985" s="13">
        <v>45509</v>
      </c>
      <c r="S2985">
        <v>2024</v>
      </c>
      <c r="T2985" s="12" t="s">
        <v>3854</v>
      </c>
      <c r="U2985">
        <v>104</v>
      </c>
      <c r="V2985">
        <v>416.06369999999998</v>
      </c>
      <c r="W2985">
        <v>562.82000000000005</v>
      </c>
      <c r="X2985">
        <v>0</v>
      </c>
      <c r="Y2985">
        <v>0</v>
      </c>
      <c r="Z2985">
        <v>43270.62</v>
      </c>
      <c r="AA2985">
        <v>43833.440000000002</v>
      </c>
      <c r="AB2985" s="12" t="s">
        <v>201</v>
      </c>
      <c r="AD2985">
        <v>0</v>
      </c>
      <c r="AE2985">
        <v>0</v>
      </c>
      <c r="AH2985">
        <v>104</v>
      </c>
      <c r="AI2985">
        <v>93</v>
      </c>
      <c r="AJ2985">
        <v>11</v>
      </c>
      <c r="AK2985">
        <v>1</v>
      </c>
      <c r="AL2985">
        <v>1</v>
      </c>
      <c r="AM2985">
        <v>89.42</v>
      </c>
      <c r="AN2985">
        <v>471.32740000000001</v>
      </c>
      <c r="AO2985">
        <v>4576.7</v>
      </c>
      <c r="AP2985" s="13">
        <v>45508</v>
      </c>
      <c r="AQ2985">
        <v>-1</v>
      </c>
      <c r="AR2985">
        <v>1</v>
      </c>
    </row>
    <row r="2986" spans="1:44" x14ac:dyDescent="0.35">
      <c r="A2986" s="12" t="s">
        <v>3874</v>
      </c>
      <c r="B2986" s="12" t="s">
        <v>458</v>
      </c>
      <c r="C2986" s="12" t="s">
        <v>459</v>
      </c>
      <c r="D2986" s="12" t="s">
        <v>64</v>
      </c>
      <c r="E2986" s="12" t="s">
        <v>104</v>
      </c>
      <c r="F2986">
        <v>2</v>
      </c>
      <c r="G2986">
        <v>0</v>
      </c>
      <c r="H2986">
        <v>0</v>
      </c>
      <c r="I2986" s="12" t="s">
        <v>199</v>
      </c>
      <c r="J2986" s="12" t="s">
        <v>200</v>
      </c>
      <c r="K2986" s="12" t="s">
        <v>68</v>
      </c>
      <c r="L2986" s="12" t="s">
        <v>96</v>
      </c>
      <c r="M2986">
        <v>9.4700000000000006</v>
      </c>
      <c r="N2986" s="12" t="s">
        <v>97</v>
      </c>
      <c r="O2986" s="12" t="s">
        <v>98</v>
      </c>
      <c r="P2986" s="12" t="s">
        <v>72</v>
      </c>
      <c r="Q2986" s="13">
        <v>45476</v>
      </c>
      <c r="R2986" s="13">
        <v>45489</v>
      </c>
      <c r="S2986">
        <v>2024</v>
      </c>
      <c r="T2986" s="12" t="s">
        <v>3854</v>
      </c>
      <c r="U2986">
        <v>157</v>
      </c>
      <c r="V2986">
        <v>23.0014</v>
      </c>
      <c r="W2986">
        <v>71.56</v>
      </c>
      <c r="X2986">
        <v>0</v>
      </c>
      <c r="Y2986">
        <v>0</v>
      </c>
      <c r="Z2986">
        <v>3611.22</v>
      </c>
      <c r="AA2986">
        <v>3682.78</v>
      </c>
      <c r="AB2986" s="12" t="s">
        <v>3341</v>
      </c>
      <c r="AC2986">
        <v>23.0014</v>
      </c>
      <c r="AD2986">
        <v>1</v>
      </c>
      <c r="AE2986">
        <v>1</v>
      </c>
      <c r="AF2986">
        <v>0</v>
      </c>
      <c r="AG2986">
        <v>3611.22</v>
      </c>
      <c r="AH2986">
        <v>157</v>
      </c>
      <c r="AI2986">
        <v>156</v>
      </c>
      <c r="AJ2986">
        <v>1</v>
      </c>
      <c r="AK2986">
        <v>1</v>
      </c>
      <c r="AL2986">
        <v>1</v>
      </c>
      <c r="AM2986">
        <v>99.36</v>
      </c>
      <c r="AN2986">
        <v>23.607600000000001</v>
      </c>
      <c r="AO2986">
        <v>23</v>
      </c>
      <c r="AP2986" s="13">
        <v>45488</v>
      </c>
      <c r="AQ2986">
        <v>-1</v>
      </c>
      <c r="AR2986">
        <v>1</v>
      </c>
    </row>
    <row r="2987" spans="1:44" x14ac:dyDescent="0.35">
      <c r="A2987" s="12" t="s">
        <v>3875</v>
      </c>
      <c r="B2987" s="12" t="s">
        <v>736</v>
      </c>
      <c r="C2987" s="12" t="s">
        <v>737</v>
      </c>
      <c r="D2987" s="12" t="s">
        <v>64</v>
      </c>
      <c r="E2987" s="12" t="s">
        <v>104</v>
      </c>
      <c r="F2987">
        <v>3</v>
      </c>
      <c r="G2987">
        <v>1</v>
      </c>
      <c r="H2987">
        <v>0</v>
      </c>
      <c r="I2987" s="12" t="s">
        <v>115</v>
      </c>
      <c r="J2987" s="12" t="s">
        <v>116</v>
      </c>
      <c r="K2987" s="12" t="s">
        <v>117</v>
      </c>
      <c r="L2987" s="12" t="s">
        <v>82</v>
      </c>
      <c r="M2987">
        <v>17.170000000000002</v>
      </c>
      <c r="N2987" s="12" t="s">
        <v>97</v>
      </c>
      <c r="O2987" s="12" t="s">
        <v>98</v>
      </c>
      <c r="P2987" s="12" t="s">
        <v>72</v>
      </c>
      <c r="Q2987" s="13">
        <v>45476</v>
      </c>
      <c r="R2987" s="13">
        <v>45499</v>
      </c>
      <c r="S2987">
        <v>2024</v>
      </c>
      <c r="T2987" s="12" t="s">
        <v>3854</v>
      </c>
      <c r="U2987">
        <v>691</v>
      </c>
      <c r="V2987">
        <v>22.931699999999999</v>
      </c>
      <c r="W2987">
        <v>180.83</v>
      </c>
      <c r="X2987">
        <v>0</v>
      </c>
      <c r="Y2987">
        <v>0</v>
      </c>
      <c r="Z2987">
        <v>15845.8</v>
      </c>
      <c r="AA2987">
        <v>16026.63</v>
      </c>
      <c r="AB2987" s="12" t="s">
        <v>3876</v>
      </c>
      <c r="AC2987">
        <v>22.931699999999999</v>
      </c>
      <c r="AD2987">
        <v>1</v>
      </c>
      <c r="AE2987">
        <v>1</v>
      </c>
      <c r="AF2987">
        <v>0</v>
      </c>
      <c r="AG2987">
        <v>15845.8</v>
      </c>
      <c r="AH2987">
        <v>691</v>
      </c>
      <c r="AI2987">
        <v>682</v>
      </c>
      <c r="AJ2987">
        <v>9</v>
      </c>
      <c r="AK2987">
        <v>1</v>
      </c>
      <c r="AL2987">
        <v>1</v>
      </c>
      <c r="AM2987">
        <v>98.7</v>
      </c>
      <c r="AN2987">
        <v>23.499500000000001</v>
      </c>
      <c r="AO2987">
        <v>206.39</v>
      </c>
      <c r="AP2987" s="13">
        <v>45496</v>
      </c>
      <c r="AQ2987">
        <v>-3</v>
      </c>
      <c r="AR2987">
        <v>1</v>
      </c>
    </row>
    <row r="2988" spans="1:44" x14ac:dyDescent="0.35">
      <c r="A2988" s="12" t="s">
        <v>3877</v>
      </c>
      <c r="B2988" s="12" t="s">
        <v>482</v>
      </c>
      <c r="C2988" s="12" t="s">
        <v>483</v>
      </c>
      <c r="D2988" s="12" t="s">
        <v>78</v>
      </c>
      <c r="E2988" s="12" t="s">
        <v>142</v>
      </c>
      <c r="F2988">
        <v>2</v>
      </c>
      <c r="G2988">
        <v>9</v>
      </c>
      <c r="H2988">
        <v>0</v>
      </c>
      <c r="I2988" s="12" t="s">
        <v>183</v>
      </c>
      <c r="J2988" s="12" t="s">
        <v>184</v>
      </c>
      <c r="K2988" s="12" t="s">
        <v>133</v>
      </c>
      <c r="L2988" s="12" t="s">
        <v>82</v>
      </c>
      <c r="M2988">
        <v>8.6199999999999992</v>
      </c>
      <c r="N2988" s="12" t="s">
        <v>97</v>
      </c>
      <c r="O2988" s="12" t="s">
        <v>98</v>
      </c>
      <c r="P2988" s="12" t="s">
        <v>72</v>
      </c>
      <c r="Q2988" s="13">
        <v>45476</v>
      </c>
      <c r="R2988" s="13">
        <v>45514</v>
      </c>
      <c r="S2988">
        <v>2024</v>
      </c>
      <c r="T2988" s="12" t="s">
        <v>3854</v>
      </c>
      <c r="U2988">
        <v>89</v>
      </c>
      <c r="V2988">
        <v>49.088200000000001</v>
      </c>
      <c r="W2988">
        <v>31.33</v>
      </c>
      <c r="X2988">
        <v>0</v>
      </c>
      <c r="Y2988">
        <v>0</v>
      </c>
      <c r="Z2988">
        <v>4368.8500000000004</v>
      </c>
      <c r="AA2988">
        <v>4400.18</v>
      </c>
      <c r="AB2988" s="12" t="s">
        <v>201</v>
      </c>
      <c r="AD2988">
        <v>0</v>
      </c>
      <c r="AE2988">
        <v>0</v>
      </c>
      <c r="AH2988">
        <v>89</v>
      </c>
      <c r="AI2988">
        <v>88</v>
      </c>
      <c r="AJ2988">
        <v>1</v>
      </c>
      <c r="AK2988">
        <v>1</v>
      </c>
      <c r="AL2988">
        <v>1</v>
      </c>
      <c r="AM2988">
        <v>98.88</v>
      </c>
      <c r="AN2988">
        <v>50.002000000000002</v>
      </c>
      <c r="AO2988">
        <v>49.09</v>
      </c>
      <c r="AP2988" s="13">
        <v>45513</v>
      </c>
      <c r="AQ2988">
        <v>-1</v>
      </c>
      <c r="AR2988">
        <v>1</v>
      </c>
    </row>
    <row r="2989" spans="1:44" x14ac:dyDescent="0.35">
      <c r="A2989" s="12" t="s">
        <v>3878</v>
      </c>
      <c r="B2989" s="12" t="s">
        <v>674</v>
      </c>
      <c r="C2989" s="12" t="s">
        <v>675</v>
      </c>
      <c r="D2989" s="12" t="s">
        <v>269</v>
      </c>
      <c r="E2989" s="12" t="s">
        <v>142</v>
      </c>
      <c r="F2989">
        <v>1</v>
      </c>
      <c r="G2989">
        <v>7</v>
      </c>
      <c r="H2989">
        <v>1</v>
      </c>
      <c r="I2989" s="12" t="s">
        <v>676</v>
      </c>
      <c r="J2989" s="12" t="s">
        <v>677</v>
      </c>
      <c r="K2989" s="12" t="s">
        <v>68</v>
      </c>
      <c r="L2989" s="12" t="s">
        <v>96</v>
      </c>
      <c r="M2989">
        <v>3.57</v>
      </c>
      <c r="N2989" s="12" t="s">
        <v>159</v>
      </c>
      <c r="O2989" s="12" t="s">
        <v>160</v>
      </c>
      <c r="P2989" s="12" t="s">
        <v>137</v>
      </c>
      <c r="Q2989" s="13">
        <v>45477</v>
      </c>
      <c r="R2989" s="13">
        <v>45521</v>
      </c>
      <c r="S2989">
        <v>2024</v>
      </c>
      <c r="T2989" s="12" t="s">
        <v>3854</v>
      </c>
      <c r="U2989">
        <v>83</v>
      </c>
      <c r="V2989">
        <v>367.4486</v>
      </c>
      <c r="W2989">
        <v>193.22</v>
      </c>
      <c r="X2989">
        <v>0</v>
      </c>
      <c r="Y2989">
        <v>0</v>
      </c>
      <c r="Z2989">
        <v>30498.23</v>
      </c>
      <c r="AA2989">
        <v>30691.45</v>
      </c>
      <c r="AB2989" s="12" t="s">
        <v>201</v>
      </c>
      <c r="AD2989">
        <v>0</v>
      </c>
      <c r="AE2989">
        <v>0</v>
      </c>
      <c r="AH2989">
        <v>83</v>
      </c>
      <c r="AI2989">
        <v>82</v>
      </c>
      <c r="AJ2989">
        <v>1</v>
      </c>
      <c r="AK2989">
        <v>1</v>
      </c>
      <c r="AL2989">
        <v>1</v>
      </c>
      <c r="AM2989">
        <v>98.8</v>
      </c>
      <c r="AN2989">
        <v>374.286</v>
      </c>
      <c r="AO2989">
        <v>367.45</v>
      </c>
      <c r="AP2989" s="13">
        <v>45518</v>
      </c>
      <c r="AQ2989">
        <v>-3</v>
      </c>
      <c r="AR2989">
        <v>1</v>
      </c>
    </row>
    <row r="2990" spans="1:44" x14ac:dyDescent="0.35">
      <c r="A2990" s="12" t="s">
        <v>3879</v>
      </c>
      <c r="B2990" s="12" t="s">
        <v>876</v>
      </c>
      <c r="C2990" s="12" t="s">
        <v>877</v>
      </c>
      <c r="D2990" s="12" t="s">
        <v>269</v>
      </c>
      <c r="E2990" s="12" t="s">
        <v>142</v>
      </c>
      <c r="F2990">
        <v>3</v>
      </c>
      <c r="G2990">
        <v>11</v>
      </c>
      <c r="H2990">
        <v>0</v>
      </c>
      <c r="I2990" s="12" t="s">
        <v>515</v>
      </c>
      <c r="J2990" s="12" t="s">
        <v>516</v>
      </c>
      <c r="K2990" s="12" t="s">
        <v>68</v>
      </c>
      <c r="L2990" s="12" t="s">
        <v>134</v>
      </c>
      <c r="M2990">
        <v>3.69</v>
      </c>
      <c r="N2990" s="12" t="s">
        <v>135</v>
      </c>
      <c r="O2990" s="12" t="s">
        <v>136</v>
      </c>
      <c r="P2990" s="12" t="s">
        <v>137</v>
      </c>
      <c r="Q2990" s="13">
        <v>45477</v>
      </c>
      <c r="R2990" s="13">
        <v>45513</v>
      </c>
      <c r="S2990">
        <v>2024</v>
      </c>
      <c r="T2990" s="12" t="s">
        <v>3854</v>
      </c>
      <c r="U2990">
        <v>22</v>
      </c>
      <c r="V2990">
        <v>191.71029999999999</v>
      </c>
      <c r="W2990">
        <v>77.88</v>
      </c>
      <c r="X2990">
        <v>0</v>
      </c>
      <c r="Y2990">
        <v>0</v>
      </c>
      <c r="Z2990">
        <v>4217.63</v>
      </c>
      <c r="AA2990">
        <v>4295.51</v>
      </c>
      <c r="AB2990" s="12" t="s">
        <v>3591</v>
      </c>
      <c r="AC2990">
        <v>191.71029999999999</v>
      </c>
      <c r="AD2990">
        <v>1</v>
      </c>
      <c r="AE2990">
        <v>1</v>
      </c>
      <c r="AF2990">
        <v>0</v>
      </c>
      <c r="AG2990">
        <v>4217.63</v>
      </c>
      <c r="AH2990">
        <v>22</v>
      </c>
      <c r="AI2990">
        <v>22</v>
      </c>
      <c r="AJ2990">
        <v>0</v>
      </c>
      <c r="AK2990">
        <v>1</v>
      </c>
      <c r="AL2990">
        <v>1</v>
      </c>
      <c r="AM2990">
        <v>100</v>
      </c>
      <c r="AN2990">
        <v>195.25030000000001</v>
      </c>
      <c r="AO2990">
        <v>0</v>
      </c>
      <c r="AP2990" s="13">
        <v>45515</v>
      </c>
      <c r="AQ2990">
        <v>2</v>
      </c>
      <c r="AR2990">
        <v>0</v>
      </c>
    </row>
    <row r="2991" spans="1:44" x14ac:dyDescent="0.35">
      <c r="A2991" s="12" t="s">
        <v>3880</v>
      </c>
      <c r="B2991" s="12" t="s">
        <v>990</v>
      </c>
      <c r="C2991" s="12" t="s">
        <v>991</v>
      </c>
      <c r="D2991" s="12" t="s">
        <v>122</v>
      </c>
      <c r="E2991" s="12" t="s">
        <v>142</v>
      </c>
      <c r="F2991">
        <v>1</v>
      </c>
      <c r="G2991">
        <v>6</v>
      </c>
      <c r="H2991">
        <v>1</v>
      </c>
      <c r="I2991" s="12" t="s">
        <v>217</v>
      </c>
      <c r="J2991" s="12" t="s">
        <v>218</v>
      </c>
      <c r="K2991" s="12" t="s">
        <v>68</v>
      </c>
      <c r="L2991" s="12" t="s">
        <v>82</v>
      </c>
      <c r="M2991">
        <v>14.24</v>
      </c>
      <c r="N2991" s="12" t="s">
        <v>97</v>
      </c>
      <c r="O2991" s="12" t="s">
        <v>98</v>
      </c>
      <c r="P2991" s="12" t="s">
        <v>72</v>
      </c>
      <c r="Q2991" s="13">
        <v>45477</v>
      </c>
      <c r="R2991" s="13">
        <v>45513</v>
      </c>
      <c r="S2991">
        <v>2024</v>
      </c>
      <c r="T2991" s="12" t="s">
        <v>3854</v>
      </c>
      <c r="U2991">
        <v>308</v>
      </c>
      <c r="V2991">
        <v>31.6343</v>
      </c>
      <c r="W2991">
        <v>165.32</v>
      </c>
      <c r="X2991">
        <v>310.67</v>
      </c>
      <c r="Y2991">
        <v>1</v>
      </c>
      <c r="Z2991">
        <v>9743.36</v>
      </c>
      <c r="AA2991">
        <v>10219.35</v>
      </c>
      <c r="AB2991" s="12" t="s">
        <v>3368</v>
      </c>
      <c r="AC2991">
        <v>33.6252</v>
      </c>
      <c r="AD2991">
        <v>1</v>
      </c>
      <c r="AE2991">
        <v>1</v>
      </c>
      <c r="AF2991">
        <v>-613.20000000000005</v>
      </c>
      <c r="AG2991">
        <v>10356.56</v>
      </c>
      <c r="AH2991">
        <v>308</v>
      </c>
      <c r="AI2991">
        <v>305</v>
      </c>
      <c r="AJ2991">
        <v>3</v>
      </c>
      <c r="AK2991">
        <v>1</v>
      </c>
      <c r="AL2991">
        <v>1</v>
      </c>
      <c r="AM2991">
        <v>99.03</v>
      </c>
      <c r="AN2991">
        <v>33.506100000000004</v>
      </c>
      <c r="AO2991">
        <v>94.9</v>
      </c>
      <c r="AP2991" s="13">
        <v>45521</v>
      </c>
      <c r="AQ2991">
        <v>8</v>
      </c>
      <c r="AR2991">
        <v>0</v>
      </c>
    </row>
    <row r="2992" spans="1:44" x14ac:dyDescent="0.35">
      <c r="A2992" s="12" t="s">
        <v>3881</v>
      </c>
      <c r="B2992" s="12" t="s">
        <v>773</v>
      </c>
      <c r="C2992" s="12" t="s">
        <v>774</v>
      </c>
      <c r="D2992" s="12" t="s">
        <v>64</v>
      </c>
      <c r="E2992" s="12" t="s">
        <v>142</v>
      </c>
      <c r="F2992">
        <v>1</v>
      </c>
      <c r="G2992">
        <v>7</v>
      </c>
      <c r="H2992">
        <v>1</v>
      </c>
      <c r="I2992" s="12" t="s">
        <v>251</v>
      </c>
      <c r="J2992" s="12" t="s">
        <v>252</v>
      </c>
      <c r="K2992" s="12" t="s">
        <v>133</v>
      </c>
      <c r="L2992" s="12" t="s">
        <v>69</v>
      </c>
      <c r="M2992">
        <v>34.49</v>
      </c>
      <c r="N2992" s="12" t="s">
        <v>97</v>
      </c>
      <c r="O2992" s="12" t="s">
        <v>98</v>
      </c>
      <c r="P2992" s="12" t="s">
        <v>72</v>
      </c>
      <c r="Q2992" s="13">
        <v>45477</v>
      </c>
      <c r="R2992" s="13">
        <v>45516</v>
      </c>
      <c r="S2992">
        <v>2024</v>
      </c>
      <c r="T2992" s="12" t="s">
        <v>3854</v>
      </c>
      <c r="U2992">
        <v>338</v>
      </c>
      <c r="V2992">
        <v>10.022600000000001</v>
      </c>
      <c r="W2992">
        <v>70.569999999999993</v>
      </c>
      <c r="X2992">
        <v>0</v>
      </c>
      <c r="Y2992">
        <v>0</v>
      </c>
      <c r="Z2992">
        <v>3387.64</v>
      </c>
      <c r="AA2992">
        <v>3458.21</v>
      </c>
      <c r="AB2992" s="12" t="s">
        <v>3354</v>
      </c>
      <c r="AC2992">
        <v>10.022600000000001</v>
      </c>
      <c r="AD2992">
        <v>1</v>
      </c>
      <c r="AE2992">
        <v>1</v>
      </c>
      <c r="AF2992">
        <v>0</v>
      </c>
      <c r="AG2992">
        <v>3387.64</v>
      </c>
      <c r="AH2992">
        <v>338</v>
      </c>
      <c r="AI2992">
        <v>334</v>
      </c>
      <c r="AJ2992">
        <v>4</v>
      </c>
      <c r="AK2992">
        <v>1</v>
      </c>
      <c r="AL2992">
        <v>1</v>
      </c>
      <c r="AM2992">
        <v>98.82</v>
      </c>
      <c r="AN2992">
        <v>10.353899999999999</v>
      </c>
      <c r="AO2992">
        <v>40.090000000000003</v>
      </c>
      <c r="AP2992" s="13">
        <v>45516</v>
      </c>
      <c r="AQ2992">
        <v>0</v>
      </c>
      <c r="AR2992">
        <v>1</v>
      </c>
    </row>
    <row r="2993" spans="1:44" x14ac:dyDescent="0.35">
      <c r="A2993" s="12" t="s">
        <v>3882</v>
      </c>
      <c r="B2993" s="12" t="s">
        <v>952</v>
      </c>
      <c r="C2993" s="12" t="s">
        <v>953</v>
      </c>
      <c r="D2993" s="12" t="s">
        <v>64</v>
      </c>
      <c r="E2993" s="12" t="s">
        <v>142</v>
      </c>
      <c r="F2993">
        <v>1</v>
      </c>
      <c r="G2993">
        <v>8</v>
      </c>
      <c r="H2993">
        <v>1</v>
      </c>
      <c r="I2993" s="12" t="s">
        <v>131</v>
      </c>
      <c r="J2993" s="12" t="s">
        <v>132</v>
      </c>
      <c r="K2993" s="12" t="s">
        <v>133</v>
      </c>
      <c r="L2993" s="12" t="s">
        <v>134</v>
      </c>
      <c r="M2993">
        <v>1.51</v>
      </c>
      <c r="N2993" s="12" t="s">
        <v>97</v>
      </c>
      <c r="O2993" s="12" t="s">
        <v>98</v>
      </c>
      <c r="P2993" s="12" t="s">
        <v>72</v>
      </c>
      <c r="Q2993" s="13">
        <v>45477</v>
      </c>
      <c r="R2993" s="13">
        <v>45529</v>
      </c>
      <c r="S2993">
        <v>2024</v>
      </c>
      <c r="T2993" s="12" t="s">
        <v>3854</v>
      </c>
      <c r="U2993">
        <v>969</v>
      </c>
      <c r="V2993">
        <v>31.110399999999998</v>
      </c>
      <c r="W2993">
        <v>615.94000000000005</v>
      </c>
      <c r="X2993">
        <v>0</v>
      </c>
      <c r="Y2993">
        <v>0</v>
      </c>
      <c r="Z2993">
        <v>30145.98</v>
      </c>
      <c r="AA2993">
        <v>30761.919999999998</v>
      </c>
      <c r="AB2993" s="12" t="s">
        <v>3261</v>
      </c>
      <c r="AC2993">
        <v>31.110399999999998</v>
      </c>
      <c r="AD2993">
        <v>1</v>
      </c>
      <c r="AE2993">
        <v>1</v>
      </c>
      <c r="AF2993">
        <v>0</v>
      </c>
      <c r="AG2993">
        <v>30145.98</v>
      </c>
      <c r="AH2993">
        <v>969</v>
      </c>
      <c r="AI2993">
        <v>966</v>
      </c>
      <c r="AJ2993">
        <v>3</v>
      </c>
      <c r="AK2993">
        <v>1</v>
      </c>
      <c r="AL2993">
        <v>1</v>
      </c>
      <c r="AM2993">
        <v>99.69</v>
      </c>
      <c r="AN2993">
        <v>31.8446</v>
      </c>
      <c r="AO2993">
        <v>93.33</v>
      </c>
      <c r="AP2993" s="13">
        <v>45527</v>
      </c>
      <c r="AQ2993">
        <v>-2</v>
      </c>
      <c r="AR2993">
        <v>1</v>
      </c>
    </row>
    <row r="2994" spans="1:44" x14ac:dyDescent="0.35">
      <c r="A2994" s="12" t="s">
        <v>3883</v>
      </c>
      <c r="B2994" s="12" t="s">
        <v>302</v>
      </c>
      <c r="C2994" s="12" t="s">
        <v>303</v>
      </c>
      <c r="D2994" s="12" t="s">
        <v>78</v>
      </c>
      <c r="E2994" s="12" t="s">
        <v>65</v>
      </c>
      <c r="F2994">
        <v>2</v>
      </c>
      <c r="G2994">
        <v>3</v>
      </c>
      <c r="H2994">
        <v>0</v>
      </c>
      <c r="I2994" s="12" t="s">
        <v>335</v>
      </c>
      <c r="J2994" s="12" t="s">
        <v>336</v>
      </c>
      <c r="K2994" s="12" t="s">
        <v>89</v>
      </c>
      <c r="L2994" s="12" t="s">
        <v>82</v>
      </c>
      <c r="M2994">
        <v>16</v>
      </c>
      <c r="N2994" s="12" t="s">
        <v>70</v>
      </c>
      <c r="O2994" s="12" t="s">
        <v>71</v>
      </c>
      <c r="P2994" s="12" t="s">
        <v>72</v>
      </c>
      <c r="Q2994" s="13">
        <v>45477</v>
      </c>
      <c r="R2994" s="13">
        <v>45513</v>
      </c>
      <c r="S2994">
        <v>2024</v>
      </c>
      <c r="T2994" s="12" t="s">
        <v>3854</v>
      </c>
      <c r="U2994">
        <v>262</v>
      </c>
      <c r="V2994">
        <v>141.08359999999999</v>
      </c>
      <c r="W2994">
        <v>240.98</v>
      </c>
      <c r="X2994">
        <v>0</v>
      </c>
      <c r="Y2994">
        <v>0</v>
      </c>
      <c r="Z2994">
        <v>36963.9</v>
      </c>
      <c r="AA2994">
        <v>37204.879999999997</v>
      </c>
      <c r="AB2994" s="12" t="s">
        <v>2834</v>
      </c>
      <c r="AC2994">
        <v>141.08359999999999</v>
      </c>
      <c r="AD2994">
        <v>1</v>
      </c>
      <c r="AE2994">
        <v>1</v>
      </c>
      <c r="AF2994">
        <v>0</v>
      </c>
      <c r="AG2994">
        <v>36963.9</v>
      </c>
      <c r="AH2994">
        <v>262</v>
      </c>
      <c r="AI2994">
        <v>256</v>
      </c>
      <c r="AJ2994">
        <v>6</v>
      </c>
      <c r="AK2994">
        <v>1</v>
      </c>
      <c r="AL2994">
        <v>1</v>
      </c>
      <c r="AM2994">
        <v>97.71</v>
      </c>
      <c r="AN2994">
        <v>145.33160000000001</v>
      </c>
      <c r="AO2994">
        <v>846.5</v>
      </c>
      <c r="AP2994" s="13">
        <v>45512</v>
      </c>
      <c r="AQ2994">
        <v>-1</v>
      </c>
      <c r="AR2994">
        <v>1</v>
      </c>
    </row>
    <row r="2995" spans="1:44" x14ac:dyDescent="0.35">
      <c r="A2995" s="12" t="s">
        <v>3884</v>
      </c>
      <c r="B2995" s="12" t="s">
        <v>1134</v>
      </c>
      <c r="C2995" s="12" t="s">
        <v>1135</v>
      </c>
      <c r="D2995" s="12" t="s">
        <v>269</v>
      </c>
      <c r="E2995" s="12" t="s">
        <v>104</v>
      </c>
      <c r="F2995">
        <v>2</v>
      </c>
      <c r="G2995">
        <v>0</v>
      </c>
      <c r="H2995">
        <v>0</v>
      </c>
      <c r="I2995" s="12" t="s">
        <v>335</v>
      </c>
      <c r="J2995" s="12" t="s">
        <v>336</v>
      </c>
      <c r="K2995" s="12" t="s">
        <v>89</v>
      </c>
      <c r="L2995" s="12" t="s">
        <v>82</v>
      </c>
      <c r="M2995">
        <v>16</v>
      </c>
      <c r="N2995" s="12" t="s">
        <v>159</v>
      </c>
      <c r="O2995" s="12" t="s">
        <v>160</v>
      </c>
      <c r="P2995" s="12" t="s">
        <v>137</v>
      </c>
      <c r="Q2995" s="13">
        <v>45477</v>
      </c>
      <c r="R2995" s="13">
        <v>45506</v>
      </c>
      <c r="S2995">
        <v>2024</v>
      </c>
      <c r="T2995" s="12" t="s">
        <v>3854</v>
      </c>
      <c r="U2995">
        <v>145</v>
      </c>
      <c r="V2995">
        <v>104.307</v>
      </c>
      <c r="W2995">
        <v>142.69</v>
      </c>
      <c r="X2995">
        <v>0</v>
      </c>
      <c r="Y2995">
        <v>0</v>
      </c>
      <c r="Z2995">
        <v>15124.52</v>
      </c>
      <c r="AA2995">
        <v>15267.21</v>
      </c>
      <c r="AB2995" s="12" t="s">
        <v>3885</v>
      </c>
      <c r="AC2995">
        <v>104.307</v>
      </c>
      <c r="AD2995">
        <v>1</v>
      </c>
      <c r="AE2995">
        <v>1</v>
      </c>
      <c r="AF2995">
        <v>0</v>
      </c>
      <c r="AG2995">
        <v>15124.52</v>
      </c>
      <c r="AH2995">
        <v>145</v>
      </c>
      <c r="AI2995">
        <v>143</v>
      </c>
      <c r="AJ2995">
        <v>2</v>
      </c>
      <c r="AK2995">
        <v>1</v>
      </c>
      <c r="AL2995">
        <v>1</v>
      </c>
      <c r="AM2995">
        <v>98.62</v>
      </c>
      <c r="AN2995">
        <v>106.7637</v>
      </c>
      <c r="AO2995">
        <v>208.61</v>
      </c>
      <c r="AP2995" s="13">
        <v>45506</v>
      </c>
      <c r="AQ2995">
        <v>0</v>
      </c>
      <c r="AR2995">
        <v>1</v>
      </c>
    </row>
    <row r="2996" spans="1:44" x14ac:dyDescent="0.35">
      <c r="A2996" s="12" t="s">
        <v>3886</v>
      </c>
      <c r="B2996" s="12" t="s">
        <v>640</v>
      </c>
      <c r="C2996" s="12" t="s">
        <v>641</v>
      </c>
      <c r="D2996" s="12" t="s">
        <v>130</v>
      </c>
      <c r="E2996" s="12" t="s">
        <v>104</v>
      </c>
      <c r="F2996">
        <v>3</v>
      </c>
      <c r="G2996">
        <v>0</v>
      </c>
      <c r="H2996">
        <v>0</v>
      </c>
      <c r="I2996" s="12" t="s">
        <v>123</v>
      </c>
      <c r="J2996" s="12" t="s">
        <v>124</v>
      </c>
      <c r="K2996" s="12" t="s">
        <v>125</v>
      </c>
      <c r="L2996" s="12" t="s">
        <v>82</v>
      </c>
      <c r="M2996">
        <v>6.75</v>
      </c>
      <c r="N2996" s="12" t="s">
        <v>159</v>
      </c>
      <c r="O2996" s="12" t="s">
        <v>160</v>
      </c>
      <c r="P2996" s="12" t="s">
        <v>137</v>
      </c>
      <c r="Q2996" s="13">
        <v>45477</v>
      </c>
      <c r="R2996" s="13">
        <v>45493</v>
      </c>
      <c r="S2996">
        <v>2024</v>
      </c>
      <c r="T2996" s="12" t="s">
        <v>3854</v>
      </c>
      <c r="U2996">
        <v>42</v>
      </c>
      <c r="V2996">
        <v>922.57889999999998</v>
      </c>
      <c r="W2996">
        <v>940.62</v>
      </c>
      <c r="X2996">
        <v>0</v>
      </c>
      <c r="Y2996">
        <v>0</v>
      </c>
      <c r="Z2996">
        <v>38748.31</v>
      </c>
      <c r="AA2996">
        <v>39688.93</v>
      </c>
      <c r="AB2996" s="12" t="s">
        <v>3887</v>
      </c>
      <c r="AC2996">
        <v>922.57889999999998</v>
      </c>
      <c r="AD2996">
        <v>1</v>
      </c>
      <c r="AE2996">
        <v>1</v>
      </c>
      <c r="AF2996">
        <v>0</v>
      </c>
      <c r="AG2996">
        <v>38748.31</v>
      </c>
      <c r="AH2996">
        <v>42</v>
      </c>
      <c r="AI2996">
        <v>42</v>
      </c>
      <c r="AJ2996">
        <v>0</v>
      </c>
      <c r="AK2996">
        <v>1</v>
      </c>
      <c r="AL2996">
        <v>1</v>
      </c>
      <c r="AM2996">
        <v>100</v>
      </c>
      <c r="AN2996">
        <v>944.97460000000001</v>
      </c>
      <c r="AO2996">
        <v>0</v>
      </c>
      <c r="AP2996" s="13">
        <v>45491</v>
      </c>
      <c r="AQ2996">
        <v>-2</v>
      </c>
      <c r="AR2996">
        <v>1</v>
      </c>
    </row>
    <row r="2997" spans="1:44" x14ac:dyDescent="0.35">
      <c r="A2997" s="12" t="s">
        <v>3888</v>
      </c>
      <c r="B2997" s="12" t="s">
        <v>548</v>
      </c>
      <c r="C2997" s="12" t="s">
        <v>549</v>
      </c>
      <c r="D2997" s="12" t="s">
        <v>78</v>
      </c>
      <c r="E2997" s="12" t="s">
        <v>104</v>
      </c>
      <c r="F2997">
        <v>3</v>
      </c>
      <c r="G2997">
        <v>1</v>
      </c>
      <c r="H2997">
        <v>0</v>
      </c>
      <c r="I2997" s="12" t="s">
        <v>199</v>
      </c>
      <c r="J2997" s="12" t="s">
        <v>200</v>
      </c>
      <c r="K2997" s="12" t="s">
        <v>68</v>
      </c>
      <c r="L2997" s="12" t="s">
        <v>96</v>
      </c>
      <c r="M2997">
        <v>9.4700000000000006</v>
      </c>
      <c r="N2997" s="12" t="s">
        <v>97</v>
      </c>
      <c r="O2997" s="12" t="s">
        <v>98</v>
      </c>
      <c r="P2997" s="12" t="s">
        <v>72</v>
      </c>
      <c r="Q2997" s="13">
        <v>45478</v>
      </c>
      <c r="R2997" s="13">
        <v>45504</v>
      </c>
      <c r="S2997">
        <v>2024</v>
      </c>
      <c r="T2997" s="12" t="s">
        <v>3854</v>
      </c>
      <c r="U2997">
        <v>256</v>
      </c>
      <c r="V2997">
        <v>59.1252</v>
      </c>
      <c r="W2997">
        <v>393.03</v>
      </c>
      <c r="X2997">
        <v>0</v>
      </c>
      <c r="Y2997">
        <v>0</v>
      </c>
      <c r="Z2997">
        <v>15136.05</v>
      </c>
      <c r="AA2997">
        <v>15529.08</v>
      </c>
      <c r="AB2997" s="12" t="s">
        <v>3564</v>
      </c>
      <c r="AC2997">
        <v>59.1252</v>
      </c>
      <c r="AD2997">
        <v>1</v>
      </c>
      <c r="AE2997">
        <v>1</v>
      </c>
      <c r="AF2997">
        <v>0</v>
      </c>
      <c r="AG2997">
        <v>15136.05</v>
      </c>
      <c r="AH2997">
        <v>256</v>
      </c>
      <c r="AI2997">
        <v>250</v>
      </c>
      <c r="AJ2997">
        <v>6</v>
      </c>
      <c r="AK2997">
        <v>1</v>
      </c>
      <c r="AL2997">
        <v>1</v>
      </c>
      <c r="AM2997">
        <v>97.66</v>
      </c>
      <c r="AN2997">
        <v>62.116300000000003</v>
      </c>
      <c r="AO2997">
        <v>354.75</v>
      </c>
      <c r="AP2997" s="13">
        <v>45503</v>
      </c>
      <c r="AQ2997">
        <v>-1</v>
      </c>
      <c r="AR2997">
        <v>1</v>
      </c>
    </row>
    <row r="2998" spans="1:44" x14ac:dyDescent="0.35">
      <c r="A2998" s="12" t="s">
        <v>3889</v>
      </c>
      <c r="B2998" s="12" t="s">
        <v>646</v>
      </c>
      <c r="C2998" s="12" t="s">
        <v>647</v>
      </c>
      <c r="D2998" s="12" t="s">
        <v>175</v>
      </c>
      <c r="E2998" s="12" t="s">
        <v>104</v>
      </c>
      <c r="F2998">
        <v>3</v>
      </c>
      <c r="G2998">
        <v>1</v>
      </c>
      <c r="H2998">
        <v>0</v>
      </c>
      <c r="I2998" s="12" t="s">
        <v>227</v>
      </c>
      <c r="J2998" s="12" t="s">
        <v>228</v>
      </c>
      <c r="K2998" s="12" t="s">
        <v>89</v>
      </c>
      <c r="L2998" s="12" t="s">
        <v>96</v>
      </c>
      <c r="M2998">
        <v>9.15</v>
      </c>
      <c r="N2998" s="12" t="s">
        <v>145</v>
      </c>
      <c r="O2998" s="12" t="s">
        <v>146</v>
      </c>
      <c r="P2998" s="12" t="s">
        <v>109</v>
      </c>
      <c r="Q2998" s="13">
        <v>45478</v>
      </c>
      <c r="R2998" s="13">
        <v>45506</v>
      </c>
      <c r="S2998">
        <v>2024</v>
      </c>
      <c r="T2998" s="12" t="s">
        <v>3854</v>
      </c>
      <c r="U2998">
        <v>139</v>
      </c>
      <c r="V2998">
        <v>203.7088</v>
      </c>
      <c r="W2998">
        <v>670.8</v>
      </c>
      <c r="X2998">
        <v>0</v>
      </c>
      <c r="Y2998">
        <v>0</v>
      </c>
      <c r="Z2998">
        <v>28315.52</v>
      </c>
      <c r="AA2998">
        <v>28986.32</v>
      </c>
      <c r="AB2998" s="12" t="s">
        <v>3535</v>
      </c>
      <c r="AC2998">
        <v>203.7088</v>
      </c>
      <c r="AD2998">
        <v>1</v>
      </c>
      <c r="AE2998">
        <v>1</v>
      </c>
      <c r="AF2998">
        <v>0</v>
      </c>
      <c r="AG2998">
        <v>28315.52</v>
      </c>
      <c r="AH2998">
        <v>139</v>
      </c>
      <c r="AI2998">
        <v>138</v>
      </c>
      <c r="AJ2998">
        <v>1</v>
      </c>
      <c r="AK2998">
        <v>1</v>
      </c>
      <c r="AL2998">
        <v>1</v>
      </c>
      <c r="AM2998">
        <v>99.28</v>
      </c>
      <c r="AN2998">
        <v>210.04580000000001</v>
      </c>
      <c r="AO2998">
        <v>203.71</v>
      </c>
      <c r="AP2998" s="13">
        <v>45506</v>
      </c>
      <c r="AQ2998">
        <v>0</v>
      </c>
      <c r="AR2998">
        <v>1</v>
      </c>
    </row>
    <row r="2999" spans="1:44" x14ac:dyDescent="0.35">
      <c r="A2999" s="12" t="s">
        <v>3890</v>
      </c>
      <c r="B2999" s="12" t="s">
        <v>646</v>
      </c>
      <c r="C2999" s="12" t="s">
        <v>647</v>
      </c>
      <c r="D2999" s="12" t="s">
        <v>175</v>
      </c>
      <c r="E2999" s="12" t="s">
        <v>104</v>
      </c>
      <c r="F2999">
        <v>3</v>
      </c>
      <c r="G2999">
        <v>1</v>
      </c>
      <c r="H2999">
        <v>0</v>
      </c>
      <c r="I2999" s="12" t="s">
        <v>227</v>
      </c>
      <c r="J2999" s="12" t="s">
        <v>228</v>
      </c>
      <c r="K2999" s="12" t="s">
        <v>89</v>
      </c>
      <c r="L2999" s="12" t="s">
        <v>96</v>
      </c>
      <c r="M2999">
        <v>9.15</v>
      </c>
      <c r="N2999" s="12" t="s">
        <v>145</v>
      </c>
      <c r="O2999" s="12" t="s">
        <v>146</v>
      </c>
      <c r="P2999" s="12" t="s">
        <v>109</v>
      </c>
      <c r="Q2999" s="13">
        <v>45478</v>
      </c>
      <c r="R2999" s="13">
        <v>45494</v>
      </c>
      <c r="S2999">
        <v>2024</v>
      </c>
      <c r="T2999" s="12" t="s">
        <v>3854</v>
      </c>
      <c r="U2999">
        <v>46</v>
      </c>
      <c r="V2999">
        <v>203.7088</v>
      </c>
      <c r="W2999">
        <v>211.41</v>
      </c>
      <c r="X2999">
        <v>0</v>
      </c>
      <c r="Y2999">
        <v>0</v>
      </c>
      <c r="Z2999">
        <v>9370.6</v>
      </c>
      <c r="AA2999">
        <v>9582.01</v>
      </c>
      <c r="AB2999" s="12" t="s">
        <v>3535</v>
      </c>
      <c r="AC2999">
        <v>203.7088</v>
      </c>
      <c r="AD2999">
        <v>1</v>
      </c>
      <c r="AE2999">
        <v>1</v>
      </c>
      <c r="AF2999">
        <v>0</v>
      </c>
      <c r="AG2999">
        <v>9370.6</v>
      </c>
      <c r="AH2999">
        <v>46</v>
      </c>
      <c r="AI2999">
        <v>46</v>
      </c>
      <c r="AJ2999">
        <v>0</v>
      </c>
      <c r="AK2999">
        <v>1</v>
      </c>
      <c r="AL2999">
        <v>1</v>
      </c>
      <c r="AM2999">
        <v>100</v>
      </c>
      <c r="AN2999">
        <v>208.3047</v>
      </c>
      <c r="AO2999">
        <v>0</v>
      </c>
      <c r="AP2999" s="13">
        <v>45491</v>
      </c>
      <c r="AQ2999">
        <v>-3</v>
      </c>
      <c r="AR2999">
        <v>1</v>
      </c>
    </row>
    <row r="3000" spans="1:44" x14ac:dyDescent="0.35">
      <c r="A3000" s="12" t="s">
        <v>3891</v>
      </c>
      <c r="B3000" s="12" t="s">
        <v>167</v>
      </c>
      <c r="C3000" s="12" t="s">
        <v>168</v>
      </c>
      <c r="D3000" s="12" t="s">
        <v>64</v>
      </c>
      <c r="E3000" s="12" t="s">
        <v>104</v>
      </c>
      <c r="F3000">
        <v>3</v>
      </c>
      <c r="G3000">
        <v>1</v>
      </c>
      <c r="H3000">
        <v>0</v>
      </c>
      <c r="I3000" s="12" t="s">
        <v>243</v>
      </c>
      <c r="J3000" s="12" t="s">
        <v>244</v>
      </c>
      <c r="K3000" s="12" t="s">
        <v>81</v>
      </c>
      <c r="L3000" s="12" t="s">
        <v>82</v>
      </c>
      <c r="M3000">
        <v>9.2200000000000006</v>
      </c>
      <c r="N3000" s="12" t="s">
        <v>97</v>
      </c>
      <c r="O3000" s="12" t="s">
        <v>98</v>
      </c>
      <c r="P3000" s="12" t="s">
        <v>72</v>
      </c>
      <c r="Q3000" s="13">
        <v>45478</v>
      </c>
      <c r="R3000" s="13">
        <v>45499</v>
      </c>
      <c r="S3000">
        <v>2024</v>
      </c>
      <c r="T3000" s="12" t="s">
        <v>3854</v>
      </c>
      <c r="U3000">
        <v>593</v>
      </c>
      <c r="V3000">
        <v>27.172599999999999</v>
      </c>
      <c r="W3000">
        <v>219.33</v>
      </c>
      <c r="X3000">
        <v>0</v>
      </c>
      <c r="Y3000">
        <v>0</v>
      </c>
      <c r="Z3000">
        <v>16113.35</v>
      </c>
      <c r="AA3000">
        <v>16332.68</v>
      </c>
      <c r="AB3000" s="12" t="s">
        <v>201</v>
      </c>
      <c r="AD3000">
        <v>0</v>
      </c>
      <c r="AE3000">
        <v>0</v>
      </c>
      <c r="AH3000">
        <v>593</v>
      </c>
      <c r="AI3000">
        <v>587</v>
      </c>
      <c r="AJ3000">
        <v>6</v>
      </c>
      <c r="AK3000">
        <v>1</v>
      </c>
      <c r="AL3000">
        <v>1</v>
      </c>
      <c r="AM3000">
        <v>98.99</v>
      </c>
      <c r="AN3000">
        <v>27.824000000000002</v>
      </c>
      <c r="AO3000">
        <v>163.04</v>
      </c>
      <c r="AP3000" s="13">
        <v>45496</v>
      </c>
      <c r="AQ3000">
        <v>-3</v>
      </c>
      <c r="AR3000">
        <v>1</v>
      </c>
    </row>
    <row r="3001" spans="1:44" x14ac:dyDescent="0.35">
      <c r="A3001" s="12" t="s">
        <v>3892</v>
      </c>
      <c r="B3001" s="12" t="s">
        <v>273</v>
      </c>
      <c r="C3001" s="12" t="s">
        <v>274</v>
      </c>
      <c r="D3001" s="12" t="s">
        <v>175</v>
      </c>
      <c r="E3001" s="12" t="s">
        <v>104</v>
      </c>
      <c r="F3001">
        <v>3</v>
      </c>
      <c r="G3001">
        <v>1</v>
      </c>
      <c r="H3001">
        <v>0</v>
      </c>
      <c r="I3001" s="12" t="s">
        <v>275</v>
      </c>
      <c r="J3001" s="12" t="s">
        <v>276</v>
      </c>
      <c r="K3001" s="12" t="s">
        <v>89</v>
      </c>
      <c r="L3001" s="12" t="s">
        <v>82</v>
      </c>
      <c r="M3001">
        <v>14.26</v>
      </c>
      <c r="N3001" s="12" t="s">
        <v>107</v>
      </c>
      <c r="O3001" s="12" t="s">
        <v>108</v>
      </c>
      <c r="P3001" s="12" t="s">
        <v>109</v>
      </c>
      <c r="Q3001" s="13">
        <v>45478</v>
      </c>
      <c r="R3001" s="13">
        <v>45504</v>
      </c>
      <c r="S3001">
        <v>2024</v>
      </c>
      <c r="T3001" s="12" t="s">
        <v>3854</v>
      </c>
      <c r="U3001">
        <v>119</v>
      </c>
      <c r="V3001">
        <v>111.0129</v>
      </c>
      <c r="W3001">
        <v>267.93</v>
      </c>
      <c r="X3001">
        <v>0</v>
      </c>
      <c r="Y3001">
        <v>0</v>
      </c>
      <c r="Z3001">
        <v>13210.54</v>
      </c>
      <c r="AA3001">
        <v>13478.47</v>
      </c>
      <c r="AB3001" s="12" t="s">
        <v>3580</v>
      </c>
      <c r="AC3001">
        <v>111.0129</v>
      </c>
      <c r="AD3001">
        <v>1</v>
      </c>
      <c r="AE3001">
        <v>1</v>
      </c>
      <c r="AF3001">
        <v>0</v>
      </c>
      <c r="AG3001">
        <v>13210.54</v>
      </c>
      <c r="AH3001">
        <v>119</v>
      </c>
      <c r="AI3001">
        <v>118</v>
      </c>
      <c r="AJ3001">
        <v>1</v>
      </c>
      <c r="AK3001">
        <v>1</v>
      </c>
      <c r="AL3001">
        <v>1</v>
      </c>
      <c r="AM3001">
        <v>99.16</v>
      </c>
      <c r="AN3001">
        <v>114.2243</v>
      </c>
      <c r="AO3001">
        <v>111.01</v>
      </c>
      <c r="AP3001" s="13">
        <v>45513</v>
      </c>
      <c r="AQ3001">
        <v>9</v>
      </c>
      <c r="AR3001">
        <v>0</v>
      </c>
    </row>
    <row r="3002" spans="1:44" x14ac:dyDescent="0.35">
      <c r="A3002" s="12" t="s">
        <v>3893</v>
      </c>
      <c r="B3002" s="12" t="s">
        <v>173</v>
      </c>
      <c r="C3002" s="12" t="s">
        <v>174</v>
      </c>
      <c r="D3002" s="12" t="s">
        <v>175</v>
      </c>
      <c r="E3002" s="12" t="s">
        <v>104</v>
      </c>
      <c r="F3002">
        <v>3</v>
      </c>
      <c r="G3002">
        <v>1</v>
      </c>
      <c r="H3002">
        <v>0</v>
      </c>
      <c r="I3002" s="12" t="s">
        <v>486</v>
      </c>
      <c r="J3002" s="12" t="s">
        <v>487</v>
      </c>
      <c r="K3002" s="12" t="s">
        <v>125</v>
      </c>
      <c r="L3002" s="12" t="s">
        <v>69</v>
      </c>
      <c r="M3002">
        <v>36.86</v>
      </c>
      <c r="N3002" s="12" t="s">
        <v>145</v>
      </c>
      <c r="O3002" s="12" t="s">
        <v>146</v>
      </c>
      <c r="P3002" s="12" t="s">
        <v>109</v>
      </c>
      <c r="Q3002" s="13">
        <v>45478</v>
      </c>
      <c r="R3002" s="13">
        <v>45499</v>
      </c>
      <c r="S3002">
        <v>2024</v>
      </c>
      <c r="T3002" s="12" t="s">
        <v>3854</v>
      </c>
      <c r="U3002">
        <v>85</v>
      </c>
      <c r="V3002">
        <v>80.352699999999999</v>
      </c>
      <c r="W3002">
        <v>141.32</v>
      </c>
      <c r="X3002">
        <v>0</v>
      </c>
      <c r="Y3002">
        <v>0</v>
      </c>
      <c r="Z3002">
        <v>6829.98</v>
      </c>
      <c r="AA3002">
        <v>6971.3</v>
      </c>
      <c r="AB3002" s="12" t="s">
        <v>201</v>
      </c>
      <c r="AD3002">
        <v>0</v>
      </c>
      <c r="AE3002">
        <v>0</v>
      </c>
      <c r="AH3002">
        <v>85</v>
      </c>
      <c r="AI3002">
        <v>84</v>
      </c>
      <c r="AJ3002">
        <v>1</v>
      </c>
      <c r="AK3002">
        <v>1</v>
      </c>
      <c r="AL3002">
        <v>1</v>
      </c>
      <c r="AM3002">
        <v>98.82</v>
      </c>
      <c r="AN3002">
        <v>82.991699999999994</v>
      </c>
      <c r="AO3002">
        <v>80.349999999999994</v>
      </c>
      <c r="AP3002" s="13">
        <v>45506</v>
      </c>
      <c r="AQ3002">
        <v>7</v>
      </c>
      <c r="AR3002">
        <v>0</v>
      </c>
    </row>
    <row r="3003" spans="1:44" x14ac:dyDescent="0.35">
      <c r="A3003" s="12" t="s">
        <v>3894</v>
      </c>
      <c r="B3003" s="12" t="s">
        <v>155</v>
      </c>
      <c r="C3003" s="12" t="s">
        <v>156</v>
      </c>
      <c r="D3003" s="12" t="s">
        <v>130</v>
      </c>
      <c r="E3003" s="12" t="s">
        <v>104</v>
      </c>
      <c r="F3003">
        <v>3</v>
      </c>
      <c r="G3003">
        <v>1</v>
      </c>
      <c r="H3003">
        <v>0</v>
      </c>
      <c r="I3003" s="12" t="s">
        <v>157</v>
      </c>
      <c r="J3003" s="12" t="s">
        <v>158</v>
      </c>
      <c r="K3003" s="12" t="s">
        <v>117</v>
      </c>
      <c r="L3003" s="12" t="s">
        <v>96</v>
      </c>
      <c r="M3003">
        <v>4.72</v>
      </c>
      <c r="N3003" s="12" t="s">
        <v>135</v>
      </c>
      <c r="O3003" s="12" t="s">
        <v>136</v>
      </c>
      <c r="P3003" s="12" t="s">
        <v>137</v>
      </c>
      <c r="Q3003" s="13">
        <v>45478</v>
      </c>
      <c r="R3003" s="13">
        <v>45504</v>
      </c>
      <c r="S3003">
        <v>2024</v>
      </c>
      <c r="T3003" s="12" t="s">
        <v>3854</v>
      </c>
      <c r="U3003">
        <v>119</v>
      </c>
      <c r="V3003">
        <v>208.51820000000001</v>
      </c>
      <c r="W3003">
        <v>503.19</v>
      </c>
      <c r="X3003">
        <v>0</v>
      </c>
      <c r="Y3003">
        <v>0</v>
      </c>
      <c r="Z3003">
        <v>24813.67</v>
      </c>
      <c r="AA3003">
        <v>25316.86</v>
      </c>
      <c r="AB3003" s="12" t="s">
        <v>201</v>
      </c>
      <c r="AD3003">
        <v>0</v>
      </c>
      <c r="AE3003">
        <v>0</v>
      </c>
      <c r="AH3003">
        <v>119</v>
      </c>
      <c r="AI3003">
        <v>118</v>
      </c>
      <c r="AJ3003">
        <v>1</v>
      </c>
      <c r="AK3003">
        <v>1</v>
      </c>
      <c r="AL3003">
        <v>1</v>
      </c>
      <c r="AM3003">
        <v>99.16</v>
      </c>
      <c r="AN3003">
        <v>214.5496</v>
      </c>
      <c r="AO3003">
        <v>208.52</v>
      </c>
      <c r="AP3003" s="13">
        <v>45503</v>
      </c>
      <c r="AQ3003">
        <v>-1</v>
      </c>
      <c r="AR3003">
        <v>1</v>
      </c>
    </row>
    <row r="3004" spans="1:44" x14ac:dyDescent="0.35">
      <c r="A3004" s="12" t="s">
        <v>3895</v>
      </c>
      <c r="B3004" s="12" t="s">
        <v>128</v>
      </c>
      <c r="C3004" s="12" t="s">
        <v>129</v>
      </c>
      <c r="D3004" s="12" t="s">
        <v>130</v>
      </c>
      <c r="E3004" s="12" t="s">
        <v>65</v>
      </c>
      <c r="F3004">
        <v>3</v>
      </c>
      <c r="G3004">
        <v>5</v>
      </c>
      <c r="H3004">
        <v>0</v>
      </c>
      <c r="I3004" s="12" t="s">
        <v>131</v>
      </c>
      <c r="J3004" s="12" t="s">
        <v>132</v>
      </c>
      <c r="K3004" s="12" t="s">
        <v>133</v>
      </c>
      <c r="L3004" s="12" t="s">
        <v>134</v>
      </c>
      <c r="M3004">
        <v>1.51</v>
      </c>
      <c r="N3004" s="12" t="s">
        <v>135</v>
      </c>
      <c r="O3004" s="12" t="s">
        <v>136</v>
      </c>
      <c r="P3004" s="12" t="s">
        <v>137</v>
      </c>
      <c r="Q3004" s="13">
        <v>45478</v>
      </c>
      <c r="R3004" s="13">
        <v>45512</v>
      </c>
      <c r="S3004">
        <v>2024</v>
      </c>
      <c r="T3004" s="12" t="s">
        <v>3854</v>
      </c>
      <c r="U3004">
        <v>115</v>
      </c>
      <c r="V3004">
        <v>462.05239999999998</v>
      </c>
      <c r="W3004">
        <v>1046.28</v>
      </c>
      <c r="X3004">
        <v>0</v>
      </c>
      <c r="Y3004">
        <v>0</v>
      </c>
      <c r="Z3004">
        <v>53136.03</v>
      </c>
      <c r="AA3004">
        <v>54182.31</v>
      </c>
      <c r="AB3004" s="12" t="s">
        <v>201</v>
      </c>
      <c r="AD3004">
        <v>0</v>
      </c>
      <c r="AE3004">
        <v>0</v>
      </c>
      <c r="AH3004">
        <v>115</v>
      </c>
      <c r="AI3004">
        <v>105</v>
      </c>
      <c r="AJ3004">
        <v>10</v>
      </c>
      <c r="AK3004">
        <v>1</v>
      </c>
      <c r="AL3004">
        <v>1</v>
      </c>
      <c r="AM3004">
        <v>91.3</v>
      </c>
      <c r="AN3004">
        <v>516.02200000000005</v>
      </c>
      <c r="AO3004">
        <v>4620.5200000000004</v>
      </c>
      <c r="AP3004" s="13">
        <v>45509</v>
      </c>
      <c r="AQ3004">
        <v>-3</v>
      </c>
      <c r="AR3004">
        <v>1</v>
      </c>
    </row>
    <row r="3005" spans="1:44" x14ac:dyDescent="0.35">
      <c r="A3005" s="12" t="s">
        <v>3896</v>
      </c>
      <c r="B3005" s="12" t="s">
        <v>357</v>
      </c>
      <c r="C3005" s="12" t="s">
        <v>358</v>
      </c>
      <c r="D3005" s="12" t="s">
        <v>103</v>
      </c>
      <c r="E3005" s="12" t="s">
        <v>104</v>
      </c>
      <c r="F3005">
        <v>3</v>
      </c>
      <c r="G3005">
        <v>1</v>
      </c>
      <c r="H3005">
        <v>0</v>
      </c>
      <c r="I3005" s="12" t="s">
        <v>105</v>
      </c>
      <c r="J3005" s="12" t="s">
        <v>106</v>
      </c>
      <c r="K3005" s="12" t="s">
        <v>81</v>
      </c>
      <c r="L3005" s="12" t="s">
        <v>96</v>
      </c>
      <c r="M3005">
        <v>5.01</v>
      </c>
      <c r="N3005" s="12" t="s">
        <v>107</v>
      </c>
      <c r="O3005" s="12" t="s">
        <v>108</v>
      </c>
      <c r="P3005" s="12" t="s">
        <v>109</v>
      </c>
      <c r="Q3005" s="13">
        <v>45478</v>
      </c>
      <c r="R3005" s="13">
        <v>45495</v>
      </c>
      <c r="S3005">
        <v>2024</v>
      </c>
      <c r="T3005" s="12" t="s">
        <v>3854</v>
      </c>
      <c r="U3005">
        <v>54</v>
      </c>
      <c r="V3005">
        <v>112.3849</v>
      </c>
      <c r="W3005">
        <v>43.52</v>
      </c>
      <c r="X3005">
        <v>0</v>
      </c>
      <c r="Y3005">
        <v>0</v>
      </c>
      <c r="Z3005">
        <v>6068.78</v>
      </c>
      <c r="AA3005">
        <v>6112.3</v>
      </c>
      <c r="AB3005" s="12" t="s">
        <v>2591</v>
      </c>
      <c r="AC3005">
        <v>106.6647</v>
      </c>
      <c r="AD3005">
        <v>1</v>
      </c>
      <c r="AE3005">
        <v>1</v>
      </c>
      <c r="AF3005">
        <v>308.89</v>
      </c>
      <c r="AG3005">
        <v>5759.89</v>
      </c>
      <c r="AH3005">
        <v>54</v>
      </c>
      <c r="AI3005">
        <v>53</v>
      </c>
      <c r="AJ3005">
        <v>1</v>
      </c>
      <c r="AK3005">
        <v>1</v>
      </c>
      <c r="AL3005">
        <v>1</v>
      </c>
      <c r="AM3005">
        <v>98.15</v>
      </c>
      <c r="AN3005">
        <v>115.3265</v>
      </c>
      <c r="AO3005">
        <v>112.38</v>
      </c>
      <c r="AP3005" s="13">
        <v>45500</v>
      </c>
      <c r="AQ3005">
        <v>5</v>
      </c>
      <c r="AR3005">
        <v>0</v>
      </c>
    </row>
    <row r="3006" spans="1:44" x14ac:dyDescent="0.35">
      <c r="A3006" s="12" t="s">
        <v>3897</v>
      </c>
      <c r="B3006" s="12" t="s">
        <v>302</v>
      </c>
      <c r="C3006" s="12" t="s">
        <v>303</v>
      </c>
      <c r="D3006" s="12" t="s">
        <v>78</v>
      </c>
      <c r="E3006" s="12" t="s">
        <v>65</v>
      </c>
      <c r="F3006">
        <v>2</v>
      </c>
      <c r="G3006">
        <v>3</v>
      </c>
      <c r="H3006">
        <v>0</v>
      </c>
      <c r="I3006" s="12" t="s">
        <v>335</v>
      </c>
      <c r="J3006" s="12" t="s">
        <v>336</v>
      </c>
      <c r="K3006" s="12" t="s">
        <v>89</v>
      </c>
      <c r="L3006" s="12" t="s">
        <v>82</v>
      </c>
      <c r="M3006">
        <v>16</v>
      </c>
      <c r="N3006" s="12" t="s">
        <v>70</v>
      </c>
      <c r="O3006" s="12" t="s">
        <v>71</v>
      </c>
      <c r="P3006" s="12" t="s">
        <v>72</v>
      </c>
      <c r="Q3006" s="13">
        <v>45478</v>
      </c>
      <c r="R3006" s="13">
        <v>45513</v>
      </c>
      <c r="S3006">
        <v>2024</v>
      </c>
      <c r="T3006" s="12" t="s">
        <v>3854</v>
      </c>
      <c r="U3006">
        <v>256</v>
      </c>
      <c r="V3006">
        <v>141.08359999999999</v>
      </c>
      <c r="W3006">
        <v>798.18</v>
      </c>
      <c r="X3006">
        <v>0</v>
      </c>
      <c r="Y3006">
        <v>0</v>
      </c>
      <c r="Z3006">
        <v>36117.4</v>
      </c>
      <c r="AA3006">
        <v>36915.58</v>
      </c>
      <c r="AB3006" s="12" t="s">
        <v>2834</v>
      </c>
      <c r="AC3006">
        <v>141.08359999999999</v>
      </c>
      <c r="AD3006">
        <v>1</v>
      </c>
      <c r="AE3006">
        <v>1</v>
      </c>
      <c r="AF3006">
        <v>0</v>
      </c>
      <c r="AG3006">
        <v>36117.4</v>
      </c>
      <c r="AH3006">
        <v>256</v>
      </c>
      <c r="AI3006">
        <v>250</v>
      </c>
      <c r="AJ3006">
        <v>6</v>
      </c>
      <c r="AK3006">
        <v>1</v>
      </c>
      <c r="AL3006">
        <v>1</v>
      </c>
      <c r="AM3006">
        <v>97.66</v>
      </c>
      <c r="AN3006">
        <v>147.66229999999999</v>
      </c>
      <c r="AO3006">
        <v>846.5</v>
      </c>
      <c r="AP3006" s="13">
        <v>45513</v>
      </c>
      <c r="AQ3006">
        <v>0</v>
      </c>
      <c r="AR3006">
        <v>1</v>
      </c>
    </row>
    <row r="3007" spans="1:44" x14ac:dyDescent="0.35">
      <c r="A3007" s="12" t="s">
        <v>3898</v>
      </c>
      <c r="B3007" s="12" t="s">
        <v>869</v>
      </c>
      <c r="C3007" s="12" t="s">
        <v>870</v>
      </c>
      <c r="D3007" s="12" t="s">
        <v>130</v>
      </c>
      <c r="E3007" s="12" t="s">
        <v>104</v>
      </c>
      <c r="F3007">
        <v>2</v>
      </c>
      <c r="G3007">
        <v>0</v>
      </c>
      <c r="H3007">
        <v>0</v>
      </c>
      <c r="I3007" s="12" t="s">
        <v>515</v>
      </c>
      <c r="J3007" s="12" t="s">
        <v>516</v>
      </c>
      <c r="K3007" s="12" t="s">
        <v>68</v>
      </c>
      <c r="L3007" s="12" t="s">
        <v>134</v>
      </c>
      <c r="M3007">
        <v>3.69</v>
      </c>
      <c r="N3007" s="12" t="s">
        <v>159</v>
      </c>
      <c r="O3007" s="12" t="s">
        <v>160</v>
      </c>
      <c r="P3007" s="12" t="s">
        <v>137</v>
      </c>
      <c r="Q3007" s="13">
        <v>45478</v>
      </c>
      <c r="R3007" s="13">
        <v>45503</v>
      </c>
      <c r="S3007">
        <v>2024</v>
      </c>
      <c r="T3007" s="12" t="s">
        <v>3854</v>
      </c>
      <c r="U3007">
        <v>113</v>
      </c>
      <c r="V3007">
        <v>627.44820000000004</v>
      </c>
      <c r="W3007">
        <v>1533.25</v>
      </c>
      <c r="X3007">
        <v>0</v>
      </c>
      <c r="Y3007">
        <v>0</v>
      </c>
      <c r="Z3007">
        <v>70901.649999999994</v>
      </c>
      <c r="AA3007">
        <v>72434.899999999994</v>
      </c>
      <c r="AB3007" s="12" t="s">
        <v>201</v>
      </c>
      <c r="AD3007">
        <v>0</v>
      </c>
      <c r="AE3007">
        <v>0</v>
      </c>
      <c r="AH3007">
        <v>113</v>
      </c>
      <c r="AI3007">
        <v>111</v>
      </c>
      <c r="AJ3007">
        <v>2</v>
      </c>
      <c r="AK3007">
        <v>1</v>
      </c>
      <c r="AL3007">
        <v>1</v>
      </c>
      <c r="AM3007">
        <v>98.23</v>
      </c>
      <c r="AN3007">
        <v>652.56659999999999</v>
      </c>
      <c r="AO3007">
        <v>1254.9000000000001</v>
      </c>
      <c r="AP3007" s="13">
        <v>45500</v>
      </c>
      <c r="AQ3007">
        <v>-3</v>
      </c>
      <c r="AR3007">
        <v>1</v>
      </c>
    </row>
    <row r="3008" spans="1:44" x14ac:dyDescent="0.35">
      <c r="A3008" s="12" t="s">
        <v>3899</v>
      </c>
      <c r="B3008" s="12" t="s">
        <v>736</v>
      </c>
      <c r="C3008" s="12" t="s">
        <v>737</v>
      </c>
      <c r="D3008" s="12" t="s">
        <v>64</v>
      </c>
      <c r="E3008" s="12" t="s">
        <v>104</v>
      </c>
      <c r="F3008">
        <v>3</v>
      </c>
      <c r="G3008">
        <v>1</v>
      </c>
      <c r="H3008">
        <v>0</v>
      </c>
      <c r="I3008" s="12" t="s">
        <v>94</v>
      </c>
      <c r="J3008" s="12" t="s">
        <v>95</v>
      </c>
      <c r="K3008" s="12" t="s">
        <v>81</v>
      </c>
      <c r="L3008" s="12" t="s">
        <v>96</v>
      </c>
      <c r="M3008">
        <v>4.8099999999999996</v>
      </c>
      <c r="N3008" s="12" t="s">
        <v>70</v>
      </c>
      <c r="O3008" s="12" t="s">
        <v>71</v>
      </c>
      <c r="P3008" s="12" t="s">
        <v>72</v>
      </c>
      <c r="Q3008" s="13">
        <v>45478</v>
      </c>
      <c r="R3008" s="13">
        <v>45503</v>
      </c>
      <c r="S3008">
        <v>2024</v>
      </c>
      <c r="T3008" s="12" t="s">
        <v>3854</v>
      </c>
      <c r="U3008">
        <v>780</v>
      </c>
      <c r="V3008">
        <v>21.578499999999998</v>
      </c>
      <c r="W3008">
        <v>284.52</v>
      </c>
      <c r="X3008">
        <v>0</v>
      </c>
      <c r="Y3008">
        <v>0</v>
      </c>
      <c r="Z3008">
        <v>16831.23</v>
      </c>
      <c r="AA3008">
        <v>17115.75</v>
      </c>
      <c r="AB3008" s="12" t="s">
        <v>3251</v>
      </c>
      <c r="AC3008">
        <v>22.894600000000001</v>
      </c>
      <c r="AD3008">
        <v>1</v>
      </c>
      <c r="AE3008">
        <v>1</v>
      </c>
      <c r="AF3008">
        <v>-1026.56</v>
      </c>
      <c r="AG3008">
        <v>17857.79</v>
      </c>
      <c r="AH3008">
        <v>780</v>
      </c>
      <c r="AI3008">
        <v>769</v>
      </c>
      <c r="AJ3008">
        <v>11</v>
      </c>
      <c r="AK3008">
        <v>1</v>
      </c>
      <c r="AL3008">
        <v>1</v>
      </c>
      <c r="AM3008">
        <v>98.59</v>
      </c>
      <c r="AN3008">
        <v>22.257200000000001</v>
      </c>
      <c r="AO3008">
        <v>237.36</v>
      </c>
      <c r="AP3008" s="13">
        <v>45500</v>
      </c>
      <c r="AQ3008">
        <v>-3</v>
      </c>
      <c r="AR3008">
        <v>1</v>
      </c>
    </row>
    <row r="3009" spans="1:44" x14ac:dyDescent="0.35">
      <c r="A3009" s="12" t="s">
        <v>3900</v>
      </c>
      <c r="B3009" s="12" t="s">
        <v>1433</v>
      </c>
      <c r="C3009" s="12" t="s">
        <v>1434</v>
      </c>
      <c r="D3009" s="12" t="s">
        <v>269</v>
      </c>
      <c r="E3009" s="12" t="s">
        <v>65</v>
      </c>
      <c r="F3009">
        <v>3</v>
      </c>
      <c r="G3009">
        <v>5</v>
      </c>
      <c r="H3009">
        <v>0</v>
      </c>
      <c r="I3009" s="12" t="s">
        <v>223</v>
      </c>
      <c r="J3009" s="12" t="s">
        <v>224</v>
      </c>
      <c r="K3009" s="12" t="s">
        <v>81</v>
      </c>
      <c r="L3009" s="12" t="s">
        <v>134</v>
      </c>
      <c r="M3009">
        <v>2.4900000000000002</v>
      </c>
      <c r="N3009" s="12" t="s">
        <v>135</v>
      </c>
      <c r="O3009" s="12" t="s">
        <v>136</v>
      </c>
      <c r="P3009" s="12" t="s">
        <v>137</v>
      </c>
      <c r="Q3009" s="13">
        <v>45478</v>
      </c>
      <c r="R3009" s="13">
        <v>45505</v>
      </c>
      <c r="S3009">
        <v>2024</v>
      </c>
      <c r="T3009" s="12" t="s">
        <v>3854</v>
      </c>
      <c r="U3009">
        <v>61</v>
      </c>
      <c r="V3009">
        <v>466.37470000000002</v>
      </c>
      <c r="W3009">
        <v>582.96</v>
      </c>
      <c r="X3009">
        <v>0</v>
      </c>
      <c r="Y3009">
        <v>0</v>
      </c>
      <c r="Z3009">
        <v>28448.86</v>
      </c>
      <c r="AA3009">
        <v>29031.82</v>
      </c>
      <c r="AB3009" s="12" t="s">
        <v>201</v>
      </c>
      <c r="AD3009">
        <v>0</v>
      </c>
      <c r="AE3009">
        <v>0</v>
      </c>
      <c r="AH3009">
        <v>61</v>
      </c>
      <c r="AI3009">
        <v>60</v>
      </c>
      <c r="AJ3009">
        <v>1</v>
      </c>
      <c r="AK3009">
        <v>1</v>
      </c>
      <c r="AL3009">
        <v>1</v>
      </c>
      <c r="AM3009">
        <v>98.36</v>
      </c>
      <c r="AN3009">
        <v>483.86360000000002</v>
      </c>
      <c r="AO3009">
        <v>466.37</v>
      </c>
      <c r="AP3009" s="13">
        <v>45505</v>
      </c>
      <c r="AQ3009">
        <v>0</v>
      </c>
      <c r="AR3009">
        <v>1</v>
      </c>
    </row>
    <row r="3010" spans="1:44" x14ac:dyDescent="0.35">
      <c r="A3010" s="12" t="s">
        <v>3901</v>
      </c>
      <c r="B3010" s="12" t="s">
        <v>433</v>
      </c>
      <c r="C3010" s="12" t="s">
        <v>434</v>
      </c>
      <c r="D3010" s="12" t="s">
        <v>78</v>
      </c>
      <c r="E3010" s="12" t="s">
        <v>65</v>
      </c>
      <c r="F3010">
        <v>2</v>
      </c>
      <c r="G3010">
        <v>4</v>
      </c>
      <c r="H3010">
        <v>0</v>
      </c>
      <c r="I3010" s="12" t="s">
        <v>105</v>
      </c>
      <c r="J3010" s="12" t="s">
        <v>106</v>
      </c>
      <c r="K3010" s="12" t="s">
        <v>81</v>
      </c>
      <c r="L3010" s="12" t="s">
        <v>96</v>
      </c>
      <c r="M3010">
        <v>5.01</v>
      </c>
      <c r="N3010" s="12" t="s">
        <v>70</v>
      </c>
      <c r="O3010" s="12" t="s">
        <v>71</v>
      </c>
      <c r="P3010" s="12" t="s">
        <v>72</v>
      </c>
      <c r="Q3010" s="13">
        <v>45478</v>
      </c>
      <c r="R3010" s="13">
        <v>45504</v>
      </c>
      <c r="S3010">
        <v>2024</v>
      </c>
      <c r="T3010" s="12" t="s">
        <v>3854</v>
      </c>
      <c r="U3010">
        <v>123</v>
      </c>
      <c r="V3010">
        <v>72.364500000000007</v>
      </c>
      <c r="W3010">
        <v>132.22</v>
      </c>
      <c r="X3010">
        <v>0</v>
      </c>
      <c r="Y3010">
        <v>0</v>
      </c>
      <c r="Z3010">
        <v>8900.83</v>
      </c>
      <c r="AA3010">
        <v>9033.0499999999993</v>
      </c>
      <c r="AB3010" s="12" t="s">
        <v>2930</v>
      </c>
      <c r="AC3010">
        <v>72.364500000000007</v>
      </c>
      <c r="AD3010">
        <v>1</v>
      </c>
      <c r="AE3010">
        <v>1</v>
      </c>
      <c r="AF3010">
        <v>0</v>
      </c>
      <c r="AG3010">
        <v>8900.83</v>
      </c>
      <c r="AH3010">
        <v>123</v>
      </c>
      <c r="AI3010">
        <v>121</v>
      </c>
      <c r="AJ3010">
        <v>2</v>
      </c>
      <c r="AK3010">
        <v>1</v>
      </c>
      <c r="AL3010">
        <v>1</v>
      </c>
      <c r="AM3010">
        <v>98.37</v>
      </c>
      <c r="AN3010">
        <v>74.653300000000002</v>
      </c>
      <c r="AO3010">
        <v>144.72999999999999</v>
      </c>
      <c r="AP3010" s="13">
        <v>45502</v>
      </c>
      <c r="AQ3010">
        <v>-2</v>
      </c>
      <c r="AR3010">
        <v>1</v>
      </c>
    </row>
    <row r="3011" spans="1:44" x14ac:dyDescent="0.35">
      <c r="A3011" s="12" t="s">
        <v>3902</v>
      </c>
      <c r="B3011" s="12" t="s">
        <v>848</v>
      </c>
      <c r="C3011" s="12" t="s">
        <v>849</v>
      </c>
      <c r="D3011" s="12" t="s">
        <v>103</v>
      </c>
      <c r="E3011" s="12" t="s">
        <v>65</v>
      </c>
      <c r="F3011">
        <v>2</v>
      </c>
      <c r="G3011">
        <v>4</v>
      </c>
      <c r="H3011">
        <v>0</v>
      </c>
      <c r="I3011" s="12" t="s">
        <v>87</v>
      </c>
      <c r="J3011" s="12" t="s">
        <v>88</v>
      </c>
      <c r="K3011" s="12" t="s">
        <v>89</v>
      </c>
      <c r="L3011" s="12" t="s">
        <v>69</v>
      </c>
      <c r="M3011">
        <v>14.93</v>
      </c>
      <c r="N3011" s="12" t="s">
        <v>107</v>
      </c>
      <c r="O3011" s="12" t="s">
        <v>108</v>
      </c>
      <c r="P3011" s="12" t="s">
        <v>109</v>
      </c>
      <c r="Q3011" s="13">
        <v>45481</v>
      </c>
      <c r="R3011" s="13">
        <v>45518</v>
      </c>
      <c r="S3011">
        <v>2024</v>
      </c>
      <c r="T3011" s="12" t="s">
        <v>3854</v>
      </c>
      <c r="U3011">
        <v>138</v>
      </c>
      <c r="V3011">
        <v>121.1635</v>
      </c>
      <c r="W3011">
        <v>176.05</v>
      </c>
      <c r="X3011">
        <v>0</v>
      </c>
      <c r="Y3011">
        <v>0</v>
      </c>
      <c r="Z3011">
        <v>16720.560000000001</v>
      </c>
      <c r="AA3011">
        <v>16896.61</v>
      </c>
      <c r="AB3011" s="12" t="s">
        <v>3680</v>
      </c>
      <c r="AC3011">
        <v>121.1635</v>
      </c>
      <c r="AD3011">
        <v>1</v>
      </c>
      <c r="AE3011">
        <v>1</v>
      </c>
      <c r="AF3011">
        <v>0</v>
      </c>
      <c r="AG3011">
        <v>16720.560000000001</v>
      </c>
      <c r="AH3011">
        <v>138</v>
      </c>
      <c r="AI3011">
        <v>137</v>
      </c>
      <c r="AJ3011">
        <v>1</v>
      </c>
      <c r="AK3011">
        <v>1</v>
      </c>
      <c r="AL3011">
        <v>1</v>
      </c>
      <c r="AM3011">
        <v>99.28</v>
      </c>
      <c r="AN3011">
        <v>123.3329</v>
      </c>
      <c r="AO3011">
        <v>121.16</v>
      </c>
      <c r="AP3011" s="13">
        <v>45517</v>
      </c>
      <c r="AQ3011">
        <v>-1</v>
      </c>
      <c r="AR3011">
        <v>1</v>
      </c>
    </row>
    <row r="3012" spans="1:44" x14ac:dyDescent="0.35">
      <c r="A3012" s="12" t="s">
        <v>3903</v>
      </c>
      <c r="B3012" s="12" t="s">
        <v>519</v>
      </c>
      <c r="C3012" s="12" t="s">
        <v>520</v>
      </c>
      <c r="D3012" s="12" t="s">
        <v>78</v>
      </c>
      <c r="E3012" s="12" t="s">
        <v>65</v>
      </c>
      <c r="F3012">
        <v>2</v>
      </c>
      <c r="G3012">
        <v>3</v>
      </c>
      <c r="H3012">
        <v>0</v>
      </c>
      <c r="I3012" s="12" t="s">
        <v>66</v>
      </c>
      <c r="J3012" s="12" t="s">
        <v>67</v>
      </c>
      <c r="K3012" s="12" t="s">
        <v>68</v>
      </c>
      <c r="L3012" s="12" t="s">
        <v>69</v>
      </c>
      <c r="M3012">
        <v>17.66</v>
      </c>
      <c r="N3012" s="12" t="s">
        <v>97</v>
      </c>
      <c r="O3012" s="12" t="s">
        <v>98</v>
      </c>
      <c r="P3012" s="12" t="s">
        <v>72</v>
      </c>
      <c r="Q3012" s="13">
        <v>45481</v>
      </c>
      <c r="R3012" s="13">
        <v>45510</v>
      </c>
      <c r="S3012">
        <v>2024</v>
      </c>
      <c r="T3012" s="12" t="s">
        <v>3854</v>
      </c>
      <c r="U3012">
        <v>161</v>
      </c>
      <c r="V3012">
        <v>33.095100000000002</v>
      </c>
      <c r="W3012">
        <v>43.19</v>
      </c>
      <c r="X3012">
        <v>0</v>
      </c>
      <c r="Y3012">
        <v>0</v>
      </c>
      <c r="Z3012">
        <v>5328.31</v>
      </c>
      <c r="AA3012">
        <v>5371.5</v>
      </c>
      <c r="AB3012" s="12" t="s">
        <v>201</v>
      </c>
      <c r="AD3012">
        <v>0</v>
      </c>
      <c r="AE3012">
        <v>0</v>
      </c>
      <c r="AH3012">
        <v>161</v>
      </c>
      <c r="AI3012">
        <v>158</v>
      </c>
      <c r="AJ3012">
        <v>3</v>
      </c>
      <c r="AK3012">
        <v>1</v>
      </c>
      <c r="AL3012">
        <v>1</v>
      </c>
      <c r="AM3012">
        <v>98.14</v>
      </c>
      <c r="AN3012">
        <v>33.9968</v>
      </c>
      <c r="AO3012">
        <v>99.29</v>
      </c>
      <c r="AP3012" s="13">
        <v>45509</v>
      </c>
      <c r="AQ3012">
        <v>-1</v>
      </c>
      <c r="AR3012">
        <v>1</v>
      </c>
    </row>
    <row r="3013" spans="1:44" x14ac:dyDescent="0.35">
      <c r="A3013" s="12" t="s">
        <v>3904</v>
      </c>
      <c r="B3013" s="12" t="s">
        <v>339</v>
      </c>
      <c r="C3013" s="12" t="s">
        <v>340</v>
      </c>
      <c r="D3013" s="12" t="s">
        <v>103</v>
      </c>
      <c r="E3013" s="12" t="s">
        <v>142</v>
      </c>
      <c r="F3013">
        <v>2</v>
      </c>
      <c r="G3013">
        <v>9</v>
      </c>
      <c r="H3013">
        <v>0</v>
      </c>
      <c r="I3013" s="12" t="s">
        <v>341</v>
      </c>
      <c r="J3013" s="12" t="s">
        <v>342</v>
      </c>
      <c r="K3013" s="12" t="s">
        <v>117</v>
      </c>
      <c r="L3013" s="12" t="s">
        <v>82</v>
      </c>
      <c r="M3013">
        <v>18.36</v>
      </c>
      <c r="N3013" s="12" t="s">
        <v>145</v>
      </c>
      <c r="O3013" s="12" t="s">
        <v>146</v>
      </c>
      <c r="P3013" s="12" t="s">
        <v>109</v>
      </c>
      <c r="Q3013" s="13">
        <v>45481</v>
      </c>
      <c r="R3013" s="13">
        <v>45532</v>
      </c>
      <c r="S3013">
        <v>2024</v>
      </c>
      <c r="T3013" s="12" t="s">
        <v>3854</v>
      </c>
      <c r="U3013">
        <v>140</v>
      </c>
      <c r="V3013">
        <v>243.0204</v>
      </c>
      <c r="W3013">
        <v>624.07000000000005</v>
      </c>
      <c r="X3013">
        <v>0</v>
      </c>
      <c r="Y3013">
        <v>0</v>
      </c>
      <c r="Z3013">
        <v>34022.86</v>
      </c>
      <c r="AA3013">
        <v>34646.93</v>
      </c>
      <c r="AB3013" s="12" t="s">
        <v>2954</v>
      </c>
      <c r="AC3013">
        <v>243.0204</v>
      </c>
      <c r="AD3013">
        <v>1</v>
      </c>
      <c r="AE3013">
        <v>1</v>
      </c>
      <c r="AF3013">
        <v>0</v>
      </c>
      <c r="AG3013">
        <v>34022.86</v>
      </c>
      <c r="AH3013">
        <v>140</v>
      </c>
      <c r="AI3013">
        <v>138</v>
      </c>
      <c r="AJ3013">
        <v>2</v>
      </c>
      <c r="AK3013">
        <v>1</v>
      </c>
      <c r="AL3013">
        <v>1</v>
      </c>
      <c r="AM3013">
        <v>98.57</v>
      </c>
      <c r="AN3013">
        <v>251.06469999999999</v>
      </c>
      <c r="AO3013">
        <v>486.04</v>
      </c>
      <c r="AP3013" s="13">
        <v>45529</v>
      </c>
      <c r="AQ3013">
        <v>-3</v>
      </c>
      <c r="AR3013">
        <v>1</v>
      </c>
    </row>
    <row r="3014" spans="1:44" x14ac:dyDescent="0.35">
      <c r="A3014" s="12" t="s">
        <v>3905</v>
      </c>
      <c r="B3014" s="12" t="s">
        <v>362</v>
      </c>
      <c r="C3014" s="12" t="s">
        <v>363</v>
      </c>
      <c r="D3014" s="12" t="s">
        <v>78</v>
      </c>
      <c r="E3014" s="12" t="s">
        <v>104</v>
      </c>
      <c r="F3014">
        <v>3</v>
      </c>
      <c r="G3014">
        <v>0</v>
      </c>
      <c r="H3014">
        <v>0</v>
      </c>
      <c r="I3014" s="12" t="s">
        <v>105</v>
      </c>
      <c r="J3014" s="12" t="s">
        <v>106</v>
      </c>
      <c r="K3014" s="12" t="s">
        <v>81</v>
      </c>
      <c r="L3014" s="12" t="s">
        <v>96</v>
      </c>
      <c r="M3014">
        <v>5.01</v>
      </c>
      <c r="N3014" s="12" t="s">
        <v>97</v>
      </c>
      <c r="O3014" s="12" t="s">
        <v>98</v>
      </c>
      <c r="P3014" s="12" t="s">
        <v>72</v>
      </c>
      <c r="Q3014" s="13">
        <v>45481</v>
      </c>
      <c r="R3014" s="13">
        <v>45506</v>
      </c>
      <c r="S3014">
        <v>2024</v>
      </c>
      <c r="T3014" s="12" t="s">
        <v>3854</v>
      </c>
      <c r="U3014">
        <v>237</v>
      </c>
      <c r="V3014">
        <v>59.761699999999998</v>
      </c>
      <c r="W3014">
        <v>340.18</v>
      </c>
      <c r="X3014">
        <v>0</v>
      </c>
      <c r="Y3014">
        <v>0</v>
      </c>
      <c r="Z3014">
        <v>14163.52</v>
      </c>
      <c r="AA3014">
        <v>14503.7</v>
      </c>
      <c r="AB3014" s="12" t="s">
        <v>3906</v>
      </c>
      <c r="AC3014">
        <v>59.761699999999998</v>
      </c>
      <c r="AD3014">
        <v>1</v>
      </c>
      <c r="AE3014">
        <v>1</v>
      </c>
      <c r="AF3014">
        <v>0</v>
      </c>
      <c r="AG3014">
        <v>14163.52</v>
      </c>
      <c r="AH3014">
        <v>237</v>
      </c>
      <c r="AI3014">
        <v>235</v>
      </c>
      <c r="AJ3014">
        <v>2</v>
      </c>
      <c r="AK3014">
        <v>1</v>
      </c>
      <c r="AL3014">
        <v>1</v>
      </c>
      <c r="AM3014">
        <v>99.16</v>
      </c>
      <c r="AN3014">
        <v>61.7179</v>
      </c>
      <c r="AO3014">
        <v>119.52</v>
      </c>
      <c r="AP3014" s="13">
        <v>45506</v>
      </c>
      <c r="AQ3014">
        <v>0</v>
      </c>
      <c r="AR3014">
        <v>1</v>
      </c>
    </row>
    <row r="3015" spans="1:44" x14ac:dyDescent="0.35">
      <c r="A3015" s="12" t="s">
        <v>3907</v>
      </c>
      <c r="B3015" s="12" t="s">
        <v>736</v>
      </c>
      <c r="C3015" s="12" t="s">
        <v>737</v>
      </c>
      <c r="D3015" s="12" t="s">
        <v>64</v>
      </c>
      <c r="E3015" s="12" t="s">
        <v>104</v>
      </c>
      <c r="F3015">
        <v>3</v>
      </c>
      <c r="G3015">
        <v>1</v>
      </c>
      <c r="H3015">
        <v>0</v>
      </c>
      <c r="I3015" s="12" t="s">
        <v>94</v>
      </c>
      <c r="J3015" s="12" t="s">
        <v>95</v>
      </c>
      <c r="K3015" s="12" t="s">
        <v>81</v>
      </c>
      <c r="L3015" s="12" t="s">
        <v>96</v>
      </c>
      <c r="M3015">
        <v>4.8099999999999996</v>
      </c>
      <c r="N3015" s="12" t="s">
        <v>70</v>
      </c>
      <c r="O3015" s="12" t="s">
        <v>71</v>
      </c>
      <c r="P3015" s="12" t="s">
        <v>72</v>
      </c>
      <c r="Q3015" s="13">
        <v>45481</v>
      </c>
      <c r="R3015" s="13">
        <v>45501</v>
      </c>
      <c r="S3015">
        <v>2024</v>
      </c>
      <c r="T3015" s="12" t="s">
        <v>3854</v>
      </c>
      <c r="U3015">
        <v>542</v>
      </c>
      <c r="V3015">
        <v>22.894600000000001</v>
      </c>
      <c r="W3015">
        <v>133.63999999999999</v>
      </c>
      <c r="X3015">
        <v>0</v>
      </c>
      <c r="Y3015">
        <v>0</v>
      </c>
      <c r="Z3015">
        <v>12408.87</v>
      </c>
      <c r="AA3015">
        <v>12542.51</v>
      </c>
      <c r="AB3015" s="12" t="s">
        <v>3251</v>
      </c>
      <c r="AC3015">
        <v>22.894600000000001</v>
      </c>
      <c r="AD3015">
        <v>1</v>
      </c>
      <c r="AE3015">
        <v>1</v>
      </c>
      <c r="AF3015">
        <v>0</v>
      </c>
      <c r="AG3015">
        <v>12408.87</v>
      </c>
      <c r="AH3015">
        <v>542</v>
      </c>
      <c r="AI3015">
        <v>539</v>
      </c>
      <c r="AJ3015">
        <v>3</v>
      </c>
      <c r="AK3015">
        <v>1</v>
      </c>
      <c r="AL3015">
        <v>1</v>
      </c>
      <c r="AM3015">
        <v>99.45</v>
      </c>
      <c r="AN3015">
        <v>23.27</v>
      </c>
      <c r="AO3015">
        <v>68.680000000000007</v>
      </c>
      <c r="AP3015" s="13">
        <v>45499</v>
      </c>
      <c r="AQ3015">
        <v>-2</v>
      </c>
      <c r="AR3015">
        <v>1</v>
      </c>
    </row>
    <row r="3016" spans="1:44" x14ac:dyDescent="0.35">
      <c r="A3016" s="12" t="s">
        <v>3908</v>
      </c>
      <c r="B3016" s="12" t="s">
        <v>215</v>
      </c>
      <c r="C3016" s="12" t="s">
        <v>216</v>
      </c>
      <c r="D3016" s="12" t="s">
        <v>122</v>
      </c>
      <c r="E3016" s="12" t="s">
        <v>142</v>
      </c>
      <c r="F3016">
        <v>3</v>
      </c>
      <c r="G3016">
        <v>11</v>
      </c>
      <c r="H3016">
        <v>0</v>
      </c>
      <c r="I3016" s="12" t="s">
        <v>217</v>
      </c>
      <c r="J3016" s="12" t="s">
        <v>218</v>
      </c>
      <c r="K3016" s="12" t="s">
        <v>68</v>
      </c>
      <c r="L3016" s="12" t="s">
        <v>82</v>
      </c>
      <c r="M3016">
        <v>14.24</v>
      </c>
      <c r="N3016" s="12" t="s">
        <v>97</v>
      </c>
      <c r="O3016" s="12" t="s">
        <v>98</v>
      </c>
      <c r="P3016" s="12" t="s">
        <v>72</v>
      </c>
      <c r="Q3016" s="13">
        <v>45481</v>
      </c>
      <c r="R3016" s="13">
        <v>45532</v>
      </c>
      <c r="S3016">
        <v>2024</v>
      </c>
      <c r="T3016" s="12" t="s">
        <v>3854</v>
      </c>
      <c r="U3016">
        <v>1822</v>
      </c>
      <c r="V3016">
        <v>14.797000000000001</v>
      </c>
      <c r="W3016">
        <v>628.78</v>
      </c>
      <c r="X3016">
        <v>0</v>
      </c>
      <c r="Y3016">
        <v>0</v>
      </c>
      <c r="Z3016">
        <v>26960.13</v>
      </c>
      <c r="AA3016">
        <v>27588.91</v>
      </c>
      <c r="AB3016" s="12" t="s">
        <v>2696</v>
      </c>
      <c r="AC3016">
        <v>14.797000000000001</v>
      </c>
      <c r="AD3016">
        <v>1</v>
      </c>
      <c r="AE3016">
        <v>1</v>
      </c>
      <c r="AF3016">
        <v>0</v>
      </c>
      <c r="AG3016">
        <v>26960.13</v>
      </c>
      <c r="AH3016">
        <v>1822</v>
      </c>
      <c r="AI3016">
        <v>1813</v>
      </c>
      <c r="AJ3016">
        <v>9</v>
      </c>
      <c r="AK3016">
        <v>1</v>
      </c>
      <c r="AL3016">
        <v>1</v>
      </c>
      <c r="AM3016">
        <v>99.51</v>
      </c>
      <c r="AN3016">
        <v>15.2173</v>
      </c>
      <c r="AO3016">
        <v>133.16999999999999</v>
      </c>
      <c r="AP3016" s="13">
        <v>45532</v>
      </c>
      <c r="AQ3016">
        <v>0</v>
      </c>
      <c r="AR3016">
        <v>1</v>
      </c>
    </row>
    <row r="3017" spans="1:44" x14ac:dyDescent="0.35">
      <c r="A3017" s="12" t="s">
        <v>3909</v>
      </c>
      <c r="B3017" s="12" t="s">
        <v>902</v>
      </c>
      <c r="C3017" s="12" t="s">
        <v>903</v>
      </c>
      <c r="D3017" s="12" t="s">
        <v>122</v>
      </c>
      <c r="E3017" s="12" t="s">
        <v>142</v>
      </c>
      <c r="F3017">
        <v>1</v>
      </c>
      <c r="G3017">
        <v>6</v>
      </c>
      <c r="H3017">
        <v>1</v>
      </c>
      <c r="I3017" s="12" t="s">
        <v>105</v>
      </c>
      <c r="J3017" s="12" t="s">
        <v>106</v>
      </c>
      <c r="K3017" s="12" t="s">
        <v>81</v>
      </c>
      <c r="L3017" s="12" t="s">
        <v>96</v>
      </c>
      <c r="M3017">
        <v>5.01</v>
      </c>
      <c r="N3017" s="12" t="s">
        <v>97</v>
      </c>
      <c r="O3017" s="12" t="s">
        <v>98</v>
      </c>
      <c r="P3017" s="12" t="s">
        <v>72</v>
      </c>
      <c r="Q3017" s="13">
        <v>45481</v>
      </c>
      <c r="R3017" s="13">
        <v>45523</v>
      </c>
      <c r="S3017">
        <v>2024</v>
      </c>
      <c r="T3017" s="12" t="s">
        <v>3854</v>
      </c>
      <c r="U3017">
        <v>941</v>
      </c>
      <c r="V3017">
        <v>41.6892</v>
      </c>
      <c r="W3017">
        <v>843.56</v>
      </c>
      <c r="X3017">
        <v>0</v>
      </c>
      <c r="Y3017">
        <v>0</v>
      </c>
      <c r="Z3017">
        <v>39229.54</v>
      </c>
      <c r="AA3017">
        <v>40073.1</v>
      </c>
      <c r="AB3017" s="12" t="s">
        <v>3284</v>
      </c>
      <c r="AC3017">
        <v>41.6892</v>
      </c>
      <c r="AD3017">
        <v>1</v>
      </c>
      <c r="AE3017">
        <v>1</v>
      </c>
      <c r="AF3017">
        <v>0</v>
      </c>
      <c r="AG3017">
        <v>39229.54</v>
      </c>
      <c r="AH3017">
        <v>941</v>
      </c>
      <c r="AI3017">
        <v>932</v>
      </c>
      <c r="AJ3017">
        <v>9</v>
      </c>
      <c r="AK3017">
        <v>1</v>
      </c>
      <c r="AL3017">
        <v>1</v>
      </c>
      <c r="AM3017">
        <v>99.04</v>
      </c>
      <c r="AN3017">
        <v>42.996899999999997</v>
      </c>
      <c r="AO3017">
        <v>375.2</v>
      </c>
      <c r="AP3017" s="13">
        <v>45520</v>
      </c>
      <c r="AQ3017">
        <v>-3</v>
      </c>
      <c r="AR3017">
        <v>1</v>
      </c>
    </row>
    <row r="3018" spans="1:44" x14ac:dyDescent="0.35">
      <c r="A3018" s="12" t="s">
        <v>3910</v>
      </c>
      <c r="B3018" s="12" t="s">
        <v>509</v>
      </c>
      <c r="C3018" s="12" t="s">
        <v>510</v>
      </c>
      <c r="D3018" s="12" t="s">
        <v>78</v>
      </c>
      <c r="E3018" s="12" t="s">
        <v>142</v>
      </c>
      <c r="F3018">
        <v>3</v>
      </c>
      <c r="G3018">
        <v>11</v>
      </c>
      <c r="H3018">
        <v>0</v>
      </c>
      <c r="I3018" s="12" t="s">
        <v>176</v>
      </c>
      <c r="J3018" s="12" t="s">
        <v>177</v>
      </c>
      <c r="K3018" s="12" t="s">
        <v>125</v>
      </c>
      <c r="L3018" s="12" t="s">
        <v>134</v>
      </c>
      <c r="M3018">
        <v>1.75</v>
      </c>
      <c r="N3018" s="12" t="s">
        <v>70</v>
      </c>
      <c r="O3018" s="12" t="s">
        <v>71</v>
      </c>
      <c r="P3018" s="12" t="s">
        <v>72</v>
      </c>
      <c r="Q3018" s="13">
        <v>45481</v>
      </c>
      <c r="R3018" s="13">
        <v>45521</v>
      </c>
      <c r="S3018">
        <v>2024</v>
      </c>
      <c r="T3018" s="12" t="s">
        <v>3854</v>
      </c>
      <c r="U3018">
        <v>125</v>
      </c>
      <c r="V3018">
        <v>140.2543</v>
      </c>
      <c r="W3018">
        <v>301.39</v>
      </c>
      <c r="X3018">
        <v>0</v>
      </c>
      <c r="Y3018">
        <v>0</v>
      </c>
      <c r="Z3018">
        <v>17531.79</v>
      </c>
      <c r="AA3018">
        <v>17833.18</v>
      </c>
      <c r="AB3018" s="12" t="s">
        <v>201</v>
      </c>
      <c r="AD3018">
        <v>0</v>
      </c>
      <c r="AE3018">
        <v>0</v>
      </c>
      <c r="AH3018">
        <v>125</v>
      </c>
      <c r="AI3018">
        <v>124</v>
      </c>
      <c r="AJ3018">
        <v>1</v>
      </c>
      <c r="AK3018">
        <v>1</v>
      </c>
      <c r="AL3018">
        <v>1</v>
      </c>
      <c r="AM3018">
        <v>99.2</v>
      </c>
      <c r="AN3018">
        <v>143.8159</v>
      </c>
      <c r="AO3018">
        <v>140.25</v>
      </c>
      <c r="AP3018" s="13">
        <v>45518</v>
      </c>
      <c r="AQ3018">
        <v>-3</v>
      </c>
      <c r="AR3018">
        <v>1</v>
      </c>
    </row>
    <row r="3019" spans="1:44" x14ac:dyDescent="0.35">
      <c r="A3019" s="12" t="s">
        <v>3911</v>
      </c>
      <c r="B3019" s="12" t="s">
        <v>802</v>
      </c>
      <c r="C3019" s="12" t="s">
        <v>803</v>
      </c>
      <c r="D3019" s="12" t="s">
        <v>114</v>
      </c>
      <c r="E3019" s="12" t="s">
        <v>65</v>
      </c>
      <c r="F3019">
        <v>3</v>
      </c>
      <c r="G3019">
        <v>5</v>
      </c>
      <c r="H3019">
        <v>0</v>
      </c>
      <c r="I3019" s="12" t="s">
        <v>105</v>
      </c>
      <c r="J3019" s="12" t="s">
        <v>106</v>
      </c>
      <c r="K3019" s="12" t="s">
        <v>81</v>
      </c>
      <c r="L3019" s="12" t="s">
        <v>96</v>
      </c>
      <c r="M3019">
        <v>5.01</v>
      </c>
      <c r="N3019" s="12" t="s">
        <v>97</v>
      </c>
      <c r="O3019" s="12" t="s">
        <v>98</v>
      </c>
      <c r="P3019" s="12" t="s">
        <v>72</v>
      </c>
      <c r="Q3019" s="13">
        <v>45482</v>
      </c>
      <c r="R3019" s="13">
        <v>45517</v>
      </c>
      <c r="S3019">
        <v>2024</v>
      </c>
      <c r="T3019" s="12" t="s">
        <v>3854</v>
      </c>
      <c r="U3019">
        <v>120</v>
      </c>
      <c r="V3019">
        <v>376.40370000000001</v>
      </c>
      <c r="W3019">
        <v>693.46</v>
      </c>
      <c r="X3019">
        <v>0</v>
      </c>
      <c r="Y3019">
        <v>0</v>
      </c>
      <c r="Z3019">
        <v>45168.44</v>
      </c>
      <c r="AA3019">
        <v>45861.9</v>
      </c>
      <c r="AB3019" s="12" t="s">
        <v>201</v>
      </c>
      <c r="AD3019">
        <v>0</v>
      </c>
      <c r="AE3019">
        <v>0</v>
      </c>
      <c r="AH3019">
        <v>120</v>
      </c>
      <c r="AI3019">
        <v>117</v>
      </c>
      <c r="AJ3019">
        <v>3</v>
      </c>
      <c r="AK3019">
        <v>1</v>
      </c>
      <c r="AL3019">
        <v>1</v>
      </c>
      <c r="AM3019">
        <v>97.5</v>
      </c>
      <c r="AN3019">
        <v>391.9821</v>
      </c>
      <c r="AO3019">
        <v>1129.21</v>
      </c>
      <c r="AP3019" s="13">
        <v>45515</v>
      </c>
      <c r="AQ3019">
        <v>-2</v>
      </c>
      <c r="AR3019">
        <v>1</v>
      </c>
    </row>
    <row r="3020" spans="1:44" x14ac:dyDescent="0.35">
      <c r="A3020" s="12" t="s">
        <v>3912</v>
      </c>
      <c r="B3020" s="12" t="s">
        <v>472</v>
      </c>
      <c r="C3020" s="12" t="s">
        <v>473</v>
      </c>
      <c r="D3020" s="12" t="s">
        <v>122</v>
      </c>
      <c r="E3020" s="12" t="s">
        <v>142</v>
      </c>
      <c r="F3020">
        <v>2</v>
      </c>
      <c r="G3020">
        <v>9</v>
      </c>
      <c r="H3020">
        <v>0</v>
      </c>
      <c r="I3020" s="12" t="s">
        <v>209</v>
      </c>
      <c r="J3020" s="12" t="s">
        <v>210</v>
      </c>
      <c r="K3020" s="12" t="s">
        <v>133</v>
      </c>
      <c r="L3020" s="12" t="s">
        <v>96</v>
      </c>
      <c r="M3020">
        <v>7.82</v>
      </c>
      <c r="N3020" s="12" t="s">
        <v>70</v>
      </c>
      <c r="O3020" s="12" t="s">
        <v>71</v>
      </c>
      <c r="P3020" s="12" t="s">
        <v>72</v>
      </c>
      <c r="Q3020" s="13">
        <v>45482</v>
      </c>
      <c r="R3020" s="13">
        <v>45534</v>
      </c>
      <c r="S3020">
        <v>2024</v>
      </c>
      <c r="T3020" s="12" t="s">
        <v>3854</v>
      </c>
      <c r="U3020">
        <v>1945</v>
      </c>
      <c r="V3020">
        <v>46.789099999999998</v>
      </c>
      <c r="W3020">
        <v>1376.39</v>
      </c>
      <c r="X3020">
        <v>0</v>
      </c>
      <c r="Y3020">
        <v>0</v>
      </c>
      <c r="Z3020">
        <v>91004.800000000003</v>
      </c>
      <c r="AA3020">
        <v>92381.19</v>
      </c>
      <c r="AB3020" s="12" t="s">
        <v>2966</v>
      </c>
      <c r="AC3020">
        <v>46.789099999999998</v>
      </c>
      <c r="AD3020">
        <v>1</v>
      </c>
      <c r="AE3020">
        <v>1</v>
      </c>
      <c r="AF3020">
        <v>0</v>
      </c>
      <c r="AG3020">
        <v>91004.800000000003</v>
      </c>
      <c r="AH3020">
        <v>1945</v>
      </c>
      <c r="AI3020">
        <v>1926</v>
      </c>
      <c r="AJ3020">
        <v>19</v>
      </c>
      <c r="AK3020">
        <v>1</v>
      </c>
      <c r="AL3020">
        <v>1</v>
      </c>
      <c r="AM3020">
        <v>99.02</v>
      </c>
      <c r="AN3020">
        <v>47.965299999999999</v>
      </c>
      <c r="AO3020">
        <v>888.99</v>
      </c>
      <c r="AP3020" s="13">
        <v>45531</v>
      </c>
      <c r="AQ3020">
        <v>-3</v>
      </c>
      <c r="AR3020">
        <v>1</v>
      </c>
    </row>
    <row r="3021" spans="1:44" x14ac:dyDescent="0.35">
      <c r="A3021" s="12" t="s">
        <v>3913</v>
      </c>
      <c r="B3021" s="12" t="s">
        <v>261</v>
      </c>
      <c r="C3021" s="12" t="s">
        <v>262</v>
      </c>
      <c r="D3021" s="12" t="s">
        <v>114</v>
      </c>
      <c r="E3021" s="12" t="s">
        <v>142</v>
      </c>
      <c r="F3021">
        <v>1</v>
      </c>
      <c r="G3021">
        <v>8</v>
      </c>
      <c r="H3021">
        <v>1</v>
      </c>
      <c r="I3021" s="12" t="s">
        <v>263</v>
      </c>
      <c r="J3021" s="12" t="s">
        <v>264</v>
      </c>
      <c r="K3021" s="12" t="s">
        <v>125</v>
      </c>
      <c r="L3021" s="12" t="s">
        <v>82</v>
      </c>
      <c r="M3021">
        <v>10.210000000000001</v>
      </c>
      <c r="N3021" s="12" t="s">
        <v>97</v>
      </c>
      <c r="O3021" s="12" t="s">
        <v>98</v>
      </c>
      <c r="P3021" s="12" t="s">
        <v>72</v>
      </c>
      <c r="Q3021" s="13">
        <v>45482</v>
      </c>
      <c r="R3021" s="13">
        <v>45522</v>
      </c>
      <c r="S3021">
        <v>2024</v>
      </c>
      <c r="T3021" s="12" t="s">
        <v>3854</v>
      </c>
      <c r="U3021">
        <v>52</v>
      </c>
      <c r="V3021">
        <v>137.84569999999999</v>
      </c>
      <c r="W3021">
        <v>121.84</v>
      </c>
      <c r="X3021">
        <v>0</v>
      </c>
      <c r="Y3021">
        <v>0</v>
      </c>
      <c r="Z3021">
        <v>7167.98</v>
      </c>
      <c r="AA3021">
        <v>7289.82</v>
      </c>
      <c r="AB3021" s="12" t="s">
        <v>2655</v>
      </c>
      <c r="AC3021">
        <v>137.84569999999999</v>
      </c>
      <c r="AD3021">
        <v>1</v>
      </c>
      <c r="AE3021">
        <v>1</v>
      </c>
      <c r="AF3021">
        <v>0</v>
      </c>
      <c r="AG3021">
        <v>7167.98</v>
      </c>
      <c r="AH3021">
        <v>52</v>
      </c>
      <c r="AI3021">
        <v>51</v>
      </c>
      <c r="AJ3021">
        <v>1</v>
      </c>
      <c r="AK3021">
        <v>1</v>
      </c>
      <c r="AL3021">
        <v>1</v>
      </c>
      <c r="AM3021">
        <v>98.08</v>
      </c>
      <c r="AN3021">
        <v>142.9376</v>
      </c>
      <c r="AO3021">
        <v>137.85</v>
      </c>
      <c r="AP3021" s="13">
        <v>45520</v>
      </c>
      <c r="AQ3021">
        <v>-2</v>
      </c>
      <c r="AR3021">
        <v>1</v>
      </c>
    </row>
    <row r="3022" spans="1:44" x14ac:dyDescent="0.35">
      <c r="A3022" s="12" t="s">
        <v>3914</v>
      </c>
      <c r="B3022" s="12" t="s">
        <v>617</v>
      </c>
      <c r="C3022" s="12" t="s">
        <v>618</v>
      </c>
      <c r="D3022" s="12" t="s">
        <v>78</v>
      </c>
      <c r="E3022" s="12" t="s">
        <v>65</v>
      </c>
      <c r="F3022">
        <v>2</v>
      </c>
      <c r="G3022">
        <v>4</v>
      </c>
      <c r="H3022">
        <v>0</v>
      </c>
      <c r="I3022" s="12" t="s">
        <v>209</v>
      </c>
      <c r="J3022" s="12" t="s">
        <v>210</v>
      </c>
      <c r="K3022" s="12" t="s">
        <v>133</v>
      </c>
      <c r="L3022" s="12" t="s">
        <v>96</v>
      </c>
      <c r="M3022">
        <v>7.82</v>
      </c>
      <c r="N3022" s="12" t="s">
        <v>97</v>
      </c>
      <c r="O3022" s="12" t="s">
        <v>98</v>
      </c>
      <c r="P3022" s="12" t="s">
        <v>72</v>
      </c>
      <c r="Q3022" s="13">
        <v>45482</v>
      </c>
      <c r="R3022" s="13">
        <v>45509</v>
      </c>
      <c r="S3022">
        <v>2024</v>
      </c>
      <c r="T3022" s="12" t="s">
        <v>3854</v>
      </c>
      <c r="U3022">
        <v>135</v>
      </c>
      <c r="V3022">
        <v>108.13330000000001</v>
      </c>
      <c r="W3022">
        <v>192.66</v>
      </c>
      <c r="X3022">
        <v>0</v>
      </c>
      <c r="Y3022">
        <v>0</v>
      </c>
      <c r="Z3022">
        <v>14598</v>
      </c>
      <c r="AA3022">
        <v>14790.66</v>
      </c>
      <c r="AB3022" s="12" t="s">
        <v>3087</v>
      </c>
      <c r="AC3022">
        <v>108.13330000000001</v>
      </c>
      <c r="AD3022">
        <v>1</v>
      </c>
      <c r="AE3022">
        <v>1</v>
      </c>
      <c r="AF3022">
        <v>0</v>
      </c>
      <c r="AG3022">
        <v>14598</v>
      </c>
      <c r="AH3022">
        <v>135</v>
      </c>
      <c r="AI3022">
        <v>133</v>
      </c>
      <c r="AJ3022">
        <v>2</v>
      </c>
      <c r="AK3022">
        <v>1</v>
      </c>
      <c r="AL3022">
        <v>1</v>
      </c>
      <c r="AM3022">
        <v>98.52</v>
      </c>
      <c r="AN3022">
        <v>111.2079</v>
      </c>
      <c r="AO3022">
        <v>216.27</v>
      </c>
      <c r="AP3022" s="13">
        <v>45508</v>
      </c>
      <c r="AQ3022">
        <v>-1</v>
      </c>
      <c r="AR3022">
        <v>1</v>
      </c>
    </row>
    <row r="3023" spans="1:44" x14ac:dyDescent="0.35">
      <c r="A3023" s="12" t="s">
        <v>3915</v>
      </c>
      <c r="B3023" s="12" t="s">
        <v>490</v>
      </c>
      <c r="C3023" s="12" t="s">
        <v>491</v>
      </c>
      <c r="D3023" s="12" t="s">
        <v>130</v>
      </c>
      <c r="E3023" s="12" t="s">
        <v>104</v>
      </c>
      <c r="F3023">
        <v>3</v>
      </c>
      <c r="G3023">
        <v>1</v>
      </c>
      <c r="H3023">
        <v>0</v>
      </c>
      <c r="I3023" s="12" t="s">
        <v>176</v>
      </c>
      <c r="J3023" s="12" t="s">
        <v>177</v>
      </c>
      <c r="K3023" s="12" t="s">
        <v>125</v>
      </c>
      <c r="L3023" s="12" t="s">
        <v>134</v>
      </c>
      <c r="M3023">
        <v>1.75</v>
      </c>
      <c r="N3023" s="12" t="s">
        <v>135</v>
      </c>
      <c r="O3023" s="12" t="s">
        <v>136</v>
      </c>
      <c r="P3023" s="12" t="s">
        <v>137</v>
      </c>
      <c r="Q3023" s="13">
        <v>45482</v>
      </c>
      <c r="R3023" s="13">
        <v>45494</v>
      </c>
      <c r="S3023">
        <v>2024</v>
      </c>
      <c r="T3023" s="12" t="s">
        <v>3854</v>
      </c>
      <c r="U3023">
        <v>14</v>
      </c>
      <c r="V3023">
        <v>280.57350000000002</v>
      </c>
      <c r="W3023">
        <v>40.71</v>
      </c>
      <c r="X3023">
        <v>0</v>
      </c>
      <c r="Y3023">
        <v>0</v>
      </c>
      <c r="Z3023">
        <v>3928.03</v>
      </c>
      <c r="AA3023">
        <v>3968.74</v>
      </c>
      <c r="AB3023" s="12" t="s">
        <v>3122</v>
      </c>
      <c r="AC3023">
        <v>264.23239999999998</v>
      </c>
      <c r="AD3023">
        <v>1</v>
      </c>
      <c r="AE3023">
        <v>1</v>
      </c>
      <c r="AF3023">
        <v>228.78</v>
      </c>
      <c r="AG3023">
        <v>3699.25</v>
      </c>
      <c r="AH3023">
        <v>14</v>
      </c>
      <c r="AI3023">
        <v>14</v>
      </c>
      <c r="AJ3023">
        <v>0</v>
      </c>
      <c r="AK3023">
        <v>1</v>
      </c>
      <c r="AL3023">
        <v>1</v>
      </c>
      <c r="AM3023">
        <v>100</v>
      </c>
      <c r="AN3023">
        <v>283.48140000000001</v>
      </c>
      <c r="AO3023">
        <v>0</v>
      </c>
      <c r="AP3023" s="13">
        <v>45491</v>
      </c>
      <c r="AQ3023">
        <v>-3</v>
      </c>
      <c r="AR3023">
        <v>1</v>
      </c>
    </row>
    <row r="3024" spans="1:44" x14ac:dyDescent="0.35">
      <c r="A3024" s="12" t="s">
        <v>3916</v>
      </c>
      <c r="B3024" s="12" t="s">
        <v>231</v>
      </c>
      <c r="C3024" s="12" t="s">
        <v>232</v>
      </c>
      <c r="D3024" s="12" t="s">
        <v>130</v>
      </c>
      <c r="E3024" s="12" t="s">
        <v>65</v>
      </c>
      <c r="F3024">
        <v>1</v>
      </c>
      <c r="G3024">
        <v>2</v>
      </c>
      <c r="H3024">
        <v>1</v>
      </c>
      <c r="I3024" s="12" t="s">
        <v>233</v>
      </c>
      <c r="J3024" s="12" t="s">
        <v>234</v>
      </c>
      <c r="K3024" s="12" t="s">
        <v>125</v>
      </c>
      <c r="L3024" s="12" t="s">
        <v>96</v>
      </c>
      <c r="M3024">
        <v>3.73</v>
      </c>
      <c r="N3024" s="12" t="s">
        <v>135</v>
      </c>
      <c r="O3024" s="12" t="s">
        <v>136</v>
      </c>
      <c r="P3024" s="12" t="s">
        <v>137</v>
      </c>
      <c r="Q3024" s="13">
        <v>45482</v>
      </c>
      <c r="R3024" s="13">
        <v>45511</v>
      </c>
      <c r="S3024">
        <v>2024</v>
      </c>
      <c r="T3024" s="12" t="s">
        <v>3854</v>
      </c>
      <c r="U3024">
        <v>72</v>
      </c>
      <c r="V3024">
        <v>456.11110000000002</v>
      </c>
      <c r="W3024">
        <v>630.63</v>
      </c>
      <c r="X3024">
        <v>0</v>
      </c>
      <c r="Y3024">
        <v>0</v>
      </c>
      <c r="Z3024">
        <v>32840</v>
      </c>
      <c r="AA3024">
        <v>33470.629999999997</v>
      </c>
      <c r="AB3024" s="12" t="s">
        <v>201</v>
      </c>
      <c r="AD3024">
        <v>0</v>
      </c>
      <c r="AE3024">
        <v>0</v>
      </c>
      <c r="AH3024">
        <v>72</v>
      </c>
      <c r="AI3024">
        <v>72</v>
      </c>
      <c r="AJ3024">
        <v>0</v>
      </c>
      <c r="AK3024">
        <v>1</v>
      </c>
      <c r="AL3024">
        <v>1</v>
      </c>
      <c r="AM3024">
        <v>100</v>
      </c>
      <c r="AN3024">
        <v>464.86989999999997</v>
      </c>
      <c r="AO3024">
        <v>0</v>
      </c>
      <c r="AP3024" s="13">
        <v>45509</v>
      </c>
      <c r="AQ3024">
        <v>-2</v>
      </c>
      <c r="AR3024">
        <v>1</v>
      </c>
    </row>
    <row r="3025" spans="1:44" x14ac:dyDescent="0.35">
      <c r="A3025" s="12" t="s">
        <v>3917</v>
      </c>
      <c r="B3025" s="12" t="s">
        <v>391</v>
      </c>
      <c r="C3025" s="12" t="s">
        <v>392</v>
      </c>
      <c r="D3025" s="12" t="s">
        <v>114</v>
      </c>
      <c r="E3025" s="12" t="s">
        <v>65</v>
      </c>
      <c r="F3025">
        <v>2</v>
      </c>
      <c r="G3025">
        <v>2</v>
      </c>
      <c r="H3025">
        <v>0</v>
      </c>
      <c r="I3025" s="12" t="s">
        <v>195</v>
      </c>
      <c r="J3025" s="12" t="s">
        <v>196</v>
      </c>
      <c r="K3025" s="12" t="s">
        <v>117</v>
      </c>
      <c r="L3025" s="12" t="s">
        <v>134</v>
      </c>
      <c r="M3025">
        <v>4.7699999999999996</v>
      </c>
      <c r="N3025" s="12" t="s">
        <v>97</v>
      </c>
      <c r="O3025" s="12" t="s">
        <v>98</v>
      </c>
      <c r="P3025" s="12" t="s">
        <v>72</v>
      </c>
      <c r="Q3025" s="13">
        <v>45482</v>
      </c>
      <c r="R3025" s="13">
        <v>45507</v>
      </c>
      <c r="S3025">
        <v>2024</v>
      </c>
      <c r="T3025" s="12" t="s">
        <v>3854</v>
      </c>
      <c r="U3025">
        <v>46</v>
      </c>
      <c r="V3025">
        <v>220.66759999999999</v>
      </c>
      <c r="W3025">
        <v>203.7</v>
      </c>
      <c r="X3025">
        <v>0</v>
      </c>
      <c r="Y3025">
        <v>0</v>
      </c>
      <c r="Z3025">
        <v>10150.709999999999</v>
      </c>
      <c r="AA3025">
        <v>10354.41</v>
      </c>
      <c r="AB3025" s="12" t="s">
        <v>3572</v>
      </c>
      <c r="AC3025">
        <v>220.66759999999999</v>
      </c>
      <c r="AD3025">
        <v>1</v>
      </c>
      <c r="AE3025">
        <v>1</v>
      </c>
      <c r="AF3025">
        <v>0</v>
      </c>
      <c r="AG3025">
        <v>10150.709999999999</v>
      </c>
      <c r="AH3025">
        <v>46</v>
      </c>
      <c r="AI3025">
        <v>45</v>
      </c>
      <c r="AJ3025">
        <v>1</v>
      </c>
      <c r="AK3025">
        <v>1</v>
      </c>
      <c r="AL3025">
        <v>1</v>
      </c>
      <c r="AM3025">
        <v>97.83</v>
      </c>
      <c r="AN3025">
        <v>230.09800000000001</v>
      </c>
      <c r="AO3025">
        <v>220.67</v>
      </c>
      <c r="AP3025" s="13">
        <v>45504</v>
      </c>
      <c r="AQ3025">
        <v>-3</v>
      </c>
      <c r="AR3025">
        <v>1</v>
      </c>
    </row>
    <row r="3026" spans="1:44" x14ac:dyDescent="0.35">
      <c r="A3026" s="12" t="s">
        <v>3918</v>
      </c>
      <c r="B3026" s="12" t="s">
        <v>837</v>
      </c>
      <c r="C3026" s="12" t="s">
        <v>838</v>
      </c>
      <c r="D3026" s="12" t="s">
        <v>114</v>
      </c>
      <c r="E3026" s="12" t="s">
        <v>104</v>
      </c>
      <c r="F3026">
        <v>2</v>
      </c>
      <c r="G3026">
        <v>0</v>
      </c>
      <c r="H3026">
        <v>0</v>
      </c>
      <c r="I3026" s="12" t="s">
        <v>199</v>
      </c>
      <c r="J3026" s="12" t="s">
        <v>200</v>
      </c>
      <c r="K3026" s="12" t="s">
        <v>68</v>
      </c>
      <c r="L3026" s="12" t="s">
        <v>96</v>
      </c>
      <c r="M3026">
        <v>9.4700000000000006</v>
      </c>
      <c r="N3026" s="12" t="s">
        <v>70</v>
      </c>
      <c r="O3026" s="12" t="s">
        <v>71</v>
      </c>
      <c r="P3026" s="12" t="s">
        <v>72</v>
      </c>
      <c r="Q3026" s="13">
        <v>45483</v>
      </c>
      <c r="R3026" s="13">
        <v>45501</v>
      </c>
      <c r="S3026">
        <v>2024</v>
      </c>
      <c r="T3026" s="12" t="s">
        <v>3854</v>
      </c>
      <c r="U3026">
        <v>62</v>
      </c>
      <c r="V3026">
        <v>68.916300000000007</v>
      </c>
      <c r="W3026">
        <v>72.569999999999993</v>
      </c>
      <c r="X3026">
        <v>0</v>
      </c>
      <c r="Y3026">
        <v>0</v>
      </c>
      <c r="Z3026">
        <v>4272.8100000000004</v>
      </c>
      <c r="AA3026">
        <v>4345.38</v>
      </c>
      <c r="AB3026" s="12" t="s">
        <v>3432</v>
      </c>
      <c r="AC3026">
        <v>68.916300000000007</v>
      </c>
      <c r="AD3026">
        <v>1</v>
      </c>
      <c r="AE3026">
        <v>1</v>
      </c>
      <c r="AF3026">
        <v>0</v>
      </c>
      <c r="AG3026">
        <v>4272.8100000000004</v>
      </c>
      <c r="AH3026">
        <v>62</v>
      </c>
      <c r="AI3026">
        <v>61</v>
      </c>
      <c r="AJ3026">
        <v>1</v>
      </c>
      <c r="AK3026">
        <v>1</v>
      </c>
      <c r="AL3026">
        <v>1</v>
      </c>
      <c r="AM3026">
        <v>98.39</v>
      </c>
      <c r="AN3026">
        <v>71.235699999999994</v>
      </c>
      <c r="AO3026">
        <v>68.92</v>
      </c>
      <c r="AP3026" s="13">
        <v>45498</v>
      </c>
      <c r="AQ3026">
        <v>-3</v>
      </c>
      <c r="AR3026">
        <v>1</v>
      </c>
    </row>
    <row r="3027" spans="1:44" x14ac:dyDescent="0.35">
      <c r="A3027" s="12" t="s">
        <v>3919</v>
      </c>
      <c r="B3027" s="12" t="s">
        <v>101</v>
      </c>
      <c r="C3027" s="12" t="s">
        <v>102</v>
      </c>
      <c r="D3027" s="12" t="s">
        <v>103</v>
      </c>
      <c r="E3027" s="12" t="s">
        <v>104</v>
      </c>
      <c r="F3027">
        <v>1</v>
      </c>
      <c r="G3027">
        <v>0</v>
      </c>
      <c r="H3027">
        <v>1</v>
      </c>
      <c r="I3027" s="12" t="s">
        <v>105</v>
      </c>
      <c r="J3027" s="12" t="s">
        <v>106</v>
      </c>
      <c r="K3027" s="12" t="s">
        <v>81</v>
      </c>
      <c r="L3027" s="12" t="s">
        <v>96</v>
      </c>
      <c r="M3027">
        <v>5.01</v>
      </c>
      <c r="N3027" s="12" t="s">
        <v>145</v>
      </c>
      <c r="O3027" s="12" t="s">
        <v>146</v>
      </c>
      <c r="P3027" s="12" t="s">
        <v>109</v>
      </c>
      <c r="Q3027" s="13">
        <v>45483</v>
      </c>
      <c r="R3027" s="13">
        <v>45505</v>
      </c>
      <c r="S3027">
        <v>2024</v>
      </c>
      <c r="T3027" s="12" t="s">
        <v>3854</v>
      </c>
      <c r="U3027">
        <v>94</v>
      </c>
      <c r="V3027">
        <v>205.32499999999999</v>
      </c>
      <c r="W3027">
        <v>332.1</v>
      </c>
      <c r="X3027">
        <v>0</v>
      </c>
      <c r="Y3027">
        <v>0</v>
      </c>
      <c r="Z3027">
        <v>19300.55</v>
      </c>
      <c r="AA3027">
        <v>19632.650000000001</v>
      </c>
      <c r="AB3027" s="12" t="s">
        <v>2866</v>
      </c>
      <c r="AC3027">
        <v>205.32499999999999</v>
      </c>
      <c r="AD3027">
        <v>1</v>
      </c>
      <c r="AE3027">
        <v>1</v>
      </c>
      <c r="AF3027">
        <v>0</v>
      </c>
      <c r="AG3027">
        <v>19300.55</v>
      </c>
      <c r="AH3027">
        <v>94</v>
      </c>
      <c r="AI3027">
        <v>93</v>
      </c>
      <c r="AJ3027">
        <v>1</v>
      </c>
      <c r="AK3027">
        <v>1</v>
      </c>
      <c r="AL3027">
        <v>1</v>
      </c>
      <c r="AM3027">
        <v>98.94</v>
      </c>
      <c r="AN3027">
        <v>211.10380000000001</v>
      </c>
      <c r="AO3027">
        <v>205.33</v>
      </c>
      <c r="AP3027" s="13">
        <v>45504</v>
      </c>
      <c r="AQ3027">
        <v>-1</v>
      </c>
      <c r="AR3027">
        <v>1</v>
      </c>
    </row>
    <row r="3028" spans="1:44" x14ac:dyDescent="0.35">
      <c r="A3028" s="12" t="s">
        <v>3920</v>
      </c>
      <c r="B3028" s="12" t="s">
        <v>766</v>
      </c>
      <c r="C3028" s="12" t="s">
        <v>767</v>
      </c>
      <c r="D3028" s="12" t="s">
        <v>175</v>
      </c>
      <c r="E3028" s="12" t="s">
        <v>65</v>
      </c>
      <c r="F3028">
        <v>3</v>
      </c>
      <c r="G3028">
        <v>5</v>
      </c>
      <c r="H3028">
        <v>0</v>
      </c>
      <c r="I3028" s="12" t="s">
        <v>157</v>
      </c>
      <c r="J3028" s="12" t="s">
        <v>158</v>
      </c>
      <c r="K3028" s="12" t="s">
        <v>117</v>
      </c>
      <c r="L3028" s="12" t="s">
        <v>96</v>
      </c>
      <c r="M3028">
        <v>4.72</v>
      </c>
      <c r="N3028" s="12" t="s">
        <v>145</v>
      </c>
      <c r="O3028" s="12" t="s">
        <v>146</v>
      </c>
      <c r="P3028" s="12" t="s">
        <v>109</v>
      </c>
      <c r="Q3028" s="13">
        <v>45483</v>
      </c>
      <c r="R3028" s="13">
        <v>45511</v>
      </c>
      <c r="S3028">
        <v>2024</v>
      </c>
      <c r="T3028" s="12" t="s">
        <v>3854</v>
      </c>
      <c r="U3028">
        <v>66</v>
      </c>
      <c r="V3028">
        <v>82.0565</v>
      </c>
      <c r="W3028">
        <v>83.44</v>
      </c>
      <c r="X3028">
        <v>0</v>
      </c>
      <c r="Y3028">
        <v>0</v>
      </c>
      <c r="Z3028">
        <v>5415.73</v>
      </c>
      <c r="AA3028">
        <v>5499.17</v>
      </c>
      <c r="AB3028" s="12" t="s">
        <v>3554</v>
      </c>
      <c r="AC3028">
        <v>82.0565</v>
      </c>
      <c r="AD3028">
        <v>1</v>
      </c>
      <c r="AE3028">
        <v>1</v>
      </c>
      <c r="AF3028">
        <v>0</v>
      </c>
      <c r="AG3028">
        <v>5415.73</v>
      </c>
      <c r="AH3028">
        <v>66</v>
      </c>
      <c r="AI3028">
        <v>65</v>
      </c>
      <c r="AJ3028">
        <v>1</v>
      </c>
      <c r="AK3028">
        <v>1</v>
      </c>
      <c r="AL3028">
        <v>1</v>
      </c>
      <c r="AM3028">
        <v>98.48</v>
      </c>
      <c r="AN3028">
        <v>84.602599999999995</v>
      </c>
      <c r="AO3028">
        <v>82.06</v>
      </c>
      <c r="AP3028" s="13">
        <v>45511</v>
      </c>
      <c r="AQ3028">
        <v>0</v>
      </c>
      <c r="AR3028">
        <v>1</v>
      </c>
    </row>
    <row r="3029" spans="1:44" x14ac:dyDescent="0.35">
      <c r="A3029" s="12" t="s">
        <v>3921</v>
      </c>
      <c r="B3029" s="12" t="s">
        <v>437</v>
      </c>
      <c r="C3029" s="12" t="s">
        <v>438</v>
      </c>
      <c r="D3029" s="12" t="s">
        <v>269</v>
      </c>
      <c r="E3029" s="12" t="s">
        <v>65</v>
      </c>
      <c r="F3029">
        <v>2</v>
      </c>
      <c r="G3029">
        <v>4</v>
      </c>
      <c r="H3029">
        <v>0</v>
      </c>
      <c r="I3029" s="12" t="s">
        <v>115</v>
      </c>
      <c r="J3029" s="12" t="s">
        <v>116</v>
      </c>
      <c r="K3029" s="12" t="s">
        <v>117</v>
      </c>
      <c r="L3029" s="12" t="s">
        <v>82</v>
      </c>
      <c r="M3029">
        <v>17.170000000000002</v>
      </c>
      <c r="N3029" s="12" t="s">
        <v>135</v>
      </c>
      <c r="O3029" s="12" t="s">
        <v>136</v>
      </c>
      <c r="P3029" s="12" t="s">
        <v>137</v>
      </c>
      <c r="Q3029" s="13">
        <v>45483</v>
      </c>
      <c r="R3029" s="13">
        <v>45510</v>
      </c>
      <c r="S3029">
        <v>2024</v>
      </c>
      <c r="T3029" s="12" t="s">
        <v>3854</v>
      </c>
      <c r="U3029">
        <v>63</v>
      </c>
      <c r="V3029">
        <v>440.05549999999999</v>
      </c>
      <c r="W3029">
        <v>608.15</v>
      </c>
      <c r="X3029">
        <v>0</v>
      </c>
      <c r="Y3029">
        <v>0</v>
      </c>
      <c r="Z3029">
        <v>27723.5</v>
      </c>
      <c r="AA3029">
        <v>28331.65</v>
      </c>
      <c r="AB3029" s="12" t="s">
        <v>2670</v>
      </c>
      <c r="AC3029">
        <v>440.05549999999999</v>
      </c>
      <c r="AD3029">
        <v>1</v>
      </c>
      <c r="AE3029">
        <v>1</v>
      </c>
      <c r="AF3029">
        <v>0</v>
      </c>
      <c r="AG3029">
        <v>27723.5</v>
      </c>
      <c r="AH3029">
        <v>63</v>
      </c>
      <c r="AI3029">
        <v>62</v>
      </c>
      <c r="AJ3029">
        <v>1</v>
      </c>
      <c r="AK3029">
        <v>1</v>
      </c>
      <c r="AL3029">
        <v>1</v>
      </c>
      <c r="AM3029">
        <v>98.41</v>
      </c>
      <c r="AN3029">
        <v>456.96199999999999</v>
      </c>
      <c r="AO3029">
        <v>440.06</v>
      </c>
      <c r="AP3029" s="13">
        <v>45509</v>
      </c>
      <c r="AQ3029">
        <v>-1</v>
      </c>
      <c r="AR3029">
        <v>1</v>
      </c>
    </row>
    <row r="3030" spans="1:44" x14ac:dyDescent="0.35">
      <c r="A3030" s="12" t="s">
        <v>3922</v>
      </c>
      <c r="B3030" s="12" t="s">
        <v>408</v>
      </c>
      <c r="C3030" s="12" t="s">
        <v>409</v>
      </c>
      <c r="D3030" s="12" t="s">
        <v>130</v>
      </c>
      <c r="E3030" s="12" t="s">
        <v>65</v>
      </c>
      <c r="F3030">
        <v>3</v>
      </c>
      <c r="G3030">
        <v>5</v>
      </c>
      <c r="H3030">
        <v>0</v>
      </c>
      <c r="I3030" s="12" t="s">
        <v>275</v>
      </c>
      <c r="J3030" s="12" t="s">
        <v>276</v>
      </c>
      <c r="K3030" s="12" t="s">
        <v>89</v>
      </c>
      <c r="L3030" s="12" t="s">
        <v>82</v>
      </c>
      <c r="M3030">
        <v>14.26</v>
      </c>
      <c r="N3030" s="12" t="s">
        <v>159</v>
      </c>
      <c r="O3030" s="12" t="s">
        <v>160</v>
      </c>
      <c r="P3030" s="12" t="s">
        <v>137</v>
      </c>
      <c r="Q3030" s="13">
        <v>45483</v>
      </c>
      <c r="R3030" s="13">
        <v>45518</v>
      </c>
      <c r="S3030">
        <v>2024</v>
      </c>
      <c r="T3030" s="12" t="s">
        <v>3854</v>
      </c>
      <c r="U3030">
        <v>120</v>
      </c>
      <c r="V3030">
        <v>723.42909999999995</v>
      </c>
      <c r="W3030">
        <v>1070.3499999999999</v>
      </c>
      <c r="X3030">
        <v>0</v>
      </c>
      <c r="Y3030">
        <v>0</v>
      </c>
      <c r="Z3030">
        <v>86811.49</v>
      </c>
      <c r="AA3030">
        <v>87881.84</v>
      </c>
      <c r="AB3030" s="12" t="s">
        <v>201</v>
      </c>
      <c r="AD3030">
        <v>0</v>
      </c>
      <c r="AE3030">
        <v>0</v>
      </c>
      <c r="AH3030">
        <v>120</v>
      </c>
      <c r="AI3030">
        <v>119</v>
      </c>
      <c r="AJ3030">
        <v>1</v>
      </c>
      <c r="AK3030">
        <v>1</v>
      </c>
      <c r="AL3030">
        <v>1</v>
      </c>
      <c r="AM3030">
        <v>99.17</v>
      </c>
      <c r="AN3030">
        <v>738.50289999999995</v>
      </c>
      <c r="AO3030">
        <v>723.43</v>
      </c>
      <c r="AP3030" s="13">
        <v>45526</v>
      </c>
      <c r="AQ3030">
        <v>8</v>
      </c>
      <c r="AR3030">
        <v>0</v>
      </c>
    </row>
    <row r="3031" spans="1:44" x14ac:dyDescent="0.35">
      <c r="A3031" s="12" t="s">
        <v>3923</v>
      </c>
      <c r="B3031" s="12" t="s">
        <v>155</v>
      </c>
      <c r="C3031" s="12" t="s">
        <v>156</v>
      </c>
      <c r="D3031" s="12" t="s">
        <v>130</v>
      </c>
      <c r="E3031" s="12" t="s">
        <v>104</v>
      </c>
      <c r="F3031">
        <v>3</v>
      </c>
      <c r="G3031">
        <v>1</v>
      </c>
      <c r="H3031">
        <v>0</v>
      </c>
      <c r="I3031" s="12" t="s">
        <v>157</v>
      </c>
      <c r="J3031" s="12" t="s">
        <v>158</v>
      </c>
      <c r="K3031" s="12" t="s">
        <v>117</v>
      </c>
      <c r="L3031" s="12" t="s">
        <v>96</v>
      </c>
      <c r="M3031">
        <v>4.72</v>
      </c>
      <c r="N3031" s="12" t="s">
        <v>159</v>
      </c>
      <c r="O3031" s="12" t="s">
        <v>160</v>
      </c>
      <c r="P3031" s="12" t="s">
        <v>137</v>
      </c>
      <c r="Q3031" s="13">
        <v>45483</v>
      </c>
      <c r="R3031" s="13">
        <v>45507</v>
      </c>
      <c r="S3031">
        <v>2024</v>
      </c>
      <c r="T3031" s="12" t="s">
        <v>3854</v>
      </c>
      <c r="U3031">
        <v>104</v>
      </c>
      <c r="V3031">
        <v>196.0966</v>
      </c>
      <c r="W3031">
        <v>277.11</v>
      </c>
      <c r="X3031">
        <v>0</v>
      </c>
      <c r="Y3031">
        <v>0</v>
      </c>
      <c r="Z3031">
        <v>20394.05</v>
      </c>
      <c r="AA3031">
        <v>20671.16</v>
      </c>
      <c r="AB3031" s="12" t="s">
        <v>201</v>
      </c>
      <c r="AD3031">
        <v>0</v>
      </c>
      <c r="AE3031">
        <v>0</v>
      </c>
      <c r="AH3031">
        <v>104</v>
      </c>
      <c r="AI3031">
        <v>103</v>
      </c>
      <c r="AJ3031">
        <v>1</v>
      </c>
      <c r="AK3031">
        <v>1</v>
      </c>
      <c r="AL3031">
        <v>1</v>
      </c>
      <c r="AM3031">
        <v>99.04</v>
      </c>
      <c r="AN3031">
        <v>200.6908</v>
      </c>
      <c r="AO3031">
        <v>196.1</v>
      </c>
      <c r="AP3031" s="13">
        <v>45507</v>
      </c>
      <c r="AQ3031">
        <v>0</v>
      </c>
      <c r="AR3031">
        <v>1</v>
      </c>
    </row>
    <row r="3032" spans="1:44" x14ac:dyDescent="0.35">
      <c r="A3032" s="12" t="s">
        <v>3924</v>
      </c>
      <c r="B3032" s="12" t="s">
        <v>207</v>
      </c>
      <c r="C3032" s="12" t="s">
        <v>208</v>
      </c>
      <c r="D3032" s="12" t="s">
        <v>78</v>
      </c>
      <c r="E3032" s="12" t="s">
        <v>65</v>
      </c>
      <c r="F3032">
        <v>2</v>
      </c>
      <c r="G3032">
        <v>3</v>
      </c>
      <c r="H3032">
        <v>0</v>
      </c>
      <c r="I3032" s="12" t="s">
        <v>209</v>
      </c>
      <c r="J3032" s="12" t="s">
        <v>210</v>
      </c>
      <c r="K3032" s="12" t="s">
        <v>133</v>
      </c>
      <c r="L3032" s="12" t="s">
        <v>96</v>
      </c>
      <c r="M3032">
        <v>7.82</v>
      </c>
      <c r="N3032" s="12" t="s">
        <v>70</v>
      </c>
      <c r="O3032" s="12" t="s">
        <v>71</v>
      </c>
      <c r="P3032" s="12" t="s">
        <v>72</v>
      </c>
      <c r="Q3032" s="13">
        <v>45483</v>
      </c>
      <c r="R3032" s="13">
        <v>45520</v>
      </c>
      <c r="S3032">
        <v>2024</v>
      </c>
      <c r="T3032" s="12" t="s">
        <v>3854</v>
      </c>
      <c r="U3032">
        <v>279</v>
      </c>
      <c r="V3032">
        <v>148.61590000000001</v>
      </c>
      <c r="W3032">
        <v>275.79000000000002</v>
      </c>
      <c r="X3032">
        <v>0</v>
      </c>
      <c r="Y3032">
        <v>0</v>
      </c>
      <c r="Z3032">
        <v>41463.839999999997</v>
      </c>
      <c r="AA3032">
        <v>41739.629999999997</v>
      </c>
      <c r="AB3032" s="12" t="s">
        <v>2832</v>
      </c>
      <c r="AC3032">
        <v>148.61590000000001</v>
      </c>
      <c r="AD3032">
        <v>1</v>
      </c>
      <c r="AE3032">
        <v>1</v>
      </c>
      <c r="AF3032">
        <v>0</v>
      </c>
      <c r="AG3032">
        <v>41463.839999999997</v>
      </c>
      <c r="AH3032">
        <v>279</v>
      </c>
      <c r="AI3032">
        <v>272</v>
      </c>
      <c r="AJ3032">
        <v>7</v>
      </c>
      <c r="AK3032">
        <v>1</v>
      </c>
      <c r="AL3032">
        <v>1</v>
      </c>
      <c r="AM3032">
        <v>97.49</v>
      </c>
      <c r="AN3032">
        <v>153.4545</v>
      </c>
      <c r="AO3032">
        <v>1040.31</v>
      </c>
      <c r="AP3032" s="13">
        <v>45529</v>
      </c>
      <c r="AQ3032">
        <v>9</v>
      </c>
      <c r="AR3032">
        <v>0</v>
      </c>
    </row>
    <row r="3033" spans="1:44" x14ac:dyDescent="0.35">
      <c r="A3033" s="12" t="s">
        <v>3925</v>
      </c>
      <c r="B3033" s="12" t="s">
        <v>357</v>
      </c>
      <c r="C3033" s="12" t="s">
        <v>358</v>
      </c>
      <c r="D3033" s="12" t="s">
        <v>103</v>
      </c>
      <c r="E3033" s="12" t="s">
        <v>104</v>
      </c>
      <c r="F3033">
        <v>3</v>
      </c>
      <c r="G3033">
        <v>1</v>
      </c>
      <c r="H3033">
        <v>0</v>
      </c>
      <c r="I3033" s="12" t="s">
        <v>105</v>
      </c>
      <c r="J3033" s="12" t="s">
        <v>106</v>
      </c>
      <c r="K3033" s="12" t="s">
        <v>81</v>
      </c>
      <c r="L3033" s="12" t="s">
        <v>96</v>
      </c>
      <c r="M3033">
        <v>5.01</v>
      </c>
      <c r="N3033" s="12" t="s">
        <v>145</v>
      </c>
      <c r="O3033" s="12" t="s">
        <v>146</v>
      </c>
      <c r="P3033" s="12" t="s">
        <v>109</v>
      </c>
      <c r="Q3033" s="13">
        <v>45483</v>
      </c>
      <c r="R3033" s="13">
        <v>45508</v>
      </c>
      <c r="S3033">
        <v>2024</v>
      </c>
      <c r="T3033" s="12" t="s">
        <v>3854</v>
      </c>
      <c r="U3033">
        <v>111</v>
      </c>
      <c r="V3033">
        <v>106.6647</v>
      </c>
      <c r="W3033">
        <v>127.7</v>
      </c>
      <c r="X3033">
        <v>0</v>
      </c>
      <c r="Y3033">
        <v>0</v>
      </c>
      <c r="Z3033">
        <v>11839.78</v>
      </c>
      <c r="AA3033">
        <v>11967.48</v>
      </c>
      <c r="AB3033" s="12" t="s">
        <v>2591</v>
      </c>
      <c r="AC3033">
        <v>106.6647</v>
      </c>
      <c r="AD3033">
        <v>1</v>
      </c>
      <c r="AE3033">
        <v>1</v>
      </c>
      <c r="AF3033">
        <v>0</v>
      </c>
      <c r="AG3033">
        <v>11839.78</v>
      </c>
      <c r="AH3033">
        <v>111</v>
      </c>
      <c r="AI3033">
        <v>110</v>
      </c>
      <c r="AJ3033">
        <v>1</v>
      </c>
      <c r="AK3033">
        <v>1</v>
      </c>
      <c r="AL3033">
        <v>1</v>
      </c>
      <c r="AM3033">
        <v>99.1</v>
      </c>
      <c r="AN3033">
        <v>108.7953</v>
      </c>
      <c r="AO3033">
        <v>106.66</v>
      </c>
      <c r="AP3033" s="13">
        <v>45506</v>
      </c>
      <c r="AQ3033">
        <v>-2</v>
      </c>
      <c r="AR3033">
        <v>1</v>
      </c>
    </row>
    <row r="3034" spans="1:44" x14ac:dyDescent="0.35">
      <c r="A3034" s="12" t="s">
        <v>3926</v>
      </c>
      <c r="B3034" s="12" t="s">
        <v>391</v>
      </c>
      <c r="C3034" s="12" t="s">
        <v>392</v>
      </c>
      <c r="D3034" s="12" t="s">
        <v>114</v>
      </c>
      <c r="E3034" s="12" t="s">
        <v>65</v>
      </c>
      <c r="F3034">
        <v>2</v>
      </c>
      <c r="G3034">
        <v>2</v>
      </c>
      <c r="H3034">
        <v>0</v>
      </c>
      <c r="I3034" s="12" t="s">
        <v>310</v>
      </c>
      <c r="J3034" s="12" t="s">
        <v>311</v>
      </c>
      <c r="K3034" s="12" t="s">
        <v>81</v>
      </c>
      <c r="L3034" s="12" t="s">
        <v>69</v>
      </c>
      <c r="M3034">
        <v>28.3</v>
      </c>
      <c r="N3034" s="12" t="s">
        <v>70</v>
      </c>
      <c r="O3034" s="12" t="s">
        <v>71</v>
      </c>
      <c r="P3034" s="12" t="s">
        <v>72</v>
      </c>
      <c r="Q3034" s="13">
        <v>45483</v>
      </c>
      <c r="R3034" s="13">
        <v>45508</v>
      </c>
      <c r="S3034">
        <v>2024</v>
      </c>
      <c r="T3034" s="12" t="s">
        <v>3854</v>
      </c>
      <c r="U3034">
        <v>43</v>
      </c>
      <c r="V3034">
        <v>220.328</v>
      </c>
      <c r="W3034">
        <v>110.14</v>
      </c>
      <c r="X3034">
        <v>285.74</v>
      </c>
      <c r="Y3034">
        <v>1</v>
      </c>
      <c r="Z3034">
        <v>9474.1</v>
      </c>
      <c r="AA3034">
        <v>9869.98</v>
      </c>
      <c r="AB3034" s="12" t="s">
        <v>2890</v>
      </c>
      <c r="AC3034">
        <v>220.328</v>
      </c>
      <c r="AD3034">
        <v>1</v>
      </c>
      <c r="AE3034">
        <v>1</v>
      </c>
      <c r="AF3034">
        <v>0</v>
      </c>
      <c r="AG3034">
        <v>9474.1</v>
      </c>
      <c r="AH3034">
        <v>43</v>
      </c>
      <c r="AI3034">
        <v>42</v>
      </c>
      <c r="AJ3034">
        <v>1</v>
      </c>
      <c r="AK3034">
        <v>1</v>
      </c>
      <c r="AL3034">
        <v>1</v>
      </c>
      <c r="AM3034">
        <v>97.67</v>
      </c>
      <c r="AN3034">
        <v>234.99959999999999</v>
      </c>
      <c r="AO3034">
        <v>220.33</v>
      </c>
      <c r="AP3034" s="13">
        <v>45505</v>
      </c>
      <c r="AQ3034">
        <v>-3</v>
      </c>
      <c r="AR3034">
        <v>1</v>
      </c>
    </row>
    <row r="3035" spans="1:44" x14ac:dyDescent="0.35">
      <c r="A3035" s="12" t="s">
        <v>3927</v>
      </c>
      <c r="B3035" s="12" t="s">
        <v>924</v>
      </c>
      <c r="C3035" s="12" t="s">
        <v>925</v>
      </c>
      <c r="D3035" s="12" t="s">
        <v>103</v>
      </c>
      <c r="E3035" s="12" t="s">
        <v>104</v>
      </c>
      <c r="F3035">
        <v>2</v>
      </c>
      <c r="G3035">
        <v>0</v>
      </c>
      <c r="H3035">
        <v>0</v>
      </c>
      <c r="I3035" s="12" t="s">
        <v>335</v>
      </c>
      <c r="J3035" s="12" t="s">
        <v>336</v>
      </c>
      <c r="K3035" s="12" t="s">
        <v>89</v>
      </c>
      <c r="L3035" s="12" t="s">
        <v>82</v>
      </c>
      <c r="M3035">
        <v>16</v>
      </c>
      <c r="N3035" s="12" t="s">
        <v>145</v>
      </c>
      <c r="O3035" s="12" t="s">
        <v>146</v>
      </c>
      <c r="P3035" s="12" t="s">
        <v>109</v>
      </c>
      <c r="Q3035" s="13">
        <v>45483</v>
      </c>
      <c r="R3035" s="13">
        <v>45499</v>
      </c>
      <c r="S3035">
        <v>2024</v>
      </c>
      <c r="T3035" s="12" t="s">
        <v>3854</v>
      </c>
      <c r="U3035">
        <v>47</v>
      </c>
      <c r="V3035">
        <v>174.00219999999999</v>
      </c>
      <c r="W3035">
        <v>182.6</v>
      </c>
      <c r="X3035">
        <v>0</v>
      </c>
      <c r="Y3035">
        <v>0</v>
      </c>
      <c r="Z3035">
        <v>8178.1</v>
      </c>
      <c r="AA3035">
        <v>8360.7000000000007</v>
      </c>
      <c r="AB3035" s="12" t="s">
        <v>201</v>
      </c>
      <c r="AD3035">
        <v>0</v>
      </c>
      <c r="AE3035">
        <v>0</v>
      </c>
      <c r="AH3035">
        <v>47</v>
      </c>
      <c r="AI3035">
        <v>46</v>
      </c>
      <c r="AJ3035">
        <v>1</v>
      </c>
      <c r="AK3035">
        <v>1</v>
      </c>
      <c r="AL3035">
        <v>1</v>
      </c>
      <c r="AM3035">
        <v>97.87</v>
      </c>
      <c r="AN3035">
        <v>181.7544</v>
      </c>
      <c r="AO3035">
        <v>174</v>
      </c>
      <c r="AP3035" s="13">
        <v>45506</v>
      </c>
      <c r="AQ3035">
        <v>7</v>
      </c>
      <c r="AR3035">
        <v>0</v>
      </c>
    </row>
    <row r="3036" spans="1:44" x14ac:dyDescent="0.35">
      <c r="A3036" s="12" t="s">
        <v>3928</v>
      </c>
      <c r="B3036" s="12" t="s">
        <v>447</v>
      </c>
      <c r="C3036" s="12" t="s">
        <v>448</v>
      </c>
      <c r="D3036" s="12" t="s">
        <v>269</v>
      </c>
      <c r="E3036" s="12" t="s">
        <v>65</v>
      </c>
      <c r="F3036">
        <v>2</v>
      </c>
      <c r="G3036">
        <v>2</v>
      </c>
      <c r="H3036">
        <v>0</v>
      </c>
      <c r="I3036" s="12" t="s">
        <v>94</v>
      </c>
      <c r="J3036" s="12" t="s">
        <v>95</v>
      </c>
      <c r="K3036" s="12" t="s">
        <v>81</v>
      </c>
      <c r="L3036" s="12" t="s">
        <v>96</v>
      </c>
      <c r="M3036">
        <v>4.8099999999999996</v>
      </c>
      <c r="N3036" s="12" t="s">
        <v>135</v>
      </c>
      <c r="O3036" s="12" t="s">
        <v>136</v>
      </c>
      <c r="P3036" s="12" t="s">
        <v>137</v>
      </c>
      <c r="Q3036" s="13">
        <v>45483</v>
      </c>
      <c r="R3036" s="13">
        <v>45508</v>
      </c>
      <c r="S3036">
        <v>2024</v>
      </c>
      <c r="T3036" s="12" t="s">
        <v>3854</v>
      </c>
      <c r="U3036">
        <v>44</v>
      </c>
      <c r="V3036">
        <v>377.76080000000002</v>
      </c>
      <c r="W3036">
        <v>286.72000000000003</v>
      </c>
      <c r="X3036">
        <v>0</v>
      </c>
      <c r="Y3036">
        <v>0</v>
      </c>
      <c r="Z3036">
        <v>16621.48</v>
      </c>
      <c r="AA3036">
        <v>16908.2</v>
      </c>
      <c r="AB3036" s="12" t="s">
        <v>3078</v>
      </c>
      <c r="AC3036">
        <v>377.76080000000002</v>
      </c>
      <c r="AD3036">
        <v>1</v>
      </c>
      <c r="AE3036">
        <v>1</v>
      </c>
      <c r="AF3036">
        <v>0</v>
      </c>
      <c r="AG3036">
        <v>16621.48</v>
      </c>
      <c r="AH3036">
        <v>44</v>
      </c>
      <c r="AI3036">
        <v>44</v>
      </c>
      <c r="AJ3036">
        <v>0</v>
      </c>
      <c r="AK3036">
        <v>1</v>
      </c>
      <c r="AL3036">
        <v>1</v>
      </c>
      <c r="AM3036">
        <v>100</v>
      </c>
      <c r="AN3036">
        <v>384.27719999999999</v>
      </c>
      <c r="AO3036">
        <v>0</v>
      </c>
      <c r="AP3036" s="13">
        <v>45506</v>
      </c>
      <c r="AQ3036">
        <v>-2</v>
      </c>
      <c r="AR3036">
        <v>1</v>
      </c>
    </row>
    <row r="3037" spans="1:44" x14ac:dyDescent="0.35">
      <c r="A3037" s="12" t="s">
        <v>3929</v>
      </c>
      <c r="B3037" s="12" t="s">
        <v>602</v>
      </c>
      <c r="C3037" s="12" t="s">
        <v>603</v>
      </c>
      <c r="D3037" s="12" t="s">
        <v>114</v>
      </c>
      <c r="E3037" s="12" t="s">
        <v>142</v>
      </c>
      <c r="F3037">
        <v>2</v>
      </c>
      <c r="G3037">
        <v>10</v>
      </c>
      <c r="H3037">
        <v>0</v>
      </c>
      <c r="I3037" s="12" t="s">
        <v>263</v>
      </c>
      <c r="J3037" s="12" t="s">
        <v>264</v>
      </c>
      <c r="K3037" s="12" t="s">
        <v>125</v>
      </c>
      <c r="L3037" s="12" t="s">
        <v>82</v>
      </c>
      <c r="M3037">
        <v>10.210000000000001</v>
      </c>
      <c r="N3037" s="12" t="s">
        <v>70</v>
      </c>
      <c r="O3037" s="12" t="s">
        <v>71</v>
      </c>
      <c r="P3037" s="12" t="s">
        <v>72</v>
      </c>
      <c r="Q3037" s="13">
        <v>45483</v>
      </c>
      <c r="R3037" s="13">
        <v>45526</v>
      </c>
      <c r="S3037">
        <v>2024</v>
      </c>
      <c r="T3037" s="12" t="s">
        <v>3854</v>
      </c>
      <c r="U3037">
        <v>75</v>
      </c>
      <c r="V3037">
        <v>220.22200000000001</v>
      </c>
      <c r="W3037">
        <v>141.52000000000001</v>
      </c>
      <c r="X3037">
        <v>0</v>
      </c>
      <c r="Y3037">
        <v>0</v>
      </c>
      <c r="Z3037">
        <v>16516.650000000001</v>
      </c>
      <c r="AA3037">
        <v>16658.169999999998</v>
      </c>
      <c r="AB3037" s="12" t="s">
        <v>2790</v>
      </c>
      <c r="AC3037">
        <v>210.69990000000001</v>
      </c>
      <c r="AD3037">
        <v>1</v>
      </c>
      <c r="AE3037">
        <v>1</v>
      </c>
      <c r="AF3037">
        <v>714.16</v>
      </c>
      <c r="AG3037">
        <v>15802.49</v>
      </c>
      <c r="AH3037">
        <v>75</v>
      </c>
      <c r="AI3037">
        <v>74</v>
      </c>
      <c r="AJ3037">
        <v>1</v>
      </c>
      <c r="AK3037">
        <v>1</v>
      </c>
      <c r="AL3037">
        <v>1</v>
      </c>
      <c r="AM3037">
        <v>98.67</v>
      </c>
      <c r="AN3037">
        <v>225.1104</v>
      </c>
      <c r="AO3037">
        <v>220.22</v>
      </c>
      <c r="AP3037" s="13">
        <v>45523</v>
      </c>
      <c r="AQ3037">
        <v>-3</v>
      </c>
      <c r="AR3037">
        <v>1</v>
      </c>
    </row>
    <row r="3038" spans="1:44" x14ac:dyDescent="0.35">
      <c r="A3038" s="12" t="s">
        <v>3930</v>
      </c>
      <c r="B3038" s="12" t="s">
        <v>837</v>
      </c>
      <c r="C3038" s="12" t="s">
        <v>838</v>
      </c>
      <c r="D3038" s="12" t="s">
        <v>114</v>
      </c>
      <c r="E3038" s="12" t="s">
        <v>104</v>
      </c>
      <c r="F3038">
        <v>2</v>
      </c>
      <c r="G3038">
        <v>0</v>
      </c>
      <c r="H3038">
        <v>0</v>
      </c>
      <c r="I3038" s="12" t="s">
        <v>199</v>
      </c>
      <c r="J3038" s="12" t="s">
        <v>200</v>
      </c>
      <c r="K3038" s="12" t="s">
        <v>68</v>
      </c>
      <c r="L3038" s="12" t="s">
        <v>96</v>
      </c>
      <c r="M3038">
        <v>9.4700000000000006</v>
      </c>
      <c r="N3038" s="12" t="s">
        <v>70</v>
      </c>
      <c r="O3038" s="12" t="s">
        <v>71</v>
      </c>
      <c r="P3038" s="12" t="s">
        <v>72</v>
      </c>
      <c r="Q3038" s="13">
        <v>45484</v>
      </c>
      <c r="R3038" s="13">
        <v>45500</v>
      </c>
      <c r="S3038">
        <v>2024</v>
      </c>
      <c r="T3038" s="12" t="s">
        <v>3854</v>
      </c>
      <c r="U3038">
        <v>41</v>
      </c>
      <c r="V3038">
        <v>68.916300000000007</v>
      </c>
      <c r="W3038">
        <v>59.28</v>
      </c>
      <c r="X3038">
        <v>0</v>
      </c>
      <c r="Y3038">
        <v>0</v>
      </c>
      <c r="Z3038">
        <v>2825.57</v>
      </c>
      <c r="AA3038">
        <v>2884.85</v>
      </c>
      <c r="AB3038" s="12" t="s">
        <v>3432</v>
      </c>
      <c r="AC3038">
        <v>68.916300000000007</v>
      </c>
      <c r="AD3038">
        <v>1</v>
      </c>
      <c r="AE3038">
        <v>1</v>
      </c>
      <c r="AF3038">
        <v>0</v>
      </c>
      <c r="AG3038">
        <v>2825.57</v>
      </c>
      <c r="AH3038">
        <v>41</v>
      </c>
      <c r="AI3038">
        <v>40</v>
      </c>
      <c r="AJ3038">
        <v>1</v>
      </c>
      <c r="AK3038">
        <v>1</v>
      </c>
      <c r="AL3038">
        <v>1</v>
      </c>
      <c r="AM3038">
        <v>97.56</v>
      </c>
      <c r="AN3038">
        <v>72.121200000000002</v>
      </c>
      <c r="AO3038">
        <v>68.92</v>
      </c>
      <c r="AP3038" s="13">
        <v>45500</v>
      </c>
      <c r="AQ3038">
        <v>0</v>
      </c>
      <c r="AR3038">
        <v>1</v>
      </c>
    </row>
    <row r="3039" spans="1:44" x14ac:dyDescent="0.35">
      <c r="A3039" s="12" t="s">
        <v>3931</v>
      </c>
      <c r="B3039" s="12" t="s">
        <v>317</v>
      </c>
      <c r="C3039" s="12" t="s">
        <v>318</v>
      </c>
      <c r="D3039" s="12" t="s">
        <v>64</v>
      </c>
      <c r="E3039" s="12" t="s">
        <v>104</v>
      </c>
      <c r="F3039">
        <v>2</v>
      </c>
      <c r="G3039">
        <v>0</v>
      </c>
      <c r="H3039">
        <v>0</v>
      </c>
      <c r="I3039" s="12" t="s">
        <v>183</v>
      </c>
      <c r="J3039" s="12" t="s">
        <v>184</v>
      </c>
      <c r="K3039" s="12" t="s">
        <v>133</v>
      </c>
      <c r="L3039" s="12" t="s">
        <v>82</v>
      </c>
      <c r="M3039">
        <v>8.6199999999999992</v>
      </c>
      <c r="N3039" s="12" t="s">
        <v>97</v>
      </c>
      <c r="O3039" s="12" t="s">
        <v>98</v>
      </c>
      <c r="P3039" s="12" t="s">
        <v>72</v>
      </c>
      <c r="Q3039" s="13">
        <v>45484</v>
      </c>
      <c r="R3039" s="13">
        <v>45506</v>
      </c>
      <c r="S3039">
        <v>2024</v>
      </c>
      <c r="T3039" s="12" t="s">
        <v>3854</v>
      </c>
      <c r="U3039">
        <v>604</v>
      </c>
      <c r="V3039">
        <v>15.7963</v>
      </c>
      <c r="W3039">
        <v>91.53</v>
      </c>
      <c r="X3039">
        <v>0</v>
      </c>
      <c r="Y3039">
        <v>0</v>
      </c>
      <c r="Z3039">
        <v>9540.9699999999993</v>
      </c>
      <c r="AA3039">
        <v>9632.5</v>
      </c>
      <c r="AB3039" s="12" t="s">
        <v>3035</v>
      </c>
      <c r="AC3039">
        <v>15.7963</v>
      </c>
      <c r="AD3039">
        <v>1</v>
      </c>
      <c r="AE3039">
        <v>1</v>
      </c>
      <c r="AF3039">
        <v>0</v>
      </c>
      <c r="AG3039">
        <v>9540.9699999999993</v>
      </c>
      <c r="AH3039">
        <v>604</v>
      </c>
      <c r="AI3039">
        <v>596</v>
      </c>
      <c r="AJ3039">
        <v>8</v>
      </c>
      <c r="AK3039">
        <v>1</v>
      </c>
      <c r="AL3039">
        <v>1</v>
      </c>
      <c r="AM3039">
        <v>98.68</v>
      </c>
      <c r="AN3039">
        <v>16.161899999999999</v>
      </c>
      <c r="AO3039">
        <v>126.37</v>
      </c>
      <c r="AP3039" s="13">
        <v>45505</v>
      </c>
      <c r="AQ3039">
        <v>-1</v>
      </c>
      <c r="AR3039">
        <v>1</v>
      </c>
    </row>
    <row r="3040" spans="1:44" x14ac:dyDescent="0.35">
      <c r="A3040" s="12" t="s">
        <v>3932</v>
      </c>
      <c r="B3040" s="12" t="s">
        <v>437</v>
      </c>
      <c r="C3040" s="12" t="s">
        <v>438</v>
      </c>
      <c r="D3040" s="12" t="s">
        <v>269</v>
      </c>
      <c r="E3040" s="12" t="s">
        <v>65</v>
      </c>
      <c r="F3040">
        <v>2</v>
      </c>
      <c r="G3040">
        <v>4</v>
      </c>
      <c r="H3040">
        <v>0</v>
      </c>
      <c r="I3040" s="12" t="s">
        <v>115</v>
      </c>
      <c r="J3040" s="12" t="s">
        <v>116</v>
      </c>
      <c r="K3040" s="12" t="s">
        <v>117</v>
      </c>
      <c r="L3040" s="12" t="s">
        <v>82</v>
      </c>
      <c r="M3040">
        <v>17.170000000000002</v>
      </c>
      <c r="N3040" s="12" t="s">
        <v>135</v>
      </c>
      <c r="O3040" s="12" t="s">
        <v>136</v>
      </c>
      <c r="P3040" s="12" t="s">
        <v>137</v>
      </c>
      <c r="Q3040" s="13">
        <v>45484</v>
      </c>
      <c r="R3040" s="13">
        <v>45505</v>
      </c>
      <c r="S3040">
        <v>2024</v>
      </c>
      <c r="T3040" s="12" t="s">
        <v>3854</v>
      </c>
      <c r="U3040">
        <v>12</v>
      </c>
      <c r="V3040">
        <v>440.05549999999999</v>
      </c>
      <c r="W3040">
        <v>87.6</v>
      </c>
      <c r="X3040">
        <v>0</v>
      </c>
      <c r="Y3040">
        <v>0</v>
      </c>
      <c r="Z3040">
        <v>5280.67</v>
      </c>
      <c r="AA3040">
        <v>5368.27</v>
      </c>
      <c r="AB3040" s="12" t="s">
        <v>2670</v>
      </c>
      <c r="AC3040">
        <v>440.05549999999999</v>
      </c>
      <c r="AD3040">
        <v>1</v>
      </c>
      <c r="AE3040">
        <v>1</v>
      </c>
      <c r="AF3040">
        <v>0</v>
      </c>
      <c r="AG3040">
        <v>5280.67</v>
      </c>
      <c r="AH3040">
        <v>12</v>
      </c>
      <c r="AI3040">
        <v>12</v>
      </c>
      <c r="AJ3040">
        <v>0</v>
      </c>
      <c r="AK3040">
        <v>1</v>
      </c>
      <c r="AL3040">
        <v>1</v>
      </c>
      <c r="AM3040">
        <v>100</v>
      </c>
      <c r="AN3040">
        <v>447.35550000000001</v>
      </c>
      <c r="AO3040">
        <v>0</v>
      </c>
      <c r="AP3040" s="13">
        <v>45505</v>
      </c>
      <c r="AQ3040">
        <v>0</v>
      </c>
      <c r="AR3040">
        <v>1</v>
      </c>
    </row>
    <row r="3041" spans="1:44" x14ac:dyDescent="0.35">
      <c r="A3041" s="12" t="s">
        <v>3933</v>
      </c>
      <c r="B3041" s="12" t="s">
        <v>1054</v>
      </c>
      <c r="C3041" s="12" t="s">
        <v>1055</v>
      </c>
      <c r="D3041" s="12" t="s">
        <v>122</v>
      </c>
      <c r="E3041" s="12" t="s">
        <v>65</v>
      </c>
      <c r="F3041">
        <v>1</v>
      </c>
      <c r="G3041">
        <v>2</v>
      </c>
      <c r="H3041">
        <v>1</v>
      </c>
      <c r="I3041" s="12" t="s">
        <v>176</v>
      </c>
      <c r="J3041" s="12" t="s">
        <v>177</v>
      </c>
      <c r="K3041" s="12" t="s">
        <v>125</v>
      </c>
      <c r="L3041" s="12" t="s">
        <v>134</v>
      </c>
      <c r="M3041">
        <v>1.75</v>
      </c>
      <c r="N3041" s="12" t="s">
        <v>97</v>
      </c>
      <c r="O3041" s="12" t="s">
        <v>98</v>
      </c>
      <c r="P3041" s="12" t="s">
        <v>72</v>
      </c>
      <c r="Q3041" s="13">
        <v>45484</v>
      </c>
      <c r="R3041" s="13">
        <v>45505</v>
      </c>
      <c r="S3041">
        <v>2024</v>
      </c>
      <c r="T3041" s="12" t="s">
        <v>3854</v>
      </c>
      <c r="U3041">
        <v>235</v>
      </c>
      <c r="V3041">
        <v>43.174799999999998</v>
      </c>
      <c r="W3041">
        <v>184.14</v>
      </c>
      <c r="X3041">
        <v>0</v>
      </c>
      <c r="Y3041">
        <v>0</v>
      </c>
      <c r="Z3041">
        <v>10146.08</v>
      </c>
      <c r="AA3041">
        <v>10330.219999999999</v>
      </c>
      <c r="AB3041" s="12" t="s">
        <v>3227</v>
      </c>
      <c r="AC3041">
        <v>45.850499999999997</v>
      </c>
      <c r="AD3041">
        <v>1</v>
      </c>
      <c r="AE3041">
        <v>1</v>
      </c>
      <c r="AF3041">
        <v>-628.79</v>
      </c>
      <c r="AG3041">
        <v>10774.87</v>
      </c>
      <c r="AH3041">
        <v>235</v>
      </c>
      <c r="AI3041">
        <v>234</v>
      </c>
      <c r="AJ3041">
        <v>1</v>
      </c>
      <c r="AK3041">
        <v>1</v>
      </c>
      <c r="AL3041">
        <v>1</v>
      </c>
      <c r="AM3041">
        <v>99.57</v>
      </c>
      <c r="AN3041">
        <v>44.1462</v>
      </c>
      <c r="AO3041">
        <v>43.17</v>
      </c>
      <c r="AP3041" s="13">
        <v>45513</v>
      </c>
      <c r="AQ3041">
        <v>8</v>
      </c>
      <c r="AR3041">
        <v>0</v>
      </c>
    </row>
    <row r="3042" spans="1:44" x14ac:dyDescent="0.35">
      <c r="A3042" s="12" t="s">
        <v>3934</v>
      </c>
      <c r="B3042" s="12" t="s">
        <v>503</v>
      </c>
      <c r="C3042" s="12" t="s">
        <v>504</v>
      </c>
      <c r="D3042" s="12" t="s">
        <v>103</v>
      </c>
      <c r="E3042" s="12" t="s">
        <v>104</v>
      </c>
      <c r="F3042">
        <v>3</v>
      </c>
      <c r="G3042">
        <v>1</v>
      </c>
      <c r="H3042">
        <v>0</v>
      </c>
      <c r="I3042" s="12" t="s">
        <v>209</v>
      </c>
      <c r="J3042" s="12" t="s">
        <v>210</v>
      </c>
      <c r="K3042" s="12" t="s">
        <v>133</v>
      </c>
      <c r="L3042" s="12" t="s">
        <v>96</v>
      </c>
      <c r="M3042">
        <v>7.82</v>
      </c>
      <c r="N3042" s="12" t="s">
        <v>107</v>
      </c>
      <c r="O3042" s="12" t="s">
        <v>108</v>
      </c>
      <c r="P3042" s="12" t="s">
        <v>109</v>
      </c>
      <c r="Q3042" s="13">
        <v>45484</v>
      </c>
      <c r="R3042" s="13">
        <v>45499</v>
      </c>
      <c r="S3042">
        <v>2024</v>
      </c>
      <c r="T3042" s="12" t="s">
        <v>3854</v>
      </c>
      <c r="U3042">
        <v>38</v>
      </c>
      <c r="V3042">
        <v>156.6559</v>
      </c>
      <c r="W3042">
        <v>61.88</v>
      </c>
      <c r="X3042">
        <v>0</v>
      </c>
      <c r="Y3042">
        <v>0</v>
      </c>
      <c r="Z3042">
        <v>5952.92</v>
      </c>
      <c r="AA3042">
        <v>6014.8</v>
      </c>
      <c r="AB3042" s="12" t="s">
        <v>3083</v>
      </c>
      <c r="AC3042">
        <v>156.6559</v>
      </c>
      <c r="AD3042">
        <v>1</v>
      </c>
      <c r="AE3042">
        <v>1</v>
      </c>
      <c r="AF3042">
        <v>0</v>
      </c>
      <c r="AG3042">
        <v>5952.92</v>
      </c>
      <c r="AH3042">
        <v>38</v>
      </c>
      <c r="AI3042">
        <v>38</v>
      </c>
      <c r="AJ3042">
        <v>0</v>
      </c>
      <c r="AK3042">
        <v>1</v>
      </c>
      <c r="AL3042">
        <v>1</v>
      </c>
      <c r="AM3042">
        <v>100</v>
      </c>
      <c r="AN3042">
        <v>158.2843</v>
      </c>
      <c r="AO3042">
        <v>0</v>
      </c>
      <c r="AP3042" s="13">
        <v>45496</v>
      </c>
      <c r="AQ3042">
        <v>-3</v>
      </c>
      <c r="AR3042">
        <v>1</v>
      </c>
    </row>
    <row r="3043" spans="1:44" x14ac:dyDescent="0.35">
      <c r="A3043" s="12" t="s">
        <v>3935</v>
      </c>
      <c r="B3043" s="12" t="s">
        <v>609</v>
      </c>
      <c r="C3043" s="12" t="s">
        <v>610</v>
      </c>
      <c r="D3043" s="12" t="s">
        <v>64</v>
      </c>
      <c r="E3043" s="12" t="s">
        <v>104</v>
      </c>
      <c r="F3043">
        <v>1</v>
      </c>
      <c r="G3043">
        <v>0</v>
      </c>
      <c r="H3043">
        <v>1</v>
      </c>
      <c r="I3043" s="12" t="s">
        <v>227</v>
      </c>
      <c r="J3043" s="12" t="s">
        <v>228</v>
      </c>
      <c r="K3043" s="12" t="s">
        <v>89</v>
      </c>
      <c r="L3043" s="12" t="s">
        <v>96</v>
      </c>
      <c r="M3043">
        <v>9.15</v>
      </c>
      <c r="N3043" s="12" t="s">
        <v>97</v>
      </c>
      <c r="O3043" s="12" t="s">
        <v>98</v>
      </c>
      <c r="P3043" s="12" t="s">
        <v>72</v>
      </c>
      <c r="Q3043" s="13">
        <v>45484</v>
      </c>
      <c r="R3043" s="13">
        <v>45506</v>
      </c>
      <c r="S3043">
        <v>2024</v>
      </c>
      <c r="T3043" s="12" t="s">
        <v>3854</v>
      </c>
      <c r="U3043">
        <v>647</v>
      </c>
      <c r="V3043">
        <v>20.698799999999999</v>
      </c>
      <c r="W3043">
        <v>212.48</v>
      </c>
      <c r="X3043">
        <v>0</v>
      </c>
      <c r="Y3043">
        <v>0</v>
      </c>
      <c r="Z3043">
        <v>13392.12</v>
      </c>
      <c r="AA3043">
        <v>13604.6</v>
      </c>
      <c r="AB3043" s="12" t="s">
        <v>3349</v>
      </c>
      <c r="AC3043">
        <v>20.698799999999999</v>
      </c>
      <c r="AD3043">
        <v>1</v>
      </c>
      <c r="AE3043">
        <v>1</v>
      </c>
      <c r="AF3043">
        <v>0</v>
      </c>
      <c r="AG3043">
        <v>13392.12</v>
      </c>
      <c r="AH3043">
        <v>647</v>
      </c>
      <c r="AI3043">
        <v>644</v>
      </c>
      <c r="AJ3043">
        <v>3</v>
      </c>
      <c r="AK3043">
        <v>1</v>
      </c>
      <c r="AL3043">
        <v>1</v>
      </c>
      <c r="AM3043">
        <v>99.54</v>
      </c>
      <c r="AN3043">
        <v>21.1252</v>
      </c>
      <c r="AO3043">
        <v>62.1</v>
      </c>
      <c r="AP3043" s="13">
        <v>45502</v>
      </c>
      <c r="AQ3043">
        <v>-4</v>
      </c>
      <c r="AR3043">
        <v>1</v>
      </c>
    </row>
    <row r="3044" spans="1:44" x14ac:dyDescent="0.35">
      <c r="A3044" s="12" t="s">
        <v>3936</v>
      </c>
      <c r="B3044" s="12" t="s">
        <v>284</v>
      </c>
      <c r="C3044" s="12" t="s">
        <v>285</v>
      </c>
      <c r="D3044" s="12" t="s">
        <v>269</v>
      </c>
      <c r="E3044" s="12" t="s">
        <v>104</v>
      </c>
      <c r="F3044">
        <v>3</v>
      </c>
      <c r="G3044">
        <v>1</v>
      </c>
      <c r="H3044">
        <v>0</v>
      </c>
      <c r="I3044" s="12" t="s">
        <v>199</v>
      </c>
      <c r="J3044" s="12" t="s">
        <v>200</v>
      </c>
      <c r="K3044" s="12" t="s">
        <v>68</v>
      </c>
      <c r="L3044" s="12" t="s">
        <v>96</v>
      </c>
      <c r="M3044">
        <v>9.4700000000000006</v>
      </c>
      <c r="N3044" s="12" t="s">
        <v>135</v>
      </c>
      <c r="O3044" s="12" t="s">
        <v>136</v>
      </c>
      <c r="P3044" s="12" t="s">
        <v>137</v>
      </c>
      <c r="Q3044" s="13">
        <v>45484</v>
      </c>
      <c r="R3044" s="13">
        <v>45498</v>
      </c>
      <c r="S3044">
        <v>2024</v>
      </c>
      <c r="T3044" s="12" t="s">
        <v>3854</v>
      </c>
      <c r="U3044">
        <v>29</v>
      </c>
      <c r="V3044">
        <v>420.3716</v>
      </c>
      <c r="W3044">
        <v>176.81</v>
      </c>
      <c r="X3044">
        <v>0</v>
      </c>
      <c r="Y3044">
        <v>0</v>
      </c>
      <c r="Z3044">
        <v>12190.78</v>
      </c>
      <c r="AA3044">
        <v>12367.59</v>
      </c>
      <c r="AB3044" s="12" t="s">
        <v>201</v>
      </c>
      <c r="AD3044">
        <v>0</v>
      </c>
      <c r="AE3044">
        <v>0</v>
      </c>
      <c r="AH3044">
        <v>29</v>
      </c>
      <c r="AI3044">
        <v>29</v>
      </c>
      <c r="AJ3044">
        <v>0</v>
      </c>
      <c r="AK3044">
        <v>1</v>
      </c>
      <c r="AL3044">
        <v>1</v>
      </c>
      <c r="AM3044">
        <v>100</v>
      </c>
      <c r="AN3044">
        <v>426.46850000000001</v>
      </c>
      <c r="AO3044">
        <v>0</v>
      </c>
      <c r="AP3044" s="13">
        <v>45496</v>
      </c>
      <c r="AQ3044">
        <v>-2</v>
      </c>
      <c r="AR3044">
        <v>1</v>
      </c>
    </row>
    <row r="3045" spans="1:44" x14ac:dyDescent="0.35">
      <c r="A3045" s="12" t="s">
        <v>3937</v>
      </c>
      <c r="B3045" s="12" t="s">
        <v>308</v>
      </c>
      <c r="C3045" s="12" t="s">
        <v>309</v>
      </c>
      <c r="D3045" s="12" t="s">
        <v>122</v>
      </c>
      <c r="E3045" s="12" t="s">
        <v>142</v>
      </c>
      <c r="F3045">
        <v>1</v>
      </c>
      <c r="G3045">
        <v>6</v>
      </c>
      <c r="H3045">
        <v>1</v>
      </c>
      <c r="I3045" s="12" t="s">
        <v>310</v>
      </c>
      <c r="J3045" s="12" t="s">
        <v>311</v>
      </c>
      <c r="K3045" s="12" t="s">
        <v>81</v>
      </c>
      <c r="L3045" s="12" t="s">
        <v>69</v>
      </c>
      <c r="M3045">
        <v>28.3</v>
      </c>
      <c r="N3045" s="12" t="s">
        <v>70</v>
      </c>
      <c r="O3045" s="12" t="s">
        <v>71</v>
      </c>
      <c r="P3045" s="12" t="s">
        <v>72</v>
      </c>
      <c r="Q3045" s="13">
        <v>45484</v>
      </c>
      <c r="R3045" s="13">
        <v>45521</v>
      </c>
      <c r="S3045">
        <v>2024</v>
      </c>
      <c r="T3045" s="12" t="s">
        <v>3854</v>
      </c>
      <c r="U3045">
        <v>474</v>
      </c>
      <c r="V3045">
        <v>58.086399999999998</v>
      </c>
      <c r="W3045">
        <v>590.76</v>
      </c>
      <c r="X3045">
        <v>0</v>
      </c>
      <c r="Y3045">
        <v>0</v>
      </c>
      <c r="Z3045">
        <v>27532.95</v>
      </c>
      <c r="AA3045">
        <v>28123.71</v>
      </c>
      <c r="AB3045" s="12" t="s">
        <v>2726</v>
      </c>
      <c r="AC3045">
        <v>58.086399999999998</v>
      </c>
      <c r="AD3045">
        <v>1</v>
      </c>
      <c r="AE3045">
        <v>1</v>
      </c>
      <c r="AF3045">
        <v>0</v>
      </c>
      <c r="AG3045">
        <v>27532.95</v>
      </c>
      <c r="AH3045">
        <v>474</v>
      </c>
      <c r="AI3045">
        <v>473</v>
      </c>
      <c r="AJ3045">
        <v>1</v>
      </c>
      <c r="AK3045">
        <v>1</v>
      </c>
      <c r="AL3045">
        <v>1</v>
      </c>
      <c r="AM3045">
        <v>99.79</v>
      </c>
      <c r="AN3045">
        <v>59.458199999999998</v>
      </c>
      <c r="AO3045">
        <v>58.09</v>
      </c>
      <c r="AP3045" s="13">
        <v>45520</v>
      </c>
      <c r="AQ3045">
        <v>-1</v>
      </c>
      <c r="AR3045">
        <v>1</v>
      </c>
    </row>
    <row r="3046" spans="1:44" x14ac:dyDescent="0.35">
      <c r="A3046" s="12" t="s">
        <v>3938</v>
      </c>
      <c r="B3046" s="12" t="s">
        <v>167</v>
      </c>
      <c r="C3046" s="12" t="s">
        <v>168</v>
      </c>
      <c r="D3046" s="12" t="s">
        <v>64</v>
      </c>
      <c r="E3046" s="12" t="s">
        <v>104</v>
      </c>
      <c r="F3046">
        <v>3</v>
      </c>
      <c r="G3046">
        <v>1</v>
      </c>
      <c r="H3046">
        <v>0</v>
      </c>
      <c r="I3046" s="12" t="s">
        <v>169</v>
      </c>
      <c r="J3046" s="12" t="s">
        <v>170</v>
      </c>
      <c r="K3046" s="12" t="s">
        <v>89</v>
      </c>
      <c r="L3046" s="12" t="s">
        <v>134</v>
      </c>
      <c r="M3046">
        <v>1.37</v>
      </c>
      <c r="N3046" s="12" t="s">
        <v>97</v>
      </c>
      <c r="O3046" s="12" t="s">
        <v>98</v>
      </c>
      <c r="P3046" s="12" t="s">
        <v>72</v>
      </c>
      <c r="Q3046" s="13">
        <v>45484</v>
      </c>
      <c r="R3046" s="13">
        <v>45498</v>
      </c>
      <c r="S3046">
        <v>2024</v>
      </c>
      <c r="T3046" s="12" t="s">
        <v>3854</v>
      </c>
      <c r="U3046">
        <v>229</v>
      </c>
      <c r="V3046">
        <v>26.559100000000001</v>
      </c>
      <c r="W3046">
        <v>139.26</v>
      </c>
      <c r="X3046">
        <v>0</v>
      </c>
      <c r="Y3046">
        <v>0</v>
      </c>
      <c r="Z3046">
        <v>6082.03</v>
      </c>
      <c r="AA3046">
        <v>6221.29</v>
      </c>
      <c r="AB3046" s="12" t="s">
        <v>2885</v>
      </c>
      <c r="AC3046">
        <v>26.559100000000001</v>
      </c>
      <c r="AD3046">
        <v>1</v>
      </c>
      <c r="AE3046">
        <v>1</v>
      </c>
      <c r="AF3046">
        <v>0</v>
      </c>
      <c r="AG3046">
        <v>6082.03</v>
      </c>
      <c r="AH3046">
        <v>229</v>
      </c>
      <c r="AI3046">
        <v>227</v>
      </c>
      <c r="AJ3046">
        <v>2</v>
      </c>
      <c r="AK3046">
        <v>1</v>
      </c>
      <c r="AL3046">
        <v>1</v>
      </c>
      <c r="AM3046">
        <v>99.13</v>
      </c>
      <c r="AN3046">
        <v>27.406600000000001</v>
      </c>
      <c r="AO3046">
        <v>53.12</v>
      </c>
      <c r="AP3046" s="13">
        <v>45497</v>
      </c>
      <c r="AQ3046">
        <v>-1</v>
      </c>
      <c r="AR3046">
        <v>1</v>
      </c>
    </row>
    <row r="3047" spans="1:44" x14ac:dyDescent="0.35">
      <c r="A3047" s="12" t="s">
        <v>3939</v>
      </c>
      <c r="B3047" s="12" t="s">
        <v>193</v>
      </c>
      <c r="C3047" s="12" t="s">
        <v>194</v>
      </c>
      <c r="D3047" s="12" t="s">
        <v>114</v>
      </c>
      <c r="E3047" s="12" t="s">
        <v>65</v>
      </c>
      <c r="F3047">
        <v>3</v>
      </c>
      <c r="G3047">
        <v>4</v>
      </c>
      <c r="H3047">
        <v>0</v>
      </c>
      <c r="I3047" s="12" t="s">
        <v>199</v>
      </c>
      <c r="J3047" s="12" t="s">
        <v>200</v>
      </c>
      <c r="K3047" s="12" t="s">
        <v>68</v>
      </c>
      <c r="L3047" s="12" t="s">
        <v>96</v>
      </c>
      <c r="M3047">
        <v>9.4700000000000006</v>
      </c>
      <c r="N3047" s="12" t="s">
        <v>97</v>
      </c>
      <c r="O3047" s="12" t="s">
        <v>98</v>
      </c>
      <c r="P3047" s="12" t="s">
        <v>72</v>
      </c>
      <c r="Q3047" s="13">
        <v>45484</v>
      </c>
      <c r="R3047" s="13">
        <v>45522</v>
      </c>
      <c r="S3047">
        <v>2024</v>
      </c>
      <c r="T3047" s="12" t="s">
        <v>3854</v>
      </c>
      <c r="U3047">
        <v>149</v>
      </c>
      <c r="V3047">
        <v>109.2039</v>
      </c>
      <c r="W3047">
        <v>234.01</v>
      </c>
      <c r="X3047">
        <v>0</v>
      </c>
      <c r="Y3047">
        <v>0</v>
      </c>
      <c r="Z3047">
        <v>16271.38</v>
      </c>
      <c r="AA3047">
        <v>16505.39</v>
      </c>
      <c r="AB3047" s="12" t="s">
        <v>201</v>
      </c>
      <c r="AD3047">
        <v>0</v>
      </c>
      <c r="AE3047">
        <v>0</v>
      </c>
      <c r="AH3047">
        <v>149</v>
      </c>
      <c r="AI3047">
        <v>146</v>
      </c>
      <c r="AJ3047">
        <v>3</v>
      </c>
      <c r="AK3047">
        <v>1</v>
      </c>
      <c r="AL3047">
        <v>1</v>
      </c>
      <c r="AM3047">
        <v>97.99</v>
      </c>
      <c r="AN3047">
        <v>113.0506</v>
      </c>
      <c r="AO3047">
        <v>327.61</v>
      </c>
      <c r="AP3047" s="13">
        <v>45519</v>
      </c>
      <c r="AQ3047">
        <v>-3</v>
      </c>
      <c r="AR3047">
        <v>1</v>
      </c>
    </row>
    <row r="3048" spans="1:44" x14ac:dyDescent="0.35">
      <c r="A3048" s="12" t="s">
        <v>3940</v>
      </c>
      <c r="B3048" s="12" t="s">
        <v>670</v>
      </c>
      <c r="C3048" s="12" t="s">
        <v>671</v>
      </c>
      <c r="D3048" s="12" t="s">
        <v>175</v>
      </c>
      <c r="E3048" s="12" t="s">
        <v>142</v>
      </c>
      <c r="F3048">
        <v>2</v>
      </c>
      <c r="G3048">
        <v>9</v>
      </c>
      <c r="H3048">
        <v>0</v>
      </c>
      <c r="I3048" s="12" t="s">
        <v>105</v>
      </c>
      <c r="J3048" s="12" t="s">
        <v>106</v>
      </c>
      <c r="K3048" s="12" t="s">
        <v>81</v>
      </c>
      <c r="L3048" s="12" t="s">
        <v>96</v>
      </c>
      <c r="M3048">
        <v>5.01</v>
      </c>
      <c r="N3048" s="12" t="s">
        <v>145</v>
      </c>
      <c r="O3048" s="12" t="s">
        <v>146</v>
      </c>
      <c r="P3048" s="12" t="s">
        <v>109</v>
      </c>
      <c r="Q3048" s="13">
        <v>45484</v>
      </c>
      <c r="R3048" s="13">
        <v>45535</v>
      </c>
      <c r="S3048">
        <v>2024</v>
      </c>
      <c r="T3048" s="12" t="s">
        <v>3854</v>
      </c>
      <c r="U3048">
        <v>135</v>
      </c>
      <c r="V3048">
        <v>147.4665</v>
      </c>
      <c r="W3048">
        <v>306.11</v>
      </c>
      <c r="X3048">
        <v>0</v>
      </c>
      <c r="Y3048">
        <v>0</v>
      </c>
      <c r="Z3048">
        <v>19907.98</v>
      </c>
      <c r="AA3048">
        <v>20214.09</v>
      </c>
      <c r="AB3048" s="12" t="s">
        <v>3277</v>
      </c>
      <c r="AC3048">
        <v>147.4665</v>
      </c>
      <c r="AD3048">
        <v>1</v>
      </c>
      <c r="AE3048">
        <v>1</v>
      </c>
      <c r="AF3048">
        <v>0</v>
      </c>
      <c r="AG3048">
        <v>19907.98</v>
      </c>
      <c r="AH3048">
        <v>135</v>
      </c>
      <c r="AI3048">
        <v>134</v>
      </c>
      <c r="AJ3048">
        <v>1</v>
      </c>
      <c r="AK3048">
        <v>1</v>
      </c>
      <c r="AL3048">
        <v>1</v>
      </c>
      <c r="AM3048">
        <v>99.26</v>
      </c>
      <c r="AN3048">
        <v>150.85140000000001</v>
      </c>
      <c r="AO3048">
        <v>147.47</v>
      </c>
      <c r="AP3048" s="13">
        <v>45539</v>
      </c>
      <c r="AQ3048">
        <v>4</v>
      </c>
      <c r="AR3048">
        <v>0</v>
      </c>
    </row>
    <row r="3049" spans="1:44" x14ac:dyDescent="0.35">
      <c r="A3049" s="12" t="s">
        <v>3941</v>
      </c>
      <c r="B3049" s="12" t="s">
        <v>447</v>
      </c>
      <c r="C3049" s="12" t="s">
        <v>448</v>
      </c>
      <c r="D3049" s="12" t="s">
        <v>269</v>
      </c>
      <c r="E3049" s="12" t="s">
        <v>65</v>
      </c>
      <c r="F3049">
        <v>2</v>
      </c>
      <c r="G3049">
        <v>2</v>
      </c>
      <c r="H3049">
        <v>0</v>
      </c>
      <c r="I3049" s="12" t="s">
        <v>94</v>
      </c>
      <c r="J3049" s="12" t="s">
        <v>95</v>
      </c>
      <c r="K3049" s="12" t="s">
        <v>81</v>
      </c>
      <c r="L3049" s="12" t="s">
        <v>96</v>
      </c>
      <c r="M3049">
        <v>4.8099999999999996</v>
      </c>
      <c r="N3049" s="12" t="s">
        <v>135</v>
      </c>
      <c r="O3049" s="12" t="s">
        <v>136</v>
      </c>
      <c r="P3049" s="12" t="s">
        <v>137</v>
      </c>
      <c r="Q3049" s="13">
        <v>45484</v>
      </c>
      <c r="R3049" s="13">
        <v>45519</v>
      </c>
      <c r="S3049">
        <v>2024</v>
      </c>
      <c r="T3049" s="12" t="s">
        <v>3854</v>
      </c>
      <c r="U3049">
        <v>119</v>
      </c>
      <c r="V3049">
        <v>377.76080000000002</v>
      </c>
      <c r="W3049">
        <v>1155.6500000000001</v>
      </c>
      <c r="X3049">
        <v>0</v>
      </c>
      <c r="Y3049">
        <v>0</v>
      </c>
      <c r="Z3049">
        <v>44953.54</v>
      </c>
      <c r="AA3049">
        <v>46109.19</v>
      </c>
      <c r="AB3049" s="12" t="s">
        <v>3078</v>
      </c>
      <c r="AC3049">
        <v>377.76080000000002</v>
      </c>
      <c r="AD3049">
        <v>1</v>
      </c>
      <c r="AE3049">
        <v>1</v>
      </c>
      <c r="AF3049">
        <v>0</v>
      </c>
      <c r="AG3049">
        <v>44953.54</v>
      </c>
      <c r="AH3049">
        <v>119</v>
      </c>
      <c r="AI3049">
        <v>118</v>
      </c>
      <c r="AJ3049">
        <v>1</v>
      </c>
      <c r="AK3049">
        <v>1</v>
      </c>
      <c r="AL3049">
        <v>1</v>
      </c>
      <c r="AM3049">
        <v>99.16</v>
      </c>
      <c r="AN3049">
        <v>390.75580000000002</v>
      </c>
      <c r="AO3049">
        <v>377.76</v>
      </c>
      <c r="AP3049" s="13">
        <v>45519</v>
      </c>
      <c r="AQ3049">
        <v>0</v>
      </c>
      <c r="AR3049">
        <v>1</v>
      </c>
    </row>
    <row r="3050" spans="1:44" x14ac:dyDescent="0.35">
      <c r="A3050" s="12" t="s">
        <v>3942</v>
      </c>
      <c r="B3050" s="12" t="s">
        <v>498</v>
      </c>
      <c r="C3050" s="12" t="s">
        <v>499</v>
      </c>
      <c r="D3050" s="12" t="s">
        <v>175</v>
      </c>
      <c r="E3050" s="12" t="s">
        <v>104</v>
      </c>
      <c r="F3050">
        <v>3</v>
      </c>
      <c r="G3050">
        <v>1</v>
      </c>
      <c r="H3050">
        <v>0</v>
      </c>
      <c r="I3050" s="12" t="s">
        <v>233</v>
      </c>
      <c r="J3050" s="12" t="s">
        <v>234</v>
      </c>
      <c r="K3050" s="12" t="s">
        <v>125</v>
      </c>
      <c r="L3050" s="12" t="s">
        <v>96</v>
      </c>
      <c r="M3050">
        <v>3.73</v>
      </c>
      <c r="N3050" s="12" t="s">
        <v>145</v>
      </c>
      <c r="O3050" s="12" t="s">
        <v>146</v>
      </c>
      <c r="P3050" s="12" t="s">
        <v>109</v>
      </c>
      <c r="Q3050" s="13">
        <v>45484</v>
      </c>
      <c r="R3050" s="13">
        <v>45509</v>
      </c>
      <c r="S3050">
        <v>2024</v>
      </c>
      <c r="T3050" s="12" t="s">
        <v>3854</v>
      </c>
      <c r="U3050">
        <v>115</v>
      </c>
      <c r="V3050">
        <v>268.74209999999999</v>
      </c>
      <c r="W3050">
        <v>198.35</v>
      </c>
      <c r="X3050">
        <v>0</v>
      </c>
      <c r="Y3050">
        <v>0</v>
      </c>
      <c r="Z3050">
        <v>30905.34</v>
      </c>
      <c r="AA3050">
        <v>31103.69</v>
      </c>
      <c r="AB3050" s="12" t="s">
        <v>3032</v>
      </c>
      <c r="AC3050">
        <v>268.74209999999999</v>
      </c>
      <c r="AD3050">
        <v>1</v>
      </c>
      <c r="AE3050">
        <v>1</v>
      </c>
      <c r="AF3050">
        <v>0</v>
      </c>
      <c r="AG3050">
        <v>30905.34</v>
      </c>
      <c r="AH3050">
        <v>115</v>
      </c>
      <c r="AI3050">
        <v>114</v>
      </c>
      <c r="AJ3050">
        <v>1</v>
      </c>
      <c r="AK3050">
        <v>1</v>
      </c>
      <c r="AL3050">
        <v>1</v>
      </c>
      <c r="AM3050">
        <v>99.13</v>
      </c>
      <c r="AN3050">
        <v>272.83940000000001</v>
      </c>
      <c r="AO3050">
        <v>268.74</v>
      </c>
      <c r="AP3050" s="13">
        <v>45507</v>
      </c>
      <c r="AQ3050">
        <v>-2</v>
      </c>
      <c r="AR3050">
        <v>1</v>
      </c>
    </row>
    <row r="3051" spans="1:44" x14ac:dyDescent="0.35">
      <c r="A3051" s="12" t="s">
        <v>3943</v>
      </c>
      <c r="B3051" s="12" t="s">
        <v>674</v>
      </c>
      <c r="C3051" s="12" t="s">
        <v>675</v>
      </c>
      <c r="D3051" s="12" t="s">
        <v>269</v>
      </c>
      <c r="E3051" s="12" t="s">
        <v>142</v>
      </c>
      <c r="F3051">
        <v>1</v>
      </c>
      <c r="G3051">
        <v>7</v>
      </c>
      <c r="H3051">
        <v>1</v>
      </c>
      <c r="I3051" s="12" t="s">
        <v>676</v>
      </c>
      <c r="J3051" s="12" t="s">
        <v>677</v>
      </c>
      <c r="K3051" s="12" t="s">
        <v>68</v>
      </c>
      <c r="L3051" s="12" t="s">
        <v>96</v>
      </c>
      <c r="M3051">
        <v>3.57</v>
      </c>
      <c r="N3051" s="12" t="s">
        <v>159</v>
      </c>
      <c r="O3051" s="12" t="s">
        <v>160</v>
      </c>
      <c r="P3051" s="12" t="s">
        <v>137</v>
      </c>
      <c r="Q3051" s="13">
        <v>45485</v>
      </c>
      <c r="R3051" s="13">
        <v>45525</v>
      </c>
      <c r="S3051">
        <v>2024</v>
      </c>
      <c r="T3051" s="12" t="s">
        <v>3854</v>
      </c>
      <c r="U3051">
        <v>51</v>
      </c>
      <c r="V3051">
        <v>366.24340000000001</v>
      </c>
      <c r="W3051">
        <v>279.56</v>
      </c>
      <c r="X3051">
        <v>0</v>
      </c>
      <c r="Y3051">
        <v>0</v>
      </c>
      <c r="Z3051">
        <v>18678.41</v>
      </c>
      <c r="AA3051">
        <v>18957.97</v>
      </c>
      <c r="AB3051" s="12" t="s">
        <v>201</v>
      </c>
      <c r="AD3051">
        <v>0</v>
      </c>
      <c r="AE3051">
        <v>0</v>
      </c>
      <c r="AH3051">
        <v>51</v>
      </c>
      <c r="AI3051">
        <v>51</v>
      </c>
      <c r="AJ3051">
        <v>0</v>
      </c>
      <c r="AK3051">
        <v>1</v>
      </c>
      <c r="AL3051">
        <v>1</v>
      </c>
      <c r="AM3051">
        <v>100</v>
      </c>
      <c r="AN3051">
        <v>371.72500000000002</v>
      </c>
      <c r="AO3051">
        <v>0</v>
      </c>
      <c r="AP3051" s="13">
        <v>45525</v>
      </c>
      <c r="AQ3051">
        <v>0</v>
      </c>
      <c r="AR3051">
        <v>1</v>
      </c>
    </row>
    <row r="3052" spans="1:44" x14ac:dyDescent="0.35">
      <c r="A3052" s="12" t="s">
        <v>3944</v>
      </c>
      <c r="B3052" s="12" t="s">
        <v>347</v>
      </c>
      <c r="C3052" s="12" t="s">
        <v>348</v>
      </c>
      <c r="D3052" s="12" t="s">
        <v>78</v>
      </c>
      <c r="E3052" s="12" t="s">
        <v>104</v>
      </c>
      <c r="F3052">
        <v>3</v>
      </c>
      <c r="G3052">
        <v>1</v>
      </c>
      <c r="H3052">
        <v>0</v>
      </c>
      <c r="I3052" s="12" t="s">
        <v>87</v>
      </c>
      <c r="J3052" s="12" t="s">
        <v>88</v>
      </c>
      <c r="K3052" s="12" t="s">
        <v>89</v>
      </c>
      <c r="L3052" s="12" t="s">
        <v>69</v>
      </c>
      <c r="M3052">
        <v>14.93</v>
      </c>
      <c r="N3052" s="12" t="s">
        <v>97</v>
      </c>
      <c r="O3052" s="12" t="s">
        <v>98</v>
      </c>
      <c r="P3052" s="12" t="s">
        <v>72</v>
      </c>
      <c r="Q3052" s="13">
        <v>45485</v>
      </c>
      <c r="R3052" s="13">
        <v>45513</v>
      </c>
      <c r="S3052">
        <v>2024</v>
      </c>
      <c r="T3052" s="12" t="s">
        <v>3854</v>
      </c>
      <c r="U3052">
        <v>276</v>
      </c>
      <c r="V3052">
        <v>108.7064</v>
      </c>
      <c r="W3052">
        <v>756.08</v>
      </c>
      <c r="X3052">
        <v>0</v>
      </c>
      <c r="Y3052">
        <v>0</v>
      </c>
      <c r="Z3052">
        <v>30002.97</v>
      </c>
      <c r="AA3052">
        <v>30759.05</v>
      </c>
      <c r="AB3052" s="12" t="s">
        <v>201</v>
      </c>
      <c r="AD3052">
        <v>0</v>
      </c>
      <c r="AE3052">
        <v>0</v>
      </c>
      <c r="AH3052">
        <v>276</v>
      </c>
      <c r="AI3052">
        <v>271</v>
      </c>
      <c r="AJ3052">
        <v>5</v>
      </c>
      <c r="AK3052">
        <v>1</v>
      </c>
      <c r="AL3052">
        <v>1</v>
      </c>
      <c r="AM3052">
        <v>98.19</v>
      </c>
      <c r="AN3052">
        <v>113.502</v>
      </c>
      <c r="AO3052">
        <v>543.53</v>
      </c>
      <c r="AP3052" s="13">
        <v>45510</v>
      </c>
      <c r="AQ3052">
        <v>-3</v>
      </c>
      <c r="AR3052">
        <v>1</v>
      </c>
    </row>
    <row r="3053" spans="1:44" x14ac:dyDescent="0.35">
      <c r="A3053" s="12" t="s">
        <v>3945</v>
      </c>
      <c r="B3053" s="12" t="s">
        <v>565</v>
      </c>
      <c r="C3053" s="12" t="s">
        <v>566</v>
      </c>
      <c r="D3053" s="12" t="s">
        <v>122</v>
      </c>
      <c r="E3053" s="12" t="s">
        <v>104</v>
      </c>
      <c r="F3053">
        <v>3</v>
      </c>
      <c r="G3053">
        <v>1</v>
      </c>
      <c r="H3053">
        <v>0</v>
      </c>
      <c r="I3053" s="12" t="s">
        <v>87</v>
      </c>
      <c r="J3053" s="12" t="s">
        <v>88</v>
      </c>
      <c r="K3053" s="12" t="s">
        <v>89</v>
      </c>
      <c r="L3053" s="12" t="s">
        <v>69</v>
      </c>
      <c r="M3053">
        <v>14.93</v>
      </c>
      <c r="N3053" s="12" t="s">
        <v>97</v>
      </c>
      <c r="O3053" s="12" t="s">
        <v>98</v>
      </c>
      <c r="P3053" s="12" t="s">
        <v>72</v>
      </c>
      <c r="Q3053" s="13">
        <v>45485</v>
      </c>
      <c r="R3053" s="13">
        <v>45500</v>
      </c>
      <c r="S3053">
        <v>2024</v>
      </c>
      <c r="T3053" s="12" t="s">
        <v>3854</v>
      </c>
      <c r="U3053">
        <v>588</v>
      </c>
      <c r="V3053">
        <v>34.7179</v>
      </c>
      <c r="W3053">
        <v>316.58999999999997</v>
      </c>
      <c r="X3053">
        <v>0</v>
      </c>
      <c r="Y3053">
        <v>0</v>
      </c>
      <c r="Z3053">
        <v>20414.13</v>
      </c>
      <c r="AA3053">
        <v>20730.72</v>
      </c>
      <c r="AB3053" s="12" t="s">
        <v>3238</v>
      </c>
      <c r="AC3053">
        <v>34.7179</v>
      </c>
      <c r="AD3053">
        <v>1</v>
      </c>
      <c r="AE3053">
        <v>1</v>
      </c>
      <c r="AF3053">
        <v>0</v>
      </c>
      <c r="AG3053">
        <v>20414.13</v>
      </c>
      <c r="AH3053">
        <v>588</v>
      </c>
      <c r="AI3053">
        <v>583</v>
      </c>
      <c r="AJ3053">
        <v>5</v>
      </c>
      <c r="AK3053">
        <v>1</v>
      </c>
      <c r="AL3053">
        <v>1</v>
      </c>
      <c r="AM3053">
        <v>99.15</v>
      </c>
      <c r="AN3053">
        <v>35.558700000000002</v>
      </c>
      <c r="AO3053">
        <v>173.59</v>
      </c>
      <c r="AP3053" s="13">
        <v>45500</v>
      </c>
      <c r="AQ3053">
        <v>0</v>
      </c>
      <c r="AR3053">
        <v>1</v>
      </c>
    </row>
    <row r="3054" spans="1:44" x14ac:dyDescent="0.35">
      <c r="A3054" s="12" t="s">
        <v>3946</v>
      </c>
      <c r="B3054" s="12" t="s">
        <v>548</v>
      </c>
      <c r="C3054" s="12" t="s">
        <v>549</v>
      </c>
      <c r="D3054" s="12" t="s">
        <v>78</v>
      </c>
      <c r="E3054" s="12" t="s">
        <v>104</v>
      </c>
      <c r="F3054">
        <v>3</v>
      </c>
      <c r="G3054">
        <v>1</v>
      </c>
      <c r="H3054">
        <v>0</v>
      </c>
      <c r="I3054" s="12" t="s">
        <v>199</v>
      </c>
      <c r="J3054" s="12" t="s">
        <v>200</v>
      </c>
      <c r="K3054" s="12" t="s">
        <v>68</v>
      </c>
      <c r="L3054" s="12" t="s">
        <v>96</v>
      </c>
      <c r="M3054">
        <v>9.4700000000000006</v>
      </c>
      <c r="N3054" s="12" t="s">
        <v>97</v>
      </c>
      <c r="O3054" s="12" t="s">
        <v>98</v>
      </c>
      <c r="P3054" s="12" t="s">
        <v>72</v>
      </c>
      <c r="Q3054" s="13">
        <v>45485</v>
      </c>
      <c r="R3054" s="13">
        <v>45506</v>
      </c>
      <c r="S3054">
        <v>2024</v>
      </c>
      <c r="T3054" s="12" t="s">
        <v>3854</v>
      </c>
      <c r="U3054">
        <v>170</v>
      </c>
      <c r="V3054">
        <v>59.1252</v>
      </c>
      <c r="W3054">
        <v>187.61</v>
      </c>
      <c r="X3054">
        <v>0</v>
      </c>
      <c r="Y3054">
        <v>0</v>
      </c>
      <c r="Z3054">
        <v>10051.280000000001</v>
      </c>
      <c r="AA3054">
        <v>10238.89</v>
      </c>
      <c r="AB3054" s="12" t="s">
        <v>3564</v>
      </c>
      <c r="AC3054">
        <v>59.1252</v>
      </c>
      <c r="AD3054">
        <v>1</v>
      </c>
      <c r="AE3054">
        <v>1</v>
      </c>
      <c r="AF3054">
        <v>0</v>
      </c>
      <c r="AG3054">
        <v>10051.280000000001</v>
      </c>
      <c r="AH3054">
        <v>170</v>
      </c>
      <c r="AI3054">
        <v>169</v>
      </c>
      <c r="AJ3054">
        <v>1</v>
      </c>
      <c r="AK3054">
        <v>1</v>
      </c>
      <c r="AL3054">
        <v>1</v>
      </c>
      <c r="AM3054">
        <v>99.41</v>
      </c>
      <c r="AN3054">
        <v>60.5852</v>
      </c>
      <c r="AO3054">
        <v>59.13</v>
      </c>
      <c r="AP3054" s="13">
        <v>45505</v>
      </c>
      <c r="AQ3054">
        <v>-1</v>
      </c>
      <c r="AR3054">
        <v>1</v>
      </c>
    </row>
    <row r="3055" spans="1:44" x14ac:dyDescent="0.35">
      <c r="A3055" s="12" t="s">
        <v>3947</v>
      </c>
      <c r="B3055" s="12" t="s">
        <v>412</v>
      </c>
      <c r="C3055" s="12" t="s">
        <v>413</v>
      </c>
      <c r="D3055" s="12" t="s">
        <v>269</v>
      </c>
      <c r="E3055" s="12" t="s">
        <v>65</v>
      </c>
      <c r="F3055">
        <v>1</v>
      </c>
      <c r="G3055">
        <v>2</v>
      </c>
      <c r="H3055">
        <v>1</v>
      </c>
      <c r="I3055" s="12" t="s">
        <v>233</v>
      </c>
      <c r="J3055" s="12" t="s">
        <v>234</v>
      </c>
      <c r="K3055" s="12" t="s">
        <v>125</v>
      </c>
      <c r="L3055" s="12" t="s">
        <v>96</v>
      </c>
      <c r="M3055">
        <v>3.73</v>
      </c>
      <c r="N3055" s="12" t="s">
        <v>135</v>
      </c>
      <c r="O3055" s="12" t="s">
        <v>136</v>
      </c>
      <c r="P3055" s="12" t="s">
        <v>137</v>
      </c>
      <c r="Q3055" s="13">
        <v>45485</v>
      </c>
      <c r="R3055" s="13">
        <v>45517</v>
      </c>
      <c r="S3055">
        <v>2024</v>
      </c>
      <c r="T3055" s="12" t="s">
        <v>3854</v>
      </c>
      <c r="U3055">
        <v>101</v>
      </c>
      <c r="V3055">
        <v>104.17829999999999</v>
      </c>
      <c r="W3055">
        <v>91.83</v>
      </c>
      <c r="X3055">
        <v>0</v>
      </c>
      <c r="Y3055">
        <v>0</v>
      </c>
      <c r="Z3055">
        <v>10522.01</v>
      </c>
      <c r="AA3055">
        <v>10613.84</v>
      </c>
      <c r="AB3055" s="12" t="s">
        <v>3056</v>
      </c>
      <c r="AC3055">
        <v>104.17829999999999</v>
      </c>
      <c r="AD3055">
        <v>1</v>
      </c>
      <c r="AE3055">
        <v>1</v>
      </c>
      <c r="AF3055">
        <v>0</v>
      </c>
      <c r="AG3055">
        <v>10522.01</v>
      </c>
      <c r="AH3055">
        <v>101</v>
      </c>
      <c r="AI3055">
        <v>99</v>
      </c>
      <c r="AJ3055">
        <v>2</v>
      </c>
      <c r="AK3055">
        <v>1</v>
      </c>
      <c r="AL3055">
        <v>1</v>
      </c>
      <c r="AM3055">
        <v>98.02</v>
      </c>
      <c r="AN3055">
        <v>107.2105</v>
      </c>
      <c r="AO3055">
        <v>208.36</v>
      </c>
      <c r="AP3055" s="13">
        <v>45514</v>
      </c>
      <c r="AQ3055">
        <v>-3</v>
      </c>
      <c r="AR3055">
        <v>1</v>
      </c>
    </row>
    <row r="3056" spans="1:44" x14ac:dyDescent="0.35">
      <c r="A3056" s="12" t="s">
        <v>3948</v>
      </c>
      <c r="B3056" s="12" t="s">
        <v>621</v>
      </c>
      <c r="C3056" s="12" t="s">
        <v>622</v>
      </c>
      <c r="D3056" s="12" t="s">
        <v>103</v>
      </c>
      <c r="E3056" s="12" t="s">
        <v>65</v>
      </c>
      <c r="F3056">
        <v>1</v>
      </c>
      <c r="G3056">
        <v>2</v>
      </c>
      <c r="H3056">
        <v>1</v>
      </c>
      <c r="I3056" s="12" t="s">
        <v>486</v>
      </c>
      <c r="J3056" s="12" t="s">
        <v>487</v>
      </c>
      <c r="K3056" s="12" t="s">
        <v>125</v>
      </c>
      <c r="L3056" s="12" t="s">
        <v>69</v>
      </c>
      <c r="M3056">
        <v>36.86</v>
      </c>
      <c r="N3056" s="12" t="s">
        <v>145</v>
      </c>
      <c r="O3056" s="12" t="s">
        <v>146</v>
      </c>
      <c r="P3056" s="12" t="s">
        <v>109</v>
      </c>
      <c r="Q3056" s="13">
        <v>45485</v>
      </c>
      <c r="R3056" s="13">
        <v>45523</v>
      </c>
      <c r="S3056">
        <v>2024</v>
      </c>
      <c r="T3056" s="12" t="s">
        <v>3854</v>
      </c>
      <c r="U3056">
        <v>145</v>
      </c>
      <c r="V3056">
        <v>201.08609999999999</v>
      </c>
      <c r="W3056">
        <v>351.06</v>
      </c>
      <c r="X3056">
        <v>0</v>
      </c>
      <c r="Y3056">
        <v>0</v>
      </c>
      <c r="Z3056">
        <v>29157.48</v>
      </c>
      <c r="AA3056">
        <v>29508.54</v>
      </c>
      <c r="AB3056" s="12" t="s">
        <v>2658</v>
      </c>
      <c r="AC3056">
        <v>201.08609999999999</v>
      </c>
      <c r="AD3056">
        <v>1</v>
      </c>
      <c r="AE3056">
        <v>1</v>
      </c>
      <c r="AF3056">
        <v>0</v>
      </c>
      <c r="AG3056">
        <v>29157.48</v>
      </c>
      <c r="AH3056">
        <v>145</v>
      </c>
      <c r="AI3056">
        <v>143</v>
      </c>
      <c r="AJ3056">
        <v>2</v>
      </c>
      <c r="AK3056">
        <v>1</v>
      </c>
      <c r="AL3056">
        <v>1</v>
      </c>
      <c r="AM3056">
        <v>98.62</v>
      </c>
      <c r="AN3056">
        <v>206.3535</v>
      </c>
      <c r="AO3056">
        <v>402.17</v>
      </c>
      <c r="AP3056" s="13">
        <v>45520</v>
      </c>
      <c r="AQ3056">
        <v>-3</v>
      </c>
      <c r="AR3056">
        <v>1</v>
      </c>
    </row>
    <row r="3057" spans="1:44" x14ac:dyDescent="0.35">
      <c r="A3057" s="12" t="s">
        <v>3949</v>
      </c>
      <c r="B3057" s="12" t="s">
        <v>990</v>
      </c>
      <c r="C3057" s="12" t="s">
        <v>991</v>
      </c>
      <c r="D3057" s="12" t="s">
        <v>122</v>
      </c>
      <c r="E3057" s="12" t="s">
        <v>142</v>
      </c>
      <c r="F3057">
        <v>1</v>
      </c>
      <c r="G3057">
        <v>6</v>
      </c>
      <c r="H3057">
        <v>1</v>
      </c>
      <c r="I3057" s="12" t="s">
        <v>217</v>
      </c>
      <c r="J3057" s="12" t="s">
        <v>218</v>
      </c>
      <c r="K3057" s="12" t="s">
        <v>68</v>
      </c>
      <c r="L3057" s="12" t="s">
        <v>82</v>
      </c>
      <c r="M3057">
        <v>14.24</v>
      </c>
      <c r="N3057" s="12" t="s">
        <v>97</v>
      </c>
      <c r="O3057" s="12" t="s">
        <v>98</v>
      </c>
      <c r="P3057" s="12" t="s">
        <v>72</v>
      </c>
      <c r="Q3057" s="13">
        <v>45485</v>
      </c>
      <c r="R3057" s="13">
        <v>45534</v>
      </c>
      <c r="S3057">
        <v>2024</v>
      </c>
      <c r="T3057" s="12" t="s">
        <v>3854</v>
      </c>
      <c r="U3057">
        <v>1629</v>
      </c>
      <c r="V3057">
        <v>33.6252</v>
      </c>
      <c r="W3057">
        <v>639.66</v>
      </c>
      <c r="X3057">
        <v>0</v>
      </c>
      <c r="Y3057">
        <v>0</v>
      </c>
      <c r="Z3057">
        <v>54775.45</v>
      </c>
      <c r="AA3057">
        <v>55415.11</v>
      </c>
      <c r="AB3057" s="12" t="s">
        <v>3368</v>
      </c>
      <c r="AC3057">
        <v>33.6252</v>
      </c>
      <c r="AD3057">
        <v>1</v>
      </c>
      <c r="AE3057">
        <v>1</v>
      </c>
      <c r="AF3057">
        <v>0</v>
      </c>
      <c r="AG3057">
        <v>54775.45</v>
      </c>
      <c r="AH3057">
        <v>1629</v>
      </c>
      <c r="AI3057">
        <v>1622</v>
      </c>
      <c r="AJ3057">
        <v>7</v>
      </c>
      <c r="AK3057">
        <v>1</v>
      </c>
      <c r="AL3057">
        <v>1</v>
      </c>
      <c r="AM3057">
        <v>99.57</v>
      </c>
      <c r="AN3057">
        <v>34.164700000000003</v>
      </c>
      <c r="AO3057">
        <v>235.38</v>
      </c>
      <c r="AP3057" s="13">
        <v>45532</v>
      </c>
      <c r="AQ3057">
        <v>-2</v>
      </c>
      <c r="AR3057">
        <v>1</v>
      </c>
    </row>
    <row r="3058" spans="1:44" x14ac:dyDescent="0.35">
      <c r="A3058" s="12" t="s">
        <v>3950</v>
      </c>
      <c r="B3058" s="12" t="s">
        <v>941</v>
      </c>
      <c r="C3058" s="12" t="s">
        <v>942</v>
      </c>
      <c r="D3058" s="12" t="s">
        <v>130</v>
      </c>
      <c r="E3058" s="12" t="s">
        <v>104</v>
      </c>
      <c r="F3058">
        <v>2</v>
      </c>
      <c r="G3058">
        <v>0</v>
      </c>
      <c r="H3058">
        <v>0</v>
      </c>
      <c r="I3058" s="12" t="s">
        <v>131</v>
      </c>
      <c r="J3058" s="12" t="s">
        <v>132</v>
      </c>
      <c r="K3058" s="12" t="s">
        <v>133</v>
      </c>
      <c r="L3058" s="12" t="s">
        <v>134</v>
      </c>
      <c r="M3058">
        <v>1.51</v>
      </c>
      <c r="N3058" s="12" t="s">
        <v>159</v>
      </c>
      <c r="O3058" s="12" t="s">
        <v>160</v>
      </c>
      <c r="P3058" s="12" t="s">
        <v>137</v>
      </c>
      <c r="Q3058" s="13">
        <v>45485</v>
      </c>
      <c r="R3058" s="13">
        <v>45501</v>
      </c>
      <c r="S3058">
        <v>2024</v>
      </c>
      <c r="T3058" s="12" t="s">
        <v>3854</v>
      </c>
      <c r="U3058">
        <v>46</v>
      </c>
      <c r="V3058">
        <v>839.4819</v>
      </c>
      <c r="W3058">
        <v>667.8</v>
      </c>
      <c r="X3058">
        <v>0</v>
      </c>
      <c r="Y3058">
        <v>0</v>
      </c>
      <c r="Z3058">
        <v>38616.17</v>
      </c>
      <c r="AA3058">
        <v>39283.97</v>
      </c>
      <c r="AB3058" s="12" t="s">
        <v>3518</v>
      </c>
      <c r="AC3058">
        <v>839.4819</v>
      </c>
      <c r="AD3058">
        <v>1</v>
      </c>
      <c r="AE3058">
        <v>1</v>
      </c>
      <c r="AF3058">
        <v>0</v>
      </c>
      <c r="AG3058">
        <v>38616.17</v>
      </c>
      <c r="AH3058">
        <v>46</v>
      </c>
      <c r="AI3058">
        <v>43</v>
      </c>
      <c r="AJ3058">
        <v>3</v>
      </c>
      <c r="AK3058">
        <v>1</v>
      </c>
      <c r="AL3058">
        <v>1</v>
      </c>
      <c r="AM3058">
        <v>93.48</v>
      </c>
      <c r="AN3058">
        <v>913.5806</v>
      </c>
      <c r="AO3058">
        <v>2518.4499999999998</v>
      </c>
      <c r="AP3058" s="13">
        <v>45501</v>
      </c>
      <c r="AQ3058">
        <v>0</v>
      </c>
      <c r="AR3058">
        <v>1</v>
      </c>
    </row>
    <row r="3059" spans="1:44" x14ac:dyDescent="0.35">
      <c r="A3059" s="12" t="s">
        <v>3951</v>
      </c>
      <c r="B3059" s="12" t="s">
        <v>215</v>
      </c>
      <c r="C3059" s="12" t="s">
        <v>216</v>
      </c>
      <c r="D3059" s="12" t="s">
        <v>122</v>
      </c>
      <c r="E3059" s="12" t="s">
        <v>142</v>
      </c>
      <c r="F3059">
        <v>3</v>
      </c>
      <c r="G3059">
        <v>11</v>
      </c>
      <c r="H3059">
        <v>0</v>
      </c>
      <c r="I3059" s="12" t="s">
        <v>176</v>
      </c>
      <c r="J3059" s="12" t="s">
        <v>177</v>
      </c>
      <c r="K3059" s="12" t="s">
        <v>125</v>
      </c>
      <c r="L3059" s="12" t="s">
        <v>134</v>
      </c>
      <c r="M3059">
        <v>1.75</v>
      </c>
      <c r="N3059" s="12" t="s">
        <v>97</v>
      </c>
      <c r="O3059" s="12" t="s">
        <v>98</v>
      </c>
      <c r="P3059" s="12" t="s">
        <v>72</v>
      </c>
      <c r="Q3059" s="13">
        <v>45485</v>
      </c>
      <c r="R3059" s="13">
        <v>45535</v>
      </c>
      <c r="S3059">
        <v>2024</v>
      </c>
      <c r="T3059" s="12" t="s">
        <v>3854</v>
      </c>
      <c r="U3059">
        <v>1796</v>
      </c>
      <c r="V3059">
        <v>15.4514</v>
      </c>
      <c r="W3059">
        <v>179.94</v>
      </c>
      <c r="X3059">
        <v>0</v>
      </c>
      <c r="Y3059">
        <v>0</v>
      </c>
      <c r="Z3059">
        <v>27750.71</v>
      </c>
      <c r="AA3059">
        <v>27930.65</v>
      </c>
      <c r="AB3059" s="12" t="s">
        <v>2938</v>
      </c>
      <c r="AC3059">
        <v>15.4514</v>
      </c>
      <c r="AD3059">
        <v>1</v>
      </c>
      <c r="AE3059">
        <v>1</v>
      </c>
      <c r="AF3059">
        <v>0</v>
      </c>
      <c r="AG3059">
        <v>27750.71</v>
      </c>
      <c r="AH3059">
        <v>1796</v>
      </c>
      <c r="AI3059">
        <v>1776</v>
      </c>
      <c r="AJ3059">
        <v>20</v>
      </c>
      <c r="AK3059">
        <v>1</v>
      </c>
      <c r="AL3059">
        <v>1</v>
      </c>
      <c r="AM3059">
        <v>98.89</v>
      </c>
      <c r="AN3059">
        <v>15.726699999999999</v>
      </c>
      <c r="AO3059">
        <v>309.02999999999997</v>
      </c>
      <c r="AP3059" s="13">
        <v>45534</v>
      </c>
      <c r="AQ3059">
        <v>-1</v>
      </c>
      <c r="AR3059">
        <v>1</v>
      </c>
    </row>
    <row r="3060" spans="1:44" x14ac:dyDescent="0.35">
      <c r="A3060" s="12" t="s">
        <v>3952</v>
      </c>
      <c r="B3060" s="12" t="s">
        <v>640</v>
      </c>
      <c r="C3060" s="12" t="s">
        <v>641</v>
      </c>
      <c r="D3060" s="12" t="s">
        <v>130</v>
      </c>
      <c r="E3060" s="12" t="s">
        <v>104</v>
      </c>
      <c r="F3060">
        <v>3</v>
      </c>
      <c r="G3060">
        <v>0</v>
      </c>
      <c r="H3060">
        <v>0</v>
      </c>
      <c r="I3060" s="12" t="s">
        <v>209</v>
      </c>
      <c r="J3060" s="12" t="s">
        <v>210</v>
      </c>
      <c r="K3060" s="12" t="s">
        <v>133</v>
      </c>
      <c r="L3060" s="12" t="s">
        <v>96</v>
      </c>
      <c r="M3060">
        <v>7.82</v>
      </c>
      <c r="N3060" s="12" t="s">
        <v>159</v>
      </c>
      <c r="O3060" s="12" t="s">
        <v>160</v>
      </c>
      <c r="P3060" s="12" t="s">
        <v>137</v>
      </c>
      <c r="Q3060" s="13">
        <v>45485</v>
      </c>
      <c r="R3060" s="13">
        <v>45507</v>
      </c>
      <c r="S3060">
        <v>2024</v>
      </c>
      <c r="T3060" s="12" t="s">
        <v>3854</v>
      </c>
      <c r="U3060">
        <v>87</v>
      </c>
      <c r="V3060">
        <v>1015.8242</v>
      </c>
      <c r="W3060">
        <v>1634.45</v>
      </c>
      <c r="X3060">
        <v>0</v>
      </c>
      <c r="Y3060">
        <v>0</v>
      </c>
      <c r="Z3060">
        <v>88376.71</v>
      </c>
      <c r="AA3060">
        <v>90011.16</v>
      </c>
      <c r="AB3060" s="12" t="s">
        <v>3211</v>
      </c>
      <c r="AC3060">
        <v>977.20889999999997</v>
      </c>
      <c r="AD3060">
        <v>1</v>
      </c>
      <c r="AE3060">
        <v>1</v>
      </c>
      <c r="AF3060">
        <v>3359.53</v>
      </c>
      <c r="AG3060">
        <v>85017.17</v>
      </c>
      <c r="AH3060">
        <v>87</v>
      </c>
      <c r="AI3060">
        <v>87</v>
      </c>
      <c r="AJ3060">
        <v>0</v>
      </c>
      <c r="AK3060">
        <v>1</v>
      </c>
      <c r="AL3060">
        <v>1</v>
      </c>
      <c r="AM3060">
        <v>100</v>
      </c>
      <c r="AN3060">
        <v>1034.6110000000001</v>
      </c>
      <c r="AO3060">
        <v>0</v>
      </c>
      <c r="AP3060" s="13">
        <v>45507</v>
      </c>
      <c r="AQ3060">
        <v>0</v>
      </c>
      <c r="AR3060">
        <v>1</v>
      </c>
    </row>
    <row r="3061" spans="1:44" x14ac:dyDescent="0.35">
      <c r="A3061" s="12" t="s">
        <v>3953</v>
      </c>
      <c r="B3061" s="12" t="s">
        <v>670</v>
      </c>
      <c r="C3061" s="12" t="s">
        <v>671</v>
      </c>
      <c r="D3061" s="12" t="s">
        <v>175</v>
      </c>
      <c r="E3061" s="12" t="s">
        <v>142</v>
      </c>
      <c r="F3061">
        <v>2</v>
      </c>
      <c r="G3061">
        <v>9</v>
      </c>
      <c r="H3061">
        <v>0</v>
      </c>
      <c r="I3061" s="12" t="s">
        <v>105</v>
      </c>
      <c r="J3061" s="12" t="s">
        <v>106</v>
      </c>
      <c r="K3061" s="12" t="s">
        <v>81</v>
      </c>
      <c r="L3061" s="12" t="s">
        <v>96</v>
      </c>
      <c r="M3061">
        <v>5.01</v>
      </c>
      <c r="N3061" s="12" t="s">
        <v>145</v>
      </c>
      <c r="O3061" s="12" t="s">
        <v>146</v>
      </c>
      <c r="P3061" s="12" t="s">
        <v>109</v>
      </c>
      <c r="Q3061" s="13">
        <v>45485</v>
      </c>
      <c r="R3061" s="13">
        <v>45530</v>
      </c>
      <c r="S3061">
        <v>2024</v>
      </c>
      <c r="T3061" s="12" t="s">
        <v>3854</v>
      </c>
      <c r="U3061">
        <v>91</v>
      </c>
      <c r="V3061">
        <v>147.4665</v>
      </c>
      <c r="W3061">
        <v>138.57</v>
      </c>
      <c r="X3061">
        <v>0</v>
      </c>
      <c r="Y3061">
        <v>0</v>
      </c>
      <c r="Z3061">
        <v>13419.45</v>
      </c>
      <c r="AA3061">
        <v>13558.02</v>
      </c>
      <c r="AB3061" s="12" t="s">
        <v>3277</v>
      </c>
      <c r="AC3061">
        <v>147.4665</v>
      </c>
      <c r="AD3061">
        <v>1</v>
      </c>
      <c r="AE3061">
        <v>1</v>
      </c>
      <c r="AF3061">
        <v>0</v>
      </c>
      <c r="AG3061">
        <v>13419.45</v>
      </c>
      <c r="AH3061">
        <v>91</v>
      </c>
      <c r="AI3061">
        <v>90</v>
      </c>
      <c r="AJ3061">
        <v>1</v>
      </c>
      <c r="AK3061">
        <v>1</v>
      </c>
      <c r="AL3061">
        <v>1</v>
      </c>
      <c r="AM3061">
        <v>98.9</v>
      </c>
      <c r="AN3061">
        <v>150.6447</v>
      </c>
      <c r="AO3061">
        <v>147.47</v>
      </c>
      <c r="AP3061" s="13">
        <v>45529</v>
      </c>
      <c r="AQ3061">
        <v>-1</v>
      </c>
      <c r="AR3061">
        <v>1</v>
      </c>
    </row>
    <row r="3062" spans="1:44" x14ac:dyDescent="0.35">
      <c r="A3062" s="12" t="s">
        <v>3954</v>
      </c>
      <c r="B3062" s="12" t="s">
        <v>802</v>
      </c>
      <c r="C3062" s="12" t="s">
        <v>803</v>
      </c>
      <c r="D3062" s="12" t="s">
        <v>114</v>
      </c>
      <c r="E3062" s="12" t="s">
        <v>65</v>
      </c>
      <c r="F3062">
        <v>3</v>
      </c>
      <c r="G3062">
        <v>5</v>
      </c>
      <c r="H3062">
        <v>0</v>
      </c>
      <c r="I3062" s="12" t="s">
        <v>804</v>
      </c>
      <c r="J3062" s="12" t="s">
        <v>342</v>
      </c>
      <c r="K3062" s="12" t="s">
        <v>117</v>
      </c>
      <c r="L3062" s="12" t="s">
        <v>69</v>
      </c>
      <c r="M3062">
        <v>30.07</v>
      </c>
      <c r="N3062" s="12" t="s">
        <v>70</v>
      </c>
      <c r="O3062" s="12" t="s">
        <v>71</v>
      </c>
      <c r="P3062" s="12" t="s">
        <v>72</v>
      </c>
      <c r="Q3062" s="13">
        <v>45488</v>
      </c>
      <c r="R3062" s="13">
        <v>45512</v>
      </c>
      <c r="S3062">
        <v>2024</v>
      </c>
      <c r="T3062" s="12" t="s">
        <v>3854</v>
      </c>
      <c r="U3062">
        <v>40</v>
      </c>
      <c r="V3062">
        <v>371.89569999999998</v>
      </c>
      <c r="W3062">
        <v>306.41000000000003</v>
      </c>
      <c r="X3062">
        <v>0</v>
      </c>
      <c r="Y3062">
        <v>0</v>
      </c>
      <c r="Z3062">
        <v>14875.83</v>
      </c>
      <c r="AA3062">
        <v>15182.24</v>
      </c>
      <c r="AB3062" s="12" t="s">
        <v>201</v>
      </c>
      <c r="AD3062">
        <v>0</v>
      </c>
      <c r="AE3062">
        <v>0</v>
      </c>
      <c r="AH3062">
        <v>40</v>
      </c>
      <c r="AI3062">
        <v>39</v>
      </c>
      <c r="AJ3062">
        <v>1</v>
      </c>
      <c r="AK3062">
        <v>1</v>
      </c>
      <c r="AL3062">
        <v>1</v>
      </c>
      <c r="AM3062">
        <v>97.5</v>
      </c>
      <c r="AN3062">
        <v>389.28820000000002</v>
      </c>
      <c r="AO3062">
        <v>371.9</v>
      </c>
      <c r="AP3062" s="13">
        <v>45511</v>
      </c>
      <c r="AQ3062">
        <v>-1</v>
      </c>
      <c r="AR3062">
        <v>1</v>
      </c>
    </row>
    <row r="3063" spans="1:44" x14ac:dyDescent="0.35">
      <c r="A3063" s="12" t="s">
        <v>3955</v>
      </c>
      <c r="B3063" s="12" t="s">
        <v>630</v>
      </c>
      <c r="C3063" s="12" t="s">
        <v>631</v>
      </c>
      <c r="D3063" s="12" t="s">
        <v>130</v>
      </c>
      <c r="E3063" s="12" t="s">
        <v>65</v>
      </c>
      <c r="F3063">
        <v>1</v>
      </c>
      <c r="G3063">
        <v>2</v>
      </c>
      <c r="H3063">
        <v>1</v>
      </c>
      <c r="I3063" s="12" t="s">
        <v>335</v>
      </c>
      <c r="J3063" s="12" t="s">
        <v>336</v>
      </c>
      <c r="K3063" s="12" t="s">
        <v>89</v>
      </c>
      <c r="L3063" s="12" t="s">
        <v>82</v>
      </c>
      <c r="M3063">
        <v>16</v>
      </c>
      <c r="N3063" s="12" t="s">
        <v>135</v>
      </c>
      <c r="O3063" s="12" t="s">
        <v>136</v>
      </c>
      <c r="P3063" s="12" t="s">
        <v>137</v>
      </c>
      <c r="Q3063" s="13">
        <v>45488</v>
      </c>
      <c r="R3063" s="13">
        <v>45524</v>
      </c>
      <c r="S3063">
        <v>2024</v>
      </c>
      <c r="T3063" s="12" t="s">
        <v>3854</v>
      </c>
      <c r="U3063">
        <v>132</v>
      </c>
      <c r="V3063">
        <v>446.36720000000003</v>
      </c>
      <c r="W3063">
        <v>687.09</v>
      </c>
      <c r="X3063">
        <v>0</v>
      </c>
      <c r="Y3063">
        <v>0</v>
      </c>
      <c r="Z3063">
        <v>58920.47</v>
      </c>
      <c r="AA3063">
        <v>59607.56</v>
      </c>
      <c r="AB3063" s="12" t="s">
        <v>2944</v>
      </c>
      <c r="AC3063">
        <v>446.36720000000003</v>
      </c>
      <c r="AD3063">
        <v>1</v>
      </c>
      <c r="AE3063">
        <v>1</v>
      </c>
      <c r="AF3063">
        <v>0</v>
      </c>
      <c r="AG3063">
        <v>58920.47</v>
      </c>
      <c r="AH3063">
        <v>132</v>
      </c>
      <c r="AI3063">
        <v>131</v>
      </c>
      <c r="AJ3063">
        <v>1</v>
      </c>
      <c r="AK3063">
        <v>1</v>
      </c>
      <c r="AL3063">
        <v>1</v>
      </c>
      <c r="AM3063">
        <v>99.24</v>
      </c>
      <c r="AN3063">
        <v>455.01949999999999</v>
      </c>
      <c r="AO3063">
        <v>446.37</v>
      </c>
      <c r="AP3063" s="13">
        <v>45524</v>
      </c>
      <c r="AQ3063">
        <v>0</v>
      </c>
      <c r="AR3063">
        <v>1</v>
      </c>
    </row>
    <row r="3064" spans="1:44" x14ac:dyDescent="0.35">
      <c r="A3064" s="12" t="s">
        <v>3956</v>
      </c>
      <c r="B3064" s="12" t="s">
        <v>249</v>
      </c>
      <c r="C3064" s="12" t="s">
        <v>250</v>
      </c>
      <c r="D3064" s="12" t="s">
        <v>64</v>
      </c>
      <c r="E3064" s="12" t="s">
        <v>65</v>
      </c>
      <c r="F3064">
        <v>2</v>
      </c>
      <c r="G3064">
        <v>3</v>
      </c>
      <c r="H3064">
        <v>0</v>
      </c>
      <c r="I3064" s="12" t="s">
        <v>251</v>
      </c>
      <c r="J3064" s="12" t="s">
        <v>252</v>
      </c>
      <c r="K3064" s="12" t="s">
        <v>133</v>
      </c>
      <c r="L3064" s="12" t="s">
        <v>69</v>
      </c>
      <c r="M3064">
        <v>34.49</v>
      </c>
      <c r="N3064" s="12" t="s">
        <v>70</v>
      </c>
      <c r="O3064" s="12" t="s">
        <v>71</v>
      </c>
      <c r="P3064" s="12" t="s">
        <v>72</v>
      </c>
      <c r="Q3064" s="13">
        <v>45488</v>
      </c>
      <c r="R3064" s="13">
        <v>45515</v>
      </c>
      <c r="S3064">
        <v>2024</v>
      </c>
      <c r="T3064" s="12" t="s">
        <v>3854</v>
      </c>
      <c r="U3064">
        <v>425</v>
      </c>
      <c r="V3064">
        <v>10.292</v>
      </c>
      <c r="W3064">
        <v>26.33</v>
      </c>
      <c r="X3064">
        <v>0</v>
      </c>
      <c r="Y3064">
        <v>0</v>
      </c>
      <c r="Z3064">
        <v>4374.1000000000004</v>
      </c>
      <c r="AA3064">
        <v>4400.43</v>
      </c>
      <c r="AB3064" s="12" t="s">
        <v>2747</v>
      </c>
      <c r="AC3064">
        <v>10.292</v>
      </c>
      <c r="AD3064">
        <v>1</v>
      </c>
      <c r="AE3064">
        <v>1</v>
      </c>
      <c r="AF3064">
        <v>0</v>
      </c>
      <c r="AG3064">
        <v>4374.1000000000004</v>
      </c>
      <c r="AH3064">
        <v>425</v>
      </c>
      <c r="AI3064">
        <v>422</v>
      </c>
      <c r="AJ3064">
        <v>3</v>
      </c>
      <c r="AK3064">
        <v>1</v>
      </c>
      <c r="AL3064">
        <v>1</v>
      </c>
      <c r="AM3064">
        <v>99.29</v>
      </c>
      <c r="AN3064">
        <v>10.4276</v>
      </c>
      <c r="AO3064">
        <v>30.88</v>
      </c>
      <c r="AP3064" s="13">
        <v>45515</v>
      </c>
      <c r="AQ3064">
        <v>0</v>
      </c>
      <c r="AR3064">
        <v>1</v>
      </c>
    </row>
    <row r="3065" spans="1:44" x14ac:dyDescent="0.35">
      <c r="A3065" s="12" t="s">
        <v>3957</v>
      </c>
      <c r="B3065" s="12" t="s">
        <v>451</v>
      </c>
      <c r="C3065" s="12" t="s">
        <v>452</v>
      </c>
      <c r="D3065" s="12" t="s">
        <v>175</v>
      </c>
      <c r="E3065" s="12" t="s">
        <v>104</v>
      </c>
      <c r="F3065">
        <v>3</v>
      </c>
      <c r="G3065">
        <v>1</v>
      </c>
      <c r="H3065">
        <v>0</v>
      </c>
      <c r="I3065" s="12" t="s">
        <v>359</v>
      </c>
      <c r="J3065" s="12" t="s">
        <v>360</v>
      </c>
      <c r="K3065" s="12" t="s">
        <v>133</v>
      </c>
      <c r="L3065" s="12" t="s">
        <v>82</v>
      </c>
      <c r="M3065">
        <v>12.65</v>
      </c>
      <c r="N3065" s="12" t="s">
        <v>145</v>
      </c>
      <c r="O3065" s="12" t="s">
        <v>146</v>
      </c>
      <c r="P3065" s="12" t="s">
        <v>109</v>
      </c>
      <c r="Q3065" s="13">
        <v>45488</v>
      </c>
      <c r="R3065" s="13">
        <v>45516</v>
      </c>
      <c r="S3065">
        <v>2024</v>
      </c>
      <c r="T3065" s="12" t="s">
        <v>3854</v>
      </c>
      <c r="U3065">
        <v>142</v>
      </c>
      <c r="V3065">
        <v>234.84710000000001</v>
      </c>
      <c r="W3065">
        <v>715.57</v>
      </c>
      <c r="X3065">
        <v>0</v>
      </c>
      <c r="Y3065">
        <v>0</v>
      </c>
      <c r="Z3065">
        <v>33348.29</v>
      </c>
      <c r="AA3065">
        <v>34063.86</v>
      </c>
      <c r="AB3065" s="12" t="s">
        <v>2947</v>
      </c>
      <c r="AC3065">
        <v>234.84710000000001</v>
      </c>
      <c r="AD3065">
        <v>1</v>
      </c>
      <c r="AE3065">
        <v>1</v>
      </c>
      <c r="AF3065">
        <v>0</v>
      </c>
      <c r="AG3065">
        <v>33348.29</v>
      </c>
      <c r="AH3065">
        <v>142</v>
      </c>
      <c r="AI3065">
        <v>141</v>
      </c>
      <c r="AJ3065">
        <v>1</v>
      </c>
      <c r="AK3065">
        <v>1</v>
      </c>
      <c r="AL3065">
        <v>1</v>
      </c>
      <c r="AM3065">
        <v>99.3</v>
      </c>
      <c r="AN3065">
        <v>241.58760000000001</v>
      </c>
      <c r="AO3065">
        <v>234.85</v>
      </c>
      <c r="AP3065" s="13">
        <v>45514</v>
      </c>
      <c r="AQ3065">
        <v>-2</v>
      </c>
      <c r="AR3065">
        <v>1</v>
      </c>
    </row>
    <row r="3066" spans="1:44" x14ac:dyDescent="0.35">
      <c r="A3066" s="12" t="s">
        <v>3958</v>
      </c>
      <c r="B3066" s="12" t="s">
        <v>454</v>
      </c>
      <c r="C3066" s="12" t="s">
        <v>455</v>
      </c>
      <c r="D3066" s="12" t="s">
        <v>122</v>
      </c>
      <c r="E3066" s="12" t="s">
        <v>104</v>
      </c>
      <c r="F3066">
        <v>3</v>
      </c>
      <c r="G3066">
        <v>1</v>
      </c>
      <c r="H3066">
        <v>0</v>
      </c>
      <c r="I3066" s="12" t="s">
        <v>87</v>
      </c>
      <c r="J3066" s="12" t="s">
        <v>88</v>
      </c>
      <c r="K3066" s="12" t="s">
        <v>89</v>
      </c>
      <c r="L3066" s="12" t="s">
        <v>69</v>
      </c>
      <c r="M3066">
        <v>14.93</v>
      </c>
      <c r="N3066" s="12" t="s">
        <v>70</v>
      </c>
      <c r="O3066" s="12" t="s">
        <v>71</v>
      </c>
      <c r="P3066" s="12" t="s">
        <v>72</v>
      </c>
      <c r="Q3066" s="13">
        <v>45488</v>
      </c>
      <c r="R3066" s="13">
        <v>45513</v>
      </c>
      <c r="S3066">
        <v>2024</v>
      </c>
      <c r="T3066" s="12" t="s">
        <v>3854</v>
      </c>
      <c r="U3066">
        <v>1573</v>
      </c>
      <c r="V3066">
        <v>21.4115</v>
      </c>
      <c r="W3066">
        <v>222.66</v>
      </c>
      <c r="X3066">
        <v>0</v>
      </c>
      <c r="Y3066">
        <v>0</v>
      </c>
      <c r="Z3066">
        <v>33680.29</v>
      </c>
      <c r="AA3066">
        <v>33902.949999999997</v>
      </c>
      <c r="AB3066" s="12" t="s">
        <v>3124</v>
      </c>
      <c r="AC3066">
        <v>21.4115</v>
      </c>
      <c r="AD3066">
        <v>1</v>
      </c>
      <c r="AE3066">
        <v>1</v>
      </c>
      <c r="AF3066">
        <v>0</v>
      </c>
      <c r="AG3066">
        <v>33680.29</v>
      </c>
      <c r="AH3066">
        <v>1573</v>
      </c>
      <c r="AI3066">
        <v>1567</v>
      </c>
      <c r="AJ3066">
        <v>6</v>
      </c>
      <c r="AK3066">
        <v>1</v>
      </c>
      <c r="AL3066">
        <v>1</v>
      </c>
      <c r="AM3066">
        <v>99.62</v>
      </c>
      <c r="AN3066">
        <v>21.6356</v>
      </c>
      <c r="AO3066">
        <v>128.47</v>
      </c>
      <c r="AP3066" s="13">
        <v>45512</v>
      </c>
      <c r="AQ3066">
        <v>-1</v>
      </c>
      <c r="AR3066">
        <v>1</v>
      </c>
    </row>
    <row r="3067" spans="1:44" x14ac:dyDescent="0.35">
      <c r="A3067" s="12" t="s">
        <v>3959</v>
      </c>
      <c r="B3067" s="12" t="s">
        <v>1433</v>
      </c>
      <c r="C3067" s="12" t="s">
        <v>1434</v>
      </c>
      <c r="D3067" s="12" t="s">
        <v>269</v>
      </c>
      <c r="E3067" s="12" t="s">
        <v>65</v>
      </c>
      <c r="F3067">
        <v>3</v>
      </c>
      <c r="G3067">
        <v>5</v>
      </c>
      <c r="H3067">
        <v>0</v>
      </c>
      <c r="I3067" s="12" t="s">
        <v>223</v>
      </c>
      <c r="J3067" s="12" t="s">
        <v>224</v>
      </c>
      <c r="K3067" s="12" t="s">
        <v>81</v>
      </c>
      <c r="L3067" s="12" t="s">
        <v>134</v>
      </c>
      <c r="M3067">
        <v>2.4900000000000002</v>
      </c>
      <c r="N3067" s="12" t="s">
        <v>135</v>
      </c>
      <c r="O3067" s="12" t="s">
        <v>136</v>
      </c>
      <c r="P3067" s="12" t="s">
        <v>137</v>
      </c>
      <c r="Q3067" s="13">
        <v>45488</v>
      </c>
      <c r="R3067" s="13">
        <v>45520</v>
      </c>
      <c r="S3067">
        <v>2024</v>
      </c>
      <c r="T3067" s="12" t="s">
        <v>3854</v>
      </c>
      <c r="U3067">
        <v>95</v>
      </c>
      <c r="V3067">
        <v>463.40940000000001</v>
      </c>
      <c r="W3067">
        <v>371.75</v>
      </c>
      <c r="X3067">
        <v>0</v>
      </c>
      <c r="Y3067">
        <v>0</v>
      </c>
      <c r="Z3067">
        <v>44023.89</v>
      </c>
      <c r="AA3067">
        <v>44395.64</v>
      </c>
      <c r="AB3067" s="12" t="s">
        <v>201</v>
      </c>
      <c r="AD3067">
        <v>0</v>
      </c>
      <c r="AE3067">
        <v>0</v>
      </c>
      <c r="AH3067">
        <v>95</v>
      </c>
      <c r="AI3067">
        <v>93</v>
      </c>
      <c r="AJ3067">
        <v>2</v>
      </c>
      <c r="AK3067">
        <v>1</v>
      </c>
      <c r="AL3067">
        <v>1</v>
      </c>
      <c r="AM3067">
        <v>97.89</v>
      </c>
      <c r="AN3067">
        <v>477.3725</v>
      </c>
      <c r="AO3067">
        <v>926.82</v>
      </c>
      <c r="AP3067" s="13">
        <v>45517</v>
      </c>
      <c r="AQ3067">
        <v>-3</v>
      </c>
      <c r="AR3067">
        <v>1</v>
      </c>
    </row>
    <row r="3068" spans="1:44" x14ac:dyDescent="0.35">
      <c r="A3068" s="12" t="s">
        <v>3960</v>
      </c>
      <c r="B3068" s="12" t="s">
        <v>503</v>
      </c>
      <c r="C3068" s="12" t="s">
        <v>504</v>
      </c>
      <c r="D3068" s="12" t="s">
        <v>103</v>
      </c>
      <c r="E3068" s="12" t="s">
        <v>104</v>
      </c>
      <c r="F3068">
        <v>3</v>
      </c>
      <c r="G3068">
        <v>1</v>
      </c>
      <c r="H3068">
        <v>0</v>
      </c>
      <c r="I3068" s="12" t="s">
        <v>209</v>
      </c>
      <c r="J3068" s="12" t="s">
        <v>210</v>
      </c>
      <c r="K3068" s="12" t="s">
        <v>133</v>
      </c>
      <c r="L3068" s="12" t="s">
        <v>96</v>
      </c>
      <c r="M3068">
        <v>7.82</v>
      </c>
      <c r="N3068" s="12" t="s">
        <v>107</v>
      </c>
      <c r="O3068" s="12" t="s">
        <v>108</v>
      </c>
      <c r="P3068" s="12" t="s">
        <v>109</v>
      </c>
      <c r="Q3068" s="13">
        <v>45489</v>
      </c>
      <c r="R3068" s="13">
        <v>45517</v>
      </c>
      <c r="S3068">
        <v>2024</v>
      </c>
      <c r="T3068" s="12" t="s">
        <v>3854</v>
      </c>
      <c r="U3068">
        <v>137</v>
      </c>
      <c r="V3068">
        <v>156.6559</v>
      </c>
      <c r="W3068">
        <v>184.66</v>
      </c>
      <c r="X3068">
        <v>0</v>
      </c>
      <c r="Y3068">
        <v>0</v>
      </c>
      <c r="Z3068">
        <v>21461.86</v>
      </c>
      <c r="AA3068">
        <v>21646.52</v>
      </c>
      <c r="AB3068" s="12" t="s">
        <v>3083</v>
      </c>
      <c r="AC3068">
        <v>156.6559</v>
      </c>
      <c r="AD3068">
        <v>1</v>
      </c>
      <c r="AE3068">
        <v>1</v>
      </c>
      <c r="AF3068">
        <v>0</v>
      </c>
      <c r="AG3068">
        <v>21461.86</v>
      </c>
      <c r="AH3068">
        <v>137</v>
      </c>
      <c r="AI3068">
        <v>136</v>
      </c>
      <c r="AJ3068">
        <v>1</v>
      </c>
      <c r="AK3068">
        <v>1</v>
      </c>
      <c r="AL3068">
        <v>1</v>
      </c>
      <c r="AM3068">
        <v>99.27</v>
      </c>
      <c r="AN3068">
        <v>159.16560000000001</v>
      </c>
      <c r="AO3068">
        <v>156.66</v>
      </c>
      <c r="AP3068" s="13">
        <v>45516</v>
      </c>
      <c r="AQ3068">
        <v>-1</v>
      </c>
      <c r="AR3068">
        <v>1</v>
      </c>
    </row>
    <row r="3069" spans="1:44" x14ac:dyDescent="0.35">
      <c r="A3069" s="12" t="s">
        <v>3961</v>
      </c>
      <c r="B3069" s="12" t="s">
        <v>609</v>
      </c>
      <c r="C3069" s="12" t="s">
        <v>610</v>
      </c>
      <c r="D3069" s="12" t="s">
        <v>64</v>
      </c>
      <c r="E3069" s="12" t="s">
        <v>104</v>
      </c>
      <c r="F3069">
        <v>1</v>
      </c>
      <c r="G3069">
        <v>0</v>
      </c>
      <c r="H3069">
        <v>1</v>
      </c>
      <c r="I3069" s="12" t="s">
        <v>227</v>
      </c>
      <c r="J3069" s="12" t="s">
        <v>228</v>
      </c>
      <c r="K3069" s="12" t="s">
        <v>89</v>
      </c>
      <c r="L3069" s="12" t="s">
        <v>96</v>
      </c>
      <c r="M3069">
        <v>9.15</v>
      </c>
      <c r="N3069" s="12" t="s">
        <v>97</v>
      </c>
      <c r="O3069" s="12" t="s">
        <v>98</v>
      </c>
      <c r="P3069" s="12" t="s">
        <v>72</v>
      </c>
      <c r="Q3069" s="13">
        <v>45489</v>
      </c>
      <c r="R3069" s="13">
        <v>45509</v>
      </c>
      <c r="S3069">
        <v>2024</v>
      </c>
      <c r="T3069" s="12" t="s">
        <v>3854</v>
      </c>
      <c r="U3069">
        <v>531</v>
      </c>
      <c r="V3069">
        <v>20.698799999999999</v>
      </c>
      <c r="W3069">
        <v>89.21</v>
      </c>
      <c r="X3069">
        <v>0</v>
      </c>
      <c r="Y3069">
        <v>0</v>
      </c>
      <c r="Z3069">
        <v>10991.06</v>
      </c>
      <c r="AA3069">
        <v>11080.27</v>
      </c>
      <c r="AB3069" s="12" t="s">
        <v>3349</v>
      </c>
      <c r="AC3069">
        <v>20.698799999999999</v>
      </c>
      <c r="AD3069">
        <v>1</v>
      </c>
      <c r="AE3069">
        <v>1</v>
      </c>
      <c r="AF3069">
        <v>0</v>
      </c>
      <c r="AG3069">
        <v>10991.06</v>
      </c>
      <c r="AH3069">
        <v>531</v>
      </c>
      <c r="AI3069">
        <v>523</v>
      </c>
      <c r="AJ3069">
        <v>8</v>
      </c>
      <c r="AK3069">
        <v>1</v>
      </c>
      <c r="AL3069">
        <v>1</v>
      </c>
      <c r="AM3069">
        <v>98.49</v>
      </c>
      <c r="AN3069">
        <v>21.186</v>
      </c>
      <c r="AO3069">
        <v>165.59</v>
      </c>
      <c r="AP3069" s="13">
        <v>45506</v>
      </c>
      <c r="AQ3069">
        <v>-3</v>
      </c>
      <c r="AR3069">
        <v>1</v>
      </c>
    </row>
    <row r="3070" spans="1:44" x14ac:dyDescent="0.35">
      <c r="A3070" s="12" t="s">
        <v>3962</v>
      </c>
      <c r="B3070" s="12" t="s">
        <v>472</v>
      </c>
      <c r="C3070" s="12" t="s">
        <v>473</v>
      </c>
      <c r="D3070" s="12" t="s">
        <v>122</v>
      </c>
      <c r="E3070" s="12" t="s">
        <v>142</v>
      </c>
      <c r="F3070">
        <v>2</v>
      </c>
      <c r="G3070">
        <v>9</v>
      </c>
      <c r="H3070">
        <v>0</v>
      </c>
      <c r="I3070" s="12" t="s">
        <v>209</v>
      </c>
      <c r="J3070" s="12" t="s">
        <v>210</v>
      </c>
      <c r="K3070" s="12" t="s">
        <v>133</v>
      </c>
      <c r="L3070" s="12" t="s">
        <v>96</v>
      </c>
      <c r="M3070">
        <v>7.82</v>
      </c>
      <c r="N3070" s="12" t="s">
        <v>70</v>
      </c>
      <c r="O3070" s="12" t="s">
        <v>71</v>
      </c>
      <c r="P3070" s="12" t="s">
        <v>72</v>
      </c>
      <c r="Q3070" s="13">
        <v>45489</v>
      </c>
      <c r="R3070" s="13">
        <v>45534</v>
      </c>
      <c r="S3070">
        <v>2024</v>
      </c>
      <c r="T3070" s="12" t="s">
        <v>3854</v>
      </c>
      <c r="U3070">
        <v>1258</v>
      </c>
      <c r="V3070">
        <v>46.789099999999998</v>
      </c>
      <c r="W3070">
        <v>607.61</v>
      </c>
      <c r="X3070">
        <v>0</v>
      </c>
      <c r="Y3070">
        <v>0</v>
      </c>
      <c r="Z3070">
        <v>58860.69</v>
      </c>
      <c r="AA3070">
        <v>59468.3</v>
      </c>
      <c r="AB3070" s="12" t="s">
        <v>2966</v>
      </c>
      <c r="AC3070">
        <v>46.789099999999998</v>
      </c>
      <c r="AD3070">
        <v>1</v>
      </c>
      <c r="AE3070">
        <v>1</v>
      </c>
      <c r="AF3070">
        <v>0</v>
      </c>
      <c r="AG3070">
        <v>58860.69</v>
      </c>
      <c r="AH3070">
        <v>1258</v>
      </c>
      <c r="AI3070">
        <v>1246</v>
      </c>
      <c r="AJ3070">
        <v>12</v>
      </c>
      <c r="AK3070">
        <v>1</v>
      </c>
      <c r="AL3070">
        <v>1</v>
      </c>
      <c r="AM3070">
        <v>99.05</v>
      </c>
      <c r="AN3070">
        <v>47.727400000000003</v>
      </c>
      <c r="AO3070">
        <v>561.47</v>
      </c>
      <c r="AP3070" s="13">
        <v>45535</v>
      </c>
      <c r="AQ3070">
        <v>1</v>
      </c>
      <c r="AR3070">
        <v>0</v>
      </c>
    </row>
    <row r="3071" spans="1:44" x14ac:dyDescent="0.35">
      <c r="A3071" s="12" t="s">
        <v>3963</v>
      </c>
      <c r="B3071" s="12" t="s">
        <v>120</v>
      </c>
      <c r="C3071" s="12" t="s">
        <v>121</v>
      </c>
      <c r="D3071" s="12" t="s">
        <v>122</v>
      </c>
      <c r="E3071" s="12" t="s">
        <v>65</v>
      </c>
      <c r="F3071">
        <v>3</v>
      </c>
      <c r="G3071">
        <v>4</v>
      </c>
      <c r="H3071">
        <v>0</v>
      </c>
      <c r="I3071" s="12" t="s">
        <v>123</v>
      </c>
      <c r="J3071" s="12" t="s">
        <v>124</v>
      </c>
      <c r="K3071" s="12" t="s">
        <v>125</v>
      </c>
      <c r="L3071" s="12" t="s">
        <v>82</v>
      </c>
      <c r="M3071">
        <v>6.75</v>
      </c>
      <c r="N3071" s="12" t="s">
        <v>70</v>
      </c>
      <c r="O3071" s="12" t="s">
        <v>71</v>
      </c>
      <c r="P3071" s="12" t="s">
        <v>72</v>
      </c>
      <c r="Q3071" s="13">
        <v>45489</v>
      </c>
      <c r="R3071" s="13">
        <v>45527</v>
      </c>
      <c r="S3071">
        <v>2024</v>
      </c>
      <c r="T3071" s="12" t="s">
        <v>3854</v>
      </c>
      <c r="U3071">
        <v>1966</v>
      </c>
      <c r="V3071">
        <v>53.214500000000001</v>
      </c>
      <c r="W3071">
        <v>800.47</v>
      </c>
      <c r="X3071">
        <v>0</v>
      </c>
      <c r="Y3071">
        <v>0</v>
      </c>
      <c r="Z3071">
        <v>104619.71</v>
      </c>
      <c r="AA3071">
        <v>105420.18</v>
      </c>
      <c r="AB3071" s="12" t="s">
        <v>2728</v>
      </c>
      <c r="AC3071">
        <v>53.214500000000001</v>
      </c>
      <c r="AD3071">
        <v>1</v>
      </c>
      <c r="AE3071">
        <v>1</v>
      </c>
      <c r="AF3071">
        <v>0</v>
      </c>
      <c r="AG3071">
        <v>104619.71</v>
      </c>
      <c r="AH3071">
        <v>1966</v>
      </c>
      <c r="AI3071">
        <v>1954</v>
      </c>
      <c r="AJ3071">
        <v>12</v>
      </c>
      <c r="AK3071">
        <v>1</v>
      </c>
      <c r="AL3071">
        <v>1</v>
      </c>
      <c r="AM3071">
        <v>99.39</v>
      </c>
      <c r="AN3071">
        <v>53.951000000000001</v>
      </c>
      <c r="AO3071">
        <v>638.57000000000005</v>
      </c>
      <c r="AP3071" s="13">
        <v>45526</v>
      </c>
      <c r="AQ3071">
        <v>-1</v>
      </c>
      <c r="AR3071">
        <v>1</v>
      </c>
    </row>
    <row r="3072" spans="1:44" x14ac:dyDescent="0.35">
      <c r="A3072" s="12" t="s">
        <v>3964</v>
      </c>
      <c r="B3072" s="12" t="s">
        <v>876</v>
      </c>
      <c r="C3072" s="12" t="s">
        <v>877</v>
      </c>
      <c r="D3072" s="12" t="s">
        <v>269</v>
      </c>
      <c r="E3072" s="12" t="s">
        <v>142</v>
      </c>
      <c r="F3072">
        <v>3</v>
      </c>
      <c r="G3072">
        <v>11</v>
      </c>
      <c r="H3072">
        <v>0</v>
      </c>
      <c r="I3072" s="12" t="s">
        <v>515</v>
      </c>
      <c r="J3072" s="12" t="s">
        <v>516</v>
      </c>
      <c r="K3072" s="12" t="s">
        <v>68</v>
      </c>
      <c r="L3072" s="12" t="s">
        <v>134</v>
      </c>
      <c r="M3072">
        <v>3.69</v>
      </c>
      <c r="N3072" s="12" t="s">
        <v>159</v>
      </c>
      <c r="O3072" s="12" t="s">
        <v>160</v>
      </c>
      <c r="P3072" s="12" t="s">
        <v>137</v>
      </c>
      <c r="Q3072" s="13">
        <v>45489</v>
      </c>
      <c r="R3072" s="13">
        <v>45530</v>
      </c>
      <c r="S3072">
        <v>2024</v>
      </c>
      <c r="T3072" s="12" t="s">
        <v>3854</v>
      </c>
      <c r="U3072">
        <v>62</v>
      </c>
      <c r="V3072">
        <v>191.71029999999999</v>
      </c>
      <c r="W3072">
        <v>235.74</v>
      </c>
      <c r="X3072">
        <v>0</v>
      </c>
      <c r="Y3072">
        <v>0</v>
      </c>
      <c r="Z3072">
        <v>11886.04</v>
      </c>
      <c r="AA3072">
        <v>12121.78</v>
      </c>
      <c r="AB3072" s="12" t="s">
        <v>3591</v>
      </c>
      <c r="AC3072">
        <v>191.71029999999999</v>
      </c>
      <c r="AD3072">
        <v>1</v>
      </c>
      <c r="AE3072">
        <v>1</v>
      </c>
      <c r="AF3072">
        <v>0</v>
      </c>
      <c r="AG3072">
        <v>11886.04</v>
      </c>
      <c r="AH3072">
        <v>62</v>
      </c>
      <c r="AI3072">
        <v>61</v>
      </c>
      <c r="AJ3072">
        <v>1</v>
      </c>
      <c r="AK3072">
        <v>1</v>
      </c>
      <c r="AL3072">
        <v>1</v>
      </c>
      <c r="AM3072">
        <v>98.39</v>
      </c>
      <c r="AN3072">
        <v>198.71770000000001</v>
      </c>
      <c r="AO3072">
        <v>191.71</v>
      </c>
      <c r="AP3072" s="13">
        <v>45529</v>
      </c>
      <c r="AQ3072">
        <v>-1</v>
      </c>
      <c r="AR3072">
        <v>1</v>
      </c>
    </row>
    <row r="3073" spans="1:44" x14ac:dyDescent="0.35">
      <c r="A3073" s="12" t="s">
        <v>3965</v>
      </c>
      <c r="B3073" s="12" t="s">
        <v>728</v>
      </c>
      <c r="C3073" s="12" t="s">
        <v>729</v>
      </c>
      <c r="D3073" s="12" t="s">
        <v>269</v>
      </c>
      <c r="E3073" s="12" t="s">
        <v>65</v>
      </c>
      <c r="F3073">
        <v>2</v>
      </c>
      <c r="G3073">
        <v>3</v>
      </c>
      <c r="H3073">
        <v>0</v>
      </c>
      <c r="I3073" s="12" t="s">
        <v>310</v>
      </c>
      <c r="J3073" s="12" t="s">
        <v>311</v>
      </c>
      <c r="K3073" s="12" t="s">
        <v>81</v>
      </c>
      <c r="L3073" s="12" t="s">
        <v>69</v>
      </c>
      <c r="M3073">
        <v>28.3</v>
      </c>
      <c r="N3073" s="12" t="s">
        <v>135</v>
      </c>
      <c r="O3073" s="12" t="s">
        <v>136</v>
      </c>
      <c r="P3073" s="12" t="s">
        <v>137</v>
      </c>
      <c r="Q3073" s="13">
        <v>45489</v>
      </c>
      <c r="R3073" s="13">
        <v>45526</v>
      </c>
      <c r="S3073">
        <v>2024</v>
      </c>
      <c r="T3073" s="12" t="s">
        <v>3854</v>
      </c>
      <c r="U3073">
        <v>141</v>
      </c>
      <c r="V3073">
        <v>364.55509999999998</v>
      </c>
      <c r="W3073">
        <v>666.51</v>
      </c>
      <c r="X3073">
        <v>0</v>
      </c>
      <c r="Y3073">
        <v>0</v>
      </c>
      <c r="Z3073">
        <v>51402.27</v>
      </c>
      <c r="AA3073">
        <v>52068.78</v>
      </c>
      <c r="AB3073" s="12" t="s">
        <v>3329</v>
      </c>
      <c r="AC3073">
        <v>364.55509999999998</v>
      </c>
      <c r="AD3073">
        <v>1</v>
      </c>
      <c r="AE3073">
        <v>1</v>
      </c>
      <c r="AF3073">
        <v>0</v>
      </c>
      <c r="AG3073">
        <v>51402.27</v>
      </c>
      <c r="AH3073">
        <v>141</v>
      </c>
      <c r="AI3073">
        <v>140</v>
      </c>
      <c r="AJ3073">
        <v>1</v>
      </c>
      <c r="AK3073">
        <v>1</v>
      </c>
      <c r="AL3073">
        <v>1</v>
      </c>
      <c r="AM3073">
        <v>99.29</v>
      </c>
      <c r="AN3073">
        <v>371.91989999999998</v>
      </c>
      <c r="AO3073">
        <v>364.56</v>
      </c>
      <c r="AP3073" s="13">
        <v>45524</v>
      </c>
      <c r="AQ3073">
        <v>-2</v>
      </c>
      <c r="AR3073">
        <v>1</v>
      </c>
    </row>
    <row r="3074" spans="1:44" x14ac:dyDescent="0.35">
      <c r="A3074" s="12" t="s">
        <v>3966</v>
      </c>
      <c r="B3074" s="12" t="s">
        <v>728</v>
      </c>
      <c r="C3074" s="12" t="s">
        <v>729</v>
      </c>
      <c r="D3074" s="12" t="s">
        <v>269</v>
      </c>
      <c r="E3074" s="12" t="s">
        <v>65</v>
      </c>
      <c r="F3074">
        <v>2</v>
      </c>
      <c r="G3074">
        <v>3</v>
      </c>
      <c r="H3074">
        <v>0</v>
      </c>
      <c r="I3074" s="12" t="s">
        <v>310</v>
      </c>
      <c r="J3074" s="12" t="s">
        <v>311</v>
      </c>
      <c r="K3074" s="12" t="s">
        <v>81</v>
      </c>
      <c r="L3074" s="12" t="s">
        <v>69</v>
      </c>
      <c r="M3074">
        <v>28.3</v>
      </c>
      <c r="N3074" s="12" t="s">
        <v>159</v>
      </c>
      <c r="O3074" s="12" t="s">
        <v>160</v>
      </c>
      <c r="P3074" s="12" t="s">
        <v>137</v>
      </c>
      <c r="Q3074" s="13">
        <v>45489</v>
      </c>
      <c r="R3074" s="13">
        <v>45516</v>
      </c>
      <c r="S3074">
        <v>2024</v>
      </c>
      <c r="T3074" s="12" t="s">
        <v>3854</v>
      </c>
      <c r="U3074">
        <v>63</v>
      </c>
      <c r="V3074">
        <v>364.55509999999998</v>
      </c>
      <c r="W3074">
        <v>551.87</v>
      </c>
      <c r="X3074">
        <v>0</v>
      </c>
      <c r="Y3074">
        <v>0</v>
      </c>
      <c r="Z3074">
        <v>22966.97</v>
      </c>
      <c r="AA3074">
        <v>23518.84</v>
      </c>
      <c r="AB3074" s="12" t="s">
        <v>3329</v>
      </c>
      <c r="AC3074">
        <v>364.55509999999998</v>
      </c>
      <c r="AD3074">
        <v>1</v>
      </c>
      <c r="AE3074">
        <v>1</v>
      </c>
      <c r="AF3074">
        <v>0</v>
      </c>
      <c r="AG3074">
        <v>22966.97</v>
      </c>
      <c r="AH3074">
        <v>63</v>
      </c>
      <c r="AI3074">
        <v>62</v>
      </c>
      <c r="AJ3074">
        <v>1</v>
      </c>
      <c r="AK3074">
        <v>1</v>
      </c>
      <c r="AL3074">
        <v>1</v>
      </c>
      <c r="AM3074">
        <v>98.41</v>
      </c>
      <c r="AN3074">
        <v>379.33620000000002</v>
      </c>
      <c r="AO3074">
        <v>364.56</v>
      </c>
      <c r="AP3074" s="13">
        <v>45516</v>
      </c>
      <c r="AQ3074">
        <v>0</v>
      </c>
      <c r="AR3074">
        <v>1</v>
      </c>
    </row>
    <row r="3075" spans="1:44" x14ac:dyDescent="0.35">
      <c r="A3075" s="12" t="s">
        <v>3967</v>
      </c>
      <c r="B3075" s="12" t="s">
        <v>207</v>
      </c>
      <c r="C3075" s="12" t="s">
        <v>208</v>
      </c>
      <c r="D3075" s="12" t="s">
        <v>78</v>
      </c>
      <c r="E3075" s="12" t="s">
        <v>65</v>
      </c>
      <c r="F3075">
        <v>2</v>
      </c>
      <c r="G3075">
        <v>3</v>
      </c>
      <c r="H3075">
        <v>0</v>
      </c>
      <c r="I3075" s="12" t="s">
        <v>217</v>
      </c>
      <c r="J3075" s="12" t="s">
        <v>218</v>
      </c>
      <c r="K3075" s="12" t="s">
        <v>68</v>
      </c>
      <c r="L3075" s="12" t="s">
        <v>82</v>
      </c>
      <c r="M3075">
        <v>14.24</v>
      </c>
      <c r="N3075" s="12" t="s">
        <v>97</v>
      </c>
      <c r="O3075" s="12" t="s">
        <v>98</v>
      </c>
      <c r="P3075" s="12" t="s">
        <v>72</v>
      </c>
      <c r="Q3075" s="13">
        <v>45489</v>
      </c>
      <c r="R3075" s="13">
        <v>45523</v>
      </c>
      <c r="S3075">
        <v>2024</v>
      </c>
      <c r="T3075" s="12" t="s">
        <v>3854</v>
      </c>
      <c r="U3075">
        <v>240</v>
      </c>
      <c r="V3075">
        <v>148.36510000000001</v>
      </c>
      <c r="W3075">
        <v>829.61</v>
      </c>
      <c r="X3075">
        <v>0</v>
      </c>
      <c r="Y3075">
        <v>0</v>
      </c>
      <c r="Z3075">
        <v>35607.620000000003</v>
      </c>
      <c r="AA3075">
        <v>36437.230000000003</v>
      </c>
      <c r="AB3075" s="12" t="s">
        <v>3559</v>
      </c>
      <c r="AC3075">
        <v>148.36510000000001</v>
      </c>
      <c r="AD3075">
        <v>1</v>
      </c>
      <c r="AE3075">
        <v>1</v>
      </c>
      <c r="AF3075">
        <v>0</v>
      </c>
      <c r="AG3075">
        <v>35607.620000000003</v>
      </c>
      <c r="AH3075">
        <v>240</v>
      </c>
      <c r="AI3075">
        <v>235</v>
      </c>
      <c r="AJ3075">
        <v>5</v>
      </c>
      <c r="AK3075">
        <v>1</v>
      </c>
      <c r="AL3075">
        <v>1</v>
      </c>
      <c r="AM3075">
        <v>97.92</v>
      </c>
      <c r="AN3075">
        <v>155.0521</v>
      </c>
      <c r="AO3075">
        <v>741.83</v>
      </c>
      <c r="AP3075" s="13">
        <v>45523</v>
      </c>
      <c r="AQ3075">
        <v>0</v>
      </c>
      <c r="AR3075">
        <v>1</v>
      </c>
    </row>
    <row r="3076" spans="1:44" x14ac:dyDescent="0.35">
      <c r="A3076" s="12" t="s">
        <v>3968</v>
      </c>
      <c r="B3076" s="12" t="s">
        <v>732</v>
      </c>
      <c r="C3076" s="12" t="s">
        <v>733</v>
      </c>
      <c r="D3076" s="12" t="s">
        <v>114</v>
      </c>
      <c r="E3076" s="12" t="s">
        <v>104</v>
      </c>
      <c r="F3076">
        <v>3</v>
      </c>
      <c r="G3076">
        <v>1</v>
      </c>
      <c r="H3076">
        <v>0</v>
      </c>
      <c r="I3076" s="12" t="s">
        <v>251</v>
      </c>
      <c r="J3076" s="12" t="s">
        <v>252</v>
      </c>
      <c r="K3076" s="12" t="s">
        <v>133</v>
      </c>
      <c r="L3076" s="12" t="s">
        <v>69</v>
      </c>
      <c r="M3076">
        <v>34.49</v>
      </c>
      <c r="N3076" s="12" t="s">
        <v>97</v>
      </c>
      <c r="O3076" s="12" t="s">
        <v>98</v>
      </c>
      <c r="P3076" s="12" t="s">
        <v>72</v>
      </c>
      <c r="Q3076" s="13">
        <v>45489</v>
      </c>
      <c r="R3076" s="13">
        <v>45516</v>
      </c>
      <c r="S3076">
        <v>2024</v>
      </c>
      <c r="T3076" s="12" t="s">
        <v>3854</v>
      </c>
      <c r="U3076">
        <v>132</v>
      </c>
      <c r="V3076">
        <v>304.44779999999997</v>
      </c>
      <c r="W3076">
        <v>842.75</v>
      </c>
      <c r="X3076">
        <v>0</v>
      </c>
      <c r="Y3076">
        <v>0</v>
      </c>
      <c r="Z3076">
        <v>40187.11</v>
      </c>
      <c r="AA3076">
        <v>41029.86</v>
      </c>
      <c r="AB3076" s="12" t="s">
        <v>3247</v>
      </c>
      <c r="AC3076">
        <v>304.44779999999997</v>
      </c>
      <c r="AD3076">
        <v>1</v>
      </c>
      <c r="AE3076">
        <v>1</v>
      </c>
      <c r="AF3076">
        <v>0</v>
      </c>
      <c r="AG3076">
        <v>40187.11</v>
      </c>
      <c r="AH3076">
        <v>132</v>
      </c>
      <c r="AI3076">
        <v>130</v>
      </c>
      <c r="AJ3076">
        <v>2</v>
      </c>
      <c r="AK3076">
        <v>1</v>
      </c>
      <c r="AL3076">
        <v>1</v>
      </c>
      <c r="AM3076">
        <v>98.48</v>
      </c>
      <c r="AN3076">
        <v>315.61430000000001</v>
      </c>
      <c r="AO3076">
        <v>608.9</v>
      </c>
      <c r="AP3076" s="13">
        <v>45515</v>
      </c>
      <c r="AQ3076">
        <v>-1</v>
      </c>
      <c r="AR3076">
        <v>1</v>
      </c>
    </row>
    <row r="3077" spans="1:44" x14ac:dyDescent="0.35">
      <c r="A3077" s="12" t="s">
        <v>3969</v>
      </c>
      <c r="B3077" s="12" t="s">
        <v>92</v>
      </c>
      <c r="C3077" s="12" t="s">
        <v>93</v>
      </c>
      <c r="D3077" s="12" t="s">
        <v>64</v>
      </c>
      <c r="E3077" s="12" t="s">
        <v>65</v>
      </c>
      <c r="F3077">
        <v>3</v>
      </c>
      <c r="G3077">
        <v>5</v>
      </c>
      <c r="H3077">
        <v>0</v>
      </c>
      <c r="I3077" s="12" t="s">
        <v>176</v>
      </c>
      <c r="J3077" s="12" t="s">
        <v>177</v>
      </c>
      <c r="K3077" s="12" t="s">
        <v>125</v>
      </c>
      <c r="L3077" s="12" t="s">
        <v>134</v>
      </c>
      <c r="M3077">
        <v>1.75</v>
      </c>
      <c r="N3077" s="12" t="s">
        <v>97</v>
      </c>
      <c r="O3077" s="12" t="s">
        <v>98</v>
      </c>
      <c r="P3077" s="12" t="s">
        <v>72</v>
      </c>
      <c r="Q3077" s="13">
        <v>45489</v>
      </c>
      <c r="R3077" s="13">
        <v>45520</v>
      </c>
      <c r="S3077">
        <v>2024</v>
      </c>
      <c r="T3077" s="12" t="s">
        <v>3854</v>
      </c>
      <c r="U3077">
        <v>607</v>
      </c>
      <c r="V3077">
        <v>24.757100000000001</v>
      </c>
      <c r="W3077">
        <v>126.14</v>
      </c>
      <c r="X3077">
        <v>0</v>
      </c>
      <c r="Y3077">
        <v>0</v>
      </c>
      <c r="Z3077">
        <v>15027.56</v>
      </c>
      <c r="AA3077">
        <v>15153.7</v>
      </c>
      <c r="AB3077" s="12" t="s">
        <v>201</v>
      </c>
      <c r="AD3077">
        <v>0</v>
      </c>
      <c r="AE3077">
        <v>0</v>
      </c>
      <c r="AH3077">
        <v>607</v>
      </c>
      <c r="AI3077">
        <v>598</v>
      </c>
      <c r="AJ3077">
        <v>9</v>
      </c>
      <c r="AK3077">
        <v>1</v>
      </c>
      <c r="AL3077">
        <v>1</v>
      </c>
      <c r="AM3077">
        <v>98.52</v>
      </c>
      <c r="AN3077">
        <v>25.340599999999998</v>
      </c>
      <c r="AO3077">
        <v>222.81</v>
      </c>
      <c r="AP3077" s="13">
        <v>45517</v>
      </c>
      <c r="AQ3077">
        <v>-3</v>
      </c>
      <c r="AR3077">
        <v>1</v>
      </c>
    </row>
    <row r="3078" spans="1:44" x14ac:dyDescent="0.35">
      <c r="A3078" s="12" t="s">
        <v>3970</v>
      </c>
      <c r="B3078" s="12" t="s">
        <v>289</v>
      </c>
      <c r="C3078" s="12" t="s">
        <v>290</v>
      </c>
      <c r="D3078" s="12" t="s">
        <v>175</v>
      </c>
      <c r="E3078" s="12" t="s">
        <v>104</v>
      </c>
      <c r="F3078">
        <v>3</v>
      </c>
      <c r="G3078">
        <v>1</v>
      </c>
      <c r="H3078">
        <v>0</v>
      </c>
      <c r="I3078" s="12" t="s">
        <v>209</v>
      </c>
      <c r="J3078" s="12" t="s">
        <v>210</v>
      </c>
      <c r="K3078" s="12" t="s">
        <v>133</v>
      </c>
      <c r="L3078" s="12" t="s">
        <v>96</v>
      </c>
      <c r="M3078">
        <v>7.82</v>
      </c>
      <c r="N3078" s="12" t="s">
        <v>145</v>
      </c>
      <c r="O3078" s="12" t="s">
        <v>146</v>
      </c>
      <c r="P3078" s="12" t="s">
        <v>109</v>
      </c>
      <c r="Q3078" s="13">
        <v>45489</v>
      </c>
      <c r="R3078" s="13">
        <v>45504</v>
      </c>
      <c r="S3078">
        <v>2024</v>
      </c>
      <c r="T3078" s="12" t="s">
        <v>3854</v>
      </c>
      <c r="U3078">
        <v>38</v>
      </c>
      <c r="V3078">
        <v>206.43809999999999</v>
      </c>
      <c r="W3078">
        <v>166.72</v>
      </c>
      <c r="X3078">
        <v>0</v>
      </c>
      <c r="Y3078">
        <v>0</v>
      </c>
      <c r="Z3078">
        <v>7844.65</v>
      </c>
      <c r="AA3078">
        <v>8011.37</v>
      </c>
      <c r="AB3078" s="12" t="s">
        <v>201</v>
      </c>
      <c r="AD3078">
        <v>0</v>
      </c>
      <c r="AE3078">
        <v>0</v>
      </c>
      <c r="AH3078">
        <v>38</v>
      </c>
      <c r="AI3078">
        <v>38</v>
      </c>
      <c r="AJ3078">
        <v>0</v>
      </c>
      <c r="AK3078">
        <v>1</v>
      </c>
      <c r="AL3078">
        <v>1</v>
      </c>
      <c r="AM3078">
        <v>100</v>
      </c>
      <c r="AN3078">
        <v>210.82550000000001</v>
      </c>
      <c r="AO3078">
        <v>0</v>
      </c>
      <c r="AP3078" s="13">
        <v>45510</v>
      </c>
      <c r="AQ3078">
        <v>6</v>
      </c>
      <c r="AR3078">
        <v>0</v>
      </c>
    </row>
    <row r="3079" spans="1:44" x14ac:dyDescent="0.35">
      <c r="A3079" s="12" t="s">
        <v>3971</v>
      </c>
      <c r="B3079" s="12" t="s">
        <v>1179</v>
      </c>
      <c r="C3079" s="12" t="s">
        <v>1180</v>
      </c>
      <c r="D3079" s="12" t="s">
        <v>122</v>
      </c>
      <c r="E3079" s="12" t="s">
        <v>142</v>
      </c>
      <c r="F3079">
        <v>1</v>
      </c>
      <c r="G3079">
        <v>8</v>
      </c>
      <c r="H3079">
        <v>1</v>
      </c>
      <c r="I3079" s="12" t="s">
        <v>143</v>
      </c>
      <c r="J3079" s="12" t="s">
        <v>144</v>
      </c>
      <c r="K3079" s="12" t="s">
        <v>133</v>
      </c>
      <c r="L3079" s="12" t="s">
        <v>96</v>
      </c>
      <c r="M3079">
        <v>5.43</v>
      </c>
      <c r="N3079" s="12" t="s">
        <v>97</v>
      </c>
      <c r="O3079" s="12" t="s">
        <v>98</v>
      </c>
      <c r="P3079" s="12" t="s">
        <v>72</v>
      </c>
      <c r="Q3079" s="13">
        <v>45489</v>
      </c>
      <c r="R3079" s="13">
        <v>45538</v>
      </c>
      <c r="S3079">
        <v>2024</v>
      </c>
      <c r="T3079" s="12" t="s">
        <v>3854</v>
      </c>
      <c r="U3079">
        <v>1617</v>
      </c>
      <c r="V3079">
        <v>52.441499999999998</v>
      </c>
      <c r="W3079">
        <v>1184.48</v>
      </c>
      <c r="X3079">
        <v>0</v>
      </c>
      <c r="Y3079">
        <v>0</v>
      </c>
      <c r="Z3079">
        <v>84797.91</v>
      </c>
      <c r="AA3079">
        <v>85982.39</v>
      </c>
      <c r="AB3079" s="12" t="s">
        <v>3049</v>
      </c>
      <c r="AC3079">
        <v>52.441499999999998</v>
      </c>
      <c r="AD3079">
        <v>1</v>
      </c>
      <c r="AE3079">
        <v>1</v>
      </c>
      <c r="AF3079">
        <v>0</v>
      </c>
      <c r="AG3079">
        <v>84797.91</v>
      </c>
      <c r="AH3079">
        <v>1617</v>
      </c>
      <c r="AI3079">
        <v>1606</v>
      </c>
      <c r="AJ3079">
        <v>11</v>
      </c>
      <c r="AK3079">
        <v>1</v>
      </c>
      <c r="AL3079">
        <v>1</v>
      </c>
      <c r="AM3079">
        <v>99.32</v>
      </c>
      <c r="AN3079">
        <v>53.538200000000003</v>
      </c>
      <c r="AO3079">
        <v>576.86</v>
      </c>
      <c r="AP3079" s="13">
        <v>45535</v>
      </c>
      <c r="AQ3079">
        <v>-3</v>
      </c>
      <c r="AR3079">
        <v>1</v>
      </c>
    </row>
    <row r="3080" spans="1:44" x14ac:dyDescent="0.35">
      <c r="A3080" s="12" t="s">
        <v>3972</v>
      </c>
      <c r="B3080" s="12" t="s">
        <v>565</v>
      </c>
      <c r="C3080" s="12" t="s">
        <v>566</v>
      </c>
      <c r="D3080" s="12" t="s">
        <v>122</v>
      </c>
      <c r="E3080" s="12" t="s">
        <v>104</v>
      </c>
      <c r="F3080">
        <v>3</v>
      </c>
      <c r="G3080">
        <v>1</v>
      </c>
      <c r="H3080">
        <v>0</v>
      </c>
      <c r="I3080" s="12" t="s">
        <v>87</v>
      </c>
      <c r="J3080" s="12" t="s">
        <v>88</v>
      </c>
      <c r="K3080" s="12" t="s">
        <v>89</v>
      </c>
      <c r="L3080" s="12" t="s">
        <v>69</v>
      </c>
      <c r="M3080">
        <v>14.93</v>
      </c>
      <c r="N3080" s="12" t="s">
        <v>70</v>
      </c>
      <c r="O3080" s="12" t="s">
        <v>71</v>
      </c>
      <c r="P3080" s="12" t="s">
        <v>72</v>
      </c>
      <c r="Q3080" s="13">
        <v>45490</v>
      </c>
      <c r="R3080" s="13">
        <v>45506</v>
      </c>
      <c r="S3080">
        <v>2024</v>
      </c>
      <c r="T3080" s="12" t="s">
        <v>3854</v>
      </c>
      <c r="U3080">
        <v>604</v>
      </c>
      <c r="V3080">
        <v>34.7179</v>
      </c>
      <c r="W3080">
        <v>248.78</v>
      </c>
      <c r="X3080">
        <v>0</v>
      </c>
      <c r="Y3080">
        <v>0</v>
      </c>
      <c r="Z3080">
        <v>20969.61</v>
      </c>
      <c r="AA3080">
        <v>21218.39</v>
      </c>
      <c r="AB3080" s="12" t="s">
        <v>3238</v>
      </c>
      <c r="AC3080">
        <v>34.7179</v>
      </c>
      <c r="AD3080">
        <v>1</v>
      </c>
      <c r="AE3080">
        <v>1</v>
      </c>
      <c r="AF3080">
        <v>0</v>
      </c>
      <c r="AG3080">
        <v>20969.61</v>
      </c>
      <c r="AH3080">
        <v>604</v>
      </c>
      <c r="AI3080">
        <v>597</v>
      </c>
      <c r="AJ3080">
        <v>7</v>
      </c>
      <c r="AK3080">
        <v>1</v>
      </c>
      <c r="AL3080">
        <v>1</v>
      </c>
      <c r="AM3080">
        <v>98.84</v>
      </c>
      <c r="AN3080">
        <v>35.541699999999999</v>
      </c>
      <c r="AO3080">
        <v>243.03</v>
      </c>
      <c r="AP3080" s="13">
        <v>45505</v>
      </c>
      <c r="AQ3080">
        <v>-1</v>
      </c>
      <c r="AR3080">
        <v>1</v>
      </c>
    </row>
    <row r="3081" spans="1:44" x14ac:dyDescent="0.35">
      <c r="A3081" s="12" t="s">
        <v>3973</v>
      </c>
      <c r="B3081" s="12" t="s">
        <v>963</v>
      </c>
      <c r="C3081" s="12" t="s">
        <v>964</v>
      </c>
      <c r="D3081" s="12" t="s">
        <v>114</v>
      </c>
      <c r="E3081" s="12" t="s">
        <v>142</v>
      </c>
      <c r="F3081">
        <v>1</v>
      </c>
      <c r="G3081">
        <v>6</v>
      </c>
      <c r="H3081">
        <v>1</v>
      </c>
      <c r="I3081" s="12" t="s">
        <v>176</v>
      </c>
      <c r="J3081" s="12" t="s">
        <v>177</v>
      </c>
      <c r="K3081" s="12" t="s">
        <v>125</v>
      </c>
      <c r="L3081" s="12" t="s">
        <v>134</v>
      </c>
      <c r="M3081">
        <v>1.75</v>
      </c>
      <c r="N3081" s="12" t="s">
        <v>97</v>
      </c>
      <c r="O3081" s="12" t="s">
        <v>98</v>
      </c>
      <c r="P3081" s="12" t="s">
        <v>72</v>
      </c>
      <c r="Q3081" s="13">
        <v>45490</v>
      </c>
      <c r="R3081" s="13">
        <v>45536</v>
      </c>
      <c r="S3081">
        <v>2024</v>
      </c>
      <c r="T3081" s="12" t="s">
        <v>3854</v>
      </c>
      <c r="U3081">
        <v>96</v>
      </c>
      <c r="V3081">
        <v>194.16829999999999</v>
      </c>
      <c r="W3081">
        <v>202.02</v>
      </c>
      <c r="X3081">
        <v>0</v>
      </c>
      <c r="Y3081">
        <v>0</v>
      </c>
      <c r="Z3081">
        <v>18640.16</v>
      </c>
      <c r="AA3081">
        <v>18842.18</v>
      </c>
      <c r="AB3081" s="12" t="s">
        <v>3290</v>
      </c>
      <c r="AC3081">
        <v>194.16829999999999</v>
      </c>
      <c r="AD3081">
        <v>1</v>
      </c>
      <c r="AE3081">
        <v>1</v>
      </c>
      <c r="AF3081">
        <v>0</v>
      </c>
      <c r="AG3081">
        <v>18640.16</v>
      </c>
      <c r="AH3081">
        <v>96</v>
      </c>
      <c r="AI3081">
        <v>95</v>
      </c>
      <c r="AJ3081">
        <v>1</v>
      </c>
      <c r="AK3081">
        <v>1</v>
      </c>
      <c r="AL3081">
        <v>1</v>
      </c>
      <c r="AM3081">
        <v>98.96</v>
      </c>
      <c r="AN3081">
        <v>198.33869999999999</v>
      </c>
      <c r="AO3081">
        <v>194.17</v>
      </c>
      <c r="AP3081" s="13">
        <v>45538</v>
      </c>
      <c r="AQ3081">
        <v>2</v>
      </c>
      <c r="AR3081">
        <v>0</v>
      </c>
    </row>
    <row r="3082" spans="1:44" x14ac:dyDescent="0.35">
      <c r="A3082" s="12" t="s">
        <v>3974</v>
      </c>
      <c r="B3082" s="12" t="s">
        <v>112</v>
      </c>
      <c r="C3082" s="12" t="s">
        <v>113</v>
      </c>
      <c r="D3082" s="12" t="s">
        <v>114</v>
      </c>
      <c r="E3082" s="12" t="s">
        <v>104</v>
      </c>
      <c r="F3082">
        <v>3</v>
      </c>
      <c r="G3082">
        <v>1</v>
      </c>
      <c r="H3082">
        <v>0</v>
      </c>
      <c r="I3082" s="12" t="s">
        <v>115</v>
      </c>
      <c r="J3082" s="12" t="s">
        <v>116</v>
      </c>
      <c r="K3082" s="12" t="s">
        <v>117</v>
      </c>
      <c r="L3082" s="12" t="s">
        <v>82</v>
      </c>
      <c r="M3082">
        <v>17.170000000000002</v>
      </c>
      <c r="N3082" s="12" t="s">
        <v>97</v>
      </c>
      <c r="O3082" s="12" t="s">
        <v>98</v>
      </c>
      <c r="P3082" s="12" t="s">
        <v>72</v>
      </c>
      <c r="Q3082" s="13">
        <v>45490</v>
      </c>
      <c r="R3082" s="13">
        <v>45511</v>
      </c>
      <c r="S3082">
        <v>2024</v>
      </c>
      <c r="T3082" s="12" t="s">
        <v>3854</v>
      </c>
      <c r="U3082">
        <v>84</v>
      </c>
      <c r="V3082">
        <v>260.83109999999999</v>
      </c>
      <c r="W3082">
        <v>354.22</v>
      </c>
      <c r="X3082">
        <v>0</v>
      </c>
      <c r="Y3082">
        <v>0</v>
      </c>
      <c r="Z3082">
        <v>21909.81</v>
      </c>
      <c r="AA3082">
        <v>22264.03</v>
      </c>
      <c r="AB3082" s="12" t="s">
        <v>3975</v>
      </c>
      <c r="AC3082">
        <v>260.83109999999999</v>
      </c>
      <c r="AD3082">
        <v>1</v>
      </c>
      <c r="AE3082">
        <v>1</v>
      </c>
      <c r="AF3082">
        <v>0</v>
      </c>
      <c r="AG3082">
        <v>21909.81</v>
      </c>
      <c r="AH3082">
        <v>84</v>
      </c>
      <c r="AI3082">
        <v>83</v>
      </c>
      <c r="AJ3082">
        <v>1</v>
      </c>
      <c r="AK3082">
        <v>1</v>
      </c>
      <c r="AL3082">
        <v>1</v>
      </c>
      <c r="AM3082">
        <v>98.81</v>
      </c>
      <c r="AN3082">
        <v>268.2414</v>
      </c>
      <c r="AO3082">
        <v>260.83</v>
      </c>
      <c r="AP3082" s="13">
        <v>45508</v>
      </c>
      <c r="AQ3082">
        <v>-3</v>
      </c>
      <c r="AR3082">
        <v>1</v>
      </c>
    </row>
    <row r="3083" spans="1:44" x14ac:dyDescent="0.35">
      <c r="A3083" s="12" t="s">
        <v>3976</v>
      </c>
      <c r="B3083" s="12" t="s">
        <v>284</v>
      </c>
      <c r="C3083" s="12" t="s">
        <v>285</v>
      </c>
      <c r="D3083" s="12" t="s">
        <v>269</v>
      </c>
      <c r="E3083" s="12" t="s">
        <v>104</v>
      </c>
      <c r="F3083">
        <v>3</v>
      </c>
      <c r="G3083">
        <v>1</v>
      </c>
      <c r="H3083">
        <v>0</v>
      </c>
      <c r="I3083" s="12" t="s">
        <v>243</v>
      </c>
      <c r="J3083" s="12" t="s">
        <v>244</v>
      </c>
      <c r="K3083" s="12" t="s">
        <v>81</v>
      </c>
      <c r="L3083" s="12" t="s">
        <v>82</v>
      </c>
      <c r="M3083">
        <v>9.2200000000000006</v>
      </c>
      <c r="N3083" s="12" t="s">
        <v>159</v>
      </c>
      <c r="O3083" s="12" t="s">
        <v>160</v>
      </c>
      <c r="P3083" s="12" t="s">
        <v>137</v>
      </c>
      <c r="Q3083" s="13">
        <v>45490</v>
      </c>
      <c r="R3083" s="13">
        <v>45515</v>
      </c>
      <c r="S3083">
        <v>2024</v>
      </c>
      <c r="T3083" s="12" t="s">
        <v>3854</v>
      </c>
      <c r="U3083">
        <v>114</v>
      </c>
      <c r="V3083">
        <v>388.12880000000001</v>
      </c>
      <c r="W3083">
        <v>372.4</v>
      </c>
      <c r="X3083">
        <v>0</v>
      </c>
      <c r="Y3083">
        <v>0</v>
      </c>
      <c r="Z3083">
        <v>44246.68</v>
      </c>
      <c r="AA3083">
        <v>44619.08</v>
      </c>
      <c r="AB3083" s="12" t="s">
        <v>3977</v>
      </c>
      <c r="AC3083">
        <v>388.12880000000001</v>
      </c>
      <c r="AD3083">
        <v>1</v>
      </c>
      <c r="AE3083">
        <v>1</v>
      </c>
      <c r="AF3083">
        <v>0</v>
      </c>
      <c r="AG3083">
        <v>44246.68</v>
      </c>
      <c r="AH3083">
        <v>114</v>
      </c>
      <c r="AI3083">
        <v>113</v>
      </c>
      <c r="AJ3083">
        <v>1</v>
      </c>
      <c r="AK3083">
        <v>1</v>
      </c>
      <c r="AL3083">
        <v>1</v>
      </c>
      <c r="AM3083">
        <v>99.12</v>
      </c>
      <c r="AN3083">
        <v>394.85910000000001</v>
      </c>
      <c r="AO3083">
        <v>388.13</v>
      </c>
      <c r="AP3083" s="13">
        <v>45511</v>
      </c>
      <c r="AQ3083">
        <v>-4</v>
      </c>
      <c r="AR3083">
        <v>1</v>
      </c>
    </row>
    <row r="3084" spans="1:44" x14ac:dyDescent="0.35">
      <c r="A3084" s="12" t="s">
        <v>3978</v>
      </c>
      <c r="B3084" s="12" t="s">
        <v>465</v>
      </c>
      <c r="C3084" s="12" t="s">
        <v>466</v>
      </c>
      <c r="D3084" s="12" t="s">
        <v>78</v>
      </c>
      <c r="E3084" s="12" t="s">
        <v>142</v>
      </c>
      <c r="F3084">
        <v>3</v>
      </c>
      <c r="G3084">
        <v>11</v>
      </c>
      <c r="H3084">
        <v>0</v>
      </c>
      <c r="I3084" s="12" t="s">
        <v>380</v>
      </c>
      <c r="J3084" s="12" t="s">
        <v>381</v>
      </c>
      <c r="K3084" s="12" t="s">
        <v>89</v>
      </c>
      <c r="L3084" s="12" t="s">
        <v>96</v>
      </c>
      <c r="M3084">
        <v>10.210000000000001</v>
      </c>
      <c r="N3084" s="12" t="s">
        <v>97</v>
      </c>
      <c r="O3084" s="12" t="s">
        <v>98</v>
      </c>
      <c r="P3084" s="12" t="s">
        <v>72</v>
      </c>
      <c r="Q3084" s="13">
        <v>45490</v>
      </c>
      <c r="R3084" s="13">
        <v>45531</v>
      </c>
      <c r="S3084">
        <v>2024</v>
      </c>
      <c r="T3084" s="12" t="s">
        <v>3854</v>
      </c>
      <c r="U3084">
        <v>130</v>
      </c>
      <c r="V3084">
        <v>123.9631</v>
      </c>
      <c r="W3084">
        <v>242.53</v>
      </c>
      <c r="X3084">
        <v>0</v>
      </c>
      <c r="Y3084">
        <v>0</v>
      </c>
      <c r="Z3084">
        <v>16115.2</v>
      </c>
      <c r="AA3084">
        <v>16357.73</v>
      </c>
      <c r="AB3084" s="12" t="s">
        <v>201</v>
      </c>
      <c r="AD3084">
        <v>0</v>
      </c>
      <c r="AE3084">
        <v>0</v>
      </c>
      <c r="AH3084">
        <v>130</v>
      </c>
      <c r="AI3084">
        <v>127</v>
      </c>
      <c r="AJ3084">
        <v>3</v>
      </c>
      <c r="AK3084">
        <v>1</v>
      </c>
      <c r="AL3084">
        <v>1</v>
      </c>
      <c r="AM3084">
        <v>97.69</v>
      </c>
      <c r="AN3084">
        <v>128.80099999999999</v>
      </c>
      <c r="AO3084">
        <v>371.89</v>
      </c>
      <c r="AP3084" s="13">
        <v>45530</v>
      </c>
      <c r="AQ3084">
        <v>-1</v>
      </c>
      <c r="AR3084">
        <v>1</v>
      </c>
    </row>
    <row r="3085" spans="1:44" x14ac:dyDescent="0.35">
      <c r="A3085" s="12" t="s">
        <v>3979</v>
      </c>
      <c r="B3085" s="12" t="s">
        <v>273</v>
      </c>
      <c r="C3085" s="12" t="s">
        <v>274</v>
      </c>
      <c r="D3085" s="12" t="s">
        <v>175</v>
      </c>
      <c r="E3085" s="12" t="s">
        <v>104</v>
      </c>
      <c r="F3085">
        <v>3</v>
      </c>
      <c r="G3085">
        <v>1</v>
      </c>
      <c r="H3085">
        <v>0</v>
      </c>
      <c r="I3085" s="12" t="s">
        <v>275</v>
      </c>
      <c r="J3085" s="12" t="s">
        <v>276</v>
      </c>
      <c r="K3085" s="12" t="s">
        <v>89</v>
      </c>
      <c r="L3085" s="12" t="s">
        <v>82</v>
      </c>
      <c r="M3085">
        <v>14.26</v>
      </c>
      <c r="N3085" s="12" t="s">
        <v>107</v>
      </c>
      <c r="O3085" s="12" t="s">
        <v>108</v>
      </c>
      <c r="P3085" s="12" t="s">
        <v>109</v>
      </c>
      <c r="Q3085" s="13">
        <v>45490</v>
      </c>
      <c r="R3085" s="13">
        <v>45504</v>
      </c>
      <c r="S3085">
        <v>2024</v>
      </c>
      <c r="T3085" s="12" t="s">
        <v>3854</v>
      </c>
      <c r="U3085">
        <v>33</v>
      </c>
      <c r="V3085">
        <v>111.0129</v>
      </c>
      <c r="W3085">
        <v>93.6</v>
      </c>
      <c r="X3085">
        <v>0</v>
      </c>
      <c r="Y3085">
        <v>0</v>
      </c>
      <c r="Z3085">
        <v>3663.43</v>
      </c>
      <c r="AA3085">
        <v>3757.03</v>
      </c>
      <c r="AB3085" s="12" t="s">
        <v>3580</v>
      </c>
      <c r="AC3085">
        <v>111.0129</v>
      </c>
      <c r="AD3085">
        <v>1</v>
      </c>
      <c r="AE3085">
        <v>1</v>
      </c>
      <c r="AF3085">
        <v>0</v>
      </c>
      <c r="AG3085">
        <v>3663.43</v>
      </c>
      <c r="AH3085">
        <v>33</v>
      </c>
      <c r="AI3085">
        <v>33</v>
      </c>
      <c r="AJ3085">
        <v>0</v>
      </c>
      <c r="AK3085">
        <v>1</v>
      </c>
      <c r="AL3085">
        <v>1</v>
      </c>
      <c r="AM3085">
        <v>100</v>
      </c>
      <c r="AN3085">
        <v>113.8493</v>
      </c>
      <c r="AO3085">
        <v>0</v>
      </c>
      <c r="AP3085" s="13">
        <v>45503</v>
      </c>
      <c r="AQ3085">
        <v>-1</v>
      </c>
      <c r="AR3085">
        <v>1</v>
      </c>
    </row>
    <row r="3086" spans="1:44" x14ac:dyDescent="0.35">
      <c r="A3086" s="12" t="s">
        <v>3980</v>
      </c>
      <c r="B3086" s="12" t="s">
        <v>249</v>
      </c>
      <c r="C3086" s="12" t="s">
        <v>250</v>
      </c>
      <c r="D3086" s="12" t="s">
        <v>64</v>
      </c>
      <c r="E3086" s="12" t="s">
        <v>65</v>
      </c>
      <c r="F3086">
        <v>2</v>
      </c>
      <c r="G3086">
        <v>3</v>
      </c>
      <c r="H3086">
        <v>0</v>
      </c>
      <c r="I3086" s="12" t="s">
        <v>251</v>
      </c>
      <c r="J3086" s="12" t="s">
        <v>252</v>
      </c>
      <c r="K3086" s="12" t="s">
        <v>133</v>
      </c>
      <c r="L3086" s="12" t="s">
        <v>69</v>
      </c>
      <c r="M3086">
        <v>34.49</v>
      </c>
      <c r="N3086" s="12" t="s">
        <v>70</v>
      </c>
      <c r="O3086" s="12" t="s">
        <v>71</v>
      </c>
      <c r="P3086" s="12" t="s">
        <v>72</v>
      </c>
      <c r="Q3086" s="13">
        <v>45490</v>
      </c>
      <c r="R3086" s="13">
        <v>45525</v>
      </c>
      <c r="S3086">
        <v>2024</v>
      </c>
      <c r="T3086" s="12" t="s">
        <v>3854</v>
      </c>
      <c r="U3086">
        <v>840</v>
      </c>
      <c r="V3086">
        <v>10.292</v>
      </c>
      <c r="W3086">
        <v>135.41</v>
      </c>
      <c r="X3086">
        <v>0</v>
      </c>
      <c r="Y3086">
        <v>0</v>
      </c>
      <c r="Z3086">
        <v>8645.2800000000007</v>
      </c>
      <c r="AA3086">
        <v>8780.69</v>
      </c>
      <c r="AB3086" s="12" t="s">
        <v>2747</v>
      </c>
      <c r="AC3086">
        <v>10.292</v>
      </c>
      <c r="AD3086">
        <v>1</v>
      </c>
      <c r="AE3086">
        <v>1</v>
      </c>
      <c r="AF3086">
        <v>0</v>
      </c>
      <c r="AG3086">
        <v>8645.2800000000007</v>
      </c>
      <c r="AH3086">
        <v>840</v>
      </c>
      <c r="AI3086">
        <v>831</v>
      </c>
      <c r="AJ3086">
        <v>9</v>
      </c>
      <c r="AK3086">
        <v>1</v>
      </c>
      <c r="AL3086">
        <v>1</v>
      </c>
      <c r="AM3086">
        <v>98.93</v>
      </c>
      <c r="AN3086">
        <v>10.5664</v>
      </c>
      <c r="AO3086">
        <v>92.63</v>
      </c>
      <c r="AP3086" s="13">
        <v>45531</v>
      </c>
      <c r="AQ3086">
        <v>6</v>
      </c>
      <c r="AR3086">
        <v>0</v>
      </c>
    </row>
    <row r="3087" spans="1:44" x14ac:dyDescent="0.35">
      <c r="A3087" s="12" t="s">
        <v>3981</v>
      </c>
      <c r="B3087" s="12" t="s">
        <v>728</v>
      </c>
      <c r="C3087" s="12" t="s">
        <v>729</v>
      </c>
      <c r="D3087" s="12" t="s">
        <v>269</v>
      </c>
      <c r="E3087" s="12" t="s">
        <v>65</v>
      </c>
      <c r="F3087">
        <v>2</v>
      </c>
      <c r="G3087">
        <v>3</v>
      </c>
      <c r="H3087">
        <v>0</v>
      </c>
      <c r="I3087" s="12" t="s">
        <v>243</v>
      </c>
      <c r="J3087" s="12" t="s">
        <v>244</v>
      </c>
      <c r="K3087" s="12" t="s">
        <v>81</v>
      </c>
      <c r="L3087" s="12" t="s">
        <v>82</v>
      </c>
      <c r="M3087">
        <v>9.2200000000000006</v>
      </c>
      <c r="N3087" s="12" t="s">
        <v>159</v>
      </c>
      <c r="O3087" s="12" t="s">
        <v>160</v>
      </c>
      <c r="P3087" s="12" t="s">
        <v>137</v>
      </c>
      <c r="Q3087" s="13">
        <v>45490</v>
      </c>
      <c r="R3087" s="13">
        <v>45515</v>
      </c>
      <c r="S3087">
        <v>2024</v>
      </c>
      <c r="T3087" s="12" t="s">
        <v>3854</v>
      </c>
      <c r="U3087">
        <v>46</v>
      </c>
      <c r="V3087">
        <v>364.83319999999998</v>
      </c>
      <c r="W3087">
        <v>140.83000000000001</v>
      </c>
      <c r="X3087">
        <v>530.27</v>
      </c>
      <c r="Y3087">
        <v>1</v>
      </c>
      <c r="Z3087">
        <v>16782.330000000002</v>
      </c>
      <c r="AA3087">
        <v>17453.43</v>
      </c>
      <c r="AB3087" s="12" t="s">
        <v>3540</v>
      </c>
      <c r="AC3087">
        <v>364.83319999999998</v>
      </c>
      <c r="AD3087">
        <v>1</v>
      </c>
      <c r="AE3087">
        <v>1</v>
      </c>
      <c r="AF3087">
        <v>0</v>
      </c>
      <c r="AG3087">
        <v>16782.330000000002</v>
      </c>
      <c r="AH3087">
        <v>46</v>
      </c>
      <c r="AI3087">
        <v>46</v>
      </c>
      <c r="AJ3087">
        <v>0</v>
      </c>
      <c r="AK3087">
        <v>1</v>
      </c>
      <c r="AL3087">
        <v>1</v>
      </c>
      <c r="AM3087">
        <v>100</v>
      </c>
      <c r="AN3087">
        <v>379.42230000000001</v>
      </c>
      <c r="AO3087">
        <v>0</v>
      </c>
      <c r="AP3087" s="13">
        <v>45512</v>
      </c>
      <c r="AQ3087">
        <v>-3</v>
      </c>
      <c r="AR3087">
        <v>1</v>
      </c>
    </row>
    <row r="3088" spans="1:44" x14ac:dyDescent="0.35">
      <c r="A3088" s="12" t="s">
        <v>3982</v>
      </c>
      <c r="B3088" s="12" t="s">
        <v>289</v>
      </c>
      <c r="C3088" s="12" t="s">
        <v>290</v>
      </c>
      <c r="D3088" s="12" t="s">
        <v>175</v>
      </c>
      <c r="E3088" s="12" t="s">
        <v>104</v>
      </c>
      <c r="F3088">
        <v>3</v>
      </c>
      <c r="G3088">
        <v>1</v>
      </c>
      <c r="H3088">
        <v>0</v>
      </c>
      <c r="I3088" s="12" t="s">
        <v>157</v>
      </c>
      <c r="J3088" s="12" t="s">
        <v>158</v>
      </c>
      <c r="K3088" s="12" t="s">
        <v>117</v>
      </c>
      <c r="L3088" s="12" t="s">
        <v>96</v>
      </c>
      <c r="M3088">
        <v>4.72</v>
      </c>
      <c r="N3088" s="12" t="s">
        <v>145</v>
      </c>
      <c r="O3088" s="12" t="s">
        <v>146</v>
      </c>
      <c r="P3088" s="12" t="s">
        <v>109</v>
      </c>
      <c r="Q3088" s="13">
        <v>45490</v>
      </c>
      <c r="R3088" s="13">
        <v>45502</v>
      </c>
      <c r="S3088">
        <v>2024</v>
      </c>
      <c r="T3088" s="12" t="s">
        <v>3854</v>
      </c>
      <c r="U3088">
        <v>13</v>
      </c>
      <c r="V3088">
        <v>184.24529999999999</v>
      </c>
      <c r="W3088">
        <v>28.91</v>
      </c>
      <c r="X3088">
        <v>0</v>
      </c>
      <c r="Y3088">
        <v>0</v>
      </c>
      <c r="Z3088">
        <v>2395.19</v>
      </c>
      <c r="AA3088">
        <v>2424.1</v>
      </c>
      <c r="AB3088" s="12" t="s">
        <v>2676</v>
      </c>
      <c r="AC3088">
        <v>184.24529999999999</v>
      </c>
      <c r="AD3088">
        <v>1</v>
      </c>
      <c r="AE3088">
        <v>1</v>
      </c>
      <c r="AF3088">
        <v>0</v>
      </c>
      <c r="AG3088">
        <v>2395.19</v>
      </c>
      <c r="AH3088">
        <v>13</v>
      </c>
      <c r="AI3088">
        <v>13</v>
      </c>
      <c r="AJ3088">
        <v>0</v>
      </c>
      <c r="AK3088">
        <v>1</v>
      </c>
      <c r="AL3088">
        <v>1</v>
      </c>
      <c r="AM3088">
        <v>100</v>
      </c>
      <c r="AN3088">
        <v>186.4691</v>
      </c>
      <c r="AO3088">
        <v>0</v>
      </c>
      <c r="AP3088" s="13">
        <v>45501</v>
      </c>
      <c r="AQ3088">
        <v>-1</v>
      </c>
      <c r="AR3088">
        <v>1</v>
      </c>
    </row>
    <row r="3089" spans="1:44" x14ac:dyDescent="0.35">
      <c r="A3089" s="12" t="s">
        <v>3983</v>
      </c>
      <c r="B3089" s="12" t="s">
        <v>712</v>
      </c>
      <c r="C3089" s="12" t="s">
        <v>713</v>
      </c>
      <c r="D3089" s="12" t="s">
        <v>103</v>
      </c>
      <c r="E3089" s="12" t="s">
        <v>104</v>
      </c>
      <c r="F3089">
        <v>2</v>
      </c>
      <c r="G3089">
        <v>0</v>
      </c>
      <c r="H3089">
        <v>0</v>
      </c>
      <c r="I3089" s="12" t="s">
        <v>105</v>
      </c>
      <c r="J3089" s="12" t="s">
        <v>106</v>
      </c>
      <c r="K3089" s="12" t="s">
        <v>81</v>
      </c>
      <c r="L3089" s="12" t="s">
        <v>96</v>
      </c>
      <c r="M3089">
        <v>5.01</v>
      </c>
      <c r="N3089" s="12" t="s">
        <v>145</v>
      </c>
      <c r="O3089" s="12" t="s">
        <v>146</v>
      </c>
      <c r="P3089" s="12" t="s">
        <v>109</v>
      </c>
      <c r="Q3089" s="13">
        <v>45490</v>
      </c>
      <c r="R3089" s="13">
        <v>45519</v>
      </c>
      <c r="S3089">
        <v>2024</v>
      </c>
      <c r="T3089" s="12" t="s">
        <v>3854</v>
      </c>
      <c r="U3089">
        <v>147</v>
      </c>
      <c r="V3089">
        <v>196.79769999999999</v>
      </c>
      <c r="W3089">
        <v>383.41</v>
      </c>
      <c r="X3089">
        <v>0</v>
      </c>
      <c r="Y3089">
        <v>0</v>
      </c>
      <c r="Z3089">
        <v>28929.26</v>
      </c>
      <c r="AA3089">
        <v>29312.67</v>
      </c>
      <c r="AB3089" s="12" t="s">
        <v>3984</v>
      </c>
      <c r="AC3089">
        <v>196.79769999999999</v>
      </c>
      <c r="AD3089">
        <v>1</v>
      </c>
      <c r="AE3089">
        <v>1</v>
      </c>
      <c r="AF3089">
        <v>0</v>
      </c>
      <c r="AG3089">
        <v>28929.26</v>
      </c>
      <c r="AH3089">
        <v>147</v>
      </c>
      <c r="AI3089">
        <v>147</v>
      </c>
      <c r="AJ3089">
        <v>0</v>
      </c>
      <c r="AK3089">
        <v>1</v>
      </c>
      <c r="AL3089">
        <v>1</v>
      </c>
      <c r="AM3089">
        <v>100</v>
      </c>
      <c r="AN3089">
        <v>199.4059</v>
      </c>
      <c r="AO3089">
        <v>0</v>
      </c>
      <c r="AP3089" s="13">
        <v>45516</v>
      </c>
      <c r="AQ3089">
        <v>-3</v>
      </c>
      <c r="AR3089">
        <v>1</v>
      </c>
    </row>
    <row r="3090" spans="1:44" x14ac:dyDescent="0.35">
      <c r="A3090" s="12" t="s">
        <v>3985</v>
      </c>
      <c r="B3090" s="12" t="s">
        <v>902</v>
      </c>
      <c r="C3090" s="12" t="s">
        <v>903</v>
      </c>
      <c r="D3090" s="12" t="s">
        <v>122</v>
      </c>
      <c r="E3090" s="12" t="s">
        <v>142</v>
      </c>
      <c r="F3090">
        <v>1</v>
      </c>
      <c r="G3090">
        <v>6</v>
      </c>
      <c r="H3090">
        <v>1</v>
      </c>
      <c r="I3090" s="12" t="s">
        <v>105</v>
      </c>
      <c r="J3090" s="12" t="s">
        <v>106</v>
      </c>
      <c r="K3090" s="12" t="s">
        <v>81</v>
      </c>
      <c r="L3090" s="12" t="s">
        <v>96</v>
      </c>
      <c r="M3090">
        <v>5.01</v>
      </c>
      <c r="N3090" s="12" t="s">
        <v>70</v>
      </c>
      <c r="O3090" s="12" t="s">
        <v>71</v>
      </c>
      <c r="P3090" s="12" t="s">
        <v>72</v>
      </c>
      <c r="Q3090" s="13">
        <v>45490</v>
      </c>
      <c r="R3090" s="13">
        <v>45528</v>
      </c>
      <c r="S3090">
        <v>2024</v>
      </c>
      <c r="T3090" s="12" t="s">
        <v>3854</v>
      </c>
      <c r="U3090">
        <v>543</v>
      </c>
      <c r="V3090">
        <v>41.6892</v>
      </c>
      <c r="W3090">
        <v>212.12</v>
      </c>
      <c r="X3090">
        <v>734.06</v>
      </c>
      <c r="Y3090">
        <v>1</v>
      </c>
      <c r="Z3090">
        <v>22637.24</v>
      </c>
      <c r="AA3090">
        <v>23583.42</v>
      </c>
      <c r="AB3090" s="12" t="s">
        <v>3284</v>
      </c>
      <c r="AC3090">
        <v>41.6892</v>
      </c>
      <c r="AD3090">
        <v>1</v>
      </c>
      <c r="AE3090">
        <v>1</v>
      </c>
      <c r="AF3090">
        <v>0</v>
      </c>
      <c r="AG3090">
        <v>22637.24</v>
      </c>
      <c r="AH3090">
        <v>543</v>
      </c>
      <c r="AI3090">
        <v>541</v>
      </c>
      <c r="AJ3090">
        <v>2</v>
      </c>
      <c r="AK3090">
        <v>1</v>
      </c>
      <c r="AL3090">
        <v>1</v>
      </c>
      <c r="AM3090">
        <v>99.63</v>
      </c>
      <c r="AN3090">
        <v>43.592300000000002</v>
      </c>
      <c r="AO3090">
        <v>83.38</v>
      </c>
      <c r="AP3090" s="13">
        <v>45525</v>
      </c>
      <c r="AQ3090">
        <v>-3</v>
      </c>
      <c r="AR3090">
        <v>1</v>
      </c>
    </row>
    <row r="3091" spans="1:44" x14ac:dyDescent="0.35">
      <c r="A3091" s="12" t="s">
        <v>3986</v>
      </c>
      <c r="B3091" s="12" t="s">
        <v>149</v>
      </c>
      <c r="C3091" s="12" t="s">
        <v>150</v>
      </c>
      <c r="D3091" s="12" t="s">
        <v>78</v>
      </c>
      <c r="E3091" s="12" t="s">
        <v>65</v>
      </c>
      <c r="F3091">
        <v>2</v>
      </c>
      <c r="G3091">
        <v>2</v>
      </c>
      <c r="H3091">
        <v>0</v>
      </c>
      <c r="I3091" s="12" t="s">
        <v>151</v>
      </c>
      <c r="J3091" s="12" t="s">
        <v>152</v>
      </c>
      <c r="K3091" s="12" t="s">
        <v>125</v>
      </c>
      <c r="L3091" s="12" t="s">
        <v>69</v>
      </c>
      <c r="M3091">
        <v>36.479999999999997</v>
      </c>
      <c r="N3091" s="12" t="s">
        <v>70</v>
      </c>
      <c r="O3091" s="12" t="s">
        <v>71</v>
      </c>
      <c r="P3091" s="12" t="s">
        <v>72</v>
      </c>
      <c r="Q3091" s="13">
        <v>45491</v>
      </c>
      <c r="R3091" s="13">
        <v>45514</v>
      </c>
      <c r="S3091">
        <v>2024</v>
      </c>
      <c r="T3091" s="12" t="s">
        <v>3854</v>
      </c>
      <c r="U3091">
        <v>79</v>
      </c>
      <c r="V3091">
        <v>70.838700000000003</v>
      </c>
      <c r="W3091">
        <v>121.05</v>
      </c>
      <c r="X3091">
        <v>0</v>
      </c>
      <c r="Y3091">
        <v>0</v>
      </c>
      <c r="Z3091">
        <v>5596.26</v>
      </c>
      <c r="AA3091">
        <v>5717.31</v>
      </c>
      <c r="AB3091" s="12" t="s">
        <v>2546</v>
      </c>
      <c r="AC3091">
        <v>70.838700000000003</v>
      </c>
      <c r="AD3091">
        <v>1</v>
      </c>
      <c r="AE3091">
        <v>1</v>
      </c>
      <c r="AF3091">
        <v>0</v>
      </c>
      <c r="AG3091">
        <v>5596.26</v>
      </c>
      <c r="AH3091">
        <v>79</v>
      </c>
      <c r="AI3091">
        <v>78</v>
      </c>
      <c r="AJ3091">
        <v>1</v>
      </c>
      <c r="AK3091">
        <v>1</v>
      </c>
      <c r="AL3091">
        <v>1</v>
      </c>
      <c r="AM3091">
        <v>98.73</v>
      </c>
      <c r="AN3091">
        <v>73.2988</v>
      </c>
      <c r="AO3091">
        <v>70.84</v>
      </c>
      <c r="AP3091" s="13">
        <v>45513</v>
      </c>
      <c r="AQ3091">
        <v>-1</v>
      </c>
      <c r="AR3091">
        <v>1</v>
      </c>
    </row>
    <row r="3092" spans="1:44" x14ac:dyDescent="0.35">
      <c r="A3092" s="12" t="s">
        <v>3987</v>
      </c>
      <c r="B3092" s="12" t="s">
        <v>802</v>
      </c>
      <c r="C3092" s="12" t="s">
        <v>803</v>
      </c>
      <c r="D3092" s="12" t="s">
        <v>114</v>
      </c>
      <c r="E3092" s="12" t="s">
        <v>65</v>
      </c>
      <c r="F3092">
        <v>3</v>
      </c>
      <c r="G3092">
        <v>5</v>
      </c>
      <c r="H3092">
        <v>0</v>
      </c>
      <c r="I3092" s="12" t="s">
        <v>804</v>
      </c>
      <c r="J3092" s="12" t="s">
        <v>342</v>
      </c>
      <c r="K3092" s="12" t="s">
        <v>117</v>
      </c>
      <c r="L3092" s="12" t="s">
        <v>69</v>
      </c>
      <c r="M3092">
        <v>30.07</v>
      </c>
      <c r="N3092" s="12" t="s">
        <v>70</v>
      </c>
      <c r="O3092" s="12" t="s">
        <v>71</v>
      </c>
      <c r="P3092" s="12" t="s">
        <v>72</v>
      </c>
      <c r="Q3092" s="13">
        <v>45491</v>
      </c>
      <c r="R3092" s="13">
        <v>45519</v>
      </c>
      <c r="S3092">
        <v>2024</v>
      </c>
      <c r="T3092" s="12" t="s">
        <v>3854</v>
      </c>
      <c r="U3092">
        <v>68</v>
      </c>
      <c r="V3092">
        <v>372.3673</v>
      </c>
      <c r="W3092">
        <v>382.19</v>
      </c>
      <c r="X3092">
        <v>0</v>
      </c>
      <c r="Y3092">
        <v>0</v>
      </c>
      <c r="Z3092">
        <v>25320.98</v>
      </c>
      <c r="AA3092">
        <v>25703.17</v>
      </c>
      <c r="AB3092" s="12" t="s">
        <v>201</v>
      </c>
      <c r="AD3092">
        <v>0</v>
      </c>
      <c r="AE3092">
        <v>0</v>
      </c>
      <c r="AH3092">
        <v>68</v>
      </c>
      <c r="AI3092">
        <v>66</v>
      </c>
      <c r="AJ3092">
        <v>2</v>
      </c>
      <c r="AK3092">
        <v>1</v>
      </c>
      <c r="AL3092">
        <v>1</v>
      </c>
      <c r="AM3092">
        <v>97.06</v>
      </c>
      <c r="AN3092">
        <v>389.44189999999998</v>
      </c>
      <c r="AO3092">
        <v>744.73</v>
      </c>
      <c r="AP3092" s="13">
        <v>45527</v>
      </c>
      <c r="AQ3092">
        <v>8</v>
      </c>
      <c r="AR3092">
        <v>0</v>
      </c>
    </row>
    <row r="3093" spans="1:44" x14ac:dyDescent="0.35">
      <c r="A3093" s="12" t="s">
        <v>3988</v>
      </c>
      <c r="B3093" s="12" t="s">
        <v>630</v>
      </c>
      <c r="C3093" s="12" t="s">
        <v>631</v>
      </c>
      <c r="D3093" s="12" t="s">
        <v>130</v>
      </c>
      <c r="E3093" s="12" t="s">
        <v>65</v>
      </c>
      <c r="F3093">
        <v>1</v>
      </c>
      <c r="G3093">
        <v>2</v>
      </c>
      <c r="H3093">
        <v>1</v>
      </c>
      <c r="I3093" s="12" t="s">
        <v>335</v>
      </c>
      <c r="J3093" s="12" t="s">
        <v>336</v>
      </c>
      <c r="K3093" s="12" t="s">
        <v>89</v>
      </c>
      <c r="L3093" s="12" t="s">
        <v>82</v>
      </c>
      <c r="M3093">
        <v>16</v>
      </c>
      <c r="N3093" s="12" t="s">
        <v>135</v>
      </c>
      <c r="O3093" s="12" t="s">
        <v>136</v>
      </c>
      <c r="P3093" s="12" t="s">
        <v>137</v>
      </c>
      <c r="Q3093" s="13">
        <v>45491</v>
      </c>
      <c r="R3093" s="13">
        <v>45516</v>
      </c>
      <c r="S3093">
        <v>2024</v>
      </c>
      <c r="T3093" s="12" t="s">
        <v>3854</v>
      </c>
      <c r="U3093">
        <v>45</v>
      </c>
      <c r="V3093">
        <v>446.36720000000003</v>
      </c>
      <c r="W3093">
        <v>171.07</v>
      </c>
      <c r="X3093">
        <v>0</v>
      </c>
      <c r="Y3093">
        <v>0</v>
      </c>
      <c r="Z3093">
        <v>20086.52</v>
      </c>
      <c r="AA3093">
        <v>20257.59</v>
      </c>
      <c r="AB3093" s="12" t="s">
        <v>2944</v>
      </c>
      <c r="AC3093">
        <v>446.36720000000003</v>
      </c>
      <c r="AD3093">
        <v>1</v>
      </c>
      <c r="AE3093">
        <v>1</v>
      </c>
      <c r="AF3093">
        <v>0</v>
      </c>
      <c r="AG3093">
        <v>20086.52</v>
      </c>
      <c r="AH3093">
        <v>45</v>
      </c>
      <c r="AI3093">
        <v>44</v>
      </c>
      <c r="AJ3093">
        <v>1</v>
      </c>
      <c r="AK3093">
        <v>1</v>
      </c>
      <c r="AL3093">
        <v>1</v>
      </c>
      <c r="AM3093">
        <v>97.78</v>
      </c>
      <c r="AN3093">
        <v>460.3999</v>
      </c>
      <c r="AO3093">
        <v>446.37</v>
      </c>
      <c r="AP3093" s="13">
        <v>45521</v>
      </c>
      <c r="AQ3093">
        <v>5</v>
      </c>
      <c r="AR3093">
        <v>0</v>
      </c>
    </row>
    <row r="3094" spans="1:44" x14ac:dyDescent="0.35">
      <c r="A3094" s="12" t="s">
        <v>3989</v>
      </c>
      <c r="B3094" s="12" t="s">
        <v>773</v>
      </c>
      <c r="C3094" s="12" t="s">
        <v>774</v>
      </c>
      <c r="D3094" s="12" t="s">
        <v>64</v>
      </c>
      <c r="E3094" s="12" t="s">
        <v>142</v>
      </c>
      <c r="F3094">
        <v>1</v>
      </c>
      <c r="G3094">
        <v>7</v>
      </c>
      <c r="H3094">
        <v>1</v>
      </c>
      <c r="I3094" s="12" t="s">
        <v>251</v>
      </c>
      <c r="J3094" s="12" t="s">
        <v>252</v>
      </c>
      <c r="K3094" s="12" t="s">
        <v>133</v>
      </c>
      <c r="L3094" s="12" t="s">
        <v>69</v>
      </c>
      <c r="M3094">
        <v>34.49</v>
      </c>
      <c r="N3094" s="12" t="s">
        <v>97</v>
      </c>
      <c r="O3094" s="12" t="s">
        <v>98</v>
      </c>
      <c r="P3094" s="12" t="s">
        <v>72</v>
      </c>
      <c r="Q3094" s="13">
        <v>45491</v>
      </c>
      <c r="R3094" s="13">
        <v>45540</v>
      </c>
      <c r="S3094">
        <v>2024</v>
      </c>
      <c r="T3094" s="12" t="s">
        <v>3854</v>
      </c>
      <c r="U3094">
        <v>811</v>
      </c>
      <c r="V3094">
        <v>10.022600000000001</v>
      </c>
      <c r="W3094">
        <v>135.69999999999999</v>
      </c>
      <c r="X3094">
        <v>0</v>
      </c>
      <c r="Y3094">
        <v>0</v>
      </c>
      <c r="Z3094">
        <v>8128.33</v>
      </c>
      <c r="AA3094">
        <v>8264.0300000000007</v>
      </c>
      <c r="AB3094" s="12" t="s">
        <v>3354</v>
      </c>
      <c r="AC3094">
        <v>10.022600000000001</v>
      </c>
      <c r="AD3094">
        <v>1</v>
      </c>
      <c r="AE3094">
        <v>1</v>
      </c>
      <c r="AF3094">
        <v>0</v>
      </c>
      <c r="AG3094">
        <v>8128.33</v>
      </c>
      <c r="AH3094">
        <v>811</v>
      </c>
      <c r="AI3094">
        <v>806</v>
      </c>
      <c r="AJ3094">
        <v>5</v>
      </c>
      <c r="AK3094">
        <v>1</v>
      </c>
      <c r="AL3094">
        <v>1</v>
      </c>
      <c r="AM3094">
        <v>99.38</v>
      </c>
      <c r="AN3094">
        <v>10.2531</v>
      </c>
      <c r="AO3094">
        <v>50.11</v>
      </c>
      <c r="AP3094" s="13">
        <v>45537</v>
      </c>
      <c r="AQ3094">
        <v>-3</v>
      </c>
      <c r="AR3094">
        <v>1</v>
      </c>
    </row>
    <row r="3095" spans="1:44" x14ac:dyDescent="0.35">
      <c r="A3095" s="12" t="s">
        <v>3990</v>
      </c>
      <c r="B3095" s="12" t="s">
        <v>561</v>
      </c>
      <c r="C3095" s="12" t="s">
        <v>562</v>
      </c>
      <c r="D3095" s="12" t="s">
        <v>130</v>
      </c>
      <c r="E3095" s="12" t="s">
        <v>142</v>
      </c>
      <c r="F3095">
        <v>1</v>
      </c>
      <c r="G3095">
        <v>9</v>
      </c>
      <c r="H3095">
        <v>1</v>
      </c>
      <c r="I3095" s="12" t="s">
        <v>223</v>
      </c>
      <c r="J3095" s="12" t="s">
        <v>224</v>
      </c>
      <c r="K3095" s="12" t="s">
        <v>81</v>
      </c>
      <c r="L3095" s="12" t="s">
        <v>134</v>
      </c>
      <c r="M3095">
        <v>2.4900000000000002</v>
      </c>
      <c r="N3095" s="12" t="s">
        <v>135</v>
      </c>
      <c r="O3095" s="12" t="s">
        <v>136</v>
      </c>
      <c r="P3095" s="12" t="s">
        <v>137</v>
      </c>
      <c r="Q3095" s="13">
        <v>45491</v>
      </c>
      <c r="R3095" s="13">
        <v>45532</v>
      </c>
      <c r="S3095">
        <v>2024</v>
      </c>
      <c r="T3095" s="12" t="s">
        <v>3854</v>
      </c>
      <c r="U3095">
        <v>61</v>
      </c>
      <c r="V3095">
        <v>568.59469999999999</v>
      </c>
      <c r="W3095">
        <v>451.46</v>
      </c>
      <c r="X3095">
        <v>0</v>
      </c>
      <c r="Y3095">
        <v>0</v>
      </c>
      <c r="Z3095">
        <v>34684.28</v>
      </c>
      <c r="AA3095">
        <v>35135.74</v>
      </c>
      <c r="AB3095" s="12" t="s">
        <v>201</v>
      </c>
      <c r="AD3095">
        <v>0</v>
      </c>
      <c r="AE3095">
        <v>0</v>
      </c>
      <c r="AH3095">
        <v>61</v>
      </c>
      <c r="AI3095">
        <v>61</v>
      </c>
      <c r="AJ3095">
        <v>0</v>
      </c>
      <c r="AK3095">
        <v>1</v>
      </c>
      <c r="AL3095">
        <v>1</v>
      </c>
      <c r="AM3095">
        <v>100</v>
      </c>
      <c r="AN3095">
        <v>575.99570000000006</v>
      </c>
      <c r="AO3095">
        <v>0</v>
      </c>
      <c r="AP3095" s="13">
        <v>45532</v>
      </c>
      <c r="AQ3095">
        <v>0</v>
      </c>
      <c r="AR3095">
        <v>1</v>
      </c>
    </row>
    <row r="3096" spans="1:44" x14ac:dyDescent="0.35">
      <c r="A3096" s="12" t="s">
        <v>3991</v>
      </c>
      <c r="B3096" s="12" t="s">
        <v>561</v>
      </c>
      <c r="C3096" s="12" t="s">
        <v>562</v>
      </c>
      <c r="D3096" s="12" t="s">
        <v>130</v>
      </c>
      <c r="E3096" s="12" t="s">
        <v>142</v>
      </c>
      <c r="F3096">
        <v>1</v>
      </c>
      <c r="G3096">
        <v>9</v>
      </c>
      <c r="H3096">
        <v>1</v>
      </c>
      <c r="I3096" s="12" t="s">
        <v>223</v>
      </c>
      <c r="J3096" s="12" t="s">
        <v>224</v>
      </c>
      <c r="K3096" s="12" t="s">
        <v>81</v>
      </c>
      <c r="L3096" s="12" t="s">
        <v>134</v>
      </c>
      <c r="M3096">
        <v>2.4900000000000002</v>
      </c>
      <c r="N3096" s="12" t="s">
        <v>135</v>
      </c>
      <c r="O3096" s="12" t="s">
        <v>136</v>
      </c>
      <c r="P3096" s="12" t="s">
        <v>137</v>
      </c>
      <c r="Q3096" s="13">
        <v>45491</v>
      </c>
      <c r="R3096" s="13">
        <v>45534</v>
      </c>
      <c r="S3096">
        <v>2024</v>
      </c>
      <c r="T3096" s="12" t="s">
        <v>3854</v>
      </c>
      <c r="U3096">
        <v>73</v>
      </c>
      <c r="V3096">
        <v>587.37540000000001</v>
      </c>
      <c r="W3096">
        <v>590.79</v>
      </c>
      <c r="X3096">
        <v>0</v>
      </c>
      <c r="Y3096">
        <v>0</v>
      </c>
      <c r="Z3096">
        <v>42878.400000000001</v>
      </c>
      <c r="AA3096">
        <v>43469.19</v>
      </c>
      <c r="AB3096" s="12" t="s">
        <v>201</v>
      </c>
      <c r="AD3096">
        <v>0</v>
      </c>
      <c r="AE3096">
        <v>0</v>
      </c>
      <c r="AH3096">
        <v>73</v>
      </c>
      <c r="AI3096">
        <v>72</v>
      </c>
      <c r="AJ3096">
        <v>1</v>
      </c>
      <c r="AK3096">
        <v>1</v>
      </c>
      <c r="AL3096">
        <v>1</v>
      </c>
      <c r="AM3096">
        <v>98.63</v>
      </c>
      <c r="AN3096">
        <v>603.73879999999997</v>
      </c>
      <c r="AO3096">
        <v>587.38</v>
      </c>
      <c r="AP3096" s="13">
        <v>45531</v>
      </c>
      <c r="AQ3096">
        <v>-3</v>
      </c>
      <c r="AR3096">
        <v>1</v>
      </c>
    </row>
    <row r="3097" spans="1:44" x14ac:dyDescent="0.35">
      <c r="A3097" s="12" t="s">
        <v>3992</v>
      </c>
      <c r="B3097" s="12" t="s">
        <v>706</v>
      </c>
      <c r="C3097" s="12" t="s">
        <v>707</v>
      </c>
      <c r="D3097" s="12" t="s">
        <v>130</v>
      </c>
      <c r="E3097" s="12" t="s">
        <v>142</v>
      </c>
      <c r="F3097">
        <v>1</v>
      </c>
      <c r="G3097">
        <v>8</v>
      </c>
      <c r="H3097">
        <v>1</v>
      </c>
      <c r="I3097" s="12" t="s">
        <v>263</v>
      </c>
      <c r="J3097" s="12" t="s">
        <v>264</v>
      </c>
      <c r="K3097" s="12" t="s">
        <v>125</v>
      </c>
      <c r="L3097" s="12" t="s">
        <v>82</v>
      </c>
      <c r="M3097">
        <v>10.210000000000001</v>
      </c>
      <c r="N3097" s="12" t="s">
        <v>159</v>
      </c>
      <c r="O3097" s="12" t="s">
        <v>160</v>
      </c>
      <c r="P3097" s="12" t="s">
        <v>137</v>
      </c>
      <c r="Q3097" s="13">
        <v>45492</v>
      </c>
      <c r="R3097" s="13">
        <v>45542</v>
      </c>
      <c r="S3097">
        <v>2024</v>
      </c>
      <c r="T3097" s="12" t="s">
        <v>3854</v>
      </c>
      <c r="U3097">
        <v>129</v>
      </c>
      <c r="V3097">
        <v>277.214</v>
      </c>
      <c r="W3097">
        <v>652.57000000000005</v>
      </c>
      <c r="X3097">
        <v>0</v>
      </c>
      <c r="Y3097">
        <v>0</v>
      </c>
      <c r="Z3097">
        <v>35760.61</v>
      </c>
      <c r="AA3097">
        <v>36413.18</v>
      </c>
      <c r="AB3097" s="12" t="s">
        <v>3434</v>
      </c>
      <c r="AC3097">
        <v>277.214</v>
      </c>
      <c r="AD3097">
        <v>1</v>
      </c>
      <c r="AE3097">
        <v>1</v>
      </c>
      <c r="AF3097">
        <v>0</v>
      </c>
      <c r="AG3097">
        <v>35760.61</v>
      </c>
      <c r="AH3097">
        <v>129</v>
      </c>
      <c r="AI3097">
        <v>127</v>
      </c>
      <c r="AJ3097">
        <v>2</v>
      </c>
      <c r="AK3097">
        <v>1</v>
      </c>
      <c r="AL3097">
        <v>1</v>
      </c>
      <c r="AM3097">
        <v>98.45</v>
      </c>
      <c r="AN3097">
        <v>286.71789999999999</v>
      </c>
      <c r="AO3097">
        <v>554.42999999999995</v>
      </c>
      <c r="AP3097" s="13">
        <v>45540</v>
      </c>
      <c r="AQ3097">
        <v>-2</v>
      </c>
      <c r="AR3097">
        <v>1</v>
      </c>
    </row>
    <row r="3098" spans="1:44" x14ac:dyDescent="0.35">
      <c r="A3098" s="12" t="s">
        <v>3993</v>
      </c>
      <c r="B3098" s="12" t="s">
        <v>261</v>
      </c>
      <c r="C3098" s="12" t="s">
        <v>262</v>
      </c>
      <c r="D3098" s="12" t="s">
        <v>114</v>
      </c>
      <c r="E3098" s="12" t="s">
        <v>142</v>
      </c>
      <c r="F3098">
        <v>1</v>
      </c>
      <c r="G3098">
        <v>8</v>
      </c>
      <c r="H3098">
        <v>1</v>
      </c>
      <c r="I3098" s="12" t="s">
        <v>263</v>
      </c>
      <c r="J3098" s="12" t="s">
        <v>264</v>
      </c>
      <c r="K3098" s="12" t="s">
        <v>125</v>
      </c>
      <c r="L3098" s="12" t="s">
        <v>82</v>
      </c>
      <c r="M3098">
        <v>10.210000000000001</v>
      </c>
      <c r="N3098" s="12" t="s">
        <v>97</v>
      </c>
      <c r="O3098" s="12" t="s">
        <v>98</v>
      </c>
      <c r="P3098" s="12" t="s">
        <v>72</v>
      </c>
      <c r="Q3098" s="13">
        <v>45492</v>
      </c>
      <c r="R3098" s="13">
        <v>45538</v>
      </c>
      <c r="S3098">
        <v>2024</v>
      </c>
      <c r="T3098" s="12" t="s">
        <v>3854</v>
      </c>
      <c r="U3098">
        <v>96</v>
      </c>
      <c r="V3098">
        <v>137.84569999999999</v>
      </c>
      <c r="W3098">
        <v>316.07</v>
      </c>
      <c r="X3098">
        <v>0</v>
      </c>
      <c r="Y3098">
        <v>0</v>
      </c>
      <c r="Z3098">
        <v>13233.19</v>
      </c>
      <c r="AA3098">
        <v>13549.26</v>
      </c>
      <c r="AB3098" s="12" t="s">
        <v>2655</v>
      </c>
      <c r="AC3098">
        <v>137.84569999999999</v>
      </c>
      <c r="AD3098">
        <v>1</v>
      </c>
      <c r="AE3098">
        <v>1</v>
      </c>
      <c r="AF3098">
        <v>0</v>
      </c>
      <c r="AG3098">
        <v>13233.19</v>
      </c>
      <c r="AH3098">
        <v>96</v>
      </c>
      <c r="AI3098">
        <v>94</v>
      </c>
      <c r="AJ3098">
        <v>2</v>
      </c>
      <c r="AK3098">
        <v>1</v>
      </c>
      <c r="AL3098">
        <v>1</v>
      </c>
      <c r="AM3098">
        <v>97.92</v>
      </c>
      <c r="AN3098">
        <v>144.14099999999999</v>
      </c>
      <c r="AO3098">
        <v>275.69</v>
      </c>
      <c r="AP3098" s="13">
        <v>45538</v>
      </c>
      <c r="AQ3098">
        <v>0</v>
      </c>
      <c r="AR3098">
        <v>1</v>
      </c>
    </row>
    <row r="3099" spans="1:44" x14ac:dyDescent="0.35">
      <c r="A3099" s="12" t="s">
        <v>3994</v>
      </c>
      <c r="B3099" s="12" t="s">
        <v>128</v>
      </c>
      <c r="C3099" s="12" t="s">
        <v>129</v>
      </c>
      <c r="D3099" s="12" t="s">
        <v>130</v>
      </c>
      <c r="E3099" s="12" t="s">
        <v>65</v>
      </c>
      <c r="F3099">
        <v>3</v>
      </c>
      <c r="G3099">
        <v>5</v>
      </c>
      <c r="H3099">
        <v>0</v>
      </c>
      <c r="I3099" s="12" t="s">
        <v>380</v>
      </c>
      <c r="J3099" s="12" t="s">
        <v>381</v>
      </c>
      <c r="K3099" s="12" t="s">
        <v>89</v>
      </c>
      <c r="L3099" s="12" t="s">
        <v>96</v>
      </c>
      <c r="M3099">
        <v>10.210000000000001</v>
      </c>
      <c r="N3099" s="12" t="s">
        <v>159</v>
      </c>
      <c r="O3099" s="12" t="s">
        <v>160</v>
      </c>
      <c r="P3099" s="12" t="s">
        <v>137</v>
      </c>
      <c r="Q3099" s="13">
        <v>45492</v>
      </c>
      <c r="R3099" s="13">
        <v>45524</v>
      </c>
      <c r="S3099">
        <v>2024</v>
      </c>
      <c r="T3099" s="12" t="s">
        <v>3854</v>
      </c>
      <c r="U3099">
        <v>96</v>
      </c>
      <c r="V3099">
        <v>484.95960000000002</v>
      </c>
      <c r="W3099">
        <v>1080.8399999999999</v>
      </c>
      <c r="X3099">
        <v>0</v>
      </c>
      <c r="Y3099">
        <v>0</v>
      </c>
      <c r="Z3099">
        <v>46556.12</v>
      </c>
      <c r="AA3099">
        <v>47636.959999999999</v>
      </c>
      <c r="AB3099" s="12" t="s">
        <v>3995</v>
      </c>
      <c r="AC3099">
        <v>484.95960000000002</v>
      </c>
      <c r="AD3099">
        <v>1</v>
      </c>
      <c r="AE3099">
        <v>1</v>
      </c>
      <c r="AF3099">
        <v>0</v>
      </c>
      <c r="AG3099">
        <v>46556.12</v>
      </c>
      <c r="AH3099">
        <v>96</v>
      </c>
      <c r="AI3099">
        <v>95</v>
      </c>
      <c r="AJ3099">
        <v>1</v>
      </c>
      <c r="AK3099">
        <v>1</v>
      </c>
      <c r="AL3099">
        <v>1</v>
      </c>
      <c r="AM3099">
        <v>98.96</v>
      </c>
      <c r="AN3099">
        <v>501.44170000000003</v>
      </c>
      <c r="AO3099">
        <v>484.96</v>
      </c>
      <c r="AP3099" s="13">
        <v>45522</v>
      </c>
      <c r="AQ3099">
        <v>-2</v>
      </c>
      <c r="AR3099">
        <v>1</v>
      </c>
    </row>
    <row r="3100" spans="1:44" x14ac:dyDescent="0.35">
      <c r="A3100" s="12" t="s">
        <v>3996</v>
      </c>
      <c r="B3100" s="12" t="s">
        <v>978</v>
      </c>
      <c r="C3100" s="12" t="s">
        <v>979</v>
      </c>
      <c r="D3100" s="12" t="s">
        <v>122</v>
      </c>
      <c r="E3100" s="12" t="s">
        <v>65</v>
      </c>
      <c r="F3100">
        <v>1</v>
      </c>
      <c r="G3100">
        <v>2</v>
      </c>
      <c r="H3100">
        <v>1</v>
      </c>
      <c r="I3100" s="12" t="s">
        <v>310</v>
      </c>
      <c r="J3100" s="12" t="s">
        <v>311</v>
      </c>
      <c r="K3100" s="12" t="s">
        <v>81</v>
      </c>
      <c r="L3100" s="12" t="s">
        <v>69</v>
      </c>
      <c r="M3100">
        <v>28.3</v>
      </c>
      <c r="N3100" s="12" t="s">
        <v>70</v>
      </c>
      <c r="O3100" s="12" t="s">
        <v>71</v>
      </c>
      <c r="P3100" s="12" t="s">
        <v>72</v>
      </c>
      <c r="Q3100" s="13">
        <v>45492</v>
      </c>
      <c r="R3100" s="13">
        <v>45523</v>
      </c>
      <c r="S3100">
        <v>2024</v>
      </c>
      <c r="T3100" s="12" t="s">
        <v>3854</v>
      </c>
      <c r="U3100">
        <v>1235</v>
      </c>
      <c r="V3100">
        <v>43.574800000000003</v>
      </c>
      <c r="W3100">
        <v>509.92</v>
      </c>
      <c r="X3100">
        <v>0</v>
      </c>
      <c r="Y3100">
        <v>0</v>
      </c>
      <c r="Z3100">
        <v>53814.879999999997</v>
      </c>
      <c r="AA3100">
        <v>54324.800000000003</v>
      </c>
      <c r="AB3100" s="12" t="s">
        <v>3471</v>
      </c>
      <c r="AC3100">
        <v>43.574800000000003</v>
      </c>
      <c r="AD3100">
        <v>1</v>
      </c>
      <c r="AE3100">
        <v>1</v>
      </c>
      <c r="AF3100">
        <v>0</v>
      </c>
      <c r="AG3100">
        <v>53814.879999999997</v>
      </c>
      <c r="AH3100">
        <v>1235</v>
      </c>
      <c r="AI3100">
        <v>1232</v>
      </c>
      <c r="AJ3100">
        <v>3</v>
      </c>
      <c r="AK3100">
        <v>1</v>
      </c>
      <c r="AL3100">
        <v>1</v>
      </c>
      <c r="AM3100">
        <v>99.76</v>
      </c>
      <c r="AN3100">
        <v>44.094799999999999</v>
      </c>
      <c r="AO3100">
        <v>130.72</v>
      </c>
      <c r="AP3100" s="13">
        <v>45520</v>
      </c>
      <c r="AQ3100">
        <v>-3</v>
      </c>
      <c r="AR3100">
        <v>1</v>
      </c>
    </row>
    <row r="3101" spans="1:44" x14ac:dyDescent="0.35">
      <c r="A3101" s="12" t="s">
        <v>3997</v>
      </c>
      <c r="B3101" s="12" t="s">
        <v>207</v>
      </c>
      <c r="C3101" s="12" t="s">
        <v>208</v>
      </c>
      <c r="D3101" s="12" t="s">
        <v>78</v>
      </c>
      <c r="E3101" s="12" t="s">
        <v>65</v>
      </c>
      <c r="F3101">
        <v>2</v>
      </c>
      <c r="G3101">
        <v>3</v>
      </c>
      <c r="H3101">
        <v>0</v>
      </c>
      <c r="I3101" s="12" t="s">
        <v>209</v>
      </c>
      <c r="J3101" s="12" t="s">
        <v>210</v>
      </c>
      <c r="K3101" s="12" t="s">
        <v>133</v>
      </c>
      <c r="L3101" s="12" t="s">
        <v>96</v>
      </c>
      <c r="M3101">
        <v>7.82</v>
      </c>
      <c r="N3101" s="12" t="s">
        <v>70</v>
      </c>
      <c r="O3101" s="12" t="s">
        <v>71</v>
      </c>
      <c r="P3101" s="12" t="s">
        <v>72</v>
      </c>
      <c r="Q3101" s="13">
        <v>45492</v>
      </c>
      <c r="R3101" s="13">
        <v>45516</v>
      </c>
      <c r="S3101">
        <v>2024</v>
      </c>
      <c r="T3101" s="12" t="s">
        <v>3854</v>
      </c>
      <c r="U3101">
        <v>84</v>
      </c>
      <c r="V3101">
        <v>148.61590000000001</v>
      </c>
      <c r="W3101">
        <v>177.94</v>
      </c>
      <c r="X3101">
        <v>0</v>
      </c>
      <c r="Y3101">
        <v>0</v>
      </c>
      <c r="Z3101">
        <v>12483.74</v>
      </c>
      <c r="AA3101">
        <v>12661.68</v>
      </c>
      <c r="AB3101" s="12" t="s">
        <v>2832</v>
      </c>
      <c r="AC3101">
        <v>148.61590000000001</v>
      </c>
      <c r="AD3101">
        <v>1</v>
      </c>
      <c r="AE3101">
        <v>1</v>
      </c>
      <c r="AF3101">
        <v>0</v>
      </c>
      <c r="AG3101">
        <v>12483.74</v>
      </c>
      <c r="AH3101">
        <v>84</v>
      </c>
      <c r="AI3101">
        <v>83</v>
      </c>
      <c r="AJ3101">
        <v>1</v>
      </c>
      <c r="AK3101">
        <v>1</v>
      </c>
      <c r="AL3101">
        <v>1</v>
      </c>
      <c r="AM3101">
        <v>98.81</v>
      </c>
      <c r="AN3101">
        <v>152.55029999999999</v>
      </c>
      <c r="AO3101">
        <v>148.62</v>
      </c>
      <c r="AP3101" s="13">
        <v>45513</v>
      </c>
      <c r="AQ3101">
        <v>-3</v>
      </c>
      <c r="AR3101">
        <v>1</v>
      </c>
    </row>
    <row r="3102" spans="1:44" x14ac:dyDescent="0.35">
      <c r="A3102" s="12" t="s">
        <v>3998</v>
      </c>
      <c r="B3102" s="12" t="s">
        <v>140</v>
      </c>
      <c r="C3102" s="12" t="s">
        <v>141</v>
      </c>
      <c r="D3102" s="12" t="s">
        <v>103</v>
      </c>
      <c r="E3102" s="12" t="s">
        <v>142</v>
      </c>
      <c r="F3102">
        <v>1</v>
      </c>
      <c r="G3102">
        <v>7</v>
      </c>
      <c r="H3102">
        <v>1</v>
      </c>
      <c r="I3102" s="12" t="s">
        <v>143</v>
      </c>
      <c r="J3102" s="12" t="s">
        <v>144</v>
      </c>
      <c r="K3102" s="12" t="s">
        <v>133</v>
      </c>
      <c r="L3102" s="12" t="s">
        <v>96</v>
      </c>
      <c r="M3102">
        <v>5.43</v>
      </c>
      <c r="N3102" s="12" t="s">
        <v>107</v>
      </c>
      <c r="O3102" s="12" t="s">
        <v>108</v>
      </c>
      <c r="P3102" s="12" t="s">
        <v>109</v>
      </c>
      <c r="Q3102" s="13">
        <v>45492</v>
      </c>
      <c r="R3102" s="13">
        <v>45542</v>
      </c>
      <c r="S3102">
        <v>2024</v>
      </c>
      <c r="T3102" s="12" t="s">
        <v>3854</v>
      </c>
      <c r="U3102">
        <v>127</v>
      </c>
      <c r="V3102">
        <v>211.35810000000001</v>
      </c>
      <c r="W3102">
        <v>662.07</v>
      </c>
      <c r="X3102">
        <v>0</v>
      </c>
      <c r="Y3102">
        <v>0</v>
      </c>
      <c r="Z3102">
        <v>26842.48</v>
      </c>
      <c r="AA3102">
        <v>27504.55</v>
      </c>
      <c r="AB3102" s="12" t="s">
        <v>2815</v>
      </c>
      <c r="AC3102">
        <v>211.35810000000001</v>
      </c>
      <c r="AD3102">
        <v>1</v>
      </c>
      <c r="AE3102">
        <v>1</v>
      </c>
      <c r="AF3102">
        <v>0</v>
      </c>
      <c r="AG3102">
        <v>26842.48</v>
      </c>
      <c r="AH3102">
        <v>127</v>
      </c>
      <c r="AI3102">
        <v>126</v>
      </c>
      <c r="AJ3102">
        <v>1</v>
      </c>
      <c r="AK3102">
        <v>1</v>
      </c>
      <c r="AL3102">
        <v>1</v>
      </c>
      <c r="AM3102">
        <v>99.21</v>
      </c>
      <c r="AN3102">
        <v>218.2901</v>
      </c>
      <c r="AO3102">
        <v>211.36</v>
      </c>
      <c r="AP3102" s="13">
        <v>45541</v>
      </c>
      <c r="AQ3102">
        <v>-1</v>
      </c>
      <c r="AR3102">
        <v>1</v>
      </c>
    </row>
    <row r="3103" spans="1:44" x14ac:dyDescent="0.35">
      <c r="A3103" s="12" t="s">
        <v>3999</v>
      </c>
      <c r="B3103" s="12" t="s">
        <v>1166</v>
      </c>
      <c r="C3103" s="12" t="s">
        <v>1167</v>
      </c>
      <c r="D3103" s="12" t="s">
        <v>175</v>
      </c>
      <c r="E3103" s="12" t="s">
        <v>65</v>
      </c>
      <c r="F3103">
        <v>3</v>
      </c>
      <c r="G3103">
        <v>5</v>
      </c>
      <c r="H3103">
        <v>0</v>
      </c>
      <c r="I3103" s="12" t="s">
        <v>143</v>
      </c>
      <c r="J3103" s="12" t="s">
        <v>144</v>
      </c>
      <c r="K3103" s="12" t="s">
        <v>133</v>
      </c>
      <c r="L3103" s="12" t="s">
        <v>96</v>
      </c>
      <c r="M3103">
        <v>5.43</v>
      </c>
      <c r="N3103" s="12" t="s">
        <v>107</v>
      </c>
      <c r="O3103" s="12" t="s">
        <v>108</v>
      </c>
      <c r="P3103" s="12" t="s">
        <v>109</v>
      </c>
      <c r="Q3103" s="13">
        <v>45492</v>
      </c>
      <c r="R3103" s="13">
        <v>45513</v>
      </c>
      <c r="S3103">
        <v>2024</v>
      </c>
      <c r="T3103" s="12" t="s">
        <v>3854</v>
      </c>
      <c r="U3103">
        <v>13</v>
      </c>
      <c r="V3103">
        <v>250.14609999999999</v>
      </c>
      <c r="W3103">
        <v>54.11</v>
      </c>
      <c r="X3103">
        <v>0</v>
      </c>
      <c r="Y3103">
        <v>0</v>
      </c>
      <c r="Z3103">
        <v>3251.9</v>
      </c>
      <c r="AA3103">
        <v>3306.01</v>
      </c>
      <c r="AB3103" s="12" t="s">
        <v>201</v>
      </c>
      <c r="AD3103">
        <v>0</v>
      </c>
      <c r="AE3103">
        <v>0</v>
      </c>
      <c r="AH3103">
        <v>13</v>
      </c>
      <c r="AI3103">
        <v>13</v>
      </c>
      <c r="AJ3103">
        <v>0</v>
      </c>
      <c r="AK3103">
        <v>1</v>
      </c>
      <c r="AL3103">
        <v>1</v>
      </c>
      <c r="AM3103">
        <v>100</v>
      </c>
      <c r="AN3103">
        <v>254.30840000000001</v>
      </c>
      <c r="AO3103">
        <v>0</v>
      </c>
      <c r="AP3103" s="13">
        <v>45510</v>
      </c>
      <c r="AQ3103">
        <v>-3</v>
      </c>
      <c r="AR3103">
        <v>1</v>
      </c>
    </row>
    <row r="3104" spans="1:44" x14ac:dyDescent="0.35">
      <c r="A3104" s="12" t="s">
        <v>4000</v>
      </c>
      <c r="B3104" s="12" t="s">
        <v>215</v>
      </c>
      <c r="C3104" s="12" t="s">
        <v>216</v>
      </c>
      <c r="D3104" s="12" t="s">
        <v>122</v>
      </c>
      <c r="E3104" s="12" t="s">
        <v>142</v>
      </c>
      <c r="F3104">
        <v>3</v>
      </c>
      <c r="G3104">
        <v>11</v>
      </c>
      <c r="H3104">
        <v>0</v>
      </c>
      <c r="I3104" s="12" t="s">
        <v>310</v>
      </c>
      <c r="J3104" s="12" t="s">
        <v>311</v>
      </c>
      <c r="K3104" s="12" t="s">
        <v>81</v>
      </c>
      <c r="L3104" s="12" t="s">
        <v>69</v>
      </c>
      <c r="M3104">
        <v>28.3</v>
      </c>
      <c r="N3104" s="12" t="s">
        <v>97</v>
      </c>
      <c r="O3104" s="12" t="s">
        <v>98</v>
      </c>
      <c r="P3104" s="12" t="s">
        <v>72</v>
      </c>
      <c r="Q3104" s="13">
        <v>45492</v>
      </c>
      <c r="R3104" s="13">
        <v>45542</v>
      </c>
      <c r="S3104">
        <v>2024</v>
      </c>
      <c r="T3104" s="12" t="s">
        <v>3854</v>
      </c>
      <c r="U3104">
        <v>1717</v>
      </c>
      <c r="V3104">
        <v>16.6569</v>
      </c>
      <c r="W3104">
        <v>351.25</v>
      </c>
      <c r="X3104">
        <v>864.08</v>
      </c>
      <c r="Y3104">
        <v>1</v>
      </c>
      <c r="Z3104">
        <v>28599.9</v>
      </c>
      <c r="AA3104">
        <v>29815.23</v>
      </c>
      <c r="AB3104" s="12" t="s">
        <v>201</v>
      </c>
      <c r="AD3104">
        <v>0</v>
      </c>
      <c r="AE3104">
        <v>0</v>
      </c>
      <c r="AH3104">
        <v>1717</v>
      </c>
      <c r="AI3104">
        <v>1713</v>
      </c>
      <c r="AJ3104">
        <v>4</v>
      </c>
      <c r="AK3104">
        <v>1</v>
      </c>
      <c r="AL3104">
        <v>1</v>
      </c>
      <c r="AM3104">
        <v>99.77</v>
      </c>
      <c r="AN3104">
        <v>17.4053</v>
      </c>
      <c r="AO3104">
        <v>66.63</v>
      </c>
      <c r="AP3104" s="13">
        <v>45538</v>
      </c>
      <c r="AQ3104">
        <v>-4</v>
      </c>
      <c r="AR3104">
        <v>1</v>
      </c>
    </row>
    <row r="3105" spans="1:44" x14ac:dyDescent="0.35">
      <c r="A3105" s="12" t="s">
        <v>4001</v>
      </c>
      <c r="B3105" s="12" t="s">
        <v>498</v>
      </c>
      <c r="C3105" s="12" t="s">
        <v>499</v>
      </c>
      <c r="D3105" s="12" t="s">
        <v>175</v>
      </c>
      <c r="E3105" s="12" t="s">
        <v>104</v>
      </c>
      <c r="F3105">
        <v>3</v>
      </c>
      <c r="G3105">
        <v>1</v>
      </c>
      <c r="H3105">
        <v>0</v>
      </c>
      <c r="I3105" s="12" t="s">
        <v>233</v>
      </c>
      <c r="J3105" s="12" t="s">
        <v>234</v>
      </c>
      <c r="K3105" s="12" t="s">
        <v>125</v>
      </c>
      <c r="L3105" s="12" t="s">
        <v>96</v>
      </c>
      <c r="M3105">
        <v>3.73</v>
      </c>
      <c r="N3105" s="12" t="s">
        <v>107</v>
      </c>
      <c r="O3105" s="12" t="s">
        <v>108</v>
      </c>
      <c r="P3105" s="12" t="s">
        <v>109</v>
      </c>
      <c r="Q3105" s="13">
        <v>45492</v>
      </c>
      <c r="R3105" s="13">
        <v>45504</v>
      </c>
      <c r="S3105">
        <v>2024</v>
      </c>
      <c r="T3105" s="12" t="s">
        <v>3854</v>
      </c>
      <c r="U3105">
        <v>14</v>
      </c>
      <c r="V3105">
        <v>268.74209999999999</v>
      </c>
      <c r="W3105">
        <v>57.42</v>
      </c>
      <c r="X3105">
        <v>0</v>
      </c>
      <c r="Y3105">
        <v>0</v>
      </c>
      <c r="Z3105">
        <v>3762.39</v>
      </c>
      <c r="AA3105">
        <v>3819.81</v>
      </c>
      <c r="AB3105" s="12" t="s">
        <v>3032</v>
      </c>
      <c r="AC3105">
        <v>268.74209999999999</v>
      </c>
      <c r="AD3105">
        <v>1</v>
      </c>
      <c r="AE3105">
        <v>1</v>
      </c>
      <c r="AF3105">
        <v>0</v>
      </c>
      <c r="AG3105">
        <v>3762.39</v>
      </c>
      <c r="AH3105">
        <v>14</v>
      </c>
      <c r="AI3105">
        <v>14</v>
      </c>
      <c r="AJ3105">
        <v>0</v>
      </c>
      <c r="AK3105">
        <v>1</v>
      </c>
      <c r="AL3105">
        <v>1</v>
      </c>
      <c r="AM3105">
        <v>100</v>
      </c>
      <c r="AN3105">
        <v>272.84350000000001</v>
      </c>
      <c r="AO3105">
        <v>0</v>
      </c>
      <c r="AP3105" s="13">
        <v>45507</v>
      </c>
      <c r="AQ3105">
        <v>3</v>
      </c>
      <c r="AR3105">
        <v>0</v>
      </c>
    </row>
    <row r="3106" spans="1:44" x14ac:dyDescent="0.35">
      <c r="A3106" s="12" t="s">
        <v>4002</v>
      </c>
      <c r="B3106" s="12" t="s">
        <v>498</v>
      </c>
      <c r="C3106" s="12" t="s">
        <v>499</v>
      </c>
      <c r="D3106" s="12" t="s">
        <v>175</v>
      </c>
      <c r="E3106" s="12" t="s">
        <v>104</v>
      </c>
      <c r="F3106">
        <v>3</v>
      </c>
      <c r="G3106">
        <v>1</v>
      </c>
      <c r="H3106">
        <v>0</v>
      </c>
      <c r="I3106" s="12" t="s">
        <v>233</v>
      </c>
      <c r="J3106" s="12" t="s">
        <v>234</v>
      </c>
      <c r="K3106" s="12" t="s">
        <v>125</v>
      </c>
      <c r="L3106" s="12" t="s">
        <v>96</v>
      </c>
      <c r="M3106">
        <v>3.73</v>
      </c>
      <c r="N3106" s="12" t="s">
        <v>107</v>
      </c>
      <c r="O3106" s="12" t="s">
        <v>108</v>
      </c>
      <c r="P3106" s="12" t="s">
        <v>109</v>
      </c>
      <c r="Q3106" s="13">
        <v>45492</v>
      </c>
      <c r="R3106" s="13">
        <v>45504</v>
      </c>
      <c r="S3106">
        <v>2024</v>
      </c>
      <c r="T3106" s="12" t="s">
        <v>3854</v>
      </c>
      <c r="U3106">
        <v>14</v>
      </c>
      <c r="V3106">
        <v>268.74209999999999</v>
      </c>
      <c r="W3106">
        <v>57.42</v>
      </c>
      <c r="X3106">
        <v>0</v>
      </c>
      <c r="Y3106">
        <v>0</v>
      </c>
      <c r="Z3106">
        <v>3762.39</v>
      </c>
      <c r="AA3106">
        <v>3819.81</v>
      </c>
      <c r="AB3106" s="12" t="s">
        <v>3032</v>
      </c>
      <c r="AC3106">
        <v>268.74209999999999</v>
      </c>
      <c r="AD3106">
        <v>1</v>
      </c>
      <c r="AE3106">
        <v>1</v>
      </c>
      <c r="AF3106">
        <v>0</v>
      </c>
      <c r="AG3106">
        <v>3762.39</v>
      </c>
      <c r="AK3106">
        <v>0</v>
      </c>
      <c r="AL3106">
        <v>0</v>
      </c>
      <c r="AO3106">
        <v>0</v>
      </c>
      <c r="AP3106" s="13"/>
    </row>
    <row r="3107" spans="1:44" x14ac:dyDescent="0.35">
      <c r="A3107" s="12" t="s">
        <v>4003</v>
      </c>
      <c r="B3107" s="12" t="s">
        <v>503</v>
      </c>
      <c r="C3107" s="12" t="s">
        <v>504</v>
      </c>
      <c r="D3107" s="12" t="s">
        <v>103</v>
      </c>
      <c r="E3107" s="12" t="s">
        <v>104</v>
      </c>
      <c r="F3107">
        <v>3</v>
      </c>
      <c r="G3107">
        <v>1</v>
      </c>
      <c r="H3107">
        <v>0</v>
      </c>
      <c r="I3107" s="12" t="s">
        <v>251</v>
      </c>
      <c r="J3107" s="12" t="s">
        <v>252</v>
      </c>
      <c r="K3107" s="12" t="s">
        <v>133</v>
      </c>
      <c r="L3107" s="12" t="s">
        <v>69</v>
      </c>
      <c r="M3107">
        <v>34.49</v>
      </c>
      <c r="N3107" s="12" t="s">
        <v>145</v>
      </c>
      <c r="O3107" s="12" t="s">
        <v>146</v>
      </c>
      <c r="P3107" s="12" t="s">
        <v>109</v>
      </c>
      <c r="Q3107" s="13">
        <v>45495</v>
      </c>
      <c r="R3107" s="13">
        <v>45521</v>
      </c>
      <c r="S3107">
        <v>2024</v>
      </c>
      <c r="T3107" s="12" t="s">
        <v>3854</v>
      </c>
      <c r="U3107">
        <v>124</v>
      </c>
      <c r="V3107">
        <v>153.63839999999999</v>
      </c>
      <c r="W3107">
        <v>118.56</v>
      </c>
      <c r="X3107">
        <v>0</v>
      </c>
      <c r="Y3107">
        <v>0</v>
      </c>
      <c r="Z3107">
        <v>19051.16</v>
      </c>
      <c r="AA3107">
        <v>19169.72</v>
      </c>
      <c r="AB3107" s="12" t="s">
        <v>3311</v>
      </c>
      <c r="AC3107">
        <v>153.63839999999999</v>
      </c>
      <c r="AD3107">
        <v>1</v>
      </c>
      <c r="AE3107">
        <v>1</v>
      </c>
      <c r="AF3107">
        <v>0</v>
      </c>
      <c r="AG3107">
        <v>19051.16</v>
      </c>
      <c r="AH3107">
        <v>124</v>
      </c>
      <c r="AI3107">
        <v>123</v>
      </c>
      <c r="AJ3107">
        <v>1</v>
      </c>
      <c r="AK3107">
        <v>1</v>
      </c>
      <c r="AL3107">
        <v>1</v>
      </c>
      <c r="AM3107">
        <v>99.19</v>
      </c>
      <c r="AN3107">
        <v>155.85140000000001</v>
      </c>
      <c r="AO3107">
        <v>153.63999999999999</v>
      </c>
      <c r="AP3107" s="13">
        <v>45521</v>
      </c>
      <c r="AQ3107">
        <v>0</v>
      </c>
      <c r="AR3107">
        <v>1</v>
      </c>
    </row>
    <row r="3108" spans="1:44" x14ac:dyDescent="0.35">
      <c r="A3108" s="12" t="s">
        <v>4004</v>
      </c>
      <c r="B3108" s="12" t="s">
        <v>350</v>
      </c>
      <c r="C3108" s="12" t="s">
        <v>351</v>
      </c>
      <c r="D3108" s="12" t="s">
        <v>64</v>
      </c>
      <c r="E3108" s="12" t="s">
        <v>104</v>
      </c>
      <c r="F3108">
        <v>3</v>
      </c>
      <c r="G3108">
        <v>1</v>
      </c>
      <c r="H3108">
        <v>0</v>
      </c>
      <c r="I3108" s="12" t="s">
        <v>486</v>
      </c>
      <c r="J3108" s="12" t="s">
        <v>487</v>
      </c>
      <c r="K3108" s="12" t="s">
        <v>125</v>
      </c>
      <c r="L3108" s="12" t="s">
        <v>69</v>
      </c>
      <c r="M3108">
        <v>36.86</v>
      </c>
      <c r="N3108" s="12" t="s">
        <v>97</v>
      </c>
      <c r="O3108" s="12" t="s">
        <v>98</v>
      </c>
      <c r="P3108" s="12" t="s">
        <v>72</v>
      </c>
      <c r="Q3108" s="13">
        <v>45495</v>
      </c>
      <c r="R3108" s="13">
        <v>45515</v>
      </c>
      <c r="S3108">
        <v>2024</v>
      </c>
      <c r="T3108" s="12" t="s">
        <v>3854</v>
      </c>
      <c r="U3108">
        <v>521</v>
      </c>
      <c r="V3108">
        <v>8.4832000000000001</v>
      </c>
      <c r="W3108">
        <v>113.07</v>
      </c>
      <c r="X3108">
        <v>0</v>
      </c>
      <c r="Y3108">
        <v>0</v>
      </c>
      <c r="Z3108">
        <v>4419.75</v>
      </c>
      <c r="AA3108">
        <v>4532.82</v>
      </c>
      <c r="AB3108" s="12" t="s">
        <v>2933</v>
      </c>
      <c r="AC3108">
        <v>8.4832000000000001</v>
      </c>
      <c r="AD3108">
        <v>1</v>
      </c>
      <c r="AE3108">
        <v>1</v>
      </c>
      <c r="AF3108">
        <v>0</v>
      </c>
      <c r="AG3108">
        <v>4419.75</v>
      </c>
      <c r="AH3108">
        <v>521</v>
      </c>
      <c r="AI3108">
        <v>518</v>
      </c>
      <c r="AJ3108">
        <v>3</v>
      </c>
      <c r="AK3108">
        <v>1</v>
      </c>
      <c r="AL3108">
        <v>1</v>
      </c>
      <c r="AM3108">
        <v>99.42</v>
      </c>
      <c r="AN3108">
        <v>8.7506000000000004</v>
      </c>
      <c r="AO3108">
        <v>25.45</v>
      </c>
      <c r="AP3108" s="13">
        <v>45514</v>
      </c>
      <c r="AQ3108">
        <v>-1</v>
      </c>
      <c r="AR3108">
        <v>1</v>
      </c>
    </row>
    <row r="3109" spans="1:44" x14ac:dyDescent="0.35">
      <c r="A3109" s="12" t="s">
        <v>4005</v>
      </c>
      <c r="B3109" s="12" t="s">
        <v>284</v>
      </c>
      <c r="C3109" s="12" t="s">
        <v>285</v>
      </c>
      <c r="D3109" s="12" t="s">
        <v>269</v>
      </c>
      <c r="E3109" s="12" t="s">
        <v>104</v>
      </c>
      <c r="F3109">
        <v>3</v>
      </c>
      <c r="G3109">
        <v>1</v>
      </c>
      <c r="H3109">
        <v>0</v>
      </c>
      <c r="I3109" s="12" t="s">
        <v>199</v>
      </c>
      <c r="J3109" s="12" t="s">
        <v>200</v>
      </c>
      <c r="K3109" s="12" t="s">
        <v>68</v>
      </c>
      <c r="L3109" s="12" t="s">
        <v>96</v>
      </c>
      <c r="M3109">
        <v>9.4700000000000006</v>
      </c>
      <c r="N3109" s="12" t="s">
        <v>135</v>
      </c>
      <c r="O3109" s="12" t="s">
        <v>136</v>
      </c>
      <c r="P3109" s="12" t="s">
        <v>137</v>
      </c>
      <c r="Q3109" s="13">
        <v>45495</v>
      </c>
      <c r="R3109" s="13">
        <v>45507</v>
      </c>
      <c r="S3109">
        <v>2024</v>
      </c>
      <c r="T3109" s="12" t="s">
        <v>3854</v>
      </c>
      <c r="U3109">
        <v>14</v>
      </c>
      <c r="V3109">
        <v>381.65010000000001</v>
      </c>
      <c r="W3109">
        <v>123.64</v>
      </c>
      <c r="X3109">
        <v>0</v>
      </c>
      <c r="Y3109">
        <v>0</v>
      </c>
      <c r="Z3109">
        <v>5343.1</v>
      </c>
      <c r="AA3109">
        <v>5466.74</v>
      </c>
      <c r="AB3109" s="12" t="s">
        <v>201</v>
      </c>
      <c r="AD3109">
        <v>0</v>
      </c>
      <c r="AE3109">
        <v>0</v>
      </c>
      <c r="AH3109">
        <v>14</v>
      </c>
      <c r="AI3109">
        <v>14</v>
      </c>
      <c r="AJ3109">
        <v>0</v>
      </c>
      <c r="AK3109">
        <v>1</v>
      </c>
      <c r="AL3109">
        <v>1</v>
      </c>
      <c r="AM3109">
        <v>100</v>
      </c>
      <c r="AN3109">
        <v>390.48149999999998</v>
      </c>
      <c r="AO3109">
        <v>0</v>
      </c>
      <c r="AP3109" s="13">
        <v>45504</v>
      </c>
      <c r="AQ3109">
        <v>-3</v>
      </c>
      <c r="AR3109">
        <v>1</v>
      </c>
    </row>
    <row r="3110" spans="1:44" x14ac:dyDescent="0.35">
      <c r="A3110" s="12" t="s">
        <v>4006</v>
      </c>
      <c r="B3110" s="12" t="s">
        <v>747</v>
      </c>
      <c r="C3110" s="12" t="s">
        <v>748</v>
      </c>
      <c r="D3110" s="12" t="s">
        <v>114</v>
      </c>
      <c r="E3110" s="12" t="s">
        <v>104</v>
      </c>
      <c r="F3110">
        <v>2</v>
      </c>
      <c r="G3110">
        <v>0</v>
      </c>
      <c r="H3110">
        <v>0</v>
      </c>
      <c r="I3110" s="12" t="s">
        <v>380</v>
      </c>
      <c r="J3110" s="12" t="s">
        <v>381</v>
      </c>
      <c r="K3110" s="12" t="s">
        <v>89</v>
      </c>
      <c r="L3110" s="12" t="s">
        <v>96</v>
      </c>
      <c r="M3110">
        <v>10.210000000000001</v>
      </c>
      <c r="N3110" s="12" t="s">
        <v>97</v>
      </c>
      <c r="O3110" s="12" t="s">
        <v>98</v>
      </c>
      <c r="P3110" s="12" t="s">
        <v>72</v>
      </c>
      <c r="Q3110" s="13">
        <v>45495</v>
      </c>
      <c r="R3110" s="13">
        <v>45517</v>
      </c>
      <c r="S3110">
        <v>2024</v>
      </c>
      <c r="T3110" s="12" t="s">
        <v>3854</v>
      </c>
      <c r="U3110">
        <v>95</v>
      </c>
      <c r="V3110">
        <v>242.0575</v>
      </c>
      <c r="W3110">
        <v>510.84</v>
      </c>
      <c r="X3110">
        <v>0</v>
      </c>
      <c r="Y3110">
        <v>0</v>
      </c>
      <c r="Z3110">
        <v>22995.46</v>
      </c>
      <c r="AA3110">
        <v>23506.3</v>
      </c>
      <c r="AB3110" s="12" t="s">
        <v>3072</v>
      </c>
      <c r="AC3110">
        <v>242.0575</v>
      </c>
      <c r="AD3110">
        <v>1</v>
      </c>
      <c r="AE3110">
        <v>1</v>
      </c>
      <c r="AF3110">
        <v>0</v>
      </c>
      <c r="AG3110">
        <v>22995.46</v>
      </c>
      <c r="AH3110">
        <v>95</v>
      </c>
      <c r="AI3110">
        <v>93</v>
      </c>
      <c r="AJ3110">
        <v>2</v>
      </c>
      <c r="AK3110">
        <v>1</v>
      </c>
      <c r="AL3110">
        <v>1</v>
      </c>
      <c r="AM3110">
        <v>97.89</v>
      </c>
      <c r="AN3110">
        <v>252.7559</v>
      </c>
      <c r="AO3110">
        <v>484.12</v>
      </c>
      <c r="AP3110" s="13">
        <v>45514</v>
      </c>
      <c r="AQ3110">
        <v>-3</v>
      </c>
      <c r="AR3110">
        <v>1</v>
      </c>
    </row>
    <row r="3111" spans="1:44" x14ac:dyDescent="0.35">
      <c r="A3111" s="12" t="s">
        <v>4007</v>
      </c>
      <c r="B3111" s="12" t="s">
        <v>331</v>
      </c>
      <c r="C3111" s="12" t="s">
        <v>332</v>
      </c>
      <c r="D3111" s="12" t="s">
        <v>122</v>
      </c>
      <c r="E3111" s="12" t="s">
        <v>142</v>
      </c>
      <c r="F3111">
        <v>3</v>
      </c>
      <c r="G3111">
        <v>11</v>
      </c>
      <c r="H3111">
        <v>0</v>
      </c>
      <c r="I3111" s="12" t="s">
        <v>66</v>
      </c>
      <c r="J3111" s="12" t="s">
        <v>67</v>
      </c>
      <c r="K3111" s="12" t="s">
        <v>68</v>
      </c>
      <c r="L3111" s="12" t="s">
        <v>69</v>
      </c>
      <c r="M3111">
        <v>17.66</v>
      </c>
      <c r="N3111" s="12" t="s">
        <v>97</v>
      </c>
      <c r="O3111" s="12" t="s">
        <v>98</v>
      </c>
      <c r="P3111" s="12" t="s">
        <v>72</v>
      </c>
      <c r="Q3111" s="13">
        <v>45495</v>
      </c>
      <c r="R3111" s="13">
        <v>45547</v>
      </c>
      <c r="S3111">
        <v>2024</v>
      </c>
      <c r="T3111" s="12" t="s">
        <v>3854</v>
      </c>
      <c r="U3111">
        <v>1921</v>
      </c>
      <c r="V3111">
        <v>24.853400000000001</v>
      </c>
      <c r="W3111">
        <v>478.21</v>
      </c>
      <c r="X3111">
        <v>0</v>
      </c>
      <c r="Y3111">
        <v>0</v>
      </c>
      <c r="Z3111">
        <v>47743.38</v>
      </c>
      <c r="AA3111">
        <v>48221.59</v>
      </c>
      <c r="AB3111" s="12" t="s">
        <v>201</v>
      </c>
      <c r="AD3111">
        <v>0</v>
      </c>
      <c r="AE3111">
        <v>0</v>
      </c>
      <c r="AH3111">
        <v>1921</v>
      </c>
      <c r="AI3111">
        <v>1906</v>
      </c>
      <c r="AJ3111">
        <v>15</v>
      </c>
      <c r="AK3111">
        <v>1</v>
      </c>
      <c r="AL3111">
        <v>1</v>
      </c>
      <c r="AM3111">
        <v>99.22</v>
      </c>
      <c r="AN3111">
        <v>25.299900000000001</v>
      </c>
      <c r="AO3111">
        <v>372.8</v>
      </c>
      <c r="AP3111" s="13">
        <v>45545</v>
      </c>
      <c r="AQ3111">
        <v>-2</v>
      </c>
      <c r="AR3111">
        <v>1</v>
      </c>
    </row>
    <row r="3112" spans="1:44" x14ac:dyDescent="0.35">
      <c r="A3112" s="12" t="s">
        <v>4008</v>
      </c>
      <c r="B3112" s="12" t="s">
        <v>420</v>
      </c>
      <c r="C3112" s="12" t="s">
        <v>421</v>
      </c>
      <c r="D3112" s="12" t="s">
        <v>269</v>
      </c>
      <c r="E3112" s="12" t="s">
        <v>104</v>
      </c>
      <c r="F3112">
        <v>2</v>
      </c>
      <c r="G3112">
        <v>0</v>
      </c>
      <c r="H3112">
        <v>0</v>
      </c>
      <c r="I3112" s="12" t="s">
        <v>380</v>
      </c>
      <c r="J3112" s="12" t="s">
        <v>381</v>
      </c>
      <c r="K3112" s="12" t="s">
        <v>89</v>
      </c>
      <c r="L3112" s="12" t="s">
        <v>96</v>
      </c>
      <c r="M3112">
        <v>10.210000000000001</v>
      </c>
      <c r="N3112" s="12" t="s">
        <v>159</v>
      </c>
      <c r="O3112" s="12" t="s">
        <v>160</v>
      </c>
      <c r="P3112" s="12" t="s">
        <v>137</v>
      </c>
      <c r="Q3112" s="13">
        <v>45495</v>
      </c>
      <c r="R3112" s="13">
        <v>45511</v>
      </c>
      <c r="S3112">
        <v>2024</v>
      </c>
      <c r="T3112" s="12" t="s">
        <v>3854</v>
      </c>
      <c r="U3112">
        <v>46</v>
      </c>
      <c r="V3112">
        <v>142.20349999999999</v>
      </c>
      <c r="W3112">
        <v>158.81</v>
      </c>
      <c r="X3112">
        <v>0</v>
      </c>
      <c r="Y3112">
        <v>0</v>
      </c>
      <c r="Z3112">
        <v>6541.36</v>
      </c>
      <c r="AA3112">
        <v>6700.17</v>
      </c>
      <c r="AB3112" s="12" t="s">
        <v>2925</v>
      </c>
      <c r="AC3112">
        <v>142.20349999999999</v>
      </c>
      <c r="AD3112">
        <v>1</v>
      </c>
      <c r="AE3112">
        <v>1</v>
      </c>
      <c r="AF3112">
        <v>0</v>
      </c>
      <c r="AG3112">
        <v>6541.36</v>
      </c>
      <c r="AH3112">
        <v>46</v>
      </c>
      <c r="AI3112">
        <v>46</v>
      </c>
      <c r="AJ3112">
        <v>0</v>
      </c>
      <c r="AK3112">
        <v>1</v>
      </c>
      <c r="AL3112">
        <v>1</v>
      </c>
      <c r="AM3112">
        <v>100</v>
      </c>
      <c r="AN3112">
        <v>145.6559</v>
      </c>
      <c r="AO3112">
        <v>0</v>
      </c>
      <c r="AP3112" s="13">
        <v>45508</v>
      </c>
      <c r="AQ3112">
        <v>-3</v>
      </c>
      <c r="AR3112">
        <v>1</v>
      </c>
    </row>
    <row r="3113" spans="1:44" x14ac:dyDescent="0.35">
      <c r="A3113" s="12" t="s">
        <v>4009</v>
      </c>
      <c r="B3113" s="12" t="s">
        <v>193</v>
      </c>
      <c r="C3113" s="12" t="s">
        <v>194</v>
      </c>
      <c r="D3113" s="12" t="s">
        <v>114</v>
      </c>
      <c r="E3113" s="12" t="s">
        <v>65</v>
      </c>
      <c r="F3113">
        <v>3</v>
      </c>
      <c r="G3113">
        <v>4</v>
      </c>
      <c r="H3113">
        <v>0</v>
      </c>
      <c r="I3113" s="12" t="s">
        <v>195</v>
      </c>
      <c r="J3113" s="12" t="s">
        <v>196</v>
      </c>
      <c r="K3113" s="12" t="s">
        <v>117</v>
      </c>
      <c r="L3113" s="12" t="s">
        <v>134</v>
      </c>
      <c r="M3113">
        <v>4.7699999999999996</v>
      </c>
      <c r="N3113" s="12" t="s">
        <v>70</v>
      </c>
      <c r="O3113" s="12" t="s">
        <v>71</v>
      </c>
      <c r="P3113" s="12" t="s">
        <v>72</v>
      </c>
      <c r="Q3113" s="13">
        <v>45495</v>
      </c>
      <c r="R3113" s="13">
        <v>45520</v>
      </c>
      <c r="S3113">
        <v>2024</v>
      </c>
      <c r="T3113" s="12" t="s">
        <v>3854</v>
      </c>
      <c r="U3113">
        <v>47</v>
      </c>
      <c r="V3113">
        <v>105.8943</v>
      </c>
      <c r="W3113">
        <v>127.53</v>
      </c>
      <c r="X3113">
        <v>0</v>
      </c>
      <c r="Y3113">
        <v>0</v>
      </c>
      <c r="Z3113">
        <v>4977.03</v>
      </c>
      <c r="AA3113">
        <v>5104.5600000000004</v>
      </c>
      <c r="AB3113" s="12" t="s">
        <v>3197</v>
      </c>
      <c r="AC3113">
        <v>105.8943</v>
      </c>
      <c r="AD3113">
        <v>1</v>
      </c>
      <c r="AE3113">
        <v>1</v>
      </c>
      <c r="AF3113">
        <v>0</v>
      </c>
      <c r="AG3113">
        <v>4977.03</v>
      </c>
      <c r="AH3113">
        <v>47</v>
      </c>
      <c r="AI3113">
        <v>47</v>
      </c>
      <c r="AJ3113">
        <v>0</v>
      </c>
      <c r="AK3113">
        <v>1</v>
      </c>
      <c r="AL3113">
        <v>1</v>
      </c>
      <c r="AM3113">
        <v>100</v>
      </c>
      <c r="AN3113">
        <v>108.60769999999999</v>
      </c>
      <c r="AO3113">
        <v>0</v>
      </c>
      <c r="AP3113" s="13">
        <v>45519</v>
      </c>
      <c r="AQ3113">
        <v>-1</v>
      </c>
      <c r="AR3113">
        <v>1</v>
      </c>
    </row>
    <row r="3114" spans="1:44" x14ac:dyDescent="0.35">
      <c r="A3114" s="12" t="s">
        <v>4010</v>
      </c>
      <c r="B3114" s="12" t="s">
        <v>1134</v>
      </c>
      <c r="C3114" s="12" t="s">
        <v>1135</v>
      </c>
      <c r="D3114" s="12" t="s">
        <v>269</v>
      </c>
      <c r="E3114" s="12" t="s">
        <v>104</v>
      </c>
      <c r="F3114">
        <v>2</v>
      </c>
      <c r="G3114">
        <v>0</v>
      </c>
      <c r="H3114">
        <v>0</v>
      </c>
      <c r="I3114" s="12" t="s">
        <v>335</v>
      </c>
      <c r="J3114" s="12" t="s">
        <v>336</v>
      </c>
      <c r="K3114" s="12" t="s">
        <v>89</v>
      </c>
      <c r="L3114" s="12" t="s">
        <v>82</v>
      </c>
      <c r="M3114">
        <v>16</v>
      </c>
      <c r="N3114" s="12" t="s">
        <v>159</v>
      </c>
      <c r="O3114" s="12" t="s">
        <v>160</v>
      </c>
      <c r="P3114" s="12" t="s">
        <v>137</v>
      </c>
      <c r="Q3114" s="13">
        <v>45495</v>
      </c>
      <c r="R3114" s="13">
        <v>45519</v>
      </c>
      <c r="S3114">
        <v>2024</v>
      </c>
      <c r="T3114" s="12" t="s">
        <v>3854</v>
      </c>
      <c r="U3114">
        <v>110</v>
      </c>
      <c r="V3114">
        <v>104.307</v>
      </c>
      <c r="W3114">
        <v>245.55</v>
      </c>
      <c r="X3114">
        <v>0</v>
      </c>
      <c r="Y3114">
        <v>0</v>
      </c>
      <c r="Z3114">
        <v>11473.77</v>
      </c>
      <c r="AA3114">
        <v>11719.32</v>
      </c>
      <c r="AB3114" s="12" t="s">
        <v>3885</v>
      </c>
      <c r="AC3114">
        <v>104.307</v>
      </c>
      <c r="AD3114">
        <v>1</v>
      </c>
      <c r="AE3114">
        <v>1</v>
      </c>
      <c r="AF3114">
        <v>0</v>
      </c>
      <c r="AG3114">
        <v>11473.77</v>
      </c>
      <c r="AH3114">
        <v>110</v>
      </c>
      <c r="AI3114">
        <v>109</v>
      </c>
      <c r="AJ3114">
        <v>1</v>
      </c>
      <c r="AK3114">
        <v>1</v>
      </c>
      <c r="AL3114">
        <v>1</v>
      </c>
      <c r="AM3114">
        <v>99.09</v>
      </c>
      <c r="AN3114">
        <v>107.5167</v>
      </c>
      <c r="AO3114">
        <v>104.31</v>
      </c>
      <c r="AP3114" s="13">
        <v>45518</v>
      </c>
      <c r="AQ3114">
        <v>-1</v>
      </c>
      <c r="AR3114">
        <v>1</v>
      </c>
    </row>
    <row r="3115" spans="1:44" x14ac:dyDescent="0.35">
      <c r="A3115" s="12" t="s">
        <v>4011</v>
      </c>
      <c r="B3115" s="12" t="s">
        <v>391</v>
      </c>
      <c r="C3115" s="12" t="s">
        <v>392</v>
      </c>
      <c r="D3115" s="12" t="s">
        <v>114</v>
      </c>
      <c r="E3115" s="12" t="s">
        <v>65</v>
      </c>
      <c r="F3115">
        <v>2</v>
      </c>
      <c r="G3115">
        <v>2</v>
      </c>
      <c r="H3115">
        <v>0</v>
      </c>
      <c r="I3115" s="12" t="s">
        <v>310</v>
      </c>
      <c r="J3115" s="12" t="s">
        <v>311</v>
      </c>
      <c r="K3115" s="12" t="s">
        <v>81</v>
      </c>
      <c r="L3115" s="12" t="s">
        <v>69</v>
      </c>
      <c r="M3115">
        <v>28.3</v>
      </c>
      <c r="N3115" s="12" t="s">
        <v>97</v>
      </c>
      <c r="O3115" s="12" t="s">
        <v>98</v>
      </c>
      <c r="P3115" s="12" t="s">
        <v>72</v>
      </c>
      <c r="Q3115" s="13">
        <v>45495</v>
      </c>
      <c r="R3115" s="13">
        <v>45526</v>
      </c>
      <c r="S3115">
        <v>2024</v>
      </c>
      <c r="T3115" s="12" t="s">
        <v>3854</v>
      </c>
      <c r="U3115">
        <v>92</v>
      </c>
      <c r="V3115">
        <v>220.328</v>
      </c>
      <c r="W3115">
        <v>284.29000000000002</v>
      </c>
      <c r="X3115">
        <v>0</v>
      </c>
      <c r="Y3115">
        <v>0</v>
      </c>
      <c r="Z3115">
        <v>20270.18</v>
      </c>
      <c r="AA3115">
        <v>20554.47</v>
      </c>
      <c r="AB3115" s="12" t="s">
        <v>2890</v>
      </c>
      <c r="AC3115">
        <v>220.328</v>
      </c>
      <c r="AD3115">
        <v>1</v>
      </c>
      <c r="AE3115">
        <v>1</v>
      </c>
      <c r="AF3115">
        <v>0</v>
      </c>
      <c r="AG3115">
        <v>20270.18</v>
      </c>
      <c r="AH3115">
        <v>92</v>
      </c>
      <c r="AI3115">
        <v>91</v>
      </c>
      <c r="AJ3115">
        <v>1</v>
      </c>
      <c r="AK3115">
        <v>1</v>
      </c>
      <c r="AL3115">
        <v>1</v>
      </c>
      <c r="AM3115">
        <v>98.91</v>
      </c>
      <c r="AN3115">
        <v>225.8733</v>
      </c>
      <c r="AO3115">
        <v>220.33</v>
      </c>
      <c r="AP3115" s="13">
        <v>45526</v>
      </c>
      <c r="AQ3115">
        <v>0</v>
      </c>
      <c r="AR3115">
        <v>1</v>
      </c>
    </row>
    <row r="3116" spans="1:44" x14ac:dyDescent="0.35">
      <c r="A3116" s="12" t="s">
        <v>4012</v>
      </c>
      <c r="B3116" s="12" t="s">
        <v>712</v>
      </c>
      <c r="C3116" s="12" t="s">
        <v>713</v>
      </c>
      <c r="D3116" s="12" t="s">
        <v>103</v>
      </c>
      <c r="E3116" s="12" t="s">
        <v>104</v>
      </c>
      <c r="F3116">
        <v>2</v>
      </c>
      <c r="G3116">
        <v>0</v>
      </c>
      <c r="H3116">
        <v>0</v>
      </c>
      <c r="I3116" s="12" t="s">
        <v>199</v>
      </c>
      <c r="J3116" s="12" t="s">
        <v>200</v>
      </c>
      <c r="K3116" s="12" t="s">
        <v>68</v>
      </c>
      <c r="L3116" s="12" t="s">
        <v>96</v>
      </c>
      <c r="M3116">
        <v>9.4700000000000006</v>
      </c>
      <c r="N3116" s="12" t="s">
        <v>145</v>
      </c>
      <c r="O3116" s="12" t="s">
        <v>146</v>
      </c>
      <c r="P3116" s="12" t="s">
        <v>109</v>
      </c>
      <c r="Q3116" s="13">
        <v>45495</v>
      </c>
      <c r="R3116" s="13">
        <v>45517</v>
      </c>
      <c r="S3116">
        <v>2024</v>
      </c>
      <c r="T3116" s="12" t="s">
        <v>3854</v>
      </c>
      <c r="U3116">
        <v>89</v>
      </c>
      <c r="V3116">
        <v>225.09809999999999</v>
      </c>
      <c r="W3116">
        <v>423.74</v>
      </c>
      <c r="X3116">
        <v>0</v>
      </c>
      <c r="Y3116">
        <v>0</v>
      </c>
      <c r="Z3116">
        <v>20033.73</v>
      </c>
      <c r="AA3116">
        <v>20457.47</v>
      </c>
      <c r="AB3116" s="12" t="s">
        <v>201</v>
      </c>
      <c r="AD3116">
        <v>0</v>
      </c>
      <c r="AE3116">
        <v>0</v>
      </c>
      <c r="AH3116">
        <v>89</v>
      </c>
      <c r="AI3116">
        <v>88</v>
      </c>
      <c r="AJ3116">
        <v>1</v>
      </c>
      <c r="AK3116">
        <v>1</v>
      </c>
      <c r="AL3116">
        <v>1</v>
      </c>
      <c r="AM3116">
        <v>98.88</v>
      </c>
      <c r="AN3116">
        <v>232.47130000000001</v>
      </c>
      <c r="AO3116">
        <v>225.1</v>
      </c>
      <c r="AP3116" s="13">
        <v>45516</v>
      </c>
      <c r="AQ3116">
        <v>-1</v>
      </c>
      <c r="AR3116">
        <v>1</v>
      </c>
    </row>
    <row r="3117" spans="1:44" x14ac:dyDescent="0.35">
      <c r="A3117" s="12" t="s">
        <v>4013</v>
      </c>
      <c r="B3117" s="12" t="s">
        <v>602</v>
      </c>
      <c r="C3117" s="12" t="s">
        <v>603</v>
      </c>
      <c r="D3117" s="12" t="s">
        <v>114</v>
      </c>
      <c r="E3117" s="12" t="s">
        <v>142</v>
      </c>
      <c r="F3117">
        <v>2</v>
      </c>
      <c r="G3117">
        <v>10</v>
      </c>
      <c r="H3117">
        <v>0</v>
      </c>
      <c r="I3117" s="12" t="s">
        <v>263</v>
      </c>
      <c r="J3117" s="12" t="s">
        <v>264</v>
      </c>
      <c r="K3117" s="12" t="s">
        <v>125</v>
      </c>
      <c r="L3117" s="12" t="s">
        <v>82</v>
      </c>
      <c r="M3117">
        <v>10.210000000000001</v>
      </c>
      <c r="N3117" s="12" t="s">
        <v>70</v>
      </c>
      <c r="O3117" s="12" t="s">
        <v>71</v>
      </c>
      <c r="P3117" s="12" t="s">
        <v>72</v>
      </c>
      <c r="Q3117" s="13">
        <v>45495</v>
      </c>
      <c r="R3117" s="13">
        <v>45531</v>
      </c>
      <c r="S3117">
        <v>2024</v>
      </c>
      <c r="T3117" s="12" t="s">
        <v>3854</v>
      </c>
      <c r="U3117">
        <v>18</v>
      </c>
      <c r="V3117">
        <v>210.69990000000001</v>
      </c>
      <c r="W3117">
        <v>49.15</v>
      </c>
      <c r="X3117">
        <v>0</v>
      </c>
      <c r="Y3117">
        <v>0</v>
      </c>
      <c r="Z3117">
        <v>3792.6</v>
      </c>
      <c r="AA3117">
        <v>3841.75</v>
      </c>
      <c r="AB3117" s="12" t="s">
        <v>2790</v>
      </c>
      <c r="AC3117">
        <v>210.69990000000001</v>
      </c>
      <c r="AD3117">
        <v>1</v>
      </c>
      <c r="AE3117">
        <v>1</v>
      </c>
      <c r="AF3117">
        <v>0</v>
      </c>
      <c r="AG3117">
        <v>3792.6</v>
      </c>
      <c r="AH3117">
        <v>18</v>
      </c>
      <c r="AI3117">
        <v>18</v>
      </c>
      <c r="AJ3117">
        <v>0</v>
      </c>
      <c r="AK3117">
        <v>1</v>
      </c>
      <c r="AL3117">
        <v>1</v>
      </c>
      <c r="AM3117">
        <v>100</v>
      </c>
      <c r="AN3117">
        <v>213.43049999999999</v>
      </c>
      <c r="AO3117">
        <v>0</v>
      </c>
      <c r="AP3117" s="13">
        <v>45534</v>
      </c>
      <c r="AQ3117">
        <v>3</v>
      </c>
      <c r="AR3117">
        <v>0</v>
      </c>
    </row>
    <row r="3118" spans="1:44" x14ac:dyDescent="0.35">
      <c r="A3118" s="12" t="s">
        <v>4014</v>
      </c>
      <c r="B3118" s="12" t="s">
        <v>433</v>
      </c>
      <c r="C3118" s="12" t="s">
        <v>434</v>
      </c>
      <c r="D3118" s="12" t="s">
        <v>78</v>
      </c>
      <c r="E3118" s="12" t="s">
        <v>65</v>
      </c>
      <c r="F3118">
        <v>2</v>
      </c>
      <c r="G3118">
        <v>4</v>
      </c>
      <c r="H3118">
        <v>0</v>
      </c>
      <c r="I3118" s="12" t="s">
        <v>105</v>
      </c>
      <c r="J3118" s="12" t="s">
        <v>106</v>
      </c>
      <c r="K3118" s="12" t="s">
        <v>81</v>
      </c>
      <c r="L3118" s="12" t="s">
        <v>96</v>
      </c>
      <c r="M3118">
        <v>5.01</v>
      </c>
      <c r="N3118" s="12" t="s">
        <v>97</v>
      </c>
      <c r="O3118" s="12" t="s">
        <v>98</v>
      </c>
      <c r="P3118" s="12" t="s">
        <v>72</v>
      </c>
      <c r="Q3118" s="13">
        <v>45495</v>
      </c>
      <c r="R3118" s="13">
        <v>45522</v>
      </c>
      <c r="S3118">
        <v>2024</v>
      </c>
      <c r="T3118" s="12" t="s">
        <v>3854</v>
      </c>
      <c r="U3118">
        <v>130</v>
      </c>
      <c r="V3118">
        <v>72.364500000000007</v>
      </c>
      <c r="W3118">
        <v>180.37</v>
      </c>
      <c r="X3118">
        <v>0</v>
      </c>
      <c r="Y3118">
        <v>0</v>
      </c>
      <c r="Z3118">
        <v>9407.39</v>
      </c>
      <c r="AA3118">
        <v>9587.76</v>
      </c>
      <c r="AB3118" s="12" t="s">
        <v>2930</v>
      </c>
      <c r="AC3118">
        <v>72.364500000000007</v>
      </c>
      <c r="AD3118">
        <v>1</v>
      </c>
      <c r="AE3118">
        <v>1</v>
      </c>
      <c r="AF3118">
        <v>0</v>
      </c>
      <c r="AG3118">
        <v>9407.39</v>
      </c>
      <c r="AH3118">
        <v>130</v>
      </c>
      <c r="AI3118">
        <v>128</v>
      </c>
      <c r="AJ3118">
        <v>2</v>
      </c>
      <c r="AK3118">
        <v>1</v>
      </c>
      <c r="AL3118">
        <v>1</v>
      </c>
      <c r="AM3118">
        <v>98.46</v>
      </c>
      <c r="AN3118">
        <v>74.904300000000006</v>
      </c>
      <c r="AO3118">
        <v>144.72999999999999</v>
      </c>
      <c r="AP3118" s="13">
        <v>45520</v>
      </c>
      <c r="AQ3118">
        <v>-2</v>
      </c>
      <c r="AR3118">
        <v>1</v>
      </c>
    </row>
    <row r="3119" spans="1:44" x14ac:dyDescent="0.35">
      <c r="A3119" s="12" t="s">
        <v>4015</v>
      </c>
      <c r="B3119" s="12" t="s">
        <v>712</v>
      </c>
      <c r="C3119" s="12" t="s">
        <v>713</v>
      </c>
      <c r="D3119" s="12" t="s">
        <v>103</v>
      </c>
      <c r="E3119" s="12" t="s">
        <v>104</v>
      </c>
      <c r="F3119">
        <v>2</v>
      </c>
      <c r="G3119">
        <v>0</v>
      </c>
      <c r="H3119">
        <v>0</v>
      </c>
      <c r="I3119" s="12" t="s">
        <v>199</v>
      </c>
      <c r="J3119" s="12" t="s">
        <v>200</v>
      </c>
      <c r="K3119" s="12" t="s">
        <v>68</v>
      </c>
      <c r="L3119" s="12" t="s">
        <v>96</v>
      </c>
      <c r="M3119">
        <v>9.4700000000000006</v>
      </c>
      <c r="N3119" s="12" t="s">
        <v>145</v>
      </c>
      <c r="O3119" s="12" t="s">
        <v>146</v>
      </c>
      <c r="P3119" s="12" t="s">
        <v>109</v>
      </c>
      <c r="Q3119" s="13">
        <v>45495</v>
      </c>
      <c r="R3119" s="13">
        <v>45517</v>
      </c>
      <c r="S3119">
        <v>2024</v>
      </c>
      <c r="T3119" s="12" t="s">
        <v>3854</v>
      </c>
      <c r="U3119">
        <v>89</v>
      </c>
      <c r="V3119">
        <v>225.09809999999999</v>
      </c>
      <c r="W3119">
        <v>423.74</v>
      </c>
      <c r="X3119">
        <v>0</v>
      </c>
      <c r="Y3119">
        <v>0</v>
      </c>
      <c r="Z3119">
        <v>20033.73</v>
      </c>
      <c r="AA3119">
        <v>20457.47</v>
      </c>
      <c r="AB3119" s="12" t="s">
        <v>201</v>
      </c>
      <c r="AD3119">
        <v>0</v>
      </c>
      <c r="AE3119">
        <v>0</v>
      </c>
      <c r="AK3119">
        <v>0</v>
      </c>
      <c r="AL3119">
        <v>0</v>
      </c>
      <c r="AO3119">
        <v>0</v>
      </c>
      <c r="AP3119" s="13"/>
    </row>
    <row r="3120" spans="1:44" x14ac:dyDescent="0.35">
      <c r="A3120" s="12" t="s">
        <v>4016</v>
      </c>
      <c r="B3120" s="12" t="s">
        <v>837</v>
      </c>
      <c r="C3120" s="12" t="s">
        <v>838</v>
      </c>
      <c r="D3120" s="12" t="s">
        <v>114</v>
      </c>
      <c r="E3120" s="12" t="s">
        <v>104</v>
      </c>
      <c r="F3120">
        <v>2</v>
      </c>
      <c r="G3120">
        <v>0</v>
      </c>
      <c r="H3120">
        <v>0</v>
      </c>
      <c r="I3120" s="12" t="s">
        <v>199</v>
      </c>
      <c r="J3120" s="12" t="s">
        <v>200</v>
      </c>
      <c r="K3120" s="12" t="s">
        <v>68</v>
      </c>
      <c r="L3120" s="12" t="s">
        <v>96</v>
      </c>
      <c r="M3120">
        <v>9.4700000000000006</v>
      </c>
      <c r="N3120" s="12" t="s">
        <v>70</v>
      </c>
      <c r="O3120" s="12" t="s">
        <v>71</v>
      </c>
      <c r="P3120" s="12" t="s">
        <v>72</v>
      </c>
      <c r="Q3120" s="13">
        <v>45496</v>
      </c>
      <c r="R3120" s="13">
        <v>45510</v>
      </c>
      <c r="S3120">
        <v>2024</v>
      </c>
      <c r="T3120" s="12" t="s">
        <v>3854</v>
      </c>
      <c r="U3120">
        <v>33</v>
      </c>
      <c r="V3120">
        <v>68.916300000000007</v>
      </c>
      <c r="W3120">
        <v>52.35</v>
      </c>
      <c r="X3120">
        <v>0</v>
      </c>
      <c r="Y3120">
        <v>0</v>
      </c>
      <c r="Z3120">
        <v>2274.2399999999998</v>
      </c>
      <c r="AA3120">
        <v>2326.59</v>
      </c>
      <c r="AB3120" s="12" t="s">
        <v>3432</v>
      </c>
      <c r="AC3120">
        <v>68.916300000000007</v>
      </c>
      <c r="AD3120">
        <v>1</v>
      </c>
      <c r="AE3120">
        <v>1</v>
      </c>
      <c r="AF3120">
        <v>0</v>
      </c>
      <c r="AG3120">
        <v>2274.2399999999998</v>
      </c>
      <c r="AH3120">
        <v>33</v>
      </c>
      <c r="AI3120">
        <v>33</v>
      </c>
      <c r="AJ3120">
        <v>0</v>
      </c>
      <c r="AK3120">
        <v>1</v>
      </c>
      <c r="AL3120">
        <v>1</v>
      </c>
      <c r="AM3120">
        <v>100</v>
      </c>
      <c r="AN3120">
        <v>70.502700000000004</v>
      </c>
      <c r="AO3120">
        <v>0</v>
      </c>
      <c r="AP3120" s="13">
        <v>45510</v>
      </c>
      <c r="AQ3120">
        <v>0</v>
      </c>
      <c r="AR3120">
        <v>1</v>
      </c>
    </row>
    <row r="3121" spans="1:44" x14ac:dyDescent="0.35">
      <c r="A3121" s="12" t="s">
        <v>4017</v>
      </c>
      <c r="B3121" s="12" t="s">
        <v>317</v>
      </c>
      <c r="C3121" s="12" t="s">
        <v>318</v>
      </c>
      <c r="D3121" s="12" t="s">
        <v>64</v>
      </c>
      <c r="E3121" s="12" t="s">
        <v>104</v>
      </c>
      <c r="F3121">
        <v>2</v>
      </c>
      <c r="G3121">
        <v>0</v>
      </c>
      <c r="H3121">
        <v>0</v>
      </c>
      <c r="I3121" s="12" t="s">
        <v>169</v>
      </c>
      <c r="J3121" s="12" t="s">
        <v>170</v>
      </c>
      <c r="K3121" s="12" t="s">
        <v>89</v>
      </c>
      <c r="L3121" s="12" t="s">
        <v>134</v>
      </c>
      <c r="M3121">
        <v>1.37</v>
      </c>
      <c r="N3121" s="12" t="s">
        <v>70</v>
      </c>
      <c r="O3121" s="12" t="s">
        <v>71</v>
      </c>
      <c r="P3121" s="12" t="s">
        <v>72</v>
      </c>
      <c r="Q3121" s="13">
        <v>45496</v>
      </c>
      <c r="R3121" s="13">
        <v>45523</v>
      </c>
      <c r="S3121">
        <v>2024</v>
      </c>
      <c r="T3121" s="12" t="s">
        <v>3854</v>
      </c>
      <c r="U3121">
        <v>885</v>
      </c>
      <c r="V3121">
        <v>15.835699999999999</v>
      </c>
      <c r="W3121">
        <v>359.16</v>
      </c>
      <c r="X3121">
        <v>0</v>
      </c>
      <c r="Y3121">
        <v>0</v>
      </c>
      <c r="Z3121">
        <v>14014.59</v>
      </c>
      <c r="AA3121">
        <v>14373.75</v>
      </c>
      <c r="AB3121" s="12" t="s">
        <v>3006</v>
      </c>
      <c r="AC3121">
        <v>15.835699999999999</v>
      </c>
      <c r="AD3121">
        <v>1</v>
      </c>
      <c r="AE3121">
        <v>1</v>
      </c>
      <c r="AF3121">
        <v>0</v>
      </c>
      <c r="AG3121">
        <v>14014.59</v>
      </c>
      <c r="AH3121">
        <v>885</v>
      </c>
      <c r="AI3121">
        <v>871</v>
      </c>
      <c r="AJ3121">
        <v>14</v>
      </c>
      <c r="AK3121">
        <v>1</v>
      </c>
      <c r="AL3121">
        <v>1</v>
      </c>
      <c r="AM3121">
        <v>98.42</v>
      </c>
      <c r="AN3121">
        <v>16.502600000000001</v>
      </c>
      <c r="AO3121">
        <v>221.7</v>
      </c>
      <c r="AP3121" s="13">
        <v>45522</v>
      </c>
      <c r="AQ3121">
        <v>-1</v>
      </c>
      <c r="AR3121">
        <v>1</v>
      </c>
    </row>
    <row r="3122" spans="1:44" x14ac:dyDescent="0.35">
      <c r="A3122" s="12" t="s">
        <v>4018</v>
      </c>
      <c r="B3122" s="12" t="s">
        <v>416</v>
      </c>
      <c r="C3122" s="12" t="s">
        <v>417</v>
      </c>
      <c r="D3122" s="12" t="s">
        <v>78</v>
      </c>
      <c r="E3122" s="12" t="s">
        <v>65</v>
      </c>
      <c r="F3122">
        <v>3</v>
      </c>
      <c r="G3122">
        <v>5</v>
      </c>
      <c r="H3122">
        <v>0</v>
      </c>
      <c r="I3122" s="12" t="s">
        <v>169</v>
      </c>
      <c r="J3122" s="12" t="s">
        <v>170</v>
      </c>
      <c r="K3122" s="12" t="s">
        <v>89</v>
      </c>
      <c r="L3122" s="12" t="s">
        <v>134</v>
      </c>
      <c r="M3122">
        <v>1.37</v>
      </c>
      <c r="N3122" s="12" t="s">
        <v>70</v>
      </c>
      <c r="O3122" s="12" t="s">
        <v>71</v>
      </c>
      <c r="P3122" s="12" t="s">
        <v>72</v>
      </c>
      <c r="Q3122" s="13">
        <v>45496</v>
      </c>
      <c r="R3122" s="13">
        <v>45524</v>
      </c>
      <c r="S3122">
        <v>2024</v>
      </c>
      <c r="T3122" s="12" t="s">
        <v>3854</v>
      </c>
      <c r="U3122">
        <v>143</v>
      </c>
      <c r="V3122">
        <v>136.4109</v>
      </c>
      <c r="W3122">
        <v>132.31</v>
      </c>
      <c r="X3122">
        <v>0</v>
      </c>
      <c r="Y3122">
        <v>0</v>
      </c>
      <c r="Z3122">
        <v>19506.759999999998</v>
      </c>
      <c r="AA3122">
        <v>19639.07</v>
      </c>
      <c r="AB3122" s="12" t="s">
        <v>2980</v>
      </c>
      <c r="AC3122">
        <v>136.4109</v>
      </c>
      <c r="AD3122">
        <v>1</v>
      </c>
      <c r="AE3122">
        <v>1</v>
      </c>
      <c r="AF3122">
        <v>0</v>
      </c>
      <c r="AG3122">
        <v>19506.759999999998</v>
      </c>
      <c r="AH3122">
        <v>143</v>
      </c>
      <c r="AI3122">
        <v>141</v>
      </c>
      <c r="AJ3122">
        <v>2</v>
      </c>
      <c r="AK3122">
        <v>1</v>
      </c>
      <c r="AL3122">
        <v>1</v>
      </c>
      <c r="AM3122">
        <v>98.6</v>
      </c>
      <c r="AN3122">
        <v>139.2842</v>
      </c>
      <c r="AO3122">
        <v>272.82</v>
      </c>
      <c r="AP3122" s="13">
        <v>45522</v>
      </c>
      <c r="AQ3122">
        <v>-2</v>
      </c>
      <c r="AR3122">
        <v>1</v>
      </c>
    </row>
    <row r="3123" spans="1:44" x14ac:dyDescent="0.35">
      <c r="A3123" s="12" t="s">
        <v>4019</v>
      </c>
      <c r="B3123" s="12" t="s">
        <v>62</v>
      </c>
      <c r="C3123" s="12" t="s">
        <v>63</v>
      </c>
      <c r="D3123" s="12" t="s">
        <v>64</v>
      </c>
      <c r="E3123" s="12" t="s">
        <v>65</v>
      </c>
      <c r="F3123">
        <v>1</v>
      </c>
      <c r="G3123">
        <v>2</v>
      </c>
      <c r="H3123">
        <v>1</v>
      </c>
      <c r="I3123" s="12" t="s">
        <v>66</v>
      </c>
      <c r="J3123" s="12" t="s">
        <v>67</v>
      </c>
      <c r="K3123" s="12" t="s">
        <v>68</v>
      </c>
      <c r="L3123" s="12" t="s">
        <v>69</v>
      </c>
      <c r="M3123">
        <v>17.66</v>
      </c>
      <c r="N3123" s="12" t="s">
        <v>97</v>
      </c>
      <c r="O3123" s="12" t="s">
        <v>98</v>
      </c>
      <c r="P3123" s="12" t="s">
        <v>72</v>
      </c>
      <c r="Q3123" s="13">
        <v>45496</v>
      </c>
      <c r="R3123" s="13">
        <v>45526</v>
      </c>
      <c r="S3123">
        <v>2024</v>
      </c>
      <c r="T3123" s="12" t="s">
        <v>3854</v>
      </c>
      <c r="U3123">
        <v>590</v>
      </c>
      <c r="V3123">
        <v>25.194500000000001</v>
      </c>
      <c r="W3123">
        <v>196.03</v>
      </c>
      <c r="X3123">
        <v>0</v>
      </c>
      <c r="Y3123">
        <v>0</v>
      </c>
      <c r="Z3123">
        <v>14864.76</v>
      </c>
      <c r="AA3123">
        <v>15060.79</v>
      </c>
      <c r="AB3123" s="12" t="s">
        <v>201</v>
      </c>
      <c r="AD3123">
        <v>0</v>
      </c>
      <c r="AE3123">
        <v>0</v>
      </c>
      <c r="AH3123">
        <v>590</v>
      </c>
      <c r="AI3123">
        <v>587</v>
      </c>
      <c r="AJ3123">
        <v>3</v>
      </c>
      <c r="AK3123">
        <v>1</v>
      </c>
      <c r="AL3123">
        <v>1</v>
      </c>
      <c r="AM3123">
        <v>99.49</v>
      </c>
      <c r="AN3123">
        <v>25.6572</v>
      </c>
      <c r="AO3123">
        <v>75.58</v>
      </c>
      <c r="AP3123" s="13">
        <v>45525</v>
      </c>
      <c r="AQ3123">
        <v>-1</v>
      </c>
      <c r="AR3123">
        <v>1</v>
      </c>
    </row>
    <row r="3124" spans="1:44" x14ac:dyDescent="0.35">
      <c r="A3124" s="12" t="s">
        <v>4020</v>
      </c>
      <c r="B3124" s="12" t="s">
        <v>477</v>
      </c>
      <c r="C3124" s="12" t="s">
        <v>478</v>
      </c>
      <c r="D3124" s="12" t="s">
        <v>130</v>
      </c>
      <c r="E3124" s="12" t="s">
        <v>104</v>
      </c>
      <c r="F3124">
        <v>3</v>
      </c>
      <c r="G3124">
        <v>1</v>
      </c>
      <c r="H3124">
        <v>0</v>
      </c>
      <c r="I3124" s="12" t="s">
        <v>515</v>
      </c>
      <c r="J3124" s="12" t="s">
        <v>516</v>
      </c>
      <c r="K3124" s="12" t="s">
        <v>68</v>
      </c>
      <c r="L3124" s="12" t="s">
        <v>134</v>
      </c>
      <c r="M3124">
        <v>3.69</v>
      </c>
      <c r="N3124" s="12" t="s">
        <v>159</v>
      </c>
      <c r="O3124" s="12" t="s">
        <v>160</v>
      </c>
      <c r="P3124" s="12" t="s">
        <v>137</v>
      </c>
      <c r="Q3124" s="13">
        <v>45496</v>
      </c>
      <c r="R3124" s="13">
        <v>45516</v>
      </c>
      <c r="S3124">
        <v>2024</v>
      </c>
      <c r="T3124" s="12" t="s">
        <v>3854</v>
      </c>
      <c r="U3124">
        <v>77</v>
      </c>
      <c r="V3124">
        <v>715.42190000000005</v>
      </c>
      <c r="W3124">
        <v>719.1</v>
      </c>
      <c r="X3124">
        <v>0</v>
      </c>
      <c r="Y3124">
        <v>0</v>
      </c>
      <c r="Z3124">
        <v>55087.49</v>
      </c>
      <c r="AA3124">
        <v>55806.59</v>
      </c>
      <c r="AB3124" s="12" t="s">
        <v>3183</v>
      </c>
      <c r="AC3124">
        <v>715.42190000000005</v>
      </c>
      <c r="AD3124">
        <v>1</v>
      </c>
      <c r="AE3124">
        <v>1</v>
      </c>
      <c r="AF3124">
        <v>0</v>
      </c>
      <c r="AG3124">
        <v>55087.49</v>
      </c>
      <c r="AH3124">
        <v>77</v>
      </c>
      <c r="AI3124">
        <v>76</v>
      </c>
      <c r="AJ3124">
        <v>1</v>
      </c>
      <c r="AK3124">
        <v>1</v>
      </c>
      <c r="AL3124">
        <v>1</v>
      </c>
      <c r="AM3124">
        <v>98.7</v>
      </c>
      <c r="AN3124">
        <v>734.29719999999998</v>
      </c>
      <c r="AO3124">
        <v>715.42</v>
      </c>
      <c r="AP3124" s="13">
        <v>45516</v>
      </c>
      <c r="AQ3124">
        <v>0</v>
      </c>
      <c r="AR3124">
        <v>1</v>
      </c>
    </row>
    <row r="3125" spans="1:44" x14ac:dyDescent="0.35">
      <c r="A3125" s="12" t="s">
        <v>4021</v>
      </c>
      <c r="B3125" s="12" t="s">
        <v>193</v>
      </c>
      <c r="C3125" s="12" t="s">
        <v>194</v>
      </c>
      <c r="D3125" s="12" t="s">
        <v>114</v>
      </c>
      <c r="E3125" s="12" t="s">
        <v>65</v>
      </c>
      <c r="F3125">
        <v>3</v>
      </c>
      <c r="G3125">
        <v>4</v>
      </c>
      <c r="H3125">
        <v>0</v>
      </c>
      <c r="I3125" s="12" t="s">
        <v>195</v>
      </c>
      <c r="J3125" s="12" t="s">
        <v>196</v>
      </c>
      <c r="K3125" s="12" t="s">
        <v>117</v>
      </c>
      <c r="L3125" s="12" t="s">
        <v>134</v>
      </c>
      <c r="M3125">
        <v>4.7699999999999996</v>
      </c>
      <c r="N3125" s="12" t="s">
        <v>70</v>
      </c>
      <c r="O3125" s="12" t="s">
        <v>71</v>
      </c>
      <c r="P3125" s="12" t="s">
        <v>72</v>
      </c>
      <c r="Q3125" s="13">
        <v>45496</v>
      </c>
      <c r="R3125" s="13">
        <v>45531</v>
      </c>
      <c r="S3125">
        <v>2024</v>
      </c>
      <c r="T3125" s="12" t="s">
        <v>3854</v>
      </c>
      <c r="U3125">
        <v>118</v>
      </c>
      <c r="V3125">
        <v>105.8943</v>
      </c>
      <c r="W3125">
        <v>219.23</v>
      </c>
      <c r="X3125">
        <v>0</v>
      </c>
      <c r="Y3125">
        <v>0</v>
      </c>
      <c r="Z3125">
        <v>12495.53</v>
      </c>
      <c r="AA3125">
        <v>12714.76</v>
      </c>
      <c r="AB3125" s="12" t="s">
        <v>3197</v>
      </c>
      <c r="AC3125">
        <v>105.8943</v>
      </c>
      <c r="AD3125">
        <v>1</v>
      </c>
      <c r="AE3125">
        <v>1</v>
      </c>
      <c r="AF3125">
        <v>0</v>
      </c>
      <c r="AG3125">
        <v>12495.53</v>
      </c>
      <c r="AH3125">
        <v>118</v>
      </c>
      <c r="AI3125">
        <v>116</v>
      </c>
      <c r="AJ3125">
        <v>2</v>
      </c>
      <c r="AK3125">
        <v>1</v>
      </c>
      <c r="AL3125">
        <v>1</v>
      </c>
      <c r="AM3125">
        <v>98.31</v>
      </c>
      <c r="AN3125">
        <v>109.61</v>
      </c>
      <c r="AO3125">
        <v>211.79</v>
      </c>
      <c r="AP3125" s="13">
        <v>45528</v>
      </c>
      <c r="AQ3125">
        <v>-3</v>
      </c>
      <c r="AR3125">
        <v>1</v>
      </c>
    </row>
    <row r="3126" spans="1:44" x14ac:dyDescent="0.35">
      <c r="A3126" s="12" t="s">
        <v>4022</v>
      </c>
      <c r="B3126" s="12" t="s">
        <v>1166</v>
      </c>
      <c r="C3126" s="12" t="s">
        <v>1167</v>
      </c>
      <c r="D3126" s="12" t="s">
        <v>175</v>
      </c>
      <c r="E3126" s="12" t="s">
        <v>65</v>
      </c>
      <c r="F3126">
        <v>3</v>
      </c>
      <c r="G3126">
        <v>5</v>
      </c>
      <c r="H3126">
        <v>0</v>
      </c>
      <c r="I3126" s="12" t="s">
        <v>143</v>
      </c>
      <c r="J3126" s="12" t="s">
        <v>144</v>
      </c>
      <c r="K3126" s="12" t="s">
        <v>133</v>
      </c>
      <c r="L3126" s="12" t="s">
        <v>96</v>
      </c>
      <c r="M3126">
        <v>5.43</v>
      </c>
      <c r="N3126" s="12" t="s">
        <v>107</v>
      </c>
      <c r="O3126" s="12" t="s">
        <v>108</v>
      </c>
      <c r="P3126" s="12" t="s">
        <v>109</v>
      </c>
      <c r="Q3126" s="13">
        <v>45496</v>
      </c>
      <c r="R3126" s="13">
        <v>45533</v>
      </c>
      <c r="S3126">
        <v>2024</v>
      </c>
      <c r="T3126" s="12" t="s">
        <v>3854</v>
      </c>
      <c r="U3126">
        <v>136</v>
      </c>
      <c r="V3126">
        <v>254.1189</v>
      </c>
      <c r="W3126">
        <v>470.43</v>
      </c>
      <c r="X3126">
        <v>0</v>
      </c>
      <c r="Y3126">
        <v>0</v>
      </c>
      <c r="Z3126">
        <v>34560.17</v>
      </c>
      <c r="AA3126">
        <v>35030.6</v>
      </c>
      <c r="AB3126" s="12" t="s">
        <v>201</v>
      </c>
      <c r="AD3126">
        <v>0</v>
      </c>
      <c r="AE3126">
        <v>0</v>
      </c>
      <c r="AH3126">
        <v>136</v>
      </c>
      <c r="AI3126">
        <v>134</v>
      </c>
      <c r="AJ3126">
        <v>2</v>
      </c>
      <c r="AK3126">
        <v>1</v>
      </c>
      <c r="AL3126">
        <v>1</v>
      </c>
      <c r="AM3126">
        <v>98.53</v>
      </c>
      <c r="AN3126">
        <v>261.42239999999998</v>
      </c>
      <c r="AO3126">
        <v>508.24</v>
      </c>
      <c r="AP3126" s="13">
        <v>45532</v>
      </c>
      <c r="AQ3126">
        <v>-1</v>
      </c>
      <c r="AR3126">
        <v>1</v>
      </c>
    </row>
    <row r="3127" spans="1:44" x14ac:dyDescent="0.35">
      <c r="A3127" s="12" t="s">
        <v>4023</v>
      </c>
      <c r="B3127" s="12" t="s">
        <v>924</v>
      </c>
      <c r="C3127" s="12" t="s">
        <v>925</v>
      </c>
      <c r="D3127" s="12" t="s">
        <v>103</v>
      </c>
      <c r="E3127" s="12" t="s">
        <v>104</v>
      </c>
      <c r="F3127">
        <v>2</v>
      </c>
      <c r="G3127">
        <v>0</v>
      </c>
      <c r="H3127">
        <v>0</v>
      </c>
      <c r="I3127" s="12" t="s">
        <v>335</v>
      </c>
      <c r="J3127" s="12" t="s">
        <v>336</v>
      </c>
      <c r="K3127" s="12" t="s">
        <v>89</v>
      </c>
      <c r="L3127" s="12" t="s">
        <v>82</v>
      </c>
      <c r="M3127">
        <v>16</v>
      </c>
      <c r="N3127" s="12" t="s">
        <v>145</v>
      </c>
      <c r="O3127" s="12" t="s">
        <v>146</v>
      </c>
      <c r="P3127" s="12" t="s">
        <v>109</v>
      </c>
      <c r="Q3127" s="13">
        <v>45496</v>
      </c>
      <c r="R3127" s="13">
        <v>45513</v>
      </c>
      <c r="S3127">
        <v>2024</v>
      </c>
      <c r="T3127" s="12" t="s">
        <v>3854</v>
      </c>
      <c r="U3127">
        <v>55</v>
      </c>
      <c r="V3127">
        <v>178.3073</v>
      </c>
      <c r="W3127">
        <v>66.66</v>
      </c>
      <c r="X3127">
        <v>0</v>
      </c>
      <c r="Y3127">
        <v>0</v>
      </c>
      <c r="Z3127">
        <v>9806.9</v>
      </c>
      <c r="AA3127">
        <v>9873.56</v>
      </c>
      <c r="AB3127" s="12" t="s">
        <v>201</v>
      </c>
      <c r="AD3127">
        <v>0</v>
      </c>
      <c r="AE3127">
        <v>0</v>
      </c>
      <c r="AH3127">
        <v>55</v>
      </c>
      <c r="AI3127">
        <v>55</v>
      </c>
      <c r="AJ3127">
        <v>0</v>
      </c>
      <c r="AK3127">
        <v>1</v>
      </c>
      <c r="AL3127">
        <v>1</v>
      </c>
      <c r="AM3127">
        <v>100</v>
      </c>
      <c r="AN3127">
        <v>179.51929999999999</v>
      </c>
      <c r="AO3127">
        <v>0</v>
      </c>
      <c r="AP3127" s="13">
        <v>45515</v>
      </c>
      <c r="AQ3127">
        <v>2</v>
      </c>
      <c r="AR3127">
        <v>0</v>
      </c>
    </row>
    <row r="3128" spans="1:44" x14ac:dyDescent="0.35">
      <c r="A3128" s="12" t="s">
        <v>4024</v>
      </c>
      <c r="B3128" s="12" t="s">
        <v>85</v>
      </c>
      <c r="C3128" s="12" t="s">
        <v>86</v>
      </c>
      <c r="D3128" s="12" t="s">
        <v>78</v>
      </c>
      <c r="E3128" s="12" t="s">
        <v>65</v>
      </c>
      <c r="F3128">
        <v>3</v>
      </c>
      <c r="G3128">
        <v>5</v>
      </c>
      <c r="H3128">
        <v>0</v>
      </c>
      <c r="I3128" s="12" t="s">
        <v>195</v>
      </c>
      <c r="J3128" s="12" t="s">
        <v>196</v>
      </c>
      <c r="K3128" s="12" t="s">
        <v>117</v>
      </c>
      <c r="L3128" s="12" t="s">
        <v>134</v>
      </c>
      <c r="M3128">
        <v>4.7699999999999996</v>
      </c>
      <c r="N3128" s="12" t="s">
        <v>97</v>
      </c>
      <c r="O3128" s="12" t="s">
        <v>98</v>
      </c>
      <c r="P3128" s="12" t="s">
        <v>72</v>
      </c>
      <c r="Q3128" s="13">
        <v>45496</v>
      </c>
      <c r="R3128" s="13">
        <v>45523</v>
      </c>
      <c r="S3128">
        <v>2024</v>
      </c>
      <c r="T3128" s="12" t="s">
        <v>3854</v>
      </c>
      <c r="U3128">
        <v>133</v>
      </c>
      <c r="V3128">
        <v>139.9503</v>
      </c>
      <c r="W3128">
        <v>438.92</v>
      </c>
      <c r="X3128">
        <v>0</v>
      </c>
      <c r="Y3128">
        <v>0</v>
      </c>
      <c r="Z3128">
        <v>18613.39</v>
      </c>
      <c r="AA3128">
        <v>19052.310000000001</v>
      </c>
      <c r="AB3128" s="12" t="s">
        <v>2907</v>
      </c>
      <c r="AC3128">
        <v>139.9503</v>
      </c>
      <c r="AD3128">
        <v>1</v>
      </c>
      <c r="AE3128">
        <v>1</v>
      </c>
      <c r="AF3128">
        <v>0</v>
      </c>
      <c r="AG3128">
        <v>18613.39</v>
      </c>
      <c r="AH3128">
        <v>133</v>
      </c>
      <c r="AI3128">
        <v>132</v>
      </c>
      <c r="AJ3128">
        <v>1</v>
      </c>
      <c r="AK3128">
        <v>1</v>
      </c>
      <c r="AL3128">
        <v>1</v>
      </c>
      <c r="AM3128">
        <v>99.25</v>
      </c>
      <c r="AN3128">
        <v>144.3357</v>
      </c>
      <c r="AO3128">
        <v>139.94999999999999</v>
      </c>
      <c r="AP3128" s="13">
        <v>45523</v>
      </c>
      <c r="AQ3128">
        <v>0</v>
      </c>
      <c r="AR3128">
        <v>1</v>
      </c>
    </row>
    <row r="3129" spans="1:44" x14ac:dyDescent="0.35">
      <c r="A3129" s="12" t="s">
        <v>4025</v>
      </c>
      <c r="B3129" s="12" t="s">
        <v>670</v>
      </c>
      <c r="C3129" s="12" t="s">
        <v>671</v>
      </c>
      <c r="D3129" s="12" t="s">
        <v>175</v>
      </c>
      <c r="E3129" s="12" t="s">
        <v>142</v>
      </c>
      <c r="F3129">
        <v>2</v>
      </c>
      <c r="G3129">
        <v>9</v>
      </c>
      <c r="H3129">
        <v>0</v>
      </c>
      <c r="I3129" s="12" t="s">
        <v>233</v>
      </c>
      <c r="J3129" s="12" t="s">
        <v>234</v>
      </c>
      <c r="K3129" s="12" t="s">
        <v>125</v>
      </c>
      <c r="L3129" s="12" t="s">
        <v>96</v>
      </c>
      <c r="M3129">
        <v>3.73</v>
      </c>
      <c r="N3129" s="12" t="s">
        <v>145</v>
      </c>
      <c r="O3129" s="12" t="s">
        <v>146</v>
      </c>
      <c r="P3129" s="12" t="s">
        <v>109</v>
      </c>
      <c r="Q3129" s="13">
        <v>45496</v>
      </c>
      <c r="R3129" s="13">
        <v>45534</v>
      </c>
      <c r="S3129">
        <v>2024</v>
      </c>
      <c r="T3129" s="12" t="s">
        <v>3854</v>
      </c>
      <c r="U3129">
        <v>39</v>
      </c>
      <c r="V3129">
        <v>147.6302</v>
      </c>
      <c r="W3129">
        <v>111.54</v>
      </c>
      <c r="X3129">
        <v>0</v>
      </c>
      <c r="Y3129">
        <v>0</v>
      </c>
      <c r="Z3129">
        <v>5757.58</v>
      </c>
      <c r="AA3129">
        <v>5869.12</v>
      </c>
      <c r="AB3129" s="12" t="s">
        <v>4026</v>
      </c>
      <c r="AC3129">
        <v>147.6302</v>
      </c>
      <c r="AD3129">
        <v>1</v>
      </c>
      <c r="AE3129">
        <v>1</v>
      </c>
      <c r="AF3129">
        <v>0</v>
      </c>
      <c r="AG3129">
        <v>5757.58</v>
      </c>
      <c r="AH3129">
        <v>39</v>
      </c>
      <c r="AI3129">
        <v>39</v>
      </c>
      <c r="AJ3129">
        <v>0</v>
      </c>
      <c r="AK3129">
        <v>1</v>
      </c>
      <c r="AL3129">
        <v>1</v>
      </c>
      <c r="AM3129">
        <v>100</v>
      </c>
      <c r="AN3129">
        <v>150.49019999999999</v>
      </c>
      <c r="AO3129">
        <v>0</v>
      </c>
      <c r="AP3129" s="13">
        <v>45534</v>
      </c>
      <c r="AQ3129">
        <v>0</v>
      </c>
      <c r="AR3129">
        <v>1</v>
      </c>
    </row>
    <row r="3130" spans="1:44" x14ac:dyDescent="0.35">
      <c r="A3130" s="12" t="s">
        <v>4027</v>
      </c>
      <c r="B3130" s="12" t="s">
        <v>843</v>
      </c>
      <c r="C3130" s="12" t="s">
        <v>844</v>
      </c>
      <c r="D3130" s="12" t="s">
        <v>175</v>
      </c>
      <c r="E3130" s="12" t="s">
        <v>65</v>
      </c>
      <c r="F3130">
        <v>3</v>
      </c>
      <c r="G3130">
        <v>5</v>
      </c>
      <c r="H3130">
        <v>0</v>
      </c>
      <c r="I3130" s="12" t="s">
        <v>676</v>
      </c>
      <c r="J3130" s="12" t="s">
        <v>677</v>
      </c>
      <c r="K3130" s="12" t="s">
        <v>68</v>
      </c>
      <c r="L3130" s="12" t="s">
        <v>96</v>
      </c>
      <c r="M3130">
        <v>3.57</v>
      </c>
      <c r="N3130" s="12" t="s">
        <v>145</v>
      </c>
      <c r="O3130" s="12" t="s">
        <v>146</v>
      </c>
      <c r="P3130" s="12" t="s">
        <v>109</v>
      </c>
      <c r="Q3130" s="13">
        <v>45497</v>
      </c>
      <c r="R3130" s="13">
        <v>45530</v>
      </c>
      <c r="S3130">
        <v>2024</v>
      </c>
      <c r="T3130" s="12" t="s">
        <v>3854</v>
      </c>
      <c r="U3130">
        <v>106</v>
      </c>
      <c r="V3130">
        <v>259.7747</v>
      </c>
      <c r="W3130">
        <v>304.58999999999997</v>
      </c>
      <c r="X3130">
        <v>0</v>
      </c>
      <c r="Y3130">
        <v>0</v>
      </c>
      <c r="Z3130">
        <v>27536.12</v>
      </c>
      <c r="AA3130">
        <v>27840.71</v>
      </c>
      <c r="AB3130" s="12" t="s">
        <v>201</v>
      </c>
      <c r="AD3130">
        <v>0</v>
      </c>
      <c r="AE3130">
        <v>0</v>
      </c>
      <c r="AH3130">
        <v>106</v>
      </c>
      <c r="AI3130">
        <v>105</v>
      </c>
      <c r="AJ3130">
        <v>1</v>
      </c>
      <c r="AK3130">
        <v>1</v>
      </c>
      <c r="AL3130">
        <v>1</v>
      </c>
      <c r="AM3130">
        <v>99.06</v>
      </c>
      <c r="AN3130">
        <v>265.14960000000002</v>
      </c>
      <c r="AO3130">
        <v>259.77</v>
      </c>
      <c r="AP3130" s="13">
        <v>45529</v>
      </c>
      <c r="AQ3130">
        <v>-1</v>
      </c>
      <c r="AR3130">
        <v>1</v>
      </c>
    </row>
    <row r="3131" spans="1:44" x14ac:dyDescent="0.35">
      <c r="A3131" s="12" t="s">
        <v>4028</v>
      </c>
      <c r="B3131" s="12" t="s">
        <v>613</v>
      </c>
      <c r="C3131" s="12" t="s">
        <v>614</v>
      </c>
      <c r="D3131" s="12" t="s">
        <v>130</v>
      </c>
      <c r="E3131" s="12" t="s">
        <v>104</v>
      </c>
      <c r="F3131">
        <v>3</v>
      </c>
      <c r="G3131">
        <v>1</v>
      </c>
      <c r="H3131">
        <v>0</v>
      </c>
      <c r="I3131" s="12" t="s">
        <v>66</v>
      </c>
      <c r="J3131" s="12" t="s">
        <v>67</v>
      </c>
      <c r="K3131" s="12" t="s">
        <v>68</v>
      </c>
      <c r="L3131" s="12" t="s">
        <v>69</v>
      </c>
      <c r="M3131">
        <v>17.66</v>
      </c>
      <c r="N3131" s="12" t="s">
        <v>135</v>
      </c>
      <c r="O3131" s="12" t="s">
        <v>136</v>
      </c>
      <c r="P3131" s="12" t="s">
        <v>137</v>
      </c>
      <c r="Q3131" s="13">
        <v>45497</v>
      </c>
      <c r="R3131" s="13">
        <v>45516</v>
      </c>
      <c r="S3131">
        <v>2024</v>
      </c>
      <c r="T3131" s="12" t="s">
        <v>3854</v>
      </c>
      <c r="U3131">
        <v>66</v>
      </c>
      <c r="V3131">
        <v>173.59219999999999</v>
      </c>
      <c r="W3131">
        <v>176.8</v>
      </c>
      <c r="X3131">
        <v>0</v>
      </c>
      <c r="Y3131">
        <v>0</v>
      </c>
      <c r="Z3131">
        <v>11457.09</v>
      </c>
      <c r="AA3131">
        <v>11633.89</v>
      </c>
      <c r="AB3131" s="12" t="s">
        <v>3097</v>
      </c>
      <c r="AC3131">
        <v>173.59219999999999</v>
      </c>
      <c r="AD3131">
        <v>1</v>
      </c>
      <c r="AE3131">
        <v>1</v>
      </c>
      <c r="AF3131">
        <v>0</v>
      </c>
      <c r="AG3131">
        <v>11457.09</v>
      </c>
      <c r="AH3131">
        <v>66</v>
      </c>
      <c r="AI3131">
        <v>66</v>
      </c>
      <c r="AJ3131">
        <v>0</v>
      </c>
      <c r="AK3131">
        <v>1</v>
      </c>
      <c r="AL3131">
        <v>1</v>
      </c>
      <c r="AM3131">
        <v>100</v>
      </c>
      <c r="AN3131">
        <v>176.27099999999999</v>
      </c>
      <c r="AO3131">
        <v>0</v>
      </c>
      <c r="AP3131" s="13">
        <v>45515</v>
      </c>
      <c r="AQ3131">
        <v>-1</v>
      </c>
      <c r="AR3131">
        <v>1</v>
      </c>
    </row>
    <row r="3132" spans="1:44" x14ac:dyDescent="0.35">
      <c r="A3132" s="12" t="s">
        <v>4029</v>
      </c>
      <c r="B3132" s="12" t="s">
        <v>120</v>
      </c>
      <c r="C3132" s="12" t="s">
        <v>121</v>
      </c>
      <c r="D3132" s="12" t="s">
        <v>122</v>
      </c>
      <c r="E3132" s="12" t="s">
        <v>65</v>
      </c>
      <c r="F3132">
        <v>3</v>
      </c>
      <c r="G3132">
        <v>4</v>
      </c>
      <c r="H3132">
        <v>0</v>
      </c>
      <c r="I3132" s="12" t="s">
        <v>123</v>
      </c>
      <c r="J3132" s="12" t="s">
        <v>124</v>
      </c>
      <c r="K3132" s="12" t="s">
        <v>125</v>
      </c>
      <c r="L3132" s="12" t="s">
        <v>82</v>
      </c>
      <c r="M3132">
        <v>6.75</v>
      </c>
      <c r="N3132" s="12" t="s">
        <v>70</v>
      </c>
      <c r="O3132" s="12" t="s">
        <v>71</v>
      </c>
      <c r="P3132" s="12" t="s">
        <v>72</v>
      </c>
      <c r="Q3132" s="13">
        <v>45497</v>
      </c>
      <c r="R3132" s="13">
        <v>45526</v>
      </c>
      <c r="S3132">
        <v>2024</v>
      </c>
      <c r="T3132" s="12" t="s">
        <v>3854</v>
      </c>
      <c r="U3132">
        <v>1001</v>
      </c>
      <c r="V3132">
        <v>53.214500000000001</v>
      </c>
      <c r="W3132">
        <v>901.04</v>
      </c>
      <c r="X3132">
        <v>0</v>
      </c>
      <c r="Y3132">
        <v>0</v>
      </c>
      <c r="Z3132">
        <v>53267.71</v>
      </c>
      <c r="AA3132">
        <v>54168.75</v>
      </c>
      <c r="AB3132" s="12" t="s">
        <v>2728</v>
      </c>
      <c r="AC3132">
        <v>53.214500000000001</v>
      </c>
      <c r="AD3132">
        <v>1</v>
      </c>
      <c r="AE3132">
        <v>1</v>
      </c>
      <c r="AF3132">
        <v>0</v>
      </c>
      <c r="AG3132">
        <v>53267.71</v>
      </c>
      <c r="AH3132">
        <v>1001</v>
      </c>
      <c r="AI3132">
        <v>990</v>
      </c>
      <c r="AJ3132">
        <v>11</v>
      </c>
      <c r="AK3132">
        <v>1</v>
      </c>
      <c r="AL3132">
        <v>1</v>
      </c>
      <c r="AM3132">
        <v>98.9</v>
      </c>
      <c r="AN3132">
        <v>54.715899999999998</v>
      </c>
      <c r="AO3132">
        <v>585.36</v>
      </c>
      <c r="AP3132" s="13">
        <v>45525</v>
      </c>
      <c r="AQ3132">
        <v>-1</v>
      </c>
      <c r="AR3132">
        <v>1</v>
      </c>
    </row>
    <row r="3133" spans="1:44" x14ac:dyDescent="0.35">
      <c r="A3133" s="12" t="s">
        <v>4030</v>
      </c>
      <c r="B3133" s="12" t="s">
        <v>952</v>
      </c>
      <c r="C3133" s="12" t="s">
        <v>953</v>
      </c>
      <c r="D3133" s="12" t="s">
        <v>64</v>
      </c>
      <c r="E3133" s="12" t="s">
        <v>142</v>
      </c>
      <c r="F3133">
        <v>1</v>
      </c>
      <c r="G3133">
        <v>8</v>
      </c>
      <c r="H3133">
        <v>1</v>
      </c>
      <c r="I3133" s="12" t="s">
        <v>131</v>
      </c>
      <c r="J3133" s="12" t="s">
        <v>132</v>
      </c>
      <c r="K3133" s="12" t="s">
        <v>133</v>
      </c>
      <c r="L3133" s="12" t="s">
        <v>134</v>
      </c>
      <c r="M3133">
        <v>1.51</v>
      </c>
      <c r="N3133" s="12" t="s">
        <v>70</v>
      </c>
      <c r="O3133" s="12" t="s">
        <v>71</v>
      </c>
      <c r="P3133" s="12" t="s">
        <v>72</v>
      </c>
      <c r="Q3133" s="13">
        <v>45497</v>
      </c>
      <c r="R3133" s="13">
        <v>45540</v>
      </c>
      <c r="S3133">
        <v>2024</v>
      </c>
      <c r="T3133" s="12" t="s">
        <v>3854</v>
      </c>
      <c r="U3133">
        <v>502</v>
      </c>
      <c r="V3133">
        <v>31.110399999999998</v>
      </c>
      <c r="W3133">
        <v>121.16</v>
      </c>
      <c r="X3133">
        <v>486.2</v>
      </c>
      <c r="Y3133">
        <v>1</v>
      </c>
      <c r="Z3133">
        <v>15617.42</v>
      </c>
      <c r="AA3133">
        <v>16224.78</v>
      </c>
      <c r="AB3133" s="12" t="s">
        <v>3261</v>
      </c>
      <c r="AC3133">
        <v>31.110399999999998</v>
      </c>
      <c r="AD3133">
        <v>1</v>
      </c>
      <c r="AE3133">
        <v>1</v>
      </c>
      <c r="AF3133">
        <v>0</v>
      </c>
      <c r="AG3133">
        <v>15617.42</v>
      </c>
      <c r="AH3133">
        <v>502</v>
      </c>
      <c r="AI3133">
        <v>497</v>
      </c>
      <c r="AJ3133">
        <v>5</v>
      </c>
      <c r="AK3133">
        <v>1</v>
      </c>
      <c r="AL3133">
        <v>1</v>
      </c>
      <c r="AM3133">
        <v>99</v>
      </c>
      <c r="AN3133">
        <v>32.645400000000002</v>
      </c>
      <c r="AO3133">
        <v>155.55000000000001</v>
      </c>
      <c r="AP3133" s="13">
        <v>45537</v>
      </c>
      <c r="AQ3133">
        <v>-3</v>
      </c>
      <c r="AR3133">
        <v>1</v>
      </c>
    </row>
    <row r="3134" spans="1:44" x14ac:dyDescent="0.35">
      <c r="A3134" s="12" t="s">
        <v>4031</v>
      </c>
      <c r="B3134" s="12" t="s">
        <v>433</v>
      </c>
      <c r="C3134" s="12" t="s">
        <v>434</v>
      </c>
      <c r="D3134" s="12" t="s">
        <v>78</v>
      </c>
      <c r="E3134" s="12" t="s">
        <v>65</v>
      </c>
      <c r="F3134">
        <v>2</v>
      </c>
      <c r="G3134">
        <v>4</v>
      </c>
      <c r="H3134">
        <v>0</v>
      </c>
      <c r="I3134" s="12" t="s">
        <v>105</v>
      </c>
      <c r="J3134" s="12" t="s">
        <v>106</v>
      </c>
      <c r="K3134" s="12" t="s">
        <v>81</v>
      </c>
      <c r="L3134" s="12" t="s">
        <v>96</v>
      </c>
      <c r="M3134">
        <v>5.01</v>
      </c>
      <c r="N3134" s="12" t="s">
        <v>70</v>
      </c>
      <c r="O3134" s="12" t="s">
        <v>71</v>
      </c>
      <c r="P3134" s="12" t="s">
        <v>72</v>
      </c>
      <c r="Q3134" s="13">
        <v>45497</v>
      </c>
      <c r="R3134" s="13">
        <v>45527</v>
      </c>
      <c r="S3134">
        <v>2024</v>
      </c>
      <c r="T3134" s="12" t="s">
        <v>3854</v>
      </c>
      <c r="U3134">
        <v>179</v>
      </c>
      <c r="V3134">
        <v>72.364500000000007</v>
      </c>
      <c r="W3134">
        <v>322.70999999999998</v>
      </c>
      <c r="X3134">
        <v>0</v>
      </c>
      <c r="Y3134">
        <v>0</v>
      </c>
      <c r="Z3134">
        <v>12953.25</v>
      </c>
      <c r="AA3134">
        <v>13275.96</v>
      </c>
      <c r="AB3134" s="12" t="s">
        <v>2930</v>
      </c>
      <c r="AC3134">
        <v>72.364500000000007</v>
      </c>
      <c r="AD3134">
        <v>1</v>
      </c>
      <c r="AE3134">
        <v>1</v>
      </c>
      <c r="AF3134">
        <v>0</v>
      </c>
      <c r="AG3134">
        <v>12953.25</v>
      </c>
      <c r="AH3134">
        <v>179</v>
      </c>
      <c r="AI3134">
        <v>175</v>
      </c>
      <c r="AJ3134">
        <v>4</v>
      </c>
      <c r="AK3134">
        <v>1</v>
      </c>
      <c r="AL3134">
        <v>1</v>
      </c>
      <c r="AM3134">
        <v>97.77</v>
      </c>
      <c r="AN3134">
        <v>75.8626</v>
      </c>
      <c r="AO3134">
        <v>289.45999999999998</v>
      </c>
      <c r="AP3134" s="13">
        <v>45535</v>
      </c>
      <c r="AQ3134">
        <v>8</v>
      </c>
      <c r="AR3134">
        <v>0</v>
      </c>
    </row>
    <row r="3135" spans="1:44" x14ac:dyDescent="0.35">
      <c r="A3135" s="12" t="s">
        <v>4032</v>
      </c>
      <c r="B3135" s="12" t="s">
        <v>548</v>
      </c>
      <c r="C3135" s="12" t="s">
        <v>549</v>
      </c>
      <c r="D3135" s="12" t="s">
        <v>78</v>
      </c>
      <c r="E3135" s="12" t="s">
        <v>104</v>
      </c>
      <c r="F3135">
        <v>3</v>
      </c>
      <c r="G3135">
        <v>1</v>
      </c>
      <c r="H3135">
        <v>0</v>
      </c>
      <c r="I3135" s="12" t="s">
        <v>199</v>
      </c>
      <c r="J3135" s="12" t="s">
        <v>200</v>
      </c>
      <c r="K3135" s="12" t="s">
        <v>68</v>
      </c>
      <c r="L3135" s="12" t="s">
        <v>96</v>
      </c>
      <c r="M3135">
        <v>9.4700000000000006</v>
      </c>
      <c r="N3135" s="12" t="s">
        <v>97</v>
      </c>
      <c r="O3135" s="12" t="s">
        <v>98</v>
      </c>
      <c r="P3135" s="12" t="s">
        <v>72</v>
      </c>
      <c r="Q3135" s="13">
        <v>45498</v>
      </c>
      <c r="R3135" s="13">
        <v>45515</v>
      </c>
      <c r="S3135">
        <v>2024</v>
      </c>
      <c r="T3135" s="12" t="s">
        <v>3854</v>
      </c>
      <c r="U3135">
        <v>120</v>
      </c>
      <c r="V3135">
        <v>59.1252</v>
      </c>
      <c r="W3135">
        <v>134.41999999999999</v>
      </c>
      <c r="X3135">
        <v>0</v>
      </c>
      <c r="Y3135">
        <v>0</v>
      </c>
      <c r="Z3135">
        <v>7095.02</v>
      </c>
      <c r="AA3135">
        <v>7229.44</v>
      </c>
      <c r="AB3135" s="12" t="s">
        <v>3564</v>
      </c>
      <c r="AC3135">
        <v>59.1252</v>
      </c>
      <c r="AD3135">
        <v>1</v>
      </c>
      <c r="AE3135">
        <v>1</v>
      </c>
      <c r="AF3135">
        <v>0</v>
      </c>
      <c r="AG3135">
        <v>7095.02</v>
      </c>
      <c r="AH3135">
        <v>120</v>
      </c>
      <c r="AI3135">
        <v>117</v>
      </c>
      <c r="AJ3135">
        <v>3</v>
      </c>
      <c r="AK3135">
        <v>1</v>
      </c>
      <c r="AL3135">
        <v>1</v>
      </c>
      <c r="AM3135">
        <v>97.5</v>
      </c>
      <c r="AN3135">
        <v>61.790100000000002</v>
      </c>
      <c r="AO3135">
        <v>177.38</v>
      </c>
      <c r="AP3135" s="13">
        <v>45515</v>
      </c>
      <c r="AQ3135">
        <v>0</v>
      </c>
      <c r="AR3135">
        <v>1</v>
      </c>
    </row>
    <row r="3136" spans="1:44" x14ac:dyDescent="0.35">
      <c r="A3136" s="12" t="s">
        <v>4033</v>
      </c>
      <c r="B3136" s="12" t="s">
        <v>412</v>
      </c>
      <c r="C3136" s="12" t="s">
        <v>413</v>
      </c>
      <c r="D3136" s="12" t="s">
        <v>269</v>
      </c>
      <c r="E3136" s="12" t="s">
        <v>65</v>
      </c>
      <c r="F3136">
        <v>1</v>
      </c>
      <c r="G3136">
        <v>2</v>
      </c>
      <c r="H3136">
        <v>1</v>
      </c>
      <c r="I3136" s="12" t="s">
        <v>233</v>
      </c>
      <c r="J3136" s="12" t="s">
        <v>234</v>
      </c>
      <c r="K3136" s="12" t="s">
        <v>125</v>
      </c>
      <c r="L3136" s="12" t="s">
        <v>96</v>
      </c>
      <c r="M3136">
        <v>3.73</v>
      </c>
      <c r="N3136" s="12" t="s">
        <v>159</v>
      </c>
      <c r="O3136" s="12" t="s">
        <v>160</v>
      </c>
      <c r="P3136" s="12" t="s">
        <v>137</v>
      </c>
      <c r="Q3136" s="13">
        <v>45498</v>
      </c>
      <c r="R3136" s="13">
        <v>45519</v>
      </c>
      <c r="S3136">
        <v>2024</v>
      </c>
      <c r="T3136" s="12" t="s">
        <v>3854</v>
      </c>
      <c r="U3136">
        <v>10</v>
      </c>
      <c r="V3136">
        <v>104.17829999999999</v>
      </c>
      <c r="W3136">
        <v>12.98</v>
      </c>
      <c r="X3136">
        <v>0</v>
      </c>
      <c r="Y3136">
        <v>0</v>
      </c>
      <c r="Z3136">
        <v>1041.78</v>
      </c>
      <c r="AA3136">
        <v>1054.76</v>
      </c>
      <c r="AB3136" s="12" t="s">
        <v>3056</v>
      </c>
      <c r="AC3136">
        <v>104.17829999999999</v>
      </c>
      <c r="AD3136">
        <v>1</v>
      </c>
      <c r="AE3136">
        <v>1</v>
      </c>
      <c r="AF3136">
        <v>0</v>
      </c>
      <c r="AG3136">
        <v>1041.78</v>
      </c>
      <c r="AH3136">
        <v>10</v>
      </c>
      <c r="AI3136">
        <v>10</v>
      </c>
      <c r="AJ3136">
        <v>0</v>
      </c>
      <c r="AK3136">
        <v>1</v>
      </c>
      <c r="AL3136">
        <v>1</v>
      </c>
      <c r="AM3136">
        <v>100</v>
      </c>
      <c r="AN3136">
        <v>105.47629999999999</v>
      </c>
      <c r="AO3136">
        <v>0</v>
      </c>
      <c r="AP3136" s="13">
        <v>45518</v>
      </c>
      <c r="AQ3136">
        <v>-1</v>
      </c>
      <c r="AR3136">
        <v>1</v>
      </c>
    </row>
    <row r="3137" spans="1:44" x14ac:dyDescent="0.35">
      <c r="A3137" s="12" t="s">
        <v>4034</v>
      </c>
      <c r="B3137" s="12" t="s">
        <v>167</v>
      </c>
      <c r="C3137" s="12" t="s">
        <v>168</v>
      </c>
      <c r="D3137" s="12" t="s">
        <v>64</v>
      </c>
      <c r="E3137" s="12" t="s">
        <v>104</v>
      </c>
      <c r="F3137">
        <v>3</v>
      </c>
      <c r="G3137">
        <v>1</v>
      </c>
      <c r="H3137">
        <v>0</v>
      </c>
      <c r="I3137" s="12" t="s">
        <v>169</v>
      </c>
      <c r="J3137" s="12" t="s">
        <v>170</v>
      </c>
      <c r="K3137" s="12" t="s">
        <v>89</v>
      </c>
      <c r="L3137" s="12" t="s">
        <v>134</v>
      </c>
      <c r="M3137">
        <v>1.37</v>
      </c>
      <c r="N3137" s="12" t="s">
        <v>70</v>
      </c>
      <c r="O3137" s="12" t="s">
        <v>71</v>
      </c>
      <c r="P3137" s="12" t="s">
        <v>72</v>
      </c>
      <c r="Q3137" s="13">
        <v>45498</v>
      </c>
      <c r="R3137" s="13">
        <v>45511</v>
      </c>
      <c r="S3137">
        <v>2024</v>
      </c>
      <c r="T3137" s="12" t="s">
        <v>3854</v>
      </c>
      <c r="U3137">
        <v>151</v>
      </c>
      <c r="V3137">
        <v>26.559100000000001</v>
      </c>
      <c r="W3137">
        <v>79.69</v>
      </c>
      <c r="X3137">
        <v>0</v>
      </c>
      <c r="Y3137">
        <v>0</v>
      </c>
      <c r="Z3137">
        <v>4010.42</v>
      </c>
      <c r="AA3137">
        <v>4090.11</v>
      </c>
      <c r="AB3137" s="12" t="s">
        <v>2885</v>
      </c>
      <c r="AC3137">
        <v>26.559100000000001</v>
      </c>
      <c r="AD3137">
        <v>1</v>
      </c>
      <c r="AE3137">
        <v>1</v>
      </c>
      <c r="AF3137">
        <v>0</v>
      </c>
      <c r="AG3137">
        <v>4010.42</v>
      </c>
      <c r="AH3137">
        <v>151</v>
      </c>
      <c r="AI3137">
        <v>149</v>
      </c>
      <c r="AJ3137">
        <v>2</v>
      </c>
      <c r="AK3137">
        <v>1</v>
      </c>
      <c r="AL3137">
        <v>1</v>
      </c>
      <c r="AM3137">
        <v>98.68</v>
      </c>
      <c r="AN3137">
        <v>27.450399999999998</v>
      </c>
      <c r="AO3137">
        <v>53.12</v>
      </c>
      <c r="AP3137" s="13">
        <v>45511</v>
      </c>
      <c r="AQ3137">
        <v>0</v>
      </c>
      <c r="AR3137">
        <v>1</v>
      </c>
    </row>
    <row r="3138" spans="1:44" x14ac:dyDescent="0.35">
      <c r="A3138" s="12" t="s">
        <v>4035</v>
      </c>
      <c r="B3138" s="12" t="s">
        <v>747</v>
      </c>
      <c r="C3138" s="12" t="s">
        <v>748</v>
      </c>
      <c r="D3138" s="12" t="s">
        <v>114</v>
      </c>
      <c r="E3138" s="12" t="s">
        <v>104</v>
      </c>
      <c r="F3138">
        <v>2</v>
      </c>
      <c r="G3138">
        <v>0</v>
      </c>
      <c r="H3138">
        <v>0</v>
      </c>
      <c r="I3138" s="12" t="s">
        <v>380</v>
      </c>
      <c r="J3138" s="12" t="s">
        <v>381</v>
      </c>
      <c r="K3138" s="12" t="s">
        <v>89</v>
      </c>
      <c r="L3138" s="12" t="s">
        <v>96</v>
      </c>
      <c r="M3138">
        <v>10.210000000000001</v>
      </c>
      <c r="N3138" s="12" t="s">
        <v>97</v>
      </c>
      <c r="O3138" s="12" t="s">
        <v>98</v>
      </c>
      <c r="P3138" s="12" t="s">
        <v>72</v>
      </c>
      <c r="Q3138" s="13">
        <v>45498</v>
      </c>
      <c r="R3138" s="13">
        <v>45525</v>
      </c>
      <c r="S3138">
        <v>2024</v>
      </c>
      <c r="T3138" s="12" t="s">
        <v>3854</v>
      </c>
      <c r="U3138">
        <v>129</v>
      </c>
      <c r="V3138">
        <v>242.0575</v>
      </c>
      <c r="W3138">
        <v>524.20000000000005</v>
      </c>
      <c r="X3138">
        <v>0</v>
      </c>
      <c r="Y3138">
        <v>0</v>
      </c>
      <c r="Z3138">
        <v>31225.42</v>
      </c>
      <c r="AA3138">
        <v>31749.62</v>
      </c>
      <c r="AB3138" s="12" t="s">
        <v>3072</v>
      </c>
      <c r="AC3138">
        <v>242.0575</v>
      </c>
      <c r="AD3138">
        <v>1</v>
      </c>
      <c r="AE3138">
        <v>1</v>
      </c>
      <c r="AF3138">
        <v>0</v>
      </c>
      <c r="AG3138">
        <v>31225.42</v>
      </c>
      <c r="AH3138">
        <v>129</v>
      </c>
      <c r="AI3138">
        <v>127</v>
      </c>
      <c r="AJ3138">
        <v>2</v>
      </c>
      <c r="AK3138">
        <v>1</v>
      </c>
      <c r="AL3138">
        <v>1</v>
      </c>
      <c r="AM3138">
        <v>98.45</v>
      </c>
      <c r="AN3138">
        <v>249.99700000000001</v>
      </c>
      <c r="AO3138">
        <v>484.12</v>
      </c>
      <c r="AP3138" s="13">
        <v>45521</v>
      </c>
      <c r="AQ3138">
        <v>-4</v>
      </c>
      <c r="AR3138">
        <v>1</v>
      </c>
    </row>
    <row r="3139" spans="1:44" x14ac:dyDescent="0.35">
      <c r="A3139" s="12" t="s">
        <v>4036</v>
      </c>
      <c r="B3139" s="12" t="s">
        <v>755</v>
      </c>
      <c r="C3139" s="12" t="s">
        <v>756</v>
      </c>
      <c r="D3139" s="12" t="s">
        <v>78</v>
      </c>
      <c r="E3139" s="12" t="s">
        <v>65</v>
      </c>
      <c r="F3139">
        <v>2</v>
      </c>
      <c r="G3139">
        <v>2</v>
      </c>
      <c r="H3139">
        <v>0</v>
      </c>
      <c r="I3139" s="12" t="s">
        <v>359</v>
      </c>
      <c r="J3139" s="12" t="s">
        <v>360</v>
      </c>
      <c r="K3139" s="12" t="s">
        <v>133</v>
      </c>
      <c r="L3139" s="12" t="s">
        <v>82</v>
      </c>
      <c r="M3139">
        <v>12.65</v>
      </c>
      <c r="N3139" s="12" t="s">
        <v>70</v>
      </c>
      <c r="O3139" s="12" t="s">
        <v>71</v>
      </c>
      <c r="P3139" s="12" t="s">
        <v>72</v>
      </c>
      <c r="Q3139" s="13">
        <v>45498</v>
      </c>
      <c r="R3139" s="13">
        <v>45524</v>
      </c>
      <c r="S3139">
        <v>2024</v>
      </c>
      <c r="T3139" s="12" t="s">
        <v>3854</v>
      </c>
      <c r="U3139">
        <v>114</v>
      </c>
      <c r="V3139">
        <v>43.122799999999998</v>
      </c>
      <c r="W3139">
        <v>66.38</v>
      </c>
      <c r="X3139">
        <v>0</v>
      </c>
      <c r="Y3139">
        <v>0</v>
      </c>
      <c r="Z3139">
        <v>4916</v>
      </c>
      <c r="AA3139">
        <v>4982.38</v>
      </c>
      <c r="AB3139" s="12" t="s">
        <v>3414</v>
      </c>
      <c r="AC3139">
        <v>43.122799999999998</v>
      </c>
      <c r="AD3139">
        <v>1</v>
      </c>
      <c r="AE3139">
        <v>1</v>
      </c>
      <c r="AF3139">
        <v>0</v>
      </c>
      <c r="AG3139">
        <v>4916</v>
      </c>
      <c r="AH3139">
        <v>114</v>
      </c>
      <c r="AI3139">
        <v>113</v>
      </c>
      <c r="AJ3139">
        <v>1</v>
      </c>
      <c r="AK3139">
        <v>1</v>
      </c>
      <c r="AL3139">
        <v>1</v>
      </c>
      <c r="AM3139">
        <v>99.12</v>
      </c>
      <c r="AN3139">
        <v>44.091900000000003</v>
      </c>
      <c r="AO3139">
        <v>43.12</v>
      </c>
      <c r="AP3139" s="13">
        <v>45522</v>
      </c>
      <c r="AQ3139">
        <v>-2</v>
      </c>
      <c r="AR3139">
        <v>1</v>
      </c>
    </row>
    <row r="3140" spans="1:44" x14ac:dyDescent="0.35">
      <c r="A3140" s="12" t="s">
        <v>4037</v>
      </c>
      <c r="B3140" s="12" t="s">
        <v>1075</v>
      </c>
      <c r="C3140" s="12" t="s">
        <v>1076</v>
      </c>
      <c r="D3140" s="12" t="s">
        <v>103</v>
      </c>
      <c r="E3140" s="12" t="s">
        <v>65</v>
      </c>
      <c r="F3140">
        <v>2</v>
      </c>
      <c r="G3140">
        <v>4</v>
      </c>
      <c r="H3140">
        <v>0</v>
      </c>
      <c r="I3140" s="12" t="s">
        <v>183</v>
      </c>
      <c r="J3140" s="12" t="s">
        <v>184</v>
      </c>
      <c r="K3140" s="12" t="s">
        <v>133</v>
      </c>
      <c r="L3140" s="12" t="s">
        <v>82</v>
      </c>
      <c r="M3140">
        <v>8.6199999999999992</v>
      </c>
      <c r="N3140" s="12" t="s">
        <v>107</v>
      </c>
      <c r="O3140" s="12" t="s">
        <v>108</v>
      </c>
      <c r="P3140" s="12" t="s">
        <v>109</v>
      </c>
      <c r="Q3140" s="13">
        <v>45498</v>
      </c>
      <c r="R3140" s="13">
        <v>45535</v>
      </c>
      <c r="S3140">
        <v>2024</v>
      </c>
      <c r="T3140" s="12" t="s">
        <v>3854</v>
      </c>
      <c r="U3140">
        <v>139</v>
      </c>
      <c r="V3140">
        <v>78.637699999999995</v>
      </c>
      <c r="W3140">
        <v>100.76</v>
      </c>
      <c r="X3140">
        <v>0</v>
      </c>
      <c r="Y3140">
        <v>0</v>
      </c>
      <c r="Z3140">
        <v>10930.64</v>
      </c>
      <c r="AA3140">
        <v>11031.4</v>
      </c>
      <c r="AB3140" s="12" t="s">
        <v>201</v>
      </c>
      <c r="AD3140">
        <v>0</v>
      </c>
      <c r="AE3140">
        <v>0</v>
      </c>
      <c r="AH3140">
        <v>139</v>
      </c>
      <c r="AI3140">
        <v>138</v>
      </c>
      <c r="AJ3140">
        <v>1</v>
      </c>
      <c r="AK3140">
        <v>1</v>
      </c>
      <c r="AL3140">
        <v>1</v>
      </c>
      <c r="AM3140">
        <v>99.28</v>
      </c>
      <c r="AN3140">
        <v>79.937700000000007</v>
      </c>
      <c r="AO3140">
        <v>78.64</v>
      </c>
      <c r="AP3140" s="13">
        <v>45534</v>
      </c>
      <c r="AQ3140">
        <v>-1</v>
      </c>
      <c r="AR3140">
        <v>1</v>
      </c>
    </row>
    <row r="3141" spans="1:44" x14ac:dyDescent="0.35">
      <c r="A3141" s="12" t="s">
        <v>4038</v>
      </c>
      <c r="B3141" s="12" t="s">
        <v>990</v>
      </c>
      <c r="C3141" s="12" t="s">
        <v>991</v>
      </c>
      <c r="D3141" s="12" t="s">
        <v>122</v>
      </c>
      <c r="E3141" s="12" t="s">
        <v>142</v>
      </c>
      <c r="F3141">
        <v>1</v>
      </c>
      <c r="G3141">
        <v>6</v>
      </c>
      <c r="H3141">
        <v>1</v>
      </c>
      <c r="I3141" s="12" t="s">
        <v>217</v>
      </c>
      <c r="J3141" s="12" t="s">
        <v>218</v>
      </c>
      <c r="K3141" s="12" t="s">
        <v>68</v>
      </c>
      <c r="L3141" s="12" t="s">
        <v>82</v>
      </c>
      <c r="M3141">
        <v>14.24</v>
      </c>
      <c r="N3141" s="12" t="s">
        <v>97</v>
      </c>
      <c r="O3141" s="12" t="s">
        <v>98</v>
      </c>
      <c r="P3141" s="12" t="s">
        <v>72</v>
      </c>
      <c r="Q3141" s="13">
        <v>45498</v>
      </c>
      <c r="R3141" s="13">
        <v>45541</v>
      </c>
      <c r="S3141">
        <v>2024</v>
      </c>
      <c r="T3141" s="12" t="s">
        <v>3854</v>
      </c>
      <c r="U3141">
        <v>1011</v>
      </c>
      <c r="V3141">
        <v>33.6252</v>
      </c>
      <c r="W3141">
        <v>247.41</v>
      </c>
      <c r="X3141">
        <v>0</v>
      </c>
      <c r="Y3141">
        <v>0</v>
      </c>
      <c r="Z3141">
        <v>33995.08</v>
      </c>
      <c r="AA3141">
        <v>34242.49</v>
      </c>
      <c r="AB3141" s="12" t="s">
        <v>3368</v>
      </c>
      <c r="AC3141">
        <v>33.6252</v>
      </c>
      <c r="AD3141">
        <v>1</v>
      </c>
      <c r="AE3141">
        <v>1</v>
      </c>
      <c r="AF3141">
        <v>0</v>
      </c>
      <c r="AG3141">
        <v>33995.08</v>
      </c>
      <c r="AH3141">
        <v>1011</v>
      </c>
      <c r="AI3141">
        <v>1004</v>
      </c>
      <c r="AJ3141">
        <v>7</v>
      </c>
      <c r="AK3141">
        <v>1</v>
      </c>
      <c r="AL3141">
        <v>1</v>
      </c>
      <c r="AM3141">
        <v>99.31</v>
      </c>
      <c r="AN3141">
        <v>34.106099999999998</v>
      </c>
      <c r="AO3141">
        <v>235.38</v>
      </c>
      <c r="AP3141" s="13">
        <v>45540</v>
      </c>
      <c r="AQ3141">
        <v>-1</v>
      </c>
      <c r="AR3141">
        <v>1</v>
      </c>
    </row>
    <row r="3142" spans="1:44" x14ac:dyDescent="0.35">
      <c r="A3142" s="12" t="s">
        <v>4039</v>
      </c>
      <c r="B3142" s="12" t="s">
        <v>957</v>
      </c>
      <c r="C3142" s="12" t="s">
        <v>958</v>
      </c>
      <c r="D3142" s="12" t="s">
        <v>103</v>
      </c>
      <c r="E3142" s="12" t="s">
        <v>142</v>
      </c>
      <c r="F3142">
        <v>1</v>
      </c>
      <c r="G3142">
        <v>7</v>
      </c>
      <c r="H3142">
        <v>1</v>
      </c>
      <c r="I3142" s="12" t="s">
        <v>183</v>
      </c>
      <c r="J3142" s="12" t="s">
        <v>184</v>
      </c>
      <c r="K3142" s="12" t="s">
        <v>133</v>
      </c>
      <c r="L3142" s="12" t="s">
        <v>82</v>
      </c>
      <c r="M3142">
        <v>8.6199999999999992</v>
      </c>
      <c r="N3142" s="12" t="s">
        <v>107</v>
      </c>
      <c r="O3142" s="12" t="s">
        <v>108</v>
      </c>
      <c r="P3142" s="12" t="s">
        <v>109</v>
      </c>
      <c r="Q3142" s="13">
        <v>45498</v>
      </c>
      <c r="R3142" s="13">
        <v>45543</v>
      </c>
      <c r="S3142">
        <v>2024</v>
      </c>
      <c r="T3142" s="12" t="s">
        <v>3854</v>
      </c>
      <c r="U3142">
        <v>88</v>
      </c>
      <c r="V3142">
        <v>193.65539999999999</v>
      </c>
      <c r="W3142">
        <v>335.44</v>
      </c>
      <c r="X3142">
        <v>0</v>
      </c>
      <c r="Y3142">
        <v>0</v>
      </c>
      <c r="Z3142">
        <v>17041.68</v>
      </c>
      <c r="AA3142">
        <v>17377.12</v>
      </c>
      <c r="AB3142" s="12" t="s">
        <v>3249</v>
      </c>
      <c r="AC3142">
        <v>193.65539999999999</v>
      </c>
      <c r="AD3142">
        <v>1</v>
      </c>
      <c r="AE3142">
        <v>1</v>
      </c>
      <c r="AF3142">
        <v>0</v>
      </c>
      <c r="AG3142">
        <v>17041.68</v>
      </c>
      <c r="AH3142">
        <v>88</v>
      </c>
      <c r="AI3142">
        <v>87</v>
      </c>
      <c r="AJ3142">
        <v>1</v>
      </c>
      <c r="AK3142">
        <v>1</v>
      </c>
      <c r="AL3142">
        <v>1</v>
      </c>
      <c r="AM3142">
        <v>98.86</v>
      </c>
      <c r="AN3142">
        <v>199.73699999999999</v>
      </c>
      <c r="AO3142">
        <v>193.66</v>
      </c>
      <c r="AP3142" s="13">
        <v>45549</v>
      </c>
      <c r="AQ3142">
        <v>6</v>
      </c>
      <c r="AR3142">
        <v>0</v>
      </c>
    </row>
    <row r="3143" spans="1:44" x14ac:dyDescent="0.35">
      <c r="A3143" s="12" t="s">
        <v>4040</v>
      </c>
      <c r="B3143" s="12" t="s">
        <v>587</v>
      </c>
      <c r="C3143" s="12" t="s">
        <v>588</v>
      </c>
      <c r="D3143" s="12" t="s">
        <v>122</v>
      </c>
      <c r="E3143" s="12" t="s">
        <v>104</v>
      </c>
      <c r="F3143">
        <v>2</v>
      </c>
      <c r="G3143">
        <v>0</v>
      </c>
      <c r="H3143">
        <v>0</v>
      </c>
      <c r="I3143" s="12" t="s">
        <v>486</v>
      </c>
      <c r="J3143" s="12" t="s">
        <v>487</v>
      </c>
      <c r="K3143" s="12" t="s">
        <v>125</v>
      </c>
      <c r="L3143" s="12" t="s">
        <v>69</v>
      </c>
      <c r="M3143">
        <v>36.86</v>
      </c>
      <c r="N3143" s="12" t="s">
        <v>97</v>
      </c>
      <c r="O3143" s="12" t="s">
        <v>98</v>
      </c>
      <c r="P3143" s="12" t="s">
        <v>72</v>
      </c>
      <c r="Q3143" s="13">
        <v>45498</v>
      </c>
      <c r="R3143" s="13">
        <v>45520</v>
      </c>
      <c r="S3143">
        <v>2024</v>
      </c>
      <c r="T3143" s="12" t="s">
        <v>3854</v>
      </c>
      <c r="U3143">
        <v>1260</v>
      </c>
      <c r="V3143">
        <v>11.9803</v>
      </c>
      <c r="W3143">
        <v>163.57</v>
      </c>
      <c r="X3143">
        <v>0</v>
      </c>
      <c r="Y3143">
        <v>0</v>
      </c>
      <c r="Z3143">
        <v>15095.18</v>
      </c>
      <c r="AA3143">
        <v>15258.75</v>
      </c>
      <c r="AB3143" s="12" t="s">
        <v>3188</v>
      </c>
      <c r="AC3143">
        <v>11.9803</v>
      </c>
      <c r="AD3143">
        <v>1</v>
      </c>
      <c r="AE3143">
        <v>1</v>
      </c>
      <c r="AF3143">
        <v>0</v>
      </c>
      <c r="AG3143">
        <v>15095.18</v>
      </c>
      <c r="AH3143">
        <v>1260</v>
      </c>
      <c r="AI3143">
        <v>1247</v>
      </c>
      <c r="AJ3143">
        <v>13</v>
      </c>
      <c r="AK3143">
        <v>1</v>
      </c>
      <c r="AL3143">
        <v>1</v>
      </c>
      <c r="AM3143">
        <v>98.97</v>
      </c>
      <c r="AN3143">
        <v>12.2364</v>
      </c>
      <c r="AO3143">
        <v>155.74</v>
      </c>
      <c r="AP3143" s="13">
        <v>45518</v>
      </c>
      <c r="AQ3143">
        <v>-2</v>
      </c>
      <c r="AR3143">
        <v>1</v>
      </c>
    </row>
    <row r="3144" spans="1:44" x14ac:dyDescent="0.35">
      <c r="A3144" s="12" t="s">
        <v>4041</v>
      </c>
      <c r="B3144" s="12" t="s">
        <v>317</v>
      </c>
      <c r="C3144" s="12" t="s">
        <v>318</v>
      </c>
      <c r="D3144" s="12" t="s">
        <v>64</v>
      </c>
      <c r="E3144" s="12" t="s">
        <v>104</v>
      </c>
      <c r="F3144">
        <v>2</v>
      </c>
      <c r="G3144">
        <v>0</v>
      </c>
      <c r="H3144">
        <v>0</v>
      </c>
      <c r="I3144" s="12" t="s">
        <v>169</v>
      </c>
      <c r="J3144" s="12" t="s">
        <v>170</v>
      </c>
      <c r="K3144" s="12" t="s">
        <v>89</v>
      </c>
      <c r="L3144" s="12" t="s">
        <v>134</v>
      </c>
      <c r="M3144">
        <v>1.37</v>
      </c>
      <c r="N3144" s="12" t="s">
        <v>70</v>
      </c>
      <c r="O3144" s="12" t="s">
        <v>71</v>
      </c>
      <c r="P3144" s="12" t="s">
        <v>72</v>
      </c>
      <c r="Q3144" s="13">
        <v>45499</v>
      </c>
      <c r="R3144" s="13">
        <v>45513</v>
      </c>
      <c r="S3144">
        <v>2024</v>
      </c>
      <c r="T3144" s="12" t="s">
        <v>3854</v>
      </c>
      <c r="U3144">
        <v>213</v>
      </c>
      <c r="V3144">
        <v>15.835699999999999</v>
      </c>
      <c r="W3144">
        <v>67.569999999999993</v>
      </c>
      <c r="X3144">
        <v>104.81</v>
      </c>
      <c r="Y3144">
        <v>1</v>
      </c>
      <c r="Z3144">
        <v>3373</v>
      </c>
      <c r="AA3144">
        <v>3545.38</v>
      </c>
      <c r="AB3144" s="12" t="s">
        <v>3006</v>
      </c>
      <c r="AC3144">
        <v>15.835699999999999</v>
      </c>
      <c r="AD3144">
        <v>1</v>
      </c>
      <c r="AE3144">
        <v>1</v>
      </c>
      <c r="AF3144">
        <v>0</v>
      </c>
      <c r="AG3144">
        <v>3373</v>
      </c>
      <c r="AH3144">
        <v>213</v>
      </c>
      <c r="AI3144">
        <v>212</v>
      </c>
      <c r="AJ3144">
        <v>1</v>
      </c>
      <c r="AK3144">
        <v>1</v>
      </c>
      <c r="AL3144">
        <v>1</v>
      </c>
      <c r="AM3144">
        <v>99.53</v>
      </c>
      <c r="AN3144">
        <v>16.723500000000001</v>
      </c>
      <c r="AO3144">
        <v>15.84</v>
      </c>
      <c r="AP3144" s="13">
        <v>45510</v>
      </c>
      <c r="AQ3144">
        <v>-3</v>
      </c>
      <c r="AR3144">
        <v>1</v>
      </c>
    </row>
    <row r="3145" spans="1:44" x14ac:dyDescent="0.35">
      <c r="A3145" s="12" t="s">
        <v>4042</v>
      </c>
      <c r="B3145" s="12" t="s">
        <v>327</v>
      </c>
      <c r="C3145" s="12" t="s">
        <v>328</v>
      </c>
      <c r="D3145" s="12" t="s">
        <v>130</v>
      </c>
      <c r="E3145" s="12" t="s">
        <v>104</v>
      </c>
      <c r="F3145">
        <v>2</v>
      </c>
      <c r="G3145">
        <v>0</v>
      </c>
      <c r="H3145">
        <v>0</v>
      </c>
      <c r="I3145" s="12" t="s">
        <v>94</v>
      </c>
      <c r="J3145" s="12" t="s">
        <v>95</v>
      </c>
      <c r="K3145" s="12" t="s">
        <v>81</v>
      </c>
      <c r="L3145" s="12" t="s">
        <v>96</v>
      </c>
      <c r="M3145">
        <v>4.8099999999999996</v>
      </c>
      <c r="N3145" s="12" t="s">
        <v>135</v>
      </c>
      <c r="O3145" s="12" t="s">
        <v>136</v>
      </c>
      <c r="P3145" s="12" t="s">
        <v>137</v>
      </c>
      <c r="Q3145" s="13">
        <v>45499</v>
      </c>
      <c r="R3145" s="13">
        <v>45515</v>
      </c>
      <c r="S3145">
        <v>2024</v>
      </c>
      <c r="T3145" s="12" t="s">
        <v>3854</v>
      </c>
      <c r="U3145">
        <v>48</v>
      </c>
      <c r="V3145">
        <v>697.23929999999996</v>
      </c>
      <c r="W3145">
        <v>345.04</v>
      </c>
      <c r="X3145">
        <v>0</v>
      </c>
      <c r="Y3145">
        <v>0</v>
      </c>
      <c r="Z3145">
        <v>33467.49</v>
      </c>
      <c r="AA3145">
        <v>33812.53</v>
      </c>
      <c r="AB3145" s="12" t="s">
        <v>3016</v>
      </c>
      <c r="AC3145">
        <v>697.23929999999996</v>
      </c>
      <c r="AD3145">
        <v>1</v>
      </c>
      <c r="AE3145">
        <v>1</v>
      </c>
      <c r="AF3145">
        <v>0</v>
      </c>
      <c r="AG3145">
        <v>33467.49</v>
      </c>
      <c r="AH3145">
        <v>48</v>
      </c>
      <c r="AI3145">
        <v>48</v>
      </c>
      <c r="AJ3145">
        <v>0</v>
      </c>
      <c r="AK3145">
        <v>1</v>
      </c>
      <c r="AL3145">
        <v>1</v>
      </c>
      <c r="AM3145">
        <v>100</v>
      </c>
      <c r="AN3145">
        <v>704.42759999999998</v>
      </c>
      <c r="AO3145">
        <v>0</v>
      </c>
      <c r="AP3145" s="13">
        <v>45513</v>
      </c>
      <c r="AQ3145">
        <v>-2</v>
      </c>
      <c r="AR3145">
        <v>1</v>
      </c>
    </row>
    <row r="3146" spans="1:44" x14ac:dyDescent="0.35">
      <c r="A3146" s="12" t="s">
        <v>4043</v>
      </c>
      <c r="B3146" s="12" t="s">
        <v>1108</v>
      </c>
      <c r="C3146" s="12" t="s">
        <v>1109</v>
      </c>
      <c r="D3146" s="12" t="s">
        <v>103</v>
      </c>
      <c r="E3146" s="12" t="s">
        <v>65</v>
      </c>
      <c r="F3146">
        <v>3</v>
      </c>
      <c r="G3146">
        <v>4</v>
      </c>
      <c r="H3146">
        <v>0</v>
      </c>
      <c r="I3146" s="12" t="s">
        <v>79</v>
      </c>
      <c r="J3146" s="12" t="s">
        <v>80</v>
      </c>
      <c r="K3146" s="12" t="s">
        <v>81</v>
      </c>
      <c r="L3146" s="12" t="s">
        <v>82</v>
      </c>
      <c r="M3146">
        <v>12.07</v>
      </c>
      <c r="N3146" s="12" t="s">
        <v>107</v>
      </c>
      <c r="O3146" s="12" t="s">
        <v>108</v>
      </c>
      <c r="P3146" s="12" t="s">
        <v>109</v>
      </c>
      <c r="Q3146" s="13">
        <v>45499</v>
      </c>
      <c r="R3146" s="13">
        <v>45524</v>
      </c>
      <c r="S3146">
        <v>2024</v>
      </c>
      <c r="T3146" s="12" t="s">
        <v>3854</v>
      </c>
      <c r="U3146">
        <v>46</v>
      </c>
      <c r="V3146">
        <v>85.889600000000002</v>
      </c>
      <c r="W3146">
        <v>24.18</v>
      </c>
      <c r="X3146">
        <v>0</v>
      </c>
      <c r="Y3146">
        <v>0</v>
      </c>
      <c r="Z3146">
        <v>3950.92</v>
      </c>
      <c r="AA3146">
        <v>3975.1</v>
      </c>
      <c r="AB3146" s="12" t="s">
        <v>3269</v>
      </c>
      <c r="AC3146">
        <v>85.889600000000002</v>
      </c>
      <c r="AD3146">
        <v>1</v>
      </c>
      <c r="AE3146">
        <v>1</v>
      </c>
      <c r="AF3146">
        <v>0</v>
      </c>
      <c r="AG3146">
        <v>3950.92</v>
      </c>
      <c r="AH3146">
        <v>46</v>
      </c>
      <c r="AI3146">
        <v>45</v>
      </c>
      <c r="AJ3146">
        <v>1</v>
      </c>
      <c r="AK3146">
        <v>1</v>
      </c>
      <c r="AL3146">
        <v>1</v>
      </c>
      <c r="AM3146">
        <v>97.83</v>
      </c>
      <c r="AN3146">
        <v>88.335599999999999</v>
      </c>
      <c r="AO3146">
        <v>85.89</v>
      </c>
      <c r="AP3146" s="13">
        <v>45521</v>
      </c>
      <c r="AQ3146">
        <v>-3</v>
      </c>
      <c r="AR3146">
        <v>1</v>
      </c>
    </row>
    <row r="3147" spans="1:44" x14ac:dyDescent="0.35">
      <c r="A3147" s="12" t="s">
        <v>4044</v>
      </c>
      <c r="B3147" s="12" t="s">
        <v>909</v>
      </c>
      <c r="C3147" s="12" t="s">
        <v>910</v>
      </c>
      <c r="D3147" s="12" t="s">
        <v>269</v>
      </c>
      <c r="E3147" s="12" t="s">
        <v>65</v>
      </c>
      <c r="F3147">
        <v>3</v>
      </c>
      <c r="G3147">
        <v>4</v>
      </c>
      <c r="H3147">
        <v>0</v>
      </c>
      <c r="I3147" s="12" t="s">
        <v>199</v>
      </c>
      <c r="J3147" s="12" t="s">
        <v>200</v>
      </c>
      <c r="K3147" s="12" t="s">
        <v>68</v>
      </c>
      <c r="L3147" s="12" t="s">
        <v>96</v>
      </c>
      <c r="M3147">
        <v>9.4700000000000006</v>
      </c>
      <c r="N3147" s="12" t="s">
        <v>159</v>
      </c>
      <c r="O3147" s="12" t="s">
        <v>160</v>
      </c>
      <c r="P3147" s="12" t="s">
        <v>137</v>
      </c>
      <c r="Q3147" s="13">
        <v>45499</v>
      </c>
      <c r="R3147" s="13">
        <v>45520</v>
      </c>
      <c r="S3147">
        <v>2024</v>
      </c>
      <c r="T3147" s="12" t="s">
        <v>3854</v>
      </c>
      <c r="U3147">
        <v>13</v>
      </c>
      <c r="V3147">
        <v>105.6481</v>
      </c>
      <c r="W3147">
        <v>25.32</v>
      </c>
      <c r="X3147">
        <v>0</v>
      </c>
      <c r="Y3147">
        <v>0</v>
      </c>
      <c r="Z3147">
        <v>1373.43</v>
      </c>
      <c r="AA3147">
        <v>1398.75</v>
      </c>
      <c r="AB3147" s="12" t="s">
        <v>3479</v>
      </c>
      <c r="AC3147">
        <v>105.6481</v>
      </c>
      <c r="AD3147">
        <v>1</v>
      </c>
      <c r="AE3147">
        <v>1</v>
      </c>
      <c r="AF3147">
        <v>0</v>
      </c>
      <c r="AG3147">
        <v>1373.43</v>
      </c>
      <c r="AH3147">
        <v>13</v>
      </c>
      <c r="AI3147">
        <v>13</v>
      </c>
      <c r="AJ3147">
        <v>0</v>
      </c>
      <c r="AK3147">
        <v>1</v>
      </c>
      <c r="AL3147">
        <v>1</v>
      </c>
      <c r="AM3147">
        <v>100</v>
      </c>
      <c r="AN3147">
        <v>107.5958</v>
      </c>
      <c r="AO3147">
        <v>0</v>
      </c>
      <c r="AP3147" s="13">
        <v>45517</v>
      </c>
      <c r="AQ3147">
        <v>-3</v>
      </c>
      <c r="AR3147">
        <v>1</v>
      </c>
    </row>
    <row r="3148" spans="1:44" x14ac:dyDescent="0.35">
      <c r="A3148" s="12" t="s">
        <v>4045</v>
      </c>
      <c r="B3148" s="12" t="s">
        <v>876</v>
      </c>
      <c r="C3148" s="12" t="s">
        <v>877</v>
      </c>
      <c r="D3148" s="12" t="s">
        <v>269</v>
      </c>
      <c r="E3148" s="12" t="s">
        <v>142</v>
      </c>
      <c r="F3148">
        <v>3</v>
      </c>
      <c r="G3148">
        <v>11</v>
      </c>
      <c r="H3148">
        <v>0</v>
      </c>
      <c r="I3148" s="12" t="s">
        <v>515</v>
      </c>
      <c r="J3148" s="12" t="s">
        <v>516</v>
      </c>
      <c r="K3148" s="12" t="s">
        <v>68</v>
      </c>
      <c r="L3148" s="12" t="s">
        <v>134</v>
      </c>
      <c r="M3148">
        <v>3.69</v>
      </c>
      <c r="N3148" s="12" t="s">
        <v>159</v>
      </c>
      <c r="O3148" s="12" t="s">
        <v>160</v>
      </c>
      <c r="P3148" s="12" t="s">
        <v>137</v>
      </c>
      <c r="Q3148" s="13">
        <v>45499</v>
      </c>
      <c r="R3148" s="13">
        <v>45542</v>
      </c>
      <c r="S3148">
        <v>2024</v>
      </c>
      <c r="T3148" s="12" t="s">
        <v>3854</v>
      </c>
      <c r="U3148">
        <v>72</v>
      </c>
      <c r="V3148">
        <v>191.71029999999999</v>
      </c>
      <c r="W3148">
        <v>175.66</v>
      </c>
      <c r="X3148">
        <v>0</v>
      </c>
      <c r="Y3148">
        <v>0</v>
      </c>
      <c r="Z3148">
        <v>13803.14</v>
      </c>
      <c r="AA3148">
        <v>13978.8</v>
      </c>
      <c r="AB3148" s="12" t="s">
        <v>3591</v>
      </c>
      <c r="AC3148">
        <v>191.71029999999999</v>
      </c>
      <c r="AD3148">
        <v>1</v>
      </c>
      <c r="AE3148">
        <v>1</v>
      </c>
      <c r="AF3148">
        <v>0</v>
      </c>
      <c r="AG3148">
        <v>13803.14</v>
      </c>
      <c r="AH3148">
        <v>72</v>
      </c>
      <c r="AI3148">
        <v>72</v>
      </c>
      <c r="AJ3148">
        <v>0</v>
      </c>
      <c r="AK3148">
        <v>1</v>
      </c>
      <c r="AL3148">
        <v>1</v>
      </c>
      <c r="AM3148">
        <v>100</v>
      </c>
      <c r="AN3148">
        <v>194.15</v>
      </c>
      <c r="AO3148">
        <v>0</v>
      </c>
      <c r="AP3148" s="13">
        <v>45542</v>
      </c>
      <c r="AQ3148">
        <v>0</v>
      </c>
      <c r="AR3148">
        <v>1</v>
      </c>
    </row>
    <row r="3149" spans="1:44" x14ac:dyDescent="0.35">
      <c r="A3149" s="12" t="s">
        <v>4046</v>
      </c>
      <c r="B3149" s="12" t="s">
        <v>990</v>
      </c>
      <c r="C3149" s="12" t="s">
        <v>991</v>
      </c>
      <c r="D3149" s="12" t="s">
        <v>122</v>
      </c>
      <c r="E3149" s="12" t="s">
        <v>142</v>
      </c>
      <c r="F3149">
        <v>1</v>
      </c>
      <c r="G3149">
        <v>6</v>
      </c>
      <c r="H3149">
        <v>1</v>
      </c>
      <c r="I3149" s="12" t="s">
        <v>217</v>
      </c>
      <c r="J3149" s="12" t="s">
        <v>218</v>
      </c>
      <c r="K3149" s="12" t="s">
        <v>68</v>
      </c>
      <c r="L3149" s="12" t="s">
        <v>82</v>
      </c>
      <c r="M3149">
        <v>14.24</v>
      </c>
      <c r="N3149" s="12" t="s">
        <v>70</v>
      </c>
      <c r="O3149" s="12" t="s">
        <v>71</v>
      </c>
      <c r="P3149" s="12" t="s">
        <v>72</v>
      </c>
      <c r="Q3149" s="13">
        <v>45499</v>
      </c>
      <c r="R3149" s="13">
        <v>45535</v>
      </c>
      <c r="S3149">
        <v>2024</v>
      </c>
      <c r="T3149" s="12" t="s">
        <v>3854</v>
      </c>
      <c r="U3149">
        <v>377</v>
      </c>
      <c r="V3149">
        <v>31.617699999999999</v>
      </c>
      <c r="W3149">
        <v>217.86</v>
      </c>
      <c r="X3149">
        <v>0</v>
      </c>
      <c r="Y3149">
        <v>0</v>
      </c>
      <c r="Z3149">
        <v>11919.87</v>
      </c>
      <c r="AA3149">
        <v>12137.73</v>
      </c>
      <c r="AB3149" s="12" t="s">
        <v>3368</v>
      </c>
      <c r="AC3149">
        <v>33.6252</v>
      </c>
      <c r="AD3149">
        <v>1</v>
      </c>
      <c r="AE3149">
        <v>1</v>
      </c>
      <c r="AF3149">
        <v>-756.83</v>
      </c>
      <c r="AG3149">
        <v>12676.7</v>
      </c>
      <c r="AH3149">
        <v>377</v>
      </c>
      <c r="AI3149">
        <v>374</v>
      </c>
      <c r="AJ3149">
        <v>3</v>
      </c>
      <c r="AK3149">
        <v>1</v>
      </c>
      <c r="AL3149">
        <v>1</v>
      </c>
      <c r="AM3149">
        <v>99.2</v>
      </c>
      <c r="AN3149">
        <v>32.453800000000001</v>
      </c>
      <c r="AO3149">
        <v>94.85</v>
      </c>
      <c r="AP3149" s="13">
        <v>45534</v>
      </c>
      <c r="AQ3149">
        <v>-1</v>
      </c>
      <c r="AR3149">
        <v>1</v>
      </c>
    </row>
    <row r="3150" spans="1:44" x14ac:dyDescent="0.35">
      <c r="A3150" s="12" t="s">
        <v>4047</v>
      </c>
      <c r="B3150" s="12" t="s">
        <v>823</v>
      </c>
      <c r="C3150" s="12" t="s">
        <v>824</v>
      </c>
      <c r="D3150" s="12" t="s">
        <v>114</v>
      </c>
      <c r="E3150" s="12" t="s">
        <v>142</v>
      </c>
      <c r="F3150">
        <v>1</v>
      </c>
      <c r="G3150">
        <v>8</v>
      </c>
      <c r="H3150">
        <v>1</v>
      </c>
      <c r="I3150" s="12" t="s">
        <v>515</v>
      </c>
      <c r="J3150" s="12" t="s">
        <v>516</v>
      </c>
      <c r="K3150" s="12" t="s">
        <v>68</v>
      </c>
      <c r="L3150" s="12" t="s">
        <v>134</v>
      </c>
      <c r="M3150">
        <v>3.69</v>
      </c>
      <c r="N3150" s="12" t="s">
        <v>70</v>
      </c>
      <c r="O3150" s="12" t="s">
        <v>71</v>
      </c>
      <c r="P3150" s="12" t="s">
        <v>72</v>
      </c>
      <c r="Q3150" s="13">
        <v>45499</v>
      </c>
      <c r="R3150" s="13">
        <v>45544</v>
      </c>
      <c r="S3150">
        <v>2024</v>
      </c>
      <c r="T3150" s="12" t="s">
        <v>3854</v>
      </c>
      <c r="U3150">
        <v>90</v>
      </c>
      <c r="V3150">
        <v>361.71230000000003</v>
      </c>
      <c r="W3150">
        <v>452.92</v>
      </c>
      <c r="X3150">
        <v>0</v>
      </c>
      <c r="Y3150">
        <v>0</v>
      </c>
      <c r="Z3150">
        <v>32554.11</v>
      </c>
      <c r="AA3150">
        <v>33007.03</v>
      </c>
      <c r="AB3150" s="12" t="s">
        <v>3483</v>
      </c>
      <c r="AC3150">
        <v>361.71230000000003</v>
      </c>
      <c r="AD3150">
        <v>1</v>
      </c>
      <c r="AE3150">
        <v>1</v>
      </c>
      <c r="AF3150">
        <v>0</v>
      </c>
      <c r="AG3150">
        <v>32554.11</v>
      </c>
      <c r="AH3150">
        <v>90</v>
      </c>
      <c r="AI3150">
        <v>88</v>
      </c>
      <c r="AJ3150">
        <v>2</v>
      </c>
      <c r="AK3150">
        <v>1</v>
      </c>
      <c r="AL3150">
        <v>1</v>
      </c>
      <c r="AM3150">
        <v>97.78</v>
      </c>
      <c r="AN3150">
        <v>375.07990000000001</v>
      </c>
      <c r="AO3150">
        <v>723.42</v>
      </c>
      <c r="AP3150" s="13">
        <v>45543</v>
      </c>
      <c r="AQ3150">
        <v>-1</v>
      </c>
      <c r="AR3150">
        <v>1</v>
      </c>
    </row>
    <row r="3151" spans="1:44" x14ac:dyDescent="0.35">
      <c r="A3151" s="12" t="s">
        <v>4048</v>
      </c>
      <c r="B3151" s="12" t="s">
        <v>736</v>
      </c>
      <c r="C3151" s="12" t="s">
        <v>737</v>
      </c>
      <c r="D3151" s="12" t="s">
        <v>64</v>
      </c>
      <c r="E3151" s="12" t="s">
        <v>104</v>
      </c>
      <c r="F3151">
        <v>3</v>
      </c>
      <c r="G3151">
        <v>1</v>
      </c>
      <c r="H3151">
        <v>0</v>
      </c>
      <c r="I3151" s="12" t="s">
        <v>115</v>
      </c>
      <c r="J3151" s="12" t="s">
        <v>116</v>
      </c>
      <c r="K3151" s="12" t="s">
        <v>117</v>
      </c>
      <c r="L3151" s="12" t="s">
        <v>82</v>
      </c>
      <c r="M3151">
        <v>17.170000000000002</v>
      </c>
      <c r="N3151" s="12" t="s">
        <v>97</v>
      </c>
      <c r="O3151" s="12" t="s">
        <v>98</v>
      </c>
      <c r="P3151" s="12" t="s">
        <v>72</v>
      </c>
      <c r="Q3151" s="13">
        <v>45499</v>
      </c>
      <c r="R3151" s="13">
        <v>45528</v>
      </c>
      <c r="S3151">
        <v>2024</v>
      </c>
      <c r="T3151" s="12" t="s">
        <v>3854</v>
      </c>
      <c r="U3151">
        <v>993</v>
      </c>
      <c r="V3151">
        <v>22.931699999999999</v>
      </c>
      <c r="W3151">
        <v>355.44</v>
      </c>
      <c r="X3151">
        <v>0</v>
      </c>
      <c r="Y3151">
        <v>0</v>
      </c>
      <c r="Z3151">
        <v>22771.18</v>
      </c>
      <c r="AA3151">
        <v>23126.62</v>
      </c>
      <c r="AB3151" s="12" t="s">
        <v>3876</v>
      </c>
      <c r="AC3151">
        <v>22.931699999999999</v>
      </c>
      <c r="AD3151">
        <v>1</v>
      </c>
      <c r="AE3151">
        <v>1</v>
      </c>
      <c r="AF3151">
        <v>0</v>
      </c>
      <c r="AG3151">
        <v>22771.18</v>
      </c>
      <c r="AH3151">
        <v>993</v>
      </c>
      <c r="AI3151">
        <v>981</v>
      </c>
      <c r="AJ3151">
        <v>12</v>
      </c>
      <c r="AK3151">
        <v>1</v>
      </c>
      <c r="AL3151">
        <v>1</v>
      </c>
      <c r="AM3151">
        <v>98.79</v>
      </c>
      <c r="AN3151">
        <v>23.5745</v>
      </c>
      <c r="AO3151">
        <v>275.18</v>
      </c>
      <c r="AP3151" s="13">
        <v>45527</v>
      </c>
      <c r="AQ3151">
        <v>-1</v>
      </c>
      <c r="AR3151">
        <v>1</v>
      </c>
    </row>
    <row r="3152" spans="1:44" x14ac:dyDescent="0.35">
      <c r="A3152" s="12" t="s">
        <v>4049</v>
      </c>
      <c r="B3152" s="12" t="s">
        <v>891</v>
      </c>
      <c r="C3152" s="12" t="s">
        <v>892</v>
      </c>
      <c r="D3152" s="12" t="s">
        <v>122</v>
      </c>
      <c r="E3152" s="12" t="s">
        <v>65</v>
      </c>
      <c r="F3152">
        <v>3</v>
      </c>
      <c r="G3152">
        <v>5</v>
      </c>
      <c r="H3152">
        <v>0</v>
      </c>
      <c r="I3152" s="12" t="s">
        <v>195</v>
      </c>
      <c r="J3152" s="12" t="s">
        <v>196</v>
      </c>
      <c r="K3152" s="12" t="s">
        <v>117</v>
      </c>
      <c r="L3152" s="12" t="s">
        <v>134</v>
      </c>
      <c r="M3152">
        <v>4.7699999999999996</v>
      </c>
      <c r="N3152" s="12" t="s">
        <v>70</v>
      </c>
      <c r="O3152" s="12" t="s">
        <v>71</v>
      </c>
      <c r="P3152" s="12" t="s">
        <v>72</v>
      </c>
      <c r="Q3152" s="13">
        <v>45502</v>
      </c>
      <c r="R3152" s="13">
        <v>45535</v>
      </c>
      <c r="S3152">
        <v>2024</v>
      </c>
      <c r="T3152" s="12" t="s">
        <v>3854</v>
      </c>
      <c r="U3152">
        <v>1417</v>
      </c>
      <c r="V3152">
        <v>37.859200000000001</v>
      </c>
      <c r="W3152">
        <v>1360.18</v>
      </c>
      <c r="X3152">
        <v>0</v>
      </c>
      <c r="Y3152">
        <v>0</v>
      </c>
      <c r="Z3152">
        <v>53646.49</v>
      </c>
      <c r="AA3152">
        <v>55006.67</v>
      </c>
      <c r="AB3152" s="12" t="s">
        <v>3629</v>
      </c>
      <c r="AC3152">
        <v>37.859200000000001</v>
      </c>
      <c r="AD3152">
        <v>1</v>
      </c>
      <c r="AE3152">
        <v>1</v>
      </c>
      <c r="AF3152">
        <v>0</v>
      </c>
      <c r="AG3152">
        <v>53646.49</v>
      </c>
      <c r="AH3152">
        <v>1417</v>
      </c>
      <c r="AI3152">
        <v>1413</v>
      </c>
      <c r="AJ3152">
        <v>4</v>
      </c>
      <c r="AK3152">
        <v>1</v>
      </c>
      <c r="AL3152">
        <v>1</v>
      </c>
      <c r="AM3152">
        <v>99.72</v>
      </c>
      <c r="AN3152">
        <v>38.929000000000002</v>
      </c>
      <c r="AO3152">
        <v>151.44</v>
      </c>
      <c r="AP3152" s="13">
        <v>45535</v>
      </c>
      <c r="AQ3152">
        <v>0</v>
      </c>
      <c r="AR3152">
        <v>1</v>
      </c>
    </row>
    <row r="3153" spans="1:44" x14ac:dyDescent="0.35">
      <c r="A3153" s="12" t="s">
        <v>4050</v>
      </c>
      <c r="B3153" s="12" t="s">
        <v>62</v>
      </c>
      <c r="C3153" s="12" t="s">
        <v>63</v>
      </c>
      <c r="D3153" s="12" t="s">
        <v>64</v>
      </c>
      <c r="E3153" s="12" t="s">
        <v>65</v>
      </c>
      <c r="F3153">
        <v>1</v>
      </c>
      <c r="G3153">
        <v>2</v>
      </c>
      <c r="H3153">
        <v>1</v>
      </c>
      <c r="I3153" s="12" t="s">
        <v>66</v>
      </c>
      <c r="J3153" s="12" t="s">
        <v>67</v>
      </c>
      <c r="K3153" s="12" t="s">
        <v>68</v>
      </c>
      <c r="L3153" s="12" t="s">
        <v>69</v>
      </c>
      <c r="M3153">
        <v>17.66</v>
      </c>
      <c r="N3153" s="12" t="s">
        <v>70</v>
      </c>
      <c r="O3153" s="12" t="s">
        <v>71</v>
      </c>
      <c r="P3153" s="12" t="s">
        <v>72</v>
      </c>
      <c r="Q3153" s="13">
        <v>45502</v>
      </c>
      <c r="R3153" s="13">
        <v>45536</v>
      </c>
      <c r="S3153">
        <v>2024</v>
      </c>
      <c r="T3153" s="12" t="s">
        <v>3854</v>
      </c>
      <c r="U3153">
        <v>765</v>
      </c>
      <c r="V3153">
        <v>27.084800000000001</v>
      </c>
      <c r="W3153">
        <v>382.31</v>
      </c>
      <c r="X3153">
        <v>0</v>
      </c>
      <c r="Y3153">
        <v>0</v>
      </c>
      <c r="Z3153">
        <v>20719.87</v>
      </c>
      <c r="AA3153">
        <v>21102.18</v>
      </c>
      <c r="AB3153" s="12" t="s">
        <v>201</v>
      </c>
      <c r="AD3153">
        <v>0</v>
      </c>
      <c r="AE3153">
        <v>0</v>
      </c>
      <c r="AH3153">
        <v>765</v>
      </c>
      <c r="AI3153">
        <v>760</v>
      </c>
      <c r="AJ3153">
        <v>5</v>
      </c>
      <c r="AK3153">
        <v>1</v>
      </c>
      <c r="AL3153">
        <v>1</v>
      </c>
      <c r="AM3153">
        <v>99.35</v>
      </c>
      <c r="AN3153">
        <v>27.765999999999998</v>
      </c>
      <c r="AO3153">
        <v>135.41999999999999</v>
      </c>
      <c r="AP3153" s="13">
        <v>45535</v>
      </c>
      <c r="AQ3153">
        <v>-1</v>
      </c>
      <c r="AR3153">
        <v>1</v>
      </c>
    </row>
    <row r="3154" spans="1:44" x14ac:dyDescent="0.35">
      <c r="A3154" s="12" t="s">
        <v>4051</v>
      </c>
      <c r="B3154" s="12" t="s">
        <v>451</v>
      </c>
      <c r="C3154" s="12" t="s">
        <v>452</v>
      </c>
      <c r="D3154" s="12" t="s">
        <v>175</v>
      </c>
      <c r="E3154" s="12" t="s">
        <v>104</v>
      </c>
      <c r="F3154">
        <v>3</v>
      </c>
      <c r="G3154">
        <v>1</v>
      </c>
      <c r="H3154">
        <v>0</v>
      </c>
      <c r="I3154" s="12" t="s">
        <v>176</v>
      </c>
      <c r="J3154" s="12" t="s">
        <v>177</v>
      </c>
      <c r="K3154" s="12" t="s">
        <v>125</v>
      </c>
      <c r="L3154" s="12" t="s">
        <v>134</v>
      </c>
      <c r="M3154">
        <v>1.75</v>
      </c>
      <c r="N3154" s="12" t="s">
        <v>145</v>
      </c>
      <c r="O3154" s="12" t="s">
        <v>146</v>
      </c>
      <c r="P3154" s="12" t="s">
        <v>109</v>
      </c>
      <c r="Q3154" s="13">
        <v>45502</v>
      </c>
      <c r="R3154" s="13">
        <v>45525</v>
      </c>
      <c r="S3154">
        <v>2024</v>
      </c>
      <c r="T3154" s="12" t="s">
        <v>3854</v>
      </c>
      <c r="U3154">
        <v>96</v>
      </c>
      <c r="V3154">
        <v>254.14510000000001</v>
      </c>
      <c r="W3154">
        <v>447.15</v>
      </c>
      <c r="X3154">
        <v>0</v>
      </c>
      <c r="Y3154">
        <v>0</v>
      </c>
      <c r="Z3154">
        <v>24397.93</v>
      </c>
      <c r="AA3154">
        <v>24845.08</v>
      </c>
      <c r="AB3154" s="12" t="s">
        <v>2749</v>
      </c>
      <c r="AC3154">
        <v>254.14510000000001</v>
      </c>
      <c r="AD3154">
        <v>1</v>
      </c>
      <c r="AE3154">
        <v>1</v>
      </c>
      <c r="AF3154">
        <v>0</v>
      </c>
      <c r="AG3154">
        <v>24397.93</v>
      </c>
      <c r="AH3154">
        <v>96</v>
      </c>
      <c r="AI3154">
        <v>95</v>
      </c>
      <c r="AJ3154">
        <v>1</v>
      </c>
      <c r="AK3154">
        <v>1</v>
      </c>
      <c r="AL3154">
        <v>1</v>
      </c>
      <c r="AM3154">
        <v>98.96</v>
      </c>
      <c r="AN3154">
        <v>261.52719999999999</v>
      </c>
      <c r="AO3154">
        <v>254.15</v>
      </c>
      <c r="AP3154" s="13">
        <v>45525</v>
      </c>
      <c r="AQ3154">
        <v>0</v>
      </c>
      <c r="AR3154">
        <v>1</v>
      </c>
    </row>
    <row r="3155" spans="1:44" x14ac:dyDescent="0.35">
      <c r="A3155" s="12" t="s">
        <v>4052</v>
      </c>
      <c r="B3155" s="12" t="s">
        <v>876</v>
      </c>
      <c r="C3155" s="12" t="s">
        <v>877</v>
      </c>
      <c r="D3155" s="12" t="s">
        <v>269</v>
      </c>
      <c r="E3155" s="12" t="s">
        <v>142</v>
      </c>
      <c r="F3155">
        <v>3</v>
      </c>
      <c r="G3155">
        <v>11</v>
      </c>
      <c r="H3155">
        <v>0</v>
      </c>
      <c r="I3155" s="12" t="s">
        <v>515</v>
      </c>
      <c r="J3155" s="12" t="s">
        <v>516</v>
      </c>
      <c r="K3155" s="12" t="s">
        <v>68</v>
      </c>
      <c r="L3155" s="12" t="s">
        <v>134</v>
      </c>
      <c r="M3155">
        <v>3.69</v>
      </c>
      <c r="N3155" s="12" t="s">
        <v>159</v>
      </c>
      <c r="O3155" s="12" t="s">
        <v>160</v>
      </c>
      <c r="P3155" s="12" t="s">
        <v>137</v>
      </c>
      <c r="Q3155" s="13">
        <v>45502</v>
      </c>
      <c r="R3155" s="13">
        <v>45542</v>
      </c>
      <c r="S3155">
        <v>2024</v>
      </c>
      <c r="T3155" s="12" t="s">
        <v>3854</v>
      </c>
      <c r="U3155">
        <v>54</v>
      </c>
      <c r="V3155">
        <v>191.71029999999999</v>
      </c>
      <c r="W3155">
        <v>227.15</v>
      </c>
      <c r="X3155">
        <v>0</v>
      </c>
      <c r="Y3155">
        <v>0</v>
      </c>
      <c r="Z3155">
        <v>10352.36</v>
      </c>
      <c r="AA3155">
        <v>10579.51</v>
      </c>
      <c r="AB3155" s="12" t="s">
        <v>3591</v>
      </c>
      <c r="AC3155">
        <v>191.71029999999999</v>
      </c>
      <c r="AD3155">
        <v>1</v>
      </c>
      <c r="AE3155">
        <v>1</v>
      </c>
      <c r="AF3155">
        <v>0</v>
      </c>
      <c r="AG3155">
        <v>10352.36</v>
      </c>
      <c r="AH3155">
        <v>54</v>
      </c>
      <c r="AI3155">
        <v>54</v>
      </c>
      <c r="AJ3155">
        <v>0</v>
      </c>
      <c r="AK3155">
        <v>1</v>
      </c>
      <c r="AL3155">
        <v>1</v>
      </c>
      <c r="AM3155">
        <v>100</v>
      </c>
      <c r="AN3155">
        <v>195.91679999999999</v>
      </c>
      <c r="AO3155">
        <v>0</v>
      </c>
      <c r="AP3155" s="13">
        <v>45541</v>
      </c>
      <c r="AQ3155">
        <v>-1</v>
      </c>
      <c r="AR3155">
        <v>1</v>
      </c>
    </row>
    <row r="3156" spans="1:44" x14ac:dyDescent="0.35">
      <c r="A3156" s="12" t="s">
        <v>4053</v>
      </c>
      <c r="B3156" s="12" t="s">
        <v>357</v>
      </c>
      <c r="C3156" s="12" t="s">
        <v>358</v>
      </c>
      <c r="D3156" s="12" t="s">
        <v>103</v>
      </c>
      <c r="E3156" s="12" t="s">
        <v>104</v>
      </c>
      <c r="F3156">
        <v>3</v>
      </c>
      <c r="G3156">
        <v>1</v>
      </c>
      <c r="H3156">
        <v>0</v>
      </c>
      <c r="I3156" s="12" t="s">
        <v>105</v>
      </c>
      <c r="J3156" s="12" t="s">
        <v>106</v>
      </c>
      <c r="K3156" s="12" t="s">
        <v>81</v>
      </c>
      <c r="L3156" s="12" t="s">
        <v>96</v>
      </c>
      <c r="M3156">
        <v>5.01</v>
      </c>
      <c r="N3156" s="12" t="s">
        <v>107</v>
      </c>
      <c r="O3156" s="12" t="s">
        <v>108</v>
      </c>
      <c r="P3156" s="12" t="s">
        <v>109</v>
      </c>
      <c r="Q3156" s="13">
        <v>45502</v>
      </c>
      <c r="R3156" s="13">
        <v>45521</v>
      </c>
      <c r="S3156">
        <v>2024</v>
      </c>
      <c r="T3156" s="12" t="s">
        <v>3854</v>
      </c>
      <c r="U3156">
        <v>68</v>
      </c>
      <c r="V3156">
        <v>106.6647</v>
      </c>
      <c r="W3156">
        <v>48.44</v>
      </c>
      <c r="X3156">
        <v>0</v>
      </c>
      <c r="Y3156">
        <v>0</v>
      </c>
      <c r="Z3156">
        <v>7253.2</v>
      </c>
      <c r="AA3156">
        <v>7301.64</v>
      </c>
      <c r="AB3156" s="12" t="s">
        <v>2591</v>
      </c>
      <c r="AC3156">
        <v>106.6647</v>
      </c>
      <c r="AD3156">
        <v>1</v>
      </c>
      <c r="AE3156">
        <v>1</v>
      </c>
      <c r="AF3156">
        <v>0</v>
      </c>
      <c r="AG3156">
        <v>7253.2</v>
      </c>
      <c r="AH3156">
        <v>68</v>
      </c>
      <c r="AI3156">
        <v>67</v>
      </c>
      <c r="AJ3156">
        <v>1</v>
      </c>
      <c r="AK3156">
        <v>1</v>
      </c>
      <c r="AL3156">
        <v>1</v>
      </c>
      <c r="AM3156">
        <v>98.53</v>
      </c>
      <c r="AN3156">
        <v>108.97969999999999</v>
      </c>
      <c r="AO3156">
        <v>106.66</v>
      </c>
      <c r="AP3156" s="13">
        <v>45518</v>
      </c>
      <c r="AQ3156">
        <v>-3</v>
      </c>
      <c r="AR3156">
        <v>1</v>
      </c>
    </row>
    <row r="3157" spans="1:44" x14ac:dyDescent="0.35">
      <c r="A3157" s="12" t="s">
        <v>4054</v>
      </c>
      <c r="B3157" s="12" t="s">
        <v>289</v>
      </c>
      <c r="C3157" s="12" t="s">
        <v>290</v>
      </c>
      <c r="D3157" s="12" t="s">
        <v>175</v>
      </c>
      <c r="E3157" s="12" t="s">
        <v>104</v>
      </c>
      <c r="F3157">
        <v>3</v>
      </c>
      <c r="G3157">
        <v>1</v>
      </c>
      <c r="H3157">
        <v>0</v>
      </c>
      <c r="I3157" s="12" t="s">
        <v>157</v>
      </c>
      <c r="J3157" s="12" t="s">
        <v>158</v>
      </c>
      <c r="K3157" s="12" t="s">
        <v>117</v>
      </c>
      <c r="L3157" s="12" t="s">
        <v>96</v>
      </c>
      <c r="M3157">
        <v>4.72</v>
      </c>
      <c r="N3157" s="12" t="s">
        <v>107</v>
      </c>
      <c r="O3157" s="12" t="s">
        <v>108</v>
      </c>
      <c r="P3157" s="12" t="s">
        <v>109</v>
      </c>
      <c r="Q3157" s="13">
        <v>45502</v>
      </c>
      <c r="R3157" s="13">
        <v>45527</v>
      </c>
      <c r="S3157">
        <v>2024</v>
      </c>
      <c r="T3157" s="12" t="s">
        <v>3854</v>
      </c>
      <c r="U3157">
        <v>117</v>
      </c>
      <c r="V3157">
        <v>184.24529999999999</v>
      </c>
      <c r="W3157">
        <v>263.49</v>
      </c>
      <c r="X3157">
        <v>0</v>
      </c>
      <c r="Y3157">
        <v>0</v>
      </c>
      <c r="Z3157">
        <v>21556.7</v>
      </c>
      <c r="AA3157">
        <v>21820.19</v>
      </c>
      <c r="AB3157" s="12" t="s">
        <v>2676</v>
      </c>
      <c r="AC3157">
        <v>184.24529999999999</v>
      </c>
      <c r="AD3157">
        <v>1</v>
      </c>
      <c r="AE3157">
        <v>1</v>
      </c>
      <c r="AF3157">
        <v>0</v>
      </c>
      <c r="AG3157">
        <v>21556.7</v>
      </c>
      <c r="AH3157">
        <v>117</v>
      </c>
      <c r="AI3157">
        <v>115</v>
      </c>
      <c r="AJ3157">
        <v>2</v>
      </c>
      <c r="AK3157">
        <v>1</v>
      </c>
      <c r="AL3157">
        <v>1</v>
      </c>
      <c r="AM3157">
        <v>98.29</v>
      </c>
      <c r="AN3157">
        <v>189.74080000000001</v>
      </c>
      <c r="AO3157">
        <v>368.49</v>
      </c>
      <c r="AP3157" s="13">
        <v>45537</v>
      </c>
      <c r="AQ3157">
        <v>10</v>
      </c>
      <c r="AR3157">
        <v>0</v>
      </c>
    </row>
    <row r="3158" spans="1:44" x14ac:dyDescent="0.35">
      <c r="A3158" s="12" t="s">
        <v>4055</v>
      </c>
      <c r="B3158" s="12" t="s">
        <v>1013</v>
      </c>
      <c r="C3158" s="12" t="s">
        <v>1014</v>
      </c>
      <c r="D3158" s="12" t="s">
        <v>78</v>
      </c>
      <c r="E3158" s="12" t="s">
        <v>65</v>
      </c>
      <c r="F3158">
        <v>2</v>
      </c>
      <c r="G3158">
        <v>3</v>
      </c>
      <c r="H3158">
        <v>0</v>
      </c>
      <c r="I3158" s="12" t="s">
        <v>123</v>
      </c>
      <c r="J3158" s="12" t="s">
        <v>124</v>
      </c>
      <c r="K3158" s="12" t="s">
        <v>125</v>
      </c>
      <c r="L3158" s="12" t="s">
        <v>82</v>
      </c>
      <c r="M3158">
        <v>6.75</v>
      </c>
      <c r="N3158" s="12" t="s">
        <v>70</v>
      </c>
      <c r="O3158" s="12" t="s">
        <v>71</v>
      </c>
      <c r="P3158" s="12" t="s">
        <v>72</v>
      </c>
      <c r="Q3158" s="13">
        <v>45502</v>
      </c>
      <c r="R3158" s="13">
        <v>45531</v>
      </c>
      <c r="S3158">
        <v>2024</v>
      </c>
      <c r="T3158" s="12" t="s">
        <v>3854</v>
      </c>
      <c r="U3158">
        <v>164</v>
      </c>
      <c r="V3158">
        <v>130.15950000000001</v>
      </c>
      <c r="W3158">
        <v>148.97999999999999</v>
      </c>
      <c r="X3158">
        <v>0</v>
      </c>
      <c r="Y3158">
        <v>0</v>
      </c>
      <c r="Z3158">
        <v>21346.16</v>
      </c>
      <c r="AA3158">
        <v>21495.14</v>
      </c>
      <c r="AB3158" s="12" t="s">
        <v>3398</v>
      </c>
      <c r="AC3158">
        <v>125.10590000000001</v>
      </c>
      <c r="AD3158">
        <v>1</v>
      </c>
      <c r="AE3158">
        <v>1</v>
      </c>
      <c r="AF3158">
        <v>828.79</v>
      </c>
      <c r="AG3158">
        <v>20517.37</v>
      </c>
      <c r="AH3158">
        <v>164</v>
      </c>
      <c r="AI3158">
        <v>160</v>
      </c>
      <c r="AJ3158">
        <v>4</v>
      </c>
      <c r="AK3158">
        <v>1</v>
      </c>
      <c r="AL3158">
        <v>1</v>
      </c>
      <c r="AM3158">
        <v>97.56</v>
      </c>
      <c r="AN3158">
        <v>134.34460000000001</v>
      </c>
      <c r="AO3158">
        <v>520.64</v>
      </c>
      <c r="AP3158" s="13">
        <v>45531</v>
      </c>
      <c r="AQ3158">
        <v>0</v>
      </c>
      <c r="AR3158">
        <v>1</v>
      </c>
    </row>
    <row r="3159" spans="1:44" x14ac:dyDescent="0.35">
      <c r="A3159" s="12" t="s">
        <v>4056</v>
      </c>
      <c r="B3159" s="12" t="s">
        <v>494</v>
      </c>
      <c r="C3159" s="12" t="s">
        <v>495</v>
      </c>
      <c r="D3159" s="12" t="s">
        <v>175</v>
      </c>
      <c r="E3159" s="12" t="s">
        <v>65</v>
      </c>
      <c r="F3159">
        <v>2</v>
      </c>
      <c r="G3159">
        <v>3</v>
      </c>
      <c r="H3159">
        <v>0</v>
      </c>
      <c r="I3159" s="12" t="s">
        <v>275</v>
      </c>
      <c r="J3159" s="12" t="s">
        <v>276</v>
      </c>
      <c r="K3159" s="12" t="s">
        <v>89</v>
      </c>
      <c r="L3159" s="12" t="s">
        <v>82</v>
      </c>
      <c r="M3159">
        <v>14.26</v>
      </c>
      <c r="N3159" s="12" t="s">
        <v>145</v>
      </c>
      <c r="O3159" s="12" t="s">
        <v>146</v>
      </c>
      <c r="P3159" s="12" t="s">
        <v>109</v>
      </c>
      <c r="Q3159" s="13">
        <v>45502</v>
      </c>
      <c r="R3159" s="13">
        <v>45528</v>
      </c>
      <c r="S3159">
        <v>2024</v>
      </c>
      <c r="T3159" s="12" t="s">
        <v>3854</v>
      </c>
      <c r="U3159">
        <v>49</v>
      </c>
      <c r="V3159">
        <v>179.57050000000001</v>
      </c>
      <c r="W3159">
        <v>78.72</v>
      </c>
      <c r="X3159">
        <v>0</v>
      </c>
      <c r="Y3159">
        <v>0</v>
      </c>
      <c r="Z3159">
        <v>8798.9500000000007</v>
      </c>
      <c r="AA3159">
        <v>8877.67</v>
      </c>
      <c r="AB3159" s="12" t="s">
        <v>201</v>
      </c>
      <c r="AD3159">
        <v>0</v>
      </c>
      <c r="AE3159">
        <v>0</v>
      </c>
      <c r="AH3159">
        <v>49</v>
      </c>
      <c r="AI3159">
        <v>48</v>
      </c>
      <c r="AJ3159">
        <v>1</v>
      </c>
      <c r="AK3159">
        <v>1</v>
      </c>
      <c r="AL3159">
        <v>1</v>
      </c>
      <c r="AM3159">
        <v>97.96</v>
      </c>
      <c r="AN3159">
        <v>184.95160000000001</v>
      </c>
      <c r="AO3159">
        <v>179.57</v>
      </c>
      <c r="AP3159" s="13">
        <v>45527</v>
      </c>
      <c r="AQ3159">
        <v>-1</v>
      </c>
      <c r="AR3159">
        <v>1</v>
      </c>
    </row>
    <row r="3160" spans="1:44" x14ac:dyDescent="0.35">
      <c r="A3160" s="12" t="s">
        <v>4057</v>
      </c>
      <c r="B3160" s="12" t="s">
        <v>587</v>
      </c>
      <c r="C3160" s="12" t="s">
        <v>588</v>
      </c>
      <c r="D3160" s="12" t="s">
        <v>122</v>
      </c>
      <c r="E3160" s="12" t="s">
        <v>104</v>
      </c>
      <c r="F3160">
        <v>2</v>
      </c>
      <c r="G3160">
        <v>0</v>
      </c>
      <c r="H3160">
        <v>0</v>
      </c>
      <c r="I3160" s="12" t="s">
        <v>486</v>
      </c>
      <c r="J3160" s="12" t="s">
        <v>487</v>
      </c>
      <c r="K3160" s="12" t="s">
        <v>125</v>
      </c>
      <c r="L3160" s="12" t="s">
        <v>69</v>
      </c>
      <c r="M3160">
        <v>36.86</v>
      </c>
      <c r="N3160" s="12" t="s">
        <v>70</v>
      </c>
      <c r="O3160" s="12" t="s">
        <v>71</v>
      </c>
      <c r="P3160" s="12" t="s">
        <v>72</v>
      </c>
      <c r="Q3160" s="13">
        <v>45502</v>
      </c>
      <c r="R3160" s="13">
        <v>45525</v>
      </c>
      <c r="S3160">
        <v>2024</v>
      </c>
      <c r="T3160" s="12" t="s">
        <v>3854</v>
      </c>
      <c r="U3160">
        <v>1385</v>
      </c>
      <c r="V3160">
        <v>11.9803</v>
      </c>
      <c r="W3160">
        <v>403.39</v>
      </c>
      <c r="X3160">
        <v>0</v>
      </c>
      <c r="Y3160">
        <v>0</v>
      </c>
      <c r="Z3160">
        <v>16592.72</v>
      </c>
      <c r="AA3160">
        <v>16996.11</v>
      </c>
      <c r="AB3160" s="12" t="s">
        <v>3188</v>
      </c>
      <c r="AC3160">
        <v>11.9803</v>
      </c>
      <c r="AD3160">
        <v>1</v>
      </c>
      <c r="AE3160">
        <v>1</v>
      </c>
      <c r="AF3160">
        <v>0</v>
      </c>
      <c r="AG3160">
        <v>16592.72</v>
      </c>
      <c r="AH3160">
        <v>1385</v>
      </c>
      <c r="AI3160">
        <v>1381</v>
      </c>
      <c r="AJ3160">
        <v>4</v>
      </c>
      <c r="AK3160">
        <v>1</v>
      </c>
      <c r="AL3160">
        <v>1</v>
      </c>
      <c r="AM3160">
        <v>99.71</v>
      </c>
      <c r="AN3160">
        <v>12.3071</v>
      </c>
      <c r="AO3160">
        <v>47.92</v>
      </c>
      <c r="AP3160" s="13">
        <v>45523</v>
      </c>
      <c r="AQ3160">
        <v>-2</v>
      </c>
      <c r="AR3160">
        <v>1</v>
      </c>
    </row>
    <row r="3161" spans="1:44" x14ac:dyDescent="0.35">
      <c r="A3161" s="12" t="s">
        <v>4058</v>
      </c>
      <c r="B3161" s="12" t="s">
        <v>972</v>
      </c>
      <c r="C3161" s="12" t="s">
        <v>973</v>
      </c>
      <c r="D3161" s="12" t="s">
        <v>130</v>
      </c>
      <c r="E3161" s="12" t="s">
        <v>142</v>
      </c>
      <c r="F3161">
        <v>2</v>
      </c>
      <c r="G3161">
        <v>9</v>
      </c>
      <c r="H3161">
        <v>0</v>
      </c>
      <c r="I3161" s="12" t="s">
        <v>676</v>
      </c>
      <c r="J3161" s="12" t="s">
        <v>677</v>
      </c>
      <c r="K3161" s="12" t="s">
        <v>68</v>
      </c>
      <c r="L3161" s="12" t="s">
        <v>96</v>
      </c>
      <c r="M3161">
        <v>3.57</v>
      </c>
      <c r="N3161" s="12" t="s">
        <v>135</v>
      </c>
      <c r="O3161" s="12" t="s">
        <v>136</v>
      </c>
      <c r="P3161" s="12" t="s">
        <v>137</v>
      </c>
      <c r="Q3161" s="13">
        <v>45502</v>
      </c>
      <c r="R3161" s="13">
        <v>45554</v>
      </c>
      <c r="S3161">
        <v>2024</v>
      </c>
      <c r="T3161" s="12" t="s">
        <v>3854</v>
      </c>
      <c r="U3161">
        <v>145</v>
      </c>
      <c r="V3161">
        <v>841.25639999999999</v>
      </c>
      <c r="W3161">
        <v>2162.39</v>
      </c>
      <c r="X3161">
        <v>0</v>
      </c>
      <c r="Y3161">
        <v>0</v>
      </c>
      <c r="Z3161">
        <v>121982.18</v>
      </c>
      <c r="AA3161">
        <v>124144.57</v>
      </c>
      <c r="AB3161" s="12" t="s">
        <v>3546</v>
      </c>
      <c r="AC3161">
        <v>841.25639999999999</v>
      </c>
      <c r="AD3161">
        <v>1</v>
      </c>
      <c r="AE3161">
        <v>1</v>
      </c>
      <c r="AF3161">
        <v>0</v>
      </c>
      <c r="AG3161">
        <v>121982.18</v>
      </c>
      <c r="AH3161">
        <v>145</v>
      </c>
      <c r="AI3161">
        <v>143</v>
      </c>
      <c r="AJ3161">
        <v>2</v>
      </c>
      <c r="AK3161">
        <v>1</v>
      </c>
      <c r="AL3161">
        <v>1</v>
      </c>
      <c r="AM3161">
        <v>98.62</v>
      </c>
      <c r="AN3161">
        <v>868.14380000000006</v>
      </c>
      <c r="AO3161">
        <v>1682.51</v>
      </c>
      <c r="AP3161" s="13">
        <v>45554</v>
      </c>
      <c r="AQ3161">
        <v>0</v>
      </c>
      <c r="AR3161">
        <v>1</v>
      </c>
    </row>
    <row r="3162" spans="1:44" x14ac:dyDescent="0.35">
      <c r="A3162" s="12" t="s">
        <v>4059</v>
      </c>
      <c r="B3162" s="12" t="s">
        <v>323</v>
      </c>
      <c r="C3162" s="12" t="s">
        <v>324</v>
      </c>
      <c r="D3162" s="12" t="s">
        <v>64</v>
      </c>
      <c r="E3162" s="12" t="s">
        <v>142</v>
      </c>
      <c r="F3162">
        <v>1</v>
      </c>
      <c r="G3162">
        <v>7</v>
      </c>
      <c r="H3162">
        <v>1</v>
      </c>
      <c r="I3162" s="12" t="s">
        <v>143</v>
      </c>
      <c r="J3162" s="12" t="s">
        <v>144</v>
      </c>
      <c r="K3162" s="12" t="s">
        <v>133</v>
      </c>
      <c r="L3162" s="12" t="s">
        <v>96</v>
      </c>
      <c r="M3162">
        <v>5.43</v>
      </c>
      <c r="N3162" s="12" t="s">
        <v>97</v>
      </c>
      <c r="O3162" s="12" t="s">
        <v>98</v>
      </c>
      <c r="P3162" s="12" t="s">
        <v>72</v>
      </c>
      <c r="Q3162" s="13">
        <v>45502</v>
      </c>
      <c r="R3162" s="13">
        <v>45544</v>
      </c>
      <c r="S3162">
        <v>2024</v>
      </c>
      <c r="T3162" s="12" t="s">
        <v>3854</v>
      </c>
      <c r="U3162">
        <v>499</v>
      </c>
      <c r="V3162">
        <v>39.364800000000002</v>
      </c>
      <c r="W3162">
        <v>303.24</v>
      </c>
      <c r="X3162">
        <v>0</v>
      </c>
      <c r="Y3162">
        <v>0</v>
      </c>
      <c r="Z3162">
        <v>19643.04</v>
      </c>
      <c r="AA3162">
        <v>19946.28</v>
      </c>
      <c r="AB3162" s="12" t="s">
        <v>2828</v>
      </c>
      <c r="AC3162">
        <v>39.364800000000002</v>
      </c>
      <c r="AD3162">
        <v>1</v>
      </c>
      <c r="AE3162">
        <v>1</v>
      </c>
      <c r="AF3162">
        <v>0</v>
      </c>
      <c r="AG3162">
        <v>19643.04</v>
      </c>
      <c r="AH3162">
        <v>499</v>
      </c>
      <c r="AI3162">
        <v>496</v>
      </c>
      <c r="AJ3162">
        <v>3</v>
      </c>
      <c r="AK3162">
        <v>1</v>
      </c>
      <c r="AL3162">
        <v>1</v>
      </c>
      <c r="AM3162">
        <v>99.4</v>
      </c>
      <c r="AN3162">
        <v>40.214300000000001</v>
      </c>
      <c r="AO3162">
        <v>118.09</v>
      </c>
      <c r="AP3162" s="13">
        <v>45544</v>
      </c>
      <c r="AQ3162">
        <v>0</v>
      </c>
      <c r="AR3162">
        <v>1</v>
      </c>
    </row>
    <row r="3163" spans="1:44" x14ac:dyDescent="0.35">
      <c r="A3163" s="12" t="s">
        <v>4060</v>
      </c>
      <c r="B3163" s="12" t="s">
        <v>1433</v>
      </c>
      <c r="C3163" s="12" t="s">
        <v>1434</v>
      </c>
      <c r="D3163" s="12" t="s">
        <v>269</v>
      </c>
      <c r="E3163" s="12" t="s">
        <v>65</v>
      </c>
      <c r="F3163">
        <v>3</v>
      </c>
      <c r="G3163">
        <v>5</v>
      </c>
      <c r="H3163">
        <v>0</v>
      </c>
      <c r="I3163" s="12" t="s">
        <v>115</v>
      </c>
      <c r="J3163" s="12" t="s">
        <v>116</v>
      </c>
      <c r="K3163" s="12" t="s">
        <v>117</v>
      </c>
      <c r="L3163" s="12" t="s">
        <v>82</v>
      </c>
      <c r="M3163">
        <v>17.170000000000002</v>
      </c>
      <c r="N3163" s="12" t="s">
        <v>159</v>
      </c>
      <c r="O3163" s="12" t="s">
        <v>160</v>
      </c>
      <c r="P3163" s="12" t="s">
        <v>137</v>
      </c>
      <c r="Q3163" s="13">
        <v>45502</v>
      </c>
      <c r="R3163" s="13">
        <v>45523</v>
      </c>
      <c r="S3163">
        <v>2024</v>
      </c>
      <c r="T3163" s="12" t="s">
        <v>3854</v>
      </c>
      <c r="U3163">
        <v>15</v>
      </c>
      <c r="V3163">
        <v>445.78800000000001</v>
      </c>
      <c r="W3163">
        <v>124.43</v>
      </c>
      <c r="X3163">
        <v>0</v>
      </c>
      <c r="Y3163">
        <v>0</v>
      </c>
      <c r="Z3163">
        <v>6686.82</v>
      </c>
      <c r="AA3163">
        <v>6811.25</v>
      </c>
      <c r="AB3163" s="12" t="s">
        <v>4061</v>
      </c>
      <c r="AC3163">
        <v>445.78800000000001</v>
      </c>
      <c r="AD3163">
        <v>1</v>
      </c>
      <c r="AE3163">
        <v>1</v>
      </c>
      <c r="AF3163">
        <v>0</v>
      </c>
      <c r="AG3163">
        <v>6686.82</v>
      </c>
      <c r="AH3163">
        <v>15</v>
      </c>
      <c r="AI3163">
        <v>15</v>
      </c>
      <c r="AJ3163">
        <v>0</v>
      </c>
      <c r="AK3163">
        <v>1</v>
      </c>
      <c r="AL3163">
        <v>1</v>
      </c>
      <c r="AM3163">
        <v>100</v>
      </c>
      <c r="AN3163">
        <v>454.08330000000001</v>
      </c>
      <c r="AO3163">
        <v>0</v>
      </c>
      <c r="AP3163" s="13">
        <v>45521</v>
      </c>
      <c r="AQ3163">
        <v>-2</v>
      </c>
      <c r="AR3163">
        <v>1</v>
      </c>
    </row>
    <row r="3164" spans="1:44" x14ac:dyDescent="0.35">
      <c r="A3164" s="12" t="s">
        <v>4062</v>
      </c>
      <c r="B3164" s="12" t="s">
        <v>76</v>
      </c>
      <c r="C3164" s="12" t="s">
        <v>77</v>
      </c>
      <c r="D3164" s="12" t="s">
        <v>78</v>
      </c>
      <c r="E3164" s="12" t="s">
        <v>65</v>
      </c>
      <c r="F3164">
        <v>2</v>
      </c>
      <c r="G3164">
        <v>4</v>
      </c>
      <c r="H3164">
        <v>0</v>
      </c>
      <c r="I3164" s="12" t="s">
        <v>79</v>
      </c>
      <c r="J3164" s="12" t="s">
        <v>80</v>
      </c>
      <c r="K3164" s="12" t="s">
        <v>81</v>
      </c>
      <c r="L3164" s="12" t="s">
        <v>82</v>
      </c>
      <c r="M3164">
        <v>12.07</v>
      </c>
      <c r="N3164" s="12" t="s">
        <v>70</v>
      </c>
      <c r="O3164" s="12" t="s">
        <v>71</v>
      </c>
      <c r="P3164" s="12" t="s">
        <v>72</v>
      </c>
      <c r="Q3164" s="13">
        <v>45503</v>
      </c>
      <c r="R3164" s="13">
        <v>45535</v>
      </c>
      <c r="S3164">
        <v>2024</v>
      </c>
      <c r="T3164" s="12" t="s">
        <v>3854</v>
      </c>
      <c r="U3164">
        <v>202</v>
      </c>
      <c r="V3164">
        <v>45.034100000000002</v>
      </c>
      <c r="W3164">
        <v>182.92</v>
      </c>
      <c r="X3164">
        <v>0</v>
      </c>
      <c r="Y3164">
        <v>0</v>
      </c>
      <c r="Z3164">
        <v>9096.89</v>
      </c>
      <c r="AA3164">
        <v>9279.81</v>
      </c>
      <c r="AB3164" s="12" t="s">
        <v>2672</v>
      </c>
      <c r="AC3164">
        <v>45.034100000000002</v>
      </c>
      <c r="AD3164">
        <v>1</v>
      </c>
      <c r="AE3164">
        <v>1</v>
      </c>
      <c r="AF3164">
        <v>0</v>
      </c>
      <c r="AG3164">
        <v>9096.89</v>
      </c>
      <c r="AH3164">
        <v>202</v>
      </c>
      <c r="AI3164">
        <v>197</v>
      </c>
      <c r="AJ3164">
        <v>5</v>
      </c>
      <c r="AK3164">
        <v>1</v>
      </c>
      <c r="AL3164">
        <v>1</v>
      </c>
      <c r="AM3164">
        <v>97.52</v>
      </c>
      <c r="AN3164">
        <v>47.105600000000003</v>
      </c>
      <c r="AO3164">
        <v>225.17</v>
      </c>
      <c r="AP3164" s="13">
        <v>45532</v>
      </c>
      <c r="AQ3164">
        <v>-3</v>
      </c>
      <c r="AR3164">
        <v>1</v>
      </c>
    </row>
    <row r="3165" spans="1:44" x14ac:dyDescent="0.35">
      <c r="A3165" s="12" t="s">
        <v>4063</v>
      </c>
      <c r="B3165" s="12" t="s">
        <v>173</v>
      </c>
      <c r="C3165" s="12" t="s">
        <v>174</v>
      </c>
      <c r="D3165" s="12" t="s">
        <v>175</v>
      </c>
      <c r="E3165" s="12" t="s">
        <v>104</v>
      </c>
      <c r="F3165">
        <v>3</v>
      </c>
      <c r="G3165">
        <v>1</v>
      </c>
      <c r="H3165">
        <v>0</v>
      </c>
      <c r="I3165" s="12" t="s">
        <v>176</v>
      </c>
      <c r="J3165" s="12" t="s">
        <v>177</v>
      </c>
      <c r="K3165" s="12" t="s">
        <v>125</v>
      </c>
      <c r="L3165" s="12" t="s">
        <v>134</v>
      </c>
      <c r="M3165">
        <v>1.75</v>
      </c>
      <c r="N3165" s="12" t="s">
        <v>145</v>
      </c>
      <c r="O3165" s="12" t="s">
        <v>146</v>
      </c>
      <c r="P3165" s="12" t="s">
        <v>109</v>
      </c>
      <c r="Q3165" s="13">
        <v>45503</v>
      </c>
      <c r="R3165" s="13">
        <v>45525</v>
      </c>
      <c r="S3165">
        <v>2024</v>
      </c>
      <c r="T3165" s="12" t="s">
        <v>3854</v>
      </c>
      <c r="U3165">
        <v>88</v>
      </c>
      <c r="V3165">
        <v>75.626000000000005</v>
      </c>
      <c r="W3165">
        <v>54.71</v>
      </c>
      <c r="X3165">
        <v>0</v>
      </c>
      <c r="Y3165">
        <v>0</v>
      </c>
      <c r="Z3165">
        <v>6655.09</v>
      </c>
      <c r="AA3165">
        <v>6709.8</v>
      </c>
      <c r="AB3165" s="12" t="s">
        <v>2717</v>
      </c>
      <c r="AC3165">
        <v>75.626000000000005</v>
      </c>
      <c r="AD3165">
        <v>1</v>
      </c>
      <c r="AE3165">
        <v>1</v>
      </c>
      <c r="AF3165">
        <v>0</v>
      </c>
      <c r="AG3165">
        <v>6655.09</v>
      </c>
      <c r="AH3165">
        <v>88</v>
      </c>
      <c r="AI3165">
        <v>87</v>
      </c>
      <c r="AJ3165">
        <v>1</v>
      </c>
      <c r="AK3165">
        <v>1</v>
      </c>
      <c r="AL3165">
        <v>1</v>
      </c>
      <c r="AM3165">
        <v>98.86</v>
      </c>
      <c r="AN3165">
        <v>77.124099999999999</v>
      </c>
      <c r="AO3165">
        <v>75.63</v>
      </c>
      <c r="AP3165" s="13">
        <v>45523</v>
      </c>
      <c r="AQ3165">
        <v>-2</v>
      </c>
      <c r="AR3165">
        <v>1</v>
      </c>
    </row>
    <row r="3166" spans="1:44" x14ac:dyDescent="0.35">
      <c r="A3166" s="12" t="s">
        <v>4064</v>
      </c>
      <c r="B3166" s="12" t="s">
        <v>155</v>
      </c>
      <c r="C3166" s="12" t="s">
        <v>156</v>
      </c>
      <c r="D3166" s="12" t="s">
        <v>130</v>
      </c>
      <c r="E3166" s="12" t="s">
        <v>104</v>
      </c>
      <c r="F3166">
        <v>3</v>
      </c>
      <c r="G3166">
        <v>1</v>
      </c>
      <c r="H3166">
        <v>0</v>
      </c>
      <c r="I3166" s="12" t="s">
        <v>157</v>
      </c>
      <c r="J3166" s="12" t="s">
        <v>158</v>
      </c>
      <c r="K3166" s="12" t="s">
        <v>117</v>
      </c>
      <c r="L3166" s="12" t="s">
        <v>96</v>
      </c>
      <c r="M3166">
        <v>4.72</v>
      </c>
      <c r="N3166" s="12" t="s">
        <v>135</v>
      </c>
      <c r="O3166" s="12" t="s">
        <v>136</v>
      </c>
      <c r="P3166" s="12" t="s">
        <v>137</v>
      </c>
      <c r="Q3166" s="13">
        <v>45503</v>
      </c>
      <c r="R3166" s="13">
        <v>45527</v>
      </c>
      <c r="S3166">
        <v>2024</v>
      </c>
      <c r="T3166" s="12" t="s">
        <v>3854</v>
      </c>
      <c r="U3166">
        <v>105</v>
      </c>
      <c r="V3166">
        <v>193.2595</v>
      </c>
      <c r="W3166">
        <v>438.91</v>
      </c>
      <c r="X3166">
        <v>0</v>
      </c>
      <c r="Y3166">
        <v>0</v>
      </c>
      <c r="Z3166">
        <v>20292.25</v>
      </c>
      <c r="AA3166">
        <v>20731.16</v>
      </c>
      <c r="AB3166" s="12" t="s">
        <v>201</v>
      </c>
      <c r="AD3166">
        <v>0</v>
      </c>
      <c r="AE3166">
        <v>0</v>
      </c>
      <c r="AH3166">
        <v>105</v>
      </c>
      <c r="AI3166">
        <v>104</v>
      </c>
      <c r="AJ3166">
        <v>1</v>
      </c>
      <c r="AK3166">
        <v>1</v>
      </c>
      <c r="AL3166">
        <v>1</v>
      </c>
      <c r="AM3166">
        <v>99.05</v>
      </c>
      <c r="AN3166">
        <v>199.3381</v>
      </c>
      <c r="AO3166">
        <v>193.26</v>
      </c>
      <c r="AP3166" s="13">
        <v>45527</v>
      </c>
      <c r="AQ3166">
        <v>0</v>
      </c>
      <c r="AR3166">
        <v>1</v>
      </c>
    </row>
    <row r="3167" spans="1:44" x14ac:dyDescent="0.35">
      <c r="A3167" s="12" t="s">
        <v>4065</v>
      </c>
      <c r="B3167" s="12" t="s">
        <v>267</v>
      </c>
      <c r="C3167" s="12" t="s">
        <v>268</v>
      </c>
      <c r="D3167" s="12" t="s">
        <v>269</v>
      </c>
      <c r="E3167" s="12" t="s">
        <v>142</v>
      </c>
      <c r="F3167">
        <v>1</v>
      </c>
      <c r="G3167">
        <v>8</v>
      </c>
      <c r="H3167">
        <v>1</v>
      </c>
      <c r="I3167" s="12" t="s">
        <v>94</v>
      </c>
      <c r="J3167" s="12" t="s">
        <v>95</v>
      </c>
      <c r="K3167" s="12" t="s">
        <v>81</v>
      </c>
      <c r="L3167" s="12" t="s">
        <v>96</v>
      </c>
      <c r="M3167">
        <v>4.8099999999999996</v>
      </c>
      <c r="N3167" s="12" t="s">
        <v>159</v>
      </c>
      <c r="O3167" s="12" t="s">
        <v>160</v>
      </c>
      <c r="P3167" s="12" t="s">
        <v>137</v>
      </c>
      <c r="Q3167" s="13">
        <v>45503</v>
      </c>
      <c r="R3167" s="13">
        <v>45538</v>
      </c>
      <c r="S3167">
        <v>2024</v>
      </c>
      <c r="T3167" s="12" t="s">
        <v>3854</v>
      </c>
      <c r="U3167">
        <v>16</v>
      </c>
      <c r="V3167">
        <v>225.02719999999999</v>
      </c>
      <c r="W3167">
        <v>33.869999999999997</v>
      </c>
      <c r="X3167">
        <v>0</v>
      </c>
      <c r="Y3167">
        <v>0</v>
      </c>
      <c r="Z3167">
        <v>3600.44</v>
      </c>
      <c r="AA3167">
        <v>3634.31</v>
      </c>
      <c r="AB3167" s="12" t="s">
        <v>2878</v>
      </c>
      <c r="AC3167">
        <v>225.02719999999999</v>
      </c>
      <c r="AD3167">
        <v>1</v>
      </c>
      <c r="AE3167">
        <v>1</v>
      </c>
      <c r="AF3167">
        <v>0</v>
      </c>
      <c r="AG3167">
        <v>3600.44</v>
      </c>
      <c r="AH3167">
        <v>16</v>
      </c>
      <c r="AI3167">
        <v>16</v>
      </c>
      <c r="AJ3167">
        <v>0</v>
      </c>
      <c r="AK3167">
        <v>1</v>
      </c>
      <c r="AL3167">
        <v>1</v>
      </c>
      <c r="AM3167">
        <v>100</v>
      </c>
      <c r="AN3167">
        <v>227.14410000000001</v>
      </c>
      <c r="AO3167">
        <v>0</v>
      </c>
      <c r="AP3167" s="13">
        <v>45538</v>
      </c>
      <c r="AQ3167">
        <v>0</v>
      </c>
      <c r="AR3167">
        <v>1</v>
      </c>
    </row>
    <row r="3168" spans="1:44" x14ac:dyDescent="0.35">
      <c r="A3168" s="12" t="s">
        <v>4066</v>
      </c>
      <c r="B3168" s="12" t="s">
        <v>362</v>
      </c>
      <c r="C3168" s="12" t="s">
        <v>363</v>
      </c>
      <c r="D3168" s="12" t="s">
        <v>78</v>
      </c>
      <c r="E3168" s="12" t="s">
        <v>104</v>
      </c>
      <c r="F3168">
        <v>3</v>
      </c>
      <c r="G3168">
        <v>0</v>
      </c>
      <c r="H3168">
        <v>0</v>
      </c>
      <c r="I3168" s="12" t="s">
        <v>335</v>
      </c>
      <c r="J3168" s="12" t="s">
        <v>336</v>
      </c>
      <c r="K3168" s="12" t="s">
        <v>89</v>
      </c>
      <c r="L3168" s="12" t="s">
        <v>82</v>
      </c>
      <c r="M3168">
        <v>16</v>
      </c>
      <c r="N3168" s="12" t="s">
        <v>97</v>
      </c>
      <c r="O3168" s="12" t="s">
        <v>98</v>
      </c>
      <c r="P3168" s="12" t="s">
        <v>72</v>
      </c>
      <c r="Q3168" s="13">
        <v>45503</v>
      </c>
      <c r="R3168" s="13">
        <v>45526</v>
      </c>
      <c r="S3168">
        <v>2024</v>
      </c>
      <c r="T3168" s="12" t="s">
        <v>3854</v>
      </c>
      <c r="U3168">
        <v>207</v>
      </c>
      <c r="V3168">
        <v>63.664000000000001</v>
      </c>
      <c r="W3168">
        <v>240.08</v>
      </c>
      <c r="X3168">
        <v>0</v>
      </c>
      <c r="Y3168">
        <v>0</v>
      </c>
      <c r="Z3168">
        <v>13178.45</v>
      </c>
      <c r="AA3168">
        <v>13418.53</v>
      </c>
      <c r="AB3168" s="12" t="s">
        <v>201</v>
      </c>
      <c r="AD3168">
        <v>0</v>
      </c>
      <c r="AE3168">
        <v>0</v>
      </c>
      <c r="AH3168">
        <v>207</v>
      </c>
      <c r="AI3168">
        <v>202</v>
      </c>
      <c r="AJ3168">
        <v>5</v>
      </c>
      <c r="AK3168">
        <v>1</v>
      </c>
      <c r="AL3168">
        <v>1</v>
      </c>
      <c r="AM3168">
        <v>97.58</v>
      </c>
      <c r="AN3168">
        <v>66.428399999999996</v>
      </c>
      <c r="AO3168">
        <v>318.32</v>
      </c>
      <c r="AP3168" s="13">
        <v>45531</v>
      </c>
      <c r="AQ3168">
        <v>5</v>
      </c>
      <c r="AR3168">
        <v>0</v>
      </c>
    </row>
    <row r="3169" spans="1:44" x14ac:dyDescent="0.35">
      <c r="A3169" s="12" t="s">
        <v>4067</v>
      </c>
      <c r="B3169" s="12" t="s">
        <v>736</v>
      </c>
      <c r="C3169" s="12" t="s">
        <v>737</v>
      </c>
      <c r="D3169" s="12" t="s">
        <v>64</v>
      </c>
      <c r="E3169" s="12" t="s">
        <v>104</v>
      </c>
      <c r="F3169">
        <v>3</v>
      </c>
      <c r="G3169">
        <v>1</v>
      </c>
      <c r="H3169">
        <v>0</v>
      </c>
      <c r="I3169" s="12" t="s">
        <v>94</v>
      </c>
      <c r="J3169" s="12" t="s">
        <v>95</v>
      </c>
      <c r="K3169" s="12" t="s">
        <v>81</v>
      </c>
      <c r="L3169" s="12" t="s">
        <v>96</v>
      </c>
      <c r="M3169">
        <v>4.8099999999999996</v>
      </c>
      <c r="N3169" s="12" t="s">
        <v>70</v>
      </c>
      <c r="O3169" s="12" t="s">
        <v>71</v>
      </c>
      <c r="P3169" s="12" t="s">
        <v>72</v>
      </c>
      <c r="Q3169" s="13">
        <v>45503</v>
      </c>
      <c r="R3169" s="13">
        <v>45523</v>
      </c>
      <c r="S3169">
        <v>2024</v>
      </c>
      <c r="T3169" s="12" t="s">
        <v>3854</v>
      </c>
      <c r="U3169">
        <v>549</v>
      </c>
      <c r="V3169">
        <v>22.894600000000001</v>
      </c>
      <c r="W3169">
        <v>95.1</v>
      </c>
      <c r="X3169">
        <v>0</v>
      </c>
      <c r="Y3169">
        <v>0</v>
      </c>
      <c r="Z3169">
        <v>12569.14</v>
      </c>
      <c r="AA3169">
        <v>12664.24</v>
      </c>
      <c r="AB3169" s="12" t="s">
        <v>3251</v>
      </c>
      <c r="AC3169">
        <v>22.894600000000001</v>
      </c>
      <c r="AD3169">
        <v>1</v>
      </c>
      <c r="AE3169">
        <v>1</v>
      </c>
      <c r="AF3169">
        <v>0</v>
      </c>
      <c r="AG3169">
        <v>12569.14</v>
      </c>
      <c r="AH3169">
        <v>549</v>
      </c>
      <c r="AI3169">
        <v>545</v>
      </c>
      <c r="AJ3169">
        <v>4</v>
      </c>
      <c r="AK3169">
        <v>1</v>
      </c>
      <c r="AL3169">
        <v>1</v>
      </c>
      <c r="AM3169">
        <v>99.27</v>
      </c>
      <c r="AN3169">
        <v>23.237100000000002</v>
      </c>
      <c r="AO3169">
        <v>91.58</v>
      </c>
      <c r="AP3169" s="13">
        <v>45522</v>
      </c>
      <c r="AQ3169">
        <v>-1</v>
      </c>
      <c r="AR3169">
        <v>1</v>
      </c>
    </row>
    <row r="3170" spans="1:44" x14ac:dyDescent="0.35">
      <c r="A3170" s="12" t="s">
        <v>4068</v>
      </c>
      <c r="B3170" s="12" t="s">
        <v>902</v>
      </c>
      <c r="C3170" s="12" t="s">
        <v>903</v>
      </c>
      <c r="D3170" s="12" t="s">
        <v>122</v>
      </c>
      <c r="E3170" s="12" t="s">
        <v>142</v>
      </c>
      <c r="F3170">
        <v>1</v>
      </c>
      <c r="G3170">
        <v>6</v>
      </c>
      <c r="H3170">
        <v>1</v>
      </c>
      <c r="I3170" s="12" t="s">
        <v>105</v>
      </c>
      <c r="J3170" s="12" t="s">
        <v>106</v>
      </c>
      <c r="K3170" s="12" t="s">
        <v>81</v>
      </c>
      <c r="L3170" s="12" t="s">
        <v>96</v>
      </c>
      <c r="M3170">
        <v>5.01</v>
      </c>
      <c r="N3170" s="12" t="s">
        <v>97</v>
      </c>
      <c r="O3170" s="12" t="s">
        <v>98</v>
      </c>
      <c r="P3170" s="12" t="s">
        <v>72</v>
      </c>
      <c r="Q3170" s="13">
        <v>45503</v>
      </c>
      <c r="R3170" s="13">
        <v>45543</v>
      </c>
      <c r="S3170">
        <v>2024</v>
      </c>
      <c r="T3170" s="12" t="s">
        <v>3854</v>
      </c>
      <c r="U3170">
        <v>709</v>
      </c>
      <c r="V3170">
        <v>39.217599999999997</v>
      </c>
      <c r="W3170">
        <v>193.89</v>
      </c>
      <c r="X3170">
        <v>0</v>
      </c>
      <c r="Y3170">
        <v>0</v>
      </c>
      <c r="Z3170">
        <v>27805.279999999999</v>
      </c>
      <c r="AA3170">
        <v>27999.17</v>
      </c>
      <c r="AB3170" s="12" t="s">
        <v>3284</v>
      </c>
      <c r="AC3170">
        <v>41.6892</v>
      </c>
      <c r="AD3170">
        <v>1</v>
      </c>
      <c r="AE3170">
        <v>1</v>
      </c>
      <c r="AF3170">
        <v>-1752.36</v>
      </c>
      <c r="AG3170">
        <v>29557.64</v>
      </c>
      <c r="AH3170">
        <v>709</v>
      </c>
      <c r="AI3170">
        <v>705</v>
      </c>
      <c r="AJ3170">
        <v>4</v>
      </c>
      <c r="AK3170">
        <v>1</v>
      </c>
      <c r="AL3170">
        <v>1</v>
      </c>
      <c r="AM3170">
        <v>99.44</v>
      </c>
      <c r="AN3170">
        <v>39.7151</v>
      </c>
      <c r="AO3170">
        <v>156.87</v>
      </c>
      <c r="AP3170" s="13">
        <v>45540</v>
      </c>
      <c r="AQ3170">
        <v>-3</v>
      </c>
      <c r="AR3170">
        <v>1</v>
      </c>
    </row>
    <row r="3171" spans="1:44" x14ac:dyDescent="0.35">
      <c r="A3171" s="12" t="s">
        <v>4069</v>
      </c>
      <c r="B3171" s="12" t="s">
        <v>101</v>
      </c>
      <c r="C3171" s="12" t="s">
        <v>102</v>
      </c>
      <c r="D3171" s="12" t="s">
        <v>103</v>
      </c>
      <c r="E3171" s="12" t="s">
        <v>104</v>
      </c>
      <c r="F3171">
        <v>1</v>
      </c>
      <c r="G3171">
        <v>0</v>
      </c>
      <c r="H3171">
        <v>1</v>
      </c>
      <c r="I3171" s="12" t="s">
        <v>105</v>
      </c>
      <c r="J3171" s="12" t="s">
        <v>106</v>
      </c>
      <c r="K3171" s="12" t="s">
        <v>81</v>
      </c>
      <c r="L3171" s="12" t="s">
        <v>96</v>
      </c>
      <c r="M3171">
        <v>5.01</v>
      </c>
      <c r="N3171" s="12" t="s">
        <v>107</v>
      </c>
      <c r="O3171" s="12" t="s">
        <v>108</v>
      </c>
      <c r="P3171" s="12" t="s">
        <v>109</v>
      </c>
      <c r="Q3171" s="13">
        <v>45504</v>
      </c>
      <c r="R3171" s="13">
        <v>45533</v>
      </c>
      <c r="S3171">
        <v>2024</v>
      </c>
      <c r="T3171" s="12" t="s">
        <v>3854</v>
      </c>
      <c r="U3171">
        <v>148</v>
      </c>
      <c r="V3171">
        <v>205.32499999999999</v>
      </c>
      <c r="W3171">
        <v>500.08</v>
      </c>
      <c r="X3171">
        <v>0</v>
      </c>
      <c r="Y3171">
        <v>0</v>
      </c>
      <c r="Z3171">
        <v>30388.1</v>
      </c>
      <c r="AA3171">
        <v>30888.18</v>
      </c>
      <c r="AB3171" s="12" t="s">
        <v>2866</v>
      </c>
      <c r="AC3171">
        <v>205.32499999999999</v>
      </c>
      <c r="AD3171">
        <v>1</v>
      </c>
      <c r="AE3171">
        <v>1</v>
      </c>
      <c r="AF3171">
        <v>0</v>
      </c>
      <c r="AG3171">
        <v>30388.1</v>
      </c>
      <c r="AH3171">
        <v>148</v>
      </c>
      <c r="AI3171">
        <v>146</v>
      </c>
      <c r="AJ3171">
        <v>2</v>
      </c>
      <c r="AK3171">
        <v>1</v>
      </c>
      <c r="AL3171">
        <v>1</v>
      </c>
      <c r="AM3171">
        <v>98.65</v>
      </c>
      <c r="AN3171">
        <v>211.56290000000001</v>
      </c>
      <c r="AO3171">
        <v>410.65</v>
      </c>
      <c r="AP3171" s="13">
        <v>45543</v>
      </c>
      <c r="AQ3171">
        <v>10</v>
      </c>
      <c r="AR3171">
        <v>0</v>
      </c>
    </row>
    <row r="3172" spans="1:44" x14ac:dyDescent="0.35">
      <c r="A3172" s="12" t="s">
        <v>4070</v>
      </c>
      <c r="B3172" s="12" t="s">
        <v>163</v>
      </c>
      <c r="C3172" s="12" t="s">
        <v>164</v>
      </c>
      <c r="D3172" s="12" t="s">
        <v>64</v>
      </c>
      <c r="E3172" s="12" t="s">
        <v>104</v>
      </c>
      <c r="F3172">
        <v>2</v>
      </c>
      <c r="G3172">
        <v>0</v>
      </c>
      <c r="H3172">
        <v>0</v>
      </c>
      <c r="I3172" s="12" t="s">
        <v>79</v>
      </c>
      <c r="J3172" s="12" t="s">
        <v>80</v>
      </c>
      <c r="K3172" s="12" t="s">
        <v>81</v>
      </c>
      <c r="L3172" s="12" t="s">
        <v>82</v>
      </c>
      <c r="M3172">
        <v>12.07</v>
      </c>
      <c r="N3172" s="12" t="s">
        <v>70</v>
      </c>
      <c r="O3172" s="12" t="s">
        <v>71</v>
      </c>
      <c r="P3172" s="12" t="s">
        <v>72</v>
      </c>
      <c r="Q3172" s="13">
        <v>45504</v>
      </c>
      <c r="R3172" s="13">
        <v>45523</v>
      </c>
      <c r="S3172">
        <v>2024</v>
      </c>
      <c r="T3172" s="12" t="s">
        <v>3854</v>
      </c>
      <c r="U3172">
        <v>462</v>
      </c>
      <c r="V3172">
        <v>11.6143</v>
      </c>
      <c r="W3172">
        <v>96.13</v>
      </c>
      <c r="X3172">
        <v>0</v>
      </c>
      <c r="Y3172">
        <v>0</v>
      </c>
      <c r="Z3172">
        <v>5365.81</v>
      </c>
      <c r="AA3172">
        <v>5461.94</v>
      </c>
      <c r="AB3172" s="12" t="s">
        <v>2780</v>
      </c>
      <c r="AC3172">
        <v>11.6143</v>
      </c>
      <c r="AD3172">
        <v>1</v>
      </c>
      <c r="AE3172">
        <v>1</v>
      </c>
      <c r="AF3172">
        <v>0</v>
      </c>
      <c r="AG3172">
        <v>5365.81</v>
      </c>
      <c r="AH3172">
        <v>462</v>
      </c>
      <c r="AI3172">
        <v>457</v>
      </c>
      <c r="AJ3172">
        <v>5</v>
      </c>
      <c r="AK3172">
        <v>1</v>
      </c>
      <c r="AL3172">
        <v>1</v>
      </c>
      <c r="AM3172">
        <v>98.92</v>
      </c>
      <c r="AN3172">
        <v>11.951700000000001</v>
      </c>
      <c r="AO3172">
        <v>58.07</v>
      </c>
      <c r="AP3172" s="13">
        <v>45524</v>
      </c>
      <c r="AQ3172">
        <v>1</v>
      </c>
      <c r="AR3172">
        <v>0</v>
      </c>
    </row>
    <row r="3173" spans="1:44" x14ac:dyDescent="0.35">
      <c r="A3173" s="12" t="s">
        <v>4071</v>
      </c>
      <c r="B3173" s="12" t="s">
        <v>843</v>
      </c>
      <c r="C3173" s="12" t="s">
        <v>844</v>
      </c>
      <c r="D3173" s="12" t="s">
        <v>175</v>
      </c>
      <c r="E3173" s="12" t="s">
        <v>65</v>
      </c>
      <c r="F3173">
        <v>3</v>
      </c>
      <c r="G3173">
        <v>5</v>
      </c>
      <c r="H3173">
        <v>0</v>
      </c>
      <c r="I3173" s="12" t="s">
        <v>359</v>
      </c>
      <c r="J3173" s="12" t="s">
        <v>360</v>
      </c>
      <c r="K3173" s="12" t="s">
        <v>133</v>
      </c>
      <c r="L3173" s="12" t="s">
        <v>82</v>
      </c>
      <c r="M3173">
        <v>12.65</v>
      </c>
      <c r="N3173" s="12" t="s">
        <v>145</v>
      </c>
      <c r="O3173" s="12" t="s">
        <v>146</v>
      </c>
      <c r="P3173" s="12" t="s">
        <v>109</v>
      </c>
      <c r="Q3173" s="13">
        <v>45504</v>
      </c>
      <c r="R3173" s="13">
        <v>45527</v>
      </c>
      <c r="S3173">
        <v>2024</v>
      </c>
      <c r="T3173" s="12" t="s">
        <v>3854</v>
      </c>
      <c r="U3173">
        <v>31</v>
      </c>
      <c r="V3173">
        <v>251.77279999999999</v>
      </c>
      <c r="W3173">
        <v>61.85</v>
      </c>
      <c r="X3173">
        <v>0</v>
      </c>
      <c r="Y3173">
        <v>0</v>
      </c>
      <c r="Z3173">
        <v>7804.96</v>
      </c>
      <c r="AA3173">
        <v>7866.81</v>
      </c>
      <c r="AB3173" s="12" t="s">
        <v>3324</v>
      </c>
      <c r="AC3173">
        <v>251.77279999999999</v>
      </c>
      <c r="AD3173">
        <v>1</v>
      </c>
      <c r="AE3173">
        <v>1</v>
      </c>
      <c r="AF3173">
        <v>0</v>
      </c>
      <c r="AG3173">
        <v>7804.96</v>
      </c>
      <c r="AH3173">
        <v>31</v>
      </c>
      <c r="AI3173">
        <v>31</v>
      </c>
      <c r="AJ3173">
        <v>0</v>
      </c>
      <c r="AK3173">
        <v>1</v>
      </c>
      <c r="AL3173">
        <v>1</v>
      </c>
      <c r="AM3173">
        <v>100</v>
      </c>
      <c r="AN3173">
        <v>253.768</v>
      </c>
      <c r="AO3173">
        <v>0</v>
      </c>
      <c r="AP3173" s="13">
        <v>45524</v>
      </c>
      <c r="AQ3173">
        <v>-3</v>
      </c>
      <c r="AR3173">
        <v>1</v>
      </c>
    </row>
    <row r="3174" spans="1:44" x14ac:dyDescent="0.35">
      <c r="A3174" s="12" t="s">
        <v>4072</v>
      </c>
      <c r="B3174" s="12" t="s">
        <v>855</v>
      </c>
      <c r="C3174" s="12" t="s">
        <v>856</v>
      </c>
      <c r="D3174" s="12" t="s">
        <v>269</v>
      </c>
      <c r="E3174" s="12" t="s">
        <v>65</v>
      </c>
      <c r="F3174">
        <v>3</v>
      </c>
      <c r="G3174">
        <v>5</v>
      </c>
      <c r="H3174">
        <v>0</v>
      </c>
      <c r="I3174" s="12" t="s">
        <v>94</v>
      </c>
      <c r="J3174" s="12" t="s">
        <v>95</v>
      </c>
      <c r="K3174" s="12" t="s">
        <v>81</v>
      </c>
      <c r="L3174" s="12" t="s">
        <v>96</v>
      </c>
      <c r="M3174">
        <v>4.8099999999999996</v>
      </c>
      <c r="N3174" s="12" t="s">
        <v>135</v>
      </c>
      <c r="O3174" s="12" t="s">
        <v>136</v>
      </c>
      <c r="P3174" s="12" t="s">
        <v>137</v>
      </c>
      <c r="Q3174" s="13">
        <v>45504</v>
      </c>
      <c r="R3174" s="13">
        <v>45538</v>
      </c>
      <c r="S3174">
        <v>2024</v>
      </c>
      <c r="T3174" s="12" t="s">
        <v>3854</v>
      </c>
      <c r="U3174">
        <v>116</v>
      </c>
      <c r="V3174">
        <v>479.86860000000001</v>
      </c>
      <c r="W3174">
        <v>493.87</v>
      </c>
      <c r="X3174">
        <v>0</v>
      </c>
      <c r="Y3174">
        <v>0</v>
      </c>
      <c r="Z3174">
        <v>55664.76</v>
      </c>
      <c r="AA3174">
        <v>56158.63</v>
      </c>
      <c r="AB3174" s="12" t="s">
        <v>3699</v>
      </c>
      <c r="AC3174">
        <v>479.86860000000001</v>
      </c>
      <c r="AD3174">
        <v>1</v>
      </c>
      <c r="AE3174">
        <v>1</v>
      </c>
      <c r="AF3174">
        <v>0</v>
      </c>
      <c r="AG3174">
        <v>55664.76</v>
      </c>
      <c r="AH3174">
        <v>116</v>
      </c>
      <c r="AI3174">
        <v>115</v>
      </c>
      <c r="AJ3174">
        <v>1</v>
      </c>
      <c r="AK3174">
        <v>1</v>
      </c>
      <c r="AL3174">
        <v>1</v>
      </c>
      <c r="AM3174">
        <v>99.14</v>
      </c>
      <c r="AN3174">
        <v>488.33589999999998</v>
      </c>
      <c r="AO3174">
        <v>479.87</v>
      </c>
      <c r="AP3174" s="13">
        <v>45535</v>
      </c>
      <c r="AQ3174">
        <v>-3</v>
      </c>
      <c r="AR3174">
        <v>1</v>
      </c>
    </row>
    <row r="3175" spans="1:44" x14ac:dyDescent="0.35">
      <c r="A3175" s="12" t="s">
        <v>4073</v>
      </c>
      <c r="B3175" s="12" t="s">
        <v>787</v>
      </c>
      <c r="C3175" s="12" t="s">
        <v>788</v>
      </c>
      <c r="D3175" s="12" t="s">
        <v>269</v>
      </c>
      <c r="E3175" s="12" t="s">
        <v>65</v>
      </c>
      <c r="F3175">
        <v>2</v>
      </c>
      <c r="G3175">
        <v>3</v>
      </c>
      <c r="H3175">
        <v>0</v>
      </c>
      <c r="I3175" s="12" t="s">
        <v>143</v>
      </c>
      <c r="J3175" s="12" t="s">
        <v>144</v>
      </c>
      <c r="K3175" s="12" t="s">
        <v>133</v>
      </c>
      <c r="L3175" s="12" t="s">
        <v>96</v>
      </c>
      <c r="M3175">
        <v>5.43</v>
      </c>
      <c r="N3175" s="12" t="s">
        <v>159</v>
      </c>
      <c r="O3175" s="12" t="s">
        <v>160</v>
      </c>
      <c r="P3175" s="12" t="s">
        <v>137</v>
      </c>
      <c r="Q3175" s="13">
        <v>45504</v>
      </c>
      <c r="R3175" s="13">
        <v>45528</v>
      </c>
      <c r="S3175">
        <v>2024</v>
      </c>
      <c r="T3175" s="12" t="s">
        <v>3854</v>
      </c>
      <c r="U3175">
        <v>34</v>
      </c>
      <c r="V3175">
        <v>342.88099999999997</v>
      </c>
      <c r="W3175">
        <v>147.13</v>
      </c>
      <c r="X3175">
        <v>0</v>
      </c>
      <c r="Y3175">
        <v>0</v>
      </c>
      <c r="Z3175">
        <v>11657.95</v>
      </c>
      <c r="AA3175">
        <v>11805.08</v>
      </c>
      <c r="AB3175" s="12" t="s">
        <v>3813</v>
      </c>
      <c r="AC3175">
        <v>342.88099999999997</v>
      </c>
      <c r="AD3175">
        <v>1</v>
      </c>
      <c r="AE3175">
        <v>1</v>
      </c>
      <c r="AF3175">
        <v>0</v>
      </c>
      <c r="AG3175">
        <v>11657.95</v>
      </c>
      <c r="AH3175">
        <v>34</v>
      </c>
      <c r="AI3175">
        <v>34</v>
      </c>
      <c r="AJ3175">
        <v>0</v>
      </c>
      <c r="AK3175">
        <v>1</v>
      </c>
      <c r="AL3175">
        <v>1</v>
      </c>
      <c r="AM3175">
        <v>100</v>
      </c>
      <c r="AN3175">
        <v>347.20839999999998</v>
      </c>
      <c r="AO3175">
        <v>0</v>
      </c>
      <c r="AP3175" s="13">
        <v>45535</v>
      </c>
      <c r="AQ3175">
        <v>7</v>
      </c>
      <c r="AR3175">
        <v>0</v>
      </c>
    </row>
    <row r="3176" spans="1:44" x14ac:dyDescent="0.35">
      <c r="A3176" s="12" t="s">
        <v>4074</v>
      </c>
      <c r="B3176" s="12" t="s">
        <v>924</v>
      </c>
      <c r="C3176" s="12" t="s">
        <v>925</v>
      </c>
      <c r="D3176" s="12" t="s">
        <v>103</v>
      </c>
      <c r="E3176" s="12" t="s">
        <v>104</v>
      </c>
      <c r="F3176">
        <v>2</v>
      </c>
      <c r="G3176">
        <v>0</v>
      </c>
      <c r="H3176">
        <v>0</v>
      </c>
      <c r="I3176" s="12" t="s">
        <v>275</v>
      </c>
      <c r="J3176" s="12" t="s">
        <v>276</v>
      </c>
      <c r="K3176" s="12" t="s">
        <v>89</v>
      </c>
      <c r="L3176" s="12" t="s">
        <v>82</v>
      </c>
      <c r="M3176">
        <v>14.26</v>
      </c>
      <c r="N3176" s="12" t="s">
        <v>145</v>
      </c>
      <c r="O3176" s="12" t="s">
        <v>146</v>
      </c>
      <c r="P3176" s="12" t="s">
        <v>109</v>
      </c>
      <c r="Q3176" s="13">
        <v>45504</v>
      </c>
      <c r="R3176" s="13">
        <v>45524</v>
      </c>
      <c r="S3176">
        <v>2024</v>
      </c>
      <c r="T3176" s="12" t="s">
        <v>3854</v>
      </c>
      <c r="U3176">
        <v>77</v>
      </c>
      <c r="V3176">
        <v>158.0436</v>
      </c>
      <c r="W3176">
        <v>279.57</v>
      </c>
      <c r="X3176">
        <v>0</v>
      </c>
      <c r="Y3176">
        <v>0</v>
      </c>
      <c r="Z3176">
        <v>12169.36</v>
      </c>
      <c r="AA3176">
        <v>12448.93</v>
      </c>
      <c r="AB3176" s="12" t="s">
        <v>3486</v>
      </c>
      <c r="AC3176">
        <v>158.0436</v>
      </c>
      <c r="AD3176">
        <v>1</v>
      </c>
      <c r="AE3176">
        <v>1</v>
      </c>
      <c r="AF3176">
        <v>0</v>
      </c>
      <c r="AG3176">
        <v>12169.36</v>
      </c>
      <c r="AH3176">
        <v>77</v>
      </c>
      <c r="AI3176">
        <v>76</v>
      </c>
      <c r="AJ3176">
        <v>1</v>
      </c>
      <c r="AK3176">
        <v>1</v>
      </c>
      <c r="AL3176">
        <v>1</v>
      </c>
      <c r="AM3176">
        <v>98.7</v>
      </c>
      <c r="AN3176">
        <v>163.80170000000001</v>
      </c>
      <c r="AO3176">
        <v>158.04</v>
      </c>
      <c r="AP3176" s="13">
        <v>45524</v>
      </c>
      <c r="AQ3176">
        <v>0</v>
      </c>
      <c r="AR3176">
        <v>1</v>
      </c>
    </row>
    <row r="3177" spans="1:44" x14ac:dyDescent="0.35">
      <c r="A3177" s="12" t="s">
        <v>4075</v>
      </c>
      <c r="B3177" s="12" t="s">
        <v>670</v>
      </c>
      <c r="C3177" s="12" t="s">
        <v>671</v>
      </c>
      <c r="D3177" s="12" t="s">
        <v>175</v>
      </c>
      <c r="E3177" s="12" t="s">
        <v>142</v>
      </c>
      <c r="F3177">
        <v>2</v>
      </c>
      <c r="G3177">
        <v>9</v>
      </c>
      <c r="H3177">
        <v>0</v>
      </c>
      <c r="I3177" s="12" t="s">
        <v>105</v>
      </c>
      <c r="J3177" s="12" t="s">
        <v>106</v>
      </c>
      <c r="K3177" s="12" t="s">
        <v>81</v>
      </c>
      <c r="L3177" s="12" t="s">
        <v>96</v>
      </c>
      <c r="M3177">
        <v>5.01</v>
      </c>
      <c r="N3177" s="12" t="s">
        <v>107</v>
      </c>
      <c r="O3177" s="12" t="s">
        <v>108</v>
      </c>
      <c r="P3177" s="12" t="s">
        <v>109</v>
      </c>
      <c r="Q3177" s="13">
        <v>45504</v>
      </c>
      <c r="R3177" s="13">
        <v>45551</v>
      </c>
      <c r="S3177">
        <v>2024</v>
      </c>
      <c r="T3177" s="12" t="s">
        <v>3854</v>
      </c>
      <c r="U3177">
        <v>103</v>
      </c>
      <c r="V3177">
        <v>147.4665</v>
      </c>
      <c r="W3177">
        <v>144.27000000000001</v>
      </c>
      <c r="X3177">
        <v>0</v>
      </c>
      <c r="Y3177">
        <v>0</v>
      </c>
      <c r="Z3177">
        <v>15189.05</v>
      </c>
      <c r="AA3177">
        <v>15333.32</v>
      </c>
      <c r="AB3177" s="12" t="s">
        <v>3277</v>
      </c>
      <c r="AC3177">
        <v>147.4665</v>
      </c>
      <c r="AD3177">
        <v>1</v>
      </c>
      <c r="AE3177">
        <v>1</v>
      </c>
      <c r="AF3177">
        <v>0</v>
      </c>
      <c r="AG3177">
        <v>15189.05</v>
      </c>
      <c r="AH3177">
        <v>103</v>
      </c>
      <c r="AI3177">
        <v>102</v>
      </c>
      <c r="AJ3177">
        <v>1</v>
      </c>
      <c r="AK3177">
        <v>1</v>
      </c>
      <c r="AL3177">
        <v>1</v>
      </c>
      <c r="AM3177">
        <v>99.03</v>
      </c>
      <c r="AN3177">
        <v>150.32669999999999</v>
      </c>
      <c r="AO3177">
        <v>147.47</v>
      </c>
      <c r="AP3177" s="13">
        <v>45548</v>
      </c>
      <c r="AQ3177">
        <v>-3</v>
      </c>
      <c r="AR3177">
        <v>1</v>
      </c>
    </row>
    <row r="3178" spans="1:44" x14ac:dyDescent="0.35">
      <c r="A3178" s="12" t="s">
        <v>4076</v>
      </c>
      <c r="B3178" s="12" t="s">
        <v>680</v>
      </c>
      <c r="C3178" s="12" t="s">
        <v>681</v>
      </c>
      <c r="D3178" s="12" t="s">
        <v>122</v>
      </c>
      <c r="E3178" s="12" t="s">
        <v>104</v>
      </c>
      <c r="F3178">
        <v>3</v>
      </c>
      <c r="G3178">
        <v>1</v>
      </c>
      <c r="H3178">
        <v>0</v>
      </c>
      <c r="I3178" s="12" t="s">
        <v>243</v>
      </c>
      <c r="J3178" s="12" t="s">
        <v>244</v>
      </c>
      <c r="K3178" s="12" t="s">
        <v>81</v>
      </c>
      <c r="L3178" s="12" t="s">
        <v>82</v>
      </c>
      <c r="M3178">
        <v>9.2200000000000006</v>
      </c>
      <c r="N3178" s="12" t="s">
        <v>97</v>
      </c>
      <c r="O3178" s="12" t="s">
        <v>98</v>
      </c>
      <c r="P3178" s="12" t="s">
        <v>72</v>
      </c>
      <c r="Q3178" s="13">
        <v>45505</v>
      </c>
      <c r="R3178" s="13">
        <v>45525</v>
      </c>
      <c r="S3178">
        <v>2024</v>
      </c>
      <c r="T3178" s="12" t="s">
        <v>4077</v>
      </c>
      <c r="U3178">
        <v>1035</v>
      </c>
      <c r="V3178">
        <v>22.8827</v>
      </c>
      <c r="W3178">
        <v>275.56</v>
      </c>
      <c r="X3178">
        <v>0</v>
      </c>
      <c r="Y3178">
        <v>0</v>
      </c>
      <c r="Z3178">
        <v>23683.59</v>
      </c>
      <c r="AA3178">
        <v>23959.15</v>
      </c>
      <c r="AB3178" s="12" t="s">
        <v>3691</v>
      </c>
      <c r="AC3178">
        <v>22.8827</v>
      </c>
      <c r="AD3178">
        <v>1</v>
      </c>
      <c r="AE3178">
        <v>1</v>
      </c>
      <c r="AF3178">
        <v>0</v>
      </c>
      <c r="AG3178">
        <v>23683.59</v>
      </c>
      <c r="AH3178">
        <v>1035</v>
      </c>
      <c r="AI3178">
        <v>1027</v>
      </c>
      <c r="AJ3178">
        <v>8</v>
      </c>
      <c r="AK3178">
        <v>1</v>
      </c>
      <c r="AL3178">
        <v>1</v>
      </c>
      <c r="AM3178">
        <v>99.23</v>
      </c>
      <c r="AN3178">
        <v>23.3293</v>
      </c>
      <c r="AO3178">
        <v>183.06</v>
      </c>
      <c r="AP3178" s="13">
        <v>45531</v>
      </c>
      <c r="AQ3178">
        <v>6</v>
      </c>
      <c r="AR3178">
        <v>0</v>
      </c>
    </row>
    <row r="3179" spans="1:44" x14ac:dyDescent="0.35">
      <c r="A3179" s="12" t="s">
        <v>4078</v>
      </c>
      <c r="B3179" s="12" t="s">
        <v>437</v>
      </c>
      <c r="C3179" s="12" t="s">
        <v>438</v>
      </c>
      <c r="D3179" s="12" t="s">
        <v>269</v>
      </c>
      <c r="E3179" s="12" t="s">
        <v>65</v>
      </c>
      <c r="F3179">
        <v>2</v>
      </c>
      <c r="G3179">
        <v>4</v>
      </c>
      <c r="H3179">
        <v>0</v>
      </c>
      <c r="I3179" s="12" t="s">
        <v>115</v>
      </c>
      <c r="J3179" s="12" t="s">
        <v>116</v>
      </c>
      <c r="K3179" s="12" t="s">
        <v>117</v>
      </c>
      <c r="L3179" s="12" t="s">
        <v>82</v>
      </c>
      <c r="M3179">
        <v>17.170000000000002</v>
      </c>
      <c r="N3179" s="12" t="s">
        <v>135</v>
      </c>
      <c r="O3179" s="12" t="s">
        <v>136</v>
      </c>
      <c r="P3179" s="12" t="s">
        <v>137</v>
      </c>
      <c r="Q3179" s="13">
        <v>45505</v>
      </c>
      <c r="R3179" s="13">
        <v>45527</v>
      </c>
      <c r="S3179">
        <v>2024</v>
      </c>
      <c r="T3179" s="12" t="s">
        <v>4077</v>
      </c>
      <c r="U3179">
        <v>25</v>
      </c>
      <c r="V3179">
        <v>440.05549999999999</v>
      </c>
      <c r="W3179">
        <v>227.33</v>
      </c>
      <c r="X3179">
        <v>0</v>
      </c>
      <c r="Y3179">
        <v>0</v>
      </c>
      <c r="Z3179">
        <v>11001.39</v>
      </c>
      <c r="AA3179">
        <v>11228.72</v>
      </c>
      <c r="AB3179" s="12" t="s">
        <v>2670</v>
      </c>
      <c r="AC3179">
        <v>440.05549999999999</v>
      </c>
      <c r="AD3179">
        <v>1</v>
      </c>
      <c r="AE3179">
        <v>1</v>
      </c>
      <c r="AF3179">
        <v>0</v>
      </c>
      <c r="AG3179">
        <v>11001.39</v>
      </c>
      <c r="AH3179">
        <v>25</v>
      </c>
      <c r="AI3179">
        <v>25</v>
      </c>
      <c r="AJ3179">
        <v>0</v>
      </c>
      <c r="AK3179">
        <v>1</v>
      </c>
      <c r="AL3179">
        <v>1</v>
      </c>
      <c r="AM3179">
        <v>100</v>
      </c>
      <c r="AN3179">
        <v>449.14870000000002</v>
      </c>
      <c r="AO3179">
        <v>0</v>
      </c>
      <c r="AP3179" s="13">
        <v>45527</v>
      </c>
      <c r="AQ3179">
        <v>0</v>
      </c>
      <c r="AR3179">
        <v>1</v>
      </c>
    </row>
    <row r="3180" spans="1:44" x14ac:dyDescent="0.35">
      <c r="A3180" s="12" t="s">
        <v>4079</v>
      </c>
      <c r="B3180" s="12" t="s">
        <v>685</v>
      </c>
      <c r="C3180" s="12" t="s">
        <v>686</v>
      </c>
      <c r="D3180" s="12" t="s">
        <v>175</v>
      </c>
      <c r="E3180" s="12" t="s">
        <v>104</v>
      </c>
      <c r="F3180">
        <v>2</v>
      </c>
      <c r="G3180">
        <v>0</v>
      </c>
      <c r="H3180">
        <v>0</v>
      </c>
      <c r="I3180" s="12" t="s">
        <v>243</v>
      </c>
      <c r="J3180" s="12" t="s">
        <v>244</v>
      </c>
      <c r="K3180" s="12" t="s">
        <v>81</v>
      </c>
      <c r="L3180" s="12" t="s">
        <v>82</v>
      </c>
      <c r="M3180">
        <v>9.2200000000000006</v>
      </c>
      <c r="N3180" s="12" t="s">
        <v>107</v>
      </c>
      <c r="O3180" s="12" t="s">
        <v>108</v>
      </c>
      <c r="P3180" s="12" t="s">
        <v>109</v>
      </c>
      <c r="Q3180" s="13">
        <v>45505</v>
      </c>
      <c r="R3180" s="13">
        <v>45527</v>
      </c>
      <c r="S3180">
        <v>2024</v>
      </c>
      <c r="T3180" s="12" t="s">
        <v>4077</v>
      </c>
      <c r="U3180">
        <v>90</v>
      </c>
      <c r="V3180">
        <v>248.99250000000001</v>
      </c>
      <c r="W3180">
        <v>236.31</v>
      </c>
      <c r="X3180">
        <v>695.31</v>
      </c>
      <c r="Y3180">
        <v>1</v>
      </c>
      <c r="Z3180">
        <v>22409.33</v>
      </c>
      <c r="AA3180">
        <v>23340.95</v>
      </c>
      <c r="AB3180" s="12" t="s">
        <v>201</v>
      </c>
      <c r="AD3180">
        <v>0</v>
      </c>
      <c r="AE3180">
        <v>0</v>
      </c>
      <c r="AH3180">
        <v>90</v>
      </c>
      <c r="AI3180">
        <v>89</v>
      </c>
      <c r="AJ3180">
        <v>1</v>
      </c>
      <c r="AK3180">
        <v>1</v>
      </c>
      <c r="AL3180">
        <v>1</v>
      </c>
      <c r="AM3180">
        <v>98.89</v>
      </c>
      <c r="AN3180">
        <v>262.25779999999997</v>
      </c>
      <c r="AO3180">
        <v>248.99</v>
      </c>
      <c r="AP3180" s="13">
        <v>45496</v>
      </c>
      <c r="AQ3180">
        <v>-31</v>
      </c>
      <c r="AR3180">
        <v>1</v>
      </c>
    </row>
    <row r="3181" spans="1:44" x14ac:dyDescent="0.35">
      <c r="A3181" s="12" t="s">
        <v>4080</v>
      </c>
      <c r="B3181" s="12" t="s">
        <v>1068</v>
      </c>
      <c r="C3181" s="12" t="s">
        <v>1069</v>
      </c>
      <c r="D3181" s="12" t="s">
        <v>122</v>
      </c>
      <c r="E3181" s="12" t="s">
        <v>65</v>
      </c>
      <c r="F3181">
        <v>2</v>
      </c>
      <c r="G3181">
        <v>2</v>
      </c>
      <c r="H3181">
        <v>0</v>
      </c>
      <c r="I3181" s="12" t="s">
        <v>79</v>
      </c>
      <c r="J3181" s="12" t="s">
        <v>80</v>
      </c>
      <c r="K3181" s="12" t="s">
        <v>81</v>
      </c>
      <c r="L3181" s="12" t="s">
        <v>82</v>
      </c>
      <c r="M3181">
        <v>12.07</v>
      </c>
      <c r="N3181" s="12" t="s">
        <v>97</v>
      </c>
      <c r="O3181" s="12" t="s">
        <v>98</v>
      </c>
      <c r="P3181" s="12" t="s">
        <v>72</v>
      </c>
      <c r="Q3181" s="13">
        <v>45505</v>
      </c>
      <c r="R3181" s="13">
        <v>45540</v>
      </c>
      <c r="S3181">
        <v>2024</v>
      </c>
      <c r="T3181" s="12" t="s">
        <v>4077</v>
      </c>
      <c r="U3181">
        <v>1661</v>
      </c>
      <c r="V3181">
        <v>21.277999999999999</v>
      </c>
      <c r="W3181">
        <v>339.31</v>
      </c>
      <c r="X3181">
        <v>0</v>
      </c>
      <c r="Y3181">
        <v>0</v>
      </c>
      <c r="Z3181">
        <v>35342.76</v>
      </c>
      <c r="AA3181">
        <v>35682.07</v>
      </c>
      <c r="AB3181" s="12" t="s">
        <v>3113</v>
      </c>
      <c r="AC3181">
        <v>21.277999999999999</v>
      </c>
      <c r="AD3181">
        <v>1</v>
      </c>
      <c r="AE3181">
        <v>1</v>
      </c>
      <c r="AF3181">
        <v>0</v>
      </c>
      <c r="AG3181">
        <v>35342.76</v>
      </c>
      <c r="AH3181">
        <v>1661</v>
      </c>
      <c r="AI3181">
        <v>1648</v>
      </c>
      <c r="AJ3181">
        <v>13</v>
      </c>
      <c r="AK3181">
        <v>1</v>
      </c>
      <c r="AL3181">
        <v>1</v>
      </c>
      <c r="AM3181">
        <v>99.22</v>
      </c>
      <c r="AN3181">
        <v>21.651700000000002</v>
      </c>
      <c r="AO3181">
        <v>276.61</v>
      </c>
      <c r="AP3181" s="13">
        <v>45537</v>
      </c>
      <c r="AQ3181">
        <v>-3</v>
      </c>
      <c r="AR3181">
        <v>1</v>
      </c>
    </row>
    <row r="3182" spans="1:44" x14ac:dyDescent="0.35">
      <c r="A3182" s="12" t="s">
        <v>4081</v>
      </c>
      <c r="B3182" s="12" t="s">
        <v>273</v>
      </c>
      <c r="C3182" s="12" t="s">
        <v>274</v>
      </c>
      <c r="D3182" s="12" t="s">
        <v>175</v>
      </c>
      <c r="E3182" s="12" t="s">
        <v>104</v>
      </c>
      <c r="F3182">
        <v>3</v>
      </c>
      <c r="G3182">
        <v>1</v>
      </c>
      <c r="H3182">
        <v>0</v>
      </c>
      <c r="I3182" s="12" t="s">
        <v>275</v>
      </c>
      <c r="J3182" s="12" t="s">
        <v>276</v>
      </c>
      <c r="K3182" s="12" t="s">
        <v>89</v>
      </c>
      <c r="L3182" s="12" t="s">
        <v>82</v>
      </c>
      <c r="M3182">
        <v>14.26</v>
      </c>
      <c r="N3182" s="12" t="s">
        <v>107</v>
      </c>
      <c r="O3182" s="12" t="s">
        <v>108</v>
      </c>
      <c r="P3182" s="12" t="s">
        <v>109</v>
      </c>
      <c r="Q3182" s="13">
        <v>45505</v>
      </c>
      <c r="R3182" s="13">
        <v>45521</v>
      </c>
      <c r="S3182">
        <v>2024</v>
      </c>
      <c r="T3182" s="12" t="s">
        <v>4077</v>
      </c>
      <c r="U3182">
        <v>47</v>
      </c>
      <c r="V3182">
        <v>111.0129</v>
      </c>
      <c r="W3182">
        <v>35.96</v>
      </c>
      <c r="X3182">
        <v>0</v>
      </c>
      <c r="Y3182">
        <v>0</v>
      </c>
      <c r="Z3182">
        <v>5217.6099999999997</v>
      </c>
      <c r="AA3182">
        <v>5253.57</v>
      </c>
      <c r="AB3182" s="12" t="s">
        <v>3580</v>
      </c>
      <c r="AC3182">
        <v>111.0129</v>
      </c>
      <c r="AD3182">
        <v>1</v>
      </c>
      <c r="AE3182">
        <v>1</v>
      </c>
      <c r="AF3182">
        <v>0</v>
      </c>
      <c r="AG3182">
        <v>5217.6099999999997</v>
      </c>
      <c r="AH3182">
        <v>47</v>
      </c>
      <c r="AI3182">
        <v>47</v>
      </c>
      <c r="AJ3182">
        <v>0</v>
      </c>
      <c r="AK3182">
        <v>1</v>
      </c>
      <c r="AL3182">
        <v>1</v>
      </c>
      <c r="AM3182">
        <v>100</v>
      </c>
      <c r="AN3182">
        <v>111.77800000000001</v>
      </c>
      <c r="AO3182">
        <v>0</v>
      </c>
      <c r="AP3182" s="13">
        <v>45518</v>
      </c>
      <c r="AQ3182">
        <v>-3</v>
      </c>
      <c r="AR3182">
        <v>1</v>
      </c>
    </row>
    <row r="3183" spans="1:44" x14ac:dyDescent="0.35">
      <c r="A3183" s="12" t="s">
        <v>4082</v>
      </c>
      <c r="B3183" s="12" t="s">
        <v>747</v>
      </c>
      <c r="C3183" s="12" t="s">
        <v>748</v>
      </c>
      <c r="D3183" s="12" t="s">
        <v>114</v>
      </c>
      <c r="E3183" s="12" t="s">
        <v>104</v>
      </c>
      <c r="F3183">
        <v>2</v>
      </c>
      <c r="G3183">
        <v>0</v>
      </c>
      <c r="H3183">
        <v>0</v>
      </c>
      <c r="I3183" s="12" t="s">
        <v>380</v>
      </c>
      <c r="J3183" s="12" t="s">
        <v>381</v>
      </c>
      <c r="K3183" s="12" t="s">
        <v>89</v>
      </c>
      <c r="L3183" s="12" t="s">
        <v>96</v>
      </c>
      <c r="M3183">
        <v>10.210000000000001</v>
      </c>
      <c r="N3183" s="12" t="s">
        <v>70</v>
      </c>
      <c r="O3183" s="12" t="s">
        <v>71</v>
      </c>
      <c r="P3183" s="12" t="s">
        <v>72</v>
      </c>
      <c r="Q3183" s="13">
        <v>45505</v>
      </c>
      <c r="R3183" s="13">
        <v>45531</v>
      </c>
      <c r="S3183">
        <v>2024</v>
      </c>
      <c r="T3183" s="12" t="s">
        <v>4077</v>
      </c>
      <c r="U3183">
        <v>122</v>
      </c>
      <c r="V3183">
        <v>242.0575</v>
      </c>
      <c r="W3183">
        <v>335.55</v>
      </c>
      <c r="X3183">
        <v>0</v>
      </c>
      <c r="Y3183">
        <v>0</v>
      </c>
      <c r="Z3183">
        <v>29531.02</v>
      </c>
      <c r="AA3183">
        <v>29866.57</v>
      </c>
      <c r="AB3183" s="12" t="s">
        <v>3072</v>
      </c>
      <c r="AC3183">
        <v>242.0575</v>
      </c>
      <c r="AD3183">
        <v>1</v>
      </c>
      <c r="AE3183">
        <v>1</v>
      </c>
      <c r="AF3183">
        <v>0</v>
      </c>
      <c r="AG3183">
        <v>29531.02</v>
      </c>
      <c r="AH3183">
        <v>122</v>
      </c>
      <c r="AI3183">
        <v>121</v>
      </c>
      <c r="AJ3183">
        <v>1</v>
      </c>
      <c r="AK3183">
        <v>1</v>
      </c>
      <c r="AL3183">
        <v>1</v>
      </c>
      <c r="AM3183">
        <v>99.18</v>
      </c>
      <c r="AN3183">
        <v>246.83109999999999</v>
      </c>
      <c r="AO3183">
        <v>242.06</v>
      </c>
      <c r="AP3183" s="13">
        <v>45530</v>
      </c>
      <c r="AQ3183">
        <v>-1</v>
      </c>
      <c r="AR3183">
        <v>1</v>
      </c>
    </row>
    <row r="3184" spans="1:44" x14ac:dyDescent="0.35">
      <c r="A3184" s="12" t="s">
        <v>4083</v>
      </c>
      <c r="B3184" s="12" t="s">
        <v>173</v>
      </c>
      <c r="C3184" s="12" t="s">
        <v>174</v>
      </c>
      <c r="D3184" s="12" t="s">
        <v>175</v>
      </c>
      <c r="E3184" s="12" t="s">
        <v>104</v>
      </c>
      <c r="F3184">
        <v>3</v>
      </c>
      <c r="G3184">
        <v>1</v>
      </c>
      <c r="H3184">
        <v>0</v>
      </c>
      <c r="I3184" s="12" t="s">
        <v>227</v>
      </c>
      <c r="J3184" s="12" t="s">
        <v>228</v>
      </c>
      <c r="K3184" s="12" t="s">
        <v>89</v>
      </c>
      <c r="L3184" s="12" t="s">
        <v>96</v>
      </c>
      <c r="M3184">
        <v>9.15</v>
      </c>
      <c r="N3184" s="12" t="s">
        <v>145</v>
      </c>
      <c r="O3184" s="12" t="s">
        <v>146</v>
      </c>
      <c r="P3184" s="12" t="s">
        <v>109</v>
      </c>
      <c r="Q3184" s="13">
        <v>45505</v>
      </c>
      <c r="R3184" s="13">
        <v>45517</v>
      </c>
      <c r="S3184">
        <v>2024</v>
      </c>
      <c r="T3184" s="12" t="s">
        <v>4077</v>
      </c>
      <c r="U3184">
        <v>10</v>
      </c>
      <c r="V3184">
        <v>79.944699999999997</v>
      </c>
      <c r="W3184">
        <v>20.66</v>
      </c>
      <c r="X3184">
        <v>0</v>
      </c>
      <c r="Y3184">
        <v>0</v>
      </c>
      <c r="Z3184">
        <v>799.45</v>
      </c>
      <c r="AA3184">
        <v>820.11</v>
      </c>
      <c r="AB3184" s="12" t="s">
        <v>3662</v>
      </c>
      <c r="AC3184">
        <v>79.944699999999997</v>
      </c>
      <c r="AD3184">
        <v>1</v>
      </c>
      <c r="AE3184">
        <v>1</v>
      </c>
      <c r="AF3184">
        <v>0</v>
      </c>
      <c r="AG3184">
        <v>799.45</v>
      </c>
      <c r="AH3184">
        <v>10</v>
      </c>
      <c r="AI3184">
        <v>10</v>
      </c>
      <c r="AJ3184">
        <v>0</v>
      </c>
      <c r="AK3184">
        <v>1</v>
      </c>
      <c r="AL3184">
        <v>1</v>
      </c>
      <c r="AM3184">
        <v>100</v>
      </c>
      <c r="AN3184">
        <v>82.0107</v>
      </c>
      <c r="AO3184">
        <v>0</v>
      </c>
      <c r="AP3184" s="13">
        <v>45520</v>
      </c>
      <c r="AQ3184">
        <v>3</v>
      </c>
      <c r="AR3184">
        <v>0</v>
      </c>
    </row>
    <row r="3185" spans="1:44" x14ac:dyDescent="0.35">
      <c r="A3185" s="12" t="s">
        <v>4084</v>
      </c>
      <c r="B3185" s="12" t="s">
        <v>657</v>
      </c>
      <c r="C3185" s="12" t="s">
        <v>658</v>
      </c>
      <c r="D3185" s="12" t="s">
        <v>175</v>
      </c>
      <c r="E3185" s="12" t="s">
        <v>65</v>
      </c>
      <c r="F3185">
        <v>1</v>
      </c>
      <c r="G3185">
        <v>2</v>
      </c>
      <c r="H3185">
        <v>1</v>
      </c>
      <c r="I3185" s="12" t="s">
        <v>183</v>
      </c>
      <c r="J3185" s="12" t="s">
        <v>184</v>
      </c>
      <c r="K3185" s="12" t="s">
        <v>133</v>
      </c>
      <c r="L3185" s="12" t="s">
        <v>82</v>
      </c>
      <c r="M3185">
        <v>8.6199999999999992</v>
      </c>
      <c r="N3185" s="12" t="s">
        <v>107</v>
      </c>
      <c r="O3185" s="12" t="s">
        <v>108</v>
      </c>
      <c r="P3185" s="12" t="s">
        <v>109</v>
      </c>
      <c r="Q3185" s="13">
        <v>45505</v>
      </c>
      <c r="R3185" s="13">
        <v>45539</v>
      </c>
      <c r="S3185">
        <v>2024</v>
      </c>
      <c r="T3185" s="12" t="s">
        <v>4077</v>
      </c>
      <c r="U3185">
        <v>111</v>
      </c>
      <c r="V3185">
        <v>149.10310000000001</v>
      </c>
      <c r="W3185">
        <v>370.7</v>
      </c>
      <c r="X3185">
        <v>0</v>
      </c>
      <c r="Y3185">
        <v>0</v>
      </c>
      <c r="Z3185">
        <v>16550.439999999999</v>
      </c>
      <c r="AA3185">
        <v>16921.14</v>
      </c>
      <c r="AB3185" s="12" t="s">
        <v>3525</v>
      </c>
      <c r="AC3185">
        <v>149.10310000000001</v>
      </c>
      <c r="AD3185">
        <v>1</v>
      </c>
      <c r="AE3185">
        <v>1</v>
      </c>
      <c r="AF3185">
        <v>0</v>
      </c>
      <c r="AG3185">
        <v>16550.439999999999</v>
      </c>
      <c r="AH3185">
        <v>111</v>
      </c>
      <c r="AI3185">
        <v>110</v>
      </c>
      <c r="AJ3185">
        <v>1</v>
      </c>
      <c r="AK3185">
        <v>1</v>
      </c>
      <c r="AL3185">
        <v>1</v>
      </c>
      <c r="AM3185">
        <v>99.1</v>
      </c>
      <c r="AN3185">
        <v>153.82859999999999</v>
      </c>
      <c r="AO3185">
        <v>149.1</v>
      </c>
      <c r="AP3185" s="13">
        <v>45538</v>
      </c>
      <c r="AQ3185">
        <v>-1</v>
      </c>
      <c r="AR3185">
        <v>1</v>
      </c>
    </row>
    <row r="3186" spans="1:44" x14ac:dyDescent="0.35">
      <c r="A3186" s="12" t="s">
        <v>4085</v>
      </c>
      <c r="B3186" s="12" t="s">
        <v>827</v>
      </c>
      <c r="C3186" s="12" t="s">
        <v>828</v>
      </c>
      <c r="D3186" s="12" t="s">
        <v>175</v>
      </c>
      <c r="E3186" s="12" t="s">
        <v>104</v>
      </c>
      <c r="F3186">
        <v>2</v>
      </c>
      <c r="G3186">
        <v>0</v>
      </c>
      <c r="H3186">
        <v>0</v>
      </c>
      <c r="I3186" s="12" t="s">
        <v>183</v>
      </c>
      <c r="J3186" s="12" t="s">
        <v>184</v>
      </c>
      <c r="K3186" s="12" t="s">
        <v>133</v>
      </c>
      <c r="L3186" s="12" t="s">
        <v>82</v>
      </c>
      <c r="M3186">
        <v>8.6199999999999992</v>
      </c>
      <c r="N3186" s="12" t="s">
        <v>145</v>
      </c>
      <c r="O3186" s="12" t="s">
        <v>146</v>
      </c>
      <c r="P3186" s="12" t="s">
        <v>109</v>
      </c>
      <c r="Q3186" s="13">
        <v>45505</v>
      </c>
      <c r="R3186" s="13">
        <v>45525</v>
      </c>
      <c r="S3186">
        <v>2024</v>
      </c>
      <c r="T3186" s="12" t="s">
        <v>4077</v>
      </c>
      <c r="U3186">
        <v>75</v>
      </c>
      <c r="V3186">
        <v>101.62560000000001</v>
      </c>
      <c r="W3186">
        <v>153.04</v>
      </c>
      <c r="X3186">
        <v>0</v>
      </c>
      <c r="Y3186">
        <v>0</v>
      </c>
      <c r="Z3186">
        <v>7621.92</v>
      </c>
      <c r="AA3186">
        <v>7774.96</v>
      </c>
      <c r="AB3186" s="12" t="s">
        <v>3394</v>
      </c>
      <c r="AC3186">
        <v>101.62560000000001</v>
      </c>
      <c r="AD3186">
        <v>1</v>
      </c>
      <c r="AE3186">
        <v>1</v>
      </c>
      <c r="AF3186">
        <v>0</v>
      </c>
      <c r="AG3186">
        <v>7621.92</v>
      </c>
      <c r="AH3186">
        <v>75</v>
      </c>
      <c r="AI3186">
        <v>74</v>
      </c>
      <c r="AJ3186">
        <v>1</v>
      </c>
      <c r="AK3186">
        <v>1</v>
      </c>
      <c r="AL3186">
        <v>1</v>
      </c>
      <c r="AM3186">
        <v>98.67</v>
      </c>
      <c r="AN3186">
        <v>105.06699999999999</v>
      </c>
      <c r="AO3186">
        <v>101.63</v>
      </c>
      <c r="AP3186" s="13">
        <v>45525</v>
      </c>
      <c r="AQ3186">
        <v>0</v>
      </c>
      <c r="AR3186">
        <v>1</v>
      </c>
    </row>
    <row r="3187" spans="1:44" x14ac:dyDescent="0.35">
      <c r="A3187" s="12" t="s">
        <v>4086</v>
      </c>
      <c r="B3187" s="12" t="s">
        <v>85</v>
      </c>
      <c r="C3187" s="12" t="s">
        <v>86</v>
      </c>
      <c r="D3187" s="12" t="s">
        <v>78</v>
      </c>
      <c r="E3187" s="12" t="s">
        <v>65</v>
      </c>
      <c r="F3187">
        <v>3</v>
      </c>
      <c r="G3187">
        <v>5</v>
      </c>
      <c r="H3187">
        <v>0</v>
      </c>
      <c r="I3187" s="12" t="s">
        <v>87</v>
      </c>
      <c r="J3187" s="12" t="s">
        <v>88</v>
      </c>
      <c r="K3187" s="12" t="s">
        <v>89</v>
      </c>
      <c r="L3187" s="12" t="s">
        <v>69</v>
      </c>
      <c r="M3187">
        <v>14.93</v>
      </c>
      <c r="N3187" s="12" t="s">
        <v>70</v>
      </c>
      <c r="O3187" s="12" t="s">
        <v>71</v>
      </c>
      <c r="P3187" s="12" t="s">
        <v>72</v>
      </c>
      <c r="Q3187" s="13">
        <v>45505</v>
      </c>
      <c r="R3187" s="13">
        <v>45529</v>
      </c>
      <c r="S3187">
        <v>2024</v>
      </c>
      <c r="T3187" s="12" t="s">
        <v>4077</v>
      </c>
      <c r="U3187">
        <v>90</v>
      </c>
      <c r="V3187">
        <v>139.59649999999999</v>
      </c>
      <c r="W3187">
        <v>174.48</v>
      </c>
      <c r="X3187">
        <v>0</v>
      </c>
      <c r="Y3187">
        <v>0</v>
      </c>
      <c r="Z3187">
        <v>12563.69</v>
      </c>
      <c r="AA3187">
        <v>12738.17</v>
      </c>
      <c r="AB3187" s="12" t="s">
        <v>2621</v>
      </c>
      <c r="AC3187">
        <v>139.59649999999999</v>
      </c>
      <c r="AD3187">
        <v>1</v>
      </c>
      <c r="AE3187">
        <v>1</v>
      </c>
      <c r="AF3187">
        <v>0</v>
      </c>
      <c r="AG3187">
        <v>12563.69</v>
      </c>
      <c r="AH3187">
        <v>90</v>
      </c>
      <c r="AI3187">
        <v>89</v>
      </c>
      <c r="AJ3187">
        <v>1</v>
      </c>
      <c r="AK3187">
        <v>1</v>
      </c>
      <c r="AL3187">
        <v>1</v>
      </c>
      <c r="AM3187">
        <v>98.89</v>
      </c>
      <c r="AN3187">
        <v>143.12540000000001</v>
      </c>
      <c r="AO3187">
        <v>139.6</v>
      </c>
      <c r="AP3187" s="13">
        <v>45537</v>
      </c>
      <c r="AQ3187">
        <v>8</v>
      </c>
      <c r="AR3187">
        <v>0</v>
      </c>
    </row>
    <row r="3188" spans="1:44" x14ac:dyDescent="0.35">
      <c r="A3188" s="12" t="s">
        <v>4087</v>
      </c>
      <c r="B3188" s="12" t="s">
        <v>670</v>
      </c>
      <c r="C3188" s="12" t="s">
        <v>671</v>
      </c>
      <c r="D3188" s="12" t="s">
        <v>175</v>
      </c>
      <c r="E3188" s="12" t="s">
        <v>142</v>
      </c>
      <c r="F3188">
        <v>2</v>
      </c>
      <c r="G3188">
        <v>9</v>
      </c>
      <c r="H3188">
        <v>0</v>
      </c>
      <c r="I3188" s="12" t="s">
        <v>105</v>
      </c>
      <c r="J3188" s="12" t="s">
        <v>106</v>
      </c>
      <c r="K3188" s="12" t="s">
        <v>81</v>
      </c>
      <c r="L3188" s="12" t="s">
        <v>96</v>
      </c>
      <c r="M3188">
        <v>5.01</v>
      </c>
      <c r="N3188" s="12" t="s">
        <v>145</v>
      </c>
      <c r="O3188" s="12" t="s">
        <v>146</v>
      </c>
      <c r="P3188" s="12" t="s">
        <v>109</v>
      </c>
      <c r="Q3188" s="13">
        <v>45505</v>
      </c>
      <c r="R3188" s="13">
        <v>45555</v>
      </c>
      <c r="S3188">
        <v>2024</v>
      </c>
      <c r="T3188" s="12" t="s">
        <v>4077</v>
      </c>
      <c r="U3188">
        <v>133</v>
      </c>
      <c r="V3188">
        <v>147.4665</v>
      </c>
      <c r="W3188">
        <v>144.22999999999999</v>
      </c>
      <c r="X3188">
        <v>0</v>
      </c>
      <c r="Y3188">
        <v>0</v>
      </c>
      <c r="Z3188">
        <v>19613.04</v>
      </c>
      <c r="AA3188">
        <v>19757.27</v>
      </c>
      <c r="AB3188" s="12" t="s">
        <v>3277</v>
      </c>
      <c r="AC3188">
        <v>147.4665</v>
      </c>
      <c r="AD3188">
        <v>1</v>
      </c>
      <c r="AE3188">
        <v>1</v>
      </c>
      <c r="AF3188">
        <v>0</v>
      </c>
      <c r="AG3188">
        <v>19613.04</v>
      </c>
      <c r="AH3188">
        <v>133</v>
      </c>
      <c r="AI3188">
        <v>132</v>
      </c>
      <c r="AJ3188">
        <v>1</v>
      </c>
      <c r="AK3188">
        <v>1</v>
      </c>
      <c r="AL3188">
        <v>1</v>
      </c>
      <c r="AM3188">
        <v>99.25</v>
      </c>
      <c r="AN3188">
        <v>149.6763</v>
      </c>
      <c r="AO3188">
        <v>147.47</v>
      </c>
      <c r="AP3188" s="13">
        <v>45565</v>
      </c>
      <c r="AQ3188">
        <v>10</v>
      </c>
      <c r="AR3188">
        <v>0</v>
      </c>
    </row>
    <row r="3189" spans="1:44" x14ac:dyDescent="0.35">
      <c r="A3189" s="12" t="s">
        <v>4088</v>
      </c>
      <c r="B3189" s="12" t="s">
        <v>792</v>
      </c>
      <c r="C3189" s="12" t="s">
        <v>793</v>
      </c>
      <c r="D3189" s="12" t="s">
        <v>103</v>
      </c>
      <c r="E3189" s="12" t="s">
        <v>65</v>
      </c>
      <c r="F3189">
        <v>2</v>
      </c>
      <c r="G3189">
        <v>3</v>
      </c>
      <c r="H3189">
        <v>0</v>
      </c>
      <c r="I3189" s="12" t="s">
        <v>115</v>
      </c>
      <c r="J3189" s="12" t="s">
        <v>116</v>
      </c>
      <c r="K3189" s="12" t="s">
        <v>117</v>
      </c>
      <c r="L3189" s="12" t="s">
        <v>82</v>
      </c>
      <c r="M3189">
        <v>17.170000000000002</v>
      </c>
      <c r="N3189" s="12" t="s">
        <v>107</v>
      </c>
      <c r="O3189" s="12" t="s">
        <v>108</v>
      </c>
      <c r="P3189" s="12" t="s">
        <v>109</v>
      </c>
      <c r="Q3189" s="13">
        <v>45505</v>
      </c>
      <c r="R3189" s="13">
        <v>45530</v>
      </c>
      <c r="S3189">
        <v>2024</v>
      </c>
      <c r="T3189" s="12" t="s">
        <v>4077</v>
      </c>
      <c r="U3189">
        <v>45</v>
      </c>
      <c r="V3189">
        <v>98.330600000000004</v>
      </c>
      <c r="W3189">
        <v>76.39</v>
      </c>
      <c r="X3189">
        <v>0</v>
      </c>
      <c r="Y3189">
        <v>0</v>
      </c>
      <c r="Z3189">
        <v>4424.88</v>
      </c>
      <c r="AA3189">
        <v>4501.2700000000004</v>
      </c>
      <c r="AB3189" s="12" t="s">
        <v>3411</v>
      </c>
      <c r="AC3189">
        <v>98.330600000000004</v>
      </c>
      <c r="AD3189">
        <v>1</v>
      </c>
      <c r="AE3189">
        <v>1</v>
      </c>
      <c r="AF3189">
        <v>0</v>
      </c>
      <c r="AG3189">
        <v>4424.88</v>
      </c>
      <c r="AH3189">
        <v>45</v>
      </c>
      <c r="AI3189">
        <v>45</v>
      </c>
      <c r="AJ3189">
        <v>0</v>
      </c>
      <c r="AK3189">
        <v>1</v>
      </c>
      <c r="AL3189">
        <v>1</v>
      </c>
      <c r="AM3189">
        <v>100</v>
      </c>
      <c r="AN3189">
        <v>100.0282</v>
      </c>
      <c r="AO3189">
        <v>0</v>
      </c>
      <c r="AP3189" s="13">
        <v>45538</v>
      </c>
      <c r="AQ3189">
        <v>8</v>
      </c>
      <c r="AR3189">
        <v>0</v>
      </c>
    </row>
    <row r="3190" spans="1:44" x14ac:dyDescent="0.35">
      <c r="A3190" s="12" t="s">
        <v>4089</v>
      </c>
      <c r="B3190" s="12" t="s">
        <v>544</v>
      </c>
      <c r="C3190" s="12" t="s">
        <v>545</v>
      </c>
      <c r="D3190" s="12" t="s">
        <v>175</v>
      </c>
      <c r="E3190" s="12" t="s">
        <v>65</v>
      </c>
      <c r="F3190">
        <v>3</v>
      </c>
      <c r="G3190">
        <v>5</v>
      </c>
      <c r="H3190">
        <v>0</v>
      </c>
      <c r="I3190" s="12" t="s">
        <v>66</v>
      </c>
      <c r="J3190" s="12" t="s">
        <v>67</v>
      </c>
      <c r="K3190" s="12" t="s">
        <v>68</v>
      </c>
      <c r="L3190" s="12" t="s">
        <v>69</v>
      </c>
      <c r="M3190">
        <v>17.66</v>
      </c>
      <c r="N3190" s="12" t="s">
        <v>107</v>
      </c>
      <c r="O3190" s="12" t="s">
        <v>108</v>
      </c>
      <c r="P3190" s="12" t="s">
        <v>109</v>
      </c>
      <c r="Q3190" s="13">
        <v>45506</v>
      </c>
      <c r="R3190" s="13">
        <v>45534</v>
      </c>
      <c r="S3190">
        <v>2024</v>
      </c>
      <c r="T3190" s="12" t="s">
        <v>4077</v>
      </c>
      <c r="U3190">
        <v>65</v>
      </c>
      <c r="V3190">
        <v>159.50649999999999</v>
      </c>
      <c r="W3190">
        <v>140.06</v>
      </c>
      <c r="X3190">
        <v>0</v>
      </c>
      <c r="Y3190">
        <v>0</v>
      </c>
      <c r="Z3190">
        <v>10367.92</v>
      </c>
      <c r="AA3190">
        <v>10507.98</v>
      </c>
      <c r="AB3190" s="12" t="s">
        <v>201</v>
      </c>
      <c r="AD3190">
        <v>0</v>
      </c>
      <c r="AE3190">
        <v>0</v>
      </c>
      <c r="AH3190">
        <v>65</v>
      </c>
      <c r="AI3190">
        <v>64</v>
      </c>
      <c r="AJ3190">
        <v>1</v>
      </c>
      <c r="AK3190">
        <v>1</v>
      </c>
      <c r="AL3190">
        <v>1</v>
      </c>
      <c r="AM3190">
        <v>98.46</v>
      </c>
      <c r="AN3190">
        <v>164.18719999999999</v>
      </c>
      <c r="AO3190">
        <v>159.51</v>
      </c>
      <c r="AP3190" s="13">
        <v>45531</v>
      </c>
      <c r="AQ3190">
        <v>-3</v>
      </c>
      <c r="AR3190">
        <v>1</v>
      </c>
    </row>
    <row r="3191" spans="1:44" x14ac:dyDescent="0.35">
      <c r="A3191" s="12" t="s">
        <v>4090</v>
      </c>
      <c r="B3191" s="12" t="s">
        <v>963</v>
      </c>
      <c r="C3191" s="12" t="s">
        <v>964</v>
      </c>
      <c r="D3191" s="12" t="s">
        <v>114</v>
      </c>
      <c r="E3191" s="12" t="s">
        <v>142</v>
      </c>
      <c r="F3191">
        <v>1</v>
      </c>
      <c r="G3191">
        <v>6</v>
      </c>
      <c r="H3191">
        <v>1</v>
      </c>
      <c r="I3191" s="12" t="s">
        <v>176</v>
      </c>
      <c r="J3191" s="12" t="s">
        <v>177</v>
      </c>
      <c r="K3191" s="12" t="s">
        <v>125</v>
      </c>
      <c r="L3191" s="12" t="s">
        <v>134</v>
      </c>
      <c r="M3191">
        <v>1.75</v>
      </c>
      <c r="N3191" s="12" t="s">
        <v>70</v>
      </c>
      <c r="O3191" s="12" t="s">
        <v>71</v>
      </c>
      <c r="P3191" s="12" t="s">
        <v>72</v>
      </c>
      <c r="Q3191" s="13">
        <v>45506</v>
      </c>
      <c r="R3191" s="13">
        <v>45548</v>
      </c>
      <c r="S3191">
        <v>2024</v>
      </c>
      <c r="T3191" s="12" t="s">
        <v>4077</v>
      </c>
      <c r="U3191">
        <v>66</v>
      </c>
      <c r="V3191">
        <v>194.16829999999999</v>
      </c>
      <c r="W3191">
        <v>202.5</v>
      </c>
      <c r="X3191">
        <v>0</v>
      </c>
      <c r="Y3191">
        <v>0</v>
      </c>
      <c r="Z3191">
        <v>12815.11</v>
      </c>
      <c r="AA3191">
        <v>13017.61</v>
      </c>
      <c r="AB3191" s="12" t="s">
        <v>3290</v>
      </c>
      <c r="AC3191">
        <v>194.16829999999999</v>
      </c>
      <c r="AD3191">
        <v>1</v>
      </c>
      <c r="AE3191">
        <v>1</v>
      </c>
      <c r="AF3191">
        <v>0</v>
      </c>
      <c r="AG3191">
        <v>12815.11</v>
      </c>
      <c r="AH3191">
        <v>66</v>
      </c>
      <c r="AI3191">
        <v>65</v>
      </c>
      <c r="AJ3191">
        <v>1</v>
      </c>
      <c r="AK3191">
        <v>1</v>
      </c>
      <c r="AL3191">
        <v>1</v>
      </c>
      <c r="AM3191">
        <v>98.48</v>
      </c>
      <c r="AN3191">
        <v>200.27090000000001</v>
      </c>
      <c r="AO3191">
        <v>194.17</v>
      </c>
      <c r="AP3191" s="13">
        <v>45547</v>
      </c>
      <c r="AQ3191">
        <v>-1</v>
      </c>
      <c r="AR3191">
        <v>1</v>
      </c>
    </row>
    <row r="3192" spans="1:44" x14ac:dyDescent="0.35">
      <c r="A3192" s="12" t="s">
        <v>4091</v>
      </c>
      <c r="B3192" s="12" t="s">
        <v>1220</v>
      </c>
      <c r="C3192" s="12" t="s">
        <v>1221</v>
      </c>
      <c r="D3192" s="12" t="s">
        <v>175</v>
      </c>
      <c r="E3192" s="12" t="s">
        <v>104</v>
      </c>
      <c r="F3192">
        <v>3</v>
      </c>
      <c r="G3192">
        <v>1</v>
      </c>
      <c r="H3192">
        <v>0</v>
      </c>
      <c r="I3192" s="12" t="s">
        <v>251</v>
      </c>
      <c r="J3192" s="12" t="s">
        <v>252</v>
      </c>
      <c r="K3192" s="12" t="s">
        <v>133</v>
      </c>
      <c r="L3192" s="12" t="s">
        <v>69</v>
      </c>
      <c r="M3192">
        <v>34.49</v>
      </c>
      <c r="N3192" s="12" t="s">
        <v>145</v>
      </c>
      <c r="O3192" s="12" t="s">
        <v>146</v>
      </c>
      <c r="P3192" s="12" t="s">
        <v>109</v>
      </c>
      <c r="Q3192" s="13">
        <v>45506</v>
      </c>
      <c r="R3192" s="13">
        <v>45533</v>
      </c>
      <c r="S3192">
        <v>2024</v>
      </c>
      <c r="T3192" s="12" t="s">
        <v>4077</v>
      </c>
      <c r="U3192">
        <v>133</v>
      </c>
      <c r="V3192">
        <v>138.95140000000001</v>
      </c>
      <c r="W3192">
        <v>385.17</v>
      </c>
      <c r="X3192">
        <v>0</v>
      </c>
      <c r="Y3192">
        <v>0</v>
      </c>
      <c r="Z3192">
        <v>18480.54</v>
      </c>
      <c r="AA3192">
        <v>18865.71</v>
      </c>
      <c r="AB3192" s="12" t="s">
        <v>3687</v>
      </c>
      <c r="AC3192">
        <v>138.95140000000001</v>
      </c>
      <c r="AD3192">
        <v>1</v>
      </c>
      <c r="AE3192">
        <v>1</v>
      </c>
      <c r="AF3192">
        <v>0</v>
      </c>
      <c r="AG3192">
        <v>18480.54</v>
      </c>
      <c r="AH3192">
        <v>133</v>
      </c>
      <c r="AI3192">
        <v>131</v>
      </c>
      <c r="AJ3192">
        <v>2</v>
      </c>
      <c r="AK3192">
        <v>1</v>
      </c>
      <c r="AL3192">
        <v>1</v>
      </c>
      <c r="AM3192">
        <v>98.5</v>
      </c>
      <c r="AN3192">
        <v>144.01300000000001</v>
      </c>
      <c r="AO3192">
        <v>277.89999999999998</v>
      </c>
      <c r="AP3192" s="13">
        <v>45537</v>
      </c>
      <c r="AQ3192">
        <v>4</v>
      </c>
      <c r="AR3192">
        <v>0</v>
      </c>
    </row>
    <row r="3193" spans="1:44" x14ac:dyDescent="0.35">
      <c r="A3193" s="12" t="s">
        <v>4092</v>
      </c>
      <c r="B3193" s="12" t="s">
        <v>513</v>
      </c>
      <c r="C3193" s="12" t="s">
        <v>514</v>
      </c>
      <c r="D3193" s="12" t="s">
        <v>269</v>
      </c>
      <c r="E3193" s="12" t="s">
        <v>65</v>
      </c>
      <c r="F3193">
        <v>1</v>
      </c>
      <c r="G3193">
        <v>2</v>
      </c>
      <c r="H3193">
        <v>1</v>
      </c>
      <c r="I3193" s="12" t="s">
        <v>515</v>
      </c>
      <c r="J3193" s="12" t="s">
        <v>516</v>
      </c>
      <c r="K3193" s="12" t="s">
        <v>68</v>
      </c>
      <c r="L3193" s="12" t="s">
        <v>134</v>
      </c>
      <c r="M3193">
        <v>3.69</v>
      </c>
      <c r="N3193" s="12" t="s">
        <v>159</v>
      </c>
      <c r="O3193" s="12" t="s">
        <v>160</v>
      </c>
      <c r="P3193" s="12" t="s">
        <v>137</v>
      </c>
      <c r="Q3193" s="13">
        <v>45506</v>
      </c>
      <c r="R3193" s="13">
        <v>45529</v>
      </c>
      <c r="S3193">
        <v>2024</v>
      </c>
      <c r="T3193" s="12" t="s">
        <v>4077</v>
      </c>
      <c r="U3193">
        <v>26</v>
      </c>
      <c r="V3193">
        <v>231.624</v>
      </c>
      <c r="W3193">
        <v>92.66</v>
      </c>
      <c r="X3193">
        <v>0</v>
      </c>
      <c r="Y3193">
        <v>0</v>
      </c>
      <c r="Z3193">
        <v>6022.22</v>
      </c>
      <c r="AA3193">
        <v>6114.88</v>
      </c>
      <c r="AB3193" s="12" t="s">
        <v>201</v>
      </c>
      <c r="AD3193">
        <v>0</v>
      </c>
      <c r="AE3193">
        <v>0</v>
      </c>
      <c r="AH3193">
        <v>26</v>
      </c>
      <c r="AI3193">
        <v>26</v>
      </c>
      <c r="AJ3193">
        <v>0</v>
      </c>
      <c r="AK3193">
        <v>1</v>
      </c>
      <c r="AL3193">
        <v>1</v>
      </c>
      <c r="AM3193">
        <v>100</v>
      </c>
      <c r="AN3193">
        <v>235.18780000000001</v>
      </c>
      <c r="AO3193">
        <v>0</v>
      </c>
      <c r="AP3193" s="13">
        <v>45528</v>
      </c>
      <c r="AQ3193">
        <v>-1</v>
      </c>
      <c r="AR3193">
        <v>1</v>
      </c>
    </row>
    <row r="3194" spans="1:44" x14ac:dyDescent="0.35">
      <c r="A3194" s="12" t="s">
        <v>4093</v>
      </c>
      <c r="B3194" s="12" t="s">
        <v>613</v>
      </c>
      <c r="C3194" s="12" t="s">
        <v>614</v>
      </c>
      <c r="D3194" s="12" t="s">
        <v>130</v>
      </c>
      <c r="E3194" s="12" t="s">
        <v>104</v>
      </c>
      <c r="F3194">
        <v>3</v>
      </c>
      <c r="G3194">
        <v>1</v>
      </c>
      <c r="H3194">
        <v>0</v>
      </c>
      <c r="I3194" s="12" t="s">
        <v>66</v>
      </c>
      <c r="J3194" s="12" t="s">
        <v>67</v>
      </c>
      <c r="K3194" s="12" t="s">
        <v>68</v>
      </c>
      <c r="L3194" s="12" t="s">
        <v>69</v>
      </c>
      <c r="M3194">
        <v>17.66</v>
      </c>
      <c r="N3194" s="12" t="s">
        <v>159</v>
      </c>
      <c r="O3194" s="12" t="s">
        <v>160</v>
      </c>
      <c r="P3194" s="12" t="s">
        <v>137</v>
      </c>
      <c r="Q3194" s="13">
        <v>45506</v>
      </c>
      <c r="R3194" s="13">
        <v>45524</v>
      </c>
      <c r="S3194">
        <v>2024</v>
      </c>
      <c r="T3194" s="12" t="s">
        <v>4077</v>
      </c>
      <c r="U3194">
        <v>56</v>
      </c>
      <c r="V3194">
        <v>173.59219999999999</v>
      </c>
      <c r="W3194">
        <v>158.83000000000001</v>
      </c>
      <c r="X3194">
        <v>0</v>
      </c>
      <c r="Y3194">
        <v>0</v>
      </c>
      <c r="Z3194">
        <v>9721.16</v>
      </c>
      <c r="AA3194">
        <v>9879.99</v>
      </c>
      <c r="AB3194" s="12" t="s">
        <v>3097</v>
      </c>
      <c r="AC3194">
        <v>173.59219999999999</v>
      </c>
      <c r="AD3194">
        <v>1</v>
      </c>
      <c r="AE3194">
        <v>1</v>
      </c>
      <c r="AF3194">
        <v>0</v>
      </c>
      <c r="AG3194">
        <v>9721.16</v>
      </c>
      <c r="AH3194">
        <v>56</v>
      </c>
      <c r="AI3194">
        <v>56</v>
      </c>
      <c r="AJ3194">
        <v>0</v>
      </c>
      <c r="AK3194">
        <v>1</v>
      </c>
      <c r="AL3194">
        <v>1</v>
      </c>
      <c r="AM3194">
        <v>100</v>
      </c>
      <c r="AN3194">
        <v>176.42850000000001</v>
      </c>
      <c r="AO3194">
        <v>0</v>
      </c>
      <c r="AP3194" s="13">
        <v>45522</v>
      </c>
      <c r="AQ3194">
        <v>-2</v>
      </c>
      <c r="AR3194">
        <v>1</v>
      </c>
    </row>
    <row r="3195" spans="1:44" x14ac:dyDescent="0.35">
      <c r="A3195" s="12" t="s">
        <v>4094</v>
      </c>
      <c r="B3195" s="12" t="s">
        <v>685</v>
      </c>
      <c r="C3195" s="12" t="s">
        <v>686</v>
      </c>
      <c r="D3195" s="12" t="s">
        <v>175</v>
      </c>
      <c r="E3195" s="12" t="s">
        <v>104</v>
      </c>
      <c r="F3195">
        <v>2</v>
      </c>
      <c r="G3195">
        <v>0</v>
      </c>
      <c r="H3195">
        <v>0</v>
      </c>
      <c r="I3195" s="12" t="s">
        <v>243</v>
      </c>
      <c r="J3195" s="12" t="s">
        <v>244</v>
      </c>
      <c r="K3195" s="12" t="s">
        <v>81</v>
      </c>
      <c r="L3195" s="12" t="s">
        <v>82</v>
      </c>
      <c r="M3195">
        <v>9.2200000000000006</v>
      </c>
      <c r="N3195" s="12" t="s">
        <v>107</v>
      </c>
      <c r="O3195" s="12" t="s">
        <v>108</v>
      </c>
      <c r="P3195" s="12" t="s">
        <v>109</v>
      </c>
      <c r="Q3195" s="13">
        <v>45506</v>
      </c>
      <c r="R3195" s="13">
        <v>45534</v>
      </c>
      <c r="S3195">
        <v>2024</v>
      </c>
      <c r="T3195" s="12" t="s">
        <v>4077</v>
      </c>
      <c r="U3195">
        <v>141</v>
      </c>
      <c r="V3195">
        <v>243.53319999999999</v>
      </c>
      <c r="W3195">
        <v>763.34</v>
      </c>
      <c r="X3195">
        <v>0</v>
      </c>
      <c r="Y3195">
        <v>0</v>
      </c>
      <c r="Z3195">
        <v>34338.18</v>
      </c>
      <c r="AA3195">
        <v>35101.519999999997</v>
      </c>
      <c r="AB3195" s="12" t="s">
        <v>201</v>
      </c>
      <c r="AD3195">
        <v>0</v>
      </c>
      <c r="AE3195">
        <v>0</v>
      </c>
      <c r="AH3195">
        <v>141</v>
      </c>
      <c r="AI3195">
        <v>140</v>
      </c>
      <c r="AJ3195">
        <v>1</v>
      </c>
      <c r="AK3195">
        <v>1</v>
      </c>
      <c r="AL3195">
        <v>1</v>
      </c>
      <c r="AM3195">
        <v>99.29</v>
      </c>
      <c r="AN3195">
        <v>250.7252</v>
      </c>
      <c r="AO3195">
        <v>243.53</v>
      </c>
      <c r="AP3195" s="13">
        <v>45531</v>
      </c>
      <c r="AQ3195">
        <v>-3</v>
      </c>
      <c r="AR3195">
        <v>1</v>
      </c>
    </row>
    <row r="3196" spans="1:44" x14ac:dyDescent="0.35">
      <c r="A3196" s="12" t="s">
        <v>4095</v>
      </c>
      <c r="B3196" s="12" t="s">
        <v>92</v>
      </c>
      <c r="C3196" s="12" t="s">
        <v>93</v>
      </c>
      <c r="D3196" s="12" t="s">
        <v>64</v>
      </c>
      <c r="E3196" s="12" t="s">
        <v>65</v>
      </c>
      <c r="F3196">
        <v>3</v>
      </c>
      <c r="G3196">
        <v>5</v>
      </c>
      <c r="H3196">
        <v>0</v>
      </c>
      <c r="I3196" s="12" t="s">
        <v>94</v>
      </c>
      <c r="J3196" s="12" t="s">
        <v>95</v>
      </c>
      <c r="K3196" s="12" t="s">
        <v>81</v>
      </c>
      <c r="L3196" s="12" t="s">
        <v>96</v>
      </c>
      <c r="M3196">
        <v>4.8099999999999996</v>
      </c>
      <c r="N3196" s="12" t="s">
        <v>70</v>
      </c>
      <c r="O3196" s="12" t="s">
        <v>71</v>
      </c>
      <c r="P3196" s="12" t="s">
        <v>72</v>
      </c>
      <c r="Q3196" s="13">
        <v>45506</v>
      </c>
      <c r="R3196" s="13">
        <v>45533</v>
      </c>
      <c r="S3196">
        <v>2024</v>
      </c>
      <c r="T3196" s="12" t="s">
        <v>4077</v>
      </c>
      <c r="U3196">
        <v>447</v>
      </c>
      <c r="V3196">
        <v>23.8764</v>
      </c>
      <c r="W3196">
        <v>259.63</v>
      </c>
      <c r="X3196">
        <v>0</v>
      </c>
      <c r="Y3196">
        <v>0</v>
      </c>
      <c r="Z3196">
        <v>10672.75</v>
      </c>
      <c r="AA3196">
        <v>10932.38</v>
      </c>
      <c r="AB3196" s="12" t="s">
        <v>2802</v>
      </c>
      <c r="AC3196">
        <v>23.8764</v>
      </c>
      <c r="AD3196">
        <v>1</v>
      </c>
      <c r="AE3196">
        <v>1</v>
      </c>
      <c r="AF3196">
        <v>0</v>
      </c>
      <c r="AG3196">
        <v>10672.75</v>
      </c>
      <c r="AH3196">
        <v>447</v>
      </c>
      <c r="AI3196">
        <v>442</v>
      </c>
      <c r="AJ3196">
        <v>5</v>
      </c>
      <c r="AK3196">
        <v>1</v>
      </c>
      <c r="AL3196">
        <v>1</v>
      </c>
      <c r="AM3196">
        <v>98.88</v>
      </c>
      <c r="AN3196">
        <v>24.733899999999998</v>
      </c>
      <c r="AO3196">
        <v>119.38</v>
      </c>
      <c r="AP3196" s="13">
        <v>45531</v>
      </c>
      <c r="AQ3196">
        <v>-2</v>
      </c>
      <c r="AR3196">
        <v>1</v>
      </c>
    </row>
    <row r="3197" spans="1:44" x14ac:dyDescent="0.35">
      <c r="A3197" s="12" t="s">
        <v>4096</v>
      </c>
      <c r="B3197" s="12" t="s">
        <v>193</v>
      </c>
      <c r="C3197" s="12" t="s">
        <v>194</v>
      </c>
      <c r="D3197" s="12" t="s">
        <v>114</v>
      </c>
      <c r="E3197" s="12" t="s">
        <v>65</v>
      </c>
      <c r="F3197">
        <v>3</v>
      </c>
      <c r="G3197">
        <v>4</v>
      </c>
      <c r="H3197">
        <v>0</v>
      </c>
      <c r="I3197" s="12" t="s">
        <v>195</v>
      </c>
      <c r="J3197" s="12" t="s">
        <v>196</v>
      </c>
      <c r="K3197" s="12" t="s">
        <v>117</v>
      </c>
      <c r="L3197" s="12" t="s">
        <v>134</v>
      </c>
      <c r="M3197">
        <v>4.7699999999999996</v>
      </c>
      <c r="N3197" s="12" t="s">
        <v>70</v>
      </c>
      <c r="O3197" s="12" t="s">
        <v>71</v>
      </c>
      <c r="P3197" s="12" t="s">
        <v>72</v>
      </c>
      <c r="Q3197" s="13">
        <v>45506</v>
      </c>
      <c r="R3197" s="13">
        <v>45529</v>
      </c>
      <c r="S3197">
        <v>2024</v>
      </c>
      <c r="T3197" s="12" t="s">
        <v>4077</v>
      </c>
      <c r="U3197">
        <v>26</v>
      </c>
      <c r="V3197">
        <v>105.8943</v>
      </c>
      <c r="W3197">
        <v>61.19</v>
      </c>
      <c r="X3197">
        <v>0</v>
      </c>
      <c r="Y3197">
        <v>0</v>
      </c>
      <c r="Z3197">
        <v>2753.25</v>
      </c>
      <c r="AA3197">
        <v>2814.44</v>
      </c>
      <c r="AB3197" s="12" t="s">
        <v>3197</v>
      </c>
      <c r="AC3197">
        <v>105.8943</v>
      </c>
      <c r="AD3197">
        <v>1</v>
      </c>
      <c r="AE3197">
        <v>1</v>
      </c>
      <c r="AF3197">
        <v>0</v>
      </c>
      <c r="AG3197">
        <v>2753.25</v>
      </c>
      <c r="AH3197">
        <v>26</v>
      </c>
      <c r="AI3197">
        <v>25</v>
      </c>
      <c r="AJ3197">
        <v>1</v>
      </c>
      <c r="AK3197">
        <v>1</v>
      </c>
      <c r="AL3197">
        <v>1</v>
      </c>
      <c r="AM3197">
        <v>96.15</v>
      </c>
      <c r="AN3197">
        <v>112.57769999999999</v>
      </c>
      <c r="AO3197">
        <v>105.89</v>
      </c>
      <c r="AP3197" s="13">
        <v>45536</v>
      </c>
      <c r="AQ3197">
        <v>7</v>
      </c>
      <c r="AR3197">
        <v>0</v>
      </c>
    </row>
    <row r="3198" spans="1:44" x14ac:dyDescent="0.35">
      <c r="A3198" s="12" t="s">
        <v>4097</v>
      </c>
      <c r="B3198" s="12" t="s">
        <v>869</v>
      </c>
      <c r="C3198" s="12" t="s">
        <v>870</v>
      </c>
      <c r="D3198" s="12" t="s">
        <v>130</v>
      </c>
      <c r="E3198" s="12" t="s">
        <v>104</v>
      </c>
      <c r="F3198">
        <v>2</v>
      </c>
      <c r="G3198">
        <v>0</v>
      </c>
      <c r="H3198">
        <v>0</v>
      </c>
      <c r="I3198" s="12" t="s">
        <v>515</v>
      </c>
      <c r="J3198" s="12" t="s">
        <v>516</v>
      </c>
      <c r="K3198" s="12" t="s">
        <v>68</v>
      </c>
      <c r="L3198" s="12" t="s">
        <v>134</v>
      </c>
      <c r="M3198">
        <v>3.69</v>
      </c>
      <c r="N3198" s="12" t="s">
        <v>135</v>
      </c>
      <c r="O3198" s="12" t="s">
        <v>136</v>
      </c>
      <c r="P3198" s="12" t="s">
        <v>137</v>
      </c>
      <c r="Q3198" s="13">
        <v>45506</v>
      </c>
      <c r="R3198" s="13">
        <v>45520</v>
      </c>
      <c r="S3198">
        <v>2024</v>
      </c>
      <c r="T3198" s="12" t="s">
        <v>4077</v>
      </c>
      <c r="U3198">
        <v>29</v>
      </c>
      <c r="V3198">
        <v>677.50990000000002</v>
      </c>
      <c r="W3198">
        <v>358.44</v>
      </c>
      <c r="X3198">
        <v>0</v>
      </c>
      <c r="Y3198">
        <v>0</v>
      </c>
      <c r="Z3198">
        <v>19647.79</v>
      </c>
      <c r="AA3198">
        <v>20006.23</v>
      </c>
      <c r="AB3198" s="12" t="s">
        <v>201</v>
      </c>
      <c r="AD3198">
        <v>0</v>
      </c>
      <c r="AE3198">
        <v>0</v>
      </c>
      <c r="AH3198">
        <v>29</v>
      </c>
      <c r="AI3198">
        <v>29</v>
      </c>
      <c r="AJ3198">
        <v>0</v>
      </c>
      <c r="AK3198">
        <v>1</v>
      </c>
      <c r="AL3198">
        <v>1</v>
      </c>
      <c r="AM3198">
        <v>100</v>
      </c>
      <c r="AN3198">
        <v>689.86990000000003</v>
      </c>
      <c r="AO3198">
        <v>0</v>
      </c>
      <c r="AP3198" s="13">
        <v>45517</v>
      </c>
      <c r="AQ3198">
        <v>-3</v>
      </c>
      <c r="AR3198">
        <v>1</v>
      </c>
    </row>
    <row r="3199" spans="1:44" x14ac:dyDescent="0.35">
      <c r="A3199" s="12" t="s">
        <v>4098</v>
      </c>
      <c r="B3199" s="12" t="s">
        <v>587</v>
      </c>
      <c r="C3199" s="12" t="s">
        <v>588</v>
      </c>
      <c r="D3199" s="12" t="s">
        <v>122</v>
      </c>
      <c r="E3199" s="12" t="s">
        <v>104</v>
      </c>
      <c r="F3199">
        <v>2</v>
      </c>
      <c r="G3199">
        <v>0</v>
      </c>
      <c r="H3199">
        <v>0</v>
      </c>
      <c r="I3199" s="12" t="s">
        <v>486</v>
      </c>
      <c r="J3199" s="12" t="s">
        <v>487</v>
      </c>
      <c r="K3199" s="12" t="s">
        <v>125</v>
      </c>
      <c r="L3199" s="12" t="s">
        <v>69</v>
      </c>
      <c r="M3199">
        <v>36.86</v>
      </c>
      <c r="N3199" s="12" t="s">
        <v>70</v>
      </c>
      <c r="O3199" s="12" t="s">
        <v>71</v>
      </c>
      <c r="P3199" s="12" t="s">
        <v>72</v>
      </c>
      <c r="Q3199" s="13">
        <v>45506</v>
      </c>
      <c r="R3199" s="13">
        <v>45524</v>
      </c>
      <c r="S3199">
        <v>2024</v>
      </c>
      <c r="T3199" s="12" t="s">
        <v>4077</v>
      </c>
      <c r="U3199">
        <v>855</v>
      </c>
      <c r="V3199">
        <v>11.9803</v>
      </c>
      <c r="W3199">
        <v>177.44</v>
      </c>
      <c r="X3199">
        <v>0</v>
      </c>
      <c r="Y3199">
        <v>0</v>
      </c>
      <c r="Z3199">
        <v>10243.16</v>
      </c>
      <c r="AA3199">
        <v>10420.6</v>
      </c>
      <c r="AB3199" s="12" t="s">
        <v>3188</v>
      </c>
      <c r="AC3199">
        <v>11.9803</v>
      </c>
      <c r="AD3199">
        <v>1</v>
      </c>
      <c r="AE3199">
        <v>1</v>
      </c>
      <c r="AF3199">
        <v>0</v>
      </c>
      <c r="AG3199">
        <v>10243.16</v>
      </c>
      <c r="AH3199">
        <v>855</v>
      </c>
      <c r="AI3199">
        <v>848</v>
      </c>
      <c r="AJ3199">
        <v>7</v>
      </c>
      <c r="AK3199">
        <v>1</v>
      </c>
      <c r="AL3199">
        <v>1</v>
      </c>
      <c r="AM3199">
        <v>99.18</v>
      </c>
      <c r="AN3199">
        <v>12.288399999999999</v>
      </c>
      <c r="AO3199">
        <v>83.86</v>
      </c>
      <c r="AP3199" s="13">
        <v>45523</v>
      </c>
      <c r="AQ3199">
        <v>-1</v>
      </c>
      <c r="AR3199">
        <v>1</v>
      </c>
    </row>
    <row r="3200" spans="1:44" x14ac:dyDescent="0.35">
      <c r="A3200" s="12" t="s">
        <v>4099</v>
      </c>
      <c r="B3200" s="12" t="s">
        <v>428</v>
      </c>
      <c r="C3200" s="12" t="s">
        <v>429</v>
      </c>
      <c r="D3200" s="12" t="s">
        <v>64</v>
      </c>
      <c r="E3200" s="12" t="s">
        <v>65</v>
      </c>
      <c r="F3200">
        <v>3</v>
      </c>
      <c r="G3200">
        <v>4</v>
      </c>
      <c r="H3200">
        <v>0</v>
      </c>
      <c r="I3200" s="12" t="s">
        <v>123</v>
      </c>
      <c r="J3200" s="12" t="s">
        <v>124</v>
      </c>
      <c r="K3200" s="12" t="s">
        <v>125</v>
      </c>
      <c r="L3200" s="12" t="s">
        <v>82</v>
      </c>
      <c r="M3200">
        <v>6.75</v>
      </c>
      <c r="N3200" s="12" t="s">
        <v>97</v>
      </c>
      <c r="O3200" s="12" t="s">
        <v>98</v>
      </c>
      <c r="P3200" s="12" t="s">
        <v>72</v>
      </c>
      <c r="Q3200" s="13">
        <v>45506</v>
      </c>
      <c r="R3200" s="13">
        <v>45528</v>
      </c>
      <c r="S3200">
        <v>2024</v>
      </c>
      <c r="T3200" s="12" t="s">
        <v>4077</v>
      </c>
      <c r="U3200">
        <v>151</v>
      </c>
      <c r="V3200">
        <v>15.5474</v>
      </c>
      <c r="W3200">
        <v>53.25</v>
      </c>
      <c r="X3200">
        <v>0</v>
      </c>
      <c r="Y3200">
        <v>0</v>
      </c>
      <c r="Z3200">
        <v>2347.66</v>
      </c>
      <c r="AA3200">
        <v>2400.91</v>
      </c>
      <c r="AB3200" s="12" t="s">
        <v>201</v>
      </c>
      <c r="AD3200">
        <v>0</v>
      </c>
      <c r="AE3200">
        <v>0</v>
      </c>
      <c r="AH3200">
        <v>151</v>
      </c>
      <c r="AI3200">
        <v>150</v>
      </c>
      <c r="AJ3200">
        <v>1</v>
      </c>
      <c r="AK3200">
        <v>1</v>
      </c>
      <c r="AL3200">
        <v>1</v>
      </c>
      <c r="AM3200">
        <v>99.34</v>
      </c>
      <c r="AN3200">
        <v>16.006</v>
      </c>
      <c r="AO3200">
        <v>15.55</v>
      </c>
      <c r="AP3200" s="13">
        <v>45525</v>
      </c>
      <c r="AQ3200">
        <v>-3</v>
      </c>
      <c r="AR3200">
        <v>1</v>
      </c>
    </row>
    <row r="3201" spans="1:44" x14ac:dyDescent="0.35">
      <c r="A3201" s="12" t="s">
        <v>4100</v>
      </c>
      <c r="B3201" s="12" t="s">
        <v>891</v>
      </c>
      <c r="C3201" s="12" t="s">
        <v>892</v>
      </c>
      <c r="D3201" s="12" t="s">
        <v>122</v>
      </c>
      <c r="E3201" s="12" t="s">
        <v>65</v>
      </c>
      <c r="F3201">
        <v>3</v>
      </c>
      <c r="G3201">
        <v>5</v>
      </c>
      <c r="H3201">
        <v>0</v>
      </c>
      <c r="I3201" s="12" t="s">
        <v>195</v>
      </c>
      <c r="J3201" s="12" t="s">
        <v>196</v>
      </c>
      <c r="K3201" s="12" t="s">
        <v>117</v>
      </c>
      <c r="L3201" s="12" t="s">
        <v>134</v>
      </c>
      <c r="M3201">
        <v>4.7699999999999996</v>
      </c>
      <c r="N3201" s="12" t="s">
        <v>70</v>
      </c>
      <c r="O3201" s="12" t="s">
        <v>71</v>
      </c>
      <c r="P3201" s="12" t="s">
        <v>72</v>
      </c>
      <c r="Q3201" s="13">
        <v>45509</v>
      </c>
      <c r="R3201" s="13">
        <v>45533</v>
      </c>
      <c r="S3201">
        <v>2024</v>
      </c>
      <c r="T3201" s="12" t="s">
        <v>4077</v>
      </c>
      <c r="U3201">
        <v>509</v>
      </c>
      <c r="V3201">
        <v>37.859200000000001</v>
      </c>
      <c r="W3201">
        <v>366.79</v>
      </c>
      <c r="X3201">
        <v>0</v>
      </c>
      <c r="Y3201">
        <v>0</v>
      </c>
      <c r="Z3201">
        <v>19270.330000000002</v>
      </c>
      <c r="AA3201">
        <v>19637.12</v>
      </c>
      <c r="AB3201" s="12" t="s">
        <v>3629</v>
      </c>
      <c r="AC3201">
        <v>37.859200000000001</v>
      </c>
      <c r="AD3201">
        <v>1</v>
      </c>
      <c r="AE3201">
        <v>1</v>
      </c>
      <c r="AF3201">
        <v>0</v>
      </c>
      <c r="AG3201">
        <v>19270.330000000002</v>
      </c>
      <c r="AH3201">
        <v>509</v>
      </c>
      <c r="AI3201">
        <v>505</v>
      </c>
      <c r="AJ3201">
        <v>4</v>
      </c>
      <c r="AK3201">
        <v>1</v>
      </c>
      <c r="AL3201">
        <v>1</v>
      </c>
      <c r="AM3201">
        <v>99.21</v>
      </c>
      <c r="AN3201">
        <v>38.885399999999997</v>
      </c>
      <c r="AO3201">
        <v>151.44</v>
      </c>
      <c r="AP3201" s="13">
        <v>45530</v>
      </c>
      <c r="AQ3201">
        <v>-3</v>
      </c>
      <c r="AR3201">
        <v>1</v>
      </c>
    </row>
    <row r="3202" spans="1:44" x14ac:dyDescent="0.35">
      <c r="A3202" s="12" t="s">
        <v>4101</v>
      </c>
      <c r="B3202" s="12" t="s">
        <v>565</v>
      </c>
      <c r="C3202" s="12" t="s">
        <v>566</v>
      </c>
      <c r="D3202" s="12" t="s">
        <v>122</v>
      </c>
      <c r="E3202" s="12" t="s">
        <v>104</v>
      </c>
      <c r="F3202">
        <v>3</v>
      </c>
      <c r="G3202">
        <v>1</v>
      </c>
      <c r="H3202">
        <v>0</v>
      </c>
      <c r="I3202" s="12" t="s">
        <v>87</v>
      </c>
      <c r="J3202" s="12" t="s">
        <v>88</v>
      </c>
      <c r="K3202" s="12" t="s">
        <v>89</v>
      </c>
      <c r="L3202" s="12" t="s">
        <v>69</v>
      </c>
      <c r="M3202">
        <v>14.93</v>
      </c>
      <c r="N3202" s="12" t="s">
        <v>97</v>
      </c>
      <c r="O3202" s="12" t="s">
        <v>98</v>
      </c>
      <c r="P3202" s="12" t="s">
        <v>72</v>
      </c>
      <c r="Q3202" s="13">
        <v>45509</v>
      </c>
      <c r="R3202" s="13">
        <v>45526</v>
      </c>
      <c r="S3202">
        <v>2024</v>
      </c>
      <c r="T3202" s="12" t="s">
        <v>4077</v>
      </c>
      <c r="U3202">
        <v>788</v>
      </c>
      <c r="V3202">
        <v>34.7179</v>
      </c>
      <c r="W3202">
        <v>280.22000000000003</v>
      </c>
      <c r="X3202">
        <v>0</v>
      </c>
      <c r="Y3202">
        <v>0</v>
      </c>
      <c r="Z3202">
        <v>27357.71</v>
      </c>
      <c r="AA3202">
        <v>27637.93</v>
      </c>
      <c r="AB3202" s="12" t="s">
        <v>3238</v>
      </c>
      <c r="AC3202">
        <v>34.7179</v>
      </c>
      <c r="AD3202">
        <v>1</v>
      </c>
      <c r="AE3202">
        <v>1</v>
      </c>
      <c r="AF3202">
        <v>0</v>
      </c>
      <c r="AG3202">
        <v>27357.71</v>
      </c>
      <c r="AH3202">
        <v>788</v>
      </c>
      <c r="AI3202">
        <v>786</v>
      </c>
      <c r="AJ3202">
        <v>2</v>
      </c>
      <c r="AK3202">
        <v>1</v>
      </c>
      <c r="AL3202">
        <v>1</v>
      </c>
      <c r="AM3202">
        <v>99.75</v>
      </c>
      <c r="AN3202">
        <v>35.162799999999997</v>
      </c>
      <c r="AO3202">
        <v>69.44</v>
      </c>
      <c r="AP3202" s="13">
        <v>45523</v>
      </c>
      <c r="AQ3202">
        <v>-3</v>
      </c>
      <c r="AR3202">
        <v>1</v>
      </c>
    </row>
    <row r="3203" spans="1:44" x14ac:dyDescent="0.35">
      <c r="A3203" s="12" t="s">
        <v>4102</v>
      </c>
      <c r="B3203" s="12" t="s">
        <v>284</v>
      </c>
      <c r="C3203" s="12" t="s">
        <v>285</v>
      </c>
      <c r="D3203" s="12" t="s">
        <v>269</v>
      </c>
      <c r="E3203" s="12" t="s">
        <v>104</v>
      </c>
      <c r="F3203">
        <v>3</v>
      </c>
      <c r="G3203">
        <v>1</v>
      </c>
      <c r="H3203">
        <v>0</v>
      </c>
      <c r="I3203" s="12" t="s">
        <v>199</v>
      </c>
      <c r="J3203" s="12" t="s">
        <v>200</v>
      </c>
      <c r="K3203" s="12" t="s">
        <v>68</v>
      </c>
      <c r="L3203" s="12" t="s">
        <v>96</v>
      </c>
      <c r="M3203">
        <v>9.4700000000000006</v>
      </c>
      <c r="N3203" s="12" t="s">
        <v>135</v>
      </c>
      <c r="O3203" s="12" t="s">
        <v>136</v>
      </c>
      <c r="P3203" s="12" t="s">
        <v>137</v>
      </c>
      <c r="Q3203" s="13">
        <v>45509</v>
      </c>
      <c r="R3203" s="13">
        <v>45531</v>
      </c>
      <c r="S3203">
        <v>2024</v>
      </c>
      <c r="T3203" s="12" t="s">
        <v>4077</v>
      </c>
      <c r="U3203">
        <v>89</v>
      </c>
      <c r="V3203">
        <v>416.50060000000002</v>
      </c>
      <c r="W3203">
        <v>749.67</v>
      </c>
      <c r="X3203">
        <v>0</v>
      </c>
      <c r="Y3203">
        <v>0</v>
      </c>
      <c r="Z3203">
        <v>37068.550000000003</v>
      </c>
      <c r="AA3203">
        <v>37818.22</v>
      </c>
      <c r="AB3203" s="12" t="s">
        <v>201</v>
      </c>
      <c r="AD3203">
        <v>0</v>
      </c>
      <c r="AE3203">
        <v>0</v>
      </c>
      <c r="AH3203">
        <v>89</v>
      </c>
      <c r="AI3203">
        <v>88</v>
      </c>
      <c r="AJ3203">
        <v>1</v>
      </c>
      <c r="AK3203">
        <v>1</v>
      </c>
      <c r="AL3203">
        <v>1</v>
      </c>
      <c r="AM3203">
        <v>98.88</v>
      </c>
      <c r="AN3203">
        <v>429.7525</v>
      </c>
      <c r="AO3203">
        <v>416.5</v>
      </c>
      <c r="AP3203" s="13">
        <v>45531</v>
      </c>
      <c r="AQ3203">
        <v>0</v>
      </c>
      <c r="AR3203">
        <v>1</v>
      </c>
    </row>
    <row r="3204" spans="1:44" x14ac:dyDescent="0.35">
      <c r="A3204" s="12" t="s">
        <v>4103</v>
      </c>
      <c r="B3204" s="12" t="s">
        <v>909</v>
      </c>
      <c r="C3204" s="12" t="s">
        <v>910</v>
      </c>
      <c r="D3204" s="12" t="s">
        <v>269</v>
      </c>
      <c r="E3204" s="12" t="s">
        <v>65</v>
      </c>
      <c r="F3204">
        <v>3</v>
      </c>
      <c r="G3204">
        <v>4</v>
      </c>
      <c r="H3204">
        <v>0</v>
      </c>
      <c r="I3204" s="12" t="s">
        <v>199</v>
      </c>
      <c r="J3204" s="12" t="s">
        <v>200</v>
      </c>
      <c r="K3204" s="12" t="s">
        <v>68</v>
      </c>
      <c r="L3204" s="12" t="s">
        <v>96</v>
      </c>
      <c r="M3204">
        <v>9.4700000000000006</v>
      </c>
      <c r="N3204" s="12" t="s">
        <v>135</v>
      </c>
      <c r="O3204" s="12" t="s">
        <v>136</v>
      </c>
      <c r="P3204" s="12" t="s">
        <v>137</v>
      </c>
      <c r="Q3204" s="13">
        <v>45509</v>
      </c>
      <c r="R3204" s="13">
        <v>45535</v>
      </c>
      <c r="S3204">
        <v>2024</v>
      </c>
      <c r="T3204" s="12" t="s">
        <v>4077</v>
      </c>
      <c r="U3204">
        <v>49</v>
      </c>
      <c r="V3204">
        <v>105.6481</v>
      </c>
      <c r="W3204">
        <v>113.9</v>
      </c>
      <c r="X3204">
        <v>0</v>
      </c>
      <c r="Y3204">
        <v>0</v>
      </c>
      <c r="Z3204">
        <v>5176.76</v>
      </c>
      <c r="AA3204">
        <v>5290.66</v>
      </c>
      <c r="AB3204" s="12" t="s">
        <v>3479</v>
      </c>
      <c r="AC3204">
        <v>105.6481</v>
      </c>
      <c r="AD3204">
        <v>1</v>
      </c>
      <c r="AE3204">
        <v>1</v>
      </c>
      <c r="AF3204">
        <v>0</v>
      </c>
      <c r="AG3204">
        <v>5176.76</v>
      </c>
      <c r="AH3204">
        <v>49</v>
      </c>
      <c r="AI3204">
        <v>49</v>
      </c>
      <c r="AJ3204">
        <v>0</v>
      </c>
      <c r="AK3204">
        <v>1</v>
      </c>
      <c r="AL3204">
        <v>1</v>
      </c>
      <c r="AM3204">
        <v>100</v>
      </c>
      <c r="AN3204">
        <v>107.9726</v>
      </c>
      <c r="AO3204">
        <v>0</v>
      </c>
      <c r="AP3204" s="13">
        <v>45532</v>
      </c>
      <c r="AQ3204">
        <v>-3</v>
      </c>
      <c r="AR3204">
        <v>1</v>
      </c>
    </row>
    <row r="3205" spans="1:44" x14ac:dyDescent="0.35">
      <c r="A3205" s="12" t="s">
        <v>4104</v>
      </c>
      <c r="B3205" s="12" t="s">
        <v>657</v>
      </c>
      <c r="C3205" s="12" t="s">
        <v>658</v>
      </c>
      <c r="D3205" s="12" t="s">
        <v>175</v>
      </c>
      <c r="E3205" s="12" t="s">
        <v>65</v>
      </c>
      <c r="F3205">
        <v>1</v>
      </c>
      <c r="G3205">
        <v>2</v>
      </c>
      <c r="H3205">
        <v>1</v>
      </c>
      <c r="I3205" s="12" t="s">
        <v>183</v>
      </c>
      <c r="J3205" s="12" t="s">
        <v>184</v>
      </c>
      <c r="K3205" s="12" t="s">
        <v>133</v>
      </c>
      <c r="L3205" s="12" t="s">
        <v>82</v>
      </c>
      <c r="M3205">
        <v>8.6199999999999992</v>
      </c>
      <c r="N3205" s="12" t="s">
        <v>145</v>
      </c>
      <c r="O3205" s="12" t="s">
        <v>146</v>
      </c>
      <c r="P3205" s="12" t="s">
        <v>109</v>
      </c>
      <c r="Q3205" s="13">
        <v>45509</v>
      </c>
      <c r="R3205" s="13">
        <v>45546</v>
      </c>
      <c r="S3205">
        <v>2024</v>
      </c>
      <c r="T3205" s="12" t="s">
        <v>4077</v>
      </c>
      <c r="U3205">
        <v>136</v>
      </c>
      <c r="V3205">
        <v>157.26599999999999</v>
      </c>
      <c r="W3205">
        <v>152.66</v>
      </c>
      <c r="X3205">
        <v>0</v>
      </c>
      <c r="Y3205">
        <v>0</v>
      </c>
      <c r="Z3205">
        <v>21388.18</v>
      </c>
      <c r="AA3205">
        <v>21540.84</v>
      </c>
      <c r="AB3205" s="12" t="s">
        <v>3525</v>
      </c>
      <c r="AC3205">
        <v>149.10310000000001</v>
      </c>
      <c r="AD3205">
        <v>1</v>
      </c>
      <c r="AE3205">
        <v>1</v>
      </c>
      <c r="AF3205">
        <v>1110.1500000000001</v>
      </c>
      <c r="AG3205">
        <v>20278.02</v>
      </c>
      <c r="AH3205">
        <v>136</v>
      </c>
      <c r="AI3205">
        <v>134</v>
      </c>
      <c r="AJ3205">
        <v>2</v>
      </c>
      <c r="AK3205">
        <v>1</v>
      </c>
      <c r="AL3205">
        <v>1</v>
      </c>
      <c r="AM3205">
        <v>98.53</v>
      </c>
      <c r="AN3205">
        <v>160.7525</v>
      </c>
      <c r="AO3205">
        <v>314.52999999999997</v>
      </c>
      <c r="AP3205" s="13">
        <v>45546</v>
      </c>
      <c r="AQ3205">
        <v>0</v>
      </c>
      <c r="AR3205">
        <v>1</v>
      </c>
    </row>
    <row r="3206" spans="1:44" x14ac:dyDescent="0.35">
      <c r="A3206" s="12" t="s">
        <v>4105</v>
      </c>
      <c r="B3206" s="12" t="s">
        <v>823</v>
      </c>
      <c r="C3206" s="12" t="s">
        <v>824</v>
      </c>
      <c r="D3206" s="12" t="s">
        <v>114</v>
      </c>
      <c r="E3206" s="12" t="s">
        <v>142</v>
      </c>
      <c r="F3206">
        <v>1</v>
      </c>
      <c r="G3206">
        <v>8</v>
      </c>
      <c r="H3206">
        <v>1</v>
      </c>
      <c r="I3206" s="12" t="s">
        <v>515</v>
      </c>
      <c r="J3206" s="12" t="s">
        <v>516</v>
      </c>
      <c r="K3206" s="12" t="s">
        <v>68</v>
      </c>
      <c r="L3206" s="12" t="s">
        <v>134</v>
      </c>
      <c r="M3206">
        <v>3.69</v>
      </c>
      <c r="N3206" s="12" t="s">
        <v>70</v>
      </c>
      <c r="O3206" s="12" t="s">
        <v>71</v>
      </c>
      <c r="P3206" s="12" t="s">
        <v>72</v>
      </c>
      <c r="Q3206" s="13">
        <v>45509</v>
      </c>
      <c r="R3206" s="13">
        <v>45555</v>
      </c>
      <c r="S3206">
        <v>2024</v>
      </c>
      <c r="T3206" s="12" t="s">
        <v>4077</v>
      </c>
      <c r="U3206">
        <v>95</v>
      </c>
      <c r="V3206">
        <v>361.71230000000003</v>
      </c>
      <c r="W3206">
        <v>785.09</v>
      </c>
      <c r="X3206">
        <v>1078.04</v>
      </c>
      <c r="Y3206">
        <v>1</v>
      </c>
      <c r="Z3206">
        <v>34362.67</v>
      </c>
      <c r="AA3206">
        <v>36225.800000000003</v>
      </c>
      <c r="AB3206" s="12" t="s">
        <v>3483</v>
      </c>
      <c r="AC3206">
        <v>361.71230000000003</v>
      </c>
      <c r="AD3206">
        <v>1</v>
      </c>
      <c r="AE3206">
        <v>1</v>
      </c>
      <c r="AF3206">
        <v>0</v>
      </c>
      <c r="AG3206">
        <v>34362.67</v>
      </c>
      <c r="AH3206">
        <v>95</v>
      </c>
      <c r="AI3206">
        <v>94</v>
      </c>
      <c r="AJ3206">
        <v>1</v>
      </c>
      <c r="AK3206">
        <v>1</v>
      </c>
      <c r="AL3206">
        <v>1</v>
      </c>
      <c r="AM3206">
        <v>98.95</v>
      </c>
      <c r="AN3206">
        <v>385.38080000000002</v>
      </c>
      <c r="AO3206">
        <v>361.71</v>
      </c>
      <c r="AP3206" s="13">
        <v>45561</v>
      </c>
      <c r="AQ3206">
        <v>6</v>
      </c>
      <c r="AR3206">
        <v>0</v>
      </c>
    </row>
    <row r="3207" spans="1:44" x14ac:dyDescent="0.35">
      <c r="A3207" s="12" t="s">
        <v>4106</v>
      </c>
      <c r="B3207" s="12" t="s">
        <v>231</v>
      </c>
      <c r="C3207" s="12" t="s">
        <v>232</v>
      </c>
      <c r="D3207" s="12" t="s">
        <v>130</v>
      </c>
      <c r="E3207" s="12" t="s">
        <v>65</v>
      </c>
      <c r="F3207">
        <v>1</v>
      </c>
      <c r="G3207">
        <v>2</v>
      </c>
      <c r="H3207">
        <v>1</v>
      </c>
      <c r="I3207" s="12" t="s">
        <v>233</v>
      </c>
      <c r="J3207" s="12" t="s">
        <v>234</v>
      </c>
      <c r="K3207" s="12" t="s">
        <v>125</v>
      </c>
      <c r="L3207" s="12" t="s">
        <v>96</v>
      </c>
      <c r="M3207">
        <v>3.73</v>
      </c>
      <c r="N3207" s="12" t="s">
        <v>159</v>
      </c>
      <c r="O3207" s="12" t="s">
        <v>160</v>
      </c>
      <c r="P3207" s="12" t="s">
        <v>137</v>
      </c>
      <c r="Q3207" s="13">
        <v>45509</v>
      </c>
      <c r="R3207" s="13">
        <v>45539</v>
      </c>
      <c r="S3207">
        <v>2024</v>
      </c>
      <c r="T3207" s="12" t="s">
        <v>4077</v>
      </c>
      <c r="U3207">
        <v>87</v>
      </c>
      <c r="V3207">
        <v>467.67619999999999</v>
      </c>
      <c r="W3207">
        <v>281.54000000000002</v>
      </c>
      <c r="X3207">
        <v>0</v>
      </c>
      <c r="Y3207">
        <v>0</v>
      </c>
      <c r="Z3207">
        <v>40687.83</v>
      </c>
      <c r="AA3207">
        <v>40969.370000000003</v>
      </c>
      <c r="AB3207" s="12" t="s">
        <v>201</v>
      </c>
      <c r="AD3207">
        <v>0</v>
      </c>
      <c r="AE3207">
        <v>0</v>
      </c>
      <c r="AH3207">
        <v>87</v>
      </c>
      <c r="AI3207">
        <v>86</v>
      </c>
      <c r="AJ3207">
        <v>1</v>
      </c>
      <c r="AK3207">
        <v>1</v>
      </c>
      <c r="AL3207">
        <v>1</v>
      </c>
      <c r="AM3207">
        <v>98.85</v>
      </c>
      <c r="AN3207">
        <v>476.38799999999998</v>
      </c>
      <c r="AO3207">
        <v>467.68</v>
      </c>
      <c r="AP3207" s="13">
        <v>45538</v>
      </c>
      <c r="AQ3207">
        <v>-1</v>
      </c>
      <c r="AR3207">
        <v>1</v>
      </c>
    </row>
    <row r="3208" spans="1:44" x14ac:dyDescent="0.35">
      <c r="A3208" s="12" t="s">
        <v>4107</v>
      </c>
      <c r="B3208" s="12" t="s">
        <v>482</v>
      </c>
      <c r="C3208" s="12" t="s">
        <v>483</v>
      </c>
      <c r="D3208" s="12" t="s">
        <v>78</v>
      </c>
      <c r="E3208" s="12" t="s">
        <v>142</v>
      </c>
      <c r="F3208">
        <v>2</v>
      </c>
      <c r="G3208">
        <v>9</v>
      </c>
      <c r="H3208">
        <v>0</v>
      </c>
      <c r="I3208" s="12" t="s">
        <v>87</v>
      </c>
      <c r="J3208" s="12" t="s">
        <v>88</v>
      </c>
      <c r="K3208" s="12" t="s">
        <v>89</v>
      </c>
      <c r="L3208" s="12" t="s">
        <v>69</v>
      </c>
      <c r="M3208">
        <v>14.93</v>
      </c>
      <c r="N3208" s="12" t="s">
        <v>70</v>
      </c>
      <c r="O3208" s="12" t="s">
        <v>71</v>
      </c>
      <c r="P3208" s="12" t="s">
        <v>72</v>
      </c>
      <c r="Q3208" s="13">
        <v>45509</v>
      </c>
      <c r="R3208" s="13">
        <v>45550</v>
      </c>
      <c r="S3208">
        <v>2024</v>
      </c>
      <c r="T3208" s="12" t="s">
        <v>4077</v>
      </c>
      <c r="U3208">
        <v>126</v>
      </c>
      <c r="V3208">
        <v>47.101599999999998</v>
      </c>
      <c r="W3208">
        <v>73.2</v>
      </c>
      <c r="X3208">
        <v>0</v>
      </c>
      <c r="Y3208">
        <v>0</v>
      </c>
      <c r="Z3208">
        <v>5934.8</v>
      </c>
      <c r="AA3208">
        <v>6008</v>
      </c>
      <c r="AB3208" s="12" t="s">
        <v>3145</v>
      </c>
      <c r="AC3208">
        <v>47.101599999999998</v>
      </c>
      <c r="AD3208">
        <v>1</v>
      </c>
      <c r="AE3208">
        <v>1</v>
      </c>
      <c r="AF3208">
        <v>0</v>
      </c>
      <c r="AG3208">
        <v>5934.8</v>
      </c>
      <c r="AH3208">
        <v>126</v>
      </c>
      <c r="AI3208">
        <v>124</v>
      </c>
      <c r="AJ3208">
        <v>2</v>
      </c>
      <c r="AK3208">
        <v>1</v>
      </c>
      <c r="AL3208">
        <v>1</v>
      </c>
      <c r="AM3208">
        <v>98.41</v>
      </c>
      <c r="AN3208">
        <v>48.451599999999999</v>
      </c>
      <c r="AO3208">
        <v>94.2</v>
      </c>
      <c r="AP3208" s="13">
        <v>45548</v>
      </c>
      <c r="AQ3208">
        <v>-2</v>
      </c>
      <c r="AR3208">
        <v>1</v>
      </c>
    </row>
    <row r="3209" spans="1:44" x14ac:dyDescent="0.35">
      <c r="A3209" s="12" t="s">
        <v>4108</v>
      </c>
      <c r="B3209" s="12" t="s">
        <v>494</v>
      </c>
      <c r="C3209" s="12" t="s">
        <v>495</v>
      </c>
      <c r="D3209" s="12" t="s">
        <v>175</v>
      </c>
      <c r="E3209" s="12" t="s">
        <v>65</v>
      </c>
      <c r="F3209">
        <v>2</v>
      </c>
      <c r="G3209">
        <v>3</v>
      </c>
      <c r="H3209">
        <v>0</v>
      </c>
      <c r="I3209" s="12" t="s">
        <v>515</v>
      </c>
      <c r="J3209" s="12" t="s">
        <v>516</v>
      </c>
      <c r="K3209" s="12" t="s">
        <v>68</v>
      </c>
      <c r="L3209" s="12" t="s">
        <v>134</v>
      </c>
      <c r="M3209">
        <v>3.69</v>
      </c>
      <c r="N3209" s="12" t="s">
        <v>145</v>
      </c>
      <c r="O3209" s="12" t="s">
        <v>146</v>
      </c>
      <c r="P3209" s="12" t="s">
        <v>109</v>
      </c>
      <c r="Q3209" s="13">
        <v>45509</v>
      </c>
      <c r="R3209" s="13">
        <v>45530</v>
      </c>
      <c r="S3209">
        <v>2024</v>
      </c>
      <c r="T3209" s="12" t="s">
        <v>4077</v>
      </c>
      <c r="U3209">
        <v>13</v>
      </c>
      <c r="V3209">
        <v>157.60329999999999</v>
      </c>
      <c r="W3209">
        <v>48</v>
      </c>
      <c r="X3209">
        <v>0</v>
      </c>
      <c r="Y3209">
        <v>0</v>
      </c>
      <c r="Z3209">
        <v>2048.84</v>
      </c>
      <c r="AA3209">
        <v>2096.84</v>
      </c>
      <c r="AB3209" s="12" t="s">
        <v>2807</v>
      </c>
      <c r="AC3209">
        <v>157.60329999999999</v>
      </c>
      <c r="AD3209">
        <v>1</v>
      </c>
      <c r="AE3209">
        <v>1</v>
      </c>
      <c r="AF3209">
        <v>0</v>
      </c>
      <c r="AG3209">
        <v>2048.84</v>
      </c>
      <c r="AH3209">
        <v>13</v>
      </c>
      <c r="AI3209">
        <v>13</v>
      </c>
      <c r="AJ3209">
        <v>0</v>
      </c>
      <c r="AK3209">
        <v>1</v>
      </c>
      <c r="AL3209">
        <v>1</v>
      </c>
      <c r="AM3209">
        <v>100</v>
      </c>
      <c r="AN3209">
        <v>161.29560000000001</v>
      </c>
      <c r="AO3209">
        <v>0</v>
      </c>
      <c r="AP3209" s="13">
        <v>45528</v>
      </c>
      <c r="AQ3209">
        <v>-2</v>
      </c>
      <c r="AR3209">
        <v>1</v>
      </c>
    </row>
    <row r="3210" spans="1:44" x14ac:dyDescent="0.35">
      <c r="A3210" s="12" t="s">
        <v>4109</v>
      </c>
      <c r="B3210" s="12" t="s">
        <v>238</v>
      </c>
      <c r="C3210" s="12" t="s">
        <v>239</v>
      </c>
      <c r="D3210" s="12" t="s">
        <v>122</v>
      </c>
      <c r="E3210" s="12" t="s">
        <v>65</v>
      </c>
      <c r="F3210">
        <v>3</v>
      </c>
      <c r="G3210">
        <v>4</v>
      </c>
      <c r="H3210">
        <v>0</v>
      </c>
      <c r="I3210" s="12" t="s">
        <v>79</v>
      </c>
      <c r="J3210" s="12" t="s">
        <v>80</v>
      </c>
      <c r="K3210" s="12" t="s">
        <v>81</v>
      </c>
      <c r="L3210" s="12" t="s">
        <v>82</v>
      </c>
      <c r="M3210">
        <v>12.07</v>
      </c>
      <c r="N3210" s="12" t="s">
        <v>70</v>
      </c>
      <c r="O3210" s="12" t="s">
        <v>71</v>
      </c>
      <c r="P3210" s="12" t="s">
        <v>72</v>
      </c>
      <c r="Q3210" s="13">
        <v>45509</v>
      </c>
      <c r="R3210" s="13">
        <v>45533</v>
      </c>
      <c r="S3210">
        <v>2024</v>
      </c>
      <c r="T3210" s="12" t="s">
        <v>4077</v>
      </c>
      <c r="U3210">
        <v>546</v>
      </c>
      <c r="V3210">
        <v>35.6462</v>
      </c>
      <c r="W3210">
        <v>329.07</v>
      </c>
      <c r="X3210">
        <v>0</v>
      </c>
      <c r="Y3210">
        <v>0</v>
      </c>
      <c r="Z3210">
        <v>19462.830000000002</v>
      </c>
      <c r="AA3210">
        <v>19791.900000000001</v>
      </c>
      <c r="AB3210" s="12" t="s">
        <v>2688</v>
      </c>
      <c r="AC3210">
        <v>35.6462</v>
      </c>
      <c r="AD3210">
        <v>1</v>
      </c>
      <c r="AE3210">
        <v>1</v>
      </c>
      <c r="AF3210">
        <v>0</v>
      </c>
      <c r="AG3210">
        <v>19462.830000000002</v>
      </c>
      <c r="AH3210">
        <v>546</v>
      </c>
      <c r="AI3210">
        <v>544</v>
      </c>
      <c r="AJ3210">
        <v>2</v>
      </c>
      <c r="AK3210">
        <v>1</v>
      </c>
      <c r="AL3210">
        <v>1</v>
      </c>
      <c r="AM3210">
        <v>99.63</v>
      </c>
      <c r="AN3210">
        <v>36.382199999999997</v>
      </c>
      <c r="AO3210">
        <v>71.290000000000006</v>
      </c>
      <c r="AP3210" s="13">
        <v>45530</v>
      </c>
      <c r="AQ3210">
        <v>-3</v>
      </c>
      <c r="AR3210">
        <v>1</v>
      </c>
    </row>
    <row r="3211" spans="1:44" x14ac:dyDescent="0.35">
      <c r="A3211" s="12" t="s">
        <v>4110</v>
      </c>
      <c r="B3211" s="12" t="s">
        <v>747</v>
      </c>
      <c r="C3211" s="12" t="s">
        <v>748</v>
      </c>
      <c r="D3211" s="12" t="s">
        <v>114</v>
      </c>
      <c r="E3211" s="12" t="s">
        <v>104</v>
      </c>
      <c r="F3211">
        <v>2</v>
      </c>
      <c r="G3211">
        <v>0</v>
      </c>
      <c r="H3211">
        <v>0</v>
      </c>
      <c r="I3211" s="12" t="s">
        <v>380</v>
      </c>
      <c r="J3211" s="12" t="s">
        <v>381</v>
      </c>
      <c r="K3211" s="12" t="s">
        <v>89</v>
      </c>
      <c r="L3211" s="12" t="s">
        <v>96</v>
      </c>
      <c r="M3211">
        <v>10.210000000000001</v>
      </c>
      <c r="N3211" s="12" t="s">
        <v>70</v>
      </c>
      <c r="O3211" s="12" t="s">
        <v>71</v>
      </c>
      <c r="P3211" s="12" t="s">
        <v>72</v>
      </c>
      <c r="Q3211" s="13">
        <v>45510</v>
      </c>
      <c r="R3211" s="13">
        <v>45534</v>
      </c>
      <c r="S3211">
        <v>2024</v>
      </c>
      <c r="T3211" s="12" t="s">
        <v>4077</v>
      </c>
      <c r="U3211">
        <v>103</v>
      </c>
      <c r="V3211">
        <v>252.6044</v>
      </c>
      <c r="W3211">
        <v>317.49</v>
      </c>
      <c r="X3211">
        <v>0</v>
      </c>
      <c r="Y3211">
        <v>0</v>
      </c>
      <c r="Z3211">
        <v>26018.25</v>
      </c>
      <c r="AA3211">
        <v>26335.74</v>
      </c>
      <c r="AB3211" s="12" t="s">
        <v>3072</v>
      </c>
      <c r="AC3211">
        <v>242.0575</v>
      </c>
      <c r="AD3211">
        <v>1</v>
      </c>
      <c r="AE3211">
        <v>1</v>
      </c>
      <c r="AF3211">
        <v>1086.33</v>
      </c>
      <c r="AG3211">
        <v>24931.919999999998</v>
      </c>
      <c r="AH3211">
        <v>103</v>
      </c>
      <c r="AI3211">
        <v>101</v>
      </c>
      <c r="AJ3211">
        <v>2</v>
      </c>
      <c r="AK3211">
        <v>1</v>
      </c>
      <c r="AL3211">
        <v>1</v>
      </c>
      <c r="AM3211">
        <v>98.06</v>
      </c>
      <c r="AN3211">
        <v>260.74990000000003</v>
      </c>
      <c r="AO3211">
        <v>505.21</v>
      </c>
      <c r="AP3211" s="13">
        <v>45537</v>
      </c>
      <c r="AQ3211">
        <v>3</v>
      </c>
      <c r="AR3211">
        <v>0</v>
      </c>
    </row>
    <row r="3212" spans="1:44" x14ac:dyDescent="0.35">
      <c r="A3212" s="12" t="s">
        <v>4111</v>
      </c>
      <c r="B3212" s="12" t="s">
        <v>621</v>
      </c>
      <c r="C3212" s="12" t="s">
        <v>622</v>
      </c>
      <c r="D3212" s="12" t="s">
        <v>103</v>
      </c>
      <c r="E3212" s="12" t="s">
        <v>65</v>
      </c>
      <c r="F3212">
        <v>1</v>
      </c>
      <c r="G3212">
        <v>2</v>
      </c>
      <c r="H3212">
        <v>1</v>
      </c>
      <c r="I3212" s="12" t="s">
        <v>486</v>
      </c>
      <c r="J3212" s="12" t="s">
        <v>487</v>
      </c>
      <c r="K3212" s="12" t="s">
        <v>125</v>
      </c>
      <c r="L3212" s="12" t="s">
        <v>69</v>
      </c>
      <c r="M3212">
        <v>36.86</v>
      </c>
      <c r="N3212" s="12" t="s">
        <v>145</v>
      </c>
      <c r="O3212" s="12" t="s">
        <v>146</v>
      </c>
      <c r="P3212" s="12" t="s">
        <v>109</v>
      </c>
      <c r="Q3212" s="13">
        <v>45510</v>
      </c>
      <c r="R3212" s="13">
        <v>45546</v>
      </c>
      <c r="S3212">
        <v>2024</v>
      </c>
      <c r="T3212" s="12" t="s">
        <v>4077</v>
      </c>
      <c r="U3212">
        <v>130</v>
      </c>
      <c r="V3212">
        <v>201.08609999999999</v>
      </c>
      <c r="W3212">
        <v>666.44</v>
      </c>
      <c r="X3212">
        <v>0</v>
      </c>
      <c r="Y3212">
        <v>0</v>
      </c>
      <c r="Z3212">
        <v>26141.19</v>
      </c>
      <c r="AA3212">
        <v>26807.63</v>
      </c>
      <c r="AB3212" s="12" t="s">
        <v>2658</v>
      </c>
      <c r="AC3212">
        <v>201.08609999999999</v>
      </c>
      <c r="AD3212">
        <v>1</v>
      </c>
      <c r="AE3212">
        <v>1</v>
      </c>
      <c r="AF3212">
        <v>0</v>
      </c>
      <c r="AG3212">
        <v>26141.19</v>
      </c>
      <c r="AH3212">
        <v>130</v>
      </c>
      <c r="AI3212">
        <v>129</v>
      </c>
      <c r="AJ3212">
        <v>1</v>
      </c>
      <c r="AK3212">
        <v>1</v>
      </c>
      <c r="AL3212">
        <v>1</v>
      </c>
      <c r="AM3212">
        <v>99.23</v>
      </c>
      <c r="AN3212">
        <v>207.81110000000001</v>
      </c>
      <c r="AO3212">
        <v>201.09</v>
      </c>
      <c r="AP3212" s="13">
        <v>45543</v>
      </c>
      <c r="AQ3212">
        <v>-3</v>
      </c>
      <c r="AR3212">
        <v>1</v>
      </c>
    </row>
    <row r="3213" spans="1:44" x14ac:dyDescent="0.35">
      <c r="A3213" s="12" t="s">
        <v>4112</v>
      </c>
      <c r="B3213" s="12" t="s">
        <v>941</v>
      </c>
      <c r="C3213" s="12" t="s">
        <v>942</v>
      </c>
      <c r="D3213" s="12" t="s">
        <v>130</v>
      </c>
      <c r="E3213" s="12" t="s">
        <v>104</v>
      </c>
      <c r="F3213">
        <v>2</v>
      </c>
      <c r="G3213">
        <v>0</v>
      </c>
      <c r="H3213">
        <v>0</v>
      </c>
      <c r="I3213" s="12" t="s">
        <v>131</v>
      </c>
      <c r="J3213" s="12" t="s">
        <v>132</v>
      </c>
      <c r="K3213" s="12" t="s">
        <v>133</v>
      </c>
      <c r="L3213" s="12" t="s">
        <v>134</v>
      </c>
      <c r="M3213">
        <v>1.51</v>
      </c>
      <c r="N3213" s="12" t="s">
        <v>135</v>
      </c>
      <c r="O3213" s="12" t="s">
        <v>136</v>
      </c>
      <c r="P3213" s="12" t="s">
        <v>137</v>
      </c>
      <c r="Q3213" s="13">
        <v>45510</v>
      </c>
      <c r="R3213" s="13">
        <v>45533</v>
      </c>
      <c r="S3213">
        <v>2024</v>
      </c>
      <c r="T3213" s="12" t="s">
        <v>4077</v>
      </c>
      <c r="U3213">
        <v>98</v>
      </c>
      <c r="V3213">
        <v>839.4819</v>
      </c>
      <c r="W3213">
        <v>1075.29</v>
      </c>
      <c r="X3213">
        <v>0</v>
      </c>
      <c r="Y3213">
        <v>0</v>
      </c>
      <c r="Z3213">
        <v>82269.23</v>
      </c>
      <c r="AA3213">
        <v>83344.52</v>
      </c>
      <c r="AB3213" s="12" t="s">
        <v>3518</v>
      </c>
      <c r="AC3213">
        <v>839.4819</v>
      </c>
      <c r="AD3213">
        <v>1</v>
      </c>
      <c r="AE3213">
        <v>1</v>
      </c>
      <c r="AF3213">
        <v>0</v>
      </c>
      <c r="AG3213">
        <v>82269.23</v>
      </c>
      <c r="AH3213">
        <v>98</v>
      </c>
      <c r="AI3213">
        <v>90</v>
      </c>
      <c r="AJ3213">
        <v>8</v>
      </c>
      <c r="AK3213">
        <v>1</v>
      </c>
      <c r="AL3213">
        <v>1</v>
      </c>
      <c r="AM3213">
        <v>91.84</v>
      </c>
      <c r="AN3213">
        <v>926.05020000000002</v>
      </c>
      <c r="AO3213">
        <v>6715.86</v>
      </c>
      <c r="AP3213" s="13">
        <v>45533</v>
      </c>
      <c r="AQ3213">
        <v>0</v>
      </c>
      <c r="AR3213">
        <v>1</v>
      </c>
    </row>
    <row r="3214" spans="1:44" x14ac:dyDescent="0.35">
      <c r="A3214" s="12" t="s">
        <v>4113</v>
      </c>
      <c r="B3214" s="12" t="s">
        <v>498</v>
      </c>
      <c r="C3214" s="12" t="s">
        <v>499</v>
      </c>
      <c r="D3214" s="12" t="s">
        <v>175</v>
      </c>
      <c r="E3214" s="12" t="s">
        <v>104</v>
      </c>
      <c r="F3214">
        <v>3</v>
      </c>
      <c r="G3214">
        <v>1</v>
      </c>
      <c r="H3214">
        <v>0</v>
      </c>
      <c r="I3214" s="12" t="s">
        <v>233</v>
      </c>
      <c r="J3214" s="12" t="s">
        <v>234</v>
      </c>
      <c r="K3214" s="12" t="s">
        <v>125</v>
      </c>
      <c r="L3214" s="12" t="s">
        <v>96</v>
      </c>
      <c r="M3214">
        <v>3.73</v>
      </c>
      <c r="N3214" s="12" t="s">
        <v>107</v>
      </c>
      <c r="O3214" s="12" t="s">
        <v>108</v>
      </c>
      <c r="P3214" s="12" t="s">
        <v>109</v>
      </c>
      <c r="Q3214" s="13">
        <v>45510</v>
      </c>
      <c r="R3214" s="13">
        <v>45526</v>
      </c>
      <c r="S3214">
        <v>2024</v>
      </c>
      <c r="T3214" s="12" t="s">
        <v>4077</v>
      </c>
      <c r="U3214">
        <v>45</v>
      </c>
      <c r="V3214">
        <v>268.74209999999999</v>
      </c>
      <c r="W3214">
        <v>292.70999999999998</v>
      </c>
      <c r="X3214">
        <v>0</v>
      </c>
      <c r="Y3214">
        <v>0</v>
      </c>
      <c r="Z3214">
        <v>12093.39</v>
      </c>
      <c r="AA3214">
        <v>12386.1</v>
      </c>
      <c r="AB3214" s="12" t="s">
        <v>3032</v>
      </c>
      <c r="AC3214">
        <v>268.74209999999999</v>
      </c>
      <c r="AD3214">
        <v>1</v>
      </c>
      <c r="AE3214">
        <v>1</v>
      </c>
      <c r="AF3214">
        <v>0</v>
      </c>
      <c r="AG3214">
        <v>12093.39</v>
      </c>
      <c r="AH3214">
        <v>45</v>
      </c>
      <c r="AI3214">
        <v>45</v>
      </c>
      <c r="AJ3214">
        <v>0</v>
      </c>
      <c r="AK3214">
        <v>1</v>
      </c>
      <c r="AL3214">
        <v>1</v>
      </c>
      <c r="AM3214">
        <v>100</v>
      </c>
      <c r="AN3214">
        <v>275.24680000000001</v>
      </c>
      <c r="AO3214">
        <v>0</v>
      </c>
      <c r="AP3214" s="13">
        <v>45524</v>
      </c>
      <c r="AQ3214">
        <v>-2</v>
      </c>
      <c r="AR3214">
        <v>1</v>
      </c>
    </row>
    <row r="3215" spans="1:44" x14ac:dyDescent="0.35">
      <c r="A3215" s="12" t="s">
        <v>4114</v>
      </c>
      <c r="B3215" s="12" t="s">
        <v>347</v>
      </c>
      <c r="C3215" s="12" t="s">
        <v>348</v>
      </c>
      <c r="D3215" s="12" t="s">
        <v>78</v>
      </c>
      <c r="E3215" s="12" t="s">
        <v>104</v>
      </c>
      <c r="F3215">
        <v>3</v>
      </c>
      <c r="G3215">
        <v>1</v>
      </c>
      <c r="H3215">
        <v>0</v>
      </c>
      <c r="I3215" s="12" t="s">
        <v>209</v>
      </c>
      <c r="J3215" s="12" t="s">
        <v>210</v>
      </c>
      <c r="K3215" s="12" t="s">
        <v>133</v>
      </c>
      <c r="L3215" s="12" t="s">
        <v>96</v>
      </c>
      <c r="M3215">
        <v>7.82</v>
      </c>
      <c r="N3215" s="12" t="s">
        <v>97</v>
      </c>
      <c r="O3215" s="12" t="s">
        <v>98</v>
      </c>
      <c r="P3215" s="12" t="s">
        <v>72</v>
      </c>
      <c r="Q3215" s="13">
        <v>45511</v>
      </c>
      <c r="R3215" s="13">
        <v>45531</v>
      </c>
      <c r="S3215">
        <v>2024</v>
      </c>
      <c r="T3215" s="12" t="s">
        <v>4077</v>
      </c>
      <c r="U3215">
        <v>156</v>
      </c>
      <c r="V3215">
        <v>95.119299999999996</v>
      </c>
      <c r="W3215">
        <v>327.83</v>
      </c>
      <c r="X3215">
        <v>0</v>
      </c>
      <c r="Y3215">
        <v>0</v>
      </c>
      <c r="Z3215">
        <v>14838.61</v>
      </c>
      <c r="AA3215">
        <v>15166.44</v>
      </c>
      <c r="AB3215" s="12" t="s">
        <v>4115</v>
      </c>
      <c r="AC3215">
        <v>95.119299999999996</v>
      </c>
      <c r="AD3215">
        <v>1</v>
      </c>
      <c r="AE3215">
        <v>1</v>
      </c>
      <c r="AF3215">
        <v>0</v>
      </c>
      <c r="AG3215">
        <v>14838.61</v>
      </c>
      <c r="AH3215">
        <v>156</v>
      </c>
      <c r="AI3215">
        <v>154</v>
      </c>
      <c r="AJ3215">
        <v>2</v>
      </c>
      <c r="AK3215">
        <v>1</v>
      </c>
      <c r="AL3215">
        <v>1</v>
      </c>
      <c r="AM3215">
        <v>98.72</v>
      </c>
      <c r="AN3215">
        <v>98.483400000000003</v>
      </c>
      <c r="AO3215">
        <v>190.24</v>
      </c>
      <c r="AP3215" s="13">
        <v>45531</v>
      </c>
      <c r="AQ3215">
        <v>0</v>
      </c>
      <c r="AR3215">
        <v>1</v>
      </c>
    </row>
    <row r="3216" spans="1:44" x14ac:dyDescent="0.35">
      <c r="A3216" s="12" t="s">
        <v>4116</v>
      </c>
      <c r="B3216" s="12" t="s">
        <v>395</v>
      </c>
      <c r="C3216" s="12" t="s">
        <v>396</v>
      </c>
      <c r="D3216" s="12" t="s">
        <v>130</v>
      </c>
      <c r="E3216" s="12" t="s">
        <v>104</v>
      </c>
      <c r="F3216">
        <v>3</v>
      </c>
      <c r="G3216">
        <v>1</v>
      </c>
      <c r="H3216">
        <v>0</v>
      </c>
      <c r="I3216" s="12" t="s">
        <v>341</v>
      </c>
      <c r="J3216" s="12" t="s">
        <v>342</v>
      </c>
      <c r="K3216" s="12" t="s">
        <v>117</v>
      </c>
      <c r="L3216" s="12" t="s">
        <v>82</v>
      </c>
      <c r="M3216">
        <v>18.36</v>
      </c>
      <c r="N3216" s="12" t="s">
        <v>135</v>
      </c>
      <c r="O3216" s="12" t="s">
        <v>136</v>
      </c>
      <c r="P3216" s="12" t="s">
        <v>137</v>
      </c>
      <c r="Q3216" s="13">
        <v>45511</v>
      </c>
      <c r="R3216" s="13">
        <v>45539</v>
      </c>
      <c r="S3216">
        <v>2024</v>
      </c>
      <c r="T3216" s="12" t="s">
        <v>4077</v>
      </c>
      <c r="U3216">
        <v>141</v>
      </c>
      <c r="V3216">
        <v>174.20429999999999</v>
      </c>
      <c r="W3216">
        <v>314.35000000000002</v>
      </c>
      <c r="X3216">
        <v>0</v>
      </c>
      <c r="Y3216">
        <v>0</v>
      </c>
      <c r="Z3216">
        <v>24562.81</v>
      </c>
      <c r="AA3216">
        <v>24877.16</v>
      </c>
      <c r="AB3216" s="12" t="s">
        <v>2742</v>
      </c>
      <c r="AC3216">
        <v>174.20429999999999</v>
      </c>
      <c r="AD3216">
        <v>1</v>
      </c>
      <c r="AE3216">
        <v>1</v>
      </c>
      <c r="AF3216">
        <v>0</v>
      </c>
      <c r="AG3216">
        <v>24562.81</v>
      </c>
      <c r="AH3216">
        <v>141</v>
      </c>
      <c r="AI3216">
        <v>139</v>
      </c>
      <c r="AJ3216">
        <v>2</v>
      </c>
      <c r="AK3216">
        <v>1</v>
      </c>
      <c r="AL3216">
        <v>1</v>
      </c>
      <c r="AM3216">
        <v>98.58</v>
      </c>
      <c r="AN3216">
        <v>178.97229999999999</v>
      </c>
      <c r="AO3216">
        <v>348.41</v>
      </c>
      <c r="AP3216" s="13">
        <v>45537</v>
      </c>
      <c r="AQ3216">
        <v>-2</v>
      </c>
      <c r="AR3216">
        <v>1</v>
      </c>
    </row>
    <row r="3217" spans="1:44" x14ac:dyDescent="0.35">
      <c r="A3217" s="12" t="s">
        <v>4117</v>
      </c>
      <c r="B3217" s="12" t="s">
        <v>472</v>
      </c>
      <c r="C3217" s="12" t="s">
        <v>473</v>
      </c>
      <c r="D3217" s="12" t="s">
        <v>122</v>
      </c>
      <c r="E3217" s="12" t="s">
        <v>142</v>
      </c>
      <c r="F3217">
        <v>2</v>
      </c>
      <c r="G3217">
        <v>9</v>
      </c>
      <c r="H3217">
        <v>0</v>
      </c>
      <c r="I3217" s="12" t="s">
        <v>209</v>
      </c>
      <c r="J3217" s="12" t="s">
        <v>210</v>
      </c>
      <c r="K3217" s="12" t="s">
        <v>133</v>
      </c>
      <c r="L3217" s="12" t="s">
        <v>96</v>
      </c>
      <c r="M3217">
        <v>7.82</v>
      </c>
      <c r="N3217" s="12" t="s">
        <v>70</v>
      </c>
      <c r="O3217" s="12" t="s">
        <v>71</v>
      </c>
      <c r="P3217" s="12" t="s">
        <v>72</v>
      </c>
      <c r="Q3217" s="13">
        <v>45511</v>
      </c>
      <c r="R3217" s="13">
        <v>45550</v>
      </c>
      <c r="S3217">
        <v>2024</v>
      </c>
      <c r="T3217" s="12" t="s">
        <v>4077</v>
      </c>
      <c r="U3217">
        <v>650</v>
      </c>
      <c r="V3217">
        <v>46.789099999999998</v>
      </c>
      <c r="W3217">
        <v>346.51</v>
      </c>
      <c r="X3217">
        <v>0</v>
      </c>
      <c r="Y3217">
        <v>0</v>
      </c>
      <c r="Z3217">
        <v>30412.92</v>
      </c>
      <c r="AA3217">
        <v>30759.43</v>
      </c>
      <c r="AB3217" s="12" t="s">
        <v>2966</v>
      </c>
      <c r="AC3217">
        <v>46.789099999999998</v>
      </c>
      <c r="AD3217">
        <v>1</v>
      </c>
      <c r="AE3217">
        <v>1</v>
      </c>
      <c r="AF3217">
        <v>0</v>
      </c>
      <c r="AG3217">
        <v>30412.92</v>
      </c>
      <c r="AH3217">
        <v>650</v>
      </c>
      <c r="AI3217">
        <v>648</v>
      </c>
      <c r="AJ3217">
        <v>2</v>
      </c>
      <c r="AK3217">
        <v>1</v>
      </c>
      <c r="AL3217">
        <v>1</v>
      </c>
      <c r="AM3217">
        <v>99.69</v>
      </c>
      <c r="AN3217">
        <v>47.468200000000003</v>
      </c>
      <c r="AO3217">
        <v>93.58</v>
      </c>
      <c r="AP3217" s="13">
        <v>45559</v>
      </c>
      <c r="AQ3217">
        <v>9</v>
      </c>
      <c r="AR3217">
        <v>0</v>
      </c>
    </row>
    <row r="3218" spans="1:44" x14ac:dyDescent="0.35">
      <c r="A3218" s="12" t="s">
        <v>4118</v>
      </c>
      <c r="B3218" s="12" t="s">
        <v>120</v>
      </c>
      <c r="C3218" s="12" t="s">
        <v>121</v>
      </c>
      <c r="D3218" s="12" t="s">
        <v>122</v>
      </c>
      <c r="E3218" s="12" t="s">
        <v>65</v>
      </c>
      <c r="F3218">
        <v>3</v>
      </c>
      <c r="G3218">
        <v>4</v>
      </c>
      <c r="H3218">
        <v>0</v>
      </c>
      <c r="I3218" s="12" t="s">
        <v>123</v>
      </c>
      <c r="J3218" s="12" t="s">
        <v>124</v>
      </c>
      <c r="K3218" s="12" t="s">
        <v>125</v>
      </c>
      <c r="L3218" s="12" t="s">
        <v>82</v>
      </c>
      <c r="M3218">
        <v>6.75</v>
      </c>
      <c r="N3218" s="12" t="s">
        <v>70</v>
      </c>
      <c r="O3218" s="12" t="s">
        <v>71</v>
      </c>
      <c r="P3218" s="12" t="s">
        <v>72</v>
      </c>
      <c r="Q3218" s="13">
        <v>45511</v>
      </c>
      <c r="R3218" s="13">
        <v>45535</v>
      </c>
      <c r="S3218">
        <v>2024</v>
      </c>
      <c r="T3218" s="12" t="s">
        <v>4077</v>
      </c>
      <c r="U3218">
        <v>523</v>
      </c>
      <c r="V3218">
        <v>50.037500000000001</v>
      </c>
      <c r="W3218">
        <v>510.6</v>
      </c>
      <c r="X3218">
        <v>796.47</v>
      </c>
      <c r="Y3218">
        <v>1</v>
      </c>
      <c r="Z3218">
        <v>26169.61</v>
      </c>
      <c r="AA3218">
        <v>27476.68</v>
      </c>
      <c r="AB3218" s="12" t="s">
        <v>2728</v>
      </c>
      <c r="AC3218">
        <v>53.214500000000001</v>
      </c>
      <c r="AD3218">
        <v>1</v>
      </c>
      <c r="AE3218">
        <v>1</v>
      </c>
      <c r="AF3218">
        <v>-1661.57</v>
      </c>
      <c r="AG3218">
        <v>27831.18</v>
      </c>
      <c r="AH3218">
        <v>523</v>
      </c>
      <c r="AI3218">
        <v>522</v>
      </c>
      <c r="AJ3218">
        <v>1</v>
      </c>
      <c r="AK3218">
        <v>1</v>
      </c>
      <c r="AL3218">
        <v>1</v>
      </c>
      <c r="AM3218">
        <v>99.81</v>
      </c>
      <c r="AN3218">
        <v>52.637300000000003</v>
      </c>
      <c r="AO3218">
        <v>50.04</v>
      </c>
      <c r="AP3218" s="13">
        <v>45533</v>
      </c>
      <c r="AQ3218">
        <v>-2</v>
      </c>
      <c r="AR3218">
        <v>1</v>
      </c>
    </row>
    <row r="3219" spans="1:44" x14ac:dyDescent="0.35">
      <c r="A3219" s="12" t="s">
        <v>4119</v>
      </c>
      <c r="B3219" s="12" t="s">
        <v>477</v>
      </c>
      <c r="C3219" s="12" t="s">
        <v>478</v>
      </c>
      <c r="D3219" s="12" t="s">
        <v>130</v>
      </c>
      <c r="E3219" s="12" t="s">
        <v>104</v>
      </c>
      <c r="F3219">
        <v>3</v>
      </c>
      <c r="G3219">
        <v>1</v>
      </c>
      <c r="H3219">
        <v>0</v>
      </c>
      <c r="I3219" s="12" t="s">
        <v>380</v>
      </c>
      <c r="J3219" s="12" t="s">
        <v>381</v>
      </c>
      <c r="K3219" s="12" t="s">
        <v>89</v>
      </c>
      <c r="L3219" s="12" t="s">
        <v>96</v>
      </c>
      <c r="M3219">
        <v>10.210000000000001</v>
      </c>
      <c r="N3219" s="12" t="s">
        <v>135</v>
      </c>
      <c r="O3219" s="12" t="s">
        <v>136</v>
      </c>
      <c r="P3219" s="12" t="s">
        <v>137</v>
      </c>
      <c r="Q3219" s="13">
        <v>45511</v>
      </c>
      <c r="R3219" s="13">
        <v>45534</v>
      </c>
      <c r="S3219">
        <v>2024</v>
      </c>
      <c r="T3219" s="12" t="s">
        <v>4077</v>
      </c>
      <c r="U3219">
        <v>97</v>
      </c>
      <c r="V3219">
        <v>714.96169999999995</v>
      </c>
      <c r="W3219">
        <v>1552.89</v>
      </c>
      <c r="X3219">
        <v>2138.84</v>
      </c>
      <c r="Y3219">
        <v>1</v>
      </c>
      <c r="Z3219">
        <v>69351.28</v>
      </c>
      <c r="AA3219">
        <v>73043.009999999995</v>
      </c>
      <c r="AB3219" s="12" t="s">
        <v>3380</v>
      </c>
      <c r="AC3219">
        <v>714.96169999999995</v>
      </c>
      <c r="AD3219">
        <v>1</v>
      </c>
      <c r="AE3219">
        <v>1</v>
      </c>
      <c r="AF3219">
        <v>0</v>
      </c>
      <c r="AG3219">
        <v>69351.28</v>
      </c>
      <c r="AH3219">
        <v>97</v>
      </c>
      <c r="AI3219">
        <v>96</v>
      </c>
      <c r="AJ3219">
        <v>1</v>
      </c>
      <c r="AK3219">
        <v>1</v>
      </c>
      <c r="AL3219">
        <v>1</v>
      </c>
      <c r="AM3219">
        <v>98.97</v>
      </c>
      <c r="AN3219">
        <v>760.86469999999997</v>
      </c>
      <c r="AO3219">
        <v>714.96</v>
      </c>
      <c r="AP3219" s="13">
        <v>45532</v>
      </c>
      <c r="AQ3219">
        <v>-2</v>
      </c>
      <c r="AR3219">
        <v>1</v>
      </c>
    </row>
    <row r="3220" spans="1:44" x14ac:dyDescent="0.35">
      <c r="A3220" s="12" t="s">
        <v>4120</v>
      </c>
      <c r="B3220" s="12" t="s">
        <v>339</v>
      </c>
      <c r="C3220" s="12" t="s">
        <v>340</v>
      </c>
      <c r="D3220" s="12" t="s">
        <v>103</v>
      </c>
      <c r="E3220" s="12" t="s">
        <v>142</v>
      </c>
      <c r="F3220">
        <v>2</v>
      </c>
      <c r="G3220">
        <v>9</v>
      </c>
      <c r="H3220">
        <v>0</v>
      </c>
      <c r="I3220" s="12" t="s">
        <v>169</v>
      </c>
      <c r="J3220" s="12" t="s">
        <v>170</v>
      </c>
      <c r="K3220" s="12" t="s">
        <v>89</v>
      </c>
      <c r="L3220" s="12" t="s">
        <v>134</v>
      </c>
      <c r="M3220">
        <v>1.37</v>
      </c>
      <c r="N3220" s="12" t="s">
        <v>145</v>
      </c>
      <c r="O3220" s="12" t="s">
        <v>146</v>
      </c>
      <c r="P3220" s="12" t="s">
        <v>109</v>
      </c>
      <c r="Q3220" s="13">
        <v>45511</v>
      </c>
      <c r="R3220" s="13">
        <v>45548</v>
      </c>
      <c r="S3220">
        <v>2024</v>
      </c>
      <c r="T3220" s="12" t="s">
        <v>4077</v>
      </c>
      <c r="U3220">
        <v>32</v>
      </c>
      <c r="V3220">
        <v>243.06290000000001</v>
      </c>
      <c r="W3220">
        <v>170.21</v>
      </c>
      <c r="X3220">
        <v>0</v>
      </c>
      <c r="Y3220">
        <v>0</v>
      </c>
      <c r="Z3220">
        <v>7778.01</v>
      </c>
      <c r="AA3220">
        <v>7948.22</v>
      </c>
      <c r="AB3220" s="12" t="s">
        <v>2786</v>
      </c>
      <c r="AC3220">
        <v>243.06290000000001</v>
      </c>
      <c r="AD3220">
        <v>1</v>
      </c>
      <c r="AE3220">
        <v>1</v>
      </c>
      <c r="AF3220">
        <v>0</v>
      </c>
      <c r="AG3220">
        <v>7778.01</v>
      </c>
      <c r="AH3220">
        <v>32</v>
      </c>
      <c r="AI3220">
        <v>32</v>
      </c>
      <c r="AJ3220">
        <v>0</v>
      </c>
      <c r="AK3220">
        <v>1</v>
      </c>
      <c r="AL3220">
        <v>1</v>
      </c>
      <c r="AM3220">
        <v>100</v>
      </c>
      <c r="AN3220">
        <v>248.38200000000001</v>
      </c>
      <c r="AO3220">
        <v>0</v>
      </c>
      <c r="AP3220" s="13">
        <v>45545</v>
      </c>
      <c r="AQ3220">
        <v>-3</v>
      </c>
      <c r="AR3220">
        <v>1</v>
      </c>
    </row>
    <row r="3221" spans="1:44" x14ac:dyDescent="0.35">
      <c r="A3221" s="12" t="s">
        <v>4121</v>
      </c>
      <c r="B3221" s="12" t="s">
        <v>773</v>
      </c>
      <c r="C3221" s="12" t="s">
        <v>774</v>
      </c>
      <c r="D3221" s="12" t="s">
        <v>64</v>
      </c>
      <c r="E3221" s="12" t="s">
        <v>142</v>
      </c>
      <c r="F3221">
        <v>1</v>
      </c>
      <c r="G3221">
        <v>7</v>
      </c>
      <c r="H3221">
        <v>1</v>
      </c>
      <c r="I3221" s="12" t="s">
        <v>251</v>
      </c>
      <c r="J3221" s="12" t="s">
        <v>252</v>
      </c>
      <c r="K3221" s="12" t="s">
        <v>133</v>
      </c>
      <c r="L3221" s="12" t="s">
        <v>69</v>
      </c>
      <c r="M3221">
        <v>34.49</v>
      </c>
      <c r="N3221" s="12" t="s">
        <v>70</v>
      </c>
      <c r="O3221" s="12" t="s">
        <v>71</v>
      </c>
      <c r="P3221" s="12" t="s">
        <v>72</v>
      </c>
      <c r="Q3221" s="13">
        <v>45511</v>
      </c>
      <c r="R3221" s="13">
        <v>45552</v>
      </c>
      <c r="S3221">
        <v>2024</v>
      </c>
      <c r="T3221" s="12" t="s">
        <v>4077</v>
      </c>
      <c r="U3221">
        <v>417</v>
      </c>
      <c r="V3221">
        <v>10.022600000000001</v>
      </c>
      <c r="W3221">
        <v>96.9</v>
      </c>
      <c r="X3221">
        <v>0</v>
      </c>
      <c r="Y3221">
        <v>0</v>
      </c>
      <c r="Z3221">
        <v>4179.42</v>
      </c>
      <c r="AA3221">
        <v>4276.32</v>
      </c>
      <c r="AB3221" s="12" t="s">
        <v>3354</v>
      </c>
      <c r="AC3221">
        <v>10.022600000000001</v>
      </c>
      <c r="AD3221">
        <v>1</v>
      </c>
      <c r="AE3221">
        <v>1</v>
      </c>
      <c r="AF3221">
        <v>0</v>
      </c>
      <c r="AG3221">
        <v>4179.42</v>
      </c>
      <c r="AH3221">
        <v>417</v>
      </c>
      <c r="AI3221">
        <v>411</v>
      </c>
      <c r="AJ3221">
        <v>6</v>
      </c>
      <c r="AK3221">
        <v>1</v>
      </c>
      <c r="AL3221">
        <v>1</v>
      </c>
      <c r="AM3221">
        <v>98.56</v>
      </c>
      <c r="AN3221">
        <v>10.4047</v>
      </c>
      <c r="AO3221">
        <v>60.14</v>
      </c>
      <c r="AP3221" s="13">
        <v>45550</v>
      </c>
      <c r="AQ3221">
        <v>-2</v>
      </c>
      <c r="AR3221">
        <v>1</v>
      </c>
    </row>
    <row r="3222" spans="1:44" x14ac:dyDescent="0.35">
      <c r="A3222" s="12" t="s">
        <v>4122</v>
      </c>
      <c r="B3222" s="12" t="s">
        <v>490</v>
      </c>
      <c r="C3222" s="12" t="s">
        <v>491</v>
      </c>
      <c r="D3222" s="12" t="s">
        <v>130</v>
      </c>
      <c r="E3222" s="12" t="s">
        <v>104</v>
      </c>
      <c r="F3222">
        <v>3</v>
      </c>
      <c r="G3222">
        <v>1</v>
      </c>
      <c r="H3222">
        <v>0</v>
      </c>
      <c r="I3222" s="12" t="s">
        <v>176</v>
      </c>
      <c r="J3222" s="12" t="s">
        <v>177</v>
      </c>
      <c r="K3222" s="12" t="s">
        <v>125</v>
      </c>
      <c r="L3222" s="12" t="s">
        <v>134</v>
      </c>
      <c r="M3222">
        <v>1.75</v>
      </c>
      <c r="N3222" s="12" t="s">
        <v>159</v>
      </c>
      <c r="O3222" s="12" t="s">
        <v>160</v>
      </c>
      <c r="P3222" s="12" t="s">
        <v>137</v>
      </c>
      <c r="Q3222" s="13">
        <v>45511</v>
      </c>
      <c r="R3222" s="13">
        <v>45539</v>
      </c>
      <c r="S3222">
        <v>2024</v>
      </c>
      <c r="T3222" s="12" t="s">
        <v>4077</v>
      </c>
      <c r="U3222">
        <v>141</v>
      </c>
      <c r="V3222">
        <v>275.85590000000002</v>
      </c>
      <c r="W3222">
        <v>762.11</v>
      </c>
      <c r="X3222">
        <v>0</v>
      </c>
      <c r="Y3222">
        <v>0</v>
      </c>
      <c r="Z3222">
        <v>38895.68</v>
      </c>
      <c r="AA3222">
        <v>39657.79</v>
      </c>
      <c r="AB3222" s="12" t="s">
        <v>3122</v>
      </c>
      <c r="AC3222">
        <v>264.23239999999998</v>
      </c>
      <c r="AD3222">
        <v>1</v>
      </c>
      <c r="AE3222">
        <v>1</v>
      </c>
      <c r="AF3222">
        <v>1638.91</v>
      </c>
      <c r="AG3222">
        <v>37256.769999999997</v>
      </c>
      <c r="AH3222">
        <v>141</v>
      </c>
      <c r="AI3222">
        <v>139</v>
      </c>
      <c r="AJ3222">
        <v>2</v>
      </c>
      <c r="AK3222">
        <v>1</v>
      </c>
      <c r="AL3222">
        <v>1</v>
      </c>
      <c r="AM3222">
        <v>98.58</v>
      </c>
      <c r="AN3222">
        <v>285.30790000000002</v>
      </c>
      <c r="AO3222">
        <v>551.71</v>
      </c>
      <c r="AP3222" s="13">
        <v>45536</v>
      </c>
      <c r="AQ3222">
        <v>-3</v>
      </c>
      <c r="AR3222">
        <v>1</v>
      </c>
    </row>
    <row r="3223" spans="1:44" x14ac:dyDescent="0.35">
      <c r="A3223" s="12" t="s">
        <v>4123</v>
      </c>
      <c r="B3223" s="12" t="s">
        <v>1179</v>
      </c>
      <c r="C3223" s="12" t="s">
        <v>1180</v>
      </c>
      <c r="D3223" s="12" t="s">
        <v>122</v>
      </c>
      <c r="E3223" s="12" t="s">
        <v>142</v>
      </c>
      <c r="F3223">
        <v>1</v>
      </c>
      <c r="G3223">
        <v>8</v>
      </c>
      <c r="H3223">
        <v>1</v>
      </c>
      <c r="I3223" s="12" t="s">
        <v>143</v>
      </c>
      <c r="J3223" s="12" t="s">
        <v>144</v>
      </c>
      <c r="K3223" s="12" t="s">
        <v>133</v>
      </c>
      <c r="L3223" s="12" t="s">
        <v>96</v>
      </c>
      <c r="M3223">
        <v>5.43</v>
      </c>
      <c r="N3223" s="12" t="s">
        <v>97</v>
      </c>
      <c r="O3223" s="12" t="s">
        <v>98</v>
      </c>
      <c r="P3223" s="12" t="s">
        <v>72</v>
      </c>
      <c r="Q3223" s="13">
        <v>45511</v>
      </c>
      <c r="R3223" s="13">
        <v>45559</v>
      </c>
      <c r="S3223">
        <v>2024</v>
      </c>
      <c r="T3223" s="12" t="s">
        <v>4077</v>
      </c>
      <c r="U3223">
        <v>1568</v>
      </c>
      <c r="V3223">
        <v>52.441499999999998</v>
      </c>
      <c r="W3223">
        <v>785.95</v>
      </c>
      <c r="X3223">
        <v>0</v>
      </c>
      <c r="Y3223">
        <v>0</v>
      </c>
      <c r="Z3223">
        <v>82228.27</v>
      </c>
      <c r="AA3223">
        <v>83014.22</v>
      </c>
      <c r="AB3223" s="12" t="s">
        <v>3049</v>
      </c>
      <c r="AC3223">
        <v>52.441499999999998</v>
      </c>
      <c r="AD3223">
        <v>1</v>
      </c>
      <c r="AE3223">
        <v>1</v>
      </c>
      <c r="AF3223">
        <v>0</v>
      </c>
      <c r="AG3223">
        <v>82228.27</v>
      </c>
      <c r="AH3223">
        <v>1568</v>
      </c>
      <c r="AI3223">
        <v>1551</v>
      </c>
      <c r="AJ3223">
        <v>17</v>
      </c>
      <c r="AK3223">
        <v>1</v>
      </c>
      <c r="AL3223">
        <v>1</v>
      </c>
      <c r="AM3223">
        <v>98.92</v>
      </c>
      <c r="AN3223">
        <v>53.523000000000003</v>
      </c>
      <c r="AO3223">
        <v>891.51</v>
      </c>
      <c r="AP3223" s="13">
        <v>45558</v>
      </c>
      <c r="AQ3223">
        <v>-1</v>
      </c>
      <c r="AR3223">
        <v>1</v>
      </c>
    </row>
    <row r="3224" spans="1:44" x14ac:dyDescent="0.35">
      <c r="A3224" s="12" t="s">
        <v>4124</v>
      </c>
      <c r="B3224" s="12" t="s">
        <v>140</v>
      </c>
      <c r="C3224" s="12" t="s">
        <v>141</v>
      </c>
      <c r="D3224" s="12" t="s">
        <v>103</v>
      </c>
      <c r="E3224" s="12" t="s">
        <v>142</v>
      </c>
      <c r="F3224">
        <v>1</v>
      </c>
      <c r="G3224">
        <v>7</v>
      </c>
      <c r="H3224">
        <v>1</v>
      </c>
      <c r="I3224" s="12" t="s">
        <v>143</v>
      </c>
      <c r="J3224" s="12" t="s">
        <v>144</v>
      </c>
      <c r="K3224" s="12" t="s">
        <v>133</v>
      </c>
      <c r="L3224" s="12" t="s">
        <v>96</v>
      </c>
      <c r="M3224">
        <v>5.43</v>
      </c>
      <c r="N3224" s="12" t="s">
        <v>107</v>
      </c>
      <c r="O3224" s="12" t="s">
        <v>108</v>
      </c>
      <c r="P3224" s="12" t="s">
        <v>109</v>
      </c>
      <c r="Q3224" s="13">
        <v>45511</v>
      </c>
      <c r="R3224" s="13">
        <v>45549</v>
      </c>
      <c r="S3224">
        <v>2024</v>
      </c>
      <c r="T3224" s="12" t="s">
        <v>4077</v>
      </c>
      <c r="U3224">
        <v>40</v>
      </c>
      <c r="V3224">
        <v>211.35810000000001</v>
      </c>
      <c r="W3224">
        <v>70.28</v>
      </c>
      <c r="X3224">
        <v>0</v>
      </c>
      <c r="Y3224">
        <v>0</v>
      </c>
      <c r="Z3224">
        <v>8454.32</v>
      </c>
      <c r="AA3224">
        <v>8524.6</v>
      </c>
      <c r="AB3224" s="12" t="s">
        <v>2815</v>
      </c>
      <c r="AC3224">
        <v>211.35810000000001</v>
      </c>
      <c r="AD3224">
        <v>1</v>
      </c>
      <c r="AE3224">
        <v>1</v>
      </c>
      <c r="AF3224">
        <v>0</v>
      </c>
      <c r="AG3224">
        <v>8454.32</v>
      </c>
      <c r="AH3224">
        <v>40</v>
      </c>
      <c r="AI3224">
        <v>40</v>
      </c>
      <c r="AJ3224">
        <v>0</v>
      </c>
      <c r="AK3224">
        <v>1</v>
      </c>
      <c r="AL3224">
        <v>1</v>
      </c>
      <c r="AM3224">
        <v>100</v>
      </c>
      <c r="AN3224">
        <v>213.11510000000001</v>
      </c>
      <c r="AO3224">
        <v>0</v>
      </c>
      <c r="AP3224" s="13">
        <v>45549</v>
      </c>
      <c r="AQ3224">
        <v>0</v>
      </c>
      <c r="AR3224">
        <v>1</v>
      </c>
    </row>
    <row r="3225" spans="1:44" x14ac:dyDescent="0.35">
      <c r="A3225" s="12" t="s">
        <v>4125</v>
      </c>
      <c r="B3225" s="12" t="s">
        <v>140</v>
      </c>
      <c r="C3225" s="12" t="s">
        <v>141</v>
      </c>
      <c r="D3225" s="12" t="s">
        <v>103</v>
      </c>
      <c r="E3225" s="12" t="s">
        <v>142</v>
      </c>
      <c r="F3225">
        <v>1</v>
      </c>
      <c r="G3225">
        <v>7</v>
      </c>
      <c r="H3225">
        <v>1</v>
      </c>
      <c r="I3225" s="12" t="s">
        <v>143</v>
      </c>
      <c r="J3225" s="12" t="s">
        <v>144</v>
      </c>
      <c r="K3225" s="12" t="s">
        <v>133</v>
      </c>
      <c r="L3225" s="12" t="s">
        <v>96</v>
      </c>
      <c r="M3225">
        <v>5.43</v>
      </c>
      <c r="N3225" s="12" t="s">
        <v>107</v>
      </c>
      <c r="O3225" s="12" t="s">
        <v>108</v>
      </c>
      <c r="P3225" s="12" t="s">
        <v>109</v>
      </c>
      <c r="Q3225" s="13">
        <v>45511</v>
      </c>
      <c r="R3225" s="13">
        <v>45561</v>
      </c>
      <c r="S3225">
        <v>2024</v>
      </c>
      <c r="T3225" s="12" t="s">
        <v>4077</v>
      </c>
      <c r="U3225">
        <v>128</v>
      </c>
      <c r="V3225">
        <v>211.35810000000001</v>
      </c>
      <c r="W3225">
        <v>455.83</v>
      </c>
      <c r="X3225">
        <v>0</v>
      </c>
      <c r="Y3225">
        <v>0</v>
      </c>
      <c r="Z3225">
        <v>27053.84</v>
      </c>
      <c r="AA3225">
        <v>27509.67</v>
      </c>
      <c r="AB3225" s="12" t="s">
        <v>2815</v>
      </c>
      <c r="AC3225">
        <v>211.35810000000001</v>
      </c>
      <c r="AD3225">
        <v>1</v>
      </c>
      <c r="AE3225">
        <v>1</v>
      </c>
      <c r="AF3225">
        <v>0</v>
      </c>
      <c r="AG3225">
        <v>27053.84</v>
      </c>
      <c r="AH3225">
        <v>128</v>
      </c>
      <c r="AI3225">
        <v>127</v>
      </c>
      <c r="AJ3225">
        <v>1</v>
      </c>
      <c r="AK3225">
        <v>1</v>
      </c>
      <c r="AL3225">
        <v>1</v>
      </c>
      <c r="AM3225">
        <v>99.22</v>
      </c>
      <c r="AN3225">
        <v>216.61150000000001</v>
      </c>
      <c r="AO3225">
        <v>211.36</v>
      </c>
      <c r="AP3225" s="13">
        <v>45571</v>
      </c>
      <c r="AQ3225">
        <v>10</v>
      </c>
      <c r="AR3225">
        <v>0</v>
      </c>
    </row>
    <row r="3226" spans="1:44" x14ac:dyDescent="0.35">
      <c r="A3226" s="12" t="s">
        <v>4126</v>
      </c>
      <c r="B3226" s="12" t="s">
        <v>1042</v>
      </c>
      <c r="C3226" s="12" t="s">
        <v>1043</v>
      </c>
      <c r="D3226" s="12" t="s">
        <v>269</v>
      </c>
      <c r="E3226" s="12" t="s">
        <v>104</v>
      </c>
      <c r="F3226">
        <v>2</v>
      </c>
      <c r="G3226">
        <v>0</v>
      </c>
      <c r="H3226">
        <v>0</v>
      </c>
      <c r="I3226" s="12" t="s">
        <v>199</v>
      </c>
      <c r="J3226" s="12" t="s">
        <v>200</v>
      </c>
      <c r="K3226" s="12" t="s">
        <v>68</v>
      </c>
      <c r="L3226" s="12" t="s">
        <v>96</v>
      </c>
      <c r="M3226">
        <v>9.4700000000000006</v>
      </c>
      <c r="N3226" s="12" t="s">
        <v>159</v>
      </c>
      <c r="O3226" s="12" t="s">
        <v>160</v>
      </c>
      <c r="P3226" s="12" t="s">
        <v>137</v>
      </c>
      <c r="Q3226" s="13">
        <v>45511</v>
      </c>
      <c r="R3226" s="13">
        <v>45531</v>
      </c>
      <c r="S3226">
        <v>2024</v>
      </c>
      <c r="T3226" s="12" t="s">
        <v>4077</v>
      </c>
      <c r="U3226">
        <v>73</v>
      </c>
      <c r="V3226">
        <v>290.43689999999998</v>
      </c>
      <c r="W3226">
        <v>216.94</v>
      </c>
      <c r="X3226">
        <v>0</v>
      </c>
      <c r="Y3226">
        <v>0</v>
      </c>
      <c r="Z3226">
        <v>21201.89</v>
      </c>
      <c r="AA3226">
        <v>21418.83</v>
      </c>
      <c r="AB3226" s="12" t="s">
        <v>4127</v>
      </c>
      <c r="AC3226">
        <v>290.43689999999998</v>
      </c>
      <c r="AD3226">
        <v>1</v>
      </c>
      <c r="AE3226">
        <v>1</v>
      </c>
      <c r="AF3226">
        <v>0</v>
      </c>
      <c r="AG3226">
        <v>21201.89</v>
      </c>
      <c r="AH3226">
        <v>73</v>
      </c>
      <c r="AI3226">
        <v>73</v>
      </c>
      <c r="AJ3226">
        <v>0</v>
      </c>
      <c r="AK3226">
        <v>1</v>
      </c>
      <c r="AL3226">
        <v>1</v>
      </c>
      <c r="AM3226">
        <v>100</v>
      </c>
      <c r="AN3226">
        <v>293.40870000000001</v>
      </c>
      <c r="AO3226">
        <v>0</v>
      </c>
      <c r="AP3226" s="13">
        <v>45538</v>
      </c>
      <c r="AQ3226">
        <v>7</v>
      </c>
      <c r="AR3226">
        <v>0</v>
      </c>
    </row>
    <row r="3227" spans="1:44" x14ac:dyDescent="0.35">
      <c r="A3227" s="12" t="s">
        <v>4128</v>
      </c>
      <c r="B3227" s="12" t="s">
        <v>101</v>
      </c>
      <c r="C3227" s="12" t="s">
        <v>102</v>
      </c>
      <c r="D3227" s="12" t="s">
        <v>103</v>
      </c>
      <c r="E3227" s="12" t="s">
        <v>104</v>
      </c>
      <c r="F3227">
        <v>1</v>
      </c>
      <c r="G3227">
        <v>0</v>
      </c>
      <c r="H3227">
        <v>1</v>
      </c>
      <c r="I3227" s="12" t="s">
        <v>105</v>
      </c>
      <c r="J3227" s="12" t="s">
        <v>106</v>
      </c>
      <c r="K3227" s="12" t="s">
        <v>81</v>
      </c>
      <c r="L3227" s="12" t="s">
        <v>96</v>
      </c>
      <c r="M3227">
        <v>5.01</v>
      </c>
      <c r="N3227" s="12" t="s">
        <v>107</v>
      </c>
      <c r="O3227" s="12" t="s">
        <v>108</v>
      </c>
      <c r="P3227" s="12" t="s">
        <v>109</v>
      </c>
      <c r="Q3227" s="13">
        <v>45512</v>
      </c>
      <c r="R3227" s="13">
        <v>45538</v>
      </c>
      <c r="S3227">
        <v>2024</v>
      </c>
      <c r="T3227" s="12" t="s">
        <v>4077</v>
      </c>
      <c r="U3227">
        <v>124</v>
      </c>
      <c r="V3227">
        <v>205.32499999999999</v>
      </c>
      <c r="W3227">
        <v>518.27</v>
      </c>
      <c r="X3227">
        <v>0</v>
      </c>
      <c r="Y3227">
        <v>0</v>
      </c>
      <c r="Z3227">
        <v>25460.3</v>
      </c>
      <c r="AA3227">
        <v>25978.57</v>
      </c>
      <c r="AB3227" s="12" t="s">
        <v>2866</v>
      </c>
      <c r="AC3227">
        <v>205.32499999999999</v>
      </c>
      <c r="AD3227">
        <v>1</v>
      </c>
      <c r="AE3227">
        <v>1</v>
      </c>
      <c r="AF3227">
        <v>0</v>
      </c>
      <c r="AG3227">
        <v>25460.3</v>
      </c>
      <c r="AH3227">
        <v>124</v>
      </c>
      <c r="AI3227">
        <v>123</v>
      </c>
      <c r="AJ3227">
        <v>1</v>
      </c>
      <c r="AK3227">
        <v>1</v>
      </c>
      <c r="AL3227">
        <v>1</v>
      </c>
      <c r="AM3227">
        <v>99.19</v>
      </c>
      <c r="AN3227">
        <v>211.2079</v>
      </c>
      <c r="AO3227">
        <v>205.33</v>
      </c>
      <c r="AP3227" s="13">
        <v>45538</v>
      </c>
      <c r="AQ3227">
        <v>0</v>
      </c>
      <c r="AR3227">
        <v>1</v>
      </c>
    </row>
    <row r="3228" spans="1:44" x14ac:dyDescent="0.35">
      <c r="A3228" s="12" t="s">
        <v>4129</v>
      </c>
      <c r="B3228" s="12" t="s">
        <v>1108</v>
      </c>
      <c r="C3228" s="12" t="s">
        <v>1109</v>
      </c>
      <c r="D3228" s="12" t="s">
        <v>103</v>
      </c>
      <c r="E3228" s="12" t="s">
        <v>65</v>
      </c>
      <c r="F3228">
        <v>3</v>
      </c>
      <c r="G3228">
        <v>4</v>
      </c>
      <c r="H3228">
        <v>0</v>
      </c>
      <c r="I3228" s="12" t="s">
        <v>79</v>
      </c>
      <c r="J3228" s="12" t="s">
        <v>80</v>
      </c>
      <c r="K3228" s="12" t="s">
        <v>81</v>
      </c>
      <c r="L3228" s="12" t="s">
        <v>82</v>
      </c>
      <c r="M3228">
        <v>12.07</v>
      </c>
      <c r="N3228" s="12" t="s">
        <v>107</v>
      </c>
      <c r="O3228" s="12" t="s">
        <v>108</v>
      </c>
      <c r="P3228" s="12" t="s">
        <v>109</v>
      </c>
      <c r="Q3228" s="13">
        <v>45512</v>
      </c>
      <c r="R3228" s="13">
        <v>45540</v>
      </c>
      <c r="S3228">
        <v>2024</v>
      </c>
      <c r="T3228" s="12" t="s">
        <v>4077</v>
      </c>
      <c r="U3228">
        <v>68</v>
      </c>
      <c r="V3228">
        <v>85.889600000000002</v>
      </c>
      <c r="W3228">
        <v>146.91999999999999</v>
      </c>
      <c r="X3228">
        <v>0</v>
      </c>
      <c r="Y3228">
        <v>0</v>
      </c>
      <c r="Z3228">
        <v>5840.49</v>
      </c>
      <c r="AA3228">
        <v>5987.41</v>
      </c>
      <c r="AB3228" s="12" t="s">
        <v>3269</v>
      </c>
      <c r="AC3228">
        <v>85.889600000000002</v>
      </c>
      <c r="AD3228">
        <v>1</v>
      </c>
      <c r="AE3228">
        <v>1</v>
      </c>
      <c r="AF3228">
        <v>0</v>
      </c>
      <c r="AG3228">
        <v>5840.49</v>
      </c>
      <c r="AH3228">
        <v>68</v>
      </c>
      <c r="AI3228">
        <v>67</v>
      </c>
      <c r="AJ3228">
        <v>1</v>
      </c>
      <c r="AK3228">
        <v>1</v>
      </c>
      <c r="AL3228">
        <v>1</v>
      </c>
      <c r="AM3228">
        <v>98.53</v>
      </c>
      <c r="AN3228">
        <v>89.364400000000003</v>
      </c>
      <c r="AO3228">
        <v>85.89</v>
      </c>
      <c r="AP3228" s="13">
        <v>45540</v>
      </c>
      <c r="AQ3228">
        <v>0</v>
      </c>
      <c r="AR3228">
        <v>1</v>
      </c>
    </row>
    <row r="3229" spans="1:44" x14ac:dyDescent="0.35">
      <c r="A3229" s="12" t="s">
        <v>4130</v>
      </c>
      <c r="B3229" s="12" t="s">
        <v>609</v>
      </c>
      <c r="C3229" s="12" t="s">
        <v>610</v>
      </c>
      <c r="D3229" s="12" t="s">
        <v>64</v>
      </c>
      <c r="E3229" s="12" t="s">
        <v>104</v>
      </c>
      <c r="F3229">
        <v>1</v>
      </c>
      <c r="G3229">
        <v>0</v>
      </c>
      <c r="H3229">
        <v>1</v>
      </c>
      <c r="I3229" s="12" t="s">
        <v>227</v>
      </c>
      <c r="J3229" s="12" t="s">
        <v>228</v>
      </c>
      <c r="K3229" s="12" t="s">
        <v>89</v>
      </c>
      <c r="L3229" s="12" t="s">
        <v>96</v>
      </c>
      <c r="M3229">
        <v>9.15</v>
      </c>
      <c r="N3229" s="12" t="s">
        <v>70</v>
      </c>
      <c r="O3229" s="12" t="s">
        <v>71</v>
      </c>
      <c r="P3229" s="12" t="s">
        <v>72</v>
      </c>
      <c r="Q3229" s="13">
        <v>45512</v>
      </c>
      <c r="R3229" s="13">
        <v>45534</v>
      </c>
      <c r="S3229">
        <v>2024</v>
      </c>
      <c r="T3229" s="12" t="s">
        <v>4077</v>
      </c>
      <c r="U3229">
        <v>602</v>
      </c>
      <c r="V3229">
        <v>20.698799999999999</v>
      </c>
      <c r="W3229">
        <v>300.43</v>
      </c>
      <c r="X3229">
        <v>0</v>
      </c>
      <c r="Y3229">
        <v>0</v>
      </c>
      <c r="Z3229">
        <v>12460.68</v>
      </c>
      <c r="AA3229">
        <v>12761.11</v>
      </c>
      <c r="AB3229" s="12" t="s">
        <v>3349</v>
      </c>
      <c r="AC3229">
        <v>20.698799999999999</v>
      </c>
      <c r="AD3229">
        <v>1</v>
      </c>
      <c r="AE3229">
        <v>1</v>
      </c>
      <c r="AF3229">
        <v>0</v>
      </c>
      <c r="AG3229">
        <v>12460.68</v>
      </c>
      <c r="AH3229">
        <v>602</v>
      </c>
      <c r="AI3229">
        <v>600</v>
      </c>
      <c r="AJ3229">
        <v>2</v>
      </c>
      <c r="AK3229">
        <v>1</v>
      </c>
      <c r="AL3229">
        <v>1</v>
      </c>
      <c r="AM3229">
        <v>99.67</v>
      </c>
      <c r="AN3229">
        <v>21.2685</v>
      </c>
      <c r="AO3229">
        <v>41.4</v>
      </c>
      <c r="AP3229" s="13">
        <v>45532</v>
      </c>
      <c r="AQ3229">
        <v>-2</v>
      </c>
      <c r="AR3229">
        <v>1</v>
      </c>
    </row>
    <row r="3230" spans="1:44" x14ac:dyDescent="0.35">
      <c r="A3230" s="12" t="s">
        <v>4131</v>
      </c>
      <c r="B3230" s="12" t="s">
        <v>747</v>
      </c>
      <c r="C3230" s="12" t="s">
        <v>748</v>
      </c>
      <c r="D3230" s="12" t="s">
        <v>114</v>
      </c>
      <c r="E3230" s="12" t="s">
        <v>104</v>
      </c>
      <c r="F3230">
        <v>2</v>
      </c>
      <c r="G3230">
        <v>0</v>
      </c>
      <c r="H3230">
        <v>0</v>
      </c>
      <c r="I3230" s="12" t="s">
        <v>251</v>
      </c>
      <c r="J3230" s="12" t="s">
        <v>252</v>
      </c>
      <c r="K3230" s="12" t="s">
        <v>133</v>
      </c>
      <c r="L3230" s="12" t="s">
        <v>69</v>
      </c>
      <c r="M3230">
        <v>34.49</v>
      </c>
      <c r="N3230" s="12" t="s">
        <v>97</v>
      </c>
      <c r="O3230" s="12" t="s">
        <v>98</v>
      </c>
      <c r="P3230" s="12" t="s">
        <v>72</v>
      </c>
      <c r="Q3230" s="13">
        <v>45512</v>
      </c>
      <c r="R3230" s="13">
        <v>45535</v>
      </c>
      <c r="S3230">
        <v>2024</v>
      </c>
      <c r="T3230" s="12" t="s">
        <v>4077</v>
      </c>
      <c r="U3230">
        <v>100</v>
      </c>
      <c r="V3230">
        <v>242.2371</v>
      </c>
      <c r="W3230">
        <v>576.97</v>
      </c>
      <c r="X3230">
        <v>0</v>
      </c>
      <c r="Y3230">
        <v>0</v>
      </c>
      <c r="Z3230">
        <v>24223.71</v>
      </c>
      <c r="AA3230">
        <v>24800.68</v>
      </c>
      <c r="AB3230" s="12" t="s">
        <v>3119</v>
      </c>
      <c r="AC3230">
        <v>242.2371</v>
      </c>
      <c r="AD3230">
        <v>1</v>
      </c>
      <c r="AE3230">
        <v>1</v>
      </c>
      <c r="AF3230">
        <v>0</v>
      </c>
      <c r="AG3230">
        <v>24223.71</v>
      </c>
      <c r="AH3230">
        <v>100</v>
      </c>
      <c r="AI3230">
        <v>99</v>
      </c>
      <c r="AJ3230">
        <v>1</v>
      </c>
      <c r="AK3230">
        <v>1</v>
      </c>
      <c r="AL3230">
        <v>1</v>
      </c>
      <c r="AM3230">
        <v>99</v>
      </c>
      <c r="AN3230">
        <v>250.5119</v>
      </c>
      <c r="AO3230">
        <v>242.24</v>
      </c>
      <c r="AP3230" s="13">
        <v>45532</v>
      </c>
      <c r="AQ3230">
        <v>-3</v>
      </c>
      <c r="AR3230">
        <v>1</v>
      </c>
    </row>
    <row r="3231" spans="1:44" x14ac:dyDescent="0.35">
      <c r="A3231" s="12" t="s">
        <v>4132</v>
      </c>
      <c r="B3231" s="12" t="s">
        <v>823</v>
      </c>
      <c r="C3231" s="12" t="s">
        <v>824</v>
      </c>
      <c r="D3231" s="12" t="s">
        <v>114</v>
      </c>
      <c r="E3231" s="12" t="s">
        <v>142</v>
      </c>
      <c r="F3231">
        <v>1</v>
      </c>
      <c r="G3231">
        <v>8</v>
      </c>
      <c r="H3231">
        <v>1</v>
      </c>
      <c r="I3231" s="12" t="s">
        <v>515</v>
      </c>
      <c r="J3231" s="12" t="s">
        <v>516</v>
      </c>
      <c r="K3231" s="12" t="s">
        <v>68</v>
      </c>
      <c r="L3231" s="12" t="s">
        <v>134</v>
      </c>
      <c r="M3231">
        <v>3.69</v>
      </c>
      <c r="N3231" s="12" t="s">
        <v>97</v>
      </c>
      <c r="O3231" s="12" t="s">
        <v>98</v>
      </c>
      <c r="P3231" s="12" t="s">
        <v>72</v>
      </c>
      <c r="Q3231" s="13">
        <v>45512</v>
      </c>
      <c r="R3231" s="13">
        <v>45547</v>
      </c>
      <c r="S3231">
        <v>2024</v>
      </c>
      <c r="T3231" s="12" t="s">
        <v>4077</v>
      </c>
      <c r="U3231">
        <v>14</v>
      </c>
      <c r="V3231">
        <v>361.71230000000003</v>
      </c>
      <c r="W3231">
        <v>73.05</v>
      </c>
      <c r="X3231">
        <v>0</v>
      </c>
      <c r="Y3231">
        <v>0</v>
      </c>
      <c r="Z3231">
        <v>5063.97</v>
      </c>
      <c r="AA3231">
        <v>5137.0200000000004</v>
      </c>
      <c r="AB3231" s="12" t="s">
        <v>3483</v>
      </c>
      <c r="AC3231">
        <v>361.71230000000003</v>
      </c>
      <c r="AD3231">
        <v>1</v>
      </c>
      <c r="AE3231">
        <v>1</v>
      </c>
      <c r="AF3231">
        <v>0</v>
      </c>
      <c r="AG3231">
        <v>5063.97</v>
      </c>
      <c r="AH3231">
        <v>14</v>
      </c>
      <c r="AI3231">
        <v>14</v>
      </c>
      <c r="AJ3231">
        <v>0</v>
      </c>
      <c r="AK3231">
        <v>1</v>
      </c>
      <c r="AL3231">
        <v>1</v>
      </c>
      <c r="AM3231">
        <v>100</v>
      </c>
      <c r="AN3231">
        <v>366.93020000000001</v>
      </c>
      <c r="AO3231">
        <v>0</v>
      </c>
      <c r="AP3231" s="13">
        <v>45545</v>
      </c>
      <c r="AQ3231">
        <v>-2</v>
      </c>
      <c r="AR3231">
        <v>1</v>
      </c>
    </row>
    <row r="3232" spans="1:44" x14ac:dyDescent="0.35">
      <c r="A3232" s="12" t="s">
        <v>4133</v>
      </c>
      <c r="B3232" s="12" t="s">
        <v>1026</v>
      </c>
      <c r="C3232" s="12" t="s">
        <v>1027</v>
      </c>
      <c r="D3232" s="12" t="s">
        <v>122</v>
      </c>
      <c r="E3232" s="12" t="s">
        <v>104</v>
      </c>
      <c r="F3232">
        <v>3</v>
      </c>
      <c r="G3232">
        <v>1</v>
      </c>
      <c r="H3232">
        <v>0</v>
      </c>
      <c r="I3232" s="12" t="s">
        <v>183</v>
      </c>
      <c r="J3232" s="12" t="s">
        <v>184</v>
      </c>
      <c r="K3232" s="12" t="s">
        <v>133</v>
      </c>
      <c r="L3232" s="12" t="s">
        <v>82</v>
      </c>
      <c r="M3232">
        <v>8.6199999999999992</v>
      </c>
      <c r="N3232" s="12" t="s">
        <v>70</v>
      </c>
      <c r="O3232" s="12" t="s">
        <v>71</v>
      </c>
      <c r="P3232" s="12" t="s">
        <v>72</v>
      </c>
      <c r="Q3232" s="13">
        <v>45512</v>
      </c>
      <c r="R3232" s="13">
        <v>45531</v>
      </c>
      <c r="S3232">
        <v>2024</v>
      </c>
      <c r="T3232" s="12" t="s">
        <v>4077</v>
      </c>
      <c r="U3232">
        <v>927</v>
      </c>
      <c r="V3232">
        <v>42.341099999999997</v>
      </c>
      <c r="W3232">
        <v>549.23</v>
      </c>
      <c r="X3232">
        <v>0</v>
      </c>
      <c r="Y3232">
        <v>0</v>
      </c>
      <c r="Z3232">
        <v>39250.199999999997</v>
      </c>
      <c r="AA3232">
        <v>39799.43</v>
      </c>
      <c r="AB3232" s="12" t="s">
        <v>3447</v>
      </c>
      <c r="AC3232">
        <v>41.511600000000001</v>
      </c>
      <c r="AD3232">
        <v>2</v>
      </c>
      <c r="AE3232">
        <v>1</v>
      </c>
      <c r="AF3232">
        <v>768.95</v>
      </c>
      <c r="AG3232">
        <v>38481.25</v>
      </c>
      <c r="AH3232">
        <v>927</v>
      </c>
      <c r="AI3232">
        <v>923</v>
      </c>
      <c r="AJ3232">
        <v>4</v>
      </c>
      <c r="AK3232">
        <v>1</v>
      </c>
      <c r="AL3232">
        <v>1</v>
      </c>
      <c r="AM3232">
        <v>99.57</v>
      </c>
      <c r="AN3232">
        <v>43.119599999999998</v>
      </c>
      <c r="AO3232">
        <v>169.36</v>
      </c>
      <c r="AP3232" s="13">
        <v>45528</v>
      </c>
      <c r="AQ3232">
        <v>-3</v>
      </c>
      <c r="AR3232">
        <v>1</v>
      </c>
    </row>
    <row r="3233" spans="1:44" x14ac:dyDescent="0.35">
      <c r="A3233" s="12" t="s">
        <v>4134</v>
      </c>
      <c r="B3233" s="12" t="s">
        <v>289</v>
      </c>
      <c r="C3233" s="12" t="s">
        <v>290</v>
      </c>
      <c r="D3233" s="12" t="s">
        <v>175</v>
      </c>
      <c r="E3233" s="12" t="s">
        <v>104</v>
      </c>
      <c r="F3233">
        <v>3</v>
      </c>
      <c r="G3233">
        <v>1</v>
      </c>
      <c r="H3233">
        <v>0</v>
      </c>
      <c r="I3233" s="12" t="s">
        <v>209</v>
      </c>
      <c r="J3233" s="12" t="s">
        <v>210</v>
      </c>
      <c r="K3233" s="12" t="s">
        <v>133</v>
      </c>
      <c r="L3233" s="12" t="s">
        <v>96</v>
      </c>
      <c r="M3233">
        <v>7.82</v>
      </c>
      <c r="N3233" s="12" t="s">
        <v>145</v>
      </c>
      <c r="O3233" s="12" t="s">
        <v>146</v>
      </c>
      <c r="P3233" s="12" t="s">
        <v>109</v>
      </c>
      <c r="Q3233" s="13">
        <v>45512</v>
      </c>
      <c r="R3233" s="13">
        <v>45531</v>
      </c>
      <c r="S3233">
        <v>2024</v>
      </c>
      <c r="T3233" s="12" t="s">
        <v>4077</v>
      </c>
      <c r="U3233">
        <v>65</v>
      </c>
      <c r="V3233">
        <v>198.90710000000001</v>
      </c>
      <c r="W3233">
        <v>280.27</v>
      </c>
      <c r="X3233">
        <v>0</v>
      </c>
      <c r="Y3233">
        <v>0</v>
      </c>
      <c r="Z3233">
        <v>12928.96</v>
      </c>
      <c r="AA3233">
        <v>13209.23</v>
      </c>
      <c r="AB3233" s="12" t="s">
        <v>201</v>
      </c>
      <c r="AD3233">
        <v>0</v>
      </c>
      <c r="AE3233">
        <v>0</v>
      </c>
      <c r="AH3233">
        <v>65</v>
      </c>
      <c r="AI3233">
        <v>64</v>
      </c>
      <c r="AJ3233">
        <v>1</v>
      </c>
      <c r="AK3233">
        <v>1</v>
      </c>
      <c r="AL3233">
        <v>1</v>
      </c>
      <c r="AM3233">
        <v>98.46</v>
      </c>
      <c r="AN3233">
        <v>206.39420000000001</v>
      </c>
      <c r="AO3233">
        <v>198.91</v>
      </c>
      <c r="AP3233" s="13">
        <v>45528</v>
      </c>
      <c r="AQ3233">
        <v>-3</v>
      </c>
      <c r="AR3233">
        <v>1</v>
      </c>
    </row>
    <row r="3234" spans="1:44" x14ac:dyDescent="0.35">
      <c r="A3234" s="12" t="s">
        <v>4135</v>
      </c>
      <c r="B3234" s="12" t="s">
        <v>428</v>
      </c>
      <c r="C3234" s="12" t="s">
        <v>429</v>
      </c>
      <c r="D3234" s="12" t="s">
        <v>64</v>
      </c>
      <c r="E3234" s="12" t="s">
        <v>65</v>
      </c>
      <c r="F3234">
        <v>3</v>
      </c>
      <c r="G3234">
        <v>4</v>
      </c>
      <c r="H3234">
        <v>0</v>
      </c>
      <c r="I3234" s="12" t="s">
        <v>380</v>
      </c>
      <c r="J3234" s="12" t="s">
        <v>381</v>
      </c>
      <c r="K3234" s="12" t="s">
        <v>89</v>
      </c>
      <c r="L3234" s="12" t="s">
        <v>96</v>
      </c>
      <c r="M3234">
        <v>10.210000000000001</v>
      </c>
      <c r="N3234" s="12" t="s">
        <v>70</v>
      </c>
      <c r="O3234" s="12" t="s">
        <v>71</v>
      </c>
      <c r="P3234" s="12" t="s">
        <v>72</v>
      </c>
      <c r="Q3234" s="13">
        <v>45512</v>
      </c>
      <c r="R3234" s="13">
        <v>45546</v>
      </c>
      <c r="S3234">
        <v>2024</v>
      </c>
      <c r="T3234" s="12" t="s">
        <v>4077</v>
      </c>
      <c r="U3234">
        <v>769</v>
      </c>
      <c r="V3234">
        <v>13.9192</v>
      </c>
      <c r="W3234">
        <v>64.73</v>
      </c>
      <c r="X3234">
        <v>0</v>
      </c>
      <c r="Y3234">
        <v>0</v>
      </c>
      <c r="Z3234">
        <v>10703.86</v>
      </c>
      <c r="AA3234">
        <v>10768.59</v>
      </c>
      <c r="AB3234" s="12" t="s">
        <v>2959</v>
      </c>
      <c r="AC3234">
        <v>13.9192</v>
      </c>
      <c r="AD3234">
        <v>1</v>
      </c>
      <c r="AE3234">
        <v>1</v>
      </c>
      <c r="AF3234">
        <v>0</v>
      </c>
      <c r="AG3234">
        <v>10703.86</v>
      </c>
      <c r="AH3234">
        <v>769</v>
      </c>
      <c r="AI3234">
        <v>760</v>
      </c>
      <c r="AJ3234">
        <v>9</v>
      </c>
      <c r="AK3234">
        <v>1</v>
      </c>
      <c r="AL3234">
        <v>1</v>
      </c>
      <c r="AM3234">
        <v>98.83</v>
      </c>
      <c r="AN3234">
        <v>14.1692</v>
      </c>
      <c r="AO3234">
        <v>125.27</v>
      </c>
      <c r="AP3234" s="13">
        <v>45546</v>
      </c>
      <c r="AQ3234">
        <v>0</v>
      </c>
      <c r="AR3234">
        <v>1</v>
      </c>
    </row>
    <row r="3235" spans="1:44" x14ac:dyDescent="0.35">
      <c r="A3235" s="12" t="s">
        <v>4136</v>
      </c>
      <c r="B3235" s="12" t="s">
        <v>802</v>
      </c>
      <c r="C3235" s="12" t="s">
        <v>803</v>
      </c>
      <c r="D3235" s="12" t="s">
        <v>114</v>
      </c>
      <c r="E3235" s="12" t="s">
        <v>65</v>
      </c>
      <c r="F3235">
        <v>3</v>
      </c>
      <c r="G3235">
        <v>5</v>
      </c>
      <c r="H3235">
        <v>0</v>
      </c>
      <c r="I3235" s="12" t="s">
        <v>87</v>
      </c>
      <c r="J3235" s="12" t="s">
        <v>88</v>
      </c>
      <c r="K3235" s="12" t="s">
        <v>89</v>
      </c>
      <c r="L3235" s="12" t="s">
        <v>69</v>
      </c>
      <c r="M3235">
        <v>14.93</v>
      </c>
      <c r="N3235" s="12" t="s">
        <v>97</v>
      </c>
      <c r="O3235" s="12" t="s">
        <v>98</v>
      </c>
      <c r="P3235" s="12" t="s">
        <v>72</v>
      </c>
      <c r="Q3235" s="13">
        <v>45513</v>
      </c>
      <c r="R3235" s="13">
        <v>45541</v>
      </c>
      <c r="S3235">
        <v>2024</v>
      </c>
      <c r="T3235" s="12" t="s">
        <v>4077</v>
      </c>
      <c r="U3235">
        <v>70</v>
      </c>
      <c r="V3235">
        <v>340.10039999999998</v>
      </c>
      <c r="W3235">
        <v>464.88</v>
      </c>
      <c r="X3235">
        <v>0</v>
      </c>
      <c r="Y3235">
        <v>0</v>
      </c>
      <c r="Z3235">
        <v>23807.03</v>
      </c>
      <c r="AA3235">
        <v>24271.91</v>
      </c>
      <c r="AB3235" s="12" t="s">
        <v>4137</v>
      </c>
      <c r="AC3235">
        <v>340.10039999999998</v>
      </c>
      <c r="AD3235">
        <v>1</v>
      </c>
      <c r="AE3235">
        <v>1</v>
      </c>
      <c r="AF3235">
        <v>0</v>
      </c>
      <c r="AG3235">
        <v>23807.03</v>
      </c>
      <c r="AH3235">
        <v>70</v>
      </c>
      <c r="AI3235">
        <v>69</v>
      </c>
      <c r="AJ3235">
        <v>1</v>
      </c>
      <c r="AK3235">
        <v>1</v>
      </c>
      <c r="AL3235">
        <v>1</v>
      </c>
      <c r="AM3235">
        <v>98.57</v>
      </c>
      <c r="AN3235">
        <v>351.76679999999999</v>
      </c>
      <c r="AO3235">
        <v>340.1</v>
      </c>
      <c r="AP3235" s="13">
        <v>45539</v>
      </c>
      <c r="AQ3235">
        <v>-2</v>
      </c>
      <c r="AR3235">
        <v>1</v>
      </c>
    </row>
    <row r="3236" spans="1:44" x14ac:dyDescent="0.35">
      <c r="A3236" s="12" t="s">
        <v>4138</v>
      </c>
      <c r="B3236" s="12" t="s">
        <v>261</v>
      </c>
      <c r="C3236" s="12" t="s">
        <v>262</v>
      </c>
      <c r="D3236" s="12" t="s">
        <v>114</v>
      </c>
      <c r="E3236" s="12" t="s">
        <v>142</v>
      </c>
      <c r="F3236">
        <v>1</v>
      </c>
      <c r="G3236">
        <v>8</v>
      </c>
      <c r="H3236">
        <v>1</v>
      </c>
      <c r="I3236" s="12" t="s">
        <v>263</v>
      </c>
      <c r="J3236" s="12" t="s">
        <v>264</v>
      </c>
      <c r="K3236" s="12" t="s">
        <v>125</v>
      </c>
      <c r="L3236" s="12" t="s">
        <v>82</v>
      </c>
      <c r="M3236">
        <v>10.210000000000001</v>
      </c>
      <c r="N3236" s="12" t="s">
        <v>97</v>
      </c>
      <c r="O3236" s="12" t="s">
        <v>98</v>
      </c>
      <c r="P3236" s="12" t="s">
        <v>72</v>
      </c>
      <c r="Q3236" s="13">
        <v>45513</v>
      </c>
      <c r="R3236" s="13">
        <v>45555</v>
      </c>
      <c r="S3236">
        <v>2024</v>
      </c>
      <c r="T3236" s="12" t="s">
        <v>4077</v>
      </c>
      <c r="U3236">
        <v>64</v>
      </c>
      <c r="V3236">
        <v>137.84569999999999</v>
      </c>
      <c r="W3236">
        <v>62.84</v>
      </c>
      <c r="X3236">
        <v>271.85000000000002</v>
      </c>
      <c r="Y3236">
        <v>1</v>
      </c>
      <c r="Z3236">
        <v>8822.1200000000008</v>
      </c>
      <c r="AA3236">
        <v>9156.81</v>
      </c>
      <c r="AB3236" s="12" t="s">
        <v>2655</v>
      </c>
      <c r="AC3236">
        <v>137.84569999999999</v>
      </c>
      <c r="AD3236">
        <v>1</v>
      </c>
      <c r="AE3236">
        <v>1</v>
      </c>
      <c r="AF3236">
        <v>0</v>
      </c>
      <c r="AG3236">
        <v>8822.1200000000008</v>
      </c>
      <c r="AH3236">
        <v>64</v>
      </c>
      <c r="AI3236">
        <v>63</v>
      </c>
      <c r="AJ3236">
        <v>1</v>
      </c>
      <c r="AK3236">
        <v>1</v>
      </c>
      <c r="AL3236">
        <v>1</v>
      </c>
      <c r="AM3236">
        <v>98.44</v>
      </c>
      <c r="AN3236">
        <v>145.34630000000001</v>
      </c>
      <c r="AO3236">
        <v>137.85</v>
      </c>
      <c r="AP3236" s="13">
        <v>45555</v>
      </c>
      <c r="AQ3236">
        <v>0</v>
      </c>
      <c r="AR3236">
        <v>1</v>
      </c>
    </row>
    <row r="3237" spans="1:44" x14ac:dyDescent="0.35">
      <c r="A3237" s="12" t="s">
        <v>4139</v>
      </c>
      <c r="B3237" s="12" t="s">
        <v>694</v>
      </c>
      <c r="C3237" s="12" t="s">
        <v>695</v>
      </c>
      <c r="D3237" s="12" t="s">
        <v>103</v>
      </c>
      <c r="E3237" s="12" t="s">
        <v>65</v>
      </c>
      <c r="F3237">
        <v>2</v>
      </c>
      <c r="G3237">
        <v>3</v>
      </c>
      <c r="H3237">
        <v>0</v>
      </c>
      <c r="I3237" s="12" t="s">
        <v>263</v>
      </c>
      <c r="J3237" s="12" t="s">
        <v>264</v>
      </c>
      <c r="K3237" s="12" t="s">
        <v>125</v>
      </c>
      <c r="L3237" s="12" t="s">
        <v>82</v>
      </c>
      <c r="M3237">
        <v>10.210000000000001</v>
      </c>
      <c r="N3237" s="12" t="s">
        <v>107</v>
      </c>
      <c r="O3237" s="12" t="s">
        <v>108</v>
      </c>
      <c r="P3237" s="12" t="s">
        <v>109</v>
      </c>
      <c r="Q3237" s="13">
        <v>45513</v>
      </c>
      <c r="R3237" s="13">
        <v>45547</v>
      </c>
      <c r="S3237">
        <v>2024</v>
      </c>
      <c r="T3237" s="12" t="s">
        <v>4077</v>
      </c>
      <c r="U3237">
        <v>118</v>
      </c>
      <c r="V3237">
        <v>211.1463</v>
      </c>
      <c r="W3237">
        <v>229.87</v>
      </c>
      <c r="X3237">
        <v>0</v>
      </c>
      <c r="Y3237">
        <v>0</v>
      </c>
      <c r="Z3237">
        <v>24915.26</v>
      </c>
      <c r="AA3237">
        <v>25145.13</v>
      </c>
      <c r="AB3237" s="12" t="s">
        <v>3377</v>
      </c>
      <c r="AC3237">
        <v>211.1463</v>
      </c>
      <c r="AD3237">
        <v>1</v>
      </c>
      <c r="AE3237">
        <v>1</v>
      </c>
      <c r="AF3237">
        <v>0</v>
      </c>
      <c r="AG3237">
        <v>24915.26</v>
      </c>
      <c r="AH3237">
        <v>118</v>
      </c>
      <c r="AI3237">
        <v>117</v>
      </c>
      <c r="AJ3237">
        <v>1</v>
      </c>
      <c r="AK3237">
        <v>1</v>
      </c>
      <c r="AL3237">
        <v>1</v>
      </c>
      <c r="AM3237">
        <v>99.15</v>
      </c>
      <c r="AN3237">
        <v>214.91569999999999</v>
      </c>
      <c r="AO3237">
        <v>211.15</v>
      </c>
      <c r="AP3237" s="13">
        <v>45546</v>
      </c>
      <c r="AQ3237">
        <v>-1</v>
      </c>
      <c r="AR3237">
        <v>1</v>
      </c>
    </row>
    <row r="3238" spans="1:44" x14ac:dyDescent="0.35">
      <c r="A3238" s="12" t="s">
        <v>4140</v>
      </c>
      <c r="B3238" s="12" t="s">
        <v>747</v>
      </c>
      <c r="C3238" s="12" t="s">
        <v>748</v>
      </c>
      <c r="D3238" s="12" t="s">
        <v>114</v>
      </c>
      <c r="E3238" s="12" t="s">
        <v>104</v>
      </c>
      <c r="F3238">
        <v>2</v>
      </c>
      <c r="G3238">
        <v>0</v>
      </c>
      <c r="H3238">
        <v>0</v>
      </c>
      <c r="I3238" s="12" t="s">
        <v>380</v>
      </c>
      <c r="J3238" s="12" t="s">
        <v>381</v>
      </c>
      <c r="K3238" s="12" t="s">
        <v>89</v>
      </c>
      <c r="L3238" s="12" t="s">
        <v>96</v>
      </c>
      <c r="M3238">
        <v>10.210000000000001</v>
      </c>
      <c r="N3238" s="12" t="s">
        <v>70</v>
      </c>
      <c r="O3238" s="12" t="s">
        <v>71</v>
      </c>
      <c r="P3238" s="12" t="s">
        <v>72</v>
      </c>
      <c r="Q3238" s="13">
        <v>45513</v>
      </c>
      <c r="R3238" s="13">
        <v>45539</v>
      </c>
      <c r="S3238">
        <v>2024</v>
      </c>
      <c r="T3238" s="12" t="s">
        <v>4077</v>
      </c>
      <c r="U3238">
        <v>119</v>
      </c>
      <c r="V3238">
        <v>242.0575</v>
      </c>
      <c r="W3238">
        <v>398.69</v>
      </c>
      <c r="X3238">
        <v>0</v>
      </c>
      <c r="Y3238">
        <v>0</v>
      </c>
      <c r="Z3238">
        <v>28804.84</v>
      </c>
      <c r="AA3238">
        <v>29203.53</v>
      </c>
      <c r="AB3238" s="12" t="s">
        <v>3072</v>
      </c>
      <c r="AC3238">
        <v>242.0575</v>
      </c>
      <c r="AD3238">
        <v>1</v>
      </c>
      <c r="AE3238">
        <v>1</v>
      </c>
      <c r="AF3238">
        <v>0</v>
      </c>
      <c r="AG3238">
        <v>28804.84</v>
      </c>
      <c r="AH3238">
        <v>119</v>
      </c>
      <c r="AI3238">
        <v>117</v>
      </c>
      <c r="AJ3238">
        <v>2</v>
      </c>
      <c r="AK3238">
        <v>1</v>
      </c>
      <c r="AL3238">
        <v>1</v>
      </c>
      <c r="AM3238">
        <v>98.32</v>
      </c>
      <c r="AN3238">
        <v>249.6028</v>
      </c>
      <c r="AO3238">
        <v>484.12</v>
      </c>
      <c r="AP3238" s="13">
        <v>45535</v>
      </c>
      <c r="AQ3238">
        <v>-4</v>
      </c>
      <c r="AR3238">
        <v>1</v>
      </c>
    </row>
    <row r="3239" spans="1:44" x14ac:dyDescent="0.35">
      <c r="A3239" s="12" t="s">
        <v>4141</v>
      </c>
      <c r="B3239" s="12" t="s">
        <v>331</v>
      </c>
      <c r="C3239" s="12" t="s">
        <v>332</v>
      </c>
      <c r="D3239" s="12" t="s">
        <v>122</v>
      </c>
      <c r="E3239" s="12" t="s">
        <v>142</v>
      </c>
      <c r="F3239">
        <v>3</v>
      </c>
      <c r="G3239">
        <v>11</v>
      </c>
      <c r="H3239">
        <v>0</v>
      </c>
      <c r="I3239" s="12" t="s">
        <v>183</v>
      </c>
      <c r="J3239" s="12" t="s">
        <v>184</v>
      </c>
      <c r="K3239" s="12" t="s">
        <v>133</v>
      </c>
      <c r="L3239" s="12" t="s">
        <v>82</v>
      </c>
      <c r="M3239">
        <v>8.6199999999999992</v>
      </c>
      <c r="N3239" s="12" t="s">
        <v>97</v>
      </c>
      <c r="O3239" s="12" t="s">
        <v>98</v>
      </c>
      <c r="P3239" s="12" t="s">
        <v>72</v>
      </c>
      <c r="Q3239" s="13">
        <v>45513</v>
      </c>
      <c r="R3239" s="13">
        <v>45548</v>
      </c>
      <c r="S3239">
        <v>2024</v>
      </c>
      <c r="T3239" s="12" t="s">
        <v>4077</v>
      </c>
      <c r="U3239">
        <v>259</v>
      </c>
      <c r="V3239">
        <v>24.666899999999998</v>
      </c>
      <c r="W3239">
        <v>112.43</v>
      </c>
      <c r="X3239">
        <v>0</v>
      </c>
      <c r="Y3239">
        <v>0</v>
      </c>
      <c r="Z3239">
        <v>6388.73</v>
      </c>
      <c r="AA3239">
        <v>6501.16</v>
      </c>
      <c r="AB3239" s="12" t="s">
        <v>4142</v>
      </c>
      <c r="AC3239">
        <v>24.666899999999998</v>
      </c>
      <c r="AD3239">
        <v>1</v>
      </c>
      <c r="AE3239">
        <v>1</v>
      </c>
      <c r="AF3239">
        <v>0</v>
      </c>
      <c r="AG3239">
        <v>6388.73</v>
      </c>
      <c r="AH3239">
        <v>259</v>
      </c>
      <c r="AI3239">
        <v>258</v>
      </c>
      <c r="AJ3239">
        <v>1</v>
      </c>
      <c r="AK3239">
        <v>1</v>
      </c>
      <c r="AL3239">
        <v>1</v>
      </c>
      <c r="AM3239">
        <v>99.61</v>
      </c>
      <c r="AN3239">
        <v>25.1983</v>
      </c>
      <c r="AO3239">
        <v>24.67</v>
      </c>
      <c r="AP3239" s="13">
        <v>45548</v>
      </c>
      <c r="AQ3239">
        <v>0</v>
      </c>
      <c r="AR3239">
        <v>1</v>
      </c>
    </row>
    <row r="3240" spans="1:44" x14ac:dyDescent="0.35">
      <c r="A3240" s="12" t="s">
        <v>4143</v>
      </c>
      <c r="B3240" s="12" t="s">
        <v>490</v>
      </c>
      <c r="C3240" s="12" t="s">
        <v>491</v>
      </c>
      <c r="D3240" s="12" t="s">
        <v>130</v>
      </c>
      <c r="E3240" s="12" t="s">
        <v>104</v>
      </c>
      <c r="F3240">
        <v>3</v>
      </c>
      <c r="G3240">
        <v>1</v>
      </c>
      <c r="H3240">
        <v>0</v>
      </c>
      <c r="I3240" s="12" t="s">
        <v>123</v>
      </c>
      <c r="J3240" s="12" t="s">
        <v>124</v>
      </c>
      <c r="K3240" s="12" t="s">
        <v>125</v>
      </c>
      <c r="L3240" s="12" t="s">
        <v>82</v>
      </c>
      <c r="M3240">
        <v>6.75</v>
      </c>
      <c r="N3240" s="12" t="s">
        <v>159</v>
      </c>
      <c r="O3240" s="12" t="s">
        <v>160</v>
      </c>
      <c r="P3240" s="12" t="s">
        <v>137</v>
      </c>
      <c r="Q3240" s="13">
        <v>45513</v>
      </c>
      <c r="R3240" s="13">
        <v>45538</v>
      </c>
      <c r="S3240">
        <v>2024</v>
      </c>
      <c r="T3240" s="12" t="s">
        <v>4077</v>
      </c>
      <c r="U3240">
        <v>118</v>
      </c>
      <c r="V3240">
        <v>272.49189999999999</v>
      </c>
      <c r="W3240">
        <v>579.87</v>
      </c>
      <c r="X3240">
        <v>0</v>
      </c>
      <c r="Y3240">
        <v>0</v>
      </c>
      <c r="Z3240">
        <v>32154.04</v>
      </c>
      <c r="AA3240">
        <v>32733.91</v>
      </c>
      <c r="AB3240" s="12" t="s">
        <v>4144</v>
      </c>
      <c r="AC3240">
        <v>272.49189999999999</v>
      </c>
      <c r="AD3240">
        <v>1</v>
      </c>
      <c r="AE3240">
        <v>1</v>
      </c>
      <c r="AF3240">
        <v>0</v>
      </c>
      <c r="AG3240">
        <v>32154.04</v>
      </c>
      <c r="AH3240">
        <v>118</v>
      </c>
      <c r="AI3240">
        <v>117</v>
      </c>
      <c r="AJ3240">
        <v>1</v>
      </c>
      <c r="AK3240">
        <v>1</v>
      </c>
      <c r="AL3240">
        <v>1</v>
      </c>
      <c r="AM3240">
        <v>99.15</v>
      </c>
      <c r="AN3240">
        <v>279.77699999999999</v>
      </c>
      <c r="AO3240">
        <v>272.49</v>
      </c>
      <c r="AP3240" s="13">
        <v>45536</v>
      </c>
      <c r="AQ3240">
        <v>-2</v>
      </c>
      <c r="AR3240">
        <v>1</v>
      </c>
    </row>
    <row r="3241" spans="1:44" x14ac:dyDescent="0.35">
      <c r="A3241" s="12" t="s">
        <v>4145</v>
      </c>
      <c r="B3241" s="12" t="s">
        <v>302</v>
      </c>
      <c r="C3241" s="12" t="s">
        <v>303</v>
      </c>
      <c r="D3241" s="12" t="s">
        <v>78</v>
      </c>
      <c r="E3241" s="12" t="s">
        <v>65</v>
      </c>
      <c r="F3241">
        <v>2</v>
      </c>
      <c r="G3241">
        <v>3</v>
      </c>
      <c r="H3241">
        <v>0</v>
      </c>
      <c r="I3241" s="12" t="s">
        <v>335</v>
      </c>
      <c r="J3241" s="12" t="s">
        <v>336</v>
      </c>
      <c r="K3241" s="12" t="s">
        <v>89</v>
      </c>
      <c r="L3241" s="12" t="s">
        <v>82</v>
      </c>
      <c r="M3241">
        <v>16</v>
      </c>
      <c r="N3241" s="12" t="s">
        <v>70</v>
      </c>
      <c r="O3241" s="12" t="s">
        <v>71</v>
      </c>
      <c r="P3241" s="12" t="s">
        <v>72</v>
      </c>
      <c r="Q3241" s="13">
        <v>45513</v>
      </c>
      <c r="R3241" s="13">
        <v>45536</v>
      </c>
      <c r="S3241">
        <v>2024</v>
      </c>
      <c r="T3241" s="12" t="s">
        <v>4077</v>
      </c>
      <c r="U3241">
        <v>78</v>
      </c>
      <c r="V3241">
        <v>132.7877</v>
      </c>
      <c r="W3241">
        <v>269.17</v>
      </c>
      <c r="X3241">
        <v>0</v>
      </c>
      <c r="Y3241">
        <v>0</v>
      </c>
      <c r="Z3241">
        <v>10357.44</v>
      </c>
      <c r="AA3241">
        <v>10626.61</v>
      </c>
      <c r="AB3241" s="12" t="s">
        <v>2834</v>
      </c>
      <c r="AC3241">
        <v>141.08359999999999</v>
      </c>
      <c r="AD3241">
        <v>1</v>
      </c>
      <c r="AE3241">
        <v>1</v>
      </c>
      <c r="AF3241">
        <v>-647.08000000000004</v>
      </c>
      <c r="AG3241">
        <v>11004.52</v>
      </c>
      <c r="AH3241">
        <v>78</v>
      </c>
      <c r="AI3241">
        <v>77</v>
      </c>
      <c r="AJ3241">
        <v>1</v>
      </c>
      <c r="AK3241">
        <v>1</v>
      </c>
      <c r="AL3241">
        <v>1</v>
      </c>
      <c r="AM3241">
        <v>98.72</v>
      </c>
      <c r="AN3241">
        <v>138.00790000000001</v>
      </c>
      <c r="AO3241">
        <v>132.79</v>
      </c>
      <c r="AP3241" s="13">
        <v>45544</v>
      </c>
      <c r="AQ3241">
        <v>8</v>
      </c>
      <c r="AR3241">
        <v>0</v>
      </c>
    </row>
    <row r="3242" spans="1:44" x14ac:dyDescent="0.35">
      <c r="A3242" s="12" t="s">
        <v>4146</v>
      </c>
      <c r="B3242" s="12" t="s">
        <v>869</v>
      </c>
      <c r="C3242" s="12" t="s">
        <v>870</v>
      </c>
      <c r="D3242" s="12" t="s">
        <v>130</v>
      </c>
      <c r="E3242" s="12" t="s">
        <v>104</v>
      </c>
      <c r="F3242">
        <v>2</v>
      </c>
      <c r="G3242">
        <v>0</v>
      </c>
      <c r="H3242">
        <v>0</v>
      </c>
      <c r="I3242" s="12" t="s">
        <v>359</v>
      </c>
      <c r="J3242" s="12" t="s">
        <v>360</v>
      </c>
      <c r="K3242" s="12" t="s">
        <v>133</v>
      </c>
      <c r="L3242" s="12" t="s">
        <v>82</v>
      </c>
      <c r="M3242">
        <v>12.65</v>
      </c>
      <c r="N3242" s="12" t="s">
        <v>159</v>
      </c>
      <c r="O3242" s="12" t="s">
        <v>160</v>
      </c>
      <c r="P3242" s="12" t="s">
        <v>137</v>
      </c>
      <c r="Q3242" s="13">
        <v>45513</v>
      </c>
      <c r="R3242" s="13">
        <v>45529</v>
      </c>
      <c r="S3242">
        <v>2024</v>
      </c>
      <c r="T3242" s="12" t="s">
        <v>4077</v>
      </c>
      <c r="U3242">
        <v>42</v>
      </c>
      <c r="V3242">
        <v>583.22540000000004</v>
      </c>
      <c r="W3242">
        <v>542.35</v>
      </c>
      <c r="X3242">
        <v>0</v>
      </c>
      <c r="Y3242">
        <v>0</v>
      </c>
      <c r="Z3242">
        <v>24495.47</v>
      </c>
      <c r="AA3242">
        <v>25037.82</v>
      </c>
      <c r="AB3242" s="12" t="s">
        <v>4147</v>
      </c>
      <c r="AC3242">
        <v>583.22540000000004</v>
      </c>
      <c r="AD3242">
        <v>1</v>
      </c>
      <c r="AE3242">
        <v>1</v>
      </c>
      <c r="AF3242">
        <v>0</v>
      </c>
      <c r="AG3242">
        <v>24495.47</v>
      </c>
      <c r="AH3242">
        <v>42</v>
      </c>
      <c r="AI3242">
        <v>42</v>
      </c>
      <c r="AJ3242">
        <v>0</v>
      </c>
      <c r="AK3242">
        <v>1</v>
      </c>
      <c r="AL3242">
        <v>1</v>
      </c>
      <c r="AM3242">
        <v>100</v>
      </c>
      <c r="AN3242">
        <v>596.13850000000002</v>
      </c>
      <c r="AO3242">
        <v>0</v>
      </c>
      <c r="AP3242" s="13">
        <v>45526</v>
      </c>
      <c r="AQ3242">
        <v>-3</v>
      </c>
      <c r="AR3242">
        <v>1</v>
      </c>
    </row>
    <row r="3243" spans="1:44" x14ac:dyDescent="0.35">
      <c r="A3243" s="12" t="s">
        <v>4148</v>
      </c>
      <c r="B3243" s="12" t="s">
        <v>587</v>
      </c>
      <c r="C3243" s="12" t="s">
        <v>588</v>
      </c>
      <c r="D3243" s="12" t="s">
        <v>122</v>
      </c>
      <c r="E3243" s="12" t="s">
        <v>104</v>
      </c>
      <c r="F3243">
        <v>2</v>
      </c>
      <c r="G3243">
        <v>0</v>
      </c>
      <c r="H3243">
        <v>0</v>
      </c>
      <c r="I3243" s="12" t="s">
        <v>486</v>
      </c>
      <c r="J3243" s="12" t="s">
        <v>487</v>
      </c>
      <c r="K3243" s="12" t="s">
        <v>125</v>
      </c>
      <c r="L3243" s="12" t="s">
        <v>69</v>
      </c>
      <c r="M3243">
        <v>36.86</v>
      </c>
      <c r="N3243" s="12" t="s">
        <v>97</v>
      </c>
      <c r="O3243" s="12" t="s">
        <v>98</v>
      </c>
      <c r="P3243" s="12" t="s">
        <v>72</v>
      </c>
      <c r="Q3243" s="13">
        <v>45513</v>
      </c>
      <c r="R3243" s="13">
        <v>45525</v>
      </c>
      <c r="S3243">
        <v>2024</v>
      </c>
      <c r="T3243" s="12" t="s">
        <v>4077</v>
      </c>
      <c r="U3243">
        <v>255</v>
      </c>
      <c r="V3243">
        <v>12.6721</v>
      </c>
      <c r="W3243">
        <v>44.7</v>
      </c>
      <c r="X3243">
        <v>0</v>
      </c>
      <c r="Y3243">
        <v>0</v>
      </c>
      <c r="Z3243">
        <v>3231.39</v>
      </c>
      <c r="AA3243">
        <v>3276.09</v>
      </c>
      <c r="AB3243" s="12" t="s">
        <v>3188</v>
      </c>
      <c r="AC3243">
        <v>11.9803</v>
      </c>
      <c r="AD3243">
        <v>1</v>
      </c>
      <c r="AE3243">
        <v>1</v>
      </c>
      <c r="AF3243">
        <v>176.41</v>
      </c>
      <c r="AG3243">
        <v>3054.98</v>
      </c>
      <c r="AH3243">
        <v>255</v>
      </c>
      <c r="AI3243">
        <v>252</v>
      </c>
      <c r="AJ3243">
        <v>3</v>
      </c>
      <c r="AK3243">
        <v>1</v>
      </c>
      <c r="AL3243">
        <v>1</v>
      </c>
      <c r="AM3243">
        <v>98.82</v>
      </c>
      <c r="AN3243">
        <v>13.000299999999999</v>
      </c>
      <c r="AO3243">
        <v>38.020000000000003</v>
      </c>
      <c r="AP3243" s="13">
        <v>45524</v>
      </c>
      <c r="AQ3243">
        <v>-1</v>
      </c>
      <c r="AR3243">
        <v>1</v>
      </c>
    </row>
    <row r="3244" spans="1:44" x14ac:dyDescent="0.35">
      <c r="A3244" s="12" t="s">
        <v>4149</v>
      </c>
      <c r="B3244" s="12" t="s">
        <v>503</v>
      </c>
      <c r="C3244" s="12" t="s">
        <v>504</v>
      </c>
      <c r="D3244" s="12" t="s">
        <v>103</v>
      </c>
      <c r="E3244" s="12" t="s">
        <v>104</v>
      </c>
      <c r="F3244">
        <v>3</v>
      </c>
      <c r="G3244">
        <v>1</v>
      </c>
      <c r="H3244">
        <v>0</v>
      </c>
      <c r="I3244" s="12" t="s">
        <v>251</v>
      </c>
      <c r="J3244" s="12" t="s">
        <v>252</v>
      </c>
      <c r="K3244" s="12" t="s">
        <v>133</v>
      </c>
      <c r="L3244" s="12" t="s">
        <v>69</v>
      </c>
      <c r="M3244">
        <v>34.49</v>
      </c>
      <c r="N3244" s="12" t="s">
        <v>145</v>
      </c>
      <c r="O3244" s="12" t="s">
        <v>146</v>
      </c>
      <c r="P3244" s="12" t="s">
        <v>109</v>
      </c>
      <c r="Q3244" s="13">
        <v>45516</v>
      </c>
      <c r="R3244" s="13">
        <v>45532</v>
      </c>
      <c r="S3244">
        <v>2024</v>
      </c>
      <c r="T3244" s="12" t="s">
        <v>4077</v>
      </c>
      <c r="U3244">
        <v>47</v>
      </c>
      <c r="V3244">
        <v>153.63839999999999</v>
      </c>
      <c r="W3244">
        <v>53.26</v>
      </c>
      <c r="X3244">
        <v>0</v>
      </c>
      <c r="Y3244">
        <v>0</v>
      </c>
      <c r="Z3244">
        <v>7221</v>
      </c>
      <c r="AA3244">
        <v>7274.26</v>
      </c>
      <c r="AB3244" s="12" t="s">
        <v>3311</v>
      </c>
      <c r="AC3244">
        <v>153.63839999999999</v>
      </c>
      <c r="AD3244">
        <v>1</v>
      </c>
      <c r="AE3244">
        <v>1</v>
      </c>
      <c r="AF3244">
        <v>0</v>
      </c>
      <c r="AG3244">
        <v>7221</v>
      </c>
      <c r="AH3244">
        <v>47</v>
      </c>
      <c r="AI3244">
        <v>46</v>
      </c>
      <c r="AJ3244">
        <v>1</v>
      </c>
      <c r="AK3244">
        <v>1</v>
      </c>
      <c r="AL3244">
        <v>1</v>
      </c>
      <c r="AM3244">
        <v>97.87</v>
      </c>
      <c r="AN3244">
        <v>158.1362</v>
      </c>
      <c r="AO3244">
        <v>153.63999999999999</v>
      </c>
      <c r="AP3244" s="13">
        <v>45531</v>
      </c>
      <c r="AQ3244">
        <v>-1</v>
      </c>
      <c r="AR3244">
        <v>1</v>
      </c>
    </row>
    <row r="3245" spans="1:44" x14ac:dyDescent="0.35">
      <c r="A3245" s="12" t="s">
        <v>4150</v>
      </c>
      <c r="B3245" s="12" t="s">
        <v>331</v>
      </c>
      <c r="C3245" s="12" t="s">
        <v>332</v>
      </c>
      <c r="D3245" s="12" t="s">
        <v>122</v>
      </c>
      <c r="E3245" s="12" t="s">
        <v>142</v>
      </c>
      <c r="F3245">
        <v>3</v>
      </c>
      <c r="G3245">
        <v>11</v>
      </c>
      <c r="H3245">
        <v>0</v>
      </c>
      <c r="I3245" s="12" t="s">
        <v>66</v>
      </c>
      <c r="J3245" s="12" t="s">
        <v>67</v>
      </c>
      <c r="K3245" s="12" t="s">
        <v>68</v>
      </c>
      <c r="L3245" s="12" t="s">
        <v>69</v>
      </c>
      <c r="M3245">
        <v>17.66</v>
      </c>
      <c r="N3245" s="12" t="s">
        <v>97</v>
      </c>
      <c r="O3245" s="12" t="s">
        <v>98</v>
      </c>
      <c r="P3245" s="12" t="s">
        <v>72</v>
      </c>
      <c r="Q3245" s="13">
        <v>45516</v>
      </c>
      <c r="R3245" s="13">
        <v>45568</v>
      </c>
      <c r="S3245">
        <v>2024</v>
      </c>
      <c r="T3245" s="12" t="s">
        <v>4077</v>
      </c>
      <c r="U3245">
        <v>1933</v>
      </c>
      <c r="V3245">
        <v>25.185199999999998</v>
      </c>
      <c r="W3245">
        <v>532.34</v>
      </c>
      <c r="X3245">
        <v>0</v>
      </c>
      <c r="Y3245">
        <v>0</v>
      </c>
      <c r="Z3245">
        <v>48682.99</v>
      </c>
      <c r="AA3245">
        <v>49215.33</v>
      </c>
      <c r="AB3245" s="12" t="s">
        <v>201</v>
      </c>
      <c r="AD3245">
        <v>0</v>
      </c>
      <c r="AE3245">
        <v>0</v>
      </c>
      <c r="AH3245">
        <v>1933</v>
      </c>
      <c r="AI3245">
        <v>1917</v>
      </c>
      <c r="AJ3245">
        <v>16</v>
      </c>
      <c r="AK3245">
        <v>1</v>
      </c>
      <c r="AL3245">
        <v>1</v>
      </c>
      <c r="AM3245">
        <v>99.17</v>
      </c>
      <c r="AN3245">
        <v>25.673100000000002</v>
      </c>
      <c r="AO3245">
        <v>402.96</v>
      </c>
      <c r="AP3245" s="13">
        <v>45578</v>
      </c>
      <c r="AQ3245">
        <v>10</v>
      </c>
      <c r="AR3245">
        <v>0</v>
      </c>
    </row>
    <row r="3246" spans="1:44" x14ac:dyDescent="0.35">
      <c r="A3246" s="12" t="s">
        <v>4151</v>
      </c>
      <c r="B3246" s="12" t="s">
        <v>207</v>
      </c>
      <c r="C3246" s="12" t="s">
        <v>208</v>
      </c>
      <c r="D3246" s="12" t="s">
        <v>78</v>
      </c>
      <c r="E3246" s="12" t="s">
        <v>65</v>
      </c>
      <c r="F3246">
        <v>2</v>
      </c>
      <c r="G3246">
        <v>3</v>
      </c>
      <c r="H3246">
        <v>0</v>
      </c>
      <c r="I3246" s="12" t="s">
        <v>217</v>
      </c>
      <c r="J3246" s="12" t="s">
        <v>218</v>
      </c>
      <c r="K3246" s="12" t="s">
        <v>68</v>
      </c>
      <c r="L3246" s="12" t="s">
        <v>82</v>
      </c>
      <c r="M3246">
        <v>14.24</v>
      </c>
      <c r="N3246" s="12" t="s">
        <v>97</v>
      </c>
      <c r="O3246" s="12" t="s">
        <v>98</v>
      </c>
      <c r="P3246" s="12" t="s">
        <v>72</v>
      </c>
      <c r="Q3246" s="13">
        <v>45516</v>
      </c>
      <c r="R3246" s="13">
        <v>45548</v>
      </c>
      <c r="S3246">
        <v>2024</v>
      </c>
      <c r="T3246" s="12" t="s">
        <v>4077</v>
      </c>
      <c r="U3246">
        <v>204</v>
      </c>
      <c r="V3246">
        <v>148.36510000000001</v>
      </c>
      <c r="W3246">
        <v>521.83000000000004</v>
      </c>
      <c r="X3246">
        <v>0</v>
      </c>
      <c r="Y3246">
        <v>0</v>
      </c>
      <c r="Z3246">
        <v>30266.48</v>
      </c>
      <c r="AA3246">
        <v>30788.31</v>
      </c>
      <c r="AB3246" s="12" t="s">
        <v>3559</v>
      </c>
      <c r="AC3246">
        <v>148.36510000000001</v>
      </c>
      <c r="AD3246">
        <v>1</v>
      </c>
      <c r="AE3246">
        <v>1</v>
      </c>
      <c r="AF3246">
        <v>0</v>
      </c>
      <c r="AG3246">
        <v>30266.48</v>
      </c>
      <c r="AH3246">
        <v>204</v>
      </c>
      <c r="AI3246">
        <v>202</v>
      </c>
      <c r="AJ3246">
        <v>2</v>
      </c>
      <c r="AK3246">
        <v>1</v>
      </c>
      <c r="AL3246">
        <v>1</v>
      </c>
      <c r="AM3246">
        <v>99.02</v>
      </c>
      <c r="AN3246">
        <v>152.41739999999999</v>
      </c>
      <c r="AO3246">
        <v>296.73</v>
      </c>
      <c r="AP3246" s="13">
        <v>45546</v>
      </c>
      <c r="AQ3246">
        <v>-2</v>
      </c>
      <c r="AR3246">
        <v>1</v>
      </c>
    </row>
    <row r="3247" spans="1:44" x14ac:dyDescent="0.35">
      <c r="A3247" s="12" t="s">
        <v>4152</v>
      </c>
      <c r="B3247" s="12" t="s">
        <v>661</v>
      </c>
      <c r="C3247" s="12" t="s">
        <v>662</v>
      </c>
      <c r="D3247" s="12" t="s">
        <v>175</v>
      </c>
      <c r="E3247" s="12" t="s">
        <v>104</v>
      </c>
      <c r="F3247">
        <v>1</v>
      </c>
      <c r="G3247">
        <v>0</v>
      </c>
      <c r="H3247">
        <v>1</v>
      </c>
      <c r="I3247" s="12" t="s">
        <v>183</v>
      </c>
      <c r="J3247" s="12" t="s">
        <v>184</v>
      </c>
      <c r="K3247" s="12" t="s">
        <v>133</v>
      </c>
      <c r="L3247" s="12" t="s">
        <v>82</v>
      </c>
      <c r="M3247">
        <v>8.6199999999999992</v>
      </c>
      <c r="N3247" s="12" t="s">
        <v>107</v>
      </c>
      <c r="O3247" s="12" t="s">
        <v>108</v>
      </c>
      <c r="P3247" s="12" t="s">
        <v>109</v>
      </c>
      <c r="Q3247" s="13">
        <v>45516</v>
      </c>
      <c r="R3247" s="13">
        <v>45542</v>
      </c>
      <c r="S3247">
        <v>2024</v>
      </c>
      <c r="T3247" s="12" t="s">
        <v>4077</v>
      </c>
      <c r="U3247">
        <v>125</v>
      </c>
      <c r="V3247">
        <v>180.0376</v>
      </c>
      <c r="W3247">
        <v>244.76</v>
      </c>
      <c r="X3247">
        <v>0</v>
      </c>
      <c r="Y3247">
        <v>0</v>
      </c>
      <c r="Z3247">
        <v>22504.7</v>
      </c>
      <c r="AA3247">
        <v>22749.46</v>
      </c>
      <c r="AB3247" s="12" t="s">
        <v>2851</v>
      </c>
      <c r="AC3247">
        <v>180.0376</v>
      </c>
      <c r="AD3247">
        <v>1</v>
      </c>
      <c r="AE3247">
        <v>1</v>
      </c>
      <c r="AF3247">
        <v>0</v>
      </c>
      <c r="AG3247">
        <v>22504.7</v>
      </c>
      <c r="AH3247">
        <v>125</v>
      </c>
      <c r="AI3247">
        <v>124</v>
      </c>
      <c r="AJ3247">
        <v>1</v>
      </c>
      <c r="AK3247">
        <v>1</v>
      </c>
      <c r="AL3247">
        <v>1</v>
      </c>
      <c r="AM3247">
        <v>99.2</v>
      </c>
      <c r="AN3247">
        <v>183.46340000000001</v>
      </c>
      <c r="AO3247">
        <v>180.04</v>
      </c>
      <c r="AP3247" s="13">
        <v>45540</v>
      </c>
      <c r="AQ3247">
        <v>-2</v>
      </c>
      <c r="AR3247">
        <v>1</v>
      </c>
    </row>
    <row r="3248" spans="1:44" x14ac:dyDescent="0.35">
      <c r="A3248" s="12" t="s">
        <v>4153</v>
      </c>
      <c r="B3248" s="12" t="s">
        <v>391</v>
      </c>
      <c r="C3248" s="12" t="s">
        <v>392</v>
      </c>
      <c r="D3248" s="12" t="s">
        <v>114</v>
      </c>
      <c r="E3248" s="12" t="s">
        <v>65</v>
      </c>
      <c r="F3248">
        <v>2</v>
      </c>
      <c r="G3248">
        <v>2</v>
      </c>
      <c r="H3248">
        <v>0</v>
      </c>
      <c r="I3248" s="12" t="s">
        <v>310</v>
      </c>
      <c r="J3248" s="12" t="s">
        <v>311</v>
      </c>
      <c r="K3248" s="12" t="s">
        <v>81</v>
      </c>
      <c r="L3248" s="12" t="s">
        <v>69</v>
      </c>
      <c r="M3248">
        <v>28.3</v>
      </c>
      <c r="N3248" s="12" t="s">
        <v>97</v>
      </c>
      <c r="O3248" s="12" t="s">
        <v>98</v>
      </c>
      <c r="P3248" s="12" t="s">
        <v>72</v>
      </c>
      <c r="Q3248" s="13">
        <v>45516</v>
      </c>
      <c r="R3248" s="13">
        <v>45537</v>
      </c>
      <c r="S3248">
        <v>2024</v>
      </c>
      <c r="T3248" s="12" t="s">
        <v>4077</v>
      </c>
      <c r="U3248">
        <v>10</v>
      </c>
      <c r="V3248">
        <v>220.328</v>
      </c>
      <c r="W3248">
        <v>41.59</v>
      </c>
      <c r="X3248">
        <v>0</v>
      </c>
      <c r="Y3248">
        <v>0</v>
      </c>
      <c r="Z3248">
        <v>2203.2800000000002</v>
      </c>
      <c r="AA3248">
        <v>2244.87</v>
      </c>
      <c r="AB3248" s="12" t="s">
        <v>2890</v>
      </c>
      <c r="AC3248">
        <v>220.328</v>
      </c>
      <c r="AD3248">
        <v>1</v>
      </c>
      <c r="AE3248">
        <v>1</v>
      </c>
      <c r="AF3248">
        <v>0</v>
      </c>
      <c r="AG3248">
        <v>2203.2800000000002</v>
      </c>
      <c r="AH3248">
        <v>10</v>
      </c>
      <c r="AI3248">
        <v>10</v>
      </c>
      <c r="AJ3248">
        <v>0</v>
      </c>
      <c r="AK3248">
        <v>1</v>
      </c>
      <c r="AL3248">
        <v>1</v>
      </c>
      <c r="AM3248">
        <v>100</v>
      </c>
      <c r="AN3248">
        <v>224.48699999999999</v>
      </c>
      <c r="AO3248">
        <v>0</v>
      </c>
      <c r="AP3248" s="13">
        <v>45543</v>
      </c>
      <c r="AQ3248">
        <v>6</v>
      </c>
      <c r="AR3248">
        <v>0</v>
      </c>
    </row>
    <row r="3249" spans="1:44" x14ac:dyDescent="0.35">
      <c r="A3249" s="12" t="s">
        <v>4154</v>
      </c>
      <c r="B3249" s="12" t="s">
        <v>221</v>
      </c>
      <c r="C3249" s="12" t="s">
        <v>222</v>
      </c>
      <c r="D3249" s="12" t="s">
        <v>114</v>
      </c>
      <c r="E3249" s="12" t="s">
        <v>142</v>
      </c>
      <c r="F3249">
        <v>3</v>
      </c>
      <c r="G3249">
        <v>11</v>
      </c>
      <c r="H3249">
        <v>0</v>
      </c>
      <c r="I3249" s="12" t="s">
        <v>105</v>
      </c>
      <c r="J3249" s="12" t="s">
        <v>106</v>
      </c>
      <c r="K3249" s="12" t="s">
        <v>81</v>
      </c>
      <c r="L3249" s="12" t="s">
        <v>96</v>
      </c>
      <c r="M3249">
        <v>5.01</v>
      </c>
      <c r="N3249" s="12" t="s">
        <v>70</v>
      </c>
      <c r="O3249" s="12" t="s">
        <v>71</v>
      </c>
      <c r="P3249" s="12" t="s">
        <v>72</v>
      </c>
      <c r="Q3249" s="13">
        <v>45516</v>
      </c>
      <c r="R3249" s="13">
        <v>45560</v>
      </c>
      <c r="S3249">
        <v>2024</v>
      </c>
      <c r="T3249" s="12" t="s">
        <v>4077</v>
      </c>
      <c r="U3249">
        <v>87</v>
      </c>
      <c r="V3249">
        <v>251.7457</v>
      </c>
      <c r="W3249">
        <v>178.96</v>
      </c>
      <c r="X3249">
        <v>0</v>
      </c>
      <c r="Y3249">
        <v>0</v>
      </c>
      <c r="Z3249">
        <v>21901.88</v>
      </c>
      <c r="AA3249">
        <v>22080.84</v>
      </c>
      <c r="AB3249" s="12" t="s">
        <v>2818</v>
      </c>
      <c r="AC3249">
        <v>239.12260000000001</v>
      </c>
      <c r="AD3249">
        <v>1</v>
      </c>
      <c r="AE3249">
        <v>1</v>
      </c>
      <c r="AF3249">
        <v>1098.21</v>
      </c>
      <c r="AG3249">
        <v>20803.669999999998</v>
      </c>
      <c r="AH3249">
        <v>87</v>
      </c>
      <c r="AI3249">
        <v>85</v>
      </c>
      <c r="AJ3249">
        <v>2</v>
      </c>
      <c r="AK3249">
        <v>1</v>
      </c>
      <c r="AL3249">
        <v>1</v>
      </c>
      <c r="AM3249">
        <v>97.7</v>
      </c>
      <c r="AN3249">
        <v>259.77449999999999</v>
      </c>
      <c r="AO3249">
        <v>503.49</v>
      </c>
      <c r="AP3249" s="13">
        <v>45563</v>
      </c>
      <c r="AQ3249">
        <v>3</v>
      </c>
      <c r="AR3249">
        <v>0</v>
      </c>
    </row>
    <row r="3250" spans="1:44" x14ac:dyDescent="0.35">
      <c r="A3250" s="12" t="s">
        <v>4155</v>
      </c>
      <c r="B3250" s="12" t="s">
        <v>706</v>
      </c>
      <c r="C3250" s="12" t="s">
        <v>707</v>
      </c>
      <c r="D3250" s="12" t="s">
        <v>130</v>
      </c>
      <c r="E3250" s="12" t="s">
        <v>142</v>
      </c>
      <c r="F3250">
        <v>1</v>
      </c>
      <c r="G3250">
        <v>8</v>
      </c>
      <c r="H3250">
        <v>1</v>
      </c>
      <c r="I3250" s="12" t="s">
        <v>263</v>
      </c>
      <c r="J3250" s="12" t="s">
        <v>264</v>
      </c>
      <c r="K3250" s="12" t="s">
        <v>125</v>
      </c>
      <c r="L3250" s="12" t="s">
        <v>82</v>
      </c>
      <c r="M3250">
        <v>10.210000000000001</v>
      </c>
      <c r="N3250" s="12" t="s">
        <v>135</v>
      </c>
      <c r="O3250" s="12" t="s">
        <v>136</v>
      </c>
      <c r="P3250" s="12" t="s">
        <v>137</v>
      </c>
      <c r="Q3250" s="13">
        <v>45517</v>
      </c>
      <c r="R3250" s="13">
        <v>45559</v>
      </c>
      <c r="S3250">
        <v>2024</v>
      </c>
      <c r="T3250" s="12" t="s">
        <v>4077</v>
      </c>
      <c r="U3250">
        <v>69</v>
      </c>
      <c r="V3250">
        <v>277.214</v>
      </c>
      <c r="W3250">
        <v>450.9</v>
      </c>
      <c r="X3250">
        <v>0</v>
      </c>
      <c r="Y3250">
        <v>0</v>
      </c>
      <c r="Z3250">
        <v>19127.77</v>
      </c>
      <c r="AA3250">
        <v>19578.669999999998</v>
      </c>
      <c r="AB3250" s="12" t="s">
        <v>3434</v>
      </c>
      <c r="AC3250">
        <v>277.214</v>
      </c>
      <c r="AD3250">
        <v>1</v>
      </c>
      <c r="AE3250">
        <v>1</v>
      </c>
      <c r="AF3250">
        <v>0</v>
      </c>
      <c r="AG3250">
        <v>19127.77</v>
      </c>
      <c r="AH3250">
        <v>69</v>
      </c>
      <c r="AI3250">
        <v>68</v>
      </c>
      <c r="AJ3250">
        <v>1</v>
      </c>
      <c r="AK3250">
        <v>1</v>
      </c>
      <c r="AL3250">
        <v>1</v>
      </c>
      <c r="AM3250">
        <v>98.55</v>
      </c>
      <c r="AN3250">
        <v>287.92160000000001</v>
      </c>
      <c r="AO3250">
        <v>277.20999999999998</v>
      </c>
      <c r="AP3250" s="13">
        <v>45556</v>
      </c>
      <c r="AQ3250">
        <v>-3</v>
      </c>
      <c r="AR3250">
        <v>1</v>
      </c>
    </row>
    <row r="3251" spans="1:44" x14ac:dyDescent="0.35">
      <c r="A3251" s="12" t="s">
        <v>4156</v>
      </c>
      <c r="B3251" s="12" t="s">
        <v>399</v>
      </c>
      <c r="C3251" s="12" t="s">
        <v>400</v>
      </c>
      <c r="D3251" s="12" t="s">
        <v>114</v>
      </c>
      <c r="E3251" s="12" t="s">
        <v>65</v>
      </c>
      <c r="F3251">
        <v>1</v>
      </c>
      <c r="G3251">
        <v>2</v>
      </c>
      <c r="H3251">
        <v>1</v>
      </c>
      <c r="I3251" s="12" t="s">
        <v>151</v>
      </c>
      <c r="J3251" s="12" t="s">
        <v>152</v>
      </c>
      <c r="K3251" s="12" t="s">
        <v>125</v>
      </c>
      <c r="L3251" s="12" t="s">
        <v>69</v>
      </c>
      <c r="M3251">
        <v>36.479999999999997</v>
      </c>
      <c r="N3251" s="12" t="s">
        <v>70</v>
      </c>
      <c r="O3251" s="12" t="s">
        <v>71</v>
      </c>
      <c r="P3251" s="12" t="s">
        <v>72</v>
      </c>
      <c r="Q3251" s="13">
        <v>45517</v>
      </c>
      <c r="R3251" s="13">
        <v>45553</v>
      </c>
      <c r="S3251">
        <v>2024</v>
      </c>
      <c r="T3251" s="12" t="s">
        <v>4077</v>
      </c>
      <c r="U3251">
        <v>133</v>
      </c>
      <c r="V3251">
        <v>301.77420000000001</v>
      </c>
      <c r="W3251">
        <v>634.89</v>
      </c>
      <c r="X3251">
        <v>0</v>
      </c>
      <c r="Y3251">
        <v>0</v>
      </c>
      <c r="Z3251">
        <v>40135.97</v>
      </c>
      <c r="AA3251">
        <v>40770.86</v>
      </c>
      <c r="AB3251" s="12" t="s">
        <v>3009</v>
      </c>
      <c r="AC3251">
        <v>292.26440000000002</v>
      </c>
      <c r="AD3251">
        <v>1</v>
      </c>
      <c r="AE3251">
        <v>1</v>
      </c>
      <c r="AF3251">
        <v>1264.8</v>
      </c>
      <c r="AG3251">
        <v>38871.17</v>
      </c>
      <c r="AH3251">
        <v>133</v>
      </c>
      <c r="AI3251">
        <v>131</v>
      </c>
      <c r="AJ3251">
        <v>2</v>
      </c>
      <c r="AK3251">
        <v>1</v>
      </c>
      <c r="AL3251">
        <v>1</v>
      </c>
      <c r="AM3251">
        <v>98.5</v>
      </c>
      <c r="AN3251">
        <v>311.22789999999998</v>
      </c>
      <c r="AO3251">
        <v>603.54999999999995</v>
      </c>
      <c r="AP3251" s="13">
        <v>45551</v>
      </c>
      <c r="AQ3251">
        <v>-2</v>
      </c>
      <c r="AR3251">
        <v>1</v>
      </c>
    </row>
    <row r="3252" spans="1:44" x14ac:dyDescent="0.35">
      <c r="A3252" s="12" t="s">
        <v>4157</v>
      </c>
      <c r="B3252" s="12" t="s">
        <v>241</v>
      </c>
      <c r="C3252" s="12" t="s">
        <v>242</v>
      </c>
      <c r="D3252" s="12" t="s">
        <v>103</v>
      </c>
      <c r="E3252" s="12" t="s">
        <v>142</v>
      </c>
      <c r="F3252">
        <v>3</v>
      </c>
      <c r="G3252">
        <v>11</v>
      </c>
      <c r="H3252">
        <v>0</v>
      </c>
      <c r="I3252" s="12" t="s">
        <v>243</v>
      </c>
      <c r="J3252" s="12" t="s">
        <v>244</v>
      </c>
      <c r="K3252" s="12" t="s">
        <v>81</v>
      </c>
      <c r="L3252" s="12" t="s">
        <v>82</v>
      </c>
      <c r="M3252">
        <v>9.2200000000000006</v>
      </c>
      <c r="N3252" s="12" t="s">
        <v>145</v>
      </c>
      <c r="O3252" s="12" t="s">
        <v>146</v>
      </c>
      <c r="P3252" s="12" t="s">
        <v>109</v>
      </c>
      <c r="Q3252" s="13">
        <v>45517</v>
      </c>
      <c r="R3252" s="13">
        <v>45557</v>
      </c>
      <c r="S3252">
        <v>2024</v>
      </c>
      <c r="T3252" s="12" t="s">
        <v>4077</v>
      </c>
      <c r="U3252">
        <v>54</v>
      </c>
      <c r="V3252">
        <v>188.9708</v>
      </c>
      <c r="W3252">
        <v>241.78</v>
      </c>
      <c r="X3252">
        <v>310.39999999999998</v>
      </c>
      <c r="Y3252">
        <v>1</v>
      </c>
      <c r="Z3252">
        <v>10204.42</v>
      </c>
      <c r="AA3252">
        <v>10756.6</v>
      </c>
      <c r="AB3252" s="12" t="s">
        <v>201</v>
      </c>
      <c r="AD3252">
        <v>0</v>
      </c>
      <c r="AE3252">
        <v>0</v>
      </c>
      <c r="AH3252">
        <v>54</v>
      </c>
      <c r="AI3252">
        <v>54</v>
      </c>
      <c r="AJ3252">
        <v>0</v>
      </c>
      <c r="AK3252">
        <v>1</v>
      </c>
      <c r="AL3252">
        <v>1</v>
      </c>
      <c r="AM3252">
        <v>100</v>
      </c>
      <c r="AN3252">
        <v>199.19640000000001</v>
      </c>
      <c r="AO3252">
        <v>0</v>
      </c>
      <c r="AP3252" s="13">
        <v>45554</v>
      </c>
      <c r="AQ3252">
        <v>-3</v>
      </c>
      <c r="AR3252">
        <v>1</v>
      </c>
    </row>
    <row r="3253" spans="1:44" x14ac:dyDescent="0.35">
      <c r="A3253" s="12" t="s">
        <v>4158</v>
      </c>
      <c r="B3253" s="12" t="s">
        <v>442</v>
      </c>
      <c r="C3253" s="12" t="s">
        <v>443</v>
      </c>
      <c r="D3253" s="12" t="s">
        <v>130</v>
      </c>
      <c r="E3253" s="12" t="s">
        <v>65</v>
      </c>
      <c r="F3253">
        <v>3</v>
      </c>
      <c r="G3253">
        <v>4</v>
      </c>
      <c r="H3253">
        <v>0</v>
      </c>
      <c r="I3253" s="12" t="s">
        <v>251</v>
      </c>
      <c r="J3253" s="12" t="s">
        <v>252</v>
      </c>
      <c r="K3253" s="12" t="s">
        <v>133</v>
      </c>
      <c r="L3253" s="12" t="s">
        <v>69</v>
      </c>
      <c r="M3253">
        <v>34.49</v>
      </c>
      <c r="N3253" s="12" t="s">
        <v>159</v>
      </c>
      <c r="O3253" s="12" t="s">
        <v>160</v>
      </c>
      <c r="P3253" s="12" t="s">
        <v>137</v>
      </c>
      <c r="Q3253" s="13">
        <v>45517</v>
      </c>
      <c r="R3253" s="13">
        <v>45540</v>
      </c>
      <c r="S3253">
        <v>2024</v>
      </c>
      <c r="T3253" s="12" t="s">
        <v>4077</v>
      </c>
      <c r="U3253">
        <v>32</v>
      </c>
      <c r="V3253">
        <v>560.57730000000004</v>
      </c>
      <c r="W3253">
        <v>292.85000000000002</v>
      </c>
      <c r="X3253">
        <v>0</v>
      </c>
      <c r="Y3253">
        <v>0</v>
      </c>
      <c r="Z3253">
        <v>17938.47</v>
      </c>
      <c r="AA3253">
        <v>18231.32</v>
      </c>
      <c r="AB3253" s="12" t="s">
        <v>3116</v>
      </c>
      <c r="AC3253">
        <v>560.57730000000004</v>
      </c>
      <c r="AD3253">
        <v>1</v>
      </c>
      <c r="AE3253">
        <v>1</v>
      </c>
      <c r="AF3253">
        <v>0</v>
      </c>
      <c r="AG3253">
        <v>17938.47</v>
      </c>
      <c r="AH3253">
        <v>32</v>
      </c>
      <c r="AI3253">
        <v>32</v>
      </c>
      <c r="AJ3253">
        <v>0</v>
      </c>
      <c r="AK3253">
        <v>1</v>
      </c>
      <c r="AL3253">
        <v>1</v>
      </c>
      <c r="AM3253">
        <v>100</v>
      </c>
      <c r="AN3253">
        <v>569.72889999999995</v>
      </c>
      <c r="AO3253">
        <v>0</v>
      </c>
      <c r="AP3253" s="13">
        <v>45540</v>
      </c>
      <c r="AQ3253">
        <v>0</v>
      </c>
      <c r="AR3253">
        <v>1</v>
      </c>
    </row>
    <row r="3254" spans="1:44" x14ac:dyDescent="0.35">
      <c r="A3254" s="12" t="s">
        <v>4159</v>
      </c>
      <c r="B3254" s="12" t="s">
        <v>747</v>
      </c>
      <c r="C3254" s="12" t="s">
        <v>748</v>
      </c>
      <c r="D3254" s="12" t="s">
        <v>114</v>
      </c>
      <c r="E3254" s="12" t="s">
        <v>104</v>
      </c>
      <c r="F3254">
        <v>2</v>
      </c>
      <c r="G3254">
        <v>0</v>
      </c>
      <c r="H3254">
        <v>0</v>
      </c>
      <c r="I3254" s="12" t="s">
        <v>251</v>
      </c>
      <c r="J3254" s="12" t="s">
        <v>252</v>
      </c>
      <c r="K3254" s="12" t="s">
        <v>133</v>
      </c>
      <c r="L3254" s="12" t="s">
        <v>69</v>
      </c>
      <c r="M3254">
        <v>34.49</v>
      </c>
      <c r="N3254" s="12" t="s">
        <v>97</v>
      </c>
      <c r="O3254" s="12" t="s">
        <v>98</v>
      </c>
      <c r="P3254" s="12" t="s">
        <v>72</v>
      </c>
      <c r="Q3254" s="13">
        <v>45517</v>
      </c>
      <c r="R3254" s="13">
        <v>45537</v>
      </c>
      <c r="S3254">
        <v>2024</v>
      </c>
      <c r="T3254" s="12" t="s">
        <v>4077</v>
      </c>
      <c r="U3254">
        <v>74</v>
      </c>
      <c r="V3254">
        <v>242.2371</v>
      </c>
      <c r="W3254">
        <v>355.85</v>
      </c>
      <c r="X3254">
        <v>0</v>
      </c>
      <c r="Y3254">
        <v>0</v>
      </c>
      <c r="Z3254">
        <v>17925.55</v>
      </c>
      <c r="AA3254">
        <v>18281.400000000001</v>
      </c>
      <c r="AB3254" s="12" t="s">
        <v>3119</v>
      </c>
      <c r="AC3254">
        <v>242.2371</v>
      </c>
      <c r="AD3254">
        <v>1</v>
      </c>
      <c r="AE3254">
        <v>1</v>
      </c>
      <c r="AF3254">
        <v>0</v>
      </c>
      <c r="AG3254">
        <v>17925.55</v>
      </c>
      <c r="AH3254">
        <v>74</v>
      </c>
      <c r="AI3254">
        <v>74</v>
      </c>
      <c r="AJ3254">
        <v>0</v>
      </c>
      <c r="AK3254">
        <v>1</v>
      </c>
      <c r="AL3254">
        <v>1</v>
      </c>
      <c r="AM3254">
        <v>100</v>
      </c>
      <c r="AN3254">
        <v>247.04589999999999</v>
      </c>
      <c r="AO3254">
        <v>0</v>
      </c>
      <c r="AP3254" s="13">
        <v>45535</v>
      </c>
      <c r="AQ3254">
        <v>-2</v>
      </c>
      <c r="AR3254">
        <v>1</v>
      </c>
    </row>
    <row r="3255" spans="1:44" x14ac:dyDescent="0.35">
      <c r="A3255" s="12" t="s">
        <v>4160</v>
      </c>
      <c r="B3255" s="12" t="s">
        <v>289</v>
      </c>
      <c r="C3255" s="12" t="s">
        <v>290</v>
      </c>
      <c r="D3255" s="12" t="s">
        <v>175</v>
      </c>
      <c r="E3255" s="12" t="s">
        <v>104</v>
      </c>
      <c r="F3255">
        <v>3</v>
      </c>
      <c r="G3255">
        <v>1</v>
      </c>
      <c r="H3255">
        <v>0</v>
      </c>
      <c r="I3255" s="12" t="s">
        <v>157</v>
      </c>
      <c r="J3255" s="12" t="s">
        <v>158</v>
      </c>
      <c r="K3255" s="12" t="s">
        <v>117</v>
      </c>
      <c r="L3255" s="12" t="s">
        <v>96</v>
      </c>
      <c r="M3255">
        <v>4.72</v>
      </c>
      <c r="N3255" s="12" t="s">
        <v>107</v>
      </c>
      <c r="O3255" s="12" t="s">
        <v>108</v>
      </c>
      <c r="P3255" s="12" t="s">
        <v>109</v>
      </c>
      <c r="Q3255" s="13">
        <v>45517</v>
      </c>
      <c r="R3255" s="13">
        <v>45539</v>
      </c>
      <c r="S3255">
        <v>2024</v>
      </c>
      <c r="T3255" s="12" t="s">
        <v>4077</v>
      </c>
      <c r="U3255">
        <v>91</v>
      </c>
      <c r="V3255">
        <v>184.24529999999999</v>
      </c>
      <c r="W3255">
        <v>170.06</v>
      </c>
      <c r="X3255">
        <v>0</v>
      </c>
      <c r="Y3255">
        <v>0</v>
      </c>
      <c r="Z3255">
        <v>16766.32</v>
      </c>
      <c r="AA3255">
        <v>16936.38</v>
      </c>
      <c r="AB3255" s="12" t="s">
        <v>2676</v>
      </c>
      <c r="AC3255">
        <v>184.24529999999999</v>
      </c>
      <c r="AD3255">
        <v>1</v>
      </c>
      <c r="AE3255">
        <v>1</v>
      </c>
      <c r="AF3255">
        <v>0</v>
      </c>
      <c r="AG3255">
        <v>16766.32</v>
      </c>
      <c r="AH3255">
        <v>91</v>
      </c>
      <c r="AI3255">
        <v>91</v>
      </c>
      <c r="AJ3255">
        <v>0</v>
      </c>
      <c r="AK3255">
        <v>1</v>
      </c>
      <c r="AL3255">
        <v>1</v>
      </c>
      <c r="AM3255">
        <v>100</v>
      </c>
      <c r="AN3255">
        <v>186.11410000000001</v>
      </c>
      <c r="AO3255">
        <v>0</v>
      </c>
      <c r="AP3255" s="13">
        <v>45536</v>
      </c>
      <c r="AQ3255">
        <v>-3</v>
      </c>
      <c r="AR3255">
        <v>1</v>
      </c>
    </row>
    <row r="3256" spans="1:44" x14ac:dyDescent="0.35">
      <c r="A3256" s="12" t="s">
        <v>4161</v>
      </c>
      <c r="B3256" s="12" t="s">
        <v>736</v>
      </c>
      <c r="C3256" s="12" t="s">
        <v>737</v>
      </c>
      <c r="D3256" s="12" t="s">
        <v>64</v>
      </c>
      <c r="E3256" s="12" t="s">
        <v>104</v>
      </c>
      <c r="F3256">
        <v>3</v>
      </c>
      <c r="G3256">
        <v>1</v>
      </c>
      <c r="H3256">
        <v>0</v>
      </c>
      <c r="I3256" s="12" t="s">
        <v>94</v>
      </c>
      <c r="J3256" s="12" t="s">
        <v>95</v>
      </c>
      <c r="K3256" s="12" t="s">
        <v>81</v>
      </c>
      <c r="L3256" s="12" t="s">
        <v>96</v>
      </c>
      <c r="M3256">
        <v>4.8099999999999996</v>
      </c>
      <c r="N3256" s="12" t="s">
        <v>70</v>
      </c>
      <c r="O3256" s="12" t="s">
        <v>71</v>
      </c>
      <c r="P3256" s="12" t="s">
        <v>72</v>
      </c>
      <c r="Q3256" s="13">
        <v>45517</v>
      </c>
      <c r="R3256" s="13">
        <v>45541</v>
      </c>
      <c r="S3256">
        <v>2024</v>
      </c>
      <c r="T3256" s="12" t="s">
        <v>4077</v>
      </c>
      <c r="U3256">
        <v>742</v>
      </c>
      <c r="V3256">
        <v>22.894600000000001</v>
      </c>
      <c r="W3256">
        <v>302.16000000000003</v>
      </c>
      <c r="X3256">
        <v>0</v>
      </c>
      <c r="Y3256">
        <v>0</v>
      </c>
      <c r="Z3256">
        <v>16987.79</v>
      </c>
      <c r="AA3256">
        <v>17289.95</v>
      </c>
      <c r="AB3256" s="12" t="s">
        <v>3251</v>
      </c>
      <c r="AC3256">
        <v>22.894600000000001</v>
      </c>
      <c r="AD3256">
        <v>1</v>
      </c>
      <c r="AE3256">
        <v>1</v>
      </c>
      <c r="AF3256">
        <v>0</v>
      </c>
      <c r="AG3256">
        <v>16987.79</v>
      </c>
      <c r="AH3256">
        <v>742</v>
      </c>
      <c r="AI3256">
        <v>731</v>
      </c>
      <c r="AJ3256">
        <v>11</v>
      </c>
      <c r="AK3256">
        <v>1</v>
      </c>
      <c r="AL3256">
        <v>1</v>
      </c>
      <c r="AM3256">
        <v>98.52</v>
      </c>
      <c r="AN3256">
        <v>23.6525</v>
      </c>
      <c r="AO3256">
        <v>251.84</v>
      </c>
      <c r="AP3256" s="13">
        <v>45539</v>
      </c>
      <c r="AQ3256">
        <v>-2</v>
      </c>
      <c r="AR3256">
        <v>1</v>
      </c>
    </row>
    <row r="3257" spans="1:44" x14ac:dyDescent="0.35">
      <c r="A3257" s="12" t="s">
        <v>4162</v>
      </c>
      <c r="B3257" s="12" t="s">
        <v>1166</v>
      </c>
      <c r="C3257" s="12" t="s">
        <v>1167</v>
      </c>
      <c r="D3257" s="12" t="s">
        <v>175</v>
      </c>
      <c r="E3257" s="12" t="s">
        <v>65</v>
      </c>
      <c r="F3257">
        <v>3</v>
      </c>
      <c r="G3257">
        <v>5</v>
      </c>
      <c r="H3257">
        <v>0</v>
      </c>
      <c r="I3257" s="12" t="s">
        <v>359</v>
      </c>
      <c r="J3257" s="12" t="s">
        <v>360</v>
      </c>
      <c r="K3257" s="12" t="s">
        <v>133</v>
      </c>
      <c r="L3257" s="12" t="s">
        <v>82</v>
      </c>
      <c r="M3257">
        <v>12.65</v>
      </c>
      <c r="N3257" s="12" t="s">
        <v>145</v>
      </c>
      <c r="O3257" s="12" t="s">
        <v>146</v>
      </c>
      <c r="P3257" s="12" t="s">
        <v>109</v>
      </c>
      <c r="Q3257" s="13">
        <v>45517</v>
      </c>
      <c r="R3257" s="13">
        <v>45544</v>
      </c>
      <c r="S3257">
        <v>2024</v>
      </c>
      <c r="T3257" s="12" t="s">
        <v>4077</v>
      </c>
      <c r="U3257">
        <v>58</v>
      </c>
      <c r="V3257">
        <v>268.45830000000001</v>
      </c>
      <c r="W3257">
        <v>188.04</v>
      </c>
      <c r="X3257">
        <v>0</v>
      </c>
      <c r="Y3257">
        <v>0</v>
      </c>
      <c r="Z3257">
        <v>15570.58</v>
      </c>
      <c r="AA3257">
        <v>15758.62</v>
      </c>
      <c r="AB3257" s="12" t="s">
        <v>201</v>
      </c>
      <c r="AD3257">
        <v>0</v>
      </c>
      <c r="AE3257">
        <v>0</v>
      </c>
      <c r="AH3257">
        <v>58</v>
      </c>
      <c r="AI3257">
        <v>57</v>
      </c>
      <c r="AJ3257">
        <v>1</v>
      </c>
      <c r="AK3257">
        <v>1</v>
      </c>
      <c r="AL3257">
        <v>1</v>
      </c>
      <c r="AM3257">
        <v>98.28</v>
      </c>
      <c r="AN3257">
        <v>276.46699999999998</v>
      </c>
      <c r="AO3257">
        <v>268.45999999999998</v>
      </c>
      <c r="AP3257" s="13">
        <v>45542</v>
      </c>
      <c r="AQ3257">
        <v>-2</v>
      </c>
      <c r="AR3257">
        <v>1</v>
      </c>
    </row>
    <row r="3258" spans="1:44" x14ac:dyDescent="0.35">
      <c r="A3258" s="12" t="s">
        <v>4163</v>
      </c>
      <c r="B3258" s="12" t="s">
        <v>565</v>
      </c>
      <c r="C3258" s="12" t="s">
        <v>566</v>
      </c>
      <c r="D3258" s="12" t="s">
        <v>122</v>
      </c>
      <c r="E3258" s="12" t="s">
        <v>104</v>
      </c>
      <c r="F3258">
        <v>3</v>
      </c>
      <c r="G3258">
        <v>1</v>
      </c>
      <c r="H3258">
        <v>0</v>
      </c>
      <c r="I3258" s="12" t="s">
        <v>131</v>
      </c>
      <c r="J3258" s="12" t="s">
        <v>132</v>
      </c>
      <c r="K3258" s="12" t="s">
        <v>133</v>
      </c>
      <c r="L3258" s="12" t="s">
        <v>134</v>
      </c>
      <c r="M3258">
        <v>1.51</v>
      </c>
      <c r="N3258" s="12" t="s">
        <v>97</v>
      </c>
      <c r="O3258" s="12" t="s">
        <v>98</v>
      </c>
      <c r="P3258" s="12" t="s">
        <v>72</v>
      </c>
      <c r="Q3258" s="13">
        <v>45518</v>
      </c>
      <c r="R3258" s="13">
        <v>45535</v>
      </c>
      <c r="S3258">
        <v>2024</v>
      </c>
      <c r="T3258" s="12" t="s">
        <v>4077</v>
      </c>
      <c r="U3258">
        <v>720</v>
      </c>
      <c r="V3258">
        <v>35.698500000000003</v>
      </c>
      <c r="W3258">
        <v>523.85</v>
      </c>
      <c r="X3258">
        <v>0</v>
      </c>
      <c r="Y3258">
        <v>0</v>
      </c>
      <c r="Z3258">
        <v>25702.92</v>
      </c>
      <c r="AA3258">
        <v>26226.77</v>
      </c>
      <c r="AB3258" s="12" t="s">
        <v>4164</v>
      </c>
      <c r="AC3258">
        <v>35.698500000000003</v>
      </c>
      <c r="AD3258">
        <v>1</v>
      </c>
      <c r="AE3258">
        <v>1</v>
      </c>
      <c r="AF3258">
        <v>0</v>
      </c>
      <c r="AG3258">
        <v>25702.92</v>
      </c>
      <c r="AH3258">
        <v>720</v>
      </c>
      <c r="AI3258">
        <v>717</v>
      </c>
      <c r="AJ3258">
        <v>3</v>
      </c>
      <c r="AK3258">
        <v>1</v>
      </c>
      <c r="AL3258">
        <v>1</v>
      </c>
      <c r="AM3258">
        <v>99.58</v>
      </c>
      <c r="AN3258">
        <v>36.578499999999998</v>
      </c>
      <c r="AO3258">
        <v>107.1</v>
      </c>
      <c r="AP3258" s="13">
        <v>45533</v>
      </c>
      <c r="AQ3258">
        <v>-2</v>
      </c>
      <c r="AR3258">
        <v>1</v>
      </c>
    </row>
    <row r="3259" spans="1:44" x14ac:dyDescent="0.35">
      <c r="A3259" s="12" t="s">
        <v>4165</v>
      </c>
      <c r="B3259" s="12" t="s">
        <v>350</v>
      </c>
      <c r="C3259" s="12" t="s">
        <v>351</v>
      </c>
      <c r="D3259" s="12" t="s">
        <v>64</v>
      </c>
      <c r="E3259" s="12" t="s">
        <v>104</v>
      </c>
      <c r="F3259">
        <v>3</v>
      </c>
      <c r="G3259">
        <v>1</v>
      </c>
      <c r="H3259">
        <v>0</v>
      </c>
      <c r="I3259" s="12" t="s">
        <v>223</v>
      </c>
      <c r="J3259" s="12" t="s">
        <v>224</v>
      </c>
      <c r="K3259" s="12" t="s">
        <v>81</v>
      </c>
      <c r="L3259" s="12" t="s">
        <v>134</v>
      </c>
      <c r="M3259">
        <v>2.4900000000000002</v>
      </c>
      <c r="N3259" s="12" t="s">
        <v>97</v>
      </c>
      <c r="O3259" s="12" t="s">
        <v>98</v>
      </c>
      <c r="P3259" s="12" t="s">
        <v>72</v>
      </c>
      <c r="Q3259" s="13">
        <v>45518</v>
      </c>
      <c r="R3259" s="13">
        <v>45542</v>
      </c>
      <c r="S3259">
        <v>2024</v>
      </c>
      <c r="T3259" s="12" t="s">
        <v>4077</v>
      </c>
      <c r="U3259">
        <v>748</v>
      </c>
      <c r="V3259">
        <v>9.8081999999999994</v>
      </c>
      <c r="W3259">
        <v>158.94999999999999</v>
      </c>
      <c r="X3259">
        <v>0</v>
      </c>
      <c r="Y3259">
        <v>0</v>
      </c>
      <c r="Z3259">
        <v>7336.53</v>
      </c>
      <c r="AA3259">
        <v>7495.48</v>
      </c>
      <c r="AB3259" s="12" t="s">
        <v>201</v>
      </c>
      <c r="AD3259">
        <v>0</v>
      </c>
      <c r="AE3259">
        <v>0</v>
      </c>
      <c r="AH3259">
        <v>748</v>
      </c>
      <c r="AI3259">
        <v>738</v>
      </c>
      <c r="AJ3259">
        <v>10</v>
      </c>
      <c r="AK3259">
        <v>1</v>
      </c>
      <c r="AL3259">
        <v>1</v>
      </c>
      <c r="AM3259">
        <v>98.66</v>
      </c>
      <c r="AN3259">
        <v>10.156499999999999</v>
      </c>
      <c r="AO3259">
        <v>98.08</v>
      </c>
      <c r="AP3259" s="13">
        <v>45542</v>
      </c>
      <c r="AQ3259">
        <v>0</v>
      </c>
      <c r="AR3259">
        <v>1</v>
      </c>
    </row>
    <row r="3260" spans="1:44" x14ac:dyDescent="0.35">
      <c r="A3260" s="12" t="s">
        <v>4166</v>
      </c>
      <c r="B3260" s="12" t="s">
        <v>308</v>
      </c>
      <c r="C3260" s="12" t="s">
        <v>309</v>
      </c>
      <c r="D3260" s="12" t="s">
        <v>122</v>
      </c>
      <c r="E3260" s="12" t="s">
        <v>142</v>
      </c>
      <c r="F3260">
        <v>1</v>
      </c>
      <c r="G3260">
        <v>6</v>
      </c>
      <c r="H3260">
        <v>1</v>
      </c>
      <c r="I3260" s="12" t="s">
        <v>310</v>
      </c>
      <c r="J3260" s="12" t="s">
        <v>311</v>
      </c>
      <c r="K3260" s="12" t="s">
        <v>81</v>
      </c>
      <c r="L3260" s="12" t="s">
        <v>69</v>
      </c>
      <c r="M3260">
        <v>28.3</v>
      </c>
      <c r="N3260" s="12" t="s">
        <v>97</v>
      </c>
      <c r="O3260" s="12" t="s">
        <v>98</v>
      </c>
      <c r="P3260" s="12" t="s">
        <v>72</v>
      </c>
      <c r="Q3260" s="13">
        <v>45518</v>
      </c>
      <c r="R3260" s="13">
        <v>45554</v>
      </c>
      <c r="S3260">
        <v>2024</v>
      </c>
      <c r="T3260" s="12" t="s">
        <v>4077</v>
      </c>
      <c r="U3260">
        <v>393</v>
      </c>
      <c r="V3260">
        <v>58.086399999999998</v>
      </c>
      <c r="W3260">
        <v>207.39</v>
      </c>
      <c r="X3260">
        <v>0</v>
      </c>
      <c r="Y3260">
        <v>0</v>
      </c>
      <c r="Z3260">
        <v>22827.96</v>
      </c>
      <c r="AA3260">
        <v>23035.35</v>
      </c>
      <c r="AB3260" s="12" t="s">
        <v>2726</v>
      </c>
      <c r="AC3260">
        <v>58.086399999999998</v>
      </c>
      <c r="AD3260">
        <v>1</v>
      </c>
      <c r="AE3260">
        <v>1</v>
      </c>
      <c r="AF3260">
        <v>0</v>
      </c>
      <c r="AG3260">
        <v>22827.96</v>
      </c>
      <c r="AH3260">
        <v>393</v>
      </c>
      <c r="AI3260">
        <v>388</v>
      </c>
      <c r="AJ3260">
        <v>5</v>
      </c>
      <c r="AK3260">
        <v>1</v>
      </c>
      <c r="AL3260">
        <v>1</v>
      </c>
      <c r="AM3260">
        <v>98.73</v>
      </c>
      <c r="AN3260">
        <v>59.369399999999999</v>
      </c>
      <c r="AO3260">
        <v>290.43</v>
      </c>
      <c r="AP3260" s="13">
        <v>45557</v>
      </c>
      <c r="AQ3260">
        <v>3</v>
      </c>
      <c r="AR3260">
        <v>0</v>
      </c>
    </row>
    <row r="3261" spans="1:44" x14ac:dyDescent="0.35">
      <c r="A3261" s="12" t="s">
        <v>4167</v>
      </c>
      <c r="B3261" s="12" t="s">
        <v>442</v>
      </c>
      <c r="C3261" s="12" t="s">
        <v>443</v>
      </c>
      <c r="D3261" s="12" t="s">
        <v>130</v>
      </c>
      <c r="E3261" s="12" t="s">
        <v>65</v>
      </c>
      <c r="F3261">
        <v>3</v>
      </c>
      <c r="G3261">
        <v>4</v>
      </c>
      <c r="H3261">
        <v>0</v>
      </c>
      <c r="I3261" s="12" t="s">
        <v>115</v>
      </c>
      <c r="J3261" s="12" t="s">
        <v>116</v>
      </c>
      <c r="K3261" s="12" t="s">
        <v>117</v>
      </c>
      <c r="L3261" s="12" t="s">
        <v>82</v>
      </c>
      <c r="M3261">
        <v>17.170000000000002</v>
      </c>
      <c r="N3261" s="12" t="s">
        <v>159</v>
      </c>
      <c r="O3261" s="12" t="s">
        <v>160</v>
      </c>
      <c r="P3261" s="12" t="s">
        <v>137</v>
      </c>
      <c r="Q3261" s="13">
        <v>45518</v>
      </c>
      <c r="R3261" s="13">
        <v>45546</v>
      </c>
      <c r="S3261">
        <v>2024</v>
      </c>
      <c r="T3261" s="12" t="s">
        <v>4077</v>
      </c>
      <c r="U3261">
        <v>69</v>
      </c>
      <c r="V3261">
        <v>611.82579999999996</v>
      </c>
      <c r="W3261">
        <v>351.9</v>
      </c>
      <c r="X3261">
        <v>0</v>
      </c>
      <c r="Y3261">
        <v>0</v>
      </c>
      <c r="Z3261">
        <v>42215.98</v>
      </c>
      <c r="AA3261">
        <v>42567.88</v>
      </c>
      <c r="AB3261" s="12" t="s">
        <v>4168</v>
      </c>
      <c r="AC3261">
        <v>589.04330000000004</v>
      </c>
      <c r="AD3261">
        <v>1</v>
      </c>
      <c r="AE3261">
        <v>1</v>
      </c>
      <c r="AF3261">
        <v>1571.99</v>
      </c>
      <c r="AG3261">
        <v>40643.99</v>
      </c>
      <c r="AH3261">
        <v>69</v>
      </c>
      <c r="AI3261">
        <v>69</v>
      </c>
      <c r="AJ3261">
        <v>0</v>
      </c>
      <c r="AK3261">
        <v>1</v>
      </c>
      <c r="AL3261">
        <v>1</v>
      </c>
      <c r="AM3261">
        <v>100</v>
      </c>
      <c r="AN3261">
        <v>616.92579999999998</v>
      </c>
      <c r="AO3261">
        <v>0</v>
      </c>
      <c r="AP3261" s="13">
        <v>45544</v>
      </c>
      <c r="AQ3261">
        <v>-2</v>
      </c>
      <c r="AR3261">
        <v>1</v>
      </c>
    </row>
    <row r="3262" spans="1:44" x14ac:dyDescent="0.35">
      <c r="A3262" s="12" t="s">
        <v>4169</v>
      </c>
      <c r="B3262" s="12" t="s">
        <v>362</v>
      </c>
      <c r="C3262" s="12" t="s">
        <v>363</v>
      </c>
      <c r="D3262" s="12" t="s">
        <v>78</v>
      </c>
      <c r="E3262" s="12" t="s">
        <v>104</v>
      </c>
      <c r="F3262">
        <v>3</v>
      </c>
      <c r="G3262">
        <v>0</v>
      </c>
      <c r="H3262">
        <v>0</v>
      </c>
      <c r="I3262" s="12" t="s">
        <v>105</v>
      </c>
      <c r="J3262" s="12" t="s">
        <v>106</v>
      </c>
      <c r="K3262" s="12" t="s">
        <v>81</v>
      </c>
      <c r="L3262" s="12" t="s">
        <v>96</v>
      </c>
      <c r="M3262">
        <v>5.01</v>
      </c>
      <c r="N3262" s="12" t="s">
        <v>97</v>
      </c>
      <c r="O3262" s="12" t="s">
        <v>98</v>
      </c>
      <c r="P3262" s="12" t="s">
        <v>72</v>
      </c>
      <c r="Q3262" s="13">
        <v>45518</v>
      </c>
      <c r="R3262" s="13">
        <v>45538</v>
      </c>
      <c r="S3262">
        <v>2024</v>
      </c>
      <c r="T3262" s="12" t="s">
        <v>4077</v>
      </c>
      <c r="U3262">
        <v>158</v>
      </c>
      <c r="V3262">
        <v>59.761699999999998</v>
      </c>
      <c r="W3262">
        <v>202.79</v>
      </c>
      <c r="X3262">
        <v>0</v>
      </c>
      <c r="Y3262">
        <v>0</v>
      </c>
      <c r="Z3262">
        <v>9442.35</v>
      </c>
      <c r="AA3262">
        <v>9645.14</v>
      </c>
      <c r="AB3262" s="12" t="s">
        <v>3906</v>
      </c>
      <c r="AC3262">
        <v>59.761699999999998</v>
      </c>
      <c r="AD3262">
        <v>1</v>
      </c>
      <c r="AE3262">
        <v>1</v>
      </c>
      <c r="AF3262">
        <v>0</v>
      </c>
      <c r="AG3262">
        <v>9442.35</v>
      </c>
      <c r="AH3262">
        <v>158</v>
      </c>
      <c r="AI3262">
        <v>156</v>
      </c>
      <c r="AJ3262">
        <v>2</v>
      </c>
      <c r="AK3262">
        <v>1</v>
      </c>
      <c r="AL3262">
        <v>1</v>
      </c>
      <c r="AM3262">
        <v>98.73</v>
      </c>
      <c r="AN3262">
        <v>61.827800000000003</v>
      </c>
      <c r="AO3262">
        <v>119.52</v>
      </c>
      <c r="AP3262" s="13">
        <v>45538</v>
      </c>
      <c r="AQ3262">
        <v>0</v>
      </c>
      <c r="AR3262">
        <v>1</v>
      </c>
    </row>
    <row r="3263" spans="1:44" x14ac:dyDescent="0.35">
      <c r="A3263" s="12" t="s">
        <v>4170</v>
      </c>
      <c r="B3263" s="12" t="s">
        <v>293</v>
      </c>
      <c r="C3263" s="12" t="s">
        <v>294</v>
      </c>
      <c r="D3263" s="12" t="s">
        <v>114</v>
      </c>
      <c r="E3263" s="12" t="s">
        <v>142</v>
      </c>
      <c r="F3263">
        <v>1</v>
      </c>
      <c r="G3263">
        <v>6</v>
      </c>
      <c r="H3263">
        <v>1</v>
      </c>
      <c r="I3263" s="12" t="s">
        <v>195</v>
      </c>
      <c r="J3263" s="12" t="s">
        <v>196</v>
      </c>
      <c r="K3263" s="12" t="s">
        <v>117</v>
      </c>
      <c r="L3263" s="12" t="s">
        <v>134</v>
      </c>
      <c r="M3263">
        <v>4.7699999999999996</v>
      </c>
      <c r="N3263" s="12" t="s">
        <v>97</v>
      </c>
      <c r="O3263" s="12" t="s">
        <v>98</v>
      </c>
      <c r="P3263" s="12" t="s">
        <v>72</v>
      </c>
      <c r="Q3263" s="13">
        <v>45518</v>
      </c>
      <c r="R3263" s="13">
        <v>45558</v>
      </c>
      <c r="S3263">
        <v>2024</v>
      </c>
      <c r="T3263" s="12" t="s">
        <v>4077</v>
      </c>
      <c r="U3263">
        <v>49</v>
      </c>
      <c r="V3263">
        <v>202.91499999999999</v>
      </c>
      <c r="W3263">
        <v>206.04</v>
      </c>
      <c r="X3263">
        <v>0</v>
      </c>
      <c r="Y3263">
        <v>0</v>
      </c>
      <c r="Z3263">
        <v>9942.84</v>
      </c>
      <c r="AA3263">
        <v>10148.879999999999</v>
      </c>
      <c r="AB3263" s="12" t="s">
        <v>2837</v>
      </c>
      <c r="AC3263">
        <v>202.91499999999999</v>
      </c>
      <c r="AD3263">
        <v>1</v>
      </c>
      <c r="AE3263">
        <v>1</v>
      </c>
      <c r="AF3263">
        <v>0</v>
      </c>
      <c r="AG3263">
        <v>9942.84</v>
      </c>
      <c r="AH3263">
        <v>49</v>
      </c>
      <c r="AI3263">
        <v>48</v>
      </c>
      <c r="AJ3263">
        <v>1</v>
      </c>
      <c r="AK3263">
        <v>1</v>
      </c>
      <c r="AL3263">
        <v>1</v>
      </c>
      <c r="AM3263">
        <v>97.96</v>
      </c>
      <c r="AN3263">
        <v>211.4349</v>
      </c>
      <c r="AO3263">
        <v>202.92</v>
      </c>
      <c r="AP3263" s="13">
        <v>45555</v>
      </c>
      <c r="AQ3263">
        <v>-3</v>
      </c>
      <c r="AR3263">
        <v>1</v>
      </c>
    </row>
    <row r="3264" spans="1:44" x14ac:dyDescent="0.35">
      <c r="A3264" s="12" t="s">
        <v>4171</v>
      </c>
      <c r="B3264" s="12" t="s">
        <v>465</v>
      </c>
      <c r="C3264" s="12" t="s">
        <v>466</v>
      </c>
      <c r="D3264" s="12" t="s">
        <v>78</v>
      </c>
      <c r="E3264" s="12" t="s">
        <v>142</v>
      </c>
      <c r="F3264">
        <v>3</v>
      </c>
      <c r="G3264">
        <v>11</v>
      </c>
      <c r="H3264">
        <v>0</v>
      </c>
      <c r="I3264" s="12" t="s">
        <v>195</v>
      </c>
      <c r="J3264" s="12" t="s">
        <v>196</v>
      </c>
      <c r="K3264" s="12" t="s">
        <v>117</v>
      </c>
      <c r="L3264" s="12" t="s">
        <v>134</v>
      </c>
      <c r="M3264">
        <v>4.7699999999999996</v>
      </c>
      <c r="N3264" s="12" t="s">
        <v>70</v>
      </c>
      <c r="O3264" s="12" t="s">
        <v>71</v>
      </c>
      <c r="P3264" s="12" t="s">
        <v>72</v>
      </c>
      <c r="Q3264" s="13">
        <v>45519</v>
      </c>
      <c r="R3264" s="13">
        <v>45559</v>
      </c>
      <c r="S3264">
        <v>2024</v>
      </c>
      <c r="T3264" s="12" t="s">
        <v>4077</v>
      </c>
      <c r="U3264">
        <v>125</v>
      </c>
      <c r="V3264">
        <v>107.81189999999999</v>
      </c>
      <c r="W3264">
        <v>114.8</v>
      </c>
      <c r="X3264">
        <v>0</v>
      </c>
      <c r="Y3264">
        <v>0</v>
      </c>
      <c r="Z3264">
        <v>13476.49</v>
      </c>
      <c r="AA3264">
        <v>13591.29</v>
      </c>
      <c r="AB3264" s="12" t="s">
        <v>3058</v>
      </c>
      <c r="AC3264">
        <v>107.81189999999999</v>
      </c>
      <c r="AD3264">
        <v>1</v>
      </c>
      <c r="AE3264">
        <v>1</v>
      </c>
      <c r="AF3264">
        <v>0</v>
      </c>
      <c r="AG3264">
        <v>13476.49</v>
      </c>
      <c r="AH3264">
        <v>125</v>
      </c>
      <c r="AI3264">
        <v>124</v>
      </c>
      <c r="AJ3264">
        <v>1</v>
      </c>
      <c r="AK3264">
        <v>1</v>
      </c>
      <c r="AL3264">
        <v>1</v>
      </c>
      <c r="AM3264">
        <v>99.2</v>
      </c>
      <c r="AN3264">
        <v>109.60720000000001</v>
      </c>
      <c r="AO3264">
        <v>107.81</v>
      </c>
      <c r="AP3264" s="13">
        <v>45557</v>
      </c>
      <c r="AQ3264">
        <v>-2</v>
      </c>
      <c r="AR3264">
        <v>1</v>
      </c>
    </row>
    <row r="3265" spans="1:44" x14ac:dyDescent="0.35">
      <c r="A3265" s="12" t="s">
        <v>4172</v>
      </c>
      <c r="B3265" s="12" t="s">
        <v>62</v>
      </c>
      <c r="C3265" s="12" t="s">
        <v>63</v>
      </c>
      <c r="D3265" s="12" t="s">
        <v>64</v>
      </c>
      <c r="E3265" s="12" t="s">
        <v>65</v>
      </c>
      <c r="F3265">
        <v>1</v>
      </c>
      <c r="G3265">
        <v>2</v>
      </c>
      <c r="H3265">
        <v>1</v>
      </c>
      <c r="I3265" s="12" t="s">
        <v>66</v>
      </c>
      <c r="J3265" s="12" t="s">
        <v>67</v>
      </c>
      <c r="K3265" s="12" t="s">
        <v>68</v>
      </c>
      <c r="L3265" s="12" t="s">
        <v>69</v>
      </c>
      <c r="M3265">
        <v>17.66</v>
      </c>
      <c r="N3265" s="12" t="s">
        <v>97</v>
      </c>
      <c r="O3265" s="12" t="s">
        <v>98</v>
      </c>
      <c r="P3265" s="12" t="s">
        <v>72</v>
      </c>
      <c r="Q3265" s="13">
        <v>45519</v>
      </c>
      <c r="R3265" s="13">
        <v>45547</v>
      </c>
      <c r="S3265">
        <v>2024</v>
      </c>
      <c r="T3265" s="12" t="s">
        <v>4077</v>
      </c>
      <c r="U3265">
        <v>484</v>
      </c>
      <c r="V3265">
        <v>27.072900000000001</v>
      </c>
      <c r="W3265">
        <v>340.4</v>
      </c>
      <c r="X3265">
        <v>0</v>
      </c>
      <c r="Y3265">
        <v>0</v>
      </c>
      <c r="Z3265">
        <v>13103.28</v>
      </c>
      <c r="AA3265">
        <v>13443.68</v>
      </c>
      <c r="AB3265" s="12" t="s">
        <v>201</v>
      </c>
      <c r="AD3265">
        <v>0</v>
      </c>
      <c r="AE3265">
        <v>0</v>
      </c>
      <c r="AH3265">
        <v>484</v>
      </c>
      <c r="AI3265">
        <v>478</v>
      </c>
      <c r="AJ3265">
        <v>6</v>
      </c>
      <c r="AK3265">
        <v>1</v>
      </c>
      <c r="AL3265">
        <v>1</v>
      </c>
      <c r="AM3265">
        <v>98.76</v>
      </c>
      <c r="AN3265">
        <v>28.1249</v>
      </c>
      <c r="AO3265">
        <v>162.44</v>
      </c>
      <c r="AP3265" s="13">
        <v>45544</v>
      </c>
      <c r="AQ3265">
        <v>-3</v>
      </c>
      <c r="AR3265">
        <v>1</v>
      </c>
    </row>
    <row r="3266" spans="1:44" x14ac:dyDescent="0.35">
      <c r="A3266" s="12" t="s">
        <v>4173</v>
      </c>
      <c r="B3266" s="12" t="s">
        <v>273</v>
      </c>
      <c r="C3266" s="12" t="s">
        <v>274</v>
      </c>
      <c r="D3266" s="12" t="s">
        <v>175</v>
      </c>
      <c r="E3266" s="12" t="s">
        <v>104</v>
      </c>
      <c r="F3266">
        <v>3</v>
      </c>
      <c r="G3266">
        <v>1</v>
      </c>
      <c r="H3266">
        <v>0</v>
      </c>
      <c r="I3266" s="12" t="s">
        <v>275</v>
      </c>
      <c r="J3266" s="12" t="s">
        <v>276</v>
      </c>
      <c r="K3266" s="12" t="s">
        <v>89</v>
      </c>
      <c r="L3266" s="12" t="s">
        <v>82</v>
      </c>
      <c r="M3266">
        <v>14.26</v>
      </c>
      <c r="N3266" s="12" t="s">
        <v>107</v>
      </c>
      <c r="O3266" s="12" t="s">
        <v>108</v>
      </c>
      <c r="P3266" s="12" t="s">
        <v>109</v>
      </c>
      <c r="Q3266" s="13">
        <v>45519</v>
      </c>
      <c r="R3266" s="13">
        <v>45541</v>
      </c>
      <c r="S3266">
        <v>2024</v>
      </c>
      <c r="T3266" s="12" t="s">
        <v>4077</v>
      </c>
      <c r="U3266">
        <v>90</v>
      </c>
      <c r="V3266">
        <v>111.0129</v>
      </c>
      <c r="W3266">
        <v>154.79</v>
      </c>
      <c r="X3266">
        <v>0</v>
      </c>
      <c r="Y3266">
        <v>0</v>
      </c>
      <c r="Z3266">
        <v>9991.16</v>
      </c>
      <c r="AA3266">
        <v>10145.950000000001</v>
      </c>
      <c r="AB3266" s="12" t="s">
        <v>3580</v>
      </c>
      <c r="AC3266">
        <v>111.0129</v>
      </c>
      <c r="AD3266">
        <v>1</v>
      </c>
      <c r="AE3266">
        <v>1</v>
      </c>
      <c r="AF3266">
        <v>0</v>
      </c>
      <c r="AG3266">
        <v>9991.16</v>
      </c>
      <c r="AH3266">
        <v>90</v>
      </c>
      <c r="AI3266">
        <v>89</v>
      </c>
      <c r="AJ3266">
        <v>1</v>
      </c>
      <c r="AK3266">
        <v>1</v>
      </c>
      <c r="AL3266">
        <v>1</v>
      </c>
      <c r="AM3266">
        <v>98.89</v>
      </c>
      <c r="AN3266">
        <v>113.99939999999999</v>
      </c>
      <c r="AO3266">
        <v>111.01</v>
      </c>
      <c r="AP3266" s="13">
        <v>45538</v>
      </c>
      <c r="AQ3266">
        <v>-3</v>
      </c>
      <c r="AR3266">
        <v>1</v>
      </c>
    </row>
    <row r="3267" spans="1:44" x14ac:dyDescent="0.35">
      <c r="A3267" s="12" t="s">
        <v>4174</v>
      </c>
      <c r="B3267" s="12" t="s">
        <v>193</v>
      </c>
      <c r="C3267" s="12" t="s">
        <v>194</v>
      </c>
      <c r="D3267" s="12" t="s">
        <v>114</v>
      </c>
      <c r="E3267" s="12" t="s">
        <v>65</v>
      </c>
      <c r="F3267">
        <v>3</v>
      </c>
      <c r="G3267">
        <v>4</v>
      </c>
      <c r="H3267">
        <v>0</v>
      </c>
      <c r="I3267" s="12" t="s">
        <v>195</v>
      </c>
      <c r="J3267" s="12" t="s">
        <v>196</v>
      </c>
      <c r="K3267" s="12" t="s">
        <v>117</v>
      </c>
      <c r="L3267" s="12" t="s">
        <v>134</v>
      </c>
      <c r="M3267">
        <v>4.7699999999999996</v>
      </c>
      <c r="N3267" s="12" t="s">
        <v>70</v>
      </c>
      <c r="O3267" s="12" t="s">
        <v>71</v>
      </c>
      <c r="P3267" s="12" t="s">
        <v>72</v>
      </c>
      <c r="Q3267" s="13">
        <v>45519</v>
      </c>
      <c r="R3267" s="13">
        <v>45556</v>
      </c>
      <c r="S3267">
        <v>2024</v>
      </c>
      <c r="T3267" s="12" t="s">
        <v>4077</v>
      </c>
      <c r="U3267">
        <v>140</v>
      </c>
      <c r="V3267">
        <v>105.8943</v>
      </c>
      <c r="W3267">
        <v>101.28</v>
      </c>
      <c r="X3267">
        <v>0</v>
      </c>
      <c r="Y3267">
        <v>0</v>
      </c>
      <c r="Z3267">
        <v>14825.2</v>
      </c>
      <c r="AA3267">
        <v>14926.48</v>
      </c>
      <c r="AB3267" s="12" t="s">
        <v>3197</v>
      </c>
      <c r="AC3267">
        <v>105.8943</v>
      </c>
      <c r="AD3267">
        <v>1</v>
      </c>
      <c r="AE3267">
        <v>1</v>
      </c>
      <c r="AF3267">
        <v>0</v>
      </c>
      <c r="AG3267">
        <v>14825.2</v>
      </c>
      <c r="AH3267">
        <v>140</v>
      </c>
      <c r="AI3267">
        <v>139</v>
      </c>
      <c r="AJ3267">
        <v>1</v>
      </c>
      <c r="AK3267">
        <v>1</v>
      </c>
      <c r="AL3267">
        <v>1</v>
      </c>
      <c r="AM3267">
        <v>99.29</v>
      </c>
      <c r="AN3267">
        <v>107.3848</v>
      </c>
      <c r="AO3267">
        <v>105.89</v>
      </c>
      <c r="AP3267" s="13">
        <v>45554</v>
      </c>
      <c r="AQ3267">
        <v>-2</v>
      </c>
      <c r="AR3267">
        <v>1</v>
      </c>
    </row>
    <row r="3268" spans="1:44" x14ac:dyDescent="0.35">
      <c r="A3268" s="12" t="s">
        <v>4175</v>
      </c>
      <c r="B3268" s="12" t="s">
        <v>391</v>
      </c>
      <c r="C3268" s="12" t="s">
        <v>392</v>
      </c>
      <c r="D3268" s="12" t="s">
        <v>114</v>
      </c>
      <c r="E3268" s="12" t="s">
        <v>65</v>
      </c>
      <c r="F3268">
        <v>2</v>
      </c>
      <c r="G3268">
        <v>2</v>
      </c>
      <c r="H3268">
        <v>0</v>
      </c>
      <c r="I3268" s="12" t="s">
        <v>310</v>
      </c>
      <c r="J3268" s="12" t="s">
        <v>311</v>
      </c>
      <c r="K3268" s="12" t="s">
        <v>81</v>
      </c>
      <c r="L3268" s="12" t="s">
        <v>69</v>
      </c>
      <c r="M3268">
        <v>28.3</v>
      </c>
      <c r="N3268" s="12" t="s">
        <v>97</v>
      </c>
      <c r="O3268" s="12" t="s">
        <v>98</v>
      </c>
      <c r="P3268" s="12" t="s">
        <v>72</v>
      </c>
      <c r="Q3268" s="13">
        <v>45519</v>
      </c>
      <c r="R3268" s="13">
        <v>45542</v>
      </c>
      <c r="S3268">
        <v>2024</v>
      </c>
      <c r="T3268" s="12" t="s">
        <v>4077</v>
      </c>
      <c r="U3268">
        <v>32</v>
      </c>
      <c r="V3268">
        <v>220.328</v>
      </c>
      <c r="W3268">
        <v>49.02</v>
      </c>
      <c r="X3268">
        <v>0</v>
      </c>
      <c r="Y3268">
        <v>0</v>
      </c>
      <c r="Z3268">
        <v>7050.5</v>
      </c>
      <c r="AA3268">
        <v>7099.52</v>
      </c>
      <c r="AB3268" s="12" t="s">
        <v>2890</v>
      </c>
      <c r="AC3268">
        <v>220.328</v>
      </c>
      <c r="AD3268">
        <v>1</v>
      </c>
      <c r="AE3268">
        <v>1</v>
      </c>
      <c r="AF3268">
        <v>0</v>
      </c>
      <c r="AG3268">
        <v>7050.5</v>
      </c>
      <c r="AH3268">
        <v>32</v>
      </c>
      <c r="AI3268">
        <v>32</v>
      </c>
      <c r="AJ3268">
        <v>0</v>
      </c>
      <c r="AK3268">
        <v>1</v>
      </c>
      <c r="AL3268">
        <v>1</v>
      </c>
      <c r="AM3268">
        <v>100</v>
      </c>
      <c r="AN3268">
        <v>221.85990000000001</v>
      </c>
      <c r="AO3268">
        <v>0</v>
      </c>
      <c r="AP3268" s="13">
        <v>45539</v>
      </c>
      <c r="AQ3268">
        <v>-3</v>
      </c>
      <c r="AR3268">
        <v>1</v>
      </c>
    </row>
    <row r="3269" spans="1:44" x14ac:dyDescent="0.35">
      <c r="A3269" s="12" t="s">
        <v>4176</v>
      </c>
      <c r="B3269" s="12" t="s">
        <v>924</v>
      </c>
      <c r="C3269" s="12" t="s">
        <v>925</v>
      </c>
      <c r="D3269" s="12" t="s">
        <v>103</v>
      </c>
      <c r="E3269" s="12" t="s">
        <v>104</v>
      </c>
      <c r="F3269">
        <v>2</v>
      </c>
      <c r="G3269">
        <v>0</v>
      </c>
      <c r="H3269">
        <v>0</v>
      </c>
      <c r="I3269" s="12" t="s">
        <v>275</v>
      </c>
      <c r="J3269" s="12" t="s">
        <v>276</v>
      </c>
      <c r="K3269" s="12" t="s">
        <v>89</v>
      </c>
      <c r="L3269" s="12" t="s">
        <v>82</v>
      </c>
      <c r="M3269">
        <v>14.26</v>
      </c>
      <c r="N3269" s="12" t="s">
        <v>145</v>
      </c>
      <c r="O3269" s="12" t="s">
        <v>146</v>
      </c>
      <c r="P3269" s="12" t="s">
        <v>109</v>
      </c>
      <c r="Q3269" s="13">
        <v>45519</v>
      </c>
      <c r="R3269" s="13">
        <v>45537</v>
      </c>
      <c r="S3269">
        <v>2024</v>
      </c>
      <c r="T3269" s="12" t="s">
        <v>4077</v>
      </c>
      <c r="U3269">
        <v>58</v>
      </c>
      <c r="V3269">
        <v>148.922</v>
      </c>
      <c r="W3269">
        <v>61.95</v>
      </c>
      <c r="X3269">
        <v>0</v>
      </c>
      <c r="Y3269">
        <v>0</v>
      </c>
      <c r="Z3269">
        <v>8637.48</v>
      </c>
      <c r="AA3269">
        <v>8699.43</v>
      </c>
      <c r="AB3269" s="12" t="s">
        <v>3486</v>
      </c>
      <c r="AC3269">
        <v>158.0436</v>
      </c>
      <c r="AD3269">
        <v>1</v>
      </c>
      <c r="AE3269">
        <v>1</v>
      </c>
      <c r="AF3269">
        <v>-529.04999999999995</v>
      </c>
      <c r="AG3269">
        <v>9166.5300000000007</v>
      </c>
      <c r="AH3269">
        <v>58</v>
      </c>
      <c r="AI3269">
        <v>58</v>
      </c>
      <c r="AJ3269">
        <v>0</v>
      </c>
      <c r="AK3269">
        <v>1</v>
      </c>
      <c r="AL3269">
        <v>1</v>
      </c>
      <c r="AM3269">
        <v>100</v>
      </c>
      <c r="AN3269">
        <v>149.99010000000001</v>
      </c>
      <c r="AO3269">
        <v>0</v>
      </c>
      <c r="AP3269" s="13">
        <v>45536</v>
      </c>
      <c r="AQ3269">
        <v>-1</v>
      </c>
      <c r="AR3269">
        <v>1</v>
      </c>
    </row>
    <row r="3270" spans="1:44" x14ac:dyDescent="0.35">
      <c r="A3270" s="12" t="s">
        <v>4177</v>
      </c>
      <c r="B3270" s="12" t="s">
        <v>891</v>
      </c>
      <c r="C3270" s="12" t="s">
        <v>892</v>
      </c>
      <c r="D3270" s="12" t="s">
        <v>122</v>
      </c>
      <c r="E3270" s="12" t="s">
        <v>65</v>
      </c>
      <c r="F3270">
        <v>3</v>
      </c>
      <c r="G3270">
        <v>5</v>
      </c>
      <c r="H3270">
        <v>0</v>
      </c>
      <c r="I3270" s="12" t="s">
        <v>169</v>
      </c>
      <c r="J3270" s="12" t="s">
        <v>170</v>
      </c>
      <c r="K3270" s="12" t="s">
        <v>89</v>
      </c>
      <c r="L3270" s="12" t="s">
        <v>134</v>
      </c>
      <c r="M3270">
        <v>1.37</v>
      </c>
      <c r="N3270" s="12" t="s">
        <v>97</v>
      </c>
      <c r="O3270" s="12" t="s">
        <v>98</v>
      </c>
      <c r="P3270" s="12" t="s">
        <v>72</v>
      </c>
      <c r="Q3270" s="13">
        <v>45520</v>
      </c>
      <c r="R3270" s="13">
        <v>45555</v>
      </c>
      <c r="S3270">
        <v>2024</v>
      </c>
      <c r="T3270" s="12" t="s">
        <v>4077</v>
      </c>
      <c r="U3270">
        <v>1610</v>
      </c>
      <c r="V3270">
        <v>37.903399999999998</v>
      </c>
      <c r="W3270">
        <v>1529.74</v>
      </c>
      <c r="X3270">
        <v>0</v>
      </c>
      <c r="Y3270">
        <v>0</v>
      </c>
      <c r="Z3270">
        <v>61024.47</v>
      </c>
      <c r="AA3270">
        <v>62554.21</v>
      </c>
      <c r="AB3270" s="12" t="s">
        <v>3822</v>
      </c>
      <c r="AC3270">
        <v>37.903399999999998</v>
      </c>
      <c r="AD3270">
        <v>1</v>
      </c>
      <c r="AE3270">
        <v>1</v>
      </c>
      <c r="AF3270">
        <v>0</v>
      </c>
      <c r="AG3270">
        <v>61024.47</v>
      </c>
      <c r="AH3270">
        <v>1610</v>
      </c>
      <c r="AI3270">
        <v>1597</v>
      </c>
      <c r="AJ3270">
        <v>13</v>
      </c>
      <c r="AK3270">
        <v>1</v>
      </c>
      <c r="AL3270">
        <v>1</v>
      </c>
      <c r="AM3270">
        <v>99.19</v>
      </c>
      <c r="AN3270">
        <v>39.169800000000002</v>
      </c>
      <c r="AO3270">
        <v>492.74</v>
      </c>
      <c r="AP3270" s="13">
        <v>45552</v>
      </c>
      <c r="AQ3270">
        <v>-3</v>
      </c>
      <c r="AR3270">
        <v>1</v>
      </c>
    </row>
    <row r="3271" spans="1:44" x14ac:dyDescent="0.35">
      <c r="A3271" s="12" t="s">
        <v>4178</v>
      </c>
      <c r="B3271" s="12" t="s">
        <v>437</v>
      </c>
      <c r="C3271" s="12" t="s">
        <v>438</v>
      </c>
      <c r="D3271" s="12" t="s">
        <v>269</v>
      </c>
      <c r="E3271" s="12" t="s">
        <v>65</v>
      </c>
      <c r="F3271">
        <v>2</v>
      </c>
      <c r="G3271">
        <v>4</v>
      </c>
      <c r="H3271">
        <v>0</v>
      </c>
      <c r="I3271" s="12" t="s">
        <v>115</v>
      </c>
      <c r="J3271" s="12" t="s">
        <v>116</v>
      </c>
      <c r="K3271" s="12" t="s">
        <v>117</v>
      </c>
      <c r="L3271" s="12" t="s">
        <v>82</v>
      </c>
      <c r="M3271">
        <v>17.170000000000002</v>
      </c>
      <c r="N3271" s="12" t="s">
        <v>135</v>
      </c>
      <c r="O3271" s="12" t="s">
        <v>136</v>
      </c>
      <c r="P3271" s="12" t="s">
        <v>137</v>
      </c>
      <c r="Q3271" s="13">
        <v>45520</v>
      </c>
      <c r="R3271" s="13">
        <v>45549</v>
      </c>
      <c r="S3271">
        <v>2024</v>
      </c>
      <c r="T3271" s="12" t="s">
        <v>4077</v>
      </c>
      <c r="U3271">
        <v>78</v>
      </c>
      <c r="V3271">
        <v>440.05549999999999</v>
      </c>
      <c r="W3271">
        <v>871.6</v>
      </c>
      <c r="X3271">
        <v>0</v>
      </c>
      <c r="Y3271">
        <v>0</v>
      </c>
      <c r="Z3271">
        <v>34324.33</v>
      </c>
      <c r="AA3271">
        <v>35195.93</v>
      </c>
      <c r="AB3271" s="12" t="s">
        <v>2670</v>
      </c>
      <c r="AC3271">
        <v>440.05549999999999</v>
      </c>
      <c r="AD3271">
        <v>1</v>
      </c>
      <c r="AE3271">
        <v>1</v>
      </c>
      <c r="AF3271">
        <v>0</v>
      </c>
      <c r="AG3271">
        <v>34324.33</v>
      </c>
      <c r="AH3271">
        <v>78</v>
      </c>
      <c r="AI3271">
        <v>78</v>
      </c>
      <c r="AJ3271">
        <v>0</v>
      </c>
      <c r="AK3271">
        <v>1</v>
      </c>
      <c r="AL3271">
        <v>1</v>
      </c>
      <c r="AM3271">
        <v>100</v>
      </c>
      <c r="AN3271">
        <v>451.22989999999999</v>
      </c>
      <c r="AO3271">
        <v>0</v>
      </c>
      <c r="AP3271" s="13">
        <v>45547</v>
      </c>
      <c r="AQ3271">
        <v>-2</v>
      </c>
      <c r="AR3271">
        <v>1</v>
      </c>
    </row>
    <row r="3272" spans="1:44" x14ac:dyDescent="0.35">
      <c r="A3272" s="12" t="s">
        <v>4179</v>
      </c>
      <c r="B3272" s="12" t="s">
        <v>412</v>
      </c>
      <c r="C3272" s="12" t="s">
        <v>413</v>
      </c>
      <c r="D3272" s="12" t="s">
        <v>269</v>
      </c>
      <c r="E3272" s="12" t="s">
        <v>65</v>
      </c>
      <c r="F3272">
        <v>1</v>
      </c>
      <c r="G3272">
        <v>2</v>
      </c>
      <c r="H3272">
        <v>1</v>
      </c>
      <c r="I3272" s="12" t="s">
        <v>233</v>
      </c>
      <c r="J3272" s="12" t="s">
        <v>234</v>
      </c>
      <c r="K3272" s="12" t="s">
        <v>125</v>
      </c>
      <c r="L3272" s="12" t="s">
        <v>96</v>
      </c>
      <c r="M3272">
        <v>3.73</v>
      </c>
      <c r="N3272" s="12" t="s">
        <v>135</v>
      </c>
      <c r="O3272" s="12" t="s">
        <v>136</v>
      </c>
      <c r="P3272" s="12" t="s">
        <v>137</v>
      </c>
      <c r="Q3272" s="13">
        <v>45520</v>
      </c>
      <c r="R3272" s="13">
        <v>45543</v>
      </c>
      <c r="S3272">
        <v>2024</v>
      </c>
      <c r="T3272" s="12" t="s">
        <v>4077</v>
      </c>
      <c r="U3272">
        <v>26</v>
      </c>
      <c r="V3272">
        <v>104.17829999999999</v>
      </c>
      <c r="W3272">
        <v>55.61</v>
      </c>
      <c r="X3272">
        <v>0</v>
      </c>
      <c r="Y3272">
        <v>0</v>
      </c>
      <c r="Z3272">
        <v>2708.64</v>
      </c>
      <c r="AA3272">
        <v>2764.25</v>
      </c>
      <c r="AB3272" s="12" t="s">
        <v>3056</v>
      </c>
      <c r="AC3272">
        <v>104.17829999999999</v>
      </c>
      <c r="AD3272">
        <v>1</v>
      </c>
      <c r="AE3272">
        <v>1</v>
      </c>
      <c r="AF3272">
        <v>0</v>
      </c>
      <c r="AG3272">
        <v>2708.64</v>
      </c>
      <c r="AH3272">
        <v>26</v>
      </c>
      <c r="AI3272">
        <v>26</v>
      </c>
      <c r="AJ3272">
        <v>0</v>
      </c>
      <c r="AK3272">
        <v>1</v>
      </c>
      <c r="AL3272">
        <v>1</v>
      </c>
      <c r="AM3272">
        <v>100</v>
      </c>
      <c r="AN3272">
        <v>106.3171</v>
      </c>
      <c r="AO3272">
        <v>0</v>
      </c>
      <c r="AP3272" s="13">
        <v>45543</v>
      </c>
      <c r="AQ3272">
        <v>0</v>
      </c>
      <c r="AR3272">
        <v>1</v>
      </c>
    </row>
    <row r="3273" spans="1:44" x14ac:dyDescent="0.35">
      <c r="A3273" s="12" t="s">
        <v>4180</v>
      </c>
      <c r="B3273" s="12" t="s">
        <v>442</v>
      </c>
      <c r="C3273" s="12" t="s">
        <v>443</v>
      </c>
      <c r="D3273" s="12" t="s">
        <v>130</v>
      </c>
      <c r="E3273" s="12" t="s">
        <v>65</v>
      </c>
      <c r="F3273">
        <v>3</v>
      </c>
      <c r="G3273">
        <v>4</v>
      </c>
      <c r="H3273">
        <v>0</v>
      </c>
      <c r="I3273" s="12" t="s">
        <v>251</v>
      </c>
      <c r="J3273" s="12" t="s">
        <v>252</v>
      </c>
      <c r="K3273" s="12" t="s">
        <v>133</v>
      </c>
      <c r="L3273" s="12" t="s">
        <v>69</v>
      </c>
      <c r="M3273">
        <v>34.49</v>
      </c>
      <c r="N3273" s="12" t="s">
        <v>159</v>
      </c>
      <c r="O3273" s="12" t="s">
        <v>160</v>
      </c>
      <c r="P3273" s="12" t="s">
        <v>137</v>
      </c>
      <c r="Q3273" s="13">
        <v>45520</v>
      </c>
      <c r="R3273" s="13">
        <v>45545</v>
      </c>
      <c r="S3273">
        <v>2024</v>
      </c>
      <c r="T3273" s="12" t="s">
        <v>4077</v>
      </c>
      <c r="U3273">
        <v>42</v>
      </c>
      <c r="V3273">
        <v>584.95010000000002</v>
      </c>
      <c r="W3273">
        <v>512.29</v>
      </c>
      <c r="X3273">
        <v>0</v>
      </c>
      <c r="Y3273">
        <v>0</v>
      </c>
      <c r="Z3273">
        <v>24567.9</v>
      </c>
      <c r="AA3273">
        <v>25080.19</v>
      </c>
      <c r="AB3273" s="12" t="s">
        <v>3116</v>
      </c>
      <c r="AC3273">
        <v>560.57730000000004</v>
      </c>
      <c r="AD3273">
        <v>1</v>
      </c>
      <c r="AE3273">
        <v>1</v>
      </c>
      <c r="AF3273">
        <v>1023.66</v>
      </c>
      <c r="AG3273">
        <v>23544.25</v>
      </c>
      <c r="AH3273">
        <v>42</v>
      </c>
      <c r="AI3273">
        <v>42</v>
      </c>
      <c r="AJ3273">
        <v>0</v>
      </c>
      <c r="AK3273">
        <v>1</v>
      </c>
      <c r="AL3273">
        <v>1</v>
      </c>
      <c r="AM3273">
        <v>100</v>
      </c>
      <c r="AN3273">
        <v>597.14750000000004</v>
      </c>
      <c r="AO3273">
        <v>0</v>
      </c>
      <c r="AP3273" s="13">
        <v>45544</v>
      </c>
      <c r="AQ3273">
        <v>-1</v>
      </c>
      <c r="AR3273">
        <v>1</v>
      </c>
    </row>
    <row r="3274" spans="1:44" x14ac:dyDescent="0.35">
      <c r="A3274" s="12" t="s">
        <v>4181</v>
      </c>
      <c r="B3274" s="12" t="s">
        <v>773</v>
      </c>
      <c r="C3274" s="12" t="s">
        <v>774</v>
      </c>
      <c r="D3274" s="12" t="s">
        <v>64</v>
      </c>
      <c r="E3274" s="12" t="s">
        <v>142</v>
      </c>
      <c r="F3274">
        <v>1</v>
      </c>
      <c r="G3274">
        <v>7</v>
      </c>
      <c r="H3274">
        <v>1</v>
      </c>
      <c r="I3274" s="12" t="s">
        <v>251</v>
      </c>
      <c r="J3274" s="12" t="s">
        <v>252</v>
      </c>
      <c r="K3274" s="12" t="s">
        <v>133</v>
      </c>
      <c r="L3274" s="12" t="s">
        <v>69</v>
      </c>
      <c r="M3274">
        <v>34.49</v>
      </c>
      <c r="N3274" s="12" t="s">
        <v>97</v>
      </c>
      <c r="O3274" s="12" t="s">
        <v>98</v>
      </c>
      <c r="P3274" s="12" t="s">
        <v>72</v>
      </c>
      <c r="Q3274" s="13">
        <v>45520</v>
      </c>
      <c r="R3274" s="13">
        <v>45572</v>
      </c>
      <c r="S3274">
        <v>2024</v>
      </c>
      <c r="T3274" s="12" t="s">
        <v>4077</v>
      </c>
      <c r="U3274">
        <v>965</v>
      </c>
      <c r="V3274">
        <v>10.545500000000001</v>
      </c>
      <c r="W3274">
        <v>249.39</v>
      </c>
      <c r="X3274">
        <v>0</v>
      </c>
      <c r="Y3274">
        <v>0</v>
      </c>
      <c r="Z3274">
        <v>10176.41</v>
      </c>
      <c r="AA3274">
        <v>10425.799999999999</v>
      </c>
      <c r="AB3274" s="12" t="s">
        <v>3354</v>
      </c>
      <c r="AC3274">
        <v>10.022600000000001</v>
      </c>
      <c r="AD3274">
        <v>1</v>
      </c>
      <c r="AE3274">
        <v>1</v>
      </c>
      <c r="AF3274">
        <v>504.6</v>
      </c>
      <c r="AG3274">
        <v>9671.81</v>
      </c>
      <c r="AH3274">
        <v>965</v>
      </c>
      <c r="AI3274">
        <v>955</v>
      </c>
      <c r="AJ3274">
        <v>10</v>
      </c>
      <c r="AK3274">
        <v>1</v>
      </c>
      <c r="AL3274">
        <v>1</v>
      </c>
      <c r="AM3274">
        <v>98.96</v>
      </c>
      <c r="AN3274">
        <v>10.9171</v>
      </c>
      <c r="AO3274">
        <v>105.46</v>
      </c>
      <c r="AP3274" s="13">
        <v>45570</v>
      </c>
      <c r="AQ3274">
        <v>-2</v>
      </c>
      <c r="AR3274">
        <v>1</v>
      </c>
    </row>
    <row r="3275" spans="1:44" x14ac:dyDescent="0.35">
      <c r="A3275" s="12" t="s">
        <v>4182</v>
      </c>
      <c r="B3275" s="12" t="s">
        <v>657</v>
      </c>
      <c r="C3275" s="12" t="s">
        <v>658</v>
      </c>
      <c r="D3275" s="12" t="s">
        <v>175</v>
      </c>
      <c r="E3275" s="12" t="s">
        <v>65</v>
      </c>
      <c r="F3275">
        <v>1</v>
      </c>
      <c r="G3275">
        <v>2</v>
      </c>
      <c r="H3275">
        <v>1</v>
      </c>
      <c r="I3275" s="12" t="s">
        <v>183</v>
      </c>
      <c r="J3275" s="12" t="s">
        <v>184</v>
      </c>
      <c r="K3275" s="12" t="s">
        <v>133</v>
      </c>
      <c r="L3275" s="12" t="s">
        <v>82</v>
      </c>
      <c r="M3275">
        <v>8.6199999999999992</v>
      </c>
      <c r="N3275" s="12" t="s">
        <v>107</v>
      </c>
      <c r="O3275" s="12" t="s">
        <v>108</v>
      </c>
      <c r="P3275" s="12" t="s">
        <v>109</v>
      </c>
      <c r="Q3275" s="13">
        <v>45520</v>
      </c>
      <c r="R3275" s="13">
        <v>45551</v>
      </c>
      <c r="S3275">
        <v>2024</v>
      </c>
      <c r="T3275" s="12" t="s">
        <v>4077</v>
      </c>
      <c r="U3275">
        <v>87</v>
      </c>
      <c r="V3275">
        <v>149.10310000000001</v>
      </c>
      <c r="W3275">
        <v>323.63</v>
      </c>
      <c r="X3275">
        <v>0</v>
      </c>
      <c r="Y3275">
        <v>0</v>
      </c>
      <c r="Z3275">
        <v>12971.97</v>
      </c>
      <c r="AA3275">
        <v>13295.6</v>
      </c>
      <c r="AB3275" s="12" t="s">
        <v>3525</v>
      </c>
      <c r="AC3275">
        <v>149.10310000000001</v>
      </c>
      <c r="AD3275">
        <v>1</v>
      </c>
      <c r="AE3275">
        <v>1</v>
      </c>
      <c r="AF3275">
        <v>0</v>
      </c>
      <c r="AG3275">
        <v>12971.97</v>
      </c>
      <c r="AH3275">
        <v>87</v>
      </c>
      <c r="AI3275">
        <v>87</v>
      </c>
      <c r="AJ3275">
        <v>0</v>
      </c>
      <c r="AK3275">
        <v>1</v>
      </c>
      <c r="AL3275">
        <v>1</v>
      </c>
      <c r="AM3275">
        <v>100</v>
      </c>
      <c r="AN3275">
        <v>152.82300000000001</v>
      </c>
      <c r="AO3275">
        <v>0</v>
      </c>
      <c r="AP3275" s="13">
        <v>45549</v>
      </c>
      <c r="AQ3275">
        <v>-2</v>
      </c>
      <c r="AR3275">
        <v>1</v>
      </c>
    </row>
    <row r="3276" spans="1:44" x14ac:dyDescent="0.35">
      <c r="A3276" s="12" t="s">
        <v>4183</v>
      </c>
      <c r="B3276" s="12" t="s">
        <v>289</v>
      </c>
      <c r="C3276" s="12" t="s">
        <v>290</v>
      </c>
      <c r="D3276" s="12" t="s">
        <v>175</v>
      </c>
      <c r="E3276" s="12" t="s">
        <v>104</v>
      </c>
      <c r="F3276">
        <v>3</v>
      </c>
      <c r="G3276">
        <v>1</v>
      </c>
      <c r="H3276">
        <v>0</v>
      </c>
      <c r="I3276" s="12" t="s">
        <v>157</v>
      </c>
      <c r="J3276" s="12" t="s">
        <v>158</v>
      </c>
      <c r="K3276" s="12" t="s">
        <v>117</v>
      </c>
      <c r="L3276" s="12" t="s">
        <v>96</v>
      </c>
      <c r="M3276">
        <v>4.72</v>
      </c>
      <c r="N3276" s="12" t="s">
        <v>145</v>
      </c>
      <c r="O3276" s="12" t="s">
        <v>146</v>
      </c>
      <c r="P3276" s="12" t="s">
        <v>109</v>
      </c>
      <c r="Q3276" s="13">
        <v>45520</v>
      </c>
      <c r="R3276" s="13">
        <v>45545</v>
      </c>
      <c r="S3276">
        <v>2024</v>
      </c>
      <c r="T3276" s="12" t="s">
        <v>4077</v>
      </c>
      <c r="U3276">
        <v>117</v>
      </c>
      <c r="V3276">
        <v>184.24529999999999</v>
      </c>
      <c r="W3276">
        <v>368.36</v>
      </c>
      <c r="X3276">
        <v>0</v>
      </c>
      <c r="Y3276">
        <v>0</v>
      </c>
      <c r="Z3276">
        <v>21556.7</v>
      </c>
      <c r="AA3276">
        <v>21925.06</v>
      </c>
      <c r="AB3276" s="12" t="s">
        <v>2676</v>
      </c>
      <c r="AC3276">
        <v>184.24529999999999</v>
      </c>
      <c r="AD3276">
        <v>1</v>
      </c>
      <c r="AE3276">
        <v>1</v>
      </c>
      <c r="AF3276">
        <v>0</v>
      </c>
      <c r="AG3276">
        <v>21556.7</v>
      </c>
      <c r="AH3276">
        <v>117</v>
      </c>
      <c r="AI3276">
        <v>116</v>
      </c>
      <c r="AJ3276">
        <v>1</v>
      </c>
      <c r="AK3276">
        <v>1</v>
      </c>
      <c r="AL3276">
        <v>1</v>
      </c>
      <c r="AM3276">
        <v>99.15</v>
      </c>
      <c r="AN3276">
        <v>189.00909999999999</v>
      </c>
      <c r="AO3276">
        <v>184.25</v>
      </c>
      <c r="AP3276" s="13">
        <v>45545</v>
      </c>
      <c r="AQ3276">
        <v>0</v>
      </c>
      <c r="AR3276">
        <v>1</v>
      </c>
    </row>
    <row r="3277" spans="1:44" x14ac:dyDescent="0.35">
      <c r="A3277" s="12" t="s">
        <v>4184</v>
      </c>
      <c r="B3277" s="12" t="s">
        <v>85</v>
      </c>
      <c r="C3277" s="12" t="s">
        <v>86</v>
      </c>
      <c r="D3277" s="12" t="s">
        <v>78</v>
      </c>
      <c r="E3277" s="12" t="s">
        <v>65</v>
      </c>
      <c r="F3277">
        <v>3</v>
      </c>
      <c r="G3277">
        <v>5</v>
      </c>
      <c r="H3277">
        <v>0</v>
      </c>
      <c r="I3277" s="12" t="s">
        <v>87</v>
      </c>
      <c r="J3277" s="12" t="s">
        <v>88</v>
      </c>
      <c r="K3277" s="12" t="s">
        <v>89</v>
      </c>
      <c r="L3277" s="12" t="s">
        <v>69</v>
      </c>
      <c r="M3277">
        <v>14.93</v>
      </c>
      <c r="N3277" s="12" t="s">
        <v>70</v>
      </c>
      <c r="O3277" s="12" t="s">
        <v>71</v>
      </c>
      <c r="P3277" s="12" t="s">
        <v>72</v>
      </c>
      <c r="Q3277" s="13">
        <v>45520</v>
      </c>
      <c r="R3277" s="13">
        <v>45554</v>
      </c>
      <c r="S3277">
        <v>2024</v>
      </c>
      <c r="T3277" s="12" t="s">
        <v>4077</v>
      </c>
      <c r="U3277">
        <v>228</v>
      </c>
      <c r="V3277">
        <v>131.4932</v>
      </c>
      <c r="W3277">
        <v>664.97</v>
      </c>
      <c r="X3277">
        <v>0</v>
      </c>
      <c r="Y3277">
        <v>0</v>
      </c>
      <c r="Z3277">
        <v>29980.45</v>
      </c>
      <c r="AA3277">
        <v>30645.42</v>
      </c>
      <c r="AB3277" s="12" t="s">
        <v>2621</v>
      </c>
      <c r="AC3277">
        <v>139.59649999999999</v>
      </c>
      <c r="AD3277">
        <v>1</v>
      </c>
      <c r="AE3277">
        <v>1</v>
      </c>
      <c r="AF3277">
        <v>-1847.55</v>
      </c>
      <c r="AG3277">
        <v>31828</v>
      </c>
      <c r="AH3277">
        <v>228</v>
      </c>
      <c r="AI3277">
        <v>226</v>
      </c>
      <c r="AJ3277">
        <v>2</v>
      </c>
      <c r="AK3277">
        <v>1</v>
      </c>
      <c r="AL3277">
        <v>1</v>
      </c>
      <c r="AM3277">
        <v>99.12</v>
      </c>
      <c r="AN3277">
        <v>135.5992</v>
      </c>
      <c r="AO3277">
        <v>262.99</v>
      </c>
      <c r="AP3277" s="13">
        <v>45553</v>
      </c>
      <c r="AQ3277">
        <v>-1</v>
      </c>
      <c r="AR3277">
        <v>1</v>
      </c>
    </row>
    <row r="3278" spans="1:44" x14ac:dyDescent="0.35">
      <c r="A3278" s="12" t="s">
        <v>4185</v>
      </c>
      <c r="B3278" s="12" t="s">
        <v>837</v>
      </c>
      <c r="C3278" s="12" t="s">
        <v>838</v>
      </c>
      <c r="D3278" s="12" t="s">
        <v>114</v>
      </c>
      <c r="E3278" s="12" t="s">
        <v>104</v>
      </c>
      <c r="F3278">
        <v>2</v>
      </c>
      <c r="G3278">
        <v>0</v>
      </c>
      <c r="H3278">
        <v>0</v>
      </c>
      <c r="I3278" s="12" t="s">
        <v>79</v>
      </c>
      <c r="J3278" s="12" t="s">
        <v>80</v>
      </c>
      <c r="K3278" s="12" t="s">
        <v>81</v>
      </c>
      <c r="L3278" s="12" t="s">
        <v>82</v>
      </c>
      <c r="M3278">
        <v>12.07</v>
      </c>
      <c r="N3278" s="12" t="s">
        <v>97</v>
      </c>
      <c r="O3278" s="12" t="s">
        <v>98</v>
      </c>
      <c r="P3278" s="12" t="s">
        <v>72</v>
      </c>
      <c r="Q3278" s="13">
        <v>45523</v>
      </c>
      <c r="R3278" s="13">
        <v>45547</v>
      </c>
      <c r="S3278">
        <v>2024</v>
      </c>
      <c r="T3278" s="12" t="s">
        <v>4077</v>
      </c>
      <c r="U3278">
        <v>111</v>
      </c>
      <c r="V3278">
        <v>71.072699999999998</v>
      </c>
      <c r="W3278">
        <v>180.25</v>
      </c>
      <c r="X3278">
        <v>0</v>
      </c>
      <c r="Y3278">
        <v>0</v>
      </c>
      <c r="Z3278">
        <v>7889.07</v>
      </c>
      <c r="AA3278">
        <v>8069.32</v>
      </c>
      <c r="AB3278" s="12" t="s">
        <v>4186</v>
      </c>
      <c r="AC3278">
        <v>71.072699999999998</v>
      </c>
      <c r="AD3278">
        <v>1</v>
      </c>
      <c r="AE3278">
        <v>1</v>
      </c>
      <c r="AF3278">
        <v>0</v>
      </c>
      <c r="AG3278">
        <v>7889.07</v>
      </c>
      <c r="AH3278">
        <v>111</v>
      </c>
      <c r="AI3278">
        <v>110</v>
      </c>
      <c r="AJ3278">
        <v>1</v>
      </c>
      <c r="AK3278">
        <v>1</v>
      </c>
      <c r="AL3278">
        <v>1</v>
      </c>
      <c r="AM3278">
        <v>99.1</v>
      </c>
      <c r="AN3278">
        <v>73.357500000000002</v>
      </c>
      <c r="AO3278">
        <v>71.069999999999993</v>
      </c>
      <c r="AP3278" s="13">
        <v>45545</v>
      </c>
      <c r="AQ3278">
        <v>-2</v>
      </c>
      <c r="AR3278">
        <v>1</v>
      </c>
    </row>
    <row r="3279" spans="1:44" x14ac:dyDescent="0.35">
      <c r="A3279" s="12" t="s">
        <v>4187</v>
      </c>
      <c r="B3279" s="12" t="s">
        <v>706</v>
      </c>
      <c r="C3279" s="12" t="s">
        <v>707</v>
      </c>
      <c r="D3279" s="12" t="s">
        <v>130</v>
      </c>
      <c r="E3279" s="12" t="s">
        <v>142</v>
      </c>
      <c r="F3279">
        <v>1</v>
      </c>
      <c r="G3279">
        <v>8</v>
      </c>
      <c r="H3279">
        <v>1</v>
      </c>
      <c r="I3279" s="12" t="s">
        <v>263</v>
      </c>
      <c r="J3279" s="12" t="s">
        <v>264</v>
      </c>
      <c r="K3279" s="12" t="s">
        <v>125</v>
      </c>
      <c r="L3279" s="12" t="s">
        <v>82</v>
      </c>
      <c r="M3279">
        <v>10.210000000000001</v>
      </c>
      <c r="N3279" s="12" t="s">
        <v>135</v>
      </c>
      <c r="O3279" s="12" t="s">
        <v>136</v>
      </c>
      <c r="P3279" s="12" t="s">
        <v>137</v>
      </c>
      <c r="Q3279" s="13">
        <v>45523</v>
      </c>
      <c r="R3279" s="13">
        <v>45567</v>
      </c>
      <c r="S3279">
        <v>2024</v>
      </c>
      <c r="T3279" s="12" t="s">
        <v>4077</v>
      </c>
      <c r="U3279">
        <v>87</v>
      </c>
      <c r="V3279">
        <v>277.214</v>
      </c>
      <c r="W3279">
        <v>622.4</v>
      </c>
      <c r="X3279">
        <v>0</v>
      </c>
      <c r="Y3279">
        <v>0</v>
      </c>
      <c r="Z3279">
        <v>24117.62</v>
      </c>
      <c r="AA3279">
        <v>24740.02</v>
      </c>
      <c r="AB3279" s="12" t="s">
        <v>3434</v>
      </c>
      <c r="AC3279">
        <v>277.214</v>
      </c>
      <c r="AD3279">
        <v>1</v>
      </c>
      <c r="AE3279">
        <v>1</v>
      </c>
      <c r="AF3279">
        <v>0</v>
      </c>
      <c r="AG3279">
        <v>24117.62</v>
      </c>
      <c r="AH3279">
        <v>87</v>
      </c>
      <c r="AI3279">
        <v>86</v>
      </c>
      <c r="AJ3279">
        <v>1</v>
      </c>
      <c r="AK3279">
        <v>1</v>
      </c>
      <c r="AL3279">
        <v>1</v>
      </c>
      <c r="AM3279">
        <v>98.85</v>
      </c>
      <c r="AN3279">
        <v>287.6746</v>
      </c>
      <c r="AO3279">
        <v>277.20999999999998</v>
      </c>
      <c r="AP3279" s="13">
        <v>45567</v>
      </c>
      <c r="AQ3279">
        <v>0</v>
      </c>
      <c r="AR3279">
        <v>1</v>
      </c>
    </row>
    <row r="3280" spans="1:44" x14ac:dyDescent="0.35">
      <c r="A3280" s="12" t="s">
        <v>4188</v>
      </c>
      <c r="B3280" s="12" t="s">
        <v>630</v>
      </c>
      <c r="C3280" s="12" t="s">
        <v>631</v>
      </c>
      <c r="D3280" s="12" t="s">
        <v>130</v>
      </c>
      <c r="E3280" s="12" t="s">
        <v>65</v>
      </c>
      <c r="F3280">
        <v>1</v>
      </c>
      <c r="G3280">
        <v>2</v>
      </c>
      <c r="H3280">
        <v>1</v>
      </c>
      <c r="I3280" s="12" t="s">
        <v>335</v>
      </c>
      <c r="J3280" s="12" t="s">
        <v>336</v>
      </c>
      <c r="K3280" s="12" t="s">
        <v>89</v>
      </c>
      <c r="L3280" s="12" t="s">
        <v>82</v>
      </c>
      <c r="M3280">
        <v>16</v>
      </c>
      <c r="N3280" s="12" t="s">
        <v>135</v>
      </c>
      <c r="O3280" s="12" t="s">
        <v>136</v>
      </c>
      <c r="P3280" s="12" t="s">
        <v>137</v>
      </c>
      <c r="Q3280" s="13">
        <v>45523</v>
      </c>
      <c r="R3280" s="13">
        <v>45548</v>
      </c>
      <c r="S3280">
        <v>2024</v>
      </c>
      <c r="T3280" s="12" t="s">
        <v>4077</v>
      </c>
      <c r="U3280">
        <v>44</v>
      </c>
      <c r="V3280">
        <v>446.36720000000003</v>
      </c>
      <c r="W3280">
        <v>353.93</v>
      </c>
      <c r="X3280">
        <v>0</v>
      </c>
      <c r="Y3280">
        <v>0</v>
      </c>
      <c r="Z3280">
        <v>19640.16</v>
      </c>
      <c r="AA3280">
        <v>19994.09</v>
      </c>
      <c r="AB3280" s="12" t="s">
        <v>2944</v>
      </c>
      <c r="AC3280">
        <v>446.36720000000003</v>
      </c>
      <c r="AD3280">
        <v>1</v>
      </c>
      <c r="AE3280">
        <v>1</v>
      </c>
      <c r="AF3280">
        <v>0</v>
      </c>
      <c r="AG3280">
        <v>19640.16</v>
      </c>
      <c r="AH3280">
        <v>44</v>
      </c>
      <c r="AI3280">
        <v>43</v>
      </c>
      <c r="AJ3280">
        <v>1</v>
      </c>
      <c r="AK3280">
        <v>1</v>
      </c>
      <c r="AL3280">
        <v>1</v>
      </c>
      <c r="AM3280">
        <v>97.73</v>
      </c>
      <c r="AN3280">
        <v>464.97879999999998</v>
      </c>
      <c r="AO3280">
        <v>446.37</v>
      </c>
      <c r="AP3280" s="13">
        <v>45547</v>
      </c>
      <c r="AQ3280">
        <v>-1</v>
      </c>
      <c r="AR3280">
        <v>1</v>
      </c>
    </row>
    <row r="3281" spans="1:44" x14ac:dyDescent="0.35">
      <c r="A3281" s="12" t="s">
        <v>4189</v>
      </c>
      <c r="B3281" s="12" t="s">
        <v>241</v>
      </c>
      <c r="C3281" s="12" t="s">
        <v>242</v>
      </c>
      <c r="D3281" s="12" t="s">
        <v>103</v>
      </c>
      <c r="E3281" s="12" t="s">
        <v>142</v>
      </c>
      <c r="F3281">
        <v>3</v>
      </c>
      <c r="G3281">
        <v>11</v>
      </c>
      <c r="H3281">
        <v>0</v>
      </c>
      <c r="I3281" s="12" t="s">
        <v>243</v>
      </c>
      <c r="J3281" s="12" t="s">
        <v>244</v>
      </c>
      <c r="K3281" s="12" t="s">
        <v>81</v>
      </c>
      <c r="L3281" s="12" t="s">
        <v>82</v>
      </c>
      <c r="M3281">
        <v>9.2200000000000006</v>
      </c>
      <c r="N3281" s="12" t="s">
        <v>107</v>
      </c>
      <c r="O3281" s="12" t="s">
        <v>108</v>
      </c>
      <c r="P3281" s="12" t="s">
        <v>109</v>
      </c>
      <c r="Q3281" s="13">
        <v>45523</v>
      </c>
      <c r="R3281" s="13">
        <v>45569</v>
      </c>
      <c r="S3281">
        <v>2024</v>
      </c>
      <c r="T3281" s="12" t="s">
        <v>4077</v>
      </c>
      <c r="U3281">
        <v>101</v>
      </c>
      <c r="V3281">
        <v>175.69970000000001</v>
      </c>
      <c r="W3281">
        <v>296.91000000000003</v>
      </c>
      <c r="X3281">
        <v>0</v>
      </c>
      <c r="Y3281">
        <v>0</v>
      </c>
      <c r="Z3281">
        <v>17745.669999999998</v>
      </c>
      <c r="AA3281">
        <v>18042.580000000002</v>
      </c>
      <c r="AB3281" s="12" t="s">
        <v>201</v>
      </c>
      <c r="AD3281">
        <v>0</v>
      </c>
      <c r="AE3281">
        <v>0</v>
      </c>
      <c r="AH3281">
        <v>101</v>
      </c>
      <c r="AI3281">
        <v>100</v>
      </c>
      <c r="AJ3281">
        <v>1</v>
      </c>
      <c r="AK3281">
        <v>1</v>
      </c>
      <c r="AL3281">
        <v>1</v>
      </c>
      <c r="AM3281">
        <v>99.01</v>
      </c>
      <c r="AN3281">
        <v>180.42580000000001</v>
      </c>
      <c r="AO3281">
        <v>175.7</v>
      </c>
      <c r="AP3281" s="13">
        <v>45567</v>
      </c>
      <c r="AQ3281">
        <v>-2</v>
      </c>
      <c r="AR3281">
        <v>1</v>
      </c>
    </row>
    <row r="3282" spans="1:44" x14ac:dyDescent="0.35">
      <c r="A3282" s="12" t="s">
        <v>4190</v>
      </c>
      <c r="B3282" s="12" t="s">
        <v>477</v>
      </c>
      <c r="C3282" s="12" t="s">
        <v>478</v>
      </c>
      <c r="D3282" s="12" t="s">
        <v>130</v>
      </c>
      <c r="E3282" s="12" t="s">
        <v>104</v>
      </c>
      <c r="F3282">
        <v>3</v>
      </c>
      <c r="G3282">
        <v>1</v>
      </c>
      <c r="H3282">
        <v>0</v>
      </c>
      <c r="I3282" s="12" t="s">
        <v>87</v>
      </c>
      <c r="J3282" s="12" t="s">
        <v>88</v>
      </c>
      <c r="K3282" s="12" t="s">
        <v>89</v>
      </c>
      <c r="L3282" s="12" t="s">
        <v>69</v>
      </c>
      <c r="M3282">
        <v>14.93</v>
      </c>
      <c r="N3282" s="12" t="s">
        <v>159</v>
      </c>
      <c r="O3282" s="12" t="s">
        <v>160</v>
      </c>
      <c r="P3282" s="12" t="s">
        <v>137</v>
      </c>
      <c r="Q3282" s="13">
        <v>45523</v>
      </c>
      <c r="R3282" s="13">
        <v>45547</v>
      </c>
      <c r="S3282">
        <v>2024</v>
      </c>
      <c r="T3282" s="12" t="s">
        <v>4077</v>
      </c>
      <c r="U3282">
        <v>108</v>
      </c>
      <c r="V3282">
        <v>854.47379999999998</v>
      </c>
      <c r="W3282">
        <v>1827.07</v>
      </c>
      <c r="X3282">
        <v>0</v>
      </c>
      <c r="Y3282">
        <v>0</v>
      </c>
      <c r="Z3282">
        <v>92283.17</v>
      </c>
      <c r="AA3282">
        <v>94110.24</v>
      </c>
      <c r="AB3282" s="12" t="s">
        <v>201</v>
      </c>
      <c r="AD3282">
        <v>0</v>
      </c>
      <c r="AE3282">
        <v>0</v>
      </c>
      <c r="AH3282">
        <v>108</v>
      </c>
      <c r="AI3282">
        <v>107</v>
      </c>
      <c r="AJ3282">
        <v>1</v>
      </c>
      <c r="AK3282">
        <v>1</v>
      </c>
      <c r="AL3282">
        <v>1</v>
      </c>
      <c r="AM3282">
        <v>99.07</v>
      </c>
      <c r="AN3282">
        <v>879.53499999999997</v>
      </c>
      <c r="AO3282">
        <v>854.47</v>
      </c>
      <c r="AP3282" s="13">
        <v>45543</v>
      </c>
      <c r="AQ3282">
        <v>-4</v>
      </c>
      <c r="AR3282">
        <v>1</v>
      </c>
    </row>
    <row r="3283" spans="1:44" x14ac:dyDescent="0.35">
      <c r="A3283" s="12" t="s">
        <v>4191</v>
      </c>
      <c r="B3283" s="12" t="s">
        <v>827</v>
      </c>
      <c r="C3283" s="12" t="s">
        <v>828</v>
      </c>
      <c r="D3283" s="12" t="s">
        <v>175</v>
      </c>
      <c r="E3283" s="12" t="s">
        <v>104</v>
      </c>
      <c r="F3283">
        <v>2</v>
      </c>
      <c r="G3283">
        <v>0</v>
      </c>
      <c r="H3283">
        <v>0</v>
      </c>
      <c r="I3283" s="12" t="s">
        <v>310</v>
      </c>
      <c r="J3283" s="12" t="s">
        <v>311</v>
      </c>
      <c r="K3283" s="12" t="s">
        <v>81</v>
      </c>
      <c r="L3283" s="12" t="s">
        <v>69</v>
      </c>
      <c r="M3283">
        <v>28.3</v>
      </c>
      <c r="N3283" s="12" t="s">
        <v>145</v>
      </c>
      <c r="O3283" s="12" t="s">
        <v>146</v>
      </c>
      <c r="P3283" s="12" t="s">
        <v>109</v>
      </c>
      <c r="Q3283" s="13">
        <v>45523</v>
      </c>
      <c r="R3283" s="13">
        <v>45539</v>
      </c>
      <c r="S3283">
        <v>2024</v>
      </c>
      <c r="T3283" s="12" t="s">
        <v>4077</v>
      </c>
      <c r="U3283">
        <v>47</v>
      </c>
      <c r="V3283">
        <v>104.9198</v>
      </c>
      <c r="W3283">
        <v>67.180000000000007</v>
      </c>
      <c r="X3283">
        <v>0</v>
      </c>
      <c r="Y3283">
        <v>0</v>
      </c>
      <c r="Z3283">
        <v>4931.2299999999996</v>
      </c>
      <c r="AA3283">
        <v>4998.41</v>
      </c>
      <c r="AB3283" s="12" t="s">
        <v>4192</v>
      </c>
      <c r="AC3283">
        <v>104.9198</v>
      </c>
      <c r="AD3283">
        <v>1</v>
      </c>
      <c r="AE3283">
        <v>1</v>
      </c>
      <c r="AF3283">
        <v>0</v>
      </c>
      <c r="AG3283">
        <v>4931.2299999999996</v>
      </c>
      <c r="AH3283">
        <v>47</v>
      </c>
      <c r="AI3283">
        <v>47</v>
      </c>
      <c r="AJ3283">
        <v>0</v>
      </c>
      <c r="AK3283">
        <v>1</v>
      </c>
      <c r="AL3283">
        <v>1</v>
      </c>
      <c r="AM3283">
        <v>100</v>
      </c>
      <c r="AN3283">
        <v>106.3492</v>
      </c>
      <c r="AO3283">
        <v>0</v>
      </c>
      <c r="AP3283" s="13">
        <v>45539</v>
      </c>
      <c r="AQ3283">
        <v>0</v>
      </c>
      <c r="AR3283">
        <v>1</v>
      </c>
    </row>
    <row r="3284" spans="1:44" x14ac:dyDescent="0.35">
      <c r="A3284" s="12" t="s">
        <v>4193</v>
      </c>
      <c r="B3284" s="12" t="s">
        <v>587</v>
      </c>
      <c r="C3284" s="12" t="s">
        <v>588</v>
      </c>
      <c r="D3284" s="12" t="s">
        <v>122</v>
      </c>
      <c r="E3284" s="12" t="s">
        <v>104</v>
      </c>
      <c r="F3284">
        <v>2</v>
      </c>
      <c r="G3284">
        <v>0</v>
      </c>
      <c r="H3284">
        <v>0</v>
      </c>
      <c r="I3284" s="12" t="s">
        <v>486</v>
      </c>
      <c r="J3284" s="12" t="s">
        <v>487</v>
      </c>
      <c r="K3284" s="12" t="s">
        <v>125</v>
      </c>
      <c r="L3284" s="12" t="s">
        <v>69</v>
      </c>
      <c r="M3284">
        <v>36.86</v>
      </c>
      <c r="N3284" s="12" t="s">
        <v>97</v>
      </c>
      <c r="O3284" s="12" t="s">
        <v>98</v>
      </c>
      <c r="P3284" s="12" t="s">
        <v>72</v>
      </c>
      <c r="Q3284" s="13">
        <v>45523</v>
      </c>
      <c r="R3284" s="13">
        <v>45551</v>
      </c>
      <c r="S3284">
        <v>2024</v>
      </c>
      <c r="T3284" s="12" t="s">
        <v>4077</v>
      </c>
      <c r="U3284">
        <v>1827</v>
      </c>
      <c r="V3284">
        <v>11.9803</v>
      </c>
      <c r="W3284">
        <v>279.99</v>
      </c>
      <c r="X3284">
        <v>0</v>
      </c>
      <c r="Y3284">
        <v>0</v>
      </c>
      <c r="Z3284">
        <v>21888.01</v>
      </c>
      <c r="AA3284">
        <v>22168</v>
      </c>
      <c r="AB3284" s="12" t="s">
        <v>3188</v>
      </c>
      <c r="AC3284">
        <v>11.9803</v>
      </c>
      <c r="AD3284">
        <v>1</v>
      </c>
      <c r="AE3284">
        <v>1</v>
      </c>
      <c r="AF3284">
        <v>0</v>
      </c>
      <c r="AG3284">
        <v>21888.01</v>
      </c>
      <c r="AH3284">
        <v>1827</v>
      </c>
      <c r="AI3284">
        <v>1806</v>
      </c>
      <c r="AJ3284">
        <v>21</v>
      </c>
      <c r="AK3284">
        <v>1</v>
      </c>
      <c r="AL3284">
        <v>1</v>
      </c>
      <c r="AM3284">
        <v>98.85</v>
      </c>
      <c r="AN3284">
        <v>12.2746</v>
      </c>
      <c r="AO3284">
        <v>251.59</v>
      </c>
      <c r="AP3284" s="13">
        <v>45548</v>
      </c>
      <c r="AQ3284">
        <v>-3</v>
      </c>
      <c r="AR3284">
        <v>1</v>
      </c>
    </row>
    <row r="3285" spans="1:44" x14ac:dyDescent="0.35">
      <c r="A3285" s="12" t="s">
        <v>4194</v>
      </c>
      <c r="B3285" s="12" t="s">
        <v>972</v>
      </c>
      <c r="C3285" s="12" t="s">
        <v>973</v>
      </c>
      <c r="D3285" s="12" t="s">
        <v>130</v>
      </c>
      <c r="E3285" s="12" t="s">
        <v>142</v>
      </c>
      <c r="F3285">
        <v>2</v>
      </c>
      <c r="G3285">
        <v>9</v>
      </c>
      <c r="H3285">
        <v>0</v>
      </c>
      <c r="I3285" s="12" t="s">
        <v>66</v>
      </c>
      <c r="J3285" s="12" t="s">
        <v>67</v>
      </c>
      <c r="K3285" s="12" t="s">
        <v>68</v>
      </c>
      <c r="L3285" s="12" t="s">
        <v>69</v>
      </c>
      <c r="M3285">
        <v>17.66</v>
      </c>
      <c r="N3285" s="12" t="s">
        <v>159</v>
      </c>
      <c r="O3285" s="12" t="s">
        <v>160</v>
      </c>
      <c r="P3285" s="12" t="s">
        <v>137</v>
      </c>
      <c r="Q3285" s="13">
        <v>45523</v>
      </c>
      <c r="R3285" s="13">
        <v>45559</v>
      </c>
      <c r="S3285">
        <v>2024</v>
      </c>
      <c r="T3285" s="12" t="s">
        <v>4077</v>
      </c>
      <c r="U3285">
        <v>18</v>
      </c>
      <c r="V3285">
        <v>813.05380000000002</v>
      </c>
      <c r="W3285">
        <v>262</v>
      </c>
      <c r="X3285">
        <v>0</v>
      </c>
      <c r="Y3285">
        <v>0</v>
      </c>
      <c r="Z3285">
        <v>14634.97</v>
      </c>
      <c r="AA3285">
        <v>14896.97</v>
      </c>
      <c r="AB3285" s="12" t="s">
        <v>4195</v>
      </c>
      <c r="AC3285">
        <v>813.05380000000002</v>
      </c>
      <c r="AD3285">
        <v>1</v>
      </c>
      <c r="AE3285">
        <v>1</v>
      </c>
      <c r="AF3285">
        <v>0</v>
      </c>
      <c r="AG3285">
        <v>14634.97</v>
      </c>
      <c r="AH3285">
        <v>18</v>
      </c>
      <c r="AI3285">
        <v>18</v>
      </c>
      <c r="AJ3285">
        <v>0</v>
      </c>
      <c r="AK3285">
        <v>1</v>
      </c>
      <c r="AL3285">
        <v>1</v>
      </c>
      <c r="AM3285">
        <v>100</v>
      </c>
      <c r="AN3285">
        <v>827.60940000000005</v>
      </c>
      <c r="AO3285">
        <v>0</v>
      </c>
      <c r="AP3285" s="13">
        <v>45557</v>
      </c>
      <c r="AQ3285">
        <v>-2</v>
      </c>
      <c r="AR3285">
        <v>1</v>
      </c>
    </row>
    <row r="3286" spans="1:44" x14ac:dyDescent="0.35">
      <c r="A3286" s="12" t="s">
        <v>4196</v>
      </c>
      <c r="B3286" s="12" t="s">
        <v>509</v>
      </c>
      <c r="C3286" s="12" t="s">
        <v>510</v>
      </c>
      <c r="D3286" s="12" t="s">
        <v>78</v>
      </c>
      <c r="E3286" s="12" t="s">
        <v>142</v>
      </c>
      <c r="F3286">
        <v>3</v>
      </c>
      <c r="G3286">
        <v>11</v>
      </c>
      <c r="H3286">
        <v>0</v>
      </c>
      <c r="I3286" s="12" t="s">
        <v>176</v>
      </c>
      <c r="J3286" s="12" t="s">
        <v>177</v>
      </c>
      <c r="K3286" s="12" t="s">
        <v>125</v>
      </c>
      <c r="L3286" s="12" t="s">
        <v>134</v>
      </c>
      <c r="M3286">
        <v>1.75</v>
      </c>
      <c r="N3286" s="12" t="s">
        <v>70</v>
      </c>
      <c r="O3286" s="12" t="s">
        <v>71</v>
      </c>
      <c r="P3286" s="12" t="s">
        <v>72</v>
      </c>
      <c r="Q3286" s="13">
        <v>45523</v>
      </c>
      <c r="R3286" s="13">
        <v>45560</v>
      </c>
      <c r="S3286">
        <v>2024</v>
      </c>
      <c r="T3286" s="12" t="s">
        <v>4077</v>
      </c>
      <c r="U3286">
        <v>72</v>
      </c>
      <c r="V3286">
        <v>137.76509999999999</v>
      </c>
      <c r="W3286">
        <v>109.99</v>
      </c>
      <c r="X3286">
        <v>0</v>
      </c>
      <c r="Y3286">
        <v>0</v>
      </c>
      <c r="Z3286">
        <v>9919.09</v>
      </c>
      <c r="AA3286">
        <v>10029.08</v>
      </c>
      <c r="AB3286" s="12" t="s">
        <v>201</v>
      </c>
      <c r="AD3286">
        <v>0</v>
      </c>
      <c r="AE3286">
        <v>0</v>
      </c>
      <c r="AH3286">
        <v>72</v>
      </c>
      <c r="AI3286">
        <v>71</v>
      </c>
      <c r="AJ3286">
        <v>1</v>
      </c>
      <c r="AK3286">
        <v>1</v>
      </c>
      <c r="AL3286">
        <v>1</v>
      </c>
      <c r="AM3286">
        <v>98.61</v>
      </c>
      <c r="AN3286">
        <v>141.25460000000001</v>
      </c>
      <c r="AO3286">
        <v>137.77000000000001</v>
      </c>
      <c r="AP3286" s="13">
        <v>45563</v>
      </c>
      <c r="AQ3286">
        <v>3</v>
      </c>
      <c r="AR3286">
        <v>0</v>
      </c>
    </row>
    <row r="3287" spans="1:44" x14ac:dyDescent="0.35">
      <c r="A3287" s="12" t="s">
        <v>4197</v>
      </c>
      <c r="B3287" s="12" t="s">
        <v>680</v>
      </c>
      <c r="C3287" s="12" t="s">
        <v>681</v>
      </c>
      <c r="D3287" s="12" t="s">
        <v>122</v>
      </c>
      <c r="E3287" s="12" t="s">
        <v>104</v>
      </c>
      <c r="F3287">
        <v>3</v>
      </c>
      <c r="G3287">
        <v>1</v>
      </c>
      <c r="H3287">
        <v>0</v>
      </c>
      <c r="I3287" s="12" t="s">
        <v>243</v>
      </c>
      <c r="J3287" s="12" t="s">
        <v>244</v>
      </c>
      <c r="K3287" s="12" t="s">
        <v>81</v>
      </c>
      <c r="L3287" s="12" t="s">
        <v>82</v>
      </c>
      <c r="M3287">
        <v>9.2200000000000006</v>
      </c>
      <c r="N3287" s="12" t="s">
        <v>97</v>
      </c>
      <c r="O3287" s="12" t="s">
        <v>98</v>
      </c>
      <c r="P3287" s="12" t="s">
        <v>72</v>
      </c>
      <c r="Q3287" s="13">
        <v>45524</v>
      </c>
      <c r="R3287" s="13">
        <v>45536</v>
      </c>
      <c r="S3287">
        <v>2024</v>
      </c>
      <c r="T3287" s="12" t="s">
        <v>4077</v>
      </c>
      <c r="U3287">
        <v>293</v>
      </c>
      <c r="V3287">
        <v>22.8827</v>
      </c>
      <c r="W3287">
        <v>130.58000000000001</v>
      </c>
      <c r="X3287">
        <v>0</v>
      </c>
      <c r="Y3287">
        <v>0</v>
      </c>
      <c r="Z3287">
        <v>6704.63</v>
      </c>
      <c r="AA3287">
        <v>6835.21</v>
      </c>
      <c r="AB3287" s="12" t="s">
        <v>3691</v>
      </c>
      <c r="AC3287">
        <v>22.8827</v>
      </c>
      <c r="AD3287">
        <v>1</v>
      </c>
      <c r="AE3287">
        <v>1</v>
      </c>
      <c r="AF3287">
        <v>0</v>
      </c>
      <c r="AG3287">
        <v>6704.63</v>
      </c>
      <c r="AH3287">
        <v>293</v>
      </c>
      <c r="AI3287">
        <v>290</v>
      </c>
      <c r="AJ3287">
        <v>3</v>
      </c>
      <c r="AK3287">
        <v>1</v>
      </c>
      <c r="AL3287">
        <v>1</v>
      </c>
      <c r="AM3287">
        <v>98.98</v>
      </c>
      <c r="AN3287">
        <v>23.569700000000001</v>
      </c>
      <c r="AO3287">
        <v>68.650000000000006</v>
      </c>
      <c r="AP3287" s="13">
        <v>45533</v>
      </c>
      <c r="AQ3287">
        <v>-3</v>
      </c>
      <c r="AR3287">
        <v>1</v>
      </c>
    </row>
    <row r="3288" spans="1:44" x14ac:dyDescent="0.35">
      <c r="A3288" s="12" t="s">
        <v>4198</v>
      </c>
      <c r="B3288" s="12" t="s">
        <v>112</v>
      </c>
      <c r="C3288" s="12" t="s">
        <v>113</v>
      </c>
      <c r="D3288" s="12" t="s">
        <v>114</v>
      </c>
      <c r="E3288" s="12" t="s">
        <v>104</v>
      </c>
      <c r="F3288">
        <v>3</v>
      </c>
      <c r="G3288">
        <v>1</v>
      </c>
      <c r="H3288">
        <v>0</v>
      </c>
      <c r="I3288" s="12" t="s">
        <v>115</v>
      </c>
      <c r="J3288" s="12" t="s">
        <v>116</v>
      </c>
      <c r="K3288" s="12" t="s">
        <v>117</v>
      </c>
      <c r="L3288" s="12" t="s">
        <v>82</v>
      </c>
      <c r="M3288">
        <v>17.170000000000002</v>
      </c>
      <c r="N3288" s="12" t="s">
        <v>97</v>
      </c>
      <c r="O3288" s="12" t="s">
        <v>98</v>
      </c>
      <c r="P3288" s="12" t="s">
        <v>72</v>
      </c>
      <c r="Q3288" s="13">
        <v>45524</v>
      </c>
      <c r="R3288" s="13">
        <v>45545</v>
      </c>
      <c r="S3288">
        <v>2024</v>
      </c>
      <c r="T3288" s="12" t="s">
        <v>4077</v>
      </c>
      <c r="U3288">
        <v>84</v>
      </c>
      <c r="V3288">
        <v>260.83109999999999</v>
      </c>
      <c r="W3288">
        <v>144.83000000000001</v>
      </c>
      <c r="X3288">
        <v>0</v>
      </c>
      <c r="Y3288">
        <v>0</v>
      </c>
      <c r="Z3288">
        <v>21909.81</v>
      </c>
      <c r="AA3288">
        <v>22054.639999999999</v>
      </c>
      <c r="AB3288" s="12" t="s">
        <v>3975</v>
      </c>
      <c r="AC3288">
        <v>260.83109999999999</v>
      </c>
      <c r="AD3288">
        <v>1</v>
      </c>
      <c r="AE3288">
        <v>1</v>
      </c>
      <c r="AF3288">
        <v>0</v>
      </c>
      <c r="AG3288">
        <v>21909.81</v>
      </c>
      <c r="AH3288">
        <v>84</v>
      </c>
      <c r="AI3288">
        <v>84</v>
      </c>
      <c r="AJ3288">
        <v>0</v>
      </c>
      <c r="AK3288">
        <v>1</v>
      </c>
      <c r="AL3288">
        <v>1</v>
      </c>
      <c r="AM3288">
        <v>100</v>
      </c>
      <c r="AN3288">
        <v>262.55529999999999</v>
      </c>
      <c r="AO3288">
        <v>0</v>
      </c>
      <c r="AP3288" s="13">
        <v>45542</v>
      </c>
      <c r="AQ3288">
        <v>-3</v>
      </c>
      <c r="AR3288">
        <v>1</v>
      </c>
    </row>
    <row r="3289" spans="1:44" x14ac:dyDescent="0.35">
      <c r="A3289" s="12" t="s">
        <v>4199</v>
      </c>
      <c r="B3289" s="12" t="s">
        <v>747</v>
      </c>
      <c r="C3289" s="12" t="s">
        <v>748</v>
      </c>
      <c r="D3289" s="12" t="s">
        <v>114</v>
      </c>
      <c r="E3289" s="12" t="s">
        <v>104</v>
      </c>
      <c r="F3289">
        <v>2</v>
      </c>
      <c r="G3289">
        <v>0</v>
      </c>
      <c r="H3289">
        <v>0</v>
      </c>
      <c r="I3289" s="12" t="s">
        <v>380</v>
      </c>
      <c r="J3289" s="12" t="s">
        <v>381</v>
      </c>
      <c r="K3289" s="12" t="s">
        <v>89</v>
      </c>
      <c r="L3289" s="12" t="s">
        <v>96</v>
      </c>
      <c r="M3289">
        <v>10.210000000000001</v>
      </c>
      <c r="N3289" s="12" t="s">
        <v>70</v>
      </c>
      <c r="O3289" s="12" t="s">
        <v>71</v>
      </c>
      <c r="P3289" s="12" t="s">
        <v>72</v>
      </c>
      <c r="Q3289" s="13">
        <v>45524</v>
      </c>
      <c r="R3289" s="13">
        <v>45540</v>
      </c>
      <c r="S3289">
        <v>2024</v>
      </c>
      <c r="T3289" s="12" t="s">
        <v>4077</v>
      </c>
      <c r="U3289">
        <v>42</v>
      </c>
      <c r="V3289">
        <v>242.0575</v>
      </c>
      <c r="W3289">
        <v>184.71</v>
      </c>
      <c r="X3289">
        <v>0</v>
      </c>
      <c r="Y3289">
        <v>0</v>
      </c>
      <c r="Z3289">
        <v>10166.42</v>
      </c>
      <c r="AA3289">
        <v>10351.129999999999</v>
      </c>
      <c r="AB3289" s="12" t="s">
        <v>3072</v>
      </c>
      <c r="AC3289">
        <v>242.0575</v>
      </c>
      <c r="AD3289">
        <v>1</v>
      </c>
      <c r="AE3289">
        <v>1</v>
      </c>
      <c r="AF3289">
        <v>0</v>
      </c>
      <c r="AG3289">
        <v>10166.42</v>
      </c>
      <c r="AH3289">
        <v>42</v>
      </c>
      <c r="AI3289">
        <v>41</v>
      </c>
      <c r="AJ3289">
        <v>1</v>
      </c>
      <c r="AK3289">
        <v>1</v>
      </c>
      <c r="AL3289">
        <v>1</v>
      </c>
      <c r="AM3289">
        <v>97.62</v>
      </c>
      <c r="AN3289">
        <v>252.4665</v>
      </c>
      <c r="AO3289">
        <v>242.06</v>
      </c>
      <c r="AP3289" s="13">
        <v>45537</v>
      </c>
      <c r="AQ3289">
        <v>-3</v>
      </c>
      <c r="AR3289">
        <v>1</v>
      </c>
    </row>
    <row r="3290" spans="1:44" x14ac:dyDescent="0.35">
      <c r="A3290" s="12" t="s">
        <v>4200</v>
      </c>
      <c r="B3290" s="12" t="s">
        <v>378</v>
      </c>
      <c r="C3290" s="12" t="s">
        <v>379</v>
      </c>
      <c r="D3290" s="12" t="s">
        <v>64</v>
      </c>
      <c r="E3290" s="12" t="s">
        <v>104</v>
      </c>
      <c r="F3290">
        <v>3</v>
      </c>
      <c r="G3290">
        <v>1</v>
      </c>
      <c r="H3290">
        <v>0</v>
      </c>
      <c r="I3290" s="12" t="s">
        <v>380</v>
      </c>
      <c r="J3290" s="12" t="s">
        <v>381</v>
      </c>
      <c r="K3290" s="12" t="s">
        <v>89</v>
      </c>
      <c r="L3290" s="12" t="s">
        <v>96</v>
      </c>
      <c r="M3290">
        <v>10.210000000000001</v>
      </c>
      <c r="N3290" s="12" t="s">
        <v>70</v>
      </c>
      <c r="O3290" s="12" t="s">
        <v>71</v>
      </c>
      <c r="P3290" s="12" t="s">
        <v>72</v>
      </c>
      <c r="Q3290" s="13">
        <v>45524</v>
      </c>
      <c r="R3290" s="13">
        <v>45548</v>
      </c>
      <c r="S3290">
        <v>2024</v>
      </c>
      <c r="T3290" s="12" t="s">
        <v>4077</v>
      </c>
      <c r="U3290">
        <v>725</v>
      </c>
      <c r="V3290">
        <v>15.734999999999999</v>
      </c>
      <c r="W3290">
        <v>103.99</v>
      </c>
      <c r="X3290">
        <v>0</v>
      </c>
      <c r="Y3290">
        <v>0</v>
      </c>
      <c r="Z3290">
        <v>11407.88</v>
      </c>
      <c r="AA3290">
        <v>11511.87</v>
      </c>
      <c r="AB3290" s="12" t="s">
        <v>2847</v>
      </c>
      <c r="AC3290">
        <v>15.734999999999999</v>
      </c>
      <c r="AD3290">
        <v>1</v>
      </c>
      <c r="AE3290">
        <v>1</v>
      </c>
      <c r="AF3290">
        <v>0</v>
      </c>
      <c r="AG3290">
        <v>11407.88</v>
      </c>
      <c r="AH3290">
        <v>725</v>
      </c>
      <c r="AI3290">
        <v>720</v>
      </c>
      <c r="AJ3290">
        <v>5</v>
      </c>
      <c r="AK3290">
        <v>1</v>
      </c>
      <c r="AL3290">
        <v>1</v>
      </c>
      <c r="AM3290">
        <v>99.31</v>
      </c>
      <c r="AN3290">
        <v>15.9887</v>
      </c>
      <c r="AO3290">
        <v>78.680000000000007</v>
      </c>
      <c r="AP3290" s="13">
        <v>45547</v>
      </c>
      <c r="AQ3290">
        <v>-1</v>
      </c>
      <c r="AR3290">
        <v>1</v>
      </c>
    </row>
    <row r="3291" spans="1:44" x14ac:dyDescent="0.35">
      <c r="A3291" s="12" t="s">
        <v>4201</v>
      </c>
      <c r="B3291" s="12" t="s">
        <v>978</v>
      </c>
      <c r="C3291" s="12" t="s">
        <v>979</v>
      </c>
      <c r="D3291" s="12" t="s">
        <v>122</v>
      </c>
      <c r="E3291" s="12" t="s">
        <v>65</v>
      </c>
      <c r="F3291">
        <v>1</v>
      </c>
      <c r="G3291">
        <v>2</v>
      </c>
      <c r="H3291">
        <v>1</v>
      </c>
      <c r="I3291" s="12" t="s">
        <v>310</v>
      </c>
      <c r="J3291" s="12" t="s">
        <v>311</v>
      </c>
      <c r="K3291" s="12" t="s">
        <v>81</v>
      </c>
      <c r="L3291" s="12" t="s">
        <v>69</v>
      </c>
      <c r="M3291">
        <v>28.3</v>
      </c>
      <c r="N3291" s="12" t="s">
        <v>97</v>
      </c>
      <c r="O3291" s="12" t="s">
        <v>98</v>
      </c>
      <c r="P3291" s="12" t="s">
        <v>72</v>
      </c>
      <c r="Q3291" s="13">
        <v>45524</v>
      </c>
      <c r="R3291" s="13">
        <v>45547</v>
      </c>
      <c r="S3291">
        <v>2024</v>
      </c>
      <c r="T3291" s="12" t="s">
        <v>4077</v>
      </c>
      <c r="U3291">
        <v>430</v>
      </c>
      <c r="V3291">
        <v>43.574800000000003</v>
      </c>
      <c r="W3291">
        <v>455.48</v>
      </c>
      <c r="X3291">
        <v>0</v>
      </c>
      <c r="Y3291">
        <v>0</v>
      </c>
      <c r="Z3291">
        <v>18737.16</v>
      </c>
      <c r="AA3291">
        <v>19192.64</v>
      </c>
      <c r="AB3291" s="12" t="s">
        <v>3471</v>
      </c>
      <c r="AC3291">
        <v>43.574800000000003</v>
      </c>
      <c r="AD3291">
        <v>1</v>
      </c>
      <c r="AE3291">
        <v>1</v>
      </c>
      <c r="AF3291">
        <v>0</v>
      </c>
      <c r="AG3291">
        <v>18737.16</v>
      </c>
      <c r="AH3291">
        <v>430</v>
      </c>
      <c r="AI3291">
        <v>428</v>
      </c>
      <c r="AJ3291">
        <v>2</v>
      </c>
      <c r="AK3291">
        <v>1</v>
      </c>
      <c r="AL3291">
        <v>1</v>
      </c>
      <c r="AM3291">
        <v>99.53</v>
      </c>
      <c r="AN3291">
        <v>44.842599999999997</v>
      </c>
      <c r="AO3291">
        <v>87.15</v>
      </c>
      <c r="AP3291" s="13">
        <v>45548</v>
      </c>
      <c r="AQ3291">
        <v>1</v>
      </c>
      <c r="AR3291">
        <v>0</v>
      </c>
    </row>
    <row r="3292" spans="1:44" x14ac:dyDescent="0.35">
      <c r="A3292" s="12" t="s">
        <v>4202</v>
      </c>
      <c r="B3292" s="12" t="s">
        <v>490</v>
      </c>
      <c r="C3292" s="12" t="s">
        <v>491</v>
      </c>
      <c r="D3292" s="12" t="s">
        <v>130</v>
      </c>
      <c r="E3292" s="12" t="s">
        <v>104</v>
      </c>
      <c r="F3292">
        <v>3</v>
      </c>
      <c r="G3292">
        <v>1</v>
      </c>
      <c r="H3292">
        <v>0</v>
      </c>
      <c r="I3292" s="12" t="s">
        <v>176</v>
      </c>
      <c r="J3292" s="12" t="s">
        <v>177</v>
      </c>
      <c r="K3292" s="12" t="s">
        <v>125</v>
      </c>
      <c r="L3292" s="12" t="s">
        <v>134</v>
      </c>
      <c r="M3292">
        <v>1.75</v>
      </c>
      <c r="N3292" s="12" t="s">
        <v>159</v>
      </c>
      <c r="O3292" s="12" t="s">
        <v>160</v>
      </c>
      <c r="P3292" s="12" t="s">
        <v>137</v>
      </c>
      <c r="Q3292" s="13">
        <v>45524</v>
      </c>
      <c r="R3292" s="13">
        <v>45549</v>
      </c>
      <c r="S3292">
        <v>2024</v>
      </c>
      <c r="T3292" s="12" t="s">
        <v>4077</v>
      </c>
      <c r="U3292">
        <v>118</v>
      </c>
      <c r="V3292">
        <v>264.23239999999998</v>
      </c>
      <c r="W3292">
        <v>378.22</v>
      </c>
      <c r="X3292">
        <v>0</v>
      </c>
      <c r="Y3292">
        <v>0</v>
      </c>
      <c r="Z3292">
        <v>31179.42</v>
      </c>
      <c r="AA3292">
        <v>31557.64</v>
      </c>
      <c r="AB3292" s="12" t="s">
        <v>3122</v>
      </c>
      <c r="AC3292">
        <v>264.23239999999998</v>
      </c>
      <c r="AD3292">
        <v>1</v>
      </c>
      <c r="AE3292">
        <v>1</v>
      </c>
      <c r="AF3292">
        <v>0</v>
      </c>
      <c r="AG3292">
        <v>31179.42</v>
      </c>
      <c r="AH3292">
        <v>118</v>
      </c>
      <c r="AI3292">
        <v>116</v>
      </c>
      <c r="AJ3292">
        <v>2</v>
      </c>
      <c r="AK3292">
        <v>1</v>
      </c>
      <c r="AL3292">
        <v>1</v>
      </c>
      <c r="AM3292">
        <v>98.31</v>
      </c>
      <c r="AN3292">
        <v>272.04860000000002</v>
      </c>
      <c r="AO3292">
        <v>528.46</v>
      </c>
      <c r="AP3292" s="13">
        <v>45546</v>
      </c>
      <c r="AQ3292">
        <v>-3</v>
      </c>
      <c r="AR3292">
        <v>1</v>
      </c>
    </row>
    <row r="3293" spans="1:44" x14ac:dyDescent="0.35">
      <c r="A3293" s="12" t="s">
        <v>4203</v>
      </c>
      <c r="B3293" s="12" t="s">
        <v>661</v>
      </c>
      <c r="C3293" s="12" t="s">
        <v>662</v>
      </c>
      <c r="D3293" s="12" t="s">
        <v>175</v>
      </c>
      <c r="E3293" s="12" t="s">
        <v>104</v>
      </c>
      <c r="F3293">
        <v>1</v>
      </c>
      <c r="G3293">
        <v>0</v>
      </c>
      <c r="H3293">
        <v>1</v>
      </c>
      <c r="I3293" s="12" t="s">
        <v>183</v>
      </c>
      <c r="J3293" s="12" t="s">
        <v>184</v>
      </c>
      <c r="K3293" s="12" t="s">
        <v>133</v>
      </c>
      <c r="L3293" s="12" t="s">
        <v>82</v>
      </c>
      <c r="M3293">
        <v>8.6199999999999992</v>
      </c>
      <c r="N3293" s="12" t="s">
        <v>107</v>
      </c>
      <c r="O3293" s="12" t="s">
        <v>108</v>
      </c>
      <c r="P3293" s="12" t="s">
        <v>109</v>
      </c>
      <c r="Q3293" s="13">
        <v>45524</v>
      </c>
      <c r="R3293" s="13">
        <v>45541</v>
      </c>
      <c r="S3293">
        <v>2024</v>
      </c>
      <c r="T3293" s="12" t="s">
        <v>4077</v>
      </c>
      <c r="U3293">
        <v>49</v>
      </c>
      <c r="V3293">
        <v>180.0376</v>
      </c>
      <c r="W3293">
        <v>132.30000000000001</v>
      </c>
      <c r="X3293">
        <v>0</v>
      </c>
      <c r="Y3293">
        <v>0</v>
      </c>
      <c r="Z3293">
        <v>8821.84</v>
      </c>
      <c r="AA3293">
        <v>8954.14</v>
      </c>
      <c r="AB3293" s="12" t="s">
        <v>2851</v>
      </c>
      <c r="AC3293">
        <v>180.0376</v>
      </c>
      <c r="AD3293">
        <v>1</v>
      </c>
      <c r="AE3293">
        <v>1</v>
      </c>
      <c r="AF3293">
        <v>0</v>
      </c>
      <c r="AG3293">
        <v>8821.84</v>
      </c>
      <c r="AH3293">
        <v>49</v>
      </c>
      <c r="AI3293">
        <v>48</v>
      </c>
      <c r="AJ3293">
        <v>1</v>
      </c>
      <c r="AK3293">
        <v>1</v>
      </c>
      <c r="AL3293">
        <v>1</v>
      </c>
      <c r="AM3293">
        <v>97.96</v>
      </c>
      <c r="AN3293">
        <v>186.5446</v>
      </c>
      <c r="AO3293">
        <v>180.04</v>
      </c>
      <c r="AP3293" s="13">
        <v>45540</v>
      </c>
      <c r="AQ3293">
        <v>-1</v>
      </c>
      <c r="AR3293">
        <v>1</v>
      </c>
    </row>
    <row r="3294" spans="1:44" x14ac:dyDescent="0.35">
      <c r="A3294" s="12" t="s">
        <v>4204</v>
      </c>
      <c r="B3294" s="12" t="s">
        <v>869</v>
      </c>
      <c r="C3294" s="12" t="s">
        <v>870</v>
      </c>
      <c r="D3294" s="12" t="s">
        <v>130</v>
      </c>
      <c r="E3294" s="12" t="s">
        <v>104</v>
      </c>
      <c r="F3294">
        <v>2</v>
      </c>
      <c r="G3294">
        <v>0</v>
      </c>
      <c r="H3294">
        <v>0</v>
      </c>
      <c r="I3294" s="12" t="s">
        <v>359</v>
      </c>
      <c r="J3294" s="12" t="s">
        <v>360</v>
      </c>
      <c r="K3294" s="12" t="s">
        <v>133</v>
      </c>
      <c r="L3294" s="12" t="s">
        <v>82</v>
      </c>
      <c r="M3294">
        <v>12.65</v>
      </c>
      <c r="N3294" s="12" t="s">
        <v>159</v>
      </c>
      <c r="O3294" s="12" t="s">
        <v>160</v>
      </c>
      <c r="P3294" s="12" t="s">
        <v>137</v>
      </c>
      <c r="Q3294" s="13">
        <v>45524</v>
      </c>
      <c r="R3294" s="13">
        <v>45547</v>
      </c>
      <c r="S3294">
        <v>2024</v>
      </c>
      <c r="T3294" s="12" t="s">
        <v>4077</v>
      </c>
      <c r="U3294">
        <v>99</v>
      </c>
      <c r="V3294">
        <v>583.22540000000004</v>
      </c>
      <c r="W3294">
        <v>370.18</v>
      </c>
      <c r="X3294">
        <v>1787.69</v>
      </c>
      <c r="Y3294">
        <v>1</v>
      </c>
      <c r="Z3294">
        <v>57739.31</v>
      </c>
      <c r="AA3294">
        <v>59897.18</v>
      </c>
      <c r="AB3294" s="12" t="s">
        <v>4147</v>
      </c>
      <c r="AC3294">
        <v>583.22540000000004</v>
      </c>
      <c r="AD3294">
        <v>1</v>
      </c>
      <c r="AE3294">
        <v>1</v>
      </c>
      <c r="AF3294">
        <v>0</v>
      </c>
      <c r="AG3294">
        <v>57739.31</v>
      </c>
      <c r="AH3294">
        <v>99</v>
      </c>
      <c r="AI3294">
        <v>98</v>
      </c>
      <c r="AJ3294">
        <v>1</v>
      </c>
      <c r="AK3294">
        <v>1</v>
      </c>
      <c r="AL3294">
        <v>1</v>
      </c>
      <c r="AM3294">
        <v>98.99</v>
      </c>
      <c r="AN3294">
        <v>611.19579999999996</v>
      </c>
      <c r="AO3294">
        <v>583.23</v>
      </c>
      <c r="AP3294" s="13">
        <v>45547</v>
      </c>
      <c r="AQ3294">
        <v>0</v>
      </c>
      <c r="AR3294">
        <v>1</v>
      </c>
    </row>
    <row r="3295" spans="1:44" x14ac:dyDescent="0.35">
      <c r="A3295" s="12" t="s">
        <v>4205</v>
      </c>
      <c r="B3295" s="12" t="s">
        <v>787</v>
      </c>
      <c r="C3295" s="12" t="s">
        <v>788</v>
      </c>
      <c r="D3295" s="12" t="s">
        <v>269</v>
      </c>
      <c r="E3295" s="12" t="s">
        <v>65</v>
      </c>
      <c r="F3295">
        <v>2</v>
      </c>
      <c r="G3295">
        <v>3</v>
      </c>
      <c r="H3295">
        <v>0</v>
      </c>
      <c r="I3295" s="12" t="s">
        <v>143</v>
      </c>
      <c r="J3295" s="12" t="s">
        <v>144</v>
      </c>
      <c r="K3295" s="12" t="s">
        <v>133</v>
      </c>
      <c r="L3295" s="12" t="s">
        <v>96</v>
      </c>
      <c r="M3295">
        <v>5.43</v>
      </c>
      <c r="N3295" s="12" t="s">
        <v>135</v>
      </c>
      <c r="O3295" s="12" t="s">
        <v>136</v>
      </c>
      <c r="P3295" s="12" t="s">
        <v>137</v>
      </c>
      <c r="Q3295" s="13">
        <v>45524</v>
      </c>
      <c r="R3295" s="13">
        <v>45553</v>
      </c>
      <c r="S3295">
        <v>2024</v>
      </c>
      <c r="T3295" s="12" t="s">
        <v>4077</v>
      </c>
      <c r="U3295">
        <v>77</v>
      </c>
      <c r="V3295">
        <v>342.88099999999997</v>
      </c>
      <c r="W3295">
        <v>671.41</v>
      </c>
      <c r="X3295">
        <v>0</v>
      </c>
      <c r="Y3295">
        <v>0</v>
      </c>
      <c r="Z3295">
        <v>26401.84</v>
      </c>
      <c r="AA3295">
        <v>27073.25</v>
      </c>
      <c r="AB3295" s="12" t="s">
        <v>3813</v>
      </c>
      <c r="AC3295">
        <v>342.88099999999997</v>
      </c>
      <c r="AD3295">
        <v>1</v>
      </c>
      <c r="AE3295">
        <v>1</v>
      </c>
      <c r="AF3295">
        <v>0</v>
      </c>
      <c r="AG3295">
        <v>26401.84</v>
      </c>
      <c r="AH3295">
        <v>77</v>
      </c>
      <c r="AI3295">
        <v>77</v>
      </c>
      <c r="AJ3295">
        <v>0</v>
      </c>
      <c r="AK3295">
        <v>1</v>
      </c>
      <c r="AL3295">
        <v>1</v>
      </c>
      <c r="AM3295">
        <v>100</v>
      </c>
      <c r="AN3295">
        <v>351.60059999999999</v>
      </c>
      <c r="AO3295">
        <v>0</v>
      </c>
      <c r="AP3295" s="13">
        <v>45550</v>
      </c>
      <c r="AQ3295">
        <v>-3</v>
      </c>
      <c r="AR3295">
        <v>1</v>
      </c>
    </row>
    <row r="3296" spans="1:44" x14ac:dyDescent="0.35">
      <c r="A3296" s="12" t="s">
        <v>4206</v>
      </c>
      <c r="B3296" s="12" t="s">
        <v>428</v>
      </c>
      <c r="C3296" s="12" t="s">
        <v>429</v>
      </c>
      <c r="D3296" s="12" t="s">
        <v>64</v>
      </c>
      <c r="E3296" s="12" t="s">
        <v>65</v>
      </c>
      <c r="F3296">
        <v>3</v>
      </c>
      <c r="G3296">
        <v>4</v>
      </c>
      <c r="H3296">
        <v>0</v>
      </c>
      <c r="I3296" s="12" t="s">
        <v>380</v>
      </c>
      <c r="J3296" s="12" t="s">
        <v>381</v>
      </c>
      <c r="K3296" s="12" t="s">
        <v>89</v>
      </c>
      <c r="L3296" s="12" t="s">
        <v>96</v>
      </c>
      <c r="M3296">
        <v>10.210000000000001</v>
      </c>
      <c r="N3296" s="12" t="s">
        <v>70</v>
      </c>
      <c r="O3296" s="12" t="s">
        <v>71</v>
      </c>
      <c r="P3296" s="12" t="s">
        <v>72</v>
      </c>
      <c r="Q3296" s="13">
        <v>45524</v>
      </c>
      <c r="R3296" s="13">
        <v>45549</v>
      </c>
      <c r="S3296">
        <v>2024</v>
      </c>
      <c r="T3296" s="12" t="s">
        <v>4077</v>
      </c>
      <c r="U3296">
        <v>317</v>
      </c>
      <c r="V3296">
        <v>13.9192</v>
      </c>
      <c r="W3296">
        <v>27.83</v>
      </c>
      <c r="X3296">
        <v>0</v>
      </c>
      <c r="Y3296">
        <v>0</v>
      </c>
      <c r="Z3296">
        <v>4412.3900000000003</v>
      </c>
      <c r="AA3296">
        <v>4440.22</v>
      </c>
      <c r="AB3296" s="12" t="s">
        <v>2959</v>
      </c>
      <c r="AC3296">
        <v>13.9192</v>
      </c>
      <c r="AD3296">
        <v>1</v>
      </c>
      <c r="AE3296">
        <v>1</v>
      </c>
      <c r="AF3296">
        <v>0</v>
      </c>
      <c r="AG3296">
        <v>4412.3900000000003</v>
      </c>
      <c r="AH3296">
        <v>317</v>
      </c>
      <c r="AI3296">
        <v>312</v>
      </c>
      <c r="AJ3296">
        <v>5</v>
      </c>
      <c r="AK3296">
        <v>1</v>
      </c>
      <c r="AL3296">
        <v>1</v>
      </c>
      <c r="AM3296">
        <v>98.42</v>
      </c>
      <c r="AN3296">
        <v>14.2315</v>
      </c>
      <c r="AO3296">
        <v>69.599999999999994</v>
      </c>
      <c r="AP3296" s="13">
        <v>45546</v>
      </c>
      <c r="AQ3296">
        <v>-3</v>
      </c>
      <c r="AR3296">
        <v>1</v>
      </c>
    </row>
    <row r="3297" spans="1:44" x14ac:dyDescent="0.35">
      <c r="A3297" s="12" t="s">
        <v>4207</v>
      </c>
      <c r="B3297" s="12" t="s">
        <v>602</v>
      </c>
      <c r="C3297" s="12" t="s">
        <v>603</v>
      </c>
      <c r="D3297" s="12" t="s">
        <v>114</v>
      </c>
      <c r="E3297" s="12" t="s">
        <v>142</v>
      </c>
      <c r="F3297">
        <v>2</v>
      </c>
      <c r="G3297">
        <v>10</v>
      </c>
      <c r="H3297">
        <v>0</v>
      </c>
      <c r="I3297" s="12" t="s">
        <v>263</v>
      </c>
      <c r="J3297" s="12" t="s">
        <v>264</v>
      </c>
      <c r="K3297" s="12" t="s">
        <v>125</v>
      </c>
      <c r="L3297" s="12" t="s">
        <v>82</v>
      </c>
      <c r="M3297">
        <v>10.210000000000001</v>
      </c>
      <c r="N3297" s="12" t="s">
        <v>97</v>
      </c>
      <c r="O3297" s="12" t="s">
        <v>98</v>
      </c>
      <c r="P3297" s="12" t="s">
        <v>72</v>
      </c>
      <c r="Q3297" s="13">
        <v>45524</v>
      </c>
      <c r="R3297" s="13">
        <v>45569</v>
      </c>
      <c r="S3297">
        <v>2024</v>
      </c>
      <c r="T3297" s="12" t="s">
        <v>4077</v>
      </c>
      <c r="U3297">
        <v>88</v>
      </c>
      <c r="V3297">
        <v>210.69990000000001</v>
      </c>
      <c r="W3297">
        <v>443.78</v>
      </c>
      <c r="X3297">
        <v>0</v>
      </c>
      <c r="Y3297">
        <v>0</v>
      </c>
      <c r="Z3297">
        <v>18541.59</v>
      </c>
      <c r="AA3297">
        <v>18985.37</v>
      </c>
      <c r="AB3297" s="12" t="s">
        <v>2790</v>
      </c>
      <c r="AC3297">
        <v>210.69990000000001</v>
      </c>
      <c r="AD3297">
        <v>1</v>
      </c>
      <c r="AE3297">
        <v>1</v>
      </c>
      <c r="AF3297">
        <v>0</v>
      </c>
      <c r="AG3297">
        <v>18541.59</v>
      </c>
      <c r="AH3297">
        <v>88</v>
      </c>
      <c r="AI3297">
        <v>88</v>
      </c>
      <c r="AJ3297">
        <v>0</v>
      </c>
      <c r="AK3297">
        <v>1</v>
      </c>
      <c r="AL3297">
        <v>1</v>
      </c>
      <c r="AM3297">
        <v>100</v>
      </c>
      <c r="AN3297">
        <v>215.74289999999999</v>
      </c>
      <c r="AO3297">
        <v>0</v>
      </c>
      <c r="AP3297" s="13">
        <v>45569</v>
      </c>
      <c r="AQ3297">
        <v>0</v>
      </c>
      <c r="AR3297">
        <v>1</v>
      </c>
    </row>
    <row r="3298" spans="1:44" x14ac:dyDescent="0.35">
      <c r="A3298" s="12" t="s">
        <v>4208</v>
      </c>
      <c r="B3298" s="12" t="s">
        <v>706</v>
      </c>
      <c r="C3298" s="12" t="s">
        <v>707</v>
      </c>
      <c r="D3298" s="12" t="s">
        <v>130</v>
      </c>
      <c r="E3298" s="12" t="s">
        <v>142</v>
      </c>
      <c r="F3298">
        <v>1</v>
      </c>
      <c r="G3298">
        <v>8</v>
      </c>
      <c r="H3298">
        <v>1</v>
      </c>
      <c r="I3298" s="12" t="s">
        <v>263</v>
      </c>
      <c r="J3298" s="12" t="s">
        <v>264</v>
      </c>
      <c r="K3298" s="12" t="s">
        <v>125</v>
      </c>
      <c r="L3298" s="12" t="s">
        <v>82</v>
      </c>
      <c r="M3298">
        <v>10.210000000000001</v>
      </c>
      <c r="N3298" s="12" t="s">
        <v>159</v>
      </c>
      <c r="O3298" s="12" t="s">
        <v>160</v>
      </c>
      <c r="P3298" s="12" t="s">
        <v>137</v>
      </c>
      <c r="Q3298" s="13">
        <v>45525</v>
      </c>
      <c r="R3298" s="13">
        <v>45571</v>
      </c>
      <c r="S3298">
        <v>2024</v>
      </c>
      <c r="T3298" s="12" t="s">
        <v>4077</v>
      </c>
      <c r="U3298">
        <v>100</v>
      </c>
      <c r="V3298">
        <v>277.214</v>
      </c>
      <c r="W3298">
        <v>509.38</v>
      </c>
      <c r="X3298">
        <v>0</v>
      </c>
      <c r="Y3298">
        <v>0</v>
      </c>
      <c r="Z3298">
        <v>27721.4</v>
      </c>
      <c r="AA3298">
        <v>28230.78</v>
      </c>
      <c r="AB3298" s="12" t="s">
        <v>3434</v>
      </c>
      <c r="AC3298">
        <v>277.214</v>
      </c>
      <c r="AD3298">
        <v>1</v>
      </c>
      <c r="AE3298">
        <v>1</v>
      </c>
      <c r="AF3298">
        <v>0</v>
      </c>
      <c r="AG3298">
        <v>27721.4</v>
      </c>
      <c r="AH3298">
        <v>100</v>
      </c>
      <c r="AI3298">
        <v>99</v>
      </c>
      <c r="AJ3298">
        <v>1</v>
      </c>
      <c r="AK3298">
        <v>1</v>
      </c>
      <c r="AL3298">
        <v>1</v>
      </c>
      <c r="AM3298">
        <v>99</v>
      </c>
      <c r="AN3298">
        <v>285.15940000000001</v>
      </c>
      <c r="AO3298">
        <v>277.20999999999998</v>
      </c>
      <c r="AP3298" s="13">
        <v>45570</v>
      </c>
      <c r="AQ3298">
        <v>-1</v>
      </c>
      <c r="AR3298">
        <v>1</v>
      </c>
    </row>
    <row r="3299" spans="1:44" x14ac:dyDescent="0.35">
      <c r="A3299" s="12" t="s">
        <v>4209</v>
      </c>
      <c r="B3299" s="12" t="s">
        <v>1220</v>
      </c>
      <c r="C3299" s="12" t="s">
        <v>1221</v>
      </c>
      <c r="D3299" s="12" t="s">
        <v>175</v>
      </c>
      <c r="E3299" s="12" t="s">
        <v>104</v>
      </c>
      <c r="F3299">
        <v>3</v>
      </c>
      <c r="G3299">
        <v>1</v>
      </c>
      <c r="H3299">
        <v>0</v>
      </c>
      <c r="I3299" s="12" t="s">
        <v>515</v>
      </c>
      <c r="J3299" s="12" t="s">
        <v>516</v>
      </c>
      <c r="K3299" s="12" t="s">
        <v>68</v>
      </c>
      <c r="L3299" s="12" t="s">
        <v>134</v>
      </c>
      <c r="M3299">
        <v>3.69</v>
      </c>
      <c r="N3299" s="12" t="s">
        <v>145</v>
      </c>
      <c r="O3299" s="12" t="s">
        <v>146</v>
      </c>
      <c r="P3299" s="12" t="s">
        <v>109</v>
      </c>
      <c r="Q3299" s="13">
        <v>45525</v>
      </c>
      <c r="R3299" s="13">
        <v>45543</v>
      </c>
      <c r="S3299">
        <v>2024</v>
      </c>
      <c r="T3299" s="12" t="s">
        <v>4077</v>
      </c>
      <c r="U3299">
        <v>58</v>
      </c>
      <c r="V3299">
        <v>141.97139999999999</v>
      </c>
      <c r="W3299">
        <v>93.72</v>
      </c>
      <c r="X3299">
        <v>0</v>
      </c>
      <c r="Y3299">
        <v>0</v>
      </c>
      <c r="Z3299">
        <v>8234.34</v>
      </c>
      <c r="AA3299">
        <v>8328.06</v>
      </c>
      <c r="AB3299" s="12" t="s">
        <v>3405</v>
      </c>
      <c r="AC3299">
        <v>136.08099999999999</v>
      </c>
      <c r="AD3299">
        <v>1</v>
      </c>
      <c r="AE3299">
        <v>1</v>
      </c>
      <c r="AF3299">
        <v>341.64</v>
      </c>
      <c r="AG3299">
        <v>7892.7</v>
      </c>
      <c r="AH3299">
        <v>58</v>
      </c>
      <c r="AI3299">
        <v>58</v>
      </c>
      <c r="AJ3299">
        <v>0</v>
      </c>
      <c r="AK3299">
        <v>1</v>
      </c>
      <c r="AL3299">
        <v>1</v>
      </c>
      <c r="AM3299">
        <v>100</v>
      </c>
      <c r="AN3299">
        <v>143.5873</v>
      </c>
      <c r="AO3299">
        <v>0</v>
      </c>
      <c r="AP3299" s="13">
        <v>45551</v>
      </c>
      <c r="AQ3299">
        <v>8</v>
      </c>
      <c r="AR3299">
        <v>0</v>
      </c>
    </row>
    <row r="3300" spans="1:44" x14ac:dyDescent="0.35">
      <c r="A3300" s="12" t="s">
        <v>4210</v>
      </c>
      <c r="B3300" s="12" t="s">
        <v>598</v>
      </c>
      <c r="C3300" s="12" t="s">
        <v>599</v>
      </c>
      <c r="D3300" s="12" t="s">
        <v>269</v>
      </c>
      <c r="E3300" s="12" t="s">
        <v>65</v>
      </c>
      <c r="F3300">
        <v>1</v>
      </c>
      <c r="G3300">
        <v>2</v>
      </c>
      <c r="H3300">
        <v>1</v>
      </c>
      <c r="I3300" s="12" t="s">
        <v>176</v>
      </c>
      <c r="J3300" s="12" t="s">
        <v>177</v>
      </c>
      <c r="K3300" s="12" t="s">
        <v>125</v>
      </c>
      <c r="L3300" s="12" t="s">
        <v>134</v>
      </c>
      <c r="M3300">
        <v>1.75</v>
      </c>
      <c r="N3300" s="12" t="s">
        <v>135</v>
      </c>
      <c r="O3300" s="12" t="s">
        <v>136</v>
      </c>
      <c r="P3300" s="12" t="s">
        <v>137</v>
      </c>
      <c r="Q3300" s="13">
        <v>45525</v>
      </c>
      <c r="R3300" s="13">
        <v>45553</v>
      </c>
      <c r="S3300">
        <v>2024</v>
      </c>
      <c r="T3300" s="12" t="s">
        <v>4077</v>
      </c>
      <c r="U3300">
        <v>70</v>
      </c>
      <c r="V3300">
        <v>454.53089999999997</v>
      </c>
      <c r="W3300">
        <v>300.67</v>
      </c>
      <c r="X3300">
        <v>0</v>
      </c>
      <c r="Y3300">
        <v>0</v>
      </c>
      <c r="Z3300">
        <v>31817.16</v>
      </c>
      <c r="AA3300">
        <v>32117.83</v>
      </c>
      <c r="AB3300" s="12" t="s">
        <v>3102</v>
      </c>
      <c r="AC3300">
        <v>454.53089999999997</v>
      </c>
      <c r="AD3300">
        <v>1</v>
      </c>
      <c r="AE3300">
        <v>1</v>
      </c>
      <c r="AF3300">
        <v>0</v>
      </c>
      <c r="AG3300">
        <v>31817.16</v>
      </c>
      <c r="AH3300">
        <v>70</v>
      </c>
      <c r="AI3300">
        <v>70</v>
      </c>
      <c r="AJ3300">
        <v>0</v>
      </c>
      <c r="AK3300">
        <v>1</v>
      </c>
      <c r="AL3300">
        <v>1</v>
      </c>
      <c r="AM3300">
        <v>100</v>
      </c>
      <c r="AN3300">
        <v>458.82619999999997</v>
      </c>
      <c r="AO3300">
        <v>0</v>
      </c>
      <c r="AP3300" s="13">
        <v>45551</v>
      </c>
      <c r="AQ3300">
        <v>-2</v>
      </c>
      <c r="AR3300">
        <v>1</v>
      </c>
    </row>
    <row r="3301" spans="1:44" x14ac:dyDescent="0.35">
      <c r="A3301" s="12" t="s">
        <v>4211</v>
      </c>
      <c r="B3301" s="12" t="s">
        <v>876</v>
      </c>
      <c r="C3301" s="12" t="s">
        <v>877</v>
      </c>
      <c r="D3301" s="12" t="s">
        <v>269</v>
      </c>
      <c r="E3301" s="12" t="s">
        <v>142</v>
      </c>
      <c r="F3301">
        <v>3</v>
      </c>
      <c r="G3301">
        <v>11</v>
      </c>
      <c r="H3301">
        <v>0</v>
      </c>
      <c r="I3301" s="12" t="s">
        <v>310</v>
      </c>
      <c r="J3301" s="12" t="s">
        <v>311</v>
      </c>
      <c r="K3301" s="12" t="s">
        <v>81</v>
      </c>
      <c r="L3301" s="12" t="s">
        <v>69</v>
      </c>
      <c r="M3301">
        <v>28.3</v>
      </c>
      <c r="N3301" s="12" t="s">
        <v>159</v>
      </c>
      <c r="O3301" s="12" t="s">
        <v>160</v>
      </c>
      <c r="P3301" s="12" t="s">
        <v>137</v>
      </c>
      <c r="Q3301" s="13">
        <v>45525</v>
      </c>
      <c r="R3301" s="13">
        <v>45564</v>
      </c>
      <c r="S3301">
        <v>2024</v>
      </c>
      <c r="T3301" s="12" t="s">
        <v>4077</v>
      </c>
      <c r="U3301">
        <v>46</v>
      </c>
      <c r="V3301">
        <v>199.4896</v>
      </c>
      <c r="W3301">
        <v>74.67</v>
      </c>
      <c r="X3301">
        <v>0</v>
      </c>
      <c r="Y3301">
        <v>0</v>
      </c>
      <c r="Z3301">
        <v>9176.52</v>
      </c>
      <c r="AA3301">
        <v>9251.19</v>
      </c>
      <c r="AB3301" s="12" t="s">
        <v>4212</v>
      </c>
      <c r="AC3301">
        <v>199.4896</v>
      </c>
      <c r="AD3301">
        <v>1</v>
      </c>
      <c r="AE3301">
        <v>1</v>
      </c>
      <c r="AF3301">
        <v>0</v>
      </c>
      <c r="AG3301">
        <v>9176.52</v>
      </c>
      <c r="AH3301">
        <v>46</v>
      </c>
      <c r="AI3301">
        <v>46</v>
      </c>
      <c r="AJ3301">
        <v>0</v>
      </c>
      <c r="AK3301">
        <v>1</v>
      </c>
      <c r="AL3301">
        <v>1</v>
      </c>
      <c r="AM3301">
        <v>100</v>
      </c>
      <c r="AN3301">
        <v>201.1129</v>
      </c>
      <c r="AO3301">
        <v>0</v>
      </c>
      <c r="AP3301" s="13">
        <v>45561</v>
      </c>
      <c r="AQ3301">
        <v>-3</v>
      </c>
      <c r="AR3301">
        <v>1</v>
      </c>
    </row>
    <row r="3302" spans="1:44" x14ac:dyDescent="0.35">
      <c r="A3302" s="12" t="s">
        <v>4213</v>
      </c>
      <c r="B3302" s="12" t="s">
        <v>454</v>
      </c>
      <c r="C3302" s="12" t="s">
        <v>455</v>
      </c>
      <c r="D3302" s="12" t="s">
        <v>122</v>
      </c>
      <c r="E3302" s="12" t="s">
        <v>104</v>
      </c>
      <c r="F3302">
        <v>3</v>
      </c>
      <c r="G3302">
        <v>1</v>
      </c>
      <c r="H3302">
        <v>0</v>
      </c>
      <c r="I3302" s="12" t="s">
        <v>87</v>
      </c>
      <c r="J3302" s="12" t="s">
        <v>88</v>
      </c>
      <c r="K3302" s="12" t="s">
        <v>89</v>
      </c>
      <c r="L3302" s="12" t="s">
        <v>69</v>
      </c>
      <c r="M3302">
        <v>14.93</v>
      </c>
      <c r="N3302" s="12" t="s">
        <v>70</v>
      </c>
      <c r="O3302" s="12" t="s">
        <v>71</v>
      </c>
      <c r="P3302" s="12" t="s">
        <v>72</v>
      </c>
      <c r="Q3302" s="13">
        <v>45525</v>
      </c>
      <c r="R3302" s="13">
        <v>45541</v>
      </c>
      <c r="S3302">
        <v>2024</v>
      </c>
      <c r="T3302" s="12" t="s">
        <v>4077</v>
      </c>
      <c r="U3302">
        <v>613</v>
      </c>
      <c r="V3302">
        <v>21.4115</v>
      </c>
      <c r="W3302">
        <v>207.36</v>
      </c>
      <c r="X3302">
        <v>0</v>
      </c>
      <c r="Y3302">
        <v>0</v>
      </c>
      <c r="Z3302">
        <v>13125.25</v>
      </c>
      <c r="AA3302">
        <v>13332.61</v>
      </c>
      <c r="AB3302" s="12" t="s">
        <v>3124</v>
      </c>
      <c r="AC3302">
        <v>21.4115</v>
      </c>
      <c r="AD3302">
        <v>1</v>
      </c>
      <c r="AE3302">
        <v>1</v>
      </c>
      <c r="AF3302">
        <v>0</v>
      </c>
      <c r="AG3302">
        <v>13125.25</v>
      </c>
      <c r="AH3302">
        <v>613</v>
      </c>
      <c r="AI3302">
        <v>611</v>
      </c>
      <c r="AJ3302">
        <v>2</v>
      </c>
      <c r="AK3302">
        <v>1</v>
      </c>
      <c r="AL3302">
        <v>1</v>
      </c>
      <c r="AM3302">
        <v>99.67</v>
      </c>
      <c r="AN3302">
        <v>21.821000000000002</v>
      </c>
      <c r="AO3302">
        <v>42.82</v>
      </c>
      <c r="AP3302" s="13">
        <v>45538</v>
      </c>
      <c r="AQ3302">
        <v>-3</v>
      </c>
      <c r="AR3302">
        <v>1</v>
      </c>
    </row>
    <row r="3303" spans="1:44" x14ac:dyDescent="0.35">
      <c r="A3303" s="12" t="s">
        <v>4214</v>
      </c>
      <c r="B3303" s="12" t="s">
        <v>302</v>
      </c>
      <c r="C3303" s="12" t="s">
        <v>303</v>
      </c>
      <c r="D3303" s="12" t="s">
        <v>78</v>
      </c>
      <c r="E3303" s="12" t="s">
        <v>65</v>
      </c>
      <c r="F3303">
        <v>2</v>
      </c>
      <c r="G3303">
        <v>3</v>
      </c>
      <c r="H3303">
        <v>0</v>
      </c>
      <c r="I3303" s="12" t="s">
        <v>335</v>
      </c>
      <c r="J3303" s="12" t="s">
        <v>336</v>
      </c>
      <c r="K3303" s="12" t="s">
        <v>89</v>
      </c>
      <c r="L3303" s="12" t="s">
        <v>82</v>
      </c>
      <c r="M3303">
        <v>16</v>
      </c>
      <c r="N3303" s="12" t="s">
        <v>70</v>
      </c>
      <c r="O3303" s="12" t="s">
        <v>71</v>
      </c>
      <c r="P3303" s="12" t="s">
        <v>72</v>
      </c>
      <c r="Q3303" s="13">
        <v>45525</v>
      </c>
      <c r="R3303" s="13">
        <v>45553</v>
      </c>
      <c r="S3303">
        <v>2024</v>
      </c>
      <c r="T3303" s="12" t="s">
        <v>4077</v>
      </c>
      <c r="U3303">
        <v>147</v>
      </c>
      <c r="V3303">
        <v>141.08359999999999</v>
      </c>
      <c r="W3303">
        <v>171</v>
      </c>
      <c r="X3303">
        <v>0</v>
      </c>
      <c r="Y3303">
        <v>0</v>
      </c>
      <c r="Z3303">
        <v>20739.29</v>
      </c>
      <c r="AA3303">
        <v>20910.29</v>
      </c>
      <c r="AB3303" s="12" t="s">
        <v>2834</v>
      </c>
      <c r="AC3303">
        <v>141.08359999999999</v>
      </c>
      <c r="AD3303">
        <v>1</v>
      </c>
      <c r="AE3303">
        <v>1</v>
      </c>
      <c r="AF3303">
        <v>0</v>
      </c>
      <c r="AG3303">
        <v>20739.29</v>
      </c>
      <c r="AH3303">
        <v>147</v>
      </c>
      <c r="AI3303">
        <v>146</v>
      </c>
      <c r="AJ3303">
        <v>1</v>
      </c>
      <c r="AK3303">
        <v>1</v>
      </c>
      <c r="AL3303">
        <v>1</v>
      </c>
      <c r="AM3303">
        <v>99.32</v>
      </c>
      <c r="AN3303">
        <v>143.22120000000001</v>
      </c>
      <c r="AO3303">
        <v>141.08000000000001</v>
      </c>
      <c r="AP3303" s="13">
        <v>45555</v>
      </c>
      <c r="AQ3303">
        <v>2</v>
      </c>
      <c r="AR3303">
        <v>0</v>
      </c>
    </row>
    <row r="3304" spans="1:44" x14ac:dyDescent="0.35">
      <c r="A3304" s="12" t="s">
        <v>4215</v>
      </c>
      <c r="B3304" s="12" t="s">
        <v>289</v>
      </c>
      <c r="C3304" s="12" t="s">
        <v>290</v>
      </c>
      <c r="D3304" s="12" t="s">
        <v>175</v>
      </c>
      <c r="E3304" s="12" t="s">
        <v>104</v>
      </c>
      <c r="F3304">
        <v>3</v>
      </c>
      <c r="G3304">
        <v>1</v>
      </c>
      <c r="H3304">
        <v>0</v>
      </c>
      <c r="I3304" s="12" t="s">
        <v>157</v>
      </c>
      <c r="J3304" s="12" t="s">
        <v>158</v>
      </c>
      <c r="K3304" s="12" t="s">
        <v>117</v>
      </c>
      <c r="L3304" s="12" t="s">
        <v>96</v>
      </c>
      <c r="M3304">
        <v>4.72</v>
      </c>
      <c r="N3304" s="12" t="s">
        <v>107</v>
      </c>
      <c r="O3304" s="12" t="s">
        <v>108</v>
      </c>
      <c r="P3304" s="12" t="s">
        <v>109</v>
      </c>
      <c r="Q3304" s="13">
        <v>45525</v>
      </c>
      <c r="R3304" s="13">
        <v>45554</v>
      </c>
      <c r="S3304">
        <v>2024</v>
      </c>
      <c r="T3304" s="12" t="s">
        <v>4077</v>
      </c>
      <c r="U3304">
        <v>144</v>
      </c>
      <c r="V3304">
        <v>184.24529999999999</v>
      </c>
      <c r="W3304">
        <v>490.69</v>
      </c>
      <c r="X3304">
        <v>0</v>
      </c>
      <c r="Y3304">
        <v>0</v>
      </c>
      <c r="Z3304">
        <v>26531.32</v>
      </c>
      <c r="AA3304">
        <v>27022.01</v>
      </c>
      <c r="AB3304" s="12" t="s">
        <v>2676</v>
      </c>
      <c r="AC3304">
        <v>184.24529999999999</v>
      </c>
      <c r="AD3304">
        <v>1</v>
      </c>
      <c r="AE3304">
        <v>1</v>
      </c>
      <c r="AF3304">
        <v>0</v>
      </c>
      <c r="AG3304">
        <v>26531.32</v>
      </c>
      <c r="AH3304">
        <v>144</v>
      </c>
      <c r="AI3304">
        <v>143</v>
      </c>
      <c r="AJ3304">
        <v>1</v>
      </c>
      <c r="AK3304">
        <v>1</v>
      </c>
      <c r="AL3304">
        <v>1</v>
      </c>
      <c r="AM3304">
        <v>99.31</v>
      </c>
      <c r="AN3304">
        <v>188.96510000000001</v>
      </c>
      <c r="AO3304">
        <v>184.25</v>
      </c>
      <c r="AP3304" s="13">
        <v>45554</v>
      </c>
      <c r="AQ3304">
        <v>0</v>
      </c>
      <c r="AR3304">
        <v>1</v>
      </c>
    </row>
    <row r="3305" spans="1:44" x14ac:dyDescent="0.35">
      <c r="A3305" s="12" t="s">
        <v>4216</v>
      </c>
      <c r="B3305" s="12" t="s">
        <v>1042</v>
      </c>
      <c r="C3305" s="12" t="s">
        <v>1043</v>
      </c>
      <c r="D3305" s="12" t="s">
        <v>269</v>
      </c>
      <c r="E3305" s="12" t="s">
        <v>104</v>
      </c>
      <c r="F3305">
        <v>2</v>
      </c>
      <c r="G3305">
        <v>0</v>
      </c>
      <c r="H3305">
        <v>0</v>
      </c>
      <c r="I3305" s="12" t="s">
        <v>199</v>
      </c>
      <c r="J3305" s="12" t="s">
        <v>200</v>
      </c>
      <c r="K3305" s="12" t="s">
        <v>68</v>
      </c>
      <c r="L3305" s="12" t="s">
        <v>96</v>
      </c>
      <c r="M3305">
        <v>9.4700000000000006</v>
      </c>
      <c r="N3305" s="12" t="s">
        <v>159</v>
      </c>
      <c r="O3305" s="12" t="s">
        <v>160</v>
      </c>
      <c r="P3305" s="12" t="s">
        <v>137</v>
      </c>
      <c r="Q3305" s="13">
        <v>45525</v>
      </c>
      <c r="R3305" s="13">
        <v>45552</v>
      </c>
      <c r="S3305">
        <v>2024</v>
      </c>
      <c r="T3305" s="12" t="s">
        <v>4077</v>
      </c>
      <c r="U3305">
        <v>129</v>
      </c>
      <c r="V3305">
        <v>290.43689999999998</v>
      </c>
      <c r="W3305">
        <v>843.94</v>
      </c>
      <c r="X3305">
        <v>0</v>
      </c>
      <c r="Y3305">
        <v>0</v>
      </c>
      <c r="Z3305">
        <v>37466.36</v>
      </c>
      <c r="AA3305">
        <v>38310.300000000003</v>
      </c>
      <c r="AB3305" s="12" t="s">
        <v>4127</v>
      </c>
      <c r="AC3305">
        <v>290.43689999999998</v>
      </c>
      <c r="AD3305">
        <v>1</v>
      </c>
      <c r="AE3305">
        <v>1</v>
      </c>
      <c r="AF3305">
        <v>0</v>
      </c>
      <c r="AG3305">
        <v>37466.36</v>
      </c>
      <c r="AH3305">
        <v>129</v>
      </c>
      <c r="AI3305">
        <v>127</v>
      </c>
      <c r="AJ3305">
        <v>2</v>
      </c>
      <c r="AK3305">
        <v>1</v>
      </c>
      <c r="AL3305">
        <v>1</v>
      </c>
      <c r="AM3305">
        <v>98.45</v>
      </c>
      <c r="AN3305">
        <v>301.65589999999997</v>
      </c>
      <c r="AO3305">
        <v>580.87</v>
      </c>
      <c r="AP3305" s="13">
        <v>45551</v>
      </c>
      <c r="AQ3305">
        <v>-1</v>
      </c>
      <c r="AR3305">
        <v>1</v>
      </c>
    </row>
    <row r="3306" spans="1:44" x14ac:dyDescent="0.35">
      <c r="A3306" s="12" t="s">
        <v>4217</v>
      </c>
      <c r="B3306" s="12" t="s">
        <v>712</v>
      </c>
      <c r="C3306" s="12" t="s">
        <v>713</v>
      </c>
      <c r="D3306" s="12" t="s">
        <v>103</v>
      </c>
      <c r="E3306" s="12" t="s">
        <v>104</v>
      </c>
      <c r="F3306">
        <v>2</v>
      </c>
      <c r="G3306">
        <v>0</v>
      </c>
      <c r="H3306">
        <v>0</v>
      </c>
      <c r="I3306" s="12" t="s">
        <v>199</v>
      </c>
      <c r="J3306" s="12" t="s">
        <v>200</v>
      </c>
      <c r="K3306" s="12" t="s">
        <v>68</v>
      </c>
      <c r="L3306" s="12" t="s">
        <v>96</v>
      </c>
      <c r="M3306">
        <v>9.4700000000000006</v>
      </c>
      <c r="N3306" s="12" t="s">
        <v>145</v>
      </c>
      <c r="O3306" s="12" t="s">
        <v>146</v>
      </c>
      <c r="P3306" s="12" t="s">
        <v>109</v>
      </c>
      <c r="Q3306" s="13">
        <v>45525</v>
      </c>
      <c r="R3306" s="13">
        <v>45544</v>
      </c>
      <c r="S3306">
        <v>2024</v>
      </c>
      <c r="T3306" s="12" t="s">
        <v>4077</v>
      </c>
      <c r="U3306">
        <v>68</v>
      </c>
      <c r="V3306">
        <v>231.62309999999999</v>
      </c>
      <c r="W3306">
        <v>234.25</v>
      </c>
      <c r="X3306">
        <v>0</v>
      </c>
      <c r="Y3306">
        <v>0</v>
      </c>
      <c r="Z3306">
        <v>15750.37</v>
      </c>
      <c r="AA3306">
        <v>15984.62</v>
      </c>
      <c r="AB3306" s="12" t="s">
        <v>201</v>
      </c>
      <c r="AD3306">
        <v>0</v>
      </c>
      <c r="AE3306">
        <v>0</v>
      </c>
      <c r="AH3306">
        <v>68</v>
      </c>
      <c r="AI3306">
        <v>67</v>
      </c>
      <c r="AJ3306">
        <v>1</v>
      </c>
      <c r="AK3306">
        <v>1</v>
      </c>
      <c r="AL3306">
        <v>1</v>
      </c>
      <c r="AM3306">
        <v>98.53</v>
      </c>
      <c r="AN3306">
        <v>238.57640000000001</v>
      </c>
      <c r="AO3306">
        <v>231.62</v>
      </c>
      <c r="AP3306" s="13">
        <v>45540</v>
      </c>
      <c r="AQ3306">
        <v>-4</v>
      </c>
      <c r="AR3306">
        <v>1</v>
      </c>
    </row>
    <row r="3307" spans="1:44" x14ac:dyDescent="0.35">
      <c r="A3307" s="12" t="s">
        <v>4218</v>
      </c>
      <c r="B3307" s="12" t="s">
        <v>674</v>
      </c>
      <c r="C3307" s="12" t="s">
        <v>675</v>
      </c>
      <c r="D3307" s="12" t="s">
        <v>269</v>
      </c>
      <c r="E3307" s="12" t="s">
        <v>142</v>
      </c>
      <c r="F3307">
        <v>1</v>
      </c>
      <c r="G3307">
        <v>7</v>
      </c>
      <c r="H3307">
        <v>1</v>
      </c>
      <c r="I3307" s="12" t="s">
        <v>676</v>
      </c>
      <c r="J3307" s="12" t="s">
        <v>677</v>
      </c>
      <c r="K3307" s="12" t="s">
        <v>68</v>
      </c>
      <c r="L3307" s="12" t="s">
        <v>96</v>
      </c>
      <c r="M3307">
        <v>3.57</v>
      </c>
      <c r="N3307" s="12" t="s">
        <v>135</v>
      </c>
      <c r="O3307" s="12" t="s">
        <v>136</v>
      </c>
      <c r="P3307" s="12" t="s">
        <v>137</v>
      </c>
      <c r="Q3307" s="13">
        <v>45526</v>
      </c>
      <c r="R3307" s="13">
        <v>45572</v>
      </c>
      <c r="S3307">
        <v>2024</v>
      </c>
      <c r="T3307" s="12" t="s">
        <v>4077</v>
      </c>
      <c r="U3307">
        <v>98</v>
      </c>
      <c r="V3307">
        <v>395.76769999999999</v>
      </c>
      <c r="W3307">
        <v>519.37</v>
      </c>
      <c r="X3307">
        <v>0</v>
      </c>
      <c r="Y3307">
        <v>0</v>
      </c>
      <c r="Z3307">
        <v>38785.230000000003</v>
      </c>
      <c r="AA3307">
        <v>39304.6</v>
      </c>
      <c r="AB3307" s="12" t="s">
        <v>201</v>
      </c>
      <c r="AD3307">
        <v>0</v>
      </c>
      <c r="AE3307">
        <v>0</v>
      </c>
      <c r="AH3307">
        <v>98</v>
      </c>
      <c r="AI3307">
        <v>97</v>
      </c>
      <c r="AJ3307">
        <v>1</v>
      </c>
      <c r="AK3307">
        <v>1</v>
      </c>
      <c r="AL3307">
        <v>1</v>
      </c>
      <c r="AM3307">
        <v>98.98</v>
      </c>
      <c r="AN3307">
        <v>405.20209999999997</v>
      </c>
      <c r="AO3307">
        <v>395.77</v>
      </c>
      <c r="AP3307" s="13">
        <v>45570</v>
      </c>
      <c r="AQ3307">
        <v>-2</v>
      </c>
      <c r="AR3307">
        <v>1</v>
      </c>
    </row>
    <row r="3308" spans="1:44" x14ac:dyDescent="0.35">
      <c r="A3308" s="12" t="s">
        <v>4219</v>
      </c>
      <c r="B3308" s="12" t="s">
        <v>149</v>
      </c>
      <c r="C3308" s="12" t="s">
        <v>150</v>
      </c>
      <c r="D3308" s="12" t="s">
        <v>78</v>
      </c>
      <c r="E3308" s="12" t="s">
        <v>65</v>
      </c>
      <c r="F3308">
        <v>2</v>
      </c>
      <c r="G3308">
        <v>2</v>
      </c>
      <c r="H3308">
        <v>0</v>
      </c>
      <c r="I3308" s="12" t="s">
        <v>151</v>
      </c>
      <c r="J3308" s="12" t="s">
        <v>152</v>
      </c>
      <c r="K3308" s="12" t="s">
        <v>125</v>
      </c>
      <c r="L3308" s="12" t="s">
        <v>69</v>
      </c>
      <c r="M3308">
        <v>36.479999999999997</v>
      </c>
      <c r="N3308" s="12" t="s">
        <v>97</v>
      </c>
      <c r="O3308" s="12" t="s">
        <v>98</v>
      </c>
      <c r="P3308" s="12" t="s">
        <v>72</v>
      </c>
      <c r="Q3308" s="13">
        <v>45526</v>
      </c>
      <c r="R3308" s="13">
        <v>45557</v>
      </c>
      <c r="S3308">
        <v>2024</v>
      </c>
      <c r="T3308" s="12" t="s">
        <v>4077</v>
      </c>
      <c r="U3308">
        <v>197</v>
      </c>
      <c r="V3308">
        <v>70.838700000000003</v>
      </c>
      <c r="W3308">
        <v>237.41</v>
      </c>
      <c r="X3308">
        <v>0</v>
      </c>
      <c r="Y3308">
        <v>0</v>
      </c>
      <c r="Z3308">
        <v>13955.22</v>
      </c>
      <c r="AA3308">
        <v>14192.63</v>
      </c>
      <c r="AB3308" s="12" t="s">
        <v>2546</v>
      </c>
      <c r="AC3308">
        <v>70.838700000000003</v>
      </c>
      <c r="AD3308">
        <v>1</v>
      </c>
      <c r="AE3308">
        <v>1</v>
      </c>
      <c r="AF3308">
        <v>0</v>
      </c>
      <c r="AG3308">
        <v>13955.22</v>
      </c>
      <c r="AH3308">
        <v>197</v>
      </c>
      <c r="AI3308">
        <v>195</v>
      </c>
      <c r="AJ3308">
        <v>2</v>
      </c>
      <c r="AK3308">
        <v>1</v>
      </c>
      <c r="AL3308">
        <v>1</v>
      </c>
      <c r="AM3308">
        <v>98.98</v>
      </c>
      <c r="AN3308">
        <v>72.782700000000006</v>
      </c>
      <c r="AO3308">
        <v>141.68</v>
      </c>
      <c r="AP3308" s="13">
        <v>45557</v>
      </c>
      <c r="AQ3308">
        <v>0</v>
      </c>
      <c r="AR3308">
        <v>1</v>
      </c>
    </row>
    <row r="3309" spans="1:44" x14ac:dyDescent="0.35">
      <c r="A3309" s="12" t="s">
        <v>4220</v>
      </c>
      <c r="B3309" s="12" t="s">
        <v>317</v>
      </c>
      <c r="C3309" s="12" t="s">
        <v>318</v>
      </c>
      <c r="D3309" s="12" t="s">
        <v>64</v>
      </c>
      <c r="E3309" s="12" t="s">
        <v>104</v>
      </c>
      <c r="F3309">
        <v>2</v>
      </c>
      <c r="G3309">
        <v>0</v>
      </c>
      <c r="H3309">
        <v>0</v>
      </c>
      <c r="I3309" s="12" t="s">
        <v>169</v>
      </c>
      <c r="J3309" s="12" t="s">
        <v>170</v>
      </c>
      <c r="K3309" s="12" t="s">
        <v>89</v>
      </c>
      <c r="L3309" s="12" t="s">
        <v>134</v>
      </c>
      <c r="M3309">
        <v>1.37</v>
      </c>
      <c r="N3309" s="12" t="s">
        <v>70</v>
      </c>
      <c r="O3309" s="12" t="s">
        <v>71</v>
      </c>
      <c r="P3309" s="12" t="s">
        <v>72</v>
      </c>
      <c r="Q3309" s="13">
        <v>45526</v>
      </c>
      <c r="R3309" s="13">
        <v>45550</v>
      </c>
      <c r="S3309">
        <v>2024</v>
      </c>
      <c r="T3309" s="12" t="s">
        <v>4077</v>
      </c>
      <c r="U3309">
        <v>710</v>
      </c>
      <c r="V3309">
        <v>15.835699999999999</v>
      </c>
      <c r="W3309">
        <v>204.15</v>
      </c>
      <c r="X3309">
        <v>0</v>
      </c>
      <c r="Y3309">
        <v>0</v>
      </c>
      <c r="Z3309">
        <v>11243.35</v>
      </c>
      <c r="AA3309">
        <v>11447.5</v>
      </c>
      <c r="AB3309" s="12" t="s">
        <v>3006</v>
      </c>
      <c r="AC3309">
        <v>15.835699999999999</v>
      </c>
      <c r="AD3309">
        <v>1</v>
      </c>
      <c r="AE3309">
        <v>1</v>
      </c>
      <c r="AF3309">
        <v>0</v>
      </c>
      <c r="AG3309">
        <v>11243.35</v>
      </c>
      <c r="AH3309">
        <v>710</v>
      </c>
      <c r="AI3309">
        <v>708</v>
      </c>
      <c r="AJ3309">
        <v>2</v>
      </c>
      <c r="AK3309">
        <v>1</v>
      </c>
      <c r="AL3309">
        <v>1</v>
      </c>
      <c r="AM3309">
        <v>99.72</v>
      </c>
      <c r="AN3309">
        <v>16.168800000000001</v>
      </c>
      <c r="AO3309">
        <v>31.67</v>
      </c>
      <c r="AP3309" s="13">
        <v>45547</v>
      </c>
      <c r="AQ3309">
        <v>-3</v>
      </c>
      <c r="AR3309">
        <v>1</v>
      </c>
    </row>
    <row r="3310" spans="1:44" x14ac:dyDescent="0.35">
      <c r="A3310" s="12" t="s">
        <v>4221</v>
      </c>
      <c r="B3310" s="12" t="s">
        <v>404</v>
      </c>
      <c r="C3310" s="12" t="s">
        <v>405</v>
      </c>
      <c r="D3310" s="12" t="s">
        <v>269</v>
      </c>
      <c r="E3310" s="12" t="s">
        <v>65</v>
      </c>
      <c r="F3310">
        <v>3</v>
      </c>
      <c r="G3310">
        <v>5</v>
      </c>
      <c r="H3310">
        <v>0</v>
      </c>
      <c r="I3310" s="12" t="s">
        <v>79</v>
      </c>
      <c r="J3310" s="12" t="s">
        <v>80</v>
      </c>
      <c r="K3310" s="12" t="s">
        <v>81</v>
      </c>
      <c r="L3310" s="12" t="s">
        <v>82</v>
      </c>
      <c r="M3310">
        <v>12.07</v>
      </c>
      <c r="N3310" s="12" t="s">
        <v>135</v>
      </c>
      <c r="O3310" s="12" t="s">
        <v>136</v>
      </c>
      <c r="P3310" s="12" t="s">
        <v>137</v>
      </c>
      <c r="Q3310" s="13">
        <v>45526</v>
      </c>
      <c r="R3310" s="13">
        <v>45561</v>
      </c>
      <c r="S3310">
        <v>2024</v>
      </c>
      <c r="T3310" s="12" t="s">
        <v>4077</v>
      </c>
      <c r="U3310">
        <v>120</v>
      </c>
      <c r="V3310">
        <v>449.21249999999998</v>
      </c>
      <c r="W3310">
        <v>1158.72</v>
      </c>
      <c r="X3310">
        <v>0</v>
      </c>
      <c r="Y3310">
        <v>0</v>
      </c>
      <c r="Z3310">
        <v>53905.5</v>
      </c>
      <c r="AA3310">
        <v>55064.22</v>
      </c>
      <c r="AB3310" s="12" t="s">
        <v>2910</v>
      </c>
      <c r="AC3310">
        <v>430.2559</v>
      </c>
      <c r="AD3310">
        <v>1</v>
      </c>
      <c r="AE3310">
        <v>1</v>
      </c>
      <c r="AF3310">
        <v>2274.79</v>
      </c>
      <c r="AG3310">
        <v>51630.71</v>
      </c>
      <c r="AH3310">
        <v>120</v>
      </c>
      <c r="AI3310">
        <v>119</v>
      </c>
      <c r="AJ3310">
        <v>1</v>
      </c>
      <c r="AK3310">
        <v>1</v>
      </c>
      <c r="AL3310">
        <v>1</v>
      </c>
      <c r="AM3310">
        <v>99.17</v>
      </c>
      <c r="AN3310">
        <v>462.72449999999998</v>
      </c>
      <c r="AO3310">
        <v>449.21</v>
      </c>
      <c r="AP3310" s="13">
        <v>45561</v>
      </c>
      <c r="AQ3310">
        <v>0</v>
      </c>
      <c r="AR3310">
        <v>1</v>
      </c>
    </row>
    <row r="3311" spans="1:44" x14ac:dyDescent="0.35">
      <c r="A3311" s="12" t="s">
        <v>4222</v>
      </c>
      <c r="B3311" s="12" t="s">
        <v>101</v>
      </c>
      <c r="C3311" s="12" t="s">
        <v>102</v>
      </c>
      <c r="D3311" s="12" t="s">
        <v>103</v>
      </c>
      <c r="E3311" s="12" t="s">
        <v>104</v>
      </c>
      <c r="F3311">
        <v>1</v>
      </c>
      <c r="G3311">
        <v>0</v>
      </c>
      <c r="H3311">
        <v>1</v>
      </c>
      <c r="I3311" s="12" t="s">
        <v>105</v>
      </c>
      <c r="J3311" s="12" t="s">
        <v>106</v>
      </c>
      <c r="K3311" s="12" t="s">
        <v>81</v>
      </c>
      <c r="L3311" s="12" t="s">
        <v>96</v>
      </c>
      <c r="M3311">
        <v>5.01</v>
      </c>
      <c r="N3311" s="12" t="s">
        <v>145</v>
      </c>
      <c r="O3311" s="12" t="s">
        <v>146</v>
      </c>
      <c r="P3311" s="12" t="s">
        <v>109</v>
      </c>
      <c r="Q3311" s="13">
        <v>45526</v>
      </c>
      <c r="R3311" s="13">
        <v>45540</v>
      </c>
      <c r="S3311">
        <v>2024</v>
      </c>
      <c r="T3311" s="12" t="s">
        <v>4077</v>
      </c>
      <c r="U3311">
        <v>29</v>
      </c>
      <c r="V3311">
        <v>205.32499999999999</v>
      </c>
      <c r="W3311">
        <v>135.07</v>
      </c>
      <c r="X3311">
        <v>0</v>
      </c>
      <c r="Y3311">
        <v>0</v>
      </c>
      <c r="Z3311">
        <v>5954.43</v>
      </c>
      <c r="AA3311">
        <v>6089.5</v>
      </c>
      <c r="AB3311" s="12" t="s">
        <v>2866</v>
      </c>
      <c r="AC3311">
        <v>205.32499999999999</v>
      </c>
      <c r="AD3311">
        <v>1</v>
      </c>
      <c r="AE3311">
        <v>1</v>
      </c>
      <c r="AF3311">
        <v>0</v>
      </c>
      <c r="AG3311">
        <v>5954.43</v>
      </c>
      <c r="AH3311">
        <v>29</v>
      </c>
      <c r="AI3311">
        <v>29</v>
      </c>
      <c r="AJ3311">
        <v>0</v>
      </c>
      <c r="AK3311">
        <v>1</v>
      </c>
      <c r="AL3311">
        <v>1</v>
      </c>
      <c r="AM3311">
        <v>100</v>
      </c>
      <c r="AN3311">
        <v>209.98259999999999</v>
      </c>
      <c r="AO3311">
        <v>0</v>
      </c>
      <c r="AP3311" s="13">
        <v>45539</v>
      </c>
      <c r="AQ3311">
        <v>-1</v>
      </c>
      <c r="AR3311">
        <v>1</v>
      </c>
    </row>
    <row r="3312" spans="1:44" x14ac:dyDescent="0.35">
      <c r="A3312" s="12" t="s">
        <v>4223</v>
      </c>
      <c r="B3312" s="12" t="s">
        <v>437</v>
      </c>
      <c r="C3312" s="12" t="s">
        <v>438</v>
      </c>
      <c r="D3312" s="12" t="s">
        <v>269</v>
      </c>
      <c r="E3312" s="12" t="s">
        <v>65</v>
      </c>
      <c r="F3312">
        <v>2</v>
      </c>
      <c r="G3312">
        <v>4</v>
      </c>
      <c r="H3312">
        <v>0</v>
      </c>
      <c r="I3312" s="12" t="s">
        <v>183</v>
      </c>
      <c r="J3312" s="12" t="s">
        <v>184</v>
      </c>
      <c r="K3312" s="12" t="s">
        <v>133</v>
      </c>
      <c r="L3312" s="12" t="s">
        <v>82</v>
      </c>
      <c r="M3312">
        <v>8.6199999999999992</v>
      </c>
      <c r="N3312" s="12" t="s">
        <v>159</v>
      </c>
      <c r="O3312" s="12" t="s">
        <v>160</v>
      </c>
      <c r="P3312" s="12" t="s">
        <v>137</v>
      </c>
      <c r="Q3312" s="13">
        <v>45526</v>
      </c>
      <c r="R3312" s="13">
        <v>45557</v>
      </c>
      <c r="S3312">
        <v>2024</v>
      </c>
      <c r="T3312" s="12" t="s">
        <v>4077</v>
      </c>
      <c r="U3312">
        <v>88</v>
      </c>
      <c r="V3312">
        <v>430.72949999999997</v>
      </c>
      <c r="W3312">
        <v>386.85</v>
      </c>
      <c r="X3312">
        <v>0</v>
      </c>
      <c r="Y3312">
        <v>0</v>
      </c>
      <c r="Z3312">
        <v>37904.199999999997</v>
      </c>
      <c r="AA3312">
        <v>38291.050000000003</v>
      </c>
      <c r="AB3312" s="12" t="s">
        <v>3513</v>
      </c>
      <c r="AC3312">
        <v>430.72949999999997</v>
      </c>
      <c r="AD3312">
        <v>1</v>
      </c>
      <c r="AE3312">
        <v>1</v>
      </c>
      <c r="AF3312">
        <v>0</v>
      </c>
      <c r="AG3312">
        <v>37904.199999999997</v>
      </c>
      <c r="AH3312">
        <v>88</v>
      </c>
      <c r="AI3312">
        <v>87</v>
      </c>
      <c r="AJ3312">
        <v>1</v>
      </c>
      <c r="AK3312">
        <v>1</v>
      </c>
      <c r="AL3312">
        <v>1</v>
      </c>
      <c r="AM3312">
        <v>98.86</v>
      </c>
      <c r="AN3312">
        <v>440.12700000000001</v>
      </c>
      <c r="AO3312">
        <v>430.73</v>
      </c>
      <c r="AP3312" s="13">
        <v>45554</v>
      </c>
      <c r="AQ3312">
        <v>-3</v>
      </c>
      <c r="AR3312">
        <v>1</v>
      </c>
    </row>
    <row r="3313" spans="1:44" x14ac:dyDescent="0.35">
      <c r="A3313" s="12" t="s">
        <v>4224</v>
      </c>
      <c r="B3313" s="12" t="s">
        <v>630</v>
      </c>
      <c r="C3313" s="12" t="s">
        <v>631</v>
      </c>
      <c r="D3313" s="12" t="s">
        <v>130</v>
      </c>
      <c r="E3313" s="12" t="s">
        <v>65</v>
      </c>
      <c r="F3313">
        <v>1</v>
      </c>
      <c r="G3313">
        <v>2</v>
      </c>
      <c r="H3313">
        <v>1</v>
      </c>
      <c r="I3313" s="12" t="s">
        <v>335</v>
      </c>
      <c r="J3313" s="12" t="s">
        <v>336</v>
      </c>
      <c r="K3313" s="12" t="s">
        <v>89</v>
      </c>
      <c r="L3313" s="12" t="s">
        <v>82</v>
      </c>
      <c r="M3313">
        <v>16</v>
      </c>
      <c r="N3313" s="12" t="s">
        <v>135</v>
      </c>
      <c r="O3313" s="12" t="s">
        <v>136</v>
      </c>
      <c r="P3313" s="12" t="s">
        <v>137</v>
      </c>
      <c r="Q3313" s="13">
        <v>45526</v>
      </c>
      <c r="R3313" s="13">
        <v>45559</v>
      </c>
      <c r="S3313">
        <v>2024</v>
      </c>
      <c r="T3313" s="12" t="s">
        <v>4077</v>
      </c>
      <c r="U3313">
        <v>108</v>
      </c>
      <c r="V3313">
        <v>446.36720000000003</v>
      </c>
      <c r="W3313">
        <v>945.32</v>
      </c>
      <c r="X3313">
        <v>0</v>
      </c>
      <c r="Y3313">
        <v>0</v>
      </c>
      <c r="Z3313">
        <v>48207.66</v>
      </c>
      <c r="AA3313">
        <v>49152.98</v>
      </c>
      <c r="AB3313" s="12" t="s">
        <v>2944</v>
      </c>
      <c r="AC3313">
        <v>446.36720000000003</v>
      </c>
      <c r="AD3313">
        <v>1</v>
      </c>
      <c r="AE3313">
        <v>1</v>
      </c>
      <c r="AF3313">
        <v>0</v>
      </c>
      <c r="AG3313">
        <v>48207.66</v>
      </c>
      <c r="AH3313">
        <v>108</v>
      </c>
      <c r="AI3313">
        <v>107</v>
      </c>
      <c r="AJ3313">
        <v>1</v>
      </c>
      <c r="AK3313">
        <v>1</v>
      </c>
      <c r="AL3313">
        <v>1</v>
      </c>
      <c r="AM3313">
        <v>99.07</v>
      </c>
      <c r="AN3313">
        <v>459.37360000000001</v>
      </c>
      <c r="AO3313">
        <v>446.37</v>
      </c>
      <c r="AP3313" s="13">
        <v>45560</v>
      </c>
      <c r="AQ3313">
        <v>1</v>
      </c>
      <c r="AR3313">
        <v>0</v>
      </c>
    </row>
    <row r="3314" spans="1:44" x14ac:dyDescent="0.35">
      <c r="A3314" s="12" t="s">
        <v>4225</v>
      </c>
      <c r="B3314" s="12" t="s">
        <v>465</v>
      </c>
      <c r="C3314" s="12" t="s">
        <v>466</v>
      </c>
      <c r="D3314" s="12" t="s">
        <v>78</v>
      </c>
      <c r="E3314" s="12" t="s">
        <v>142</v>
      </c>
      <c r="F3314">
        <v>3</v>
      </c>
      <c r="G3314">
        <v>11</v>
      </c>
      <c r="H3314">
        <v>0</v>
      </c>
      <c r="I3314" s="12" t="s">
        <v>341</v>
      </c>
      <c r="J3314" s="12" t="s">
        <v>342</v>
      </c>
      <c r="K3314" s="12" t="s">
        <v>117</v>
      </c>
      <c r="L3314" s="12" t="s">
        <v>82</v>
      </c>
      <c r="M3314">
        <v>18.36</v>
      </c>
      <c r="N3314" s="12" t="s">
        <v>97</v>
      </c>
      <c r="O3314" s="12" t="s">
        <v>98</v>
      </c>
      <c r="P3314" s="12" t="s">
        <v>72</v>
      </c>
      <c r="Q3314" s="13">
        <v>45526</v>
      </c>
      <c r="R3314" s="13">
        <v>45578</v>
      </c>
      <c r="S3314">
        <v>2024</v>
      </c>
      <c r="T3314" s="12" t="s">
        <v>4077</v>
      </c>
      <c r="U3314">
        <v>298</v>
      </c>
      <c r="V3314">
        <v>108.0436</v>
      </c>
      <c r="W3314">
        <v>829.11</v>
      </c>
      <c r="X3314">
        <v>0</v>
      </c>
      <c r="Y3314">
        <v>0</v>
      </c>
      <c r="Z3314">
        <v>32196.99</v>
      </c>
      <c r="AA3314">
        <v>33026.1</v>
      </c>
      <c r="AB3314" s="12" t="s">
        <v>3051</v>
      </c>
      <c r="AC3314">
        <v>108.0436</v>
      </c>
      <c r="AD3314">
        <v>1</v>
      </c>
      <c r="AE3314">
        <v>1</v>
      </c>
      <c r="AF3314">
        <v>0</v>
      </c>
      <c r="AG3314">
        <v>32196.99</v>
      </c>
      <c r="AH3314">
        <v>298</v>
      </c>
      <c r="AI3314">
        <v>291</v>
      </c>
      <c r="AJ3314">
        <v>7</v>
      </c>
      <c r="AK3314">
        <v>1</v>
      </c>
      <c r="AL3314">
        <v>1</v>
      </c>
      <c r="AM3314">
        <v>97.65</v>
      </c>
      <c r="AN3314">
        <v>113.4918</v>
      </c>
      <c r="AO3314">
        <v>756.31</v>
      </c>
      <c r="AP3314" s="13">
        <v>45581</v>
      </c>
      <c r="AQ3314">
        <v>3</v>
      </c>
      <c r="AR3314">
        <v>0</v>
      </c>
    </row>
    <row r="3315" spans="1:44" x14ac:dyDescent="0.35">
      <c r="A3315" s="12" t="s">
        <v>4226</v>
      </c>
      <c r="B3315" s="12" t="s">
        <v>909</v>
      </c>
      <c r="C3315" s="12" t="s">
        <v>910</v>
      </c>
      <c r="D3315" s="12" t="s">
        <v>269</v>
      </c>
      <c r="E3315" s="12" t="s">
        <v>65</v>
      </c>
      <c r="F3315">
        <v>3</v>
      </c>
      <c r="G3315">
        <v>4</v>
      </c>
      <c r="H3315">
        <v>0</v>
      </c>
      <c r="I3315" s="12" t="s">
        <v>199</v>
      </c>
      <c r="J3315" s="12" t="s">
        <v>200</v>
      </c>
      <c r="K3315" s="12" t="s">
        <v>68</v>
      </c>
      <c r="L3315" s="12" t="s">
        <v>96</v>
      </c>
      <c r="M3315">
        <v>9.4700000000000006</v>
      </c>
      <c r="N3315" s="12" t="s">
        <v>135</v>
      </c>
      <c r="O3315" s="12" t="s">
        <v>136</v>
      </c>
      <c r="P3315" s="12" t="s">
        <v>137</v>
      </c>
      <c r="Q3315" s="13">
        <v>45526</v>
      </c>
      <c r="R3315" s="13">
        <v>45548</v>
      </c>
      <c r="S3315">
        <v>2024</v>
      </c>
      <c r="T3315" s="12" t="s">
        <v>4077</v>
      </c>
      <c r="U3315">
        <v>23</v>
      </c>
      <c r="V3315">
        <v>105.6481</v>
      </c>
      <c r="W3315">
        <v>29.88</v>
      </c>
      <c r="X3315">
        <v>0</v>
      </c>
      <c r="Y3315">
        <v>0</v>
      </c>
      <c r="Z3315">
        <v>2429.91</v>
      </c>
      <c r="AA3315">
        <v>2459.79</v>
      </c>
      <c r="AB3315" s="12" t="s">
        <v>3479</v>
      </c>
      <c r="AC3315">
        <v>105.6481</v>
      </c>
      <c r="AD3315">
        <v>1</v>
      </c>
      <c r="AE3315">
        <v>1</v>
      </c>
      <c r="AF3315">
        <v>0</v>
      </c>
      <c r="AG3315">
        <v>2429.91</v>
      </c>
      <c r="AH3315">
        <v>23</v>
      </c>
      <c r="AI3315">
        <v>23</v>
      </c>
      <c r="AJ3315">
        <v>0</v>
      </c>
      <c r="AK3315">
        <v>1</v>
      </c>
      <c r="AL3315">
        <v>1</v>
      </c>
      <c r="AM3315">
        <v>100</v>
      </c>
      <c r="AN3315">
        <v>106.9472</v>
      </c>
      <c r="AO3315">
        <v>0</v>
      </c>
      <c r="AP3315" s="13">
        <v>45548</v>
      </c>
      <c r="AQ3315">
        <v>0</v>
      </c>
      <c r="AR3315">
        <v>1</v>
      </c>
    </row>
    <row r="3316" spans="1:44" x14ac:dyDescent="0.35">
      <c r="A3316" s="12" t="s">
        <v>4227</v>
      </c>
      <c r="B3316" s="12" t="s">
        <v>755</v>
      </c>
      <c r="C3316" s="12" t="s">
        <v>756</v>
      </c>
      <c r="D3316" s="12" t="s">
        <v>78</v>
      </c>
      <c r="E3316" s="12" t="s">
        <v>65</v>
      </c>
      <c r="F3316">
        <v>2</v>
      </c>
      <c r="G3316">
        <v>2</v>
      </c>
      <c r="H3316">
        <v>0</v>
      </c>
      <c r="I3316" s="12" t="s">
        <v>359</v>
      </c>
      <c r="J3316" s="12" t="s">
        <v>360</v>
      </c>
      <c r="K3316" s="12" t="s">
        <v>133</v>
      </c>
      <c r="L3316" s="12" t="s">
        <v>82</v>
      </c>
      <c r="M3316">
        <v>12.65</v>
      </c>
      <c r="N3316" s="12" t="s">
        <v>70</v>
      </c>
      <c r="O3316" s="12" t="s">
        <v>71</v>
      </c>
      <c r="P3316" s="12" t="s">
        <v>72</v>
      </c>
      <c r="Q3316" s="13">
        <v>45526</v>
      </c>
      <c r="R3316" s="13">
        <v>45562</v>
      </c>
      <c r="S3316">
        <v>2024</v>
      </c>
      <c r="T3316" s="12" t="s">
        <v>4077</v>
      </c>
      <c r="U3316">
        <v>260</v>
      </c>
      <c r="V3316">
        <v>40.578499999999998</v>
      </c>
      <c r="W3316">
        <v>245.95</v>
      </c>
      <c r="X3316">
        <v>0</v>
      </c>
      <c r="Y3316">
        <v>0</v>
      </c>
      <c r="Z3316">
        <v>10550.41</v>
      </c>
      <c r="AA3316">
        <v>10796.36</v>
      </c>
      <c r="AB3316" s="12" t="s">
        <v>3414</v>
      </c>
      <c r="AC3316">
        <v>43.122799999999998</v>
      </c>
      <c r="AD3316">
        <v>1</v>
      </c>
      <c r="AE3316">
        <v>1</v>
      </c>
      <c r="AF3316">
        <v>-661.52</v>
      </c>
      <c r="AG3316">
        <v>11211.93</v>
      </c>
      <c r="AH3316">
        <v>260</v>
      </c>
      <c r="AI3316">
        <v>253</v>
      </c>
      <c r="AJ3316">
        <v>7</v>
      </c>
      <c r="AK3316">
        <v>1</v>
      </c>
      <c r="AL3316">
        <v>1</v>
      </c>
      <c r="AM3316">
        <v>97.31</v>
      </c>
      <c r="AN3316">
        <v>42.673400000000001</v>
      </c>
      <c r="AO3316">
        <v>284.05</v>
      </c>
      <c r="AP3316" s="13">
        <v>45561</v>
      </c>
      <c r="AQ3316">
        <v>-1</v>
      </c>
      <c r="AR3316">
        <v>1</v>
      </c>
    </row>
    <row r="3317" spans="1:44" x14ac:dyDescent="0.35">
      <c r="A3317" s="12" t="s">
        <v>4228</v>
      </c>
      <c r="B3317" s="12" t="s">
        <v>173</v>
      </c>
      <c r="C3317" s="12" t="s">
        <v>174</v>
      </c>
      <c r="D3317" s="12" t="s">
        <v>175</v>
      </c>
      <c r="E3317" s="12" t="s">
        <v>104</v>
      </c>
      <c r="F3317">
        <v>3</v>
      </c>
      <c r="G3317">
        <v>1</v>
      </c>
      <c r="H3317">
        <v>0</v>
      </c>
      <c r="I3317" s="12" t="s">
        <v>227</v>
      </c>
      <c r="J3317" s="12" t="s">
        <v>228</v>
      </c>
      <c r="K3317" s="12" t="s">
        <v>89</v>
      </c>
      <c r="L3317" s="12" t="s">
        <v>96</v>
      </c>
      <c r="M3317">
        <v>9.15</v>
      </c>
      <c r="N3317" s="12" t="s">
        <v>145</v>
      </c>
      <c r="O3317" s="12" t="s">
        <v>146</v>
      </c>
      <c r="P3317" s="12" t="s">
        <v>109</v>
      </c>
      <c r="Q3317" s="13">
        <v>45526</v>
      </c>
      <c r="R3317" s="13">
        <v>45551</v>
      </c>
      <c r="S3317">
        <v>2024</v>
      </c>
      <c r="T3317" s="12" t="s">
        <v>4077</v>
      </c>
      <c r="U3317">
        <v>111</v>
      </c>
      <c r="V3317">
        <v>79.944699999999997</v>
      </c>
      <c r="W3317">
        <v>96.65</v>
      </c>
      <c r="X3317">
        <v>0</v>
      </c>
      <c r="Y3317">
        <v>0</v>
      </c>
      <c r="Z3317">
        <v>8873.86</v>
      </c>
      <c r="AA3317">
        <v>8970.51</v>
      </c>
      <c r="AB3317" s="12" t="s">
        <v>3662</v>
      </c>
      <c r="AC3317">
        <v>79.944699999999997</v>
      </c>
      <c r="AD3317">
        <v>1</v>
      </c>
      <c r="AE3317">
        <v>1</v>
      </c>
      <c r="AF3317">
        <v>0</v>
      </c>
      <c r="AG3317">
        <v>8873.86</v>
      </c>
      <c r="AH3317">
        <v>111</v>
      </c>
      <c r="AI3317">
        <v>111</v>
      </c>
      <c r="AJ3317">
        <v>0</v>
      </c>
      <c r="AK3317">
        <v>1</v>
      </c>
      <c r="AL3317">
        <v>1</v>
      </c>
      <c r="AM3317">
        <v>100</v>
      </c>
      <c r="AN3317">
        <v>80.815399999999997</v>
      </c>
      <c r="AO3317">
        <v>0</v>
      </c>
      <c r="AP3317" s="13">
        <v>45549</v>
      </c>
      <c r="AQ3317">
        <v>-2</v>
      </c>
      <c r="AR3317">
        <v>1</v>
      </c>
    </row>
    <row r="3318" spans="1:44" x14ac:dyDescent="0.35">
      <c r="A3318" s="12" t="s">
        <v>4229</v>
      </c>
      <c r="B3318" s="12" t="s">
        <v>490</v>
      </c>
      <c r="C3318" s="12" t="s">
        <v>491</v>
      </c>
      <c r="D3318" s="12" t="s">
        <v>130</v>
      </c>
      <c r="E3318" s="12" t="s">
        <v>104</v>
      </c>
      <c r="F3318">
        <v>3</v>
      </c>
      <c r="G3318">
        <v>1</v>
      </c>
      <c r="H3318">
        <v>0</v>
      </c>
      <c r="I3318" s="12" t="s">
        <v>176</v>
      </c>
      <c r="J3318" s="12" t="s">
        <v>177</v>
      </c>
      <c r="K3318" s="12" t="s">
        <v>125</v>
      </c>
      <c r="L3318" s="12" t="s">
        <v>134</v>
      </c>
      <c r="M3318">
        <v>1.75</v>
      </c>
      <c r="N3318" s="12" t="s">
        <v>135</v>
      </c>
      <c r="O3318" s="12" t="s">
        <v>136</v>
      </c>
      <c r="P3318" s="12" t="s">
        <v>137</v>
      </c>
      <c r="Q3318" s="13">
        <v>45526</v>
      </c>
      <c r="R3318" s="13">
        <v>45554</v>
      </c>
      <c r="S3318">
        <v>2024</v>
      </c>
      <c r="T3318" s="12" t="s">
        <v>4077</v>
      </c>
      <c r="U3318">
        <v>137</v>
      </c>
      <c r="V3318">
        <v>264.23239999999998</v>
      </c>
      <c r="W3318">
        <v>511.13</v>
      </c>
      <c r="X3318">
        <v>0</v>
      </c>
      <c r="Y3318">
        <v>0</v>
      </c>
      <c r="Z3318">
        <v>36199.839999999997</v>
      </c>
      <c r="AA3318">
        <v>36710.97</v>
      </c>
      <c r="AB3318" s="12" t="s">
        <v>3122</v>
      </c>
      <c r="AC3318">
        <v>264.23239999999998</v>
      </c>
      <c r="AD3318">
        <v>1</v>
      </c>
      <c r="AE3318">
        <v>1</v>
      </c>
      <c r="AF3318">
        <v>0</v>
      </c>
      <c r="AG3318">
        <v>36199.839999999997</v>
      </c>
      <c r="AH3318">
        <v>137</v>
      </c>
      <c r="AI3318">
        <v>135</v>
      </c>
      <c r="AJ3318">
        <v>2</v>
      </c>
      <c r="AK3318">
        <v>1</v>
      </c>
      <c r="AL3318">
        <v>1</v>
      </c>
      <c r="AM3318">
        <v>98.54</v>
      </c>
      <c r="AN3318">
        <v>271.93310000000002</v>
      </c>
      <c r="AO3318">
        <v>528.46</v>
      </c>
      <c r="AP3318" s="13">
        <v>45552</v>
      </c>
      <c r="AQ3318">
        <v>-2</v>
      </c>
      <c r="AR3318">
        <v>1</v>
      </c>
    </row>
    <row r="3319" spans="1:44" x14ac:dyDescent="0.35">
      <c r="A3319" s="12" t="s">
        <v>4230</v>
      </c>
      <c r="B3319" s="12" t="s">
        <v>193</v>
      </c>
      <c r="C3319" s="12" t="s">
        <v>194</v>
      </c>
      <c r="D3319" s="12" t="s">
        <v>114</v>
      </c>
      <c r="E3319" s="12" t="s">
        <v>65</v>
      </c>
      <c r="F3319">
        <v>3</v>
      </c>
      <c r="G3319">
        <v>4</v>
      </c>
      <c r="H3319">
        <v>0</v>
      </c>
      <c r="I3319" s="12" t="s">
        <v>195</v>
      </c>
      <c r="J3319" s="12" t="s">
        <v>196</v>
      </c>
      <c r="K3319" s="12" t="s">
        <v>117</v>
      </c>
      <c r="L3319" s="12" t="s">
        <v>134</v>
      </c>
      <c r="M3319">
        <v>4.7699999999999996</v>
      </c>
      <c r="N3319" s="12" t="s">
        <v>97</v>
      </c>
      <c r="O3319" s="12" t="s">
        <v>98</v>
      </c>
      <c r="P3319" s="12" t="s">
        <v>72</v>
      </c>
      <c r="Q3319" s="13">
        <v>45526</v>
      </c>
      <c r="R3319" s="13">
        <v>45563</v>
      </c>
      <c r="S3319">
        <v>2024</v>
      </c>
      <c r="T3319" s="12" t="s">
        <v>4077</v>
      </c>
      <c r="U3319">
        <v>140</v>
      </c>
      <c r="V3319">
        <v>105.8943</v>
      </c>
      <c r="W3319">
        <v>281.77999999999997</v>
      </c>
      <c r="X3319">
        <v>0</v>
      </c>
      <c r="Y3319">
        <v>0</v>
      </c>
      <c r="Z3319">
        <v>14825.2</v>
      </c>
      <c r="AA3319">
        <v>15106.98</v>
      </c>
      <c r="AB3319" s="12" t="s">
        <v>3197</v>
      </c>
      <c r="AC3319">
        <v>105.8943</v>
      </c>
      <c r="AD3319">
        <v>1</v>
      </c>
      <c r="AE3319">
        <v>1</v>
      </c>
      <c r="AF3319">
        <v>0</v>
      </c>
      <c r="AG3319">
        <v>14825.2</v>
      </c>
      <c r="AH3319">
        <v>140</v>
      </c>
      <c r="AI3319">
        <v>138</v>
      </c>
      <c r="AJ3319">
        <v>2</v>
      </c>
      <c r="AK3319">
        <v>1</v>
      </c>
      <c r="AL3319">
        <v>1</v>
      </c>
      <c r="AM3319">
        <v>98.57</v>
      </c>
      <c r="AN3319">
        <v>109.4709</v>
      </c>
      <c r="AO3319">
        <v>211.79</v>
      </c>
      <c r="AP3319" s="13">
        <v>45560</v>
      </c>
      <c r="AQ3319">
        <v>-3</v>
      </c>
      <c r="AR3319">
        <v>1</v>
      </c>
    </row>
    <row r="3320" spans="1:44" x14ac:dyDescent="0.35">
      <c r="A3320" s="12" t="s">
        <v>4231</v>
      </c>
      <c r="B3320" s="12" t="s">
        <v>941</v>
      </c>
      <c r="C3320" s="12" t="s">
        <v>942</v>
      </c>
      <c r="D3320" s="12" t="s">
        <v>130</v>
      </c>
      <c r="E3320" s="12" t="s">
        <v>104</v>
      </c>
      <c r="F3320">
        <v>2</v>
      </c>
      <c r="G3320">
        <v>0</v>
      </c>
      <c r="H3320">
        <v>0</v>
      </c>
      <c r="I3320" s="12" t="s">
        <v>151</v>
      </c>
      <c r="J3320" s="12" t="s">
        <v>152</v>
      </c>
      <c r="K3320" s="12" t="s">
        <v>125</v>
      </c>
      <c r="L3320" s="12" t="s">
        <v>69</v>
      </c>
      <c r="M3320">
        <v>36.479999999999997</v>
      </c>
      <c r="N3320" s="12" t="s">
        <v>159</v>
      </c>
      <c r="O3320" s="12" t="s">
        <v>160</v>
      </c>
      <c r="P3320" s="12" t="s">
        <v>137</v>
      </c>
      <c r="Q3320" s="13">
        <v>45526</v>
      </c>
      <c r="R3320" s="13">
        <v>45549</v>
      </c>
      <c r="S3320">
        <v>2024</v>
      </c>
      <c r="T3320" s="12" t="s">
        <v>4077</v>
      </c>
      <c r="U3320">
        <v>97</v>
      </c>
      <c r="V3320">
        <v>954.04200000000003</v>
      </c>
      <c r="W3320">
        <v>594.35</v>
      </c>
      <c r="X3320">
        <v>0</v>
      </c>
      <c r="Y3320">
        <v>0</v>
      </c>
      <c r="Z3320">
        <v>92542.07</v>
      </c>
      <c r="AA3320">
        <v>93136.42</v>
      </c>
      <c r="AB3320" s="12" t="s">
        <v>4232</v>
      </c>
      <c r="AC3320">
        <v>954.04200000000003</v>
      </c>
      <c r="AD3320">
        <v>1</v>
      </c>
      <c r="AE3320">
        <v>1</v>
      </c>
      <c r="AF3320">
        <v>0</v>
      </c>
      <c r="AG3320">
        <v>92542.07</v>
      </c>
      <c r="AH3320">
        <v>97</v>
      </c>
      <c r="AI3320">
        <v>96</v>
      </c>
      <c r="AJ3320">
        <v>1</v>
      </c>
      <c r="AK3320">
        <v>1</v>
      </c>
      <c r="AL3320">
        <v>1</v>
      </c>
      <c r="AM3320">
        <v>98.97</v>
      </c>
      <c r="AN3320">
        <v>970.17110000000002</v>
      </c>
      <c r="AO3320">
        <v>954.04</v>
      </c>
      <c r="AP3320" s="13">
        <v>45546</v>
      </c>
      <c r="AQ3320">
        <v>-3</v>
      </c>
      <c r="AR3320">
        <v>1</v>
      </c>
    </row>
    <row r="3321" spans="1:44" x14ac:dyDescent="0.35">
      <c r="A3321" s="12" t="s">
        <v>4233</v>
      </c>
      <c r="B3321" s="12" t="s">
        <v>391</v>
      </c>
      <c r="C3321" s="12" t="s">
        <v>392</v>
      </c>
      <c r="D3321" s="12" t="s">
        <v>114</v>
      </c>
      <c r="E3321" s="12" t="s">
        <v>65</v>
      </c>
      <c r="F3321">
        <v>2</v>
      </c>
      <c r="G3321">
        <v>2</v>
      </c>
      <c r="H3321">
        <v>0</v>
      </c>
      <c r="I3321" s="12" t="s">
        <v>195</v>
      </c>
      <c r="J3321" s="12" t="s">
        <v>196</v>
      </c>
      <c r="K3321" s="12" t="s">
        <v>117</v>
      </c>
      <c r="L3321" s="12" t="s">
        <v>134</v>
      </c>
      <c r="M3321">
        <v>4.7699999999999996</v>
      </c>
      <c r="N3321" s="12" t="s">
        <v>97</v>
      </c>
      <c r="O3321" s="12" t="s">
        <v>98</v>
      </c>
      <c r="P3321" s="12" t="s">
        <v>72</v>
      </c>
      <c r="Q3321" s="13">
        <v>45526</v>
      </c>
      <c r="R3321" s="13">
        <v>45564</v>
      </c>
      <c r="S3321">
        <v>2024</v>
      </c>
      <c r="T3321" s="12" t="s">
        <v>4077</v>
      </c>
      <c r="U3321">
        <v>148</v>
      </c>
      <c r="V3321">
        <v>220.66759999999999</v>
      </c>
      <c r="W3321">
        <v>550.27</v>
      </c>
      <c r="X3321">
        <v>0</v>
      </c>
      <c r="Y3321">
        <v>0</v>
      </c>
      <c r="Z3321">
        <v>32658.799999999999</v>
      </c>
      <c r="AA3321">
        <v>33209.07</v>
      </c>
      <c r="AB3321" s="12" t="s">
        <v>3572</v>
      </c>
      <c r="AC3321">
        <v>220.66759999999999</v>
      </c>
      <c r="AD3321">
        <v>1</v>
      </c>
      <c r="AE3321">
        <v>1</v>
      </c>
      <c r="AF3321">
        <v>0</v>
      </c>
      <c r="AG3321">
        <v>32658.799999999999</v>
      </c>
      <c r="AH3321">
        <v>148</v>
      </c>
      <c r="AI3321">
        <v>146</v>
      </c>
      <c r="AJ3321">
        <v>2</v>
      </c>
      <c r="AK3321">
        <v>1</v>
      </c>
      <c r="AL3321">
        <v>1</v>
      </c>
      <c r="AM3321">
        <v>98.65</v>
      </c>
      <c r="AN3321">
        <v>227.45939999999999</v>
      </c>
      <c r="AO3321">
        <v>441.34</v>
      </c>
      <c r="AP3321" s="13">
        <v>45562</v>
      </c>
      <c r="AQ3321">
        <v>-2</v>
      </c>
      <c r="AR3321">
        <v>1</v>
      </c>
    </row>
    <row r="3322" spans="1:44" x14ac:dyDescent="0.35">
      <c r="A3322" s="12" t="s">
        <v>4234</v>
      </c>
      <c r="B3322" s="12" t="s">
        <v>902</v>
      </c>
      <c r="C3322" s="12" t="s">
        <v>903</v>
      </c>
      <c r="D3322" s="12" t="s">
        <v>122</v>
      </c>
      <c r="E3322" s="12" t="s">
        <v>142</v>
      </c>
      <c r="F3322">
        <v>1</v>
      </c>
      <c r="G3322">
        <v>6</v>
      </c>
      <c r="H3322">
        <v>1</v>
      </c>
      <c r="I3322" s="12" t="s">
        <v>105</v>
      </c>
      <c r="J3322" s="12" t="s">
        <v>106</v>
      </c>
      <c r="K3322" s="12" t="s">
        <v>81</v>
      </c>
      <c r="L3322" s="12" t="s">
        <v>96</v>
      </c>
      <c r="M3322">
        <v>5.01</v>
      </c>
      <c r="N3322" s="12" t="s">
        <v>70</v>
      </c>
      <c r="O3322" s="12" t="s">
        <v>71</v>
      </c>
      <c r="P3322" s="12" t="s">
        <v>72</v>
      </c>
      <c r="Q3322" s="13">
        <v>45526</v>
      </c>
      <c r="R3322" s="13">
        <v>45571</v>
      </c>
      <c r="S3322">
        <v>2024</v>
      </c>
      <c r="T3322" s="12" t="s">
        <v>4077</v>
      </c>
      <c r="U3322">
        <v>1247</v>
      </c>
      <c r="V3322">
        <v>41.6892</v>
      </c>
      <c r="W3322">
        <v>1074.1400000000001</v>
      </c>
      <c r="X3322">
        <v>0</v>
      </c>
      <c r="Y3322">
        <v>0</v>
      </c>
      <c r="Z3322">
        <v>51986.43</v>
      </c>
      <c r="AA3322">
        <v>53060.57</v>
      </c>
      <c r="AB3322" s="12" t="s">
        <v>3284</v>
      </c>
      <c r="AC3322">
        <v>41.6892</v>
      </c>
      <c r="AD3322">
        <v>1</v>
      </c>
      <c r="AE3322">
        <v>1</v>
      </c>
      <c r="AF3322">
        <v>0</v>
      </c>
      <c r="AG3322">
        <v>51986.43</v>
      </c>
      <c r="AH3322">
        <v>1247</v>
      </c>
      <c r="AI3322">
        <v>1233</v>
      </c>
      <c r="AJ3322">
        <v>14</v>
      </c>
      <c r="AK3322">
        <v>1</v>
      </c>
      <c r="AL3322">
        <v>1</v>
      </c>
      <c r="AM3322">
        <v>98.88</v>
      </c>
      <c r="AN3322">
        <v>43.033700000000003</v>
      </c>
      <c r="AO3322">
        <v>583.65</v>
      </c>
      <c r="AP3322" s="13">
        <v>45569</v>
      </c>
      <c r="AQ3322">
        <v>-2</v>
      </c>
      <c r="AR3322">
        <v>1</v>
      </c>
    </row>
    <row r="3323" spans="1:44" x14ac:dyDescent="0.35">
      <c r="A3323" s="12" t="s">
        <v>4235</v>
      </c>
      <c r="B3323" s="12" t="s">
        <v>963</v>
      </c>
      <c r="C3323" s="12" t="s">
        <v>964</v>
      </c>
      <c r="D3323" s="12" t="s">
        <v>114</v>
      </c>
      <c r="E3323" s="12" t="s">
        <v>142</v>
      </c>
      <c r="F3323">
        <v>1</v>
      </c>
      <c r="G3323">
        <v>6</v>
      </c>
      <c r="H3323">
        <v>1</v>
      </c>
      <c r="I3323" s="12" t="s">
        <v>176</v>
      </c>
      <c r="J3323" s="12" t="s">
        <v>177</v>
      </c>
      <c r="K3323" s="12" t="s">
        <v>125</v>
      </c>
      <c r="L3323" s="12" t="s">
        <v>134</v>
      </c>
      <c r="M3323">
        <v>1.75</v>
      </c>
      <c r="N3323" s="12" t="s">
        <v>97</v>
      </c>
      <c r="O3323" s="12" t="s">
        <v>98</v>
      </c>
      <c r="P3323" s="12" t="s">
        <v>72</v>
      </c>
      <c r="Q3323" s="13">
        <v>45527</v>
      </c>
      <c r="R3323" s="13">
        <v>45567</v>
      </c>
      <c r="S3323">
        <v>2024</v>
      </c>
      <c r="T3323" s="12" t="s">
        <v>4077</v>
      </c>
      <c r="U3323">
        <v>50</v>
      </c>
      <c r="V3323">
        <v>182.78200000000001</v>
      </c>
      <c r="W3323">
        <v>183.78</v>
      </c>
      <c r="X3323">
        <v>0</v>
      </c>
      <c r="Y3323">
        <v>0</v>
      </c>
      <c r="Z3323">
        <v>9139.1</v>
      </c>
      <c r="AA3323">
        <v>9322.8799999999992</v>
      </c>
      <c r="AB3323" s="12" t="s">
        <v>3290</v>
      </c>
      <c r="AC3323">
        <v>194.16829999999999</v>
      </c>
      <c r="AD3323">
        <v>1</v>
      </c>
      <c r="AE3323">
        <v>1</v>
      </c>
      <c r="AF3323">
        <v>-569.32000000000005</v>
      </c>
      <c r="AG3323">
        <v>9708.42</v>
      </c>
      <c r="AH3323">
        <v>50</v>
      </c>
      <c r="AI3323">
        <v>49</v>
      </c>
      <c r="AJ3323">
        <v>1</v>
      </c>
      <c r="AK3323">
        <v>1</v>
      </c>
      <c r="AL3323">
        <v>1</v>
      </c>
      <c r="AM3323">
        <v>98</v>
      </c>
      <c r="AN3323">
        <v>190.2629</v>
      </c>
      <c r="AO3323">
        <v>182.78</v>
      </c>
      <c r="AP3323" s="13">
        <v>45566</v>
      </c>
      <c r="AQ3323">
        <v>-1</v>
      </c>
      <c r="AR3323">
        <v>1</v>
      </c>
    </row>
    <row r="3324" spans="1:44" x14ac:dyDescent="0.35">
      <c r="A3324" s="12" t="s">
        <v>4236</v>
      </c>
      <c r="B3324" s="12" t="s">
        <v>395</v>
      </c>
      <c r="C3324" s="12" t="s">
        <v>396</v>
      </c>
      <c r="D3324" s="12" t="s">
        <v>130</v>
      </c>
      <c r="E3324" s="12" t="s">
        <v>104</v>
      </c>
      <c r="F3324">
        <v>3</v>
      </c>
      <c r="G3324">
        <v>1</v>
      </c>
      <c r="H3324">
        <v>0</v>
      </c>
      <c r="I3324" s="12" t="s">
        <v>341</v>
      </c>
      <c r="J3324" s="12" t="s">
        <v>342</v>
      </c>
      <c r="K3324" s="12" t="s">
        <v>117</v>
      </c>
      <c r="L3324" s="12" t="s">
        <v>82</v>
      </c>
      <c r="M3324">
        <v>18.36</v>
      </c>
      <c r="N3324" s="12" t="s">
        <v>159</v>
      </c>
      <c r="O3324" s="12" t="s">
        <v>160</v>
      </c>
      <c r="P3324" s="12" t="s">
        <v>137</v>
      </c>
      <c r="Q3324" s="13">
        <v>45527</v>
      </c>
      <c r="R3324" s="13">
        <v>45552</v>
      </c>
      <c r="S3324">
        <v>2024</v>
      </c>
      <c r="T3324" s="12" t="s">
        <v>4077</v>
      </c>
      <c r="U3324">
        <v>117</v>
      </c>
      <c r="V3324">
        <v>174.20429999999999</v>
      </c>
      <c r="W3324">
        <v>395.88</v>
      </c>
      <c r="X3324">
        <v>0</v>
      </c>
      <c r="Y3324">
        <v>0</v>
      </c>
      <c r="Z3324">
        <v>20381.900000000001</v>
      </c>
      <c r="AA3324">
        <v>20777.78</v>
      </c>
      <c r="AB3324" s="12" t="s">
        <v>2742</v>
      </c>
      <c r="AC3324">
        <v>174.20429999999999</v>
      </c>
      <c r="AD3324">
        <v>1</v>
      </c>
      <c r="AE3324">
        <v>1</v>
      </c>
      <c r="AF3324">
        <v>0</v>
      </c>
      <c r="AG3324">
        <v>20381.900000000001</v>
      </c>
      <c r="AH3324">
        <v>117</v>
      </c>
      <c r="AI3324">
        <v>117</v>
      </c>
      <c r="AJ3324">
        <v>0</v>
      </c>
      <c r="AK3324">
        <v>1</v>
      </c>
      <c r="AL3324">
        <v>1</v>
      </c>
      <c r="AM3324">
        <v>100</v>
      </c>
      <c r="AN3324">
        <v>177.58789999999999</v>
      </c>
      <c r="AO3324">
        <v>0</v>
      </c>
      <c r="AP3324" s="13">
        <v>45555</v>
      </c>
      <c r="AQ3324">
        <v>3</v>
      </c>
      <c r="AR3324">
        <v>0</v>
      </c>
    </row>
    <row r="3325" spans="1:44" x14ac:dyDescent="0.35">
      <c r="A3325" s="12" t="s">
        <v>4237</v>
      </c>
      <c r="B3325" s="12" t="s">
        <v>598</v>
      </c>
      <c r="C3325" s="12" t="s">
        <v>599</v>
      </c>
      <c r="D3325" s="12" t="s">
        <v>269</v>
      </c>
      <c r="E3325" s="12" t="s">
        <v>65</v>
      </c>
      <c r="F3325">
        <v>1</v>
      </c>
      <c r="G3325">
        <v>2</v>
      </c>
      <c r="H3325">
        <v>1</v>
      </c>
      <c r="I3325" s="12" t="s">
        <v>176</v>
      </c>
      <c r="J3325" s="12" t="s">
        <v>177</v>
      </c>
      <c r="K3325" s="12" t="s">
        <v>125</v>
      </c>
      <c r="L3325" s="12" t="s">
        <v>134</v>
      </c>
      <c r="M3325">
        <v>1.75</v>
      </c>
      <c r="N3325" s="12" t="s">
        <v>135</v>
      </c>
      <c r="O3325" s="12" t="s">
        <v>136</v>
      </c>
      <c r="P3325" s="12" t="s">
        <v>137</v>
      </c>
      <c r="Q3325" s="13">
        <v>45527</v>
      </c>
      <c r="R3325" s="13">
        <v>45556</v>
      </c>
      <c r="S3325">
        <v>2024</v>
      </c>
      <c r="T3325" s="12" t="s">
        <v>4077</v>
      </c>
      <c r="U3325">
        <v>78</v>
      </c>
      <c r="V3325">
        <v>454.53089999999997</v>
      </c>
      <c r="W3325">
        <v>630.89</v>
      </c>
      <c r="X3325">
        <v>0</v>
      </c>
      <c r="Y3325">
        <v>0</v>
      </c>
      <c r="Z3325">
        <v>35453.410000000003</v>
      </c>
      <c r="AA3325">
        <v>36084.300000000003</v>
      </c>
      <c r="AB3325" s="12" t="s">
        <v>3102</v>
      </c>
      <c r="AC3325">
        <v>454.53089999999997</v>
      </c>
      <c r="AD3325">
        <v>1</v>
      </c>
      <c r="AE3325">
        <v>1</v>
      </c>
      <c r="AF3325">
        <v>0</v>
      </c>
      <c r="AG3325">
        <v>35453.410000000003</v>
      </c>
      <c r="AH3325">
        <v>78</v>
      </c>
      <c r="AI3325">
        <v>77</v>
      </c>
      <c r="AJ3325">
        <v>1</v>
      </c>
      <c r="AK3325">
        <v>1</v>
      </c>
      <c r="AL3325">
        <v>1</v>
      </c>
      <c r="AM3325">
        <v>98.72</v>
      </c>
      <c r="AN3325">
        <v>468.62729999999999</v>
      </c>
      <c r="AO3325">
        <v>454.53</v>
      </c>
      <c r="AP3325" s="13">
        <v>45554</v>
      </c>
      <c r="AQ3325">
        <v>-2</v>
      </c>
      <c r="AR3325">
        <v>1</v>
      </c>
    </row>
    <row r="3326" spans="1:44" x14ac:dyDescent="0.35">
      <c r="A3326" s="12" t="s">
        <v>4238</v>
      </c>
      <c r="B3326" s="12" t="s">
        <v>1026</v>
      </c>
      <c r="C3326" s="12" t="s">
        <v>1027</v>
      </c>
      <c r="D3326" s="12" t="s">
        <v>122</v>
      </c>
      <c r="E3326" s="12" t="s">
        <v>104</v>
      </c>
      <c r="F3326">
        <v>3</v>
      </c>
      <c r="G3326">
        <v>1</v>
      </c>
      <c r="H3326">
        <v>0</v>
      </c>
      <c r="I3326" s="12" t="s">
        <v>183</v>
      </c>
      <c r="J3326" s="12" t="s">
        <v>184</v>
      </c>
      <c r="K3326" s="12" t="s">
        <v>133</v>
      </c>
      <c r="L3326" s="12" t="s">
        <v>82</v>
      </c>
      <c r="M3326">
        <v>8.6199999999999992</v>
      </c>
      <c r="N3326" s="12" t="s">
        <v>97</v>
      </c>
      <c r="O3326" s="12" t="s">
        <v>98</v>
      </c>
      <c r="P3326" s="12" t="s">
        <v>72</v>
      </c>
      <c r="Q3326" s="13">
        <v>45527</v>
      </c>
      <c r="R3326" s="13">
        <v>45552</v>
      </c>
      <c r="S3326">
        <v>2024</v>
      </c>
      <c r="T3326" s="12" t="s">
        <v>4077</v>
      </c>
      <c r="U3326">
        <v>1527</v>
      </c>
      <c r="V3326">
        <v>40.107799999999997</v>
      </c>
      <c r="W3326">
        <v>1488.33</v>
      </c>
      <c r="X3326">
        <v>0</v>
      </c>
      <c r="Y3326">
        <v>0</v>
      </c>
      <c r="Z3326">
        <v>61244.61</v>
      </c>
      <c r="AA3326">
        <v>62732.94</v>
      </c>
      <c r="AB3326" s="12" t="s">
        <v>3447</v>
      </c>
      <c r="AC3326">
        <v>41.511600000000001</v>
      </c>
      <c r="AD3326">
        <v>2</v>
      </c>
      <c r="AE3326">
        <v>1</v>
      </c>
      <c r="AF3326">
        <v>-2143.6</v>
      </c>
      <c r="AG3326">
        <v>63388.21</v>
      </c>
      <c r="AH3326">
        <v>1527</v>
      </c>
      <c r="AI3326">
        <v>1514</v>
      </c>
      <c r="AJ3326">
        <v>13</v>
      </c>
      <c r="AK3326">
        <v>1</v>
      </c>
      <c r="AL3326">
        <v>1</v>
      </c>
      <c r="AM3326">
        <v>99.15</v>
      </c>
      <c r="AN3326">
        <v>41.435200000000002</v>
      </c>
      <c r="AO3326">
        <v>521.4</v>
      </c>
      <c r="AP3326" s="13">
        <v>45550</v>
      </c>
      <c r="AQ3326">
        <v>-2</v>
      </c>
      <c r="AR3326">
        <v>1</v>
      </c>
    </row>
    <row r="3327" spans="1:44" x14ac:dyDescent="0.35">
      <c r="A3327" s="12" t="s">
        <v>4239</v>
      </c>
      <c r="B3327" s="12" t="s">
        <v>712</v>
      </c>
      <c r="C3327" s="12" t="s">
        <v>713</v>
      </c>
      <c r="D3327" s="12" t="s">
        <v>103</v>
      </c>
      <c r="E3327" s="12" t="s">
        <v>104</v>
      </c>
      <c r="F3327">
        <v>2</v>
      </c>
      <c r="G3327">
        <v>0</v>
      </c>
      <c r="H3327">
        <v>0</v>
      </c>
      <c r="I3327" s="12" t="s">
        <v>199</v>
      </c>
      <c r="J3327" s="12" t="s">
        <v>200</v>
      </c>
      <c r="K3327" s="12" t="s">
        <v>68</v>
      </c>
      <c r="L3327" s="12" t="s">
        <v>96</v>
      </c>
      <c r="M3327">
        <v>9.4700000000000006</v>
      </c>
      <c r="N3327" s="12" t="s">
        <v>145</v>
      </c>
      <c r="O3327" s="12" t="s">
        <v>146</v>
      </c>
      <c r="P3327" s="12" t="s">
        <v>109</v>
      </c>
      <c r="Q3327" s="13">
        <v>45527</v>
      </c>
      <c r="R3327" s="13">
        <v>45544</v>
      </c>
      <c r="S3327">
        <v>2024</v>
      </c>
      <c r="T3327" s="12" t="s">
        <v>4077</v>
      </c>
      <c r="U3327">
        <v>51</v>
      </c>
      <c r="V3327">
        <v>226.57149999999999</v>
      </c>
      <c r="W3327">
        <v>126.85</v>
      </c>
      <c r="X3327">
        <v>0</v>
      </c>
      <c r="Y3327">
        <v>0</v>
      </c>
      <c r="Z3327">
        <v>11555.15</v>
      </c>
      <c r="AA3327">
        <v>11682</v>
      </c>
      <c r="AB3327" s="12" t="s">
        <v>201</v>
      </c>
      <c r="AD3327">
        <v>0</v>
      </c>
      <c r="AE3327">
        <v>0</v>
      </c>
      <c r="AH3327">
        <v>51</v>
      </c>
      <c r="AI3327">
        <v>51</v>
      </c>
      <c r="AJ3327">
        <v>0</v>
      </c>
      <c r="AK3327">
        <v>1</v>
      </c>
      <c r="AL3327">
        <v>1</v>
      </c>
      <c r="AM3327">
        <v>100</v>
      </c>
      <c r="AN3327">
        <v>229.05879999999999</v>
      </c>
      <c r="AO3327">
        <v>0</v>
      </c>
      <c r="AP3327" s="13">
        <v>45541</v>
      </c>
      <c r="AQ3327">
        <v>-3</v>
      </c>
      <c r="AR3327">
        <v>1</v>
      </c>
    </row>
    <row r="3328" spans="1:44" x14ac:dyDescent="0.35">
      <c r="A3328" s="12" t="s">
        <v>4240</v>
      </c>
      <c r="B3328" s="12" t="s">
        <v>837</v>
      </c>
      <c r="C3328" s="12" t="s">
        <v>838</v>
      </c>
      <c r="D3328" s="12" t="s">
        <v>114</v>
      </c>
      <c r="E3328" s="12" t="s">
        <v>104</v>
      </c>
      <c r="F3328">
        <v>2</v>
      </c>
      <c r="G3328">
        <v>0</v>
      </c>
      <c r="H3328">
        <v>0</v>
      </c>
      <c r="I3328" s="12" t="s">
        <v>199</v>
      </c>
      <c r="J3328" s="12" t="s">
        <v>200</v>
      </c>
      <c r="K3328" s="12" t="s">
        <v>68</v>
      </c>
      <c r="L3328" s="12" t="s">
        <v>96</v>
      </c>
      <c r="M3328">
        <v>9.4700000000000006</v>
      </c>
      <c r="N3328" s="12" t="s">
        <v>70</v>
      </c>
      <c r="O3328" s="12" t="s">
        <v>71</v>
      </c>
      <c r="P3328" s="12" t="s">
        <v>72</v>
      </c>
      <c r="Q3328" s="13">
        <v>45530</v>
      </c>
      <c r="R3328" s="13">
        <v>45555</v>
      </c>
      <c r="S3328">
        <v>2024</v>
      </c>
      <c r="T3328" s="12" t="s">
        <v>4077</v>
      </c>
      <c r="U3328">
        <v>117</v>
      </c>
      <c r="V3328">
        <v>68.916300000000007</v>
      </c>
      <c r="W3328">
        <v>98.1</v>
      </c>
      <c r="X3328">
        <v>0</v>
      </c>
      <c r="Y3328">
        <v>0</v>
      </c>
      <c r="Z3328">
        <v>8063.21</v>
      </c>
      <c r="AA3328">
        <v>8161.31</v>
      </c>
      <c r="AB3328" s="12" t="s">
        <v>3432</v>
      </c>
      <c r="AC3328">
        <v>68.916300000000007</v>
      </c>
      <c r="AD3328">
        <v>1</v>
      </c>
      <c r="AE3328">
        <v>1</v>
      </c>
      <c r="AF3328">
        <v>0</v>
      </c>
      <c r="AG3328">
        <v>8063.21</v>
      </c>
      <c r="AH3328">
        <v>117</v>
      </c>
      <c r="AI3328">
        <v>115</v>
      </c>
      <c r="AJ3328">
        <v>2</v>
      </c>
      <c r="AK3328">
        <v>1</v>
      </c>
      <c r="AL3328">
        <v>1</v>
      </c>
      <c r="AM3328">
        <v>98.29</v>
      </c>
      <c r="AN3328">
        <v>70.9679</v>
      </c>
      <c r="AO3328">
        <v>137.83000000000001</v>
      </c>
      <c r="AP3328" s="13">
        <v>45565</v>
      </c>
      <c r="AQ3328">
        <v>10</v>
      </c>
      <c r="AR3328">
        <v>0</v>
      </c>
    </row>
    <row r="3329" spans="1:44" x14ac:dyDescent="0.35">
      <c r="A3329" s="12" t="s">
        <v>4241</v>
      </c>
      <c r="B3329" s="12" t="s">
        <v>1220</v>
      </c>
      <c r="C3329" s="12" t="s">
        <v>1221</v>
      </c>
      <c r="D3329" s="12" t="s">
        <v>175</v>
      </c>
      <c r="E3329" s="12" t="s">
        <v>104</v>
      </c>
      <c r="F3329">
        <v>3</v>
      </c>
      <c r="G3329">
        <v>1</v>
      </c>
      <c r="H3329">
        <v>0</v>
      </c>
      <c r="I3329" s="12" t="s">
        <v>251</v>
      </c>
      <c r="J3329" s="12" t="s">
        <v>252</v>
      </c>
      <c r="K3329" s="12" t="s">
        <v>133</v>
      </c>
      <c r="L3329" s="12" t="s">
        <v>69</v>
      </c>
      <c r="M3329">
        <v>34.49</v>
      </c>
      <c r="N3329" s="12" t="s">
        <v>107</v>
      </c>
      <c r="O3329" s="12" t="s">
        <v>108</v>
      </c>
      <c r="P3329" s="12" t="s">
        <v>109</v>
      </c>
      <c r="Q3329" s="13">
        <v>45530</v>
      </c>
      <c r="R3329" s="13">
        <v>45557</v>
      </c>
      <c r="S3329">
        <v>2024</v>
      </c>
      <c r="T3329" s="12" t="s">
        <v>4077</v>
      </c>
      <c r="U3329">
        <v>130</v>
      </c>
      <c r="V3329">
        <v>138.95140000000001</v>
      </c>
      <c r="W3329">
        <v>334.73</v>
      </c>
      <c r="X3329">
        <v>0</v>
      </c>
      <c r="Y3329">
        <v>0</v>
      </c>
      <c r="Z3329">
        <v>18063.68</v>
      </c>
      <c r="AA3329">
        <v>18398.41</v>
      </c>
      <c r="AB3329" s="12" t="s">
        <v>3687</v>
      </c>
      <c r="AC3329">
        <v>138.95140000000001</v>
      </c>
      <c r="AD3329">
        <v>1</v>
      </c>
      <c r="AE3329">
        <v>1</v>
      </c>
      <c r="AF3329">
        <v>0</v>
      </c>
      <c r="AG3329">
        <v>18063.68</v>
      </c>
      <c r="AH3329">
        <v>130</v>
      </c>
      <c r="AI3329">
        <v>129</v>
      </c>
      <c r="AJ3329">
        <v>1</v>
      </c>
      <c r="AK3329">
        <v>1</v>
      </c>
      <c r="AL3329">
        <v>1</v>
      </c>
      <c r="AM3329">
        <v>99.23</v>
      </c>
      <c r="AN3329">
        <v>142.6233</v>
      </c>
      <c r="AO3329">
        <v>138.94999999999999</v>
      </c>
      <c r="AP3329" s="13">
        <v>45556</v>
      </c>
      <c r="AQ3329">
        <v>-1</v>
      </c>
      <c r="AR3329">
        <v>1</v>
      </c>
    </row>
    <row r="3330" spans="1:44" x14ac:dyDescent="0.35">
      <c r="A3330" s="12" t="s">
        <v>4242</v>
      </c>
      <c r="B3330" s="12" t="s">
        <v>120</v>
      </c>
      <c r="C3330" s="12" t="s">
        <v>121</v>
      </c>
      <c r="D3330" s="12" t="s">
        <v>122</v>
      </c>
      <c r="E3330" s="12" t="s">
        <v>65</v>
      </c>
      <c r="F3330">
        <v>3</v>
      </c>
      <c r="G3330">
        <v>4</v>
      </c>
      <c r="H3330">
        <v>0</v>
      </c>
      <c r="I3330" s="12" t="s">
        <v>123</v>
      </c>
      <c r="J3330" s="12" t="s">
        <v>124</v>
      </c>
      <c r="K3330" s="12" t="s">
        <v>125</v>
      </c>
      <c r="L3330" s="12" t="s">
        <v>82</v>
      </c>
      <c r="M3330">
        <v>6.75</v>
      </c>
      <c r="N3330" s="12" t="s">
        <v>70</v>
      </c>
      <c r="O3330" s="12" t="s">
        <v>71</v>
      </c>
      <c r="P3330" s="12" t="s">
        <v>72</v>
      </c>
      <c r="Q3330" s="13">
        <v>45530</v>
      </c>
      <c r="R3330" s="13">
        <v>45568</v>
      </c>
      <c r="S3330">
        <v>2024</v>
      </c>
      <c r="T3330" s="12" t="s">
        <v>4077</v>
      </c>
      <c r="U3330">
        <v>1947</v>
      </c>
      <c r="V3330">
        <v>53.214500000000001</v>
      </c>
      <c r="W3330">
        <v>2599.63</v>
      </c>
      <c r="X3330">
        <v>0</v>
      </c>
      <c r="Y3330">
        <v>0</v>
      </c>
      <c r="Z3330">
        <v>103608.63</v>
      </c>
      <c r="AA3330">
        <v>106208.26</v>
      </c>
      <c r="AB3330" s="12" t="s">
        <v>2728</v>
      </c>
      <c r="AC3330">
        <v>53.214500000000001</v>
      </c>
      <c r="AD3330">
        <v>1</v>
      </c>
      <c r="AE3330">
        <v>1</v>
      </c>
      <c r="AF3330">
        <v>0</v>
      </c>
      <c r="AG3330">
        <v>103608.63</v>
      </c>
      <c r="AH3330">
        <v>1947</v>
      </c>
      <c r="AI3330">
        <v>1942</v>
      </c>
      <c r="AJ3330">
        <v>5</v>
      </c>
      <c r="AK3330">
        <v>1</v>
      </c>
      <c r="AL3330">
        <v>1</v>
      </c>
      <c r="AM3330">
        <v>99.74</v>
      </c>
      <c r="AN3330">
        <v>54.690100000000001</v>
      </c>
      <c r="AO3330">
        <v>266.07</v>
      </c>
      <c r="AP3330" s="13">
        <v>45566</v>
      </c>
      <c r="AQ3330">
        <v>-2</v>
      </c>
      <c r="AR3330">
        <v>1</v>
      </c>
    </row>
    <row r="3331" spans="1:44" x14ac:dyDescent="0.35">
      <c r="A3331" s="12" t="s">
        <v>4243</v>
      </c>
      <c r="B3331" s="12" t="s">
        <v>621</v>
      </c>
      <c r="C3331" s="12" t="s">
        <v>622</v>
      </c>
      <c r="D3331" s="12" t="s">
        <v>103</v>
      </c>
      <c r="E3331" s="12" t="s">
        <v>65</v>
      </c>
      <c r="F3331">
        <v>1</v>
      </c>
      <c r="G3331">
        <v>2</v>
      </c>
      <c r="H3331">
        <v>1</v>
      </c>
      <c r="I3331" s="12" t="s">
        <v>486</v>
      </c>
      <c r="J3331" s="12" t="s">
        <v>487</v>
      </c>
      <c r="K3331" s="12" t="s">
        <v>125</v>
      </c>
      <c r="L3331" s="12" t="s">
        <v>69</v>
      </c>
      <c r="M3331">
        <v>36.86</v>
      </c>
      <c r="N3331" s="12" t="s">
        <v>145</v>
      </c>
      <c r="O3331" s="12" t="s">
        <v>146</v>
      </c>
      <c r="P3331" s="12" t="s">
        <v>109</v>
      </c>
      <c r="Q3331" s="13">
        <v>45530</v>
      </c>
      <c r="R3331" s="13">
        <v>45553</v>
      </c>
      <c r="S3331">
        <v>2024</v>
      </c>
      <c r="T3331" s="12" t="s">
        <v>4077</v>
      </c>
      <c r="U3331">
        <v>31</v>
      </c>
      <c r="V3331">
        <v>201.08609999999999</v>
      </c>
      <c r="W3331">
        <v>149.93</v>
      </c>
      <c r="X3331">
        <v>0</v>
      </c>
      <c r="Y3331">
        <v>0</v>
      </c>
      <c r="Z3331">
        <v>6233.67</v>
      </c>
      <c r="AA3331">
        <v>6383.6</v>
      </c>
      <c r="AB3331" s="12" t="s">
        <v>2658</v>
      </c>
      <c r="AC3331">
        <v>201.08609999999999</v>
      </c>
      <c r="AD3331">
        <v>1</v>
      </c>
      <c r="AE3331">
        <v>1</v>
      </c>
      <c r="AF3331">
        <v>0</v>
      </c>
      <c r="AG3331">
        <v>6233.67</v>
      </c>
      <c r="AH3331">
        <v>31</v>
      </c>
      <c r="AI3331">
        <v>31</v>
      </c>
      <c r="AJ3331">
        <v>0</v>
      </c>
      <c r="AK3331">
        <v>1</v>
      </c>
      <c r="AL3331">
        <v>1</v>
      </c>
      <c r="AM3331">
        <v>100</v>
      </c>
      <c r="AN3331">
        <v>205.92259999999999</v>
      </c>
      <c r="AO3331">
        <v>0</v>
      </c>
      <c r="AP3331" s="13">
        <v>45553</v>
      </c>
      <c r="AQ3331">
        <v>0</v>
      </c>
      <c r="AR3331">
        <v>1</v>
      </c>
    </row>
    <row r="3332" spans="1:44" x14ac:dyDescent="0.35">
      <c r="A3332" s="12" t="s">
        <v>4244</v>
      </c>
      <c r="B3332" s="12" t="s">
        <v>420</v>
      </c>
      <c r="C3332" s="12" t="s">
        <v>421</v>
      </c>
      <c r="D3332" s="12" t="s">
        <v>269</v>
      </c>
      <c r="E3332" s="12" t="s">
        <v>104</v>
      </c>
      <c r="F3332">
        <v>2</v>
      </c>
      <c r="G3332">
        <v>0</v>
      </c>
      <c r="H3332">
        <v>0</v>
      </c>
      <c r="I3332" s="12" t="s">
        <v>380</v>
      </c>
      <c r="J3332" s="12" t="s">
        <v>381</v>
      </c>
      <c r="K3332" s="12" t="s">
        <v>89</v>
      </c>
      <c r="L3332" s="12" t="s">
        <v>96</v>
      </c>
      <c r="M3332">
        <v>10.210000000000001</v>
      </c>
      <c r="N3332" s="12" t="s">
        <v>135</v>
      </c>
      <c r="O3332" s="12" t="s">
        <v>136</v>
      </c>
      <c r="P3332" s="12" t="s">
        <v>137</v>
      </c>
      <c r="Q3332" s="13">
        <v>45530</v>
      </c>
      <c r="R3332" s="13">
        <v>45555</v>
      </c>
      <c r="S3332">
        <v>2024</v>
      </c>
      <c r="T3332" s="12" t="s">
        <v>4077</v>
      </c>
      <c r="U3332">
        <v>114</v>
      </c>
      <c r="V3332">
        <v>142.20349999999999</v>
      </c>
      <c r="W3332">
        <v>127.63</v>
      </c>
      <c r="X3332">
        <v>0</v>
      </c>
      <c r="Y3332">
        <v>0</v>
      </c>
      <c r="Z3332">
        <v>16211.2</v>
      </c>
      <c r="AA3332">
        <v>16338.83</v>
      </c>
      <c r="AB3332" s="12" t="s">
        <v>2925</v>
      </c>
      <c r="AC3332">
        <v>142.20349999999999</v>
      </c>
      <c r="AD3332">
        <v>1</v>
      </c>
      <c r="AE3332">
        <v>1</v>
      </c>
      <c r="AF3332">
        <v>0</v>
      </c>
      <c r="AG3332">
        <v>16211.2</v>
      </c>
      <c r="AH3332">
        <v>114</v>
      </c>
      <c r="AI3332">
        <v>113</v>
      </c>
      <c r="AJ3332">
        <v>1</v>
      </c>
      <c r="AK3332">
        <v>1</v>
      </c>
      <c r="AL3332">
        <v>1</v>
      </c>
      <c r="AM3332">
        <v>99.12</v>
      </c>
      <c r="AN3332">
        <v>144.59139999999999</v>
      </c>
      <c r="AO3332">
        <v>142.19999999999999</v>
      </c>
      <c r="AP3332" s="13">
        <v>45557</v>
      </c>
      <c r="AQ3332">
        <v>2</v>
      </c>
      <c r="AR3332">
        <v>0</v>
      </c>
    </row>
    <row r="3333" spans="1:44" x14ac:dyDescent="0.35">
      <c r="A3333" s="12" t="s">
        <v>4245</v>
      </c>
      <c r="B3333" s="12" t="s">
        <v>823</v>
      </c>
      <c r="C3333" s="12" t="s">
        <v>824</v>
      </c>
      <c r="D3333" s="12" t="s">
        <v>114</v>
      </c>
      <c r="E3333" s="12" t="s">
        <v>142</v>
      </c>
      <c r="F3333">
        <v>1</v>
      </c>
      <c r="G3333">
        <v>8</v>
      </c>
      <c r="H3333">
        <v>1</v>
      </c>
      <c r="I3333" s="12" t="s">
        <v>515</v>
      </c>
      <c r="J3333" s="12" t="s">
        <v>516</v>
      </c>
      <c r="K3333" s="12" t="s">
        <v>68</v>
      </c>
      <c r="L3333" s="12" t="s">
        <v>134</v>
      </c>
      <c r="M3333">
        <v>3.69</v>
      </c>
      <c r="N3333" s="12" t="s">
        <v>97</v>
      </c>
      <c r="O3333" s="12" t="s">
        <v>98</v>
      </c>
      <c r="P3333" s="12" t="s">
        <v>72</v>
      </c>
      <c r="Q3333" s="13">
        <v>45530</v>
      </c>
      <c r="R3333" s="13">
        <v>45574</v>
      </c>
      <c r="S3333">
        <v>2024</v>
      </c>
      <c r="T3333" s="12" t="s">
        <v>4077</v>
      </c>
      <c r="U3333">
        <v>80</v>
      </c>
      <c r="V3333">
        <v>361.71230000000003</v>
      </c>
      <c r="W3333">
        <v>529.36</v>
      </c>
      <c r="X3333">
        <v>0</v>
      </c>
      <c r="Y3333">
        <v>0</v>
      </c>
      <c r="Z3333">
        <v>28936.98</v>
      </c>
      <c r="AA3333">
        <v>29466.34</v>
      </c>
      <c r="AB3333" s="12" t="s">
        <v>3483</v>
      </c>
      <c r="AC3333">
        <v>361.71230000000003</v>
      </c>
      <c r="AD3333">
        <v>1</v>
      </c>
      <c r="AE3333">
        <v>1</v>
      </c>
      <c r="AF3333">
        <v>0</v>
      </c>
      <c r="AG3333">
        <v>28936.98</v>
      </c>
      <c r="AH3333">
        <v>80</v>
      </c>
      <c r="AI3333">
        <v>80</v>
      </c>
      <c r="AJ3333">
        <v>0</v>
      </c>
      <c r="AK3333">
        <v>1</v>
      </c>
      <c r="AL3333">
        <v>1</v>
      </c>
      <c r="AM3333">
        <v>100</v>
      </c>
      <c r="AN3333">
        <v>368.32929999999999</v>
      </c>
      <c r="AO3333">
        <v>0</v>
      </c>
      <c r="AP3333" s="13">
        <v>45573</v>
      </c>
      <c r="AQ3333">
        <v>-1</v>
      </c>
      <c r="AR3333">
        <v>1</v>
      </c>
    </row>
    <row r="3334" spans="1:44" x14ac:dyDescent="0.35">
      <c r="A3334" s="12" t="s">
        <v>4246</v>
      </c>
      <c r="B3334" s="12" t="s">
        <v>207</v>
      </c>
      <c r="C3334" s="12" t="s">
        <v>208</v>
      </c>
      <c r="D3334" s="12" t="s">
        <v>78</v>
      </c>
      <c r="E3334" s="12" t="s">
        <v>65</v>
      </c>
      <c r="F3334">
        <v>2</v>
      </c>
      <c r="G3334">
        <v>3</v>
      </c>
      <c r="H3334">
        <v>0</v>
      </c>
      <c r="I3334" s="12" t="s">
        <v>209</v>
      </c>
      <c r="J3334" s="12" t="s">
        <v>210</v>
      </c>
      <c r="K3334" s="12" t="s">
        <v>133</v>
      </c>
      <c r="L3334" s="12" t="s">
        <v>96</v>
      </c>
      <c r="M3334">
        <v>7.82</v>
      </c>
      <c r="N3334" s="12" t="s">
        <v>70</v>
      </c>
      <c r="O3334" s="12" t="s">
        <v>71</v>
      </c>
      <c r="P3334" s="12" t="s">
        <v>72</v>
      </c>
      <c r="Q3334" s="13">
        <v>45530</v>
      </c>
      <c r="R3334" s="13">
        <v>45566</v>
      </c>
      <c r="S3334">
        <v>2024</v>
      </c>
      <c r="T3334" s="12" t="s">
        <v>4077</v>
      </c>
      <c r="U3334">
        <v>267</v>
      </c>
      <c r="V3334">
        <v>148.61590000000001</v>
      </c>
      <c r="W3334">
        <v>855.63</v>
      </c>
      <c r="X3334">
        <v>0</v>
      </c>
      <c r="Y3334">
        <v>0</v>
      </c>
      <c r="Z3334">
        <v>39680.449999999997</v>
      </c>
      <c r="AA3334">
        <v>40536.080000000002</v>
      </c>
      <c r="AB3334" s="12" t="s">
        <v>2832</v>
      </c>
      <c r="AC3334">
        <v>148.61590000000001</v>
      </c>
      <c r="AD3334">
        <v>1</v>
      </c>
      <c r="AE3334">
        <v>1</v>
      </c>
      <c r="AF3334">
        <v>0</v>
      </c>
      <c r="AG3334">
        <v>39680.449999999997</v>
      </c>
      <c r="AH3334">
        <v>267</v>
      </c>
      <c r="AI3334">
        <v>262</v>
      </c>
      <c r="AJ3334">
        <v>5</v>
      </c>
      <c r="AK3334">
        <v>1</v>
      </c>
      <c r="AL3334">
        <v>1</v>
      </c>
      <c r="AM3334">
        <v>98.13</v>
      </c>
      <c r="AN3334">
        <v>154.71780000000001</v>
      </c>
      <c r="AO3334">
        <v>743.08</v>
      </c>
      <c r="AP3334" s="13">
        <v>45565</v>
      </c>
      <c r="AQ3334">
        <v>-1</v>
      </c>
      <c r="AR3334">
        <v>1</v>
      </c>
    </row>
    <row r="3335" spans="1:44" x14ac:dyDescent="0.35">
      <c r="A3335" s="12" t="s">
        <v>4247</v>
      </c>
      <c r="B3335" s="12" t="s">
        <v>1166</v>
      </c>
      <c r="C3335" s="12" t="s">
        <v>1167</v>
      </c>
      <c r="D3335" s="12" t="s">
        <v>175</v>
      </c>
      <c r="E3335" s="12" t="s">
        <v>65</v>
      </c>
      <c r="F3335">
        <v>3</v>
      </c>
      <c r="G3335">
        <v>5</v>
      </c>
      <c r="H3335">
        <v>0</v>
      </c>
      <c r="I3335" s="12" t="s">
        <v>143</v>
      </c>
      <c r="J3335" s="12" t="s">
        <v>144</v>
      </c>
      <c r="K3335" s="12" t="s">
        <v>133</v>
      </c>
      <c r="L3335" s="12" t="s">
        <v>96</v>
      </c>
      <c r="M3335">
        <v>5.43</v>
      </c>
      <c r="N3335" s="12" t="s">
        <v>145</v>
      </c>
      <c r="O3335" s="12" t="s">
        <v>146</v>
      </c>
      <c r="P3335" s="12" t="s">
        <v>109</v>
      </c>
      <c r="Q3335" s="13">
        <v>45530</v>
      </c>
      <c r="R3335" s="13">
        <v>45552</v>
      </c>
      <c r="S3335">
        <v>2024</v>
      </c>
      <c r="T3335" s="12" t="s">
        <v>4077</v>
      </c>
      <c r="U3335">
        <v>23</v>
      </c>
      <c r="V3335">
        <v>250.34639999999999</v>
      </c>
      <c r="W3335">
        <v>37.01</v>
      </c>
      <c r="X3335">
        <v>0</v>
      </c>
      <c r="Y3335">
        <v>0</v>
      </c>
      <c r="Z3335">
        <v>5757.97</v>
      </c>
      <c r="AA3335">
        <v>5794.98</v>
      </c>
      <c r="AB3335" s="12" t="s">
        <v>201</v>
      </c>
      <c r="AD3335">
        <v>0</v>
      </c>
      <c r="AE3335">
        <v>0</v>
      </c>
      <c r="AH3335">
        <v>23</v>
      </c>
      <c r="AI3335">
        <v>23</v>
      </c>
      <c r="AJ3335">
        <v>0</v>
      </c>
      <c r="AK3335">
        <v>1</v>
      </c>
      <c r="AL3335">
        <v>1</v>
      </c>
      <c r="AM3335">
        <v>100</v>
      </c>
      <c r="AN3335">
        <v>251.9555</v>
      </c>
      <c r="AO3335">
        <v>0</v>
      </c>
      <c r="AP3335" s="13">
        <v>45549</v>
      </c>
      <c r="AQ3335">
        <v>-3</v>
      </c>
      <c r="AR3335">
        <v>1</v>
      </c>
    </row>
    <row r="3336" spans="1:44" x14ac:dyDescent="0.35">
      <c r="A3336" s="12" t="s">
        <v>4248</v>
      </c>
      <c r="B3336" s="12" t="s">
        <v>482</v>
      </c>
      <c r="C3336" s="12" t="s">
        <v>483</v>
      </c>
      <c r="D3336" s="12" t="s">
        <v>78</v>
      </c>
      <c r="E3336" s="12" t="s">
        <v>142</v>
      </c>
      <c r="F3336">
        <v>2</v>
      </c>
      <c r="G3336">
        <v>9</v>
      </c>
      <c r="H3336">
        <v>0</v>
      </c>
      <c r="I3336" s="12" t="s">
        <v>87</v>
      </c>
      <c r="J3336" s="12" t="s">
        <v>88</v>
      </c>
      <c r="K3336" s="12" t="s">
        <v>89</v>
      </c>
      <c r="L3336" s="12" t="s">
        <v>69</v>
      </c>
      <c r="M3336">
        <v>14.93</v>
      </c>
      <c r="N3336" s="12" t="s">
        <v>97</v>
      </c>
      <c r="O3336" s="12" t="s">
        <v>98</v>
      </c>
      <c r="P3336" s="12" t="s">
        <v>72</v>
      </c>
      <c r="Q3336" s="13">
        <v>45530</v>
      </c>
      <c r="R3336" s="13">
        <v>45581</v>
      </c>
      <c r="S3336">
        <v>2024</v>
      </c>
      <c r="T3336" s="12" t="s">
        <v>4077</v>
      </c>
      <c r="U3336">
        <v>281</v>
      </c>
      <c r="V3336">
        <v>47.101599999999998</v>
      </c>
      <c r="W3336">
        <v>123.52</v>
      </c>
      <c r="X3336">
        <v>0</v>
      </c>
      <c r="Y3336">
        <v>0</v>
      </c>
      <c r="Z3336">
        <v>13235.55</v>
      </c>
      <c r="AA3336">
        <v>13359.07</v>
      </c>
      <c r="AB3336" s="12" t="s">
        <v>3145</v>
      </c>
      <c r="AC3336">
        <v>47.101599999999998</v>
      </c>
      <c r="AD3336">
        <v>1</v>
      </c>
      <c r="AE3336">
        <v>1</v>
      </c>
      <c r="AF3336">
        <v>0</v>
      </c>
      <c r="AG3336">
        <v>13235.55</v>
      </c>
      <c r="AH3336">
        <v>281</v>
      </c>
      <c r="AI3336">
        <v>275</v>
      </c>
      <c r="AJ3336">
        <v>6</v>
      </c>
      <c r="AK3336">
        <v>1</v>
      </c>
      <c r="AL3336">
        <v>1</v>
      </c>
      <c r="AM3336">
        <v>97.86</v>
      </c>
      <c r="AN3336">
        <v>48.578400000000002</v>
      </c>
      <c r="AO3336">
        <v>282.61</v>
      </c>
      <c r="AP3336" s="13">
        <v>45578</v>
      </c>
      <c r="AQ3336">
        <v>-3</v>
      </c>
      <c r="AR3336">
        <v>1</v>
      </c>
    </row>
    <row r="3337" spans="1:44" x14ac:dyDescent="0.35">
      <c r="A3337" s="12" t="s">
        <v>4249</v>
      </c>
      <c r="B3337" s="12" t="s">
        <v>587</v>
      </c>
      <c r="C3337" s="12" t="s">
        <v>588</v>
      </c>
      <c r="D3337" s="12" t="s">
        <v>122</v>
      </c>
      <c r="E3337" s="12" t="s">
        <v>104</v>
      </c>
      <c r="F3337">
        <v>2</v>
      </c>
      <c r="G3337">
        <v>0</v>
      </c>
      <c r="H3337">
        <v>0</v>
      </c>
      <c r="I3337" s="12" t="s">
        <v>486</v>
      </c>
      <c r="J3337" s="12" t="s">
        <v>487</v>
      </c>
      <c r="K3337" s="12" t="s">
        <v>125</v>
      </c>
      <c r="L3337" s="12" t="s">
        <v>69</v>
      </c>
      <c r="M3337">
        <v>36.86</v>
      </c>
      <c r="N3337" s="12" t="s">
        <v>70</v>
      </c>
      <c r="O3337" s="12" t="s">
        <v>71</v>
      </c>
      <c r="P3337" s="12" t="s">
        <v>72</v>
      </c>
      <c r="Q3337" s="13">
        <v>45530</v>
      </c>
      <c r="R3337" s="13">
        <v>45546</v>
      </c>
      <c r="S3337">
        <v>2024</v>
      </c>
      <c r="T3337" s="12" t="s">
        <v>4077</v>
      </c>
      <c r="U3337">
        <v>698</v>
      </c>
      <c r="V3337">
        <v>11.9803</v>
      </c>
      <c r="W3337">
        <v>145.21</v>
      </c>
      <c r="X3337">
        <v>0</v>
      </c>
      <c r="Y3337">
        <v>0</v>
      </c>
      <c r="Z3337">
        <v>8362.25</v>
      </c>
      <c r="AA3337">
        <v>8507.4599999999991</v>
      </c>
      <c r="AB3337" s="12" t="s">
        <v>3188</v>
      </c>
      <c r="AC3337">
        <v>11.9803</v>
      </c>
      <c r="AD3337">
        <v>1</v>
      </c>
      <c r="AE3337">
        <v>1</v>
      </c>
      <c r="AF3337">
        <v>0</v>
      </c>
      <c r="AG3337">
        <v>8362.25</v>
      </c>
      <c r="AH3337">
        <v>698</v>
      </c>
      <c r="AI3337">
        <v>691</v>
      </c>
      <c r="AJ3337">
        <v>7</v>
      </c>
      <c r="AK3337">
        <v>1</v>
      </c>
      <c r="AL3337">
        <v>1</v>
      </c>
      <c r="AM3337">
        <v>99</v>
      </c>
      <c r="AN3337">
        <v>12.3118</v>
      </c>
      <c r="AO3337">
        <v>83.86</v>
      </c>
      <c r="AP3337" s="13">
        <v>45546</v>
      </c>
      <c r="AQ3337">
        <v>0</v>
      </c>
      <c r="AR3337">
        <v>1</v>
      </c>
    </row>
    <row r="3338" spans="1:44" x14ac:dyDescent="0.35">
      <c r="A3338" s="12" t="s">
        <v>4250</v>
      </c>
      <c r="B3338" s="12" t="s">
        <v>990</v>
      </c>
      <c r="C3338" s="12" t="s">
        <v>991</v>
      </c>
      <c r="D3338" s="12" t="s">
        <v>122</v>
      </c>
      <c r="E3338" s="12" t="s">
        <v>142</v>
      </c>
      <c r="F3338">
        <v>1</v>
      </c>
      <c r="G3338">
        <v>6</v>
      </c>
      <c r="H3338">
        <v>1</v>
      </c>
      <c r="I3338" s="12" t="s">
        <v>217</v>
      </c>
      <c r="J3338" s="12" t="s">
        <v>218</v>
      </c>
      <c r="K3338" s="12" t="s">
        <v>68</v>
      </c>
      <c r="L3338" s="12" t="s">
        <v>82</v>
      </c>
      <c r="M3338">
        <v>14.24</v>
      </c>
      <c r="N3338" s="12" t="s">
        <v>97</v>
      </c>
      <c r="O3338" s="12" t="s">
        <v>98</v>
      </c>
      <c r="P3338" s="12" t="s">
        <v>72</v>
      </c>
      <c r="Q3338" s="13">
        <v>45531</v>
      </c>
      <c r="R3338" s="13">
        <v>45579</v>
      </c>
      <c r="S3338">
        <v>2024</v>
      </c>
      <c r="T3338" s="12" t="s">
        <v>4077</v>
      </c>
      <c r="U3338">
        <v>1573</v>
      </c>
      <c r="V3338">
        <v>33.6252</v>
      </c>
      <c r="W3338">
        <v>524.41999999999996</v>
      </c>
      <c r="X3338">
        <v>0</v>
      </c>
      <c r="Y3338">
        <v>0</v>
      </c>
      <c r="Z3338">
        <v>52892.44</v>
      </c>
      <c r="AA3338">
        <v>53416.86</v>
      </c>
      <c r="AB3338" s="12" t="s">
        <v>3368</v>
      </c>
      <c r="AC3338">
        <v>33.6252</v>
      </c>
      <c r="AD3338">
        <v>1</v>
      </c>
      <c r="AE3338">
        <v>1</v>
      </c>
      <c r="AF3338">
        <v>0</v>
      </c>
      <c r="AG3338">
        <v>52892.44</v>
      </c>
      <c r="AH3338">
        <v>1573</v>
      </c>
      <c r="AI3338">
        <v>1566</v>
      </c>
      <c r="AJ3338">
        <v>7</v>
      </c>
      <c r="AK3338">
        <v>1</v>
      </c>
      <c r="AL3338">
        <v>1</v>
      </c>
      <c r="AM3338">
        <v>99.55</v>
      </c>
      <c r="AN3338">
        <v>34.110399999999998</v>
      </c>
      <c r="AO3338">
        <v>235.38</v>
      </c>
      <c r="AP3338" s="13">
        <v>45576</v>
      </c>
      <c r="AQ3338">
        <v>-3</v>
      </c>
      <c r="AR3338">
        <v>1</v>
      </c>
    </row>
    <row r="3339" spans="1:44" x14ac:dyDescent="0.35">
      <c r="A3339" s="12" t="s">
        <v>4251</v>
      </c>
      <c r="B3339" s="12" t="s">
        <v>952</v>
      </c>
      <c r="C3339" s="12" t="s">
        <v>953</v>
      </c>
      <c r="D3339" s="12" t="s">
        <v>64</v>
      </c>
      <c r="E3339" s="12" t="s">
        <v>142</v>
      </c>
      <c r="F3339">
        <v>1</v>
      </c>
      <c r="G3339">
        <v>8</v>
      </c>
      <c r="H3339">
        <v>1</v>
      </c>
      <c r="I3339" s="12" t="s">
        <v>131</v>
      </c>
      <c r="J3339" s="12" t="s">
        <v>132</v>
      </c>
      <c r="K3339" s="12" t="s">
        <v>133</v>
      </c>
      <c r="L3339" s="12" t="s">
        <v>134</v>
      </c>
      <c r="M3339">
        <v>1.51</v>
      </c>
      <c r="N3339" s="12" t="s">
        <v>70</v>
      </c>
      <c r="O3339" s="12" t="s">
        <v>71</v>
      </c>
      <c r="P3339" s="12" t="s">
        <v>72</v>
      </c>
      <c r="Q3339" s="13">
        <v>45531</v>
      </c>
      <c r="R3339" s="13">
        <v>45580</v>
      </c>
      <c r="S3339">
        <v>2024</v>
      </c>
      <c r="T3339" s="12" t="s">
        <v>4077</v>
      </c>
      <c r="U3339">
        <v>813</v>
      </c>
      <c r="V3339">
        <v>31.110399999999998</v>
      </c>
      <c r="W3339">
        <v>207.21</v>
      </c>
      <c r="X3339">
        <v>0</v>
      </c>
      <c r="Y3339">
        <v>0</v>
      </c>
      <c r="Z3339">
        <v>25292.76</v>
      </c>
      <c r="AA3339">
        <v>25499.97</v>
      </c>
      <c r="AB3339" s="12" t="s">
        <v>3261</v>
      </c>
      <c r="AC3339">
        <v>31.110399999999998</v>
      </c>
      <c r="AD3339">
        <v>1</v>
      </c>
      <c r="AE3339">
        <v>1</v>
      </c>
      <c r="AF3339">
        <v>0</v>
      </c>
      <c r="AG3339">
        <v>25292.76</v>
      </c>
      <c r="AH3339">
        <v>813</v>
      </c>
      <c r="AI3339">
        <v>800</v>
      </c>
      <c r="AJ3339">
        <v>13</v>
      </c>
      <c r="AK3339">
        <v>1</v>
      </c>
      <c r="AL3339">
        <v>1</v>
      </c>
      <c r="AM3339">
        <v>98.4</v>
      </c>
      <c r="AN3339">
        <v>31.875</v>
      </c>
      <c r="AO3339">
        <v>404.44</v>
      </c>
      <c r="AP3339" s="13">
        <v>45577</v>
      </c>
      <c r="AQ3339">
        <v>-3</v>
      </c>
      <c r="AR3339">
        <v>1</v>
      </c>
    </row>
    <row r="3340" spans="1:44" x14ac:dyDescent="0.35">
      <c r="A3340" s="12" t="s">
        <v>4252</v>
      </c>
      <c r="B3340" s="12" t="s">
        <v>1179</v>
      </c>
      <c r="C3340" s="12" t="s">
        <v>1180</v>
      </c>
      <c r="D3340" s="12" t="s">
        <v>122</v>
      </c>
      <c r="E3340" s="12" t="s">
        <v>142</v>
      </c>
      <c r="F3340">
        <v>1</v>
      </c>
      <c r="G3340">
        <v>8</v>
      </c>
      <c r="H3340">
        <v>1</v>
      </c>
      <c r="I3340" s="12" t="s">
        <v>143</v>
      </c>
      <c r="J3340" s="12" t="s">
        <v>144</v>
      </c>
      <c r="K3340" s="12" t="s">
        <v>133</v>
      </c>
      <c r="L3340" s="12" t="s">
        <v>96</v>
      </c>
      <c r="M3340">
        <v>5.43</v>
      </c>
      <c r="N3340" s="12" t="s">
        <v>70</v>
      </c>
      <c r="O3340" s="12" t="s">
        <v>71</v>
      </c>
      <c r="P3340" s="12" t="s">
        <v>72</v>
      </c>
      <c r="Q3340" s="13">
        <v>45531</v>
      </c>
      <c r="R3340" s="13">
        <v>45566</v>
      </c>
      <c r="S3340">
        <v>2024</v>
      </c>
      <c r="T3340" s="12" t="s">
        <v>4077</v>
      </c>
      <c r="U3340">
        <v>206</v>
      </c>
      <c r="V3340">
        <v>52.441499999999998</v>
      </c>
      <c r="W3340">
        <v>152.22</v>
      </c>
      <c r="X3340">
        <v>339.53</v>
      </c>
      <c r="Y3340">
        <v>1</v>
      </c>
      <c r="Z3340">
        <v>10802.95</v>
      </c>
      <c r="AA3340">
        <v>11294.7</v>
      </c>
      <c r="AB3340" s="12" t="s">
        <v>3049</v>
      </c>
      <c r="AC3340">
        <v>52.441499999999998</v>
      </c>
      <c r="AD3340">
        <v>1</v>
      </c>
      <c r="AE3340">
        <v>1</v>
      </c>
      <c r="AF3340">
        <v>0</v>
      </c>
      <c r="AG3340">
        <v>10802.95</v>
      </c>
      <c r="AH3340">
        <v>206</v>
      </c>
      <c r="AI3340">
        <v>206</v>
      </c>
      <c r="AJ3340">
        <v>0</v>
      </c>
      <c r="AK3340">
        <v>1</v>
      </c>
      <c r="AL3340">
        <v>1</v>
      </c>
      <c r="AM3340">
        <v>100</v>
      </c>
      <c r="AN3340">
        <v>54.828600000000002</v>
      </c>
      <c r="AO3340">
        <v>0</v>
      </c>
      <c r="AP3340" s="13">
        <v>45563</v>
      </c>
      <c r="AQ3340">
        <v>-3</v>
      </c>
      <c r="AR3340">
        <v>1</v>
      </c>
    </row>
    <row r="3341" spans="1:44" x14ac:dyDescent="0.35">
      <c r="A3341" s="12" t="s">
        <v>4253</v>
      </c>
      <c r="B3341" s="12" t="s">
        <v>140</v>
      </c>
      <c r="C3341" s="12" t="s">
        <v>141</v>
      </c>
      <c r="D3341" s="12" t="s">
        <v>103</v>
      </c>
      <c r="E3341" s="12" t="s">
        <v>142</v>
      </c>
      <c r="F3341">
        <v>1</v>
      </c>
      <c r="G3341">
        <v>7</v>
      </c>
      <c r="H3341">
        <v>1</v>
      </c>
      <c r="I3341" s="12" t="s">
        <v>143</v>
      </c>
      <c r="J3341" s="12" t="s">
        <v>144</v>
      </c>
      <c r="K3341" s="12" t="s">
        <v>133</v>
      </c>
      <c r="L3341" s="12" t="s">
        <v>96</v>
      </c>
      <c r="M3341">
        <v>5.43</v>
      </c>
      <c r="N3341" s="12" t="s">
        <v>145</v>
      </c>
      <c r="O3341" s="12" t="s">
        <v>146</v>
      </c>
      <c r="P3341" s="12" t="s">
        <v>109</v>
      </c>
      <c r="Q3341" s="13">
        <v>45531</v>
      </c>
      <c r="R3341" s="13">
        <v>45581</v>
      </c>
      <c r="S3341">
        <v>2024</v>
      </c>
      <c r="T3341" s="12" t="s">
        <v>4077</v>
      </c>
      <c r="U3341">
        <v>127</v>
      </c>
      <c r="V3341">
        <v>211.35810000000001</v>
      </c>
      <c r="W3341">
        <v>224.6</v>
      </c>
      <c r="X3341">
        <v>0</v>
      </c>
      <c r="Y3341">
        <v>0</v>
      </c>
      <c r="Z3341">
        <v>26842.48</v>
      </c>
      <c r="AA3341">
        <v>27067.08</v>
      </c>
      <c r="AB3341" s="12" t="s">
        <v>2815</v>
      </c>
      <c r="AC3341">
        <v>211.35810000000001</v>
      </c>
      <c r="AD3341">
        <v>1</v>
      </c>
      <c r="AE3341">
        <v>1</v>
      </c>
      <c r="AF3341">
        <v>0</v>
      </c>
      <c r="AG3341">
        <v>26842.48</v>
      </c>
      <c r="AH3341">
        <v>127</v>
      </c>
      <c r="AI3341">
        <v>126</v>
      </c>
      <c r="AJ3341">
        <v>1</v>
      </c>
      <c r="AK3341">
        <v>1</v>
      </c>
      <c r="AL3341">
        <v>1</v>
      </c>
      <c r="AM3341">
        <v>99.21</v>
      </c>
      <c r="AN3341">
        <v>214.81809999999999</v>
      </c>
      <c r="AO3341">
        <v>211.36</v>
      </c>
      <c r="AP3341" s="13">
        <v>45578</v>
      </c>
      <c r="AQ3341">
        <v>-3</v>
      </c>
      <c r="AR3341">
        <v>1</v>
      </c>
    </row>
    <row r="3342" spans="1:44" x14ac:dyDescent="0.35">
      <c r="A3342" s="12" t="s">
        <v>4254</v>
      </c>
      <c r="B3342" s="12" t="s">
        <v>941</v>
      </c>
      <c r="C3342" s="12" t="s">
        <v>942</v>
      </c>
      <c r="D3342" s="12" t="s">
        <v>130</v>
      </c>
      <c r="E3342" s="12" t="s">
        <v>104</v>
      </c>
      <c r="F3342">
        <v>2</v>
      </c>
      <c r="G3342">
        <v>0</v>
      </c>
      <c r="H3342">
        <v>0</v>
      </c>
      <c r="I3342" s="12" t="s">
        <v>131</v>
      </c>
      <c r="J3342" s="12" t="s">
        <v>132</v>
      </c>
      <c r="K3342" s="12" t="s">
        <v>133</v>
      </c>
      <c r="L3342" s="12" t="s">
        <v>134</v>
      </c>
      <c r="M3342">
        <v>1.51</v>
      </c>
      <c r="N3342" s="12" t="s">
        <v>135</v>
      </c>
      <c r="O3342" s="12" t="s">
        <v>136</v>
      </c>
      <c r="P3342" s="12" t="s">
        <v>137</v>
      </c>
      <c r="Q3342" s="13">
        <v>45531</v>
      </c>
      <c r="R3342" s="13">
        <v>45553</v>
      </c>
      <c r="S3342">
        <v>2024</v>
      </c>
      <c r="T3342" s="12" t="s">
        <v>4077</v>
      </c>
      <c r="U3342">
        <v>94</v>
      </c>
      <c r="V3342">
        <v>789.87260000000003</v>
      </c>
      <c r="W3342">
        <v>1757.25</v>
      </c>
      <c r="X3342">
        <v>0</v>
      </c>
      <c r="Y3342">
        <v>0</v>
      </c>
      <c r="Z3342">
        <v>74248.02</v>
      </c>
      <c r="AA3342">
        <v>76005.27</v>
      </c>
      <c r="AB3342" s="12" t="s">
        <v>3518</v>
      </c>
      <c r="AC3342">
        <v>839.4819</v>
      </c>
      <c r="AD3342">
        <v>1</v>
      </c>
      <c r="AE3342">
        <v>1</v>
      </c>
      <c r="AF3342">
        <v>-4663.2700000000004</v>
      </c>
      <c r="AG3342">
        <v>78911.3</v>
      </c>
      <c r="AH3342">
        <v>94</v>
      </c>
      <c r="AI3342">
        <v>89</v>
      </c>
      <c r="AJ3342">
        <v>5</v>
      </c>
      <c r="AK3342">
        <v>1</v>
      </c>
      <c r="AL3342">
        <v>1</v>
      </c>
      <c r="AM3342">
        <v>94.68</v>
      </c>
      <c r="AN3342">
        <v>853.99180000000001</v>
      </c>
      <c r="AO3342">
        <v>3949.36</v>
      </c>
      <c r="AP3342" s="13">
        <v>45549</v>
      </c>
      <c r="AQ3342">
        <v>-4</v>
      </c>
      <c r="AR3342">
        <v>1</v>
      </c>
    </row>
    <row r="3343" spans="1:44" x14ac:dyDescent="0.35">
      <c r="A3343" s="12" t="s">
        <v>4255</v>
      </c>
      <c r="B3343" s="12" t="s">
        <v>792</v>
      </c>
      <c r="C3343" s="12" t="s">
        <v>793</v>
      </c>
      <c r="D3343" s="12" t="s">
        <v>103</v>
      </c>
      <c r="E3343" s="12" t="s">
        <v>65</v>
      </c>
      <c r="F3343">
        <v>2</v>
      </c>
      <c r="G3343">
        <v>3</v>
      </c>
      <c r="H3343">
        <v>0</v>
      </c>
      <c r="I3343" s="12" t="s">
        <v>115</v>
      </c>
      <c r="J3343" s="12" t="s">
        <v>116</v>
      </c>
      <c r="K3343" s="12" t="s">
        <v>117</v>
      </c>
      <c r="L3343" s="12" t="s">
        <v>82</v>
      </c>
      <c r="M3343">
        <v>17.170000000000002</v>
      </c>
      <c r="N3343" s="12" t="s">
        <v>107</v>
      </c>
      <c r="O3343" s="12" t="s">
        <v>108</v>
      </c>
      <c r="P3343" s="12" t="s">
        <v>109</v>
      </c>
      <c r="Q3343" s="13">
        <v>45531</v>
      </c>
      <c r="R3343" s="13">
        <v>45557</v>
      </c>
      <c r="S3343">
        <v>2024</v>
      </c>
      <c r="T3343" s="12" t="s">
        <v>4077</v>
      </c>
      <c r="U3343">
        <v>49</v>
      </c>
      <c r="V3343">
        <v>98.330600000000004</v>
      </c>
      <c r="W3343">
        <v>89.66</v>
      </c>
      <c r="X3343">
        <v>0</v>
      </c>
      <c r="Y3343">
        <v>0</v>
      </c>
      <c r="Z3343">
        <v>4818.2</v>
      </c>
      <c r="AA3343">
        <v>4907.8599999999997</v>
      </c>
      <c r="AB3343" s="12" t="s">
        <v>3411</v>
      </c>
      <c r="AC3343">
        <v>98.330600000000004</v>
      </c>
      <c r="AD3343">
        <v>1</v>
      </c>
      <c r="AE3343">
        <v>1</v>
      </c>
      <c r="AF3343">
        <v>0</v>
      </c>
      <c r="AG3343">
        <v>4818.2</v>
      </c>
      <c r="AH3343">
        <v>49</v>
      </c>
      <c r="AI3343">
        <v>49</v>
      </c>
      <c r="AJ3343">
        <v>0</v>
      </c>
      <c r="AK3343">
        <v>1</v>
      </c>
      <c r="AL3343">
        <v>1</v>
      </c>
      <c r="AM3343">
        <v>100</v>
      </c>
      <c r="AN3343">
        <v>100.1604</v>
      </c>
      <c r="AO3343">
        <v>0</v>
      </c>
      <c r="AP3343" s="13">
        <v>45557</v>
      </c>
      <c r="AQ3343">
        <v>0</v>
      </c>
      <c r="AR3343">
        <v>1</v>
      </c>
    </row>
    <row r="3344" spans="1:44" x14ac:dyDescent="0.35">
      <c r="A3344" s="12" t="s">
        <v>4256</v>
      </c>
      <c r="B3344" s="12" t="s">
        <v>561</v>
      </c>
      <c r="C3344" s="12" t="s">
        <v>562</v>
      </c>
      <c r="D3344" s="12" t="s">
        <v>130</v>
      </c>
      <c r="E3344" s="12" t="s">
        <v>142</v>
      </c>
      <c r="F3344">
        <v>1</v>
      </c>
      <c r="G3344">
        <v>9</v>
      </c>
      <c r="H3344">
        <v>1</v>
      </c>
      <c r="I3344" s="12" t="s">
        <v>223</v>
      </c>
      <c r="J3344" s="12" t="s">
        <v>224</v>
      </c>
      <c r="K3344" s="12" t="s">
        <v>81</v>
      </c>
      <c r="L3344" s="12" t="s">
        <v>134</v>
      </c>
      <c r="M3344">
        <v>2.4900000000000002</v>
      </c>
      <c r="N3344" s="12" t="s">
        <v>135</v>
      </c>
      <c r="O3344" s="12" t="s">
        <v>136</v>
      </c>
      <c r="P3344" s="12" t="s">
        <v>137</v>
      </c>
      <c r="Q3344" s="13">
        <v>45531</v>
      </c>
      <c r="R3344" s="13">
        <v>45570</v>
      </c>
      <c r="S3344">
        <v>2024</v>
      </c>
      <c r="T3344" s="12" t="s">
        <v>4077</v>
      </c>
      <c r="U3344">
        <v>44</v>
      </c>
      <c r="V3344">
        <v>559.93939999999998</v>
      </c>
      <c r="W3344">
        <v>508.7</v>
      </c>
      <c r="X3344">
        <v>0</v>
      </c>
      <c r="Y3344">
        <v>0</v>
      </c>
      <c r="Z3344">
        <v>24637.33</v>
      </c>
      <c r="AA3344">
        <v>25146.03</v>
      </c>
      <c r="AB3344" s="12" t="s">
        <v>201</v>
      </c>
      <c r="AD3344">
        <v>0</v>
      </c>
      <c r="AE3344">
        <v>0</v>
      </c>
      <c r="AH3344">
        <v>44</v>
      </c>
      <c r="AI3344">
        <v>44</v>
      </c>
      <c r="AJ3344">
        <v>0</v>
      </c>
      <c r="AK3344">
        <v>1</v>
      </c>
      <c r="AL3344">
        <v>1</v>
      </c>
      <c r="AM3344">
        <v>100</v>
      </c>
      <c r="AN3344">
        <v>571.50080000000003</v>
      </c>
      <c r="AO3344">
        <v>0</v>
      </c>
      <c r="AP3344" s="13">
        <v>45575</v>
      </c>
      <c r="AQ3344">
        <v>5</v>
      </c>
      <c r="AR3344">
        <v>0</v>
      </c>
    </row>
    <row r="3345" spans="1:44" x14ac:dyDescent="0.35">
      <c r="A3345" s="12" t="s">
        <v>4257</v>
      </c>
      <c r="B3345" s="12" t="s">
        <v>433</v>
      </c>
      <c r="C3345" s="12" t="s">
        <v>434</v>
      </c>
      <c r="D3345" s="12" t="s">
        <v>78</v>
      </c>
      <c r="E3345" s="12" t="s">
        <v>65</v>
      </c>
      <c r="F3345">
        <v>2</v>
      </c>
      <c r="G3345">
        <v>4</v>
      </c>
      <c r="H3345">
        <v>0</v>
      </c>
      <c r="I3345" s="12" t="s">
        <v>243</v>
      </c>
      <c r="J3345" s="12" t="s">
        <v>244</v>
      </c>
      <c r="K3345" s="12" t="s">
        <v>81</v>
      </c>
      <c r="L3345" s="12" t="s">
        <v>82</v>
      </c>
      <c r="M3345">
        <v>9.2200000000000006</v>
      </c>
      <c r="N3345" s="12" t="s">
        <v>97</v>
      </c>
      <c r="O3345" s="12" t="s">
        <v>98</v>
      </c>
      <c r="P3345" s="12" t="s">
        <v>72</v>
      </c>
      <c r="Q3345" s="13">
        <v>45531</v>
      </c>
      <c r="R3345" s="13">
        <v>45559</v>
      </c>
      <c r="S3345">
        <v>2024</v>
      </c>
      <c r="T3345" s="12" t="s">
        <v>4077</v>
      </c>
      <c r="U3345">
        <v>141</v>
      </c>
      <c r="V3345">
        <v>72.334800000000001</v>
      </c>
      <c r="W3345">
        <v>70.900000000000006</v>
      </c>
      <c r="X3345">
        <v>0</v>
      </c>
      <c r="Y3345">
        <v>0</v>
      </c>
      <c r="Z3345">
        <v>10199.209999999999</v>
      </c>
      <c r="AA3345">
        <v>10270.11</v>
      </c>
      <c r="AB3345" s="12" t="s">
        <v>3109</v>
      </c>
      <c r="AC3345">
        <v>72.334800000000001</v>
      </c>
      <c r="AD3345">
        <v>1</v>
      </c>
      <c r="AE3345">
        <v>1</v>
      </c>
      <c r="AF3345">
        <v>0</v>
      </c>
      <c r="AG3345">
        <v>10199.209999999999</v>
      </c>
      <c r="AH3345">
        <v>141</v>
      </c>
      <c r="AI3345">
        <v>139</v>
      </c>
      <c r="AJ3345">
        <v>2</v>
      </c>
      <c r="AK3345">
        <v>1</v>
      </c>
      <c r="AL3345">
        <v>1</v>
      </c>
      <c r="AM3345">
        <v>98.58</v>
      </c>
      <c r="AN3345">
        <v>73.8857</v>
      </c>
      <c r="AO3345">
        <v>144.66999999999999</v>
      </c>
      <c r="AP3345" s="13">
        <v>45559</v>
      </c>
      <c r="AQ3345">
        <v>0</v>
      </c>
      <c r="AR3345">
        <v>1</v>
      </c>
    </row>
    <row r="3346" spans="1:44" x14ac:dyDescent="0.35">
      <c r="A3346" s="12" t="s">
        <v>4258</v>
      </c>
      <c r="B3346" s="12" t="s">
        <v>437</v>
      </c>
      <c r="C3346" s="12" t="s">
        <v>438</v>
      </c>
      <c r="D3346" s="12" t="s">
        <v>269</v>
      </c>
      <c r="E3346" s="12" t="s">
        <v>65</v>
      </c>
      <c r="F3346">
        <v>2</v>
      </c>
      <c r="G3346">
        <v>4</v>
      </c>
      <c r="H3346">
        <v>0</v>
      </c>
      <c r="I3346" s="12" t="s">
        <v>115</v>
      </c>
      <c r="J3346" s="12" t="s">
        <v>116</v>
      </c>
      <c r="K3346" s="12" t="s">
        <v>117</v>
      </c>
      <c r="L3346" s="12" t="s">
        <v>82</v>
      </c>
      <c r="M3346">
        <v>17.170000000000002</v>
      </c>
      <c r="N3346" s="12" t="s">
        <v>135</v>
      </c>
      <c r="O3346" s="12" t="s">
        <v>136</v>
      </c>
      <c r="P3346" s="12" t="s">
        <v>137</v>
      </c>
      <c r="Q3346" s="13">
        <v>45532</v>
      </c>
      <c r="R3346" s="13">
        <v>45557</v>
      </c>
      <c r="S3346">
        <v>2024</v>
      </c>
      <c r="T3346" s="12" t="s">
        <v>4077</v>
      </c>
      <c r="U3346">
        <v>43</v>
      </c>
      <c r="V3346">
        <v>440.05549999999999</v>
      </c>
      <c r="W3346">
        <v>196.52</v>
      </c>
      <c r="X3346">
        <v>0</v>
      </c>
      <c r="Y3346">
        <v>0</v>
      </c>
      <c r="Z3346">
        <v>18922.39</v>
      </c>
      <c r="AA3346">
        <v>19118.91</v>
      </c>
      <c r="AB3346" s="12" t="s">
        <v>2670</v>
      </c>
      <c r="AC3346">
        <v>440.05549999999999</v>
      </c>
      <c r="AD3346">
        <v>1</v>
      </c>
      <c r="AE3346">
        <v>1</v>
      </c>
      <c r="AF3346">
        <v>0</v>
      </c>
      <c r="AG3346">
        <v>18922.39</v>
      </c>
      <c r="AH3346">
        <v>43</v>
      </c>
      <c r="AI3346">
        <v>43</v>
      </c>
      <c r="AJ3346">
        <v>0</v>
      </c>
      <c r="AK3346">
        <v>1</v>
      </c>
      <c r="AL3346">
        <v>1</v>
      </c>
      <c r="AM3346">
        <v>100</v>
      </c>
      <c r="AN3346">
        <v>444.62569999999999</v>
      </c>
      <c r="AO3346">
        <v>0</v>
      </c>
      <c r="AP3346" s="13">
        <v>45564</v>
      </c>
      <c r="AQ3346">
        <v>7</v>
      </c>
      <c r="AR3346">
        <v>0</v>
      </c>
    </row>
    <row r="3347" spans="1:44" x14ac:dyDescent="0.35">
      <c r="A3347" s="12" t="s">
        <v>4259</v>
      </c>
      <c r="B3347" s="12" t="s">
        <v>1220</v>
      </c>
      <c r="C3347" s="12" t="s">
        <v>1221</v>
      </c>
      <c r="D3347" s="12" t="s">
        <v>175</v>
      </c>
      <c r="E3347" s="12" t="s">
        <v>104</v>
      </c>
      <c r="F3347">
        <v>3</v>
      </c>
      <c r="G3347">
        <v>1</v>
      </c>
      <c r="H3347">
        <v>0</v>
      </c>
      <c r="I3347" s="12" t="s">
        <v>251</v>
      </c>
      <c r="J3347" s="12" t="s">
        <v>252</v>
      </c>
      <c r="K3347" s="12" t="s">
        <v>133</v>
      </c>
      <c r="L3347" s="12" t="s">
        <v>69</v>
      </c>
      <c r="M3347">
        <v>34.49</v>
      </c>
      <c r="N3347" s="12" t="s">
        <v>107</v>
      </c>
      <c r="O3347" s="12" t="s">
        <v>108</v>
      </c>
      <c r="P3347" s="12" t="s">
        <v>109</v>
      </c>
      <c r="Q3347" s="13">
        <v>45532</v>
      </c>
      <c r="R3347" s="13">
        <v>45559</v>
      </c>
      <c r="S3347">
        <v>2024</v>
      </c>
      <c r="T3347" s="12" t="s">
        <v>4077</v>
      </c>
      <c r="U3347">
        <v>130</v>
      </c>
      <c r="V3347">
        <v>138.95140000000001</v>
      </c>
      <c r="W3347">
        <v>417.07</v>
      </c>
      <c r="X3347">
        <v>0</v>
      </c>
      <c r="Y3347">
        <v>0</v>
      </c>
      <c r="Z3347">
        <v>18063.68</v>
      </c>
      <c r="AA3347">
        <v>18480.75</v>
      </c>
      <c r="AB3347" s="12" t="s">
        <v>3687</v>
      </c>
      <c r="AC3347">
        <v>138.95140000000001</v>
      </c>
      <c r="AD3347">
        <v>1</v>
      </c>
      <c r="AE3347">
        <v>1</v>
      </c>
      <c r="AF3347">
        <v>0</v>
      </c>
      <c r="AG3347">
        <v>18063.68</v>
      </c>
      <c r="AH3347">
        <v>130</v>
      </c>
      <c r="AI3347">
        <v>128</v>
      </c>
      <c r="AJ3347">
        <v>2</v>
      </c>
      <c r="AK3347">
        <v>1</v>
      </c>
      <c r="AL3347">
        <v>1</v>
      </c>
      <c r="AM3347">
        <v>98.46</v>
      </c>
      <c r="AN3347">
        <v>144.3809</v>
      </c>
      <c r="AO3347">
        <v>277.89999999999998</v>
      </c>
      <c r="AP3347" s="13">
        <v>45557</v>
      </c>
      <c r="AQ3347">
        <v>-2</v>
      </c>
      <c r="AR3347">
        <v>1</v>
      </c>
    </row>
    <row r="3348" spans="1:44" x14ac:dyDescent="0.35">
      <c r="A3348" s="12" t="s">
        <v>4260</v>
      </c>
      <c r="B3348" s="12" t="s">
        <v>661</v>
      </c>
      <c r="C3348" s="12" t="s">
        <v>662</v>
      </c>
      <c r="D3348" s="12" t="s">
        <v>175</v>
      </c>
      <c r="E3348" s="12" t="s">
        <v>104</v>
      </c>
      <c r="F3348">
        <v>1</v>
      </c>
      <c r="G3348">
        <v>0</v>
      </c>
      <c r="H3348">
        <v>1</v>
      </c>
      <c r="I3348" s="12" t="s">
        <v>183</v>
      </c>
      <c r="J3348" s="12" t="s">
        <v>184</v>
      </c>
      <c r="K3348" s="12" t="s">
        <v>133</v>
      </c>
      <c r="L3348" s="12" t="s">
        <v>82</v>
      </c>
      <c r="M3348">
        <v>8.6199999999999992</v>
      </c>
      <c r="N3348" s="12" t="s">
        <v>107</v>
      </c>
      <c r="O3348" s="12" t="s">
        <v>108</v>
      </c>
      <c r="P3348" s="12" t="s">
        <v>109</v>
      </c>
      <c r="Q3348" s="13">
        <v>45532</v>
      </c>
      <c r="R3348" s="13">
        <v>45549</v>
      </c>
      <c r="S3348">
        <v>2024</v>
      </c>
      <c r="T3348" s="12" t="s">
        <v>4077</v>
      </c>
      <c r="U3348">
        <v>52</v>
      </c>
      <c r="V3348">
        <v>183.9143</v>
      </c>
      <c r="W3348">
        <v>71.739999999999995</v>
      </c>
      <c r="X3348">
        <v>0</v>
      </c>
      <c r="Y3348">
        <v>0</v>
      </c>
      <c r="Z3348">
        <v>9563.5400000000009</v>
      </c>
      <c r="AA3348">
        <v>9635.2800000000007</v>
      </c>
      <c r="AB3348" s="12" t="s">
        <v>2851</v>
      </c>
      <c r="AC3348">
        <v>180.0376</v>
      </c>
      <c r="AD3348">
        <v>1</v>
      </c>
      <c r="AE3348">
        <v>1</v>
      </c>
      <c r="AF3348">
        <v>201.59</v>
      </c>
      <c r="AG3348">
        <v>9361.9599999999991</v>
      </c>
      <c r="AH3348">
        <v>52</v>
      </c>
      <c r="AI3348">
        <v>52</v>
      </c>
      <c r="AJ3348">
        <v>0</v>
      </c>
      <c r="AK3348">
        <v>1</v>
      </c>
      <c r="AL3348">
        <v>1</v>
      </c>
      <c r="AM3348">
        <v>100</v>
      </c>
      <c r="AN3348">
        <v>185.29390000000001</v>
      </c>
      <c r="AO3348">
        <v>0</v>
      </c>
      <c r="AP3348" s="13">
        <v>45549</v>
      </c>
      <c r="AQ3348">
        <v>0</v>
      </c>
      <c r="AR3348">
        <v>1</v>
      </c>
    </row>
    <row r="3349" spans="1:44" x14ac:dyDescent="0.35">
      <c r="A3349" s="12" t="s">
        <v>4261</v>
      </c>
      <c r="B3349" s="12" t="s">
        <v>140</v>
      </c>
      <c r="C3349" s="12" t="s">
        <v>141</v>
      </c>
      <c r="D3349" s="12" t="s">
        <v>103</v>
      </c>
      <c r="E3349" s="12" t="s">
        <v>142</v>
      </c>
      <c r="F3349">
        <v>1</v>
      </c>
      <c r="G3349">
        <v>7</v>
      </c>
      <c r="H3349">
        <v>1</v>
      </c>
      <c r="I3349" s="12" t="s">
        <v>143</v>
      </c>
      <c r="J3349" s="12" t="s">
        <v>144</v>
      </c>
      <c r="K3349" s="12" t="s">
        <v>133</v>
      </c>
      <c r="L3349" s="12" t="s">
        <v>96</v>
      </c>
      <c r="M3349">
        <v>5.43</v>
      </c>
      <c r="N3349" s="12" t="s">
        <v>107</v>
      </c>
      <c r="O3349" s="12" t="s">
        <v>108</v>
      </c>
      <c r="P3349" s="12" t="s">
        <v>109</v>
      </c>
      <c r="Q3349" s="13">
        <v>45532</v>
      </c>
      <c r="R3349" s="13">
        <v>45580</v>
      </c>
      <c r="S3349">
        <v>2024</v>
      </c>
      <c r="T3349" s="12" t="s">
        <v>4077</v>
      </c>
      <c r="U3349">
        <v>111</v>
      </c>
      <c r="V3349">
        <v>211.35810000000001</v>
      </c>
      <c r="W3349">
        <v>140.94999999999999</v>
      </c>
      <c r="X3349">
        <v>0</v>
      </c>
      <c r="Y3349">
        <v>0</v>
      </c>
      <c r="Z3349">
        <v>23460.75</v>
      </c>
      <c r="AA3349">
        <v>23601.7</v>
      </c>
      <c r="AB3349" s="12" t="s">
        <v>2815</v>
      </c>
      <c r="AC3349">
        <v>211.35810000000001</v>
      </c>
      <c r="AD3349">
        <v>1</v>
      </c>
      <c r="AE3349">
        <v>1</v>
      </c>
      <c r="AF3349">
        <v>0</v>
      </c>
      <c r="AG3349">
        <v>23460.75</v>
      </c>
      <c r="AH3349">
        <v>111</v>
      </c>
      <c r="AI3349">
        <v>110</v>
      </c>
      <c r="AJ3349">
        <v>1</v>
      </c>
      <c r="AK3349">
        <v>1</v>
      </c>
      <c r="AL3349">
        <v>1</v>
      </c>
      <c r="AM3349">
        <v>99.1</v>
      </c>
      <c r="AN3349">
        <v>214.5609</v>
      </c>
      <c r="AO3349">
        <v>211.36</v>
      </c>
      <c r="AP3349" s="13">
        <v>45590</v>
      </c>
      <c r="AQ3349">
        <v>10</v>
      </c>
      <c r="AR3349">
        <v>0</v>
      </c>
    </row>
    <row r="3350" spans="1:44" x14ac:dyDescent="0.35">
      <c r="A3350" s="12" t="s">
        <v>4262</v>
      </c>
      <c r="B3350" s="12" t="s">
        <v>1166</v>
      </c>
      <c r="C3350" s="12" t="s">
        <v>1167</v>
      </c>
      <c r="D3350" s="12" t="s">
        <v>175</v>
      </c>
      <c r="E3350" s="12" t="s">
        <v>65</v>
      </c>
      <c r="F3350">
        <v>3</v>
      </c>
      <c r="G3350">
        <v>5</v>
      </c>
      <c r="H3350">
        <v>0</v>
      </c>
      <c r="I3350" s="12" t="s">
        <v>359</v>
      </c>
      <c r="J3350" s="12" t="s">
        <v>360</v>
      </c>
      <c r="K3350" s="12" t="s">
        <v>133</v>
      </c>
      <c r="L3350" s="12" t="s">
        <v>82</v>
      </c>
      <c r="M3350">
        <v>12.65</v>
      </c>
      <c r="N3350" s="12" t="s">
        <v>145</v>
      </c>
      <c r="O3350" s="12" t="s">
        <v>146</v>
      </c>
      <c r="P3350" s="12" t="s">
        <v>109</v>
      </c>
      <c r="Q3350" s="13">
        <v>45532</v>
      </c>
      <c r="R3350" s="13">
        <v>45564</v>
      </c>
      <c r="S3350">
        <v>2024</v>
      </c>
      <c r="T3350" s="12" t="s">
        <v>4077</v>
      </c>
      <c r="U3350">
        <v>99</v>
      </c>
      <c r="V3350">
        <v>266.7022</v>
      </c>
      <c r="W3350">
        <v>473.29</v>
      </c>
      <c r="X3350">
        <v>0</v>
      </c>
      <c r="Y3350">
        <v>0</v>
      </c>
      <c r="Z3350">
        <v>26403.52</v>
      </c>
      <c r="AA3350">
        <v>26876.81</v>
      </c>
      <c r="AB3350" s="12" t="s">
        <v>201</v>
      </c>
      <c r="AD3350">
        <v>0</v>
      </c>
      <c r="AE3350">
        <v>0</v>
      </c>
      <c r="AH3350">
        <v>99</v>
      </c>
      <c r="AI3350">
        <v>99</v>
      </c>
      <c r="AJ3350">
        <v>0</v>
      </c>
      <c r="AK3350">
        <v>1</v>
      </c>
      <c r="AL3350">
        <v>1</v>
      </c>
      <c r="AM3350">
        <v>100</v>
      </c>
      <c r="AN3350">
        <v>271.48289999999997</v>
      </c>
      <c r="AO3350">
        <v>0</v>
      </c>
      <c r="AP3350" s="13">
        <v>45562</v>
      </c>
      <c r="AQ3350">
        <v>-2</v>
      </c>
      <c r="AR3350">
        <v>1</v>
      </c>
    </row>
    <row r="3351" spans="1:44" x14ac:dyDescent="0.35">
      <c r="A3351" s="12" t="s">
        <v>4263</v>
      </c>
      <c r="B3351" s="12" t="s">
        <v>85</v>
      </c>
      <c r="C3351" s="12" t="s">
        <v>86</v>
      </c>
      <c r="D3351" s="12" t="s">
        <v>78</v>
      </c>
      <c r="E3351" s="12" t="s">
        <v>65</v>
      </c>
      <c r="F3351">
        <v>3</v>
      </c>
      <c r="G3351">
        <v>5</v>
      </c>
      <c r="H3351">
        <v>0</v>
      </c>
      <c r="I3351" s="12" t="s">
        <v>195</v>
      </c>
      <c r="J3351" s="12" t="s">
        <v>196</v>
      </c>
      <c r="K3351" s="12" t="s">
        <v>117</v>
      </c>
      <c r="L3351" s="12" t="s">
        <v>134</v>
      </c>
      <c r="M3351">
        <v>4.7699999999999996</v>
      </c>
      <c r="N3351" s="12" t="s">
        <v>97</v>
      </c>
      <c r="O3351" s="12" t="s">
        <v>98</v>
      </c>
      <c r="P3351" s="12" t="s">
        <v>72</v>
      </c>
      <c r="Q3351" s="13">
        <v>45532</v>
      </c>
      <c r="R3351" s="13">
        <v>45564</v>
      </c>
      <c r="S3351">
        <v>2024</v>
      </c>
      <c r="T3351" s="12" t="s">
        <v>4077</v>
      </c>
      <c r="U3351">
        <v>205</v>
      </c>
      <c r="V3351">
        <v>139.9503</v>
      </c>
      <c r="W3351">
        <v>673.43</v>
      </c>
      <c r="X3351">
        <v>0</v>
      </c>
      <c r="Y3351">
        <v>0</v>
      </c>
      <c r="Z3351">
        <v>28689.81</v>
      </c>
      <c r="AA3351">
        <v>29363.24</v>
      </c>
      <c r="AB3351" s="12" t="s">
        <v>2907</v>
      </c>
      <c r="AC3351">
        <v>139.9503</v>
      </c>
      <c r="AD3351">
        <v>1</v>
      </c>
      <c r="AE3351">
        <v>1</v>
      </c>
      <c r="AF3351">
        <v>0</v>
      </c>
      <c r="AG3351">
        <v>28689.81</v>
      </c>
      <c r="AH3351">
        <v>205</v>
      </c>
      <c r="AI3351">
        <v>201</v>
      </c>
      <c r="AJ3351">
        <v>4</v>
      </c>
      <c r="AK3351">
        <v>1</v>
      </c>
      <c r="AL3351">
        <v>1</v>
      </c>
      <c r="AM3351">
        <v>98.05</v>
      </c>
      <c r="AN3351">
        <v>146.08580000000001</v>
      </c>
      <c r="AO3351">
        <v>559.79999999999995</v>
      </c>
      <c r="AP3351" s="13">
        <v>45562</v>
      </c>
      <c r="AQ3351">
        <v>-2</v>
      </c>
      <c r="AR3351">
        <v>1</v>
      </c>
    </row>
    <row r="3352" spans="1:44" x14ac:dyDescent="0.35">
      <c r="A3352" s="12" t="s">
        <v>4264</v>
      </c>
      <c r="B3352" s="12" t="s">
        <v>792</v>
      </c>
      <c r="C3352" s="12" t="s">
        <v>793</v>
      </c>
      <c r="D3352" s="12" t="s">
        <v>103</v>
      </c>
      <c r="E3352" s="12" t="s">
        <v>65</v>
      </c>
      <c r="F3352">
        <v>2</v>
      </c>
      <c r="G3352">
        <v>3</v>
      </c>
      <c r="H3352">
        <v>0</v>
      </c>
      <c r="I3352" s="12" t="s">
        <v>359</v>
      </c>
      <c r="J3352" s="12" t="s">
        <v>360</v>
      </c>
      <c r="K3352" s="12" t="s">
        <v>133</v>
      </c>
      <c r="L3352" s="12" t="s">
        <v>82</v>
      </c>
      <c r="M3352">
        <v>12.65</v>
      </c>
      <c r="N3352" s="12" t="s">
        <v>145</v>
      </c>
      <c r="O3352" s="12" t="s">
        <v>146</v>
      </c>
      <c r="P3352" s="12" t="s">
        <v>109</v>
      </c>
      <c r="Q3352" s="13">
        <v>45532</v>
      </c>
      <c r="R3352" s="13">
        <v>45556</v>
      </c>
      <c r="S3352">
        <v>2024</v>
      </c>
      <c r="T3352" s="12" t="s">
        <v>4077</v>
      </c>
      <c r="U3352">
        <v>38</v>
      </c>
      <c r="V3352">
        <v>98.290800000000004</v>
      </c>
      <c r="W3352">
        <v>82.55</v>
      </c>
      <c r="X3352">
        <v>0</v>
      </c>
      <c r="Y3352">
        <v>0</v>
      </c>
      <c r="Z3352">
        <v>3735.05</v>
      </c>
      <c r="AA3352">
        <v>3817.6</v>
      </c>
      <c r="AB3352" s="12" t="s">
        <v>4265</v>
      </c>
      <c r="AC3352">
        <v>98.290800000000004</v>
      </c>
      <c r="AD3352">
        <v>1</v>
      </c>
      <c r="AE3352">
        <v>1</v>
      </c>
      <c r="AF3352">
        <v>0</v>
      </c>
      <c r="AG3352">
        <v>3735.05</v>
      </c>
      <c r="AH3352">
        <v>38</v>
      </c>
      <c r="AI3352">
        <v>37</v>
      </c>
      <c r="AJ3352">
        <v>1</v>
      </c>
      <c r="AK3352">
        <v>1</v>
      </c>
      <c r="AL3352">
        <v>1</v>
      </c>
      <c r="AM3352">
        <v>97.37</v>
      </c>
      <c r="AN3352">
        <v>103.1784</v>
      </c>
      <c r="AO3352">
        <v>98.29</v>
      </c>
      <c r="AP3352" s="13">
        <v>45556</v>
      </c>
      <c r="AQ3352">
        <v>0</v>
      </c>
      <c r="AR3352">
        <v>1</v>
      </c>
    </row>
    <row r="3353" spans="1:44" x14ac:dyDescent="0.35">
      <c r="A3353" s="12" t="s">
        <v>4266</v>
      </c>
      <c r="B3353" s="12" t="s">
        <v>565</v>
      </c>
      <c r="C3353" s="12" t="s">
        <v>566</v>
      </c>
      <c r="D3353" s="12" t="s">
        <v>122</v>
      </c>
      <c r="E3353" s="12" t="s">
        <v>104</v>
      </c>
      <c r="F3353">
        <v>3</v>
      </c>
      <c r="G3353">
        <v>1</v>
      </c>
      <c r="H3353">
        <v>0</v>
      </c>
      <c r="I3353" s="12" t="s">
        <v>87</v>
      </c>
      <c r="J3353" s="12" t="s">
        <v>88</v>
      </c>
      <c r="K3353" s="12" t="s">
        <v>89</v>
      </c>
      <c r="L3353" s="12" t="s">
        <v>69</v>
      </c>
      <c r="M3353">
        <v>14.93</v>
      </c>
      <c r="N3353" s="12" t="s">
        <v>97</v>
      </c>
      <c r="O3353" s="12" t="s">
        <v>98</v>
      </c>
      <c r="P3353" s="12" t="s">
        <v>72</v>
      </c>
      <c r="Q3353" s="13">
        <v>45533</v>
      </c>
      <c r="R3353" s="13">
        <v>45546</v>
      </c>
      <c r="S3353">
        <v>2024</v>
      </c>
      <c r="T3353" s="12" t="s">
        <v>4077</v>
      </c>
      <c r="U3353">
        <v>317</v>
      </c>
      <c r="V3353">
        <v>34.7179</v>
      </c>
      <c r="W3353">
        <v>177.33</v>
      </c>
      <c r="X3353">
        <v>0</v>
      </c>
      <c r="Y3353">
        <v>0</v>
      </c>
      <c r="Z3353">
        <v>11005.57</v>
      </c>
      <c r="AA3353">
        <v>11182.9</v>
      </c>
      <c r="AB3353" s="12" t="s">
        <v>3238</v>
      </c>
      <c r="AC3353">
        <v>34.7179</v>
      </c>
      <c r="AD3353">
        <v>1</v>
      </c>
      <c r="AE3353">
        <v>1</v>
      </c>
      <c r="AF3353">
        <v>0</v>
      </c>
      <c r="AG3353">
        <v>11005.57</v>
      </c>
      <c r="AH3353">
        <v>317</v>
      </c>
      <c r="AI3353">
        <v>314</v>
      </c>
      <c r="AJ3353">
        <v>3</v>
      </c>
      <c r="AK3353">
        <v>1</v>
      </c>
      <c r="AL3353">
        <v>1</v>
      </c>
      <c r="AM3353">
        <v>99.05</v>
      </c>
      <c r="AN3353">
        <v>35.6143</v>
      </c>
      <c r="AO3353">
        <v>104.15</v>
      </c>
      <c r="AP3353" s="13">
        <v>45546</v>
      </c>
      <c r="AQ3353">
        <v>0</v>
      </c>
      <c r="AR3353">
        <v>1</v>
      </c>
    </row>
    <row r="3354" spans="1:44" x14ac:dyDescent="0.35">
      <c r="A3354" s="12" t="s">
        <v>4267</v>
      </c>
      <c r="B3354" s="12" t="s">
        <v>843</v>
      </c>
      <c r="C3354" s="12" t="s">
        <v>844</v>
      </c>
      <c r="D3354" s="12" t="s">
        <v>175</v>
      </c>
      <c r="E3354" s="12" t="s">
        <v>65</v>
      </c>
      <c r="F3354">
        <v>3</v>
      </c>
      <c r="G3354">
        <v>5</v>
      </c>
      <c r="H3354">
        <v>0</v>
      </c>
      <c r="I3354" s="12" t="s">
        <v>359</v>
      </c>
      <c r="J3354" s="12" t="s">
        <v>360</v>
      </c>
      <c r="K3354" s="12" t="s">
        <v>133</v>
      </c>
      <c r="L3354" s="12" t="s">
        <v>82</v>
      </c>
      <c r="M3354">
        <v>12.65</v>
      </c>
      <c r="N3354" s="12" t="s">
        <v>107</v>
      </c>
      <c r="O3354" s="12" t="s">
        <v>108</v>
      </c>
      <c r="P3354" s="12" t="s">
        <v>109</v>
      </c>
      <c r="Q3354" s="13">
        <v>45533</v>
      </c>
      <c r="R3354" s="13">
        <v>45560</v>
      </c>
      <c r="S3354">
        <v>2024</v>
      </c>
      <c r="T3354" s="12" t="s">
        <v>4077</v>
      </c>
      <c r="U3354">
        <v>59</v>
      </c>
      <c r="V3354">
        <v>251.77279999999999</v>
      </c>
      <c r="W3354">
        <v>360.09</v>
      </c>
      <c r="X3354">
        <v>0</v>
      </c>
      <c r="Y3354">
        <v>0</v>
      </c>
      <c r="Z3354">
        <v>14854.6</v>
      </c>
      <c r="AA3354">
        <v>15214.69</v>
      </c>
      <c r="AB3354" s="12" t="s">
        <v>3324</v>
      </c>
      <c r="AC3354">
        <v>251.77279999999999</v>
      </c>
      <c r="AD3354">
        <v>1</v>
      </c>
      <c r="AE3354">
        <v>1</v>
      </c>
      <c r="AF3354">
        <v>0</v>
      </c>
      <c r="AG3354">
        <v>14854.6</v>
      </c>
      <c r="AH3354">
        <v>59</v>
      </c>
      <c r="AI3354">
        <v>58</v>
      </c>
      <c r="AJ3354">
        <v>1</v>
      </c>
      <c r="AK3354">
        <v>1</v>
      </c>
      <c r="AL3354">
        <v>1</v>
      </c>
      <c r="AM3354">
        <v>98.31</v>
      </c>
      <c r="AN3354">
        <v>262.32220000000001</v>
      </c>
      <c r="AO3354">
        <v>251.77</v>
      </c>
      <c r="AP3354" s="13">
        <v>45560</v>
      </c>
      <c r="AQ3354">
        <v>0</v>
      </c>
      <c r="AR3354">
        <v>1</v>
      </c>
    </row>
    <row r="3355" spans="1:44" x14ac:dyDescent="0.35">
      <c r="A3355" s="12" t="s">
        <v>4268</v>
      </c>
      <c r="B3355" s="12" t="s">
        <v>569</v>
      </c>
      <c r="C3355" s="12" t="s">
        <v>570</v>
      </c>
      <c r="D3355" s="12" t="s">
        <v>114</v>
      </c>
      <c r="E3355" s="12" t="s">
        <v>142</v>
      </c>
      <c r="F3355">
        <v>1</v>
      </c>
      <c r="G3355">
        <v>6</v>
      </c>
      <c r="H3355">
        <v>1</v>
      </c>
      <c r="I3355" s="12" t="s">
        <v>123</v>
      </c>
      <c r="J3355" s="12" t="s">
        <v>124</v>
      </c>
      <c r="K3355" s="12" t="s">
        <v>125</v>
      </c>
      <c r="L3355" s="12" t="s">
        <v>82</v>
      </c>
      <c r="M3355">
        <v>6.75</v>
      </c>
      <c r="N3355" s="12" t="s">
        <v>97</v>
      </c>
      <c r="O3355" s="12" t="s">
        <v>98</v>
      </c>
      <c r="P3355" s="12" t="s">
        <v>72</v>
      </c>
      <c r="Q3355" s="13">
        <v>45533</v>
      </c>
      <c r="R3355" s="13">
        <v>45570</v>
      </c>
      <c r="S3355">
        <v>2024</v>
      </c>
      <c r="T3355" s="12" t="s">
        <v>4077</v>
      </c>
      <c r="U3355">
        <v>29</v>
      </c>
      <c r="V3355">
        <v>349.07319999999999</v>
      </c>
      <c r="W3355">
        <v>247.23</v>
      </c>
      <c r="X3355">
        <v>0</v>
      </c>
      <c r="Y3355">
        <v>0</v>
      </c>
      <c r="Z3355">
        <v>10123.120000000001</v>
      </c>
      <c r="AA3355">
        <v>10370.35</v>
      </c>
      <c r="AB3355" s="12" t="s">
        <v>3205</v>
      </c>
      <c r="AC3355">
        <v>349.07319999999999</v>
      </c>
      <c r="AD3355">
        <v>1</v>
      </c>
      <c r="AE3355">
        <v>1</v>
      </c>
      <c r="AF3355">
        <v>0</v>
      </c>
      <c r="AG3355">
        <v>10123.120000000001</v>
      </c>
      <c r="AH3355">
        <v>29</v>
      </c>
      <c r="AI3355">
        <v>29</v>
      </c>
      <c r="AJ3355">
        <v>0</v>
      </c>
      <c r="AK3355">
        <v>1</v>
      </c>
      <c r="AL3355">
        <v>1</v>
      </c>
      <c r="AM3355">
        <v>100</v>
      </c>
      <c r="AN3355">
        <v>357.59840000000003</v>
      </c>
      <c r="AO3355">
        <v>0</v>
      </c>
      <c r="AP3355" s="13">
        <v>45570</v>
      </c>
      <c r="AQ3355">
        <v>0</v>
      </c>
      <c r="AR3355">
        <v>1</v>
      </c>
    </row>
    <row r="3356" spans="1:44" x14ac:dyDescent="0.35">
      <c r="A3356" s="12" t="s">
        <v>4269</v>
      </c>
      <c r="B3356" s="12" t="s">
        <v>494</v>
      </c>
      <c r="C3356" s="12" t="s">
        <v>495</v>
      </c>
      <c r="D3356" s="12" t="s">
        <v>175</v>
      </c>
      <c r="E3356" s="12" t="s">
        <v>65</v>
      </c>
      <c r="F3356">
        <v>2</v>
      </c>
      <c r="G3356">
        <v>3</v>
      </c>
      <c r="H3356">
        <v>0</v>
      </c>
      <c r="I3356" s="12" t="s">
        <v>515</v>
      </c>
      <c r="J3356" s="12" t="s">
        <v>516</v>
      </c>
      <c r="K3356" s="12" t="s">
        <v>68</v>
      </c>
      <c r="L3356" s="12" t="s">
        <v>134</v>
      </c>
      <c r="M3356">
        <v>3.69</v>
      </c>
      <c r="N3356" s="12" t="s">
        <v>107</v>
      </c>
      <c r="O3356" s="12" t="s">
        <v>108</v>
      </c>
      <c r="P3356" s="12" t="s">
        <v>109</v>
      </c>
      <c r="Q3356" s="13">
        <v>45533</v>
      </c>
      <c r="R3356" s="13">
        <v>45556</v>
      </c>
      <c r="S3356">
        <v>2024</v>
      </c>
      <c r="T3356" s="12" t="s">
        <v>4077</v>
      </c>
      <c r="U3356">
        <v>29</v>
      </c>
      <c r="V3356">
        <v>157.60329999999999</v>
      </c>
      <c r="W3356">
        <v>93.44</v>
      </c>
      <c r="X3356">
        <v>0</v>
      </c>
      <c r="Y3356">
        <v>0</v>
      </c>
      <c r="Z3356">
        <v>4570.5</v>
      </c>
      <c r="AA3356">
        <v>4663.9399999999996</v>
      </c>
      <c r="AB3356" s="12" t="s">
        <v>2807</v>
      </c>
      <c r="AC3356">
        <v>157.60329999999999</v>
      </c>
      <c r="AD3356">
        <v>1</v>
      </c>
      <c r="AE3356">
        <v>1</v>
      </c>
      <c r="AF3356">
        <v>0</v>
      </c>
      <c r="AG3356">
        <v>4570.5</v>
      </c>
      <c r="AH3356">
        <v>29</v>
      </c>
      <c r="AI3356">
        <v>29</v>
      </c>
      <c r="AJ3356">
        <v>0</v>
      </c>
      <c r="AK3356">
        <v>1</v>
      </c>
      <c r="AL3356">
        <v>1</v>
      </c>
      <c r="AM3356">
        <v>100</v>
      </c>
      <c r="AN3356">
        <v>160.8254</v>
      </c>
      <c r="AO3356">
        <v>0</v>
      </c>
      <c r="AP3356" s="13">
        <v>45555</v>
      </c>
      <c r="AQ3356">
        <v>-1</v>
      </c>
      <c r="AR3356">
        <v>1</v>
      </c>
    </row>
    <row r="3357" spans="1:44" x14ac:dyDescent="0.35">
      <c r="A3357" s="12" t="s">
        <v>4270</v>
      </c>
      <c r="B3357" s="12" t="s">
        <v>902</v>
      </c>
      <c r="C3357" s="12" t="s">
        <v>903</v>
      </c>
      <c r="D3357" s="12" t="s">
        <v>122</v>
      </c>
      <c r="E3357" s="12" t="s">
        <v>142</v>
      </c>
      <c r="F3357">
        <v>1</v>
      </c>
      <c r="G3357">
        <v>6</v>
      </c>
      <c r="H3357">
        <v>1</v>
      </c>
      <c r="I3357" s="12" t="s">
        <v>105</v>
      </c>
      <c r="J3357" s="12" t="s">
        <v>106</v>
      </c>
      <c r="K3357" s="12" t="s">
        <v>81</v>
      </c>
      <c r="L3357" s="12" t="s">
        <v>96</v>
      </c>
      <c r="M3357">
        <v>5.01</v>
      </c>
      <c r="N3357" s="12" t="s">
        <v>70</v>
      </c>
      <c r="O3357" s="12" t="s">
        <v>71</v>
      </c>
      <c r="P3357" s="12" t="s">
        <v>72</v>
      </c>
      <c r="Q3357" s="13">
        <v>45533</v>
      </c>
      <c r="R3357" s="13">
        <v>45574</v>
      </c>
      <c r="S3357">
        <v>2024</v>
      </c>
      <c r="T3357" s="12" t="s">
        <v>4077</v>
      </c>
      <c r="U3357">
        <v>862</v>
      </c>
      <c r="V3357">
        <v>41.6892</v>
      </c>
      <c r="W3357">
        <v>441.24</v>
      </c>
      <c r="X3357">
        <v>0</v>
      </c>
      <c r="Y3357">
        <v>0</v>
      </c>
      <c r="Z3357">
        <v>35936.089999999997</v>
      </c>
      <c r="AA3357">
        <v>36377.33</v>
      </c>
      <c r="AB3357" s="12" t="s">
        <v>3284</v>
      </c>
      <c r="AC3357">
        <v>41.6892</v>
      </c>
      <c r="AD3357">
        <v>1</v>
      </c>
      <c r="AE3357">
        <v>1</v>
      </c>
      <c r="AF3357">
        <v>0</v>
      </c>
      <c r="AG3357">
        <v>35936.089999999997</v>
      </c>
      <c r="AH3357">
        <v>862</v>
      </c>
      <c r="AI3357">
        <v>857</v>
      </c>
      <c r="AJ3357">
        <v>5</v>
      </c>
      <c r="AK3357">
        <v>1</v>
      </c>
      <c r="AL3357">
        <v>1</v>
      </c>
      <c r="AM3357">
        <v>99.42</v>
      </c>
      <c r="AN3357">
        <v>42.447299999999998</v>
      </c>
      <c r="AO3357">
        <v>208.45</v>
      </c>
      <c r="AP3357" s="13">
        <v>45573</v>
      </c>
      <c r="AQ3357">
        <v>-1</v>
      </c>
      <c r="AR3357">
        <v>1</v>
      </c>
    </row>
    <row r="3358" spans="1:44" x14ac:dyDescent="0.35">
      <c r="A3358" s="12" t="s">
        <v>4271</v>
      </c>
      <c r="B3358" s="12" t="s">
        <v>509</v>
      </c>
      <c r="C3358" s="12" t="s">
        <v>510</v>
      </c>
      <c r="D3358" s="12" t="s">
        <v>78</v>
      </c>
      <c r="E3358" s="12" t="s">
        <v>142</v>
      </c>
      <c r="F3358">
        <v>3</v>
      </c>
      <c r="G3358">
        <v>11</v>
      </c>
      <c r="H3358">
        <v>0</v>
      </c>
      <c r="I3358" s="12" t="s">
        <v>176</v>
      </c>
      <c r="J3358" s="12" t="s">
        <v>177</v>
      </c>
      <c r="K3358" s="12" t="s">
        <v>125</v>
      </c>
      <c r="L3358" s="12" t="s">
        <v>134</v>
      </c>
      <c r="M3358">
        <v>1.75</v>
      </c>
      <c r="N3358" s="12" t="s">
        <v>70</v>
      </c>
      <c r="O3358" s="12" t="s">
        <v>71</v>
      </c>
      <c r="P3358" s="12" t="s">
        <v>72</v>
      </c>
      <c r="Q3358" s="13">
        <v>45533</v>
      </c>
      <c r="R3358" s="13">
        <v>45581</v>
      </c>
      <c r="S3358">
        <v>2024</v>
      </c>
      <c r="T3358" s="12" t="s">
        <v>4077</v>
      </c>
      <c r="U3358">
        <v>231</v>
      </c>
      <c r="V3358">
        <v>151.07159999999999</v>
      </c>
      <c r="W3358">
        <v>820.96</v>
      </c>
      <c r="X3358">
        <v>0</v>
      </c>
      <c r="Y3358">
        <v>0</v>
      </c>
      <c r="Z3358">
        <v>34897.54</v>
      </c>
      <c r="AA3358">
        <v>35718.5</v>
      </c>
      <c r="AB3358" s="12" t="s">
        <v>201</v>
      </c>
      <c r="AD3358">
        <v>0</v>
      </c>
      <c r="AE3358">
        <v>0</v>
      </c>
      <c r="AH3358">
        <v>231</v>
      </c>
      <c r="AI3358">
        <v>230</v>
      </c>
      <c r="AJ3358">
        <v>1</v>
      </c>
      <c r="AK3358">
        <v>1</v>
      </c>
      <c r="AL3358">
        <v>1</v>
      </c>
      <c r="AM3358">
        <v>99.57</v>
      </c>
      <c r="AN3358">
        <v>155.2978</v>
      </c>
      <c r="AO3358">
        <v>151.07</v>
      </c>
      <c r="AP3358" s="13">
        <v>45577</v>
      </c>
      <c r="AQ3358">
        <v>-4</v>
      </c>
      <c r="AR3358">
        <v>1</v>
      </c>
    </row>
    <row r="3359" spans="1:44" x14ac:dyDescent="0.35">
      <c r="A3359" s="12" t="s">
        <v>4272</v>
      </c>
      <c r="B3359" s="12" t="s">
        <v>1220</v>
      </c>
      <c r="C3359" s="12" t="s">
        <v>1221</v>
      </c>
      <c r="D3359" s="12" t="s">
        <v>175</v>
      </c>
      <c r="E3359" s="12" t="s">
        <v>104</v>
      </c>
      <c r="F3359">
        <v>3</v>
      </c>
      <c r="G3359">
        <v>1</v>
      </c>
      <c r="H3359">
        <v>0</v>
      </c>
      <c r="I3359" s="12" t="s">
        <v>251</v>
      </c>
      <c r="J3359" s="12" t="s">
        <v>252</v>
      </c>
      <c r="K3359" s="12" t="s">
        <v>133</v>
      </c>
      <c r="L3359" s="12" t="s">
        <v>69</v>
      </c>
      <c r="M3359">
        <v>34.49</v>
      </c>
      <c r="N3359" s="12" t="s">
        <v>145</v>
      </c>
      <c r="O3359" s="12" t="s">
        <v>146</v>
      </c>
      <c r="P3359" s="12" t="s">
        <v>109</v>
      </c>
      <c r="Q3359" s="13">
        <v>45534</v>
      </c>
      <c r="R3359" s="13">
        <v>45557</v>
      </c>
      <c r="S3359">
        <v>2024</v>
      </c>
      <c r="T3359" s="12" t="s">
        <v>4077</v>
      </c>
      <c r="U3359">
        <v>102</v>
      </c>
      <c r="V3359">
        <v>138.95140000000001</v>
      </c>
      <c r="W3359">
        <v>332.27</v>
      </c>
      <c r="X3359">
        <v>0</v>
      </c>
      <c r="Y3359">
        <v>0</v>
      </c>
      <c r="Z3359">
        <v>14173.04</v>
      </c>
      <c r="AA3359">
        <v>14505.31</v>
      </c>
      <c r="AB3359" s="12" t="s">
        <v>3687</v>
      </c>
      <c r="AC3359">
        <v>138.95140000000001</v>
      </c>
      <c r="AD3359">
        <v>1</v>
      </c>
      <c r="AE3359">
        <v>1</v>
      </c>
      <c r="AF3359">
        <v>0</v>
      </c>
      <c r="AG3359">
        <v>14173.04</v>
      </c>
      <c r="AH3359">
        <v>102</v>
      </c>
      <c r="AI3359">
        <v>102</v>
      </c>
      <c r="AJ3359">
        <v>0</v>
      </c>
      <c r="AK3359">
        <v>1</v>
      </c>
      <c r="AL3359">
        <v>1</v>
      </c>
      <c r="AM3359">
        <v>100</v>
      </c>
      <c r="AN3359">
        <v>142.2089</v>
      </c>
      <c r="AO3359">
        <v>0</v>
      </c>
      <c r="AP3359" s="13">
        <v>45563</v>
      </c>
      <c r="AQ3359">
        <v>6</v>
      </c>
      <c r="AR3359">
        <v>0</v>
      </c>
    </row>
    <row r="3360" spans="1:44" x14ac:dyDescent="0.35">
      <c r="A3360" s="12" t="s">
        <v>4273</v>
      </c>
      <c r="B3360" s="12" t="s">
        <v>617</v>
      </c>
      <c r="C3360" s="12" t="s">
        <v>618</v>
      </c>
      <c r="D3360" s="12" t="s">
        <v>78</v>
      </c>
      <c r="E3360" s="12" t="s">
        <v>65</v>
      </c>
      <c r="F3360">
        <v>2</v>
      </c>
      <c r="G3360">
        <v>4</v>
      </c>
      <c r="H3360">
        <v>0</v>
      </c>
      <c r="I3360" s="12" t="s">
        <v>341</v>
      </c>
      <c r="J3360" s="12" t="s">
        <v>342</v>
      </c>
      <c r="K3360" s="12" t="s">
        <v>117</v>
      </c>
      <c r="L3360" s="12" t="s">
        <v>82</v>
      </c>
      <c r="M3360">
        <v>18.36</v>
      </c>
      <c r="N3360" s="12" t="s">
        <v>97</v>
      </c>
      <c r="O3360" s="12" t="s">
        <v>98</v>
      </c>
      <c r="P3360" s="12" t="s">
        <v>72</v>
      </c>
      <c r="Q3360" s="13">
        <v>45534</v>
      </c>
      <c r="R3360" s="13">
        <v>45562</v>
      </c>
      <c r="S3360">
        <v>2024</v>
      </c>
      <c r="T3360" s="12" t="s">
        <v>4077</v>
      </c>
      <c r="U3360">
        <v>150</v>
      </c>
      <c r="V3360">
        <v>102.4909</v>
      </c>
      <c r="W3360">
        <v>217.7</v>
      </c>
      <c r="X3360">
        <v>0</v>
      </c>
      <c r="Y3360">
        <v>0</v>
      </c>
      <c r="Z3360">
        <v>15373.64</v>
      </c>
      <c r="AA3360">
        <v>15591.34</v>
      </c>
      <c r="AB3360" s="12" t="s">
        <v>3217</v>
      </c>
      <c r="AC3360">
        <v>102.4909</v>
      </c>
      <c r="AD3360">
        <v>1</v>
      </c>
      <c r="AE3360">
        <v>1</v>
      </c>
      <c r="AF3360">
        <v>0</v>
      </c>
      <c r="AG3360">
        <v>15373.64</v>
      </c>
      <c r="AH3360">
        <v>150</v>
      </c>
      <c r="AI3360">
        <v>149</v>
      </c>
      <c r="AJ3360">
        <v>1</v>
      </c>
      <c r="AK3360">
        <v>1</v>
      </c>
      <c r="AL3360">
        <v>1</v>
      </c>
      <c r="AM3360">
        <v>99.33</v>
      </c>
      <c r="AN3360">
        <v>104.63979999999999</v>
      </c>
      <c r="AO3360">
        <v>102.49</v>
      </c>
      <c r="AP3360" s="13">
        <v>45562</v>
      </c>
      <c r="AQ3360">
        <v>0</v>
      </c>
      <c r="AR3360">
        <v>1</v>
      </c>
    </row>
    <row r="3361" spans="1:44" x14ac:dyDescent="0.35">
      <c r="A3361" s="12" t="s">
        <v>4274</v>
      </c>
      <c r="B3361" s="12" t="s">
        <v>167</v>
      </c>
      <c r="C3361" s="12" t="s">
        <v>168</v>
      </c>
      <c r="D3361" s="12" t="s">
        <v>64</v>
      </c>
      <c r="E3361" s="12" t="s">
        <v>104</v>
      </c>
      <c r="F3361">
        <v>3</v>
      </c>
      <c r="G3361">
        <v>1</v>
      </c>
      <c r="H3361">
        <v>0</v>
      </c>
      <c r="I3361" s="12" t="s">
        <v>169</v>
      </c>
      <c r="J3361" s="12" t="s">
        <v>170</v>
      </c>
      <c r="K3361" s="12" t="s">
        <v>89</v>
      </c>
      <c r="L3361" s="12" t="s">
        <v>134</v>
      </c>
      <c r="M3361">
        <v>1.37</v>
      </c>
      <c r="N3361" s="12" t="s">
        <v>70</v>
      </c>
      <c r="O3361" s="12" t="s">
        <v>71</v>
      </c>
      <c r="P3361" s="12" t="s">
        <v>72</v>
      </c>
      <c r="Q3361" s="13">
        <v>45534</v>
      </c>
      <c r="R3361" s="13">
        <v>45563</v>
      </c>
      <c r="S3361">
        <v>2024</v>
      </c>
      <c r="T3361" s="12" t="s">
        <v>4077</v>
      </c>
      <c r="U3361">
        <v>955</v>
      </c>
      <c r="V3361">
        <v>26.559100000000001</v>
      </c>
      <c r="W3361">
        <v>483.86</v>
      </c>
      <c r="X3361">
        <v>0</v>
      </c>
      <c r="Y3361">
        <v>0</v>
      </c>
      <c r="Z3361">
        <v>25363.94</v>
      </c>
      <c r="AA3361">
        <v>25847.8</v>
      </c>
      <c r="AB3361" s="12" t="s">
        <v>2885</v>
      </c>
      <c r="AC3361">
        <v>26.559100000000001</v>
      </c>
      <c r="AD3361">
        <v>1</v>
      </c>
      <c r="AE3361">
        <v>1</v>
      </c>
      <c r="AF3361">
        <v>0</v>
      </c>
      <c r="AG3361">
        <v>25363.94</v>
      </c>
      <c r="AH3361">
        <v>955</v>
      </c>
      <c r="AI3361">
        <v>940</v>
      </c>
      <c r="AJ3361">
        <v>15</v>
      </c>
      <c r="AK3361">
        <v>1</v>
      </c>
      <c r="AL3361">
        <v>1</v>
      </c>
      <c r="AM3361">
        <v>98.43</v>
      </c>
      <c r="AN3361">
        <v>27.497699999999998</v>
      </c>
      <c r="AO3361">
        <v>398.39</v>
      </c>
      <c r="AP3361" s="13">
        <v>45563</v>
      </c>
      <c r="AQ3361">
        <v>0</v>
      </c>
      <c r="AR3361">
        <v>1</v>
      </c>
    </row>
    <row r="3362" spans="1:44" x14ac:dyDescent="0.35">
      <c r="A3362" s="12" t="s">
        <v>4275</v>
      </c>
      <c r="B3362" s="12" t="s">
        <v>978</v>
      </c>
      <c r="C3362" s="12" t="s">
        <v>979</v>
      </c>
      <c r="D3362" s="12" t="s">
        <v>122</v>
      </c>
      <c r="E3362" s="12" t="s">
        <v>65</v>
      </c>
      <c r="F3362">
        <v>1</v>
      </c>
      <c r="G3362">
        <v>2</v>
      </c>
      <c r="H3362">
        <v>1</v>
      </c>
      <c r="I3362" s="12" t="s">
        <v>310</v>
      </c>
      <c r="J3362" s="12" t="s">
        <v>311</v>
      </c>
      <c r="K3362" s="12" t="s">
        <v>81</v>
      </c>
      <c r="L3362" s="12" t="s">
        <v>69</v>
      </c>
      <c r="M3362">
        <v>28.3</v>
      </c>
      <c r="N3362" s="12" t="s">
        <v>70</v>
      </c>
      <c r="O3362" s="12" t="s">
        <v>71</v>
      </c>
      <c r="P3362" s="12" t="s">
        <v>72</v>
      </c>
      <c r="Q3362" s="13">
        <v>45534</v>
      </c>
      <c r="R3362" s="13">
        <v>45556</v>
      </c>
      <c r="S3362">
        <v>2024</v>
      </c>
      <c r="T3362" s="12" t="s">
        <v>4077</v>
      </c>
      <c r="U3362">
        <v>392</v>
      </c>
      <c r="V3362">
        <v>43.574800000000003</v>
      </c>
      <c r="W3362">
        <v>236.21</v>
      </c>
      <c r="X3362">
        <v>0</v>
      </c>
      <c r="Y3362">
        <v>0</v>
      </c>
      <c r="Z3362">
        <v>17081.32</v>
      </c>
      <c r="AA3362">
        <v>17317.53</v>
      </c>
      <c r="AB3362" s="12" t="s">
        <v>3471</v>
      </c>
      <c r="AC3362">
        <v>43.574800000000003</v>
      </c>
      <c r="AD3362">
        <v>1</v>
      </c>
      <c r="AE3362">
        <v>1</v>
      </c>
      <c r="AF3362">
        <v>0</v>
      </c>
      <c r="AG3362">
        <v>17081.32</v>
      </c>
      <c r="AH3362">
        <v>392</v>
      </c>
      <c r="AI3362">
        <v>391</v>
      </c>
      <c r="AJ3362">
        <v>1</v>
      </c>
      <c r="AK3362">
        <v>1</v>
      </c>
      <c r="AL3362">
        <v>1</v>
      </c>
      <c r="AM3362">
        <v>99.74</v>
      </c>
      <c r="AN3362">
        <v>44.290399999999998</v>
      </c>
      <c r="AO3362">
        <v>43.57</v>
      </c>
      <c r="AP3362" s="13">
        <v>45554</v>
      </c>
      <c r="AQ3362">
        <v>-2</v>
      </c>
      <c r="AR3362">
        <v>1</v>
      </c>
    </row>
    <row r="3363" spans="1:44" x14ac:dyDescent="0.35">
      <c r="A3363" s="12" t="s">
        <v>4276</v>
      </c>
      <c r="B3363" s="12" t="s">
        <v>357</v>
      </c>
      <c r="C3363" s="12" t="s">
        <v>358</v>
      </c>
      <c r="D3363" s="12" t="s">
        <v>103</v>
      </c>
      <c r="E3363" s="12" t="s">
        <v>104</v>
      </c>
      <c r="F3363">
        <v>3</v>
      </c>
      <c r="G3363">
        <v>1</v>
      </c>
      <c r="H3363">
        <v>0</v>
      </c>
      <c r="I3363" s="12" t="s">
        <v>151</v>
      </c>
      <c r="J3363" s="12" t="s">
        <v>152</v>
      </c>
      <c r="K3363" s="12" t="s">
        <v>125</v>
      </c>
      <c r="L3363" s="12" t="s">
        <v>69</v>
      </c>
      <c r="M3363">
        <v>36.479999999999997</v>
      </c>
      <c r="N3363" s="12" t="s">
        <v>145</v>
      </c>
      <c r="O3363" s="12" t="s">
        <v>146</v>
      </c>
      <c r="P3363" s="12" t="s">
        <v>109</v>
      </c>
      <c r="Q3363" s="13">
        <v>45534</v>
      </c>
      <c r="R3363" s="13">
        <v>45552</v>
      </c>
      <c r="S3363">
        <v>2024</v>
      </c>
      <c r="T3363" s="12" t="s">
        <v>4077</v>
      </c>
      <c r="U3363">
        <v>58</v>
      </c>
      <c r="V3363">
        <v>110.0801</v>
      </c>
      <c r="W3363">
        <v>103</v>
      </c>
      <c r="X3363">
        <v>0</v>
      </c>
      <c r="Y3363">
        <v>0</v>
      </c>
      <c r="Z3363">
        <v>6384.65</v>
      </c>
      <c r="AA3363">
        <v>6487.65</v>
      </c>
      <c r="AB3363" s="12" t="s">
        <v>2560</v>
      </c>
      <c r="AC3363">
        <v>105.8651</v>
      </c>
      <c r="AD3363">
        <v>1</v>
      </c>
      <c r="AE3363">
        <v>1</v>
      </c>
      <c r="AF3363">
        <v>244.47</v>
      </c>
      <c r="AG3363">
        <v>6140.18</v>
      </c>
      <c r="AH3363">
        <v>58</v>
      </c>
      <c r="AI3363">
        <v>58</v>
      </c>
      <c r="AJ3363">
        <v>0</v>
      </c>
      <c r="AK3363">
        <v>1</v>
      </c>
      <c r="AL3363">
        <v>1</v>
      </c>
      <c r="AM3363">
        <v>100</v>
      </c>
      <c r="AN3363">
        <v>111.85599999999999</v>
      </c>
      <c r="AO3363">
        <v>0</v>
      </c>
      <c r="AP3363" s="13">
        <v>45551</v>
      </c>
      <c r="AQ3363">
        <v>-1</v>
      </c>
      <c r="AR3363">
        <v>1</v>
      </c>
    </row>
    <row r="3364" spans="1:44" x14ac:dyDescent="0.35">
      <c r="A3364" s="12" t="s">
        <v>4277</v>
      </c>
      <c r="B3364" s="12" t="s">
        <v>362</v>
      </c>
      <c r="C3364" s="12" t="s">
        <v>363</v>
      </c>
      <c r="D3364" s="12" t="s">
        <v>78</v>
      </c>
      <c r="E3364" s="12" t="s">
        <v>104</v>
      </c>
      <c r="F3364">
        <v>3</v>
      </c>
      <c r="G3364">
        <v>0</v>
      </c>
      <c r="H3364">
        <v>0</v>
      </c>
      <c r="I3364" s="12" t="s">
        <v>335</v>
      </c>
      <c r="J3364" s="12" t="s">
        <v>336</v>
      </c>
      <c r="K3364" s="12" t="s">
        <v>89</v>
      </c>
      <c r="L3364" s="12" t="s">
        <v>82</v>
      </c>
      <c r="M3364">
        <v>16</v>
      </c>
      <c r="N3364" s="12" t="s">
        <v>97</v>
      </c>
      <c r="O3364" s="12" t="s">
        <v>98</v>
      </c>
      <c r="P3364" s="12" t="s">
        <v>72</v>
      </c>
      <c r="Q3364" s="13">
        <v>45534</v>
      </c>
      <c r="R3364" s="13">
        <v>45554</v>
      </c>
      <c r="S3364">
        <v>2024</v>
      </c>
      <c r="T3364" s="12" t="s">
        <v>4077</v>
      </c>
      <c r="U3364">
        <v>162</v>
      </c>
      <c r="V3364">
        <v>60.408099999999997</v>
      </c>
      <c r="W3364">
        <v>120.25</v>
      </c>
      <c r="X3364">
        <v>0</v>
      </c>
      <c r="Y3364">
        <v>0</v>
      </c>
      <c r="Z3364">
        <v>9786.11</v>
      </c>
      <c r="AA3364">
        <v>9906.36</v>
      </c>
      <c r="AB3364" s="12" t="s">
        <v>201</v>
      </c>
      <c r="AD3364">
        <v>0</v>
      </c>
      <c r="AE3364">
        <v>0</v>
      </c>
      <c r="AH3364">
        <v>162</v>
      </c>
      <c r="AI3364">
        <v>158</v>
      </c>
      <c r="AJ3364">
        <v>4</v>
      </c>
      <c r="AK3364">
        <v>1</v>
      </c>
      <c r="AL3364">
        <v>1</v>
      </c>
      <c r="AM3364">
        <v>97.53</v>
      </c>
      <c r="AN3364">
        <v>62.698500000000003</v>
      </c>
      <c r="AO3364">
        <v>241.63</v>
      </c>
      <c r="AP3364" s="13">
        <v>45552</v>
      </c>
      <c r="AQ3364">
        <v>-2</v>
      </c>
      <c r="AR3364">
        <v>1</v>
      </c>
    </row>
    <row r="3365" spans="1:44" x14ac:dyDescent="0.35">
      <c r="A3365" s="12" t="s">
        <v>4278</v>
      </c>
      <c r="B3365" s="12" t="s">
        <v>302</v>
      </c>
      <c r="C3365" s="12" t="s">
        <v>303</v>
      </c>
      <c r="D3365" s="12" t="s">
        <v>78</v>
      </c>
      <c r="E3365" s="12" t="s">
        <v>65</v>
      </c>
      <c r="F3365">
        <v>2</v>
      </c>
      <c r="G3365">
        <v>3</v>
      </c>
      <c r="H3365">
        <v>0</v>
      </c>
      <c r="I3365" s="12" t="s">
        <v>335</v>
      </c>
      <c r="J3365" s="12" t="s">
        <v>336</v>
      </c>
      <c r="K3365" s="12" t="s">
        <v>89</v>
      </c>
      <c r="L3365" s="12" t="s">
        <v>82</v>
      </c>
      <c r="M3365">
        <v>16</v>
      </c>
      <c r="N3365" s="12" t="s">
        <v>70</v>
      </c>
      <c r="O3365" s="12" t="s">
        <v>71</v>
      </c>
      <c r="P3365" s="12" t="s">
        <v>72</v>
      </c>
      <c r="Q3365" s="13">
        <v>45534</v>
      </c>
      <c r="R3365" s="13">
        <v>45555</v>
      </c>
      <c r="S3365">
        <v>2024</v>
      </c>
      <c r="T3365" s="12" t="s">
        <v>4077</v>
      </c>
      <c r="U3365">
        <v>51</v>
      </c>
      <c r="V3365">
        <v>141.08359999999999</v>
      </c>
      <c r="W3365">
        <v>137.01</v>
      </c>
      <c r="X3365">
        <v>228.14</v>
      </c>
      <c r="Y3365">
        <v>1</v>
      </c>
      <c r="Z3365">
        <v>7195.26</v>
      </c>
      <c r="AA3365">
        <v>7560.41</v>
      </c>
      <c r="AB3365" s="12" t="s">
        <v>2834</v>
      </c>
      <c r="AC3365">
        <v>141.08359999999999</v>
      </c>
      <c r="AD3365">
        <v>1</v>
      </c>
      <c r="AE3365">
        <v>1</v>
      </c>
      <c r="AF3365">
        <v>0</v>
      </c>
      <c r="AG3365">
        <v>7195.26</v>
      </c>
      <c r="AH3365">
        <v>51</v>
      </c>
      <c r="AI3365">
        <v>50</v>
      </c>
      <c r="AJ3365">
        <v>1</v>
      </c>
      <c r="AK3365">
        <v>1</v>
      </c>
      <c r="AL3365">
        <v>1</v>
      </c>
      <c r="AM3365">
        <v>98.04</v>
      </c>
      <c r="AN3365">
        <v>151.20830000000001</v>
      </c>
      <c r="AO3365">
        <v>141.08000000000001</v>
      </c>
      <c r="AP3365" s="13">
        <v>45555</v>
      </c>
      <c r="AQ3365">
        <v>0</v>
      </c>
      <c r="AR3365">
        <v>1</v>
      </c>
    </row>
    <row r="3366" spans="1:44" x14ac:dyDescent="0.35">
      <c r="A3366" s="12" t="s">
        <v>4279</v>
      </c>
      <c r="B3366" s="12" t="s">
        <v>1013</v>
      </c>
      <c r="C3366" s="12" t="s">
        <v>1014</v>
      </c>
      <c r="D3366" s="12" t="s">
        <v>78</v>
      </c>
      <c r="E3366" s="12" t="s">
        <v>65</v>
      </c>
      <c r="F3366">
        <v>2</v>
      </c>
      <c r="G3366">
        <v>3</v>
      </c>
      <c r="H3366">
        <v>0</v>
      </c>
      <c r="I3366" s="12" t="s">
        <v>123</v>
      </c>
      <c r="J3366" s="12" t="s">
        <v>124</v>
      </c>
      <c r="K3366" s="12" t="s">
        <v>125</v>
      </c>
      <c r="L3366" s="12" t="s">
        <v>82</v>
      </c>
      <c r="M3366">
        <v>6.75</v>
      </c>
      <c r="N3366" s="12" t="s">
        <v>70</v>
      </c>
      <c r="O3366" s="12" t="s">
        <v>71</v>
      </c>
      <c r="P3366" s="12" t="s">
        <v>72</v>
      </c>
      <c r="Q3366" s="13">
        <v>45534</v>
      </c>
      <c r="R3366" s="13">
        <v>45568</v>
      </c>
      <c r="S3366">
        <v>2024</v>
      </c>
      <c r="T3366" s="12" t="s">
        <v>4077</v>
      </c>
      <c r="U3366">
        <v>231</v>
      </c>
      <c r="V3366">
        <v>125.10590000000001</v>
      </c>
      <c r="W3366">
        <v>740.72</v>
      </c>
      <c r="X3366">
        <v>0</v>
      </c>
      <c r="Y3366">
        <v>0</v>
      </c>
      <c r="Z3366">
        <v>28899.46</v>
      </c>
      <c r="AA3366">
        <v>29640.18</v>
      </c>
      <c r="AB3366" s="12" t="s">
        <v>3398</v>
      </c>
      <c r="AC3366">
        <v>125.10590000000001</v>
      </c>
      <c r="AD3366">
        <v>1</v>
      </c>
      <c r="AE3366">
        <v>1</v>
      </c>
      <c r="AF3366">
        <v>0</v>
      </c>
      <c r="AG3366">
        <v>28899.46</v>
      </c>
      <c r="AH3366">
        <v>231</v>
      </c>
      <c r="AI3366">
        <v>229</v>
      </c>
      <c r="AJ3366">
        <v>2</v>
      </c>
      <c r="AK3366">
        <v>1</v>
      </c>
      <c r="AL3366">
        <v>1</v>
      </c>
      <c r="AM3366">
        <v>99.13</v>
      </c>
      <c r="AN3366">
        <v>129.4331</v>
      </c>
      <c r="AO3366">
        <v>250.21</v>
      </c>
      <c r="AP3366" s="13">
        <v>45568</v>
      </c>
      <c r="AQ3366">
        <v>0</v>
      </c>
      <c r="AR3366">
        <v>1</v>
      </c>
    </row>
    <row r="3367" spans="1:44" x14ac:dyDescent="0.35">
      <c r="A3367" s="12" t="s">
        <v>4280</v>
      </c>
      <c r="B3367" s="12" t="s">
        <v>1013</v>
      </c>
      <c r="C3367" s="12" t="s">
        <v>1014</v>
      </c>
      <c r="D3367" s="12" t="s">
        <v>78</v>
      </c>
      <c r="E3367" s="12" t="s">
        <v>65</v>
      </c>
      <c r="F3367">
        <v>2</v>
      </c>
      <c r="G3367">
        <v>3</v>
      </c>
      <c r="H3367">
        <v>0</v>
      </c>
      <c r="I3367" s="12" t="s">
        <v>123</v>
      </c>
      <c r="J3367" s="12" t="s">
        <v>124</v>
      </c>
      <c r="K3367" s="12" t="s">
        <v>125</v>
      </c>
      <c r="L3367" s="12" t="s">
        <v>82</v>
      </c>
      <c r="M3367">
        <v>6.75</v>
      </c>
      <c r="N3367" s="12" t="s">
        <v>97</v>
      </c>
      <c r="O3367" s="12" t="s">
        <v>98</v>
      </c>
      <c r="P3367" s="12" t="s">
        <v>72</v>
      </c>
      <c r="Q3367" s="13">
        <v>45534</v>
      </c>
      <c r="R3367" s="13">
        <v>45570</v>
      </c>
      <c r="S3367">
        <v>2024</v>
      </c>
      <c r="T3367" s="12" t="s">
        <v>4077</v>
      </c>
      <c r="U3367">
        <v>265</v>
      </c>
      <c r="V3367">
        <v>129.38570000000001</v>
      </c>
      <c r="W3367">
        <v>827.27</v>
      </c>
      <c r="X3367">
        <v>0</v>
      </c>
      <c r="Y3367">
        <v>0</v>
      </c>
      <c r="Z3367">
        <v>34287.21</v>
      </c>
      <c r="AA3367">
        <v>35114.480000000003</v>
      </c>
      <c r="AB3367" s="12" t="s">
        <v>3398</v>
      </c>
      <c r="AC3367">
        <v>125.10590000000001</v>
      </c>
      <c r="AD3367">
        <v>1</v>
      </c>
      <c r="AE3367">
        <v>1</v>
      </c>
      <c r="AF3367">
        <v>1134.1500000000001</v>
      </c>
      <c r="AG3367">
        <v>33153.06</v>
      </c>
      <c r="AH3367">
        <v>265</v>
      </c>
      <c r="AI3367">
        <v>262</v>
      </c>
      <c r="AJ3367">
        <v>3</v>
      </c>
      <c r="AK3367">
        <v>1</v>
      </c>
      <c r="AL3367">
        <v>1</v>
      </c>
      <c r="AM3367">
        <v>98.87</v>
      </c>
      <c r="AN3367">
        <v>134.0247</v>
      </c>
      <c r="AO3367">
        <v>388.16</v>
      </c>
      <c r="AP3367" s="13">
        <v>45572</v>
      </c>
      <c r="AQ3367">
        <v>2</v>
      </c>
      <c r="AR3367">
        <v>0</v>
      </c>
    </row>
    <row r="3368" spans="1:44" x14ac:dyDescent="0.35">
      <c r="A3368" s="12" t="s">
        <v>4281</v>
      </c>
      <c r="B3368" s="12" t="s">
        <v>787</v>
      </c>
      <c r="C3368" s="12" t="s">
        <v>788</v>
      </c>
      <c r="D3368" s="12" t="s">
        <v>269</v>
      </c>
      <c r="E3368" s="12" t="s">
        <v>65</v>
      </c>
      <c r="F3368">
        <v>2</v>
      </c>
      <c r="G3368">
        <v>3</v>
      </c>
      <c r="H3368">
        <v>0</v>
      </c>
      <c r="I3368" s="12" t="s">
        <v>143</v>
      </c>
      <c r="J3368" s="12" t="s">
        <v>144</v>
      </c>
      <c r="K3368" s="12" t="s">
        <v>133</v>
      </c>
      <c r="L3368" s="12" t="s">
        <v>96</v>
      </c>
      <c r="M3368">
        <v>5.43</v>
      </c>
      <c r="N3368" s="12" t="s">
        <v>159</v>
      </c>
      <c r="O3368" s="12" t="s">
        <v>160</v>
      </c>
      <c r="P3368" s="12" t="s">
        <v>137</v>
      </c>
      <c r="Q3368" s="13">
        <v>45534</v>
      </c>
      <c r="R3368" s="13">
        <v>45557</v>
      </c>
      <c r="S3368">
        <v>2024</v>
      </c>
      <c r="T3368" s="12" t="s">
        <v>4077</v>
      </c>
      <c r="U3368">
        <v>32</v>
      </c>
      <c r="V3368">
        <v>342.88099999999997</v>
      </c>
      <c r="W3368">
        <v>249.5</v>
      </c>
      <c r="X3368">
        <v>0</v>
      </c>
      <c r="Y3368">
        <v>0</v>
      </c>
      <c r="Z3368">
        <v>10972.19</v>
      </c>
      <c r="AA3368">
        <v>11221.69</v>
      </c>
      <c r="AB3368" s="12" t="s">
        <v>3813</v>
      </c>
      <c r="AC3368">
        <v>342.88099999999997</v>
      </c>
      <c r="AD3368">
        <v>1</v>
      </c>
      <c r="AE3368">
        <v>1</v>
      </c>
      <c r="AF3368">
        <v>0</v>
      </c>
      <c r="AG3368">
        <v>10972.19</v>
      </c>
      <c r="AH3368">
        <v>32</v>
      </c>
      <c r="AI3368">
        <v>32</v>
      </c>
      <c r="AJ3368">
        <v>0</v>
      </c>
      <c r="AK3368">
        <v>1</v>
      </c>
      <c r="AL3368">
        <v>1</v>
      </c>
      <c r="AM3368">
        <v>100</v>
      </c>
      <c r="AN3368">
        <v>350.67790000000002</v>
      </c>
      <c r="AO3368">
        <v>0</v>
      </c>
      <c r="AP3368" s="13">
        <v>45557</v>
      </c>
      <c r="AQ3368">
        <v>0</v>
      </c>
      <c r="AR3368">
        <v>1</v>
      </c>
    </row>
    <row r="3369" spans="1:44" x14ac:dyDescent="0.35">
      <c r="A3369" s="12" t="s">
        <v>4282</v>
      </c>
      <c r="B3369" s="12" t="s">
        <v>1108</v>
      </c>
      <c r="C3369" s="12" t="s">
        <v>1109</v>
      </c>
      <c r="D3369" s="12" t="s">
        <v>103</v>
      </c>
      <c r="E3369" s="12" t="s">
        <v>65</v>
      </c>
      <c r="F3369">
        <v>3</v>
      </c>
      <c r="G3369">
        <v>4</v>
      </c>
      <c r="H3369">
        <v>0</v>
      </c>
      <c r="I3369" s="12" t="s">
        <v>79</v>
      </c>
      <c r="J3369" s="12" t="s">
        <v>80</v>
      </c>
      <c r="K3369" s="12" t="s">
        <v>81</v>
      </c>
      <c r="L3369" s="12" t="s">
        <v>82</v>
      </c>
      <c r="M3369">
        <v>12.07</v>
      </c>
      <c r="N3369" s="12" t="s">
        <v>107</v>
      </c>
      <c r="O3369" s="12" t="s">
        <v>108</v>
      </c>
      <c r="P3369" s="12" t="s">
        <v>109</v>
      </c>
      <c r="Q3369" s="13">
        <v>45537</v>
      </c>
      <c r="R3369" s="13">
        <v>45571</v>
      </c>
      <c r="S3369">
        <v>2024</v>
      </c>
      <c r="T3369" s="12" t="s">
        <v>4283</v>
      </c>
      <c r="U3369">
        <v>117</v>
      </c>
      <c r="V3369">
        <v>85.889600000000002</v>
      </c>
      <c r="W3369">
        <v>247.78</v>
      </c>
      <c r="X3369">
        <v>0</v>
      </c>
      <c r="Y3369">
        <v>0</v>
      </c>
      <c r="Z3369">
        <v>10049.08</v>
      </c>
      <c r="AA3369">
        <v>10296.86</v>
      </c>
      <c r="AB3369" s="12" t="s">
        <v>3269</v>
      </c>
      <c r="AC3369">
        <v>85.889600000000002</v>
      </c>
      <c r="AD3369">
        <v>1</v>
      </c>
      <c r="AE3369">
        <v>1</v>
      </c>
      <c r="AF3369">
        <v>0</v>
      </c>
      <c r="AG3369">
        <v>10049.08</v>
      </c>
      <c r="AH3369">
        <v>117</v>
      </c>
      <c r="AI3369">
        <v>116</v>
      </c>
      <c r="AJ3369">
        <v>1</v>
      </c>
      <c r="AK3369">
        <v>1</v>
      </c>
      <c r="AL3369">
        <v>1</v>
      </c>
      <c r="AM3369">
        <v>99.15</v>
      </c>
      <c r="AN3369">
        <v>88.766099999999994</v>
      </c>
      <c r="AO3369">
        <v>85.89</v>
      </c>
      <c r="AP3369" s="13">
        <v>45570</v>
      </c>
      <c r="AQ3369">
        <v>-1</v>
      </c>
      <c r="AR3369">
        <v>1</v>
      </c>
    </row>
    <row r="3370" spans="1:44" x14ac:dyDescent="0.35">
      <c r="A3370" s="12" t="s">
        <v>4284</v>
      </c>
      <c r="B3370" s="12" t="s">
        <v>621</v>
      </c>
      <c r="C3370" s="12" t="s">
        <v>622</v>
      </c>
      <c r="D3370" s="12" t="s">
        <v>103</v>
      </c>
      <c r="E3370" s="12" t="s">
        <v>65</v>
      </c>
      <c r="F3370">
        <v>1</v>
      </c>
      <c r="G3370">
        <v>2</v>
      </c>
      <c r="H3370">
        <v>1</v>
      </c>
      <c r="I3370" s="12" t="s">
        <v>486</v>
      </c>
      <c r="J3370" s="12" t="s">
        <v>487</v>
      </c>
      <c r="K3370" s="12" t="s">
        <v>125</v>
      </c>
      <c r="L3370" s="12" t="s">
        <v>69</v>
      </c>
      <c r="M3370">
        <v>36.86</v>
      </c>
      <c r="N3370" s="12" t="s">
        <v>107</v>
      </c>
      <c r="O3370" s="12" t="s">
        <v>108</v>
      </c>
      <c r="P3370" s="12" t="s">
        <v>109</v>
      </c>
      <c r="Q3370" s="13">
        <v>45537</v>
      </c>
      <c r="R3370" s="13">
        <v>45560</v>
      </c>
      <c r="S3370">
        <v>2024</v>
      </c>
      <c r="T3370" s="12" t="s">
        <v>4283</v>
      </c>
      <c r="U3370">
        <v>30</v>
      </c>
      <c r="V3370">
        <v>201.08609999999999</v>
      </c>
      <c r="W3370">
        <v>67.62</v>
      </c>
      <c r="X3370">
        <v>0</v>
      </c>
      <c r="Y3370">
        <v>0</v>
      </c>
      <c r="Z3370">
        <v>6032.58</v>
      </c>
      <c r="AA3370">
        <v>6100.2</v>
      </c>
      <c r="AB3370" s="12" t="s">
        <v>2658</v>
      </c>
      <c r="AC3370">
        <v>201.08609999999999</v>
      </c>
      <c r="AD3370">
        <v>1</v>
      </c>
      <c r="AE3370">
        <v>1</v>
      </c>
      <c r="AF3370">
        <v>0</v>
      </c>
      <c r="AG3370">
        <v>6032.58</v>
      </c>
      <c r="AH3370">
        <v>30</v>
      </c>
      <c r="AI3370">
        <v>30</v>
      </c>
      <c r="AJ3370">
        <v>0</v>
      </c>
      <c r="AK3370">
        <v>1</v>
      </c>
      <c r="AL3370">
        <v>1</v>
      </c>
      <c r="AM3370">
        <v>100</v>
      </c>
      <c r="AN3370">
        <v>203.34010000000001</v>
      </c>
      <c r="AO3370">
        <v>0</v>
      </c>
      <c r="AP3370" s="13">
        <v>45559</v>
      </c>
      <c r="AQ3370">
        <v>-1</v>
      </c>
      <c r="AR3370">
        <v>1</v>
      </c>
    </row>
    <row r="3371" spans="1:44" x14ac:dyDescent="0.35">
      <c r="A3371" s="12" t="s">
        <v>4285</v>
      </c>
      <c r="B3371" s="12" t="s">
        <v>267</v>
      </c>
      <c r="C3371" s="12" t="s">
        <v>268</v>
      </c>
      <c r="D3371" s="12" t="s">
        <v>269</v>
      </c>
      <c r="E3371" s="12" t="s">
        <v>142</v>
      </c>
      <c r="F3371">
        <v>1</v>
      </c>
      <c r="G3371">
        <v>8</v>
      </c>
      <c r="H3371">
        <v>1</v>
      </c>
      <c r="I3371" s="12" t="s">
        <v>94</v>
      </c>
      <c r="J3371" s="12" t="s">
        <v>95</v>
      </c>
      <c r="K3371" s="12" t="s">
        <v>81</v>
      </c>
      <c r="L3371" s="12" t="s">
        <v>96</v>
      </c>
      <c r="M3371">
        <v>4.8099999999999996</v>
      </c>
      <c r="N3371" s="12" t="s">
        <v>159</v>
      </c>
      <c r="O3371" s="12" t="s">
        <v>160</v>
      </c>
      <c r="P3371" s="12" t="s">
        <v>137</v>
      </c>
      <c r="Q3371" s="13">
        <v>45537</v>
      </c>
      <c r="R3371" s="13">
        <v>45583</v>
      </c>
      <c r="S3371">
        <v>2024</v>
      </c>
      <c r="T3371" s="12" t="s">
        <v>4283</v>
      </c>
      <c r="U3371">
        <v>101</v>
      </c>
      <c r="V3371">
        <v>225.02719999999999</v>
      </c>
      <c r="W3371">
        <v>138.46</v>
      </c>
      <c r="X3371">
        <v>0</v>
      </c>
      <c r="Y3371">
        <v>0</v>
      </c>
      <c r="Z3371">
        <v>22727.75</v>
      </c>
      <c r="AA3371">
        <v>22866.21</v>
      </c>
      <c r="AB3371" s="12" t="s">
        <v>2878</v>
      </c>
      <c r="AC3371">
        <v>225.02719999999999</v>
      </c>
      <c r="AD3371">
        <v>1</v>
      </c>
      <c r="AE3371">
        <v>1</v>
      </c>
      <c r="AF3371">
        <v>0</v>
      </c>
      <c r="AG3371">
        <v>22727.75</v>
      </c>
      <c r="AH3371">
        <v>101</v>
      </c>
      <c r="AI3371">
        <v>99</v>
      </c>
      <c r="AJ3371">
        <v>2</v>
      </c>
      <c r="AK3371">
        <v>1</v>
      </c>
      <c r="AL3371">
        <v>1</v>
      </c>
      <c r="AM3371">
        <v>98.02</v>
      </c>
      <c r="AN3371">
        <v>230.9718</v>
      </c>
      <c r="AO3371">
        <v>450.05</v>
      </c>
      <c r="AP3371" s="13">
        <v>45580</v>
      </c>
      <c r="AQ3371">
        <v>-3</v>
      </c>
      <c r="AR3371">
        <v>1</v>
      </c>
    </row>
    <row r="3372" spans="1:44" x14ac:dyDescent="0.35">
      <c r="A3372" s="12" t="s">
        <v>4286</v>
      </c>
      <c r="B3372" s="12" t="s">
        <v>362</v>
      </c>
      <c r="C3372" s="12" t="s">
        <v>363</v>
      </c>
      <c r="D3372" s="12" t="s">
        <v>78</v>
      </c>
      <c r="E3372" s="12" t="s">
        <v>104</v>
      </c>
      <c r="F3372">
        <v>3</v>
      </c>
      <c r="G3372">
        <v>0</v>
      </c>
      <c r="H3372">
        <v>0</v>
      </c>
      <c r="I3372" s="12" t="s">
        <v>157</v>
      </c>
      <c r="J3372" s="12" t="s">
        <v>158</v>
      </c>
      <c r="K3372" s="12" t="s">
        <v>117</v>
      </c>
      <c r="L3372" s="12" t="s">
        <v>96</v>
      </c>
      <c r="M3372">
        <v>4.72</v>
      </c>
      <c r="N3372" s="12" t="s">
        <v>70</v>
      </c>
      <c r="O3372" s="12" t="s">
        <v>71</v>
      </c>
      <c r="P3372" s="12" t="s">
        <v>72</v>
      </c>
      <c r="Q3372" s="13">
        <v>45537</v>
      </c>
      <c r="R3372" s="13">
        <v>45553</v>
      </c>
      <c r="S3372">
        <v>2024</v>
      </c>
      <c r="T3372" s="12" t="s">
        <v>4283</v>
      </c>
      <c r="U3372">
        <v>109</v>
      </c>
      <c r="V3372">
        <v>59.830500000000001</v>
      </c>
      <c r="W3372">
        <v>151.6</v>
      </c>
      <c r="X3372">
        <v>0</v>
      </c>
      <c r="Y3372">
        <v>0</v>
      </c>
      <c r="Z3372">
        <v>6521.52</v>
      </c>
      <c r="AA3372">
        <v>6673.12</v>
      </c>
      <c r="AB3372" s="12" t="s">
        <v>3185</v>
      </c>
      <c r="AC3372">
        <v>59.830500000000001</v>
      </c>
      <c r="AD3372">
        <v>1</v>
      </c>
      <c r="AE3372">
        <v>1</v>
      </c>
      <c r="AF3372">
        <v>0</v>
      </c>
      <c r="AG3372">
        <v>6521.52</v>
      </c>
      <c r="AH3372">
        <v>109</v>
      </c>
      <c r="AI3372">
        <v>109</v>
      </c>
      <c r="AJ3372">
        <v>0</v>
      </c>
      <c r="AK3372">
        <v>1</v>
      </c>
      <c r="AL3372">
        <v>1</v>
      </c>
      <c r="AM3372">
        <v>100</v>
      </c>
      <c r="AN3372">
        <v>61.221299999999999</v>
      </c>
      <c r="AO3372">
        <v>0</v>
      </c>
      <c r="AP3372" s="13">
        <v>45552</v>
      </c>
      <c r="AQ3372">
        <v>-1</v>
      </c>
      <c r="AR3372">
        <v>1</v>
      </c>
    </row>
    <row r="3373" spans="1:44" x14ac:dyDescent="0.35">
      <c r="A3373" s="12" t="s">
        <v>4287</v>
      </c>
      <c r="B3373" s="12" t="s">
        <v>1166</v>
      </c>
      <c r="C3373" s="12" t="s">
        <v>1167</v>
      </c>
      <c r="D3373" s="12" t="s">
        <v>175</v>
      </c>
      <c r="E3373" s="12" t="s">
        <v>65</v>
      </c>
      <c r="F3373">
        <v>3</v>
      </c>
      <c r="G3373">
        <v>5</v>
      </c>
      <c r="H3373">
        <v>0</v>
      </c>
      <c r="I3373" s="12" t="s">
        <v>143</v>
      </c>
      <c r="J3373" s="12" t="s">
        <v>144</v>
      </c>
      <c r="K3373" s="12" t="s">
        <v>133</v>
      </c>
      <c r="L3373" s="12" t="s">
        <v>96</v>
      </c>
      <c r="M3373">
        <v>5.43</v>
      </c>
      <c r="N3373" s="12" t="s">
        <v>145</v>
      </c>
      <c r="O3373" s="12" t="s">
        <v>146</v>
      </c>
      <c r="P3373" s="12" t="s">
        <v>109</v>
      </c>
      <c r="Q3373" s="13">
        <v>45537</v>
      </c>
      <c r="R3373" s="13">
        <v>45574</v>
      </c>
      <c r="S3373">
        <v>2024</v>
      </c>
      <c r="T3373" s="12" t="s">
        <v>4283</v>
      </c>
      <c r="U3373">
        <v>141</v>
      </c>
      <c r="V3373">
        <v>244.08519999999999</v>
      </c>
      <c r="W3373">
        <v>217.69</v>
      </c>
      <c r="X3373">
        <v>0</v>
      </c>
      <c r="Y3373">
        <v>0</v>
      </c>
      <c r="Z3373">
        <v>34416.01</v>
      </c>
      <c r="AA3373">
        <v>34633.699999999997</v>
      </c>
      <c r="AB3373" s="12" t="s">
        <v>201</v>
      </c>
      <c r="AD3373">
        <v>0</v>
      </c>
      <c r="AE3373">
        <v>0</v>
      </c>
      <c r="AH3373">
        <v>141</v>
      </c>
      <c r="AI3373">
        <v>140</v>
      </c>
      <c r="AJ3373">
        <v>1</v>
      </c>
      <c r="AK3373">
        <v>1</v>
      </c>
      <c r="AL3373">
        <v>1</v>
      </c>
      <c r="AM3373">
        <v>99.29</v>
      </c>
      <c r="AN3373">
        <v>247.3836</v>
      </c>
      <c r="AO3373">
        <v>244.09</v>
      </c>
      <c r="AP3373" s="13">
        <v>45573</v>
      </c>
      <c r="AQ3373">
        <v>-1</v>
      </c>
      <c r="AR3373">
        <v>1</v>
      </c>
    </row>
    <row r="3374" spans="1:44" x14ac:dyDescent="0.35">
      <c r="A3374" s="12" t="s">
        <v>4288</v>
      </c>
      <c r="B3374" s="12" t="s">
        <v>941</v>
      </c>
      <c r="C3374" s="12" t="s">
        <v>942</v>
      </c>
      <c r="D3374" s="12" t="s">
        <v>130</v>
      </c>
      <c r="E3374" s="12" t="s">
        <v>104</v>
      </c>
      <c r="F3374">
        <v>2</v>
      </c>
      <c r="G3374">
        <v>0</v>
      </c>
      <c r="H3374">
        <v>0</v>
      </c>
      <c r="I3374" s="12" t="s">
        <v>131</v>
      </c>
      <c r="J3374" s="12" t="s">
        <v>132</v>
      </c>
      <c r="K3374" s="12" t="s">
        <v>133</v>
      </c>
      <c r="L3374" s="12" t="s">
        <v>134</v>
      </c>
      <c r="M3374">
        <v>1.51</v>
      </c>
      <c r="N3374" s="12" t="s">
        <v>135</v>
      </c>
      <c r="O3374" s="12" t="s">
        <v>136</v>
      </c>
      <c r="P3374" s="12" t="s">
        <v>137</v>
      </c>
      <c r="Q3374" s="13">
        <v>45537</v>
      </c>
      <c r="R3374" s="13">
        <v>45556</v>
      </c>
      <c r="S3374">
        <v>2024</v>
      </c>
      <c r="T3374" s="12" t="s">
        <v>4283</v>
      </c>
      <c r="U3374">
        <v>64</v>
      </c>
      <c r="V3374">
        <v>839.4819</v>
      </c>
      <c r="W3374">
        <v>1082.81</v>
      </c>
      <c r="X3374">
        <v>0</v>
      </c>
      <c r="Y3374">
        <v>0</v>
      </c>
      <c r="Z3374">
        <v>53726.84</v>
      </c>
      <c r="AA3374">
        <v>54809.65</v>
      </c>
      <c r="AB3374" s="12" t="s">
        <v>3518</v>
      </c>
      <c r="AC3374">
        <v>839.4819</v>
      </c>
      <c r="AD3374">
        <v>1</v>
      </c>
      <c r="AE3374">
        <v>1</v>
      </c>
      <c r="AF3374">
        <v>0</v>
      </c>
      <c r="AG3374">
        <v>53726.84</v>
      </c>
      <c r="AH3374">
        <v>64</v>
      </c>
      <c r="AI3374">
        <v>59</v>
      </c>
      <c r="AJ3374">
        <v>5</v>
      </c>
      <c r="AK3374">
        <v>1</v>
      </c>
      <c r="AL3374">
        <v>1</v>
      </c>
      <c r="AM3374">
        <v>92.19</v>
      </c>
      <c r="AN3374">
        <v>928.97709999999995</v>
      </c>
      <c r="AO3374">
        <v>4197.41</v>
      </c>
      <c r="AP3374" s="13">
        <v>45555</v>
      </c>
      <c r="AQ3374">
        <v>-1</v>
      </c>
      <c r="AR3374">
        <v>1</v>
      </c>
    </row>
    <row r="3375" spans="1:44" x14ac:dyDescent="0.35">
      <c r="A3375" s="12" t="s">
        <v>4289</v>
      </c>
      <c r="B3375" s="12" t="s">
        <v>680</v>
      </c>
      <c r="C3375" s="12" t="s">
        <v>681</v>
      </c>
      <c r="D3375" s="12" t="s">
        <v>122</v>
      </c>
      <c r="E3375" s="12" t="s">
        <v>104</v>
      </c>
      <c r="F3375">
        <v>3</v>
      </c>
      <c r="G3375">
        <v>1</v>
      </c>
      <c r="H3375">
        <v>0</v>
      </c>
      <c r="I3375" s="12" t="s">
        <v>227</v>
      </c>
      <c r="J3375" s="12" t="s">
        <v>228</v>
      </c>
      <c r="K3375" s="12" t="s">
        <v>89</v>
      </c>
      <c r="L3375" s="12" t="s">
        <v>96</v>
      </c>
      <c r="M3375">
        <v>9.15</v>
      </c>
      <c r="N3375" s="12" t="s">
        <v>97</v>
      </c>
      <c r="O3375" s="12" t="s">
        <v>98</v>
      </c>
      <c r="P3375" s="12" t="s">
        <v>72</v>
      </c>
      <c r="Q3375" s="13">
        <v>45538</v>
      </c>
      <c r="R3375" s="13">
        <v>45556</v>
      </c>
      <c r="S3375">
        <v>2024</v>
      </c>
      <c r="T3375" s="12" t="s">
        <v>4283</v>
      </c>
      <c r="U3375">
        <v>804</v>
      </c>
      <c r="V3375">
        <v>23.903600000000001</v>
      </c>
      <c r="W3375">
        <v>449.91</v>
      </c>
      <c r="X3375">
        <v>0</v>
      </c>
      <c r="Y3375">
        <v>0</v>
      </c>
      <c r="Z3375">
        <v>19218.490000000002</v>
      </c>
      <c r="AA3375">
        <v>19668.400000000001</v>
      </c>
      <c r="AB3375" s="12" t="s">
        <v>201</v>
      </c>
      <c r="AD3375">
        <v>0</v>
      </c>
      <c r="AE3375">
        <v>0</v>
      </c>
      <c r="AH3375">
        <v>804</v>
      </c>
      <c r="AI3375">
        <v>802</v>
      </c>
      <c r="AJ3375">
        <v>2</v>
      </c>
      <c r="AK3375">
        <v>1</v>
      </c>
      <c r="AL3375">
        <v>1</v>
      </c>
      <c r="AM3375">
        <v>99.75</v>
      </c>
      <c r="AN3375">
        <v>24.5242</v>
      </c>
      <c r="AO3375">
        <v>47.81</v>
      </c>
      <c r="AP3375" s="13">
        <v>45556</v>
      </c>
      <c r="AQ3375">
        <v>0</v>
      </c>
      <c r="AR3375">
        <v>1</v>
      </c>
    </row>
    <row r="3376" spans="1:44" x14ac:dyDescent="0.35">
      <c r="A3376" s="12" t="s">
        <v>4290</v>
      </c>
      <c r="B3376" s="12" t="s">
        <v>317</v>
      </c>
      <c r="C3376" s="12" t="s">
        <v>318</v>
      </c>
      <c r="D3376" s="12" t="s">
        <v>64</v>
      </c>
      <c r="E3376" s="12" t="s">
        <v>104</v>
      </c>
      <c r="F3376">
        <v>2</v>
      </c>
      <c r="G3376">
        <v>0</v>
      </c>
      <c r="H3376">
        <v>0</v>
      </c>
      <c r="I3376" s="12" t="s">
        <v>169</v>
      </c>
      <c r="J3376" s="12" t="s">
        <v>170</v>
      </c>
      <c r="K3376" s="12" t="s">
        <v>89</v>
      </c>
      <c r="L3376" s="12" t="s">
        <v>134</v>
      </c>
      <c r="M3376">
        <v>1.37</v>
      </c>
      <c r="N3376" s="12" t="s">
        <v>97</v>
      </c>
      <c r="O3376" s="12" t="s">
        <v>98</v>
      </c>
      <c r="P3376" s="12" t="s">
        <v>72</v>
      </c>
      <c r="Q3376" s="13">
        <v>45538</v>
      </c>
      <c r="R3376" s="13">
        <v>45555</v>
      </c>
      <c r="S3376">
        <v>2024</v>
      </c>
      <c r="T3376" s="12" t="s">
        <v>4283</v>
      </c>
      <c r="U3376">
        <v>397</v>
      </c>
      <c r="V3376">
        <v>15.835699999999999</v>
      </c>
      <c r="W3376">
        <v>89.86</v>
      </c>
      <c r="X3376">
        <v>0</v>
      </c>
      <c r="Y3376">
        <v>0</v>
      </c>
      <c r="Z3376">
        <v>6286.77</v>
      </c>
      <c r="AA3376">
        <v>6376.63</v>
      </c>
      <c r="AB3376" s="12" t="s">
        <v>3006</v>
      </c>
      <c r="AC3376">
        <v>15.835699999999999</v>
      </c>
      <c r="AD3376">
        <v>1</v>
      </c>
      <c r="AE3376">
        <v>1</v>
      </c>
      <c r="AF3376">
        <v>0</v>
      </c>
      <c r="AG3376">
        <v>6286.77</v>
      </c>
      <c r="AH3376">
        <v>397</v>
      </c>
      <c r="AI3376">
        <v>395</v>
      </c>
      <c r="AJ3376">
        <v>2</v>
      </c>
      <c r="AK3376">
        <v>1</v>
      </c>
      <c r="AL3376">
        <v>1</v>
      </c>
      <c r="AM3376">
        <v>99.5</v>
      </c>
      <c r="AN3376">
        <v>16.1434</v>
      </c>
      <c r="AO3376">
        <v>31.67</v>
      </c>
      <c r="AP3376" s="13">
        <v>45553</v>
      </c>
      <c r="AQ3376">
        <v>-2</v>
      </c>
      <c r="AR3376">
        <v>1</v>
      </c>
    </row>
    <row r="3377" spans="1:44" x14ac:dyDescent="0.35">
      <c r="A3377" s="12" t="s">
        <v>4291</v>
      </c>
      <c r="B3377" s="12" t="s">
        <v>327</v>
      </c>
      <c r="C3377" s="12" t="s">
        <v>328</v>
      </c>
      <c r="D3377" s="12" t="s">
        <v>130</v>
      </c>
      <c r="E3377" s="12" t="s">
        <v>104</v>
      </c>
      <c r="F3377">
        <v>2</v>
      </c>
      <c r="G3377">
        <v>0</v>
      </c>
      <c r="H3377">
        <v>0</v>
      </c>
      <c r="I3377" s="12" t="s">
        <v>94</v>
      </c>
      <c r="J3377" s="12" t="s">
        <v>95</v>
      </c>
      <c r="K3377" s="12" t="s">
        <v>81</v>
      </c>
      <c r="L3377" s="12" t="s">
        <v>96</v>
      </c>
      <c r="M3377">
        <v>4.8099999999999996</v>
      </c>
      <c r="N3377" s="12" t="s">
        <v>159</v>
      </c>
      <c r="O3377" s="12" t="s">
        <v>160</v>
      </c>
      <c r="P3377" s="12" t="s">
        <v>137</v>
      </c>
      <c r="Q3377" s="13">
        <v>45538</v>
      </c>
      <c r="R3377" s="13">
        <v>45557</v>
      </c>
      <c r="S3377">
        <v>2024</v>
      </c>
      <c r="T3377" s="12" t="s">
        <v>4283</v>
      </c>
      <c r="U3377">
        <v>67</v>
      </c>
      <c r="V3377">
        <v>697.23929999999996</v>
      </c>
      <c r="W3377">
        <v>281.95999999999998</v>
      </c>
      <c r="X3377">
        <v>0</v>
      </c>
      <c r="Y3377">
        <v>0</v>
      </c>
      <c r="Z3377">
        <v>46715.03</v>
      </c>
      <c r="AA3377">
        <v>46996.99</v>
      </c>
      <c r="AB3377" s="12" t="s">
        <v>3016</v>
      </c>
      <c r="AC3377">
        <v>697.23929999999996</v>
      </c>
      <c r="AD3377">
        <v>1</v>
      </c>
      <c r="AE3377">
        <v>1</v>
      </c>
      <c r="AF3377">
        <v>0</v>
      </c>
      <c r="AG3377">
        <v>46715.03</v>
      </c>
      <c r="AH3377">
        <v>67</v>
      </c>
      <c r="AI3377">
        <v>67</v>
      </c>
      <c r="AJ3377">
        <v>0</v>
      </c>
      <c r="AK3377">
        <v>1</v>
      </c>
      <c r="AL3377">
        <v>1</v>
      </c>
      <c r="AM3377">
        <v>100</v>
      </c>
      <c r="AN3377">
        <v>701.44770000000005</v>
      </c>
      <c r="AO3377">
        <v>0</v>
      </c>
      <c r="AP3377" s="13">
        <v>45557</v>
      </c>
      <c r="AQ3377">
        <v>0</v>
      </c>
      <c r="AR3377">
        <v>1</v>
      </c>
    </row>
    <row r="3378" spans="1:44" x14ac:dyDescent="0.35">
      <c r="A3378" s="12" t="s">
        <v>4292</v>
      </c>
      <c r="B3378" s="12" t="s">
        <v>766</v>
      </c>
      <c r="C3378" s="12" t="s">
        <v>767</v>
      </c>
      <c r="D3378" s="12" t="s">
        <v>175</v>
      </c>
      <c r="E3378" s="12" t="s">
        <v>65</v>
      </c>
      <c r="F3378">
        <v>3</v>
      </c>
      <c r="G3378">
        <v>5</v>
      </c>
      <c r="H3378">
        <v>0</v>
      </c>
      <c r="I3378" s="12" t="s">
        <v>87</v>
      </c>
      <c r="J3378" s="12" t="s">
        <v>88</v>
      </c>
      <c r="K3378" s="12" t="s">
        <v>89</v>
      </c>
      <c r="L3378" s="12" t="s">
        <v>69</v>
      </c>
      <c r="M3378">
        <v>14.93</v>
      </c>
      <c r="N3378" s="12" t="s">
        <v>145</v>
      </c>
      <c r="O3378" s="12" t="s">
        <v>146</v>
      </c>
      <c r="P3378" s="12" t="s">
        <v>109</v>
      </c>
      <c r="Q3378" s="13">
        <v>45538</v>
      </c>
      <c r="R3378" s="13">
        <v>45569</v>
      </c>
      <c r="S3378">
        <v>2024</v>
      </c>
      <c r="T3378" s="12" t="s">
        <v>4283</v>
      </c>
      <c r="U3378">
        <v>89</v>
      </c>
      <c r="V3378">
        <v>81.825500000000005</v>
      </c>
      <c r="W3378">
        <v>83.27</v>
      </c>
      <c r="X3378">
        <v>0</v>
      </c>
      <c r="Y3378">
        <v>0</v>
      </c>
      <c r="Z3378">
        <v>7282.47</v>
      </c>
      <c r="AA3378">
        <v>7365.74</v>
      </c>
      <c r="AB3378" s="12" t="s">
        <v>3225</v>
      </c>
      <c r="AC3378">
        <v>81.825500000000005</v>
      </c>
      <c r="AD3378">
        <v>1</v>
      </c>
      <c r="AE3378">
        <v>1</v>
      </c>
      <c r="AF3378">
        <v>0</v>
      </c>
      <c r="AG3378">
        <v>7282.47</v>
      </c>
      <c r="AH3378">
        <v>89</v>
      </c>
      <c r="AI3378">
        <v>88</v>
      </c>
      <c r="AJ3378">
        <v>1</v>
      </c>
      <c r="AK3378">
        <v>1</v>
      </c>
      <c r="AL3378">
        <v>1</v>
      </c>
      <c r="AM3378">
        <v>98.88</v>
      </c>
      <c r="AN3378">
        <v>83.701599999999999</v>
      </c>
      <c r="AO3378">
        <v>81.83</v>
      </c>
      <c r="AP3378" s="13">
        <v>45565</v>
      </c>
      <c r="AQ3378">
        <v>-4</v>
      </c>
      <c r="AR3378">
        <v>1</v>
      </c>
    </row>
    <row r="3379" spans="1:44" x14ac:dyDescent="0.35">
      <c r="A3379" s="12" t="s">
        <v>4293</v>
      </c>
      <c r="B3379" s="12" t="s">
        <v>1054</v>
      </c>
      <c r="C3379" s="12" t="s">
        <v>1055</v>
      </c>
      <c r="D3379" s="12" t="s">
        <v>122</v>
      </c>
      <c r="E3379" s="12" t="s">
        <v>65</v>
      </c>
      <c r="F3379">
        <v>1</v>
      </c>
      <c r="G3379">
        <v>2</v>
      </c>
      <c r="H3379">
        <v>1</v>
      </c>
      <c r="I3379" s="12" t="s">
        <v>176</v>
      </c>
      <c r="J3379" s="12" t="s">
        <v>177</v>
      </c>
      <c r="K3379" s="12" t="s">
        <v>125</v>
      </c>
      <c r="L3379" s="12" t="s">
        <v>134</v>
      </c>
      <c r="M3379">
        <v>1.75</v>
      </c>
      <c r="N3379" s="12" t="s">
        <v>97</v>
      </c>
      <c r="O3379" s="12" t="s">
        <v>98</v>
      </c>
      <c r="P3379" s="12" t="s">
        <v>72</v>
      </c>
      <c r="Q3379" s="13">
        <v>45538</v>
      </c>
      <c r="R3379" s="13">
        <v>45560</v>
      </c>
      <c r="S3379">
        <v>2024</v>
      </c>
      <c r="T3379" s="12" t="s">
        <v>4283</v>
      </c>
      <c r="U3379">
        <v>382</v>
      </c>
      <c r="V3379">
        <v>45.850499999999997</v>
      </c>
      <c r="W3379">
        <v>107.32</v>
      </c>
      <c r="X3379">
        <v>0</v>
      </c>
      <c r="Y3379">
        <v>0</v>
      </c>
      <c r="Z3379">
        <v>17514.89</v>
      </c>
      <c r="AA3379">
        <v>17622.21</v>
      </c>
      <c r="AB3379" s="12" t="s">
        <v>3227</v>
      </c>
      <c r="AC3379">
        <v>45.850499999999997</v>
      </c>
      <c r="AD3379">
        <v>1</v>
      </c>
      <c r="AE3379">
        <v>1</v>
      </c>
      <c r="AF3379">
        <v>0</v>
      </c>
      <c r="AG3379">
        <v>17514.89</v>
      </c>
      <c r="AH3379">
        <v>382</v>
      </c>
      <c r="AI3379">
        <v>380</v>
      </c>
      <c r="AJ3379">
        <v>2</v>
      </c>
      <c r="AK3379">
        <v>1</v>
      </c>
      <c r="AL3379">
        <v>1</v>
      </c>
      <c r="AM3379">
        <v>99.48</v>
      </c>
      <c r="AN3379">
        <v>46.374200000000002</v>
      </c>
      <c r="AO3379">
        <v>91.7</v>
      </c>
      <c r="AP3379" s="13">
        <v>45558</v>
      </c>
      <c r="AQ3379">
        <v>-2</v>
      </c>
      <c r="AR3379">
        <v>1</v>
      </c>
    </row>
    <row r="3380" spans="1:44" x14ac:dyDescent="0.35">
      <c r="A3380" s="12" t="s">
        <v>4294</v>
      </c>
      <c r="B3380" s="12" t="s">
        <v>308</v>
      </c>
      <c r="C3380" s="12" t="s">
        <v>309</v>
      </c>
      <c r="D3380" s="12" t="s">
        <v>122</v>
      </c>
      <c r="E3380" s="12" t="s">
        <v>142</v>
      </c>
      <c r="F3380">
        <v>1</v>
      </c>
      <c r="G3380">
        <v>6</v>
      </c>
      <c r="H3380">
        <v>1</v>
      </c>
      <c r="I3380" s="12" t="s">
        <v>310</v>
      </c>
      <c r="J3380" s="12" t="s">
        <v>311</v>
      </c>
      <c r="K3380" s="12" t="s">
        <v>81</v>
      </c>
      <c r="L3380" s="12" t="s">
        <v>69</v>
      </c>
      <c r="M3380">
        <v>28.3</v>
      </c>
      <c r="N3380" s="12" t="s">
        <v>70</v>
      </c>
      <c r="O3380" s="12" t="s">
        <v>71</v>
      </c>
      <c r="P3380" s="12" t="s">
        <v>72</v>
      </c>
      <c r="Q3380" s="13">
        <v>45538</v>
      </c>
      <c r="R3380" s="13">
        <v>45585</v>
      </c>
      <c r="S3380">
        <v>2024</v>
      </c>
      <c r="T3380" s="12" t="s">
        <v>4283</v>
      </c>
      <c r="U3380">
        <v>1462</v>
      </c>
      <c r="V3380">
        <v>58.086399999999998</v>
      </c>
      <c r="W3380">
        <v>2110.52</v>
      </c>
      <c r="X3380">
        <v>0</v>
      </c>
      <c r="Y3380">
        <v>0</v>
      </c>
      <c r="Z3380">
        <v>84922.32</v>
      </c>
      <c r="AA3380">
        <v>87032.84</v>
      </c>
      <c r="AB3380" s="12" t="s">
        <v>2726</v>
      </c>
      <c r="AC3380">
        <v>58.086399999999998</v>
      </c>
      <c r="AD3380">
        <v>1</v>
      </c>
      <c r="AE3380">
        <v>1</v>
      </c>
      <c r="AF3380">
        <v>0</v>
      </c>
      <c r="AG3380">
        <v>84922.32</v>
      </c>
      <c r="AH3380">
        <v>1462</v>
      </c>
      <c r="AI3380">
        <v>1458</v>
      </c>
      <c r="AJ3380">
        <v>4</v>
      </c>
      <c r="AK3380">
        <v>1</v>
      </c>
      <c r="AL3380">
        <v>1</v>
      </c>
      <c r="AM3380">
        <v>99.73</v>
      </c>
      <c r="AN3380">
        <v>59.693300000000001</v>
      </c>
      <c r="AO3380">
        <v>232.35</v>
      </c>
      <c r="AP3380" s="13">
        <v>45585</v>
      </c>
      <c r="AQ3380">
        <v>0</v>
      </c>
      <c r="AR3380">
        <v>1</v>
      </c>
    </row>
    <row r="3381" spans="1:44" x14ac:dyDescent="0.35">
      <c r="A3381" s="12" t="s">
        <v>4295</v>
      </c>
      <c r="B3381" s="12" t="s">
        <v>685</v>
      </c>
      <c r="C3381" s="12" t="s">
        <v>686</v>
      </c>
      <c r="D3381" s="12" t="s">
        <v>175</v>
      </c>
      <c r="E3381" s="12" t="s">
        <v>104</v>
      </c>
      <c r="F3381">
        <v>2</v>
      </c>
      <c r="G3381">
        <v>0</v>
      </c>
      <c r="H3381">
        <v>0</v>
      </c>
      <c r="I3381" s="12" t="s">
        <v>243</v>
      </c>
      <c r="J3381" s="12" t="s">
        <v>244</v>
      </c>
      <c r="K3381" s="12" t="s">
        <v>81</v>
      </c>
      <c r="L3381" s="12" t="s">
        <v>82</v>
      </c>
      <c r="M3381">
        <v>9.2200000000000006</v>
      </c>
      <c r="N3381" s="12" t="s">
        <v>107</v>
      </c>
      <c r="O3381" s="12" t="s">
        <v>108</v>
      </c>
      <c r="P3381" s="12" t="s">
        <v>109</v>
      </c>
      <c r="Q3381" s="13">
        <v>45538</v>
      </c>
      <c r="R3381" s="13">
        <v>45564</v>
      </c>
      <c r="S3381">
        <v>2024</v>
      </c>
      <c r="T3381" s="12" t="s">
        <v>4283</v>
      </c>
      <c r="U3381">
        <v>124</v>
      </c>
      <c r="V3381">
        <v>246.4633</v>
      </c>
      <c r="W3381">
        <v>486.08</v>
      </c>
      <c r="X3381">
        <v>0</v>
      </c>
      <c r="Y3381">
        <v>0</v>
      </c>
      <c r="Z3381">
        <v>30561.45</v>
      </c>
      <c r="AA3381">
        <v>31047.53</v>
      </c>
      <c r="AB3381" s="12" t="s">
        <v>201</v>
      </c>
      <c r="AD3381">
        <v>0</v>
      </c>
      <c r="AE3381">
        <v>0</v>
      </c>
      <c r="AH3381">
        <v>124</v>
      </c>
      <c r="AI3381">
        <v>123</v>
      </c>
      <c r="AJ3381">
        <v>1</v>
      </c>
      <c r="AK3381">
        <v>1</v>
      </c>
      <c r="AL3381">
        <v>1</v>
      </c>
      <c r="AM3381">
        <v>99.19</v>
      </c>
      <c r="AN3381">
        <v>252.41890000000001</v>
      </c>
      <c r="AO3381">
        <v>246.46</v>
      </c>
      <c r="AP3381" s="13">
        <v>45569</v>
      </c>
      <c r="AQ3381">
        <v>5</v>
      </c>
      <c r="AR3381">
        <v>0</v>
      </c>
    </row>
    <row r="3382" spans="1:44" x14ac:dyDescent="0.35">
      <c r="A3382" s="12" t="s">
        <v>4296</v>
      </c>
      <c r="B3382" s="12" t="s">
        <v>378</v>
      </c>
      <c r="C3382" s="12" t="s">
        <v>379</v>
      </c>
      <c r="D3382" s="12" t="s">
        <v>64</v>
      </c>
      <c r="E3382" s="12" t="s">
        <v>104</v>
      </c>
      <c r="F3382">
        <v>3</v>
      </c>
      <c r="G3382">
        <v>1</v>
      </c>
      <c r="H3382">
        <v>0</v>
      </c>
      <c r="I3382" s="12" t="s">
        <v>380</v>
      </c>
      <c r="J3382" s="12" t="s">
        <v>381</v>
      </c>
      <c r="K3382" s="12" t="s">
        <v>89</v>
      </c>
      <c r="L3382" s="12" t="s">
        <v>96</v>
      </c>
      <c r="M3382">
        <v>10.210000000000001</v>
      </c>
      <c r="N3382" s="12" t="s">
        <v>70</v>
      </c>
      <c r="O3382" s="12" t="s">
        <v>71</v>
      </c>
      <c r="P3382" s="12" t="s">
        <v>72</v>
      </c>
      <c r="Q3382" s="13">
        <v>45538</v>
      </c>
      <c r="R3382" s="13">
        <v>45550</v>
      </c>
      <c r="S3382">
        <v>2024</v>
      </c>
      <c r="T3382" s="12" t="s">
        <v>4283</v>
      </c>
      <c r="U3382">
        <v>104</v>
      </c>
      <c r="V3382">
        <v>15.734999999999999</v>
      </c>
      <c r="W3382">
        <v>35.83</v>
      </c>
      <c r="X3382">
        <v>0</v>
      </c>
      <c r="Y3382">
        <v>0</v>
      </c>
      <c r="Z3382">
        <v>1636.44</v>
      </c>
      <c r="AA3382">
        <v>1672.27</v>
      </c>
      <c r="AB3382" s="12" t="s">
        <v>2847</v>
      </c>
      <c r="AC3382">
        <v>15.734999999999999</v>
      </c>
      <c r="AD3382">
        <v>1</v>
      </c>
      <c r="AE3382">
        <v>1</v>
      </c>
      <c r="AF3382">
        <v>0</v>
      </c>
      <c r="AG3382">
        <v>1636.44</v>
      </c>
      <c r="AH3382">
        <v>104</v>
      </c>
      <c r="AI3382">
        <v>103</v>
      </c>
      <c r="AJ3382">
        <v>1</v>
      </c>
      <c r="AK3382">
        <v>1</v>
      </c>
      <c r="AL3382">
        <v>1</v>
      </c>
      <c r="AM3382">
        <v>99.04</v>
      </c>
      <c r="AN3382">
        <v>16.235600000000002</v>
      </c>
      <c r="AO3382">
        <v>15.74</v>
      </c>
      <c r="AP3382" s="13">
        <v>45550</v>
      </c>
      <c r="AQ3382">
        <v>0</v>
      </c>
      <c r="AR3382">
        <v>1</v>
      </c>
    </row>
    <row r="3383" spans="1:44" x14ac:dyDescent="0.35">
      <c r="A3383" s="12" t="s">
        <v>4297</v>
      </c>
      <c r="B3383" s="12" t="s">
        <v>140</v>
      </c>
      <c r="C3383" s="12" t="s">
        <v>141</v>
      </c>
      <c r="D3383" s="12" t="s">
        <v>103</v>
      </c>
      <c r="E3383" s="12" t="s">
        <v>142</v>
      </c>
      <c r="F3383">
        <v>1</v>
      </c>
      <c r="G3383">
        <v>7</v>
      </c>
      <c r="H3383">
        <v>1</v>
      </c>
      <c r="I3383" s="12" t="s">
        <v>143</v>
      </c>
      <c r="J3383" s="12" t="s">
        <v>144</v>
      </c>
      <c r="K3383" s="12" t="s">
        <v>133</v>
      </c>
      <c r="L3383" s="12" t="s">
        <v>96</v>
      </c>
      <c r="M3383">
        <v>5.43</v>
      </c>
      <c r="N3383" s="12" t="s">
        <v>107</v>
      </c>
      <c r="O3383" s="12" t="s">
        <v>108</v>
      </c>
      <c r="P3383" s="12" t="s">
        <v>109</v>
      </c>
      <c r="Q3383" s="13">
        <v>45538</v>
      </c>
      <c r="R3383" s="13">
        <v>45585</v>
      </c>
      <c r="S3383">
        <v>2024</v>
      </c>
      <c r="T3383" s="12" t="s">
        <v>4283</v>
      </c>
      <c r="U3383">
        <v>105</v>
      </c>
      <c r="V3383">
        <v>211.35810000000001</v>
      </c>
      <c r="W3383">
        <v>336.37</v>
      </c>
      <c r="X3383">
        <v>0</v>
      </c>
      <c r="Y3383">
        <v>0</v>
      </c>
      <c r="Z3383">
        <v>22192.6</v>
      </c>
      <c r="AA3383">
        <v>22528.97</v>
      </c>
      <c r="AB3383" s="12" t="s">
        <v>2815</v>
      </c>
      <c r="AC3383">
        <v>211.35810000000001</v>
      </c>
      <c r="AD3383">
        <v>1</v>
      </c>
      <c r="AE3383">
        <v>1</v>
      </c>
      <c r="AF3383">
        <v>0</v>
      </c>
      <c r="AG3383">
        <v>22192.6</v>
      </c>
      <c r="AH3383">
        <v>105</v>
      </c>
      <c r="AI3383">
        <v>105</v>
      </c>
      <c r="AJ3383">
        <v>0</v>
      </c>
      <c r="AK3383">
        <v>1</v>
      </c>
      <c r="AL3383">
        <v>1</v>
      </c>
      <c r="AM3383">
        <v>100</v>
      </c>
      <c r="AN3383">
        <v>214.5616</v>
      </c>
      <c r="AO3383">
        <v>0</v>
      </c>
      <c r="AP3383" s="13">
        <v>45583</v>
      </c>
      <c r="AQ3383">
        <v>-2</v>
      </c>
      <c r="AR3383">
        <v>1</v>
      </c>
    </row>
    <row r="3384" spans="1:44" x14ac:dyDescent="0.35">
      <c r="A3384" s="12" t="s">
        <v>4298</v>
      </c>
      <c r="B3384" s="12" t="s">
        <v>736</v>
      </c>
      <c r="C3384" s="12" t="s">
        <v>737</v>
      </c>
      <c r="D3384" s="12" t="s">
        <v>64</v>
      </c>
      <c r="E3384" s="12" t="s">
        <v>104</v>
      </c>
      <c r="F3384">
        <v>3</v>
      </c>
      <c r="G3384">
        <v>1</v>
      </c>
      <c r="H3384">
        <v>0</v>
      </c>
      <c r="I3384" s="12" t="s">
        <v>115</v>
      </c>
      <c r="J3384" s="12" t="s">
        <v>116</v>
      </c>
      <c r="K3384" s="12" t="s">
        <v>117</v>
      </c>
      <c r="L3384" s="12" t="s">
        <v>82</v>
      </c>
      <c r="M3384">
        <v>17.170000000000002</v>
      </c>
      <c r="N3384" s="12" t="s">
        <v>97</v>
      </c>
      <c r="O3384" s="12" t="s">
        <v>98</v>
      </c>
      <c r="P3384" s="12" t="s">
        <v>72</v>
      </c>
      <c r="Q3384" s="13">
        <v>45538</v>
      </c>
      <c r="R3384" s="13">
        <v>45558</v>
      </c>
      <c r="S3384">
        <v>2024</v>
      </c>
      <c r="T3384" s="12" t="s">
        <v>4283</v>
      </c>
      <c r="U3384">
        <v>540</v>
      </c>
      <c r="V3384">
        <v>22.931699999999999</v>
      </c>
      <c r="W3384">
        <v>77.14</v>
      </c>
      <c r="X3384">
        <v>391.31</v>
      </c>
      <c r="Y3384">
        <v>1</v>
      </c>
      <c r="Z3384">
        <v>12383.12</v>
      </c>
      <c r="AA3384">
        <v>12851.57</v>
      </c>
      <c r="AB3384" s="12" t="s">
        <v>3876</v>
      </c>
      <c r="AC3384">
        <v>22.931699999999999</v>
      </c>
      <c r="AD3384">
        <v>1</v>
      </c>
      <c r="AE3384">
        <v>1</v>
      </c>
      <c r="AF3384">
        <v>0</v>
      </c>
      <c r="AG3384">
        <v>12383.12</v>
      </c>
      <c r="AH3384">
        <v>540</v>
      </c>
      <c r="AI3384">
        <v>536</v>
      </c>
      <c r="AJ3384">
        <v>4</v>
      </c>
      <c r="AK3384">
        <v>1</v>
      </c>
      <c r="AL3384">
        <v>1</v>
      </c>
      <c r="AM3384">
        <v>99.26</v>
      </c>
      <c r="AN3384">
        <v>23.976800000000001</v>
      </c>
      <c r="AO3384">
        <v>91.73</v>
      </c>
      <c r="AP3384" s="13">
        <v>45554</v>
      </c>
      <c r="AQ3384">
        <v>-4</v>
      </c>
      <c r="AR3384">
        <v>1</v>
      </c>
    </row>
    <row r="3385" spans="1:44" x14ac:dyDescent="0.35">
      <c r="A3385" s="12" t="s">
        <v>4299</v>
      </c>
      <c r="B3385" s="12" t="s">
        <v>1034</v>
      </c>
      <c r="C3385" s="12" t="s">
        <v>1035</v>
      </c>
      <c r="D3385" s="12" t="s">
        <v>64</v>
      </c>
      <c r="E3385" s="12" t="s">
        <v>104</v>
      </c>
      <c r="F3385">
        <v>2</v>
      </c>
      <c r="G3385">
        <v>0</v>
      </c>
      <c r="H3385">
        <v>0</v>
      </c>
      <c r="I3385" s="12" t="s">
        <v>157</v>
      </c>
      <c r="J3385" s="12" t="s">
        <v>158</v>
      </c>
      <c r="K3385" s="12" t="s">
        <v>117</v>
      </c>
      <c r="L3385" s="12" t="s">
        <v>96</v>
      </c>
      <c r="M3385">
        <v>4.72</v>
      </c>
      <c r="N3385" s="12" t="s">
        <v>97</v>
      </c>
      <c r="O3385" s="12" t="s">
        <v>98</v>
      </c>
      <c r="P3385" s="12" t="s">
        <v>72</v>
      </c>
      <c r="Q3385" s="13">
        <v>45539</v>
      </c>
      <c r="R3385" s="13">
        <v>45555</v>
      </c>
      <c r="S3385">
        <v>2024</v>
      </c>
      <c r="T3385" s="12" t="s">
        <v>4283</v>
      </c>
      <c r="U3385">
        <v>328</v>
      </c>
      <c r="V3385">
        <v>9.2698</v>
      </c>
      <c r="W3385">
        <v>60.95</v>
      </c>
      <c r="X3385">
        <v>0</v>
      </c>
      <c r="Y3385">
        <v>0</v>
      </c>
      <c r="Z3385">
        <v>3040.49</v>
      </c>
      <c r="AA3385">
        <v>3101.44</v>
      </c>
      <c r="AB3385" s="12" t="s">
        <v>3309</v>
      </c>
      <c r="AC3385">
        <v>9.2698</v>
      </c>
      <c r="AD3385">
        <v>1</v>
      </c>
      <c r="AE3385">
        <v>1</v>
      </c>
      <c r="AF3385">
        <v>0</v>
      </c>
      <c r="AG3385">
        <v>3040.49</v>
      </c>
      <c r="AH3385">
        <v>328</v>
      </c>
      <c r="AI3385">
        <v>326</v>
      </c>
      <c r="AJ3385">
        <v>2</v>
      </c>
      <c r="AK3385">
        <v>1</v>
      </c>
      <c r="AL3385">
        <v>1</v>
      </c>
      <c r="AM3385">
        <v>99.39</v>
      </c>
      <c r="AN3385">
        <v>9.5136000000000003</v>
      </c>
      <c r="AO3385">
        <v>18.54</v>
      </c>
      <c r="AP3385" s="13">
        <v>45554</v>
      </c>
      <c r="AQ3385">
        <v>-1</v>
      </c>
      <c r="AR3385">
        <v>1</v>
      </c>
    </row>
    <row r="3386" spans="1:44" x14ac:dyDescent="0.35">
      <c r="A3386" s="12" t="s">
        <v>4300</v>
      </c>
      <c r="B3386" s="12" t="s">
        <v>350</v>
      </c>
      <c r="C3386" s="12" t="s">
        <v>351</v>
      </c>
      <c r="D3386" s="12" t="s">
        <v>64</v>
      </c>
      <c r="E3386" s="12" t="s">
        <v>104</v>
      </c>
      <c r="F3386">
        <v>3</v>
      </c>
      <c r="G3386">
        <v>1</v>
      </c>
      <c r="H3386">
        <v>0</v>
      </c>
      <c r="I3386" s="12" t="s">
        <v>486</v>
      </c>
      <c r="J3386" s="12" t="s">
        <v>487</v>
      </c>
      <c r="K3386" s="12" t="s">
        <v>125</v>
      </c>
      <c r="L3386" s="12" t="s">
        <v>69</v>
      </c>
      <c r="M3386">
        <v>36.86</v>
      </c>
      <c r="N3386" s="12" t="s">
        <v>97</v>
      </c>
      <c r="O3386" s="12" t="s">
        <v>98</v>
      </c>
      <c r="P3386" s="12" t="s">
        <v>72</v>
      </c>
      <c r="Q3386" s="13">
        <v>45539</v>
      </c>
      <c r="R3386" s="13">
        <v>45553</v>
      </c>
      <c r="S3386">
        <v>2024</v>
      </c>
      <c r="T3386" s="12" t="s">
        <v>4283</v>
      </c>
      <c r="U3386">
        <v>214</v>
      </c>
      <c r="V3386">
        <v>8.4832000000000001</v>
      </c>
      <c r="W3386">
        <v>11.24</v>
      </c>
      <c r="X3386">
        <v>0</v>
      </c>
      <c r="Y3386">
        <v>0</v>
      </c>
      <c r="Z3386">
        <v>1815.4</v>
      </c>
      <c r="AA3386">
        <v>1826.64</v>
      </c>
      <c r="AB3386" s="12" t="s">
        <v>2933</v>
      </c>
      <c r="AC3386">
        <v>8.4832000000000001</v>
      </c>
      <c r="AD3386">
        <v>1</v>
      </c>
      <c r="AE3386">
        <v>1</v>
      </c>
      <c r="AF3386">
        <v>0</v>
      </c>
      <c r="AG3386">
        <v>1815.4</v>
      </c>
      <c r="AH3386">
        <v>214</v>
      </c>
      <c r="AI3386">
        <v>212</v>
      </c>
      <c r="AJ3386">
        <v>2</v>
      </c>
      <c r="AK3386">
        <v>1</v>
      </c>
      <c r="AL3386">
        <v>1</v>
      </c>
      <c r="AM3386">
        <v>99.07</v>
      </c>
      <c r="AN3386">
        <v>8.6161999999999992</v>
      </c>
      <c r="AO3386">
        <v>16.97</v>
      </c>
      <c r="AP3386" s="13">
        <v>45549</v>
      </c>
      <c r="AQ3386">
        <v>-4</v>
      </c>
      <c r="AR3386">
        <v>1</v>
      </c>
    </row>
    <row r="3387" spans="1:44" x14ac:dyDescent="0.35">
      <c r="A3387" s="12" t="s">
        <v>4301</v>
      </c>
      <c r="B3387" s="12" t="s">
        <v>952</v>
      </c>
      <c r="C3387" s="12" t="s">
        <v>953</v>
      </c>
      <c r="D3387" s="12" t="s">
        <v>64</v>
      </c>
      <c r="E3387" s="12" t="s">
        <v>142</v>
      </c>
      <c r="F3387">
        <v>1</v>
      </c>
      <c r="G3387">
        <v>8</v>
      </c>
      <c r="H3387">
        <v>1</v>
      </c>
      <c r="I3387" s="12" t="s">
        <v>131</v>
      </c>
      <c r="J3387" s="12" t="s">
        <v>132</v>
      </c>
      <c r="K3387" s="12" t="s">
        <v>133</v>
      </c>
      <c r="L3387" s="12" t="s">
        <v>134</v>
      </c>
      <c r="M3387">
        <v>1.51</v>
      </c>
      <c r="N3387" s="12" t="s">
        <v>70</v>
      </c>
      <c r="O3387" s="12" t="s">
        <v>71</v>
      </c>
      <c r="P3387" s="12" t="s">
        <v>72</v>
      </c>
      <c r="Q3387" s="13">
        <v>45539</v>
      </c>
      <c r="R3387" s="13">
        <v>45574</v>
      </c>
      <c r="S3387">
        <v>2024</v>
      </c>
      <c r="T3387" s="12" t="s">
        <v>4283</v>
      </c>
      <c r="U3387">
        <v>130</v>
      </c>
      <c r="V3387">
        <v>31.110399999999998</v>
      </c>
      <c r="W3387">
        <v>72.88</v>
      </c>
      <c r="X3387">
        <v>0</v>
      </c>
      <c r="Y3387">
        <v>0</v>
      </c>
      <c r="Z3387">
        <v>4044.35</v>
      </c>
      <c r="AA3387">
        <v>4117.2299999999996</v>
      </c>
      <c r="AB3387" s="12" t="s">
        <v>3261</v>
      </c>
      <c r="AC3387">
        <v>31.110399999999998</v>
      </c>
      <c r="AD3387">
        <v>1</v>
      </c>
      <c r="AE3387">
        <v>1</v>
      </c>
      <c r="AF3387">
        <v>0</v>
      </c>
      <c r="AG3387">
        <v>4044.35</v>
      </c>
      <c r="AH3387">
        <v>130</v>
      </c>
      <c r="AI3387">
        <v>129</v>
      </c>
      <c r="AJ3387">
        <v>1</v>
      </c>
      <c r="AK3387">
        <v>1</v>
      </c>
      <c r="AL3387">
        <v>1</v>
      </c>
      <c r="AM3387">
        <v>99.23</v>
      </c>
      <c r="AN3387">
        <v>31.916499999999999</v>
      </c>
      <c r="AO3387">
        <v>31.11</v>
      </c>
      <c r="AP3387" s="13">
        <v>45574</v>
      </c>
      <c r="AQ3387">
        <v>0</v>
      </c>
      <c r="AR3387">
        <v>1</v>
      </c>
    </row>
    <row r="3388" spans="1:44" x14ac:dyDescent="0.35">
      <c r="A3388" s="12" t="s">
        <v>4302</v>
      </c>
      <c r="B3388" s="12" t="s">
        <v>509</v>
      </c>
      <c r="C3388" s="12" t="s">
        <v>510</v>
      </c>
      <c r="D3388" s="12" t="s">
        <v>78</v>
      </c>
      <c r="E3388" s="12" t="s">
        <v>142</v>
      </c>
      <c r="F3388">
        <v>3</v>
      </c>
      <c r="G3388">
        <v>11</v>
      </c>
      <c r="H3388">
        <v>0</v>
      </c>
      <c r="I3388" s="12" t="s">
        <v>176</v>
      </c>
      <c r="J3388" s="12" t="s">
        <v>177</v>
      </c>
      <c r="K3388" s="12" t="s">
        <v>125</v>
      </c>
      <c r="L3388" s="12" t="s">
        <v>134</v>
      </c>
      <c r="M3388">
        <v>1.75</v>
      </c>
      <c r="N3388" s="12" t="s">
        <v>97</v>
      </c>
      <c r="O3388" s="12" t="s">
        <v>98</v>
      </c>
      <c r="P3388" s="12" t="s">
        <v>72</v>
      </c>
      <c r="Q3388" s="13">
        <v>45539</v>
      </c>
      <c r="R3388" s="13">
        <v>45586</v>
      </c>
      <c r="S3388">
        <v>2024</v>
      </c>
      <c r="T3388" s="12" t="s">
        <v>4283</v>
      </c>
      <c r="U3388">
        <v>225</v>
      </c>
      <c r="V3388">
        <v>141.2534</v>
      </c>
      <c r="W3388">
        <v>719.74</v>
      </c>
      <c r="X3388">
        <v>0</v>
      </c>
      <c r="Y3388">
        <v>0</v>
      </c>
      <c r="Z3388">
        <v>31782.02</v>
      </c>
      <c r="AA3388">
        <v>32501.759999999998</v>
      </c>
      <c r="AB3388" s="12" t="s">
        <v>201</v>
      </c>
      <c r="AD3388">
        <v>0</v>
      </c>
      <c r="AE3388">
        <v>0</v>
      </c>
      <c r="AH3388">
        <v>225</v>
      </c>
      <c r="AI3388">
        <v>221</v>
      </c>
      <c r="AJ3388">
        <v>4</v>
      </c>
      <c r="AK3388">
        <v>1</v>
      </c>
      <c r="AL3388">
        <v>1</v>
      </c>
      <c r="AM3388">
        <v>98.22</v>
      </c>
      <c r="AN3388">
        <v>147.0668</v>
      </c>
      <c r="AO3388">
        <v>565.01</v>
      </c>
      <c r="AP3388" s="13">
        <v>45585</v>
      </c>
      <c r="AQ3388">
        <v>-1</v>
      </c>
      <c r="AR3388">
        <v>1</v>
      </c>
    </row>
    <row r="3389" spans="1:44" x14ac:dyDescent="0.35">
      <c r="A3389" s="12" t="s">
        <v>4303</v>
      </c>
      <c r="B3389" s="12" t="s">
        <v>1433</v>
      </c>
      <c r="C3389" s="12" t="s">
        <v>1434</v>
      </c>
      <c r="D3389" s="12" t="s">
        <v>269</v>
      </c>
      <c r="E3389" s="12" t="s">
        <v>65</v>
      </c>
      <c r="F3389">
        <v>3</v>
      </c>
      <c r="G3389">
        <v>5</v>
      </c>
      <c r="H3389">
        <v>0</v>
      </c>
      <c r="I3389" s="12" t="s">
        <v>223</v>
      </c>
      <c r="J3389" s="12" t="s">
        <v>224</v>
      </c>
      <c r="K3389" s="12" t="s">
        <v>81</v>
      </c>
      <c r="L3389" s="12" t="s">
        <v>134</v>
      </c>
      <c r="M3389">
        <v>2.4900000000000002</v>
      </c>
      <c r="N3389" s="12" t="s">
        <v>135</v>
      </c>
      <c r="O3389" s="12" t="s">
        <v>136</v>
      </c>
      <c r="P3389" s="12" t="s">
        <v>137</v>
      </c>
      <c r="Q3389" s="13">
        <v>45539</v>
      </c>
      <c r="R3389" s="13">
        <v>45572</v>
      </c>
      <c r="S3389">
        <v>2024</v>
      </c>
      <c r="T3389" s="12" t="s">
        <v>4283</v>
      </c>
      <c r="U3389">
        <v>103</v>
      </c>
      <c r="V3389">
        <v>516.43219999999997</v>
      </c>
      <c r="W3389">
        <v>649.29999999999995</v>
      </c>
      <c r="X3389">
        <v>0</v>
      </c>
      <c r="Y3389">
        <v>0</v>
      </c>
      <c r="Z3389">
        <v>53192.52</v>
      </c>
      <c r="AA3389">
        <v>53841.82</v>
      </c>
      <c r="AB3389" s="12" t="s">
        <v>201</v>
      </c>
      <c r="AD3389">
        <v>0</v>
      </c>
      <c r="AE3389">
        <v>0</v>
      </c>
      <c r="AH3389">
        <v>103</v>
      </c>
      <c r="AI3389">
        <v>102</v>
      </c>
      <c r="AJ3389">
        <v>1</v>
      </c>
      <c r="AK3389">
        <v>1</v>
      </c>
      <c r="AL3389">
        <v>1</v>
      </c>
      <c r="AM3389">
        <v>99.03</v>
      </c>
      <c r="AN3389">
        <v>527.86090000000002</v>
      </c>
      <c r="AO3389">
        <v>516.42999999999995</v>
      </c>
      <c r="AP3389" s="13">
        <v>45574</v>
      </c>
      <c r="AQ3389">
        <v>2</v>
      </c>
      <c r="AR3389">
        <v>0</v>
      </c>
    </row>
    <row r="3390" spans="1:44" x14ac:dyDescent="0.35">
      <c r="A3390" s="12" t="s">
        <v>4304</v>
      </c>
      <c r="B3390" s="12" t="s">
        <v>433</v>
      </c>
      <c r="C3390" s="12" t="s">
        <v>434</v>
      </c>
      <c r="D3390" s="12" t="s">
        <v>78</v>
      </c>
      <c r="E3390" s="12" t="s">
        <v>65</v>
      </c>
      <c r="F3390">
        <v>2</v>
      </c>
      <c r="G3390">
        <v>4</v>
      </c>
      <c r="H3390">
        <v>0</v>
      </c>
      <c r="I3390" s="12" t="s">
        <v>105</v>
      </c>
      <c r="J3390" s="12" t="s">
        <v>106</v>
      </c>
      <c r="K3390" s="12" t="s">
        <v>81</v>
      </c>
      <c r="L3390" s="12" t="s">
        <v>96</v>
      </c>
      <c r="M3390">
        <v>5.01</v>
      </c>
      <c r="N3390" s="12" t="s">
        <v>97</v>
      </c>
      <c r="O3390" s="12" t="s">
        <v>98</v>
      </c>
      <c r="P3390" s="12" t="s">
        <v>72</v>
      </c>
      <c r="Q3390" s="13">
        <v>45539</v>
      </c>
      <c r="R3390" s="13">
        <v>45572</v>
      </c>
      <c r="S3390">
        <v>2024</v>
      </c>
      <c r="T3390" s="12" t="s">
        <v>4283</v>
      </c>
      <c r="U3390">
        <v>226</v>
      </c>
      <c r="V3390">
        <v>72.364500000000007</v>
      </c>
      <c r="W3390">
        <v>313.89</v>
      </c>
      <c r="X3390">
        <v>0</v>
      </c>
      <c r="Y3390">
        <v>0</v>
      </c>
      <c r="Z3390">
        <v>16354.38</v>
      </c>
      <c r="AA3390">
        <v>16668.27</v>
      </c>
      <c r="AB3390" s="12" t="s">
        <v>2930</v>
      </c>
      <c r="AC3390">
        <v>72.364500000000007</v>
      </c>
      <c r="AD3390">
        <v>1</v>
      </c>
      <c r="AE3390">
        <v>1</v>
      </c>
      <c r="AF3390">
        <v>0</v>
      </c>
      <c r="AG3390">
        <v>16354.38</v>
      </c>
      <c r="AH3390">
        <v>226</v>
      </c>
      <c r="AI3390">
        <v>222</v>
      </c>
      <c r="AJ3390">
        <v>4</v>
      </c>
      <c r="AK3390">
        <v>1</v>
      </c>
      <c r="AL3390">
        <v>1</v>
      </c>
      <c r="AM3390">
        <v>98.23</v>
      </c>
      <c r="AN3390">
        <v>75.082300000000004</v>
      </c>
      <c r="AO3390">
        <v>289.45999999999998</v>
      </c>
      <c r="AP3390" s="13">
        <v>45577</v>
      </c>
      <c r="AQ3390">
        <v>5</v>
      </c>
      <c r="AR3390">
        <v>0</v>
      </c>
    </row>
    <row r="3391" spans="1:44" x14ac:dyDescent="0.35">
      <c r="A3391" s="12" t="s">
        <v>4305</v>
      </c>
      <c r="B3391" s="12" t="s">
        <v>537</v>
      </c>
      <c r="C3391" s="12" t="s">
        <v>538</v>
      </c>
      <c r="D3391" s="12" t="s">
        <v>103</v>
      </c>
      <c r="E3391" s="12" t="s">
        <v>104</v>
      </c>
      <c r="F3391">
        <v>3</v>
      </c>
      <c r="G3391">
        <v>0</v>
      </c>
      <c r="H3391">
        <v>0</v>
      </c>
      <c r="I3391" s="12" t="s">
        <v>380</v>
      </c>
      <c r="J3391" s="12" t="s">
        <v>381</v>
      </c>
      <c r="K3391" s="12" t="s">
        <v>89</v>
      </c>
      <c r="L3391" s="12" t="s">
        <v>96</v>
      </c>
      <c r="M3391">
        <v>10.210000000000001</v>
      </c>
      <c r="N3391" s="12" t="s">
        <v>145</v>
      </c>
      <c r="O3391" s="12" t="s">
        <v>146</v>
      </c>
      <c r="P3391" s="12" t="s">
        <v>109</v>
      </c>
      <c r="Q3391" s="13">
        <v>45540</v>
      </c>
      <c r="R3391" s="13">
        <v>45554</v>
      </c>
      <c r="S3391">
        <v>2024</v>
      </c>
      <c r="T3391" s="12" t="s">
        <v>4283</v>
      </c>
      <c r="U3391">
        <v>31</v>
      </c>
      <c r="V3391">
        <v>242.5198</v>
      </c>
      <c r="W3391">
        <v>172.68</v>
      </c>
      <c r="X3391">
        <v>0</v>
      </c>
      <c r="Y3391">
        <v>0</v>
      </c>
      <c r="Z3391">
        <v>7518.11</v>
      </c>
      <c r="AA3391">
        <v>7690.79</v>
      </c>
      <c r="AB3391" s="12" t="s">
        <v>3095</v>
      </c>
      <c r="AC3391">
        <v>242.5198</v>
      </c>
      <c r="AD3391">
        <v>1</v>
      </c>
      <c r="AE3391">
        <v>1</v>
      </c>
      <c r="AF3391">
        <v>0</v>
      </c>
      <c r="AG3391">
        <v>7518.11</v>
      </c>
      <c r="AH3391">
        <v>31</v>
      </c>
      <c r="AI3391">
        <v>31</v>
      </c>
      <c r="AJ3391">
        <v>0</v>
      </c>
      <c r="AK3391">
        <v>1</v>
      </c>
      <c r="AL3391">
        <v>1</v>
      </c>
      <c r="AM3391">
        <v>100</v>
      </c>
      <c r="AN3391">
        <v>248.09010000000001</v>
      </c>
      <c r="AO3391">
        <v>0</v>
      </c>
      <c r="AP3391" s="13">
        <v>45555</v>
      </c>
      <c r="AQ3391">
        <v>1</v>
      </c>
      <c r="AR3391">
        <v>0</v>
      </c>
    </row>
    <row r="3392" spans="1:44" x14ac:dyDescent="0.35">
      <c r="A3392" s="12" t="s">
        <v>4306</v>
      </c>
      <c r="B3392" s="12" t="s">
        <v>503</v>
      </c>
      <c r="C3392" s="12" t="s">
        <v>504</v>
      </c>
      <c r="D3392" s="12" t="s">
        <v>103</v>
      </c>
      <c r="E3392" s="12" t="s">
        <v>104</v>
      </c>
      <c r="F3392">
        <v>3</v>
      </c>
      <c r="G3392">
        <v>1</v>
      </c>
      <c r="H3392">
        <v>0</v>
      </c>
      <c r="I3392" s="12" t="s">
        <v>209</v>
      </c>
      <c r="J3392" s="12" t="s">
        <v>210</v>
      </c>
      <c r="K3392" s="12" t="s">
        <v>133</v>
      </c>
      <c r="L3392" s="12" t="s">
        <v>96</v>
      </c>
      <c r="M3392">
        <v>7.82</v>
      </c>
      <c r="N3392" s="12" t="s">
        <v>107</v>
      </c>
      <c r="O3392" s="12" t="s">
        <v>108</v>
      </c>
      <c r="P3392" s="12" t="s">
        <v>109</v>
      </c>
      <c r="Q3392" s="13">
        <v>45540</v>
      </c>
      <c r="R3392" s="13">
        <v>45567</v>
      </c>
      <c r="S3392">
        <v>2024</v>
      </c>
      <c r="T3392" s="12" t="s">
        <v>4283</v>
      </c>
      <c r="U3392">
        <v>128</v>
      </c>
      <c r="V3392">
        <v>156.6559</v>
      </c>
      <c r="W3392">
        <v>258.58</v>
      </c>
      <c r="X3392">
        <v>0</v>
      </c>
      <c r="Y3392">
        <v>0</v>
      </c>
      <c r="Z3392">
        <v>20051.96</v>
      </c>
      <c r="AA3392">
        <v>20310.54</v>
      </c>
      <c r="AB3392" s="12" t="s">
        <v>3083</v>
      </c>
      <c r="AC3392">
        <v>156.6559</v>
      </c>
      <c r="AD3392">
        <v>1</v>
      </c>
      <c r="AE3392">
        <v>1</v>
      </c>
      <c r="AF3392">
        <v>0</v>
      </c>
      <c r="AG3392">
        <v>20051.96</v>
      </c>
      <c r="AH3392">
        <v>128</v>
      </c>
      <c r="AI3392">
        <v>126</v>
      </c>
      <c r="AJ3392">
        <v>2</v>
      </c>
      <c r="AK3392">
        <v>1</v>
      </c>
      <c r="AL3392">
        <v>1</v>
      </c>
      <c r="AM3392">
        <v>98.44</v>
      </c>
      <c r="AN3392">
        <v>161.19470000000001</v>
      </c>
      <c r="AO3392">
        <v>313.31</v>
      </c>
      <c r="AP3392" s="13">
        <v>45564</v>
      </c>
      <c r="AQ3392">
        <v>-3</v>
      </c>
      <c r="AR3392">
        <v>1</v>
      </c>
    </row>
    <row r="3393" spans="1:44" x14ac:dyDescent="0.35">
      <c r="A3393" s="12" t="s">
        <v>4307</v>
      </c>
      <c r="B3393" s="12" t="s">
        <v>503</v>
      </c>
      <c r="C3393" s="12" t="s">
        <v>504</v>
      </c>
      <c r="D3393" s="12" t="s">
        <v>103</v>
      </c>
      <c r="E3393" s="12" t="s">
        <v>104</v>
      </c>
      <c r="F3393">
        <v>3</v>
      </c>
      <c r="G3393">
        <v>1</v>
      </c>
      <c r="H3393">
        <v>0</v>
      </c>
      <c r="I3393" s="12" t="s">
        <v>209</v>
      </c>
      <c r="J3393" s="12" t="s">
        <v>210</v>
      </c>
      <c r="K3393" s="12" t="s">
        <v>133</v>
      </c>
      <c r="L3393" s="12" t="s">
        <v>96</v>
      </c>
      <c r="M3393">
        <v>7.82</v>
      </c>
      <c r="N3393" s="12" t="s">
        <v>107</v>
      </c>
      <c r="O3393" s="12" t="s">
        <v>108</v>
      </c>
      <c r="P3393" s="12" t="s">
        <v>109</v>
      </c>
      <c r="Q3393" s="13">
        <v>45540</v>
      </c>
      <c r="R3393" s="13">
        <v>45563</v>
      </c>
      <c r="S3393">
        <v>2024</v>
      </c>
      <c r="T3393" s="12" t="s">
        <v>4283</v>
      </c>
      <c r="U3393">
        <v>100</v>
      </c>
      <c r="V3393">
        <v>156.6559</v>
      </c>
      <c r="W3393">
        <v>131.55000000000001</v>
      </c>
      <c r="X3393">
        <v>0</v>
      </c>
      <c r="Y3393">
        <v>0</v>
      </c>
      <c r="Z3393">
        <v>15665.59</v>
      </c>
      <c r="AA3393">
        <v>15797.14</v>
      </c>
      <c r="AB3393" s="12" t="s">
        <v>3083</v>
      </c>
      <c r="AC3393">
        <v>156.6559</v>
      </c>
      <c r="AD3393">
        <v>1</v>
      </c>
      <c r="AE3393">
        <v>1</v>
      </c>
      <c r="AF3393">
        <v>0</v>
      </c>
      <c r="AG3393">
        <v>15665.59</v>
      </c>
      <c r="AH3393">
        <v>100</v>
      </c>
      <c r="AI3393">
        <v>99</v>
      </c>
      <c r="AJ3393">
        <v>1</v>
      </c>
      <c r="AK3393">
        <v>1</v>
      </c>
      <c r="AL3393">
        <v>1</v>
      </c>
      <c r="AM3393">
        <v>99</v>
      </c>
      <c r="AN3393">
        <v>159.56710000000001</v>
      </c>
      <c r="AO3393">
        <v>156.66</v>
      </c>
      <c r="AP3393" s="13">
        <v>45561</v>
      </c>
      <c r="AQ3393">
        <v>-2</v>
      </c>
      <c r="AR3393">
        <v>1</v>
      </c>
    </row>
    <row r="3394" spans="1:44" x14ac:dyDescent="0.35">
      <c r="A3394" s="12" t="s">
        <v>4308</v>
      </c>
      <c r="B3394" s="12" t="s">
        <v>646</v>
      </c>
      <c r="C3394" s="12" t="s">
        <v>647</v>
      </c>
      <c r="D3394" s="12" t="s">
        <v>175</v>
      </c>
      <c r="E3394" s="12" t="s">
        <v>104</v>
      </c>
      <c r="F3394">
        <v>3</v>
      </c>
      <c r="G3394">
        <v>1</v>
      </c>
      <c r="H3394">
        <v>0</v>
      </c>
      <c r="I3394" s="12" t="s">
        <v>227</v>
      </c>
      <c r="J3394" s="12" t="s">
        <v>228</v>
      </c>
      <c r="K3394" s="12" t="s">
        <v>89</v>
      </c>
      <c r="L3394" s="12" t="s">
        <v>96</v>
      </c>
      <c r="M3394">
        <v>9.15</v>
      </c>
      <c r="N3394" s="12" t="s">
        <v>107</v>
      </c>
      <c r="O3394" s="12" t="s">
        <v>108</v>
      </c>
      <c r="P3394" s="12" t="s">
        <v>109</v>
      </c>
      <c r="Q3394" s="13">
        <v>45540</v>
      </c>
      <c r="R3394" s="13">
        <v>45568</v>
      </c>
      <c r="S3394">
        <v>2024</v>
      </c>
      <c r="T3394" s="12" t="s">
        <v>4283</v>
      </c>
      <c r="U3394">
        <v>134</v>
      </c>
      <c r="V3394">
        <v>203.7088</v>
      </c>
      <c r="W3394">
        <v>358.29</v>
      </c>
      <c r="X3394">
        <v>0</v>
      </c>
      <c r="Y3394">
        <v>0</v>
      </c>
      <c r="Z3394">
        <v>27296.98</v>
      </c>
      <c r="AA3394">
        <v>27655.27</v>
      </c>
      <c r="AB3394" s="12" t="s">
        <v>3535</v>
      </c>
      <c r="AC3394">
        <v>203.7088</v>
      </c>
      <c r="AD3394">
        <v>1</v>
      </c>
      <c r="AE3394">
        <v>1</v>
      </c>
      <c r="AF3394">
        <v>0</v>
      </c>
      <c r="AG3394">
        <v>27296.98</v>
      </c>
      <c r="AH3394">
        <v>134</v>
      </c>
      <c r="AI3394">
        <v>134</v>
      </c>
      <c r="AJ3394">
        <v>0</v>
      </c>
      <c r="AK3394">
        <v>1</v>
      </c>
      <c r="AL3394">
        <v>1</v>
      </c>
      <c r="AM3394">
        <v>100</v>
      </c>
      <c r="AN3394">
        <v>206.3826</v>
      </c>
      <c r="AO3394">
        <v>0</v>
      </c>
      <c r="AP3394" s="13">
        <v>45573</v>
      </c>
      <c r="AQ3394">
        <v>5</v>
      </c>
      <c r="AR3394">
        <v>0</v>
      </c>
    </row>
    <row r="3395" spans="1:44" x14ac:dyDescent="0.35">
      <c r="A3395" s="12" t="s">
        <v>4309</v>
      </c>
      <c r="B3395" s="12" t="s">
        <v>399</v>
      </c>
      <c r="C3395" s="12" t="s">
        <v>400</v>
      </c>
      <c r="D3395" s="12" t="s">
        <v>114</v>
      </c>
      <c r="E3395" s="12" t="s">
        <v>65</v>
      </c>
      <c r="F3395">
        <v>1</v>
      </c>
      <c r="G3395">
        <v>2</v>
      </c>
      <c r="H3395">
        <v>1</v>
      </c>
      <c r="I3395" s="12" t="s">
        <v>151</v>
      </c>
      <c r="J3395" s="12" t="s">
        <v>152</v>
      </c>
      <c r="K3395" s="12" t="s">
        <v>125</v>
      </c>
      <c r="L3395" s="12" t="s">
        <v>69</v>
      </c>
      <c r="M3395">
        <v>36.479999999999997</v>
      </c>
      <c r="N3395" s="12" t="s">
        <v>97</v>
      </c>
      <c r="O3395" s="12" t="s">
        <v>98</v>
      </c>
      <c r="P3395" s="12" t="s">
        <v>72</v>
      </c>
      <c r="Q3395" s="13">
        <v>45540</v>
      </c>
      <c r="R3395" s="13">
        <v>45575</v>
      </c>
      <c r="S3395">
        <v>2024</v>
      </c>
      <c r="T3395" s="12" t="s">
        <v>4283</v>
      </c>
      <c r="U3395">
        <v>120</v>
      </c>
      <c r="V3395">
        <v>292.26440000000002</v>
      </c>
      <c r="W3395">
        <v>229.67</v>
      </c>
      <c r="X3395">
        <v>0</v>
      </c>
      <c r="Y3395">
        <v>0</v>
      </c>
      <c r="Z3395">
        <v>35071.730000000003</v>
      </c>
      <c r="AA3395">
        <v>35301.4</v>
      </c>
      <c r="AB3395" s="12" t="s">
        <v>3009</v>
      </c>
      <c r="AC3395">
        <v>292.26440000000002</v>
      </c>
      <c r="AD3395">
        <v>1</v>
      </c>
      <c r="AE3395">
        <v>1</v>
      </c>
      <c r="AF3395">
        <v>0</v>
      </c>
      <c r="AG3395">
        <v>35071.730000000003</v>
      </c>
      <c r="AH3395">
        <v>120</v>
      </c>
      <c r="AI3395">
        <v>119</v>
      </c>
      <c r="AJ3395">
        <v>1</v>
      </c>
      <c r="AK3395">
        <v>1</v>
      </c>
      <c r="AL3395">
        <v>1</v>
      </c>
      <c r="AM3395">
        <v>99.17</v>
      </c>
      <c r="AN3395">
        <v>296.65039999999999</v>
      </c>
      <c r="AO3395">
        <v>292.26</v>
      </c>
      <c r="AP3395" s="13">
        <v>45575</v>
      </c>
      <c r="AQ3395">
        <v>0</v>
      </c>
      <c r="AR3395">
        <v>1</v>
      </c>
    </row>
    <row r="3396" spans="1:44" x14ac:dyDescent="0.35">
      <c r="A3396" s="12" t="s">
        <v>4310</v>
      </c>
      <c r="B3396" s="12" t="s">
        <v>273</v>
      </c>
      <c r="C3396" s="12" t="s">
        <v>274</v>
      </c>
      <c r="D3396" s="12" t="s">
        <v>175</v>
      </c>
      <c r="E3396" s="12" t="s">
        <v>104</v>
      </c>
      <c r="F3396">
        <v>3</v>
      </c>
      <c r="G3396">
        <v>1</v>
      </c>
      <c r="H3396">
        <v>0</v>
      </c>
      <c r="I3396" s="12" t="s">
        <v>275</v>
      </c>
      <c r="J3396" s="12" t="s">
        <v>276</v>
      </c>
      <c r="K3396" s="12" t="s">
        <v>89</v>
      </c>
      <c r="L3396" s="12" t="s">
        <v>82</v>
      </c>
      <c r="M3396">
        <v>14.26</v>
      </c>
      <c r="N3396" s="12" t="s">
        <v>107</v>
      </c>
      <c r="O3396" s="12" t="s">
        <v>108</v>
      </c>
      <c r="P3396" s="12" t="s">
        <v>109</v>
      </c>
      <c r="Q3396" s="13">
        <v>45540</v>
      </c>
      <c r="R3396" s="13">
        <v>45552</v>
      </c>
      <c r="S3396">
        <v>2024</v>
      </c>
      <c r="T3396" s="12" t="s">
        <v>4283</v>
      </c>
      <c r="U3396">
        <v>10</v>
      </c>
      <c r="V3396">
        <v>113.6422</v>
      </c>
      <c r="W3396">
        <v>18.079999999999998</v>
      </c>
      <c r="X3396">
        <v>0</v>
      </c>
      <c r="Y3396">
        <v>0</v>
      </c>
      <c r="Z3396">
        <v>1136.42</v>
      </c>
      <c r="AA3396">
        <v>1154.5</v>
      </c>
      <c r="AB3396" s="12" t="s">
        <v>3580</v>
      </c>
      <c r="AC3396">
        <v>111.0129</v>
      </c>
      <c r="AD3396">
        <v>1</v>
      </c>
      <c r="AE3396">
        <v>1</v>
      </c>
      <c r="AF3396">
        <v>26.29</v>
      </c>
      <c r="AG3396">
        <v>1110.1300000000001</v>
      </c>
      <c r="AH3396">
        <v>10</v>
      </c>
      <c r="AI3396">
        <v>10</v>
      </c>
      <c r="AJ3396">
        <v>0</v>
      </c>
      <c r="AK3396">
        <v>1</v>
      </c>
      <c r="AL3396">
        <v>1</v>
      </c>
      <c r="AM3396">
        <v>100</v>
      </c>
      <c r="AN3396">
        <v>115.4502</v>
      </c>
      <c r="AO3396">
        <v>0</v>
      </c>
      <c r="AP3396" s="13">
        <v>45552</v>
      </c>
      <c r="AQ3396">
        <v>0</v>
      </c>
      <c r="AR3396">
        <v>1</v>
      </c>
    </row>
    <row r="3397" spans="1:44" x14ac:dyDescent="0.35">
      <c r="A3397" s="12" t="s">
        <v>4311</v>
      </c>
      <c r="B3397" s="12" t="s">
        <v>442</v>
      </c>
      <c r="C3397" s="12" t="s">
        <v>443</v>
      </c>
      <c r="D3397" s="12" t="s">
        <v>130</v>
      </c>
      <c r="E3397" s="12" t="s">
        <v>65</v>
      </c>
      <c r="F3397">
        <v>3</v>
      </c>
      <c r="G3397">
        <v>4</v>
      </c>
      <c r="H3397">
        <v>0</v>
      </c>
      <c r="I3397" s="12" t="s">
        <v>251</v>
      </c>
      <c r="J3397" s="12" t="s">
        <v>252</v>
      </c>
      <c r="K3397" s="12" t="s">
        <v>133</v>
      </c>
      <c r="L3397" s="12" t="s">
        <v>69</v>
      </c>
      <c r="M3397">
        <v>34.49</v>
      </c>
      <c r="N3397" s="12" t="s">
        <v>135</v>
      </c>
      <c r="O3397" s="12" t="s">
        <v>136</v>
      </c>
      <c r="P3397" s="12" t="s">
        <v>137</v>
      </c>
      <c r="Q3397" s="13">
        <v>45540</v>
      </c>
      <c r="R3397" s="13">
        <v>45575</v>
      </c>
      <c r="S3397">
        <v>2024</v>
      </c>
      <c r="T3397" s="12" t="s">
        <v>4283</v>
      </c>
      <c r="U3397">
        <v>126</v>
      </c>
      <c r="V3397">
        <v>527.27139999999997</v>
      </c>
      <c r="W3397">
        <v>410.44</v>
      </c>
      <c r="X3397">
        <v>0</v>
      </c>
      <c r="Y3397">
        <v>0</v>
      </c>
      <c r="Z3397">
        <v>66436.2</v>
      </c>
      <c r="AA3397">
        <v>66846.64</v>
      </c>
      <c r="AB3397" s="12" t="s">
        <v>3116</v>
      </c>
      <c r="AC3397">
        <v>560.57730000000004</v>
      </c>
      <c r="AD3397">
        <v>1</v>
      </c>
      <c r="AE3397">
        <v>1</v>
      </c>
      <c r="AF3397">
        <v>-4196.54</v>
      </c>
      <c r="AG3397">
        <v>70632.740000000005</v>
      </c>
      <c r="AH3397">
        <v>126</v>
      </c>
      <c r="AI3397">
        <v>125</v>
      </c>
      <c r="AJ3397">
        <v>1</v>
      </c>
      <c r="AK3397">
        <v>1</v>
      </c>
      <c r="AL3397">
        <v>1</v>
      </c>
      <c r="AM3397">
        <v>99.21</v>
      </c>
      <c r="AN3397">
        <v>534.7731</v>
      </c>
      <c r="AO3397">
        <v>527.27</v>
      </c>
      <c r="AP3397" s="13">
        <v>45575</v>
      </c>
      <c r="AQ3397">
        <v>0</v>
      </c>
      <c r="AR3397">
        <v>1</v>
      </c>
    </row>
    <row r="3398" spans="1:44" x14ac:dyDescent="0.35">
      <c r="A3398" s="12" t="s">
        <v>4312</v>
      </c>
      <c r="B3398" s="12" t="s">
        <v>519</v>
      </c>
      <c r="C3398" s="12" t="s">
        <v>520</v>
      </c>
      <c r="D3398" s="12" t="s">
        <v>78</v>
      </c>
      <c r="E3398" s="12" t="s">
        <v>65</v>
      </c>
      <c r="F3398">
        <v>2</v>
      </c>
      <c r="G3398">
        <v>3</v>
      </c>
      <c r="H3398">
        <v>0</v>
      </c>
      <c r="I3398" s="12" t="s">
        <v>143</v>
      </c>
      <c r="J3398" s="12" t="s">
        <v>144</v>
      </c>
      <c r="K3398" s="12" t="s">
        <v>133</v>
      </c>
      <c r="L3398" s="12" t="s">
        <v>96</v>
      </c>
      <c r="M3398">
        <v>5.43</v>
      </c>
      <c r="N3398" s="12" t="s">
        <v>70</v>
      </c>
      <c r="O3398" s="12" t="s">
        <v>71</v>
      </c>
      <c r="P3398" s="12" t="s">
        <v>72</v>
      </c>
      <c r="Q3398" s="13">
        <v>45540</v>
      </c>
      <c r="R3398" s="13">
        <v>45575</v>
      </c>
      <c r="S3398">
        <v>2024</v>
      </c>
      <c r="T3398" s="12" t="s">
        <v>4283</v>
      </c>
      <c r="U3398">
        <v>244</v>
      </c>
      <c r="V3398">
        <v>31.618300000000001</v>
      </c>
      <c r="W3398">
        <v>115.17</v>
      </c>
      <c r="X3398">
        <v>0</v>
      </c>
      <c r="Y3398">
        <v>0</v>
      </c>
      <c r="Z3398">
        <v>7714.87</v>
      </c>
      <c r="AA3398">
        <v>7830.04</v>
      </c>
      <c r="AB3398" s="12" t="s">
        <v>3130</v>
      </c>
      <c r="AC3398">
        <v>30.1342</v>
      </c>
      <c r="AD3398">
        <v>1</v>
      </c>
      <c r="AE3398">
        <v>1</v>
      </c>
      <c r="AF3398">
        <v>362.12</v>
      </c>
      <c r="AG3398">
        <v>7352.74</v>
      </c>
      <c r="AH3398">
        <v>244</v>
      </c>
      <c r="AI3398">
        <v>240</v>
      </c>
      <c r="AJ3398">
        <v>4</v>
      </c>
      <c r="AK3398">
        <v>1</v>
      </c>
      <c r="AL3398">
        <v>1</v>
      </c>
      <c r="AM3398">
        <v>98.36</v>
      </c>
      <c r="AN3398">
        <v>32.625100000000003</v>
      </c>
      <c r="AO3398">
        <v>126.47</v>
      </c>
      <c r="AP3398" s="13">
        <v>45575</v>
      </c>
      <c r="AQ3398">
        <v>0</v>
      </c>
      <c r="AR3398">
        <v>1</v>
      </c>
    </row>
    <row r="3399" spans="1:44" x14ac:dyDescent="0.35">
      <c r="A3399" s="12" t="s">
        <v>4313</v>
      </c>
      <c r="B3399" s="12" t="s">
        <v>657</v>
      </c>
      <c r="C3399" s="12" t="s">
        <v>658</v>
      </c>
      <c r="D3399" s="12" t="s">
        <v>175</v>
      </c>
      <c r="E3399" s="12" t="s">
        <v>65</v>
      </c>
      <c r="F3399">
        <v>1</v>
      </c>
      <c r="G3399">
        <v>2</v>
      </c>
      <c r="H3399">
        <v>1</v>
      </c>
      <c r="I3399" s="12" t="s">
        <v>183</v>
      </c>
      <c r="J3399" s="12" t="s">
        <v>184</v>
      </c>
      <c r="K3399" s="12" t="s">
        <v>133</v>
      </c>
      <c r="L3399" s="12" t="s">
        <v>82</v>
      </c>
      <c r="M3399">
        <v>8.6199999999999992</v>
      </c>
      <c r="N3399" s="12" t="s">
        <v>145</v>
      </c>
      <c r="O3399" s="12" t="s">
        <v>146</v>
      </c>
      <c r="P3399" s="12" t="s">
        <v>109</v>
      </c>
      <c r="Q3399" s="13">
        <v>45540</v>
      </c>
      <c r="R3399" s="13">
        <v>45563</v>
      </c>
      <c r="S3399">
        <v>2024</v>
      </c>
      <c r="T3399" s="12" t="s">
        <v>4283</v>
      </c>
      <c r="U3399">
        <v>30</v>
      </c>
      <c r="V3399">
        <v>149.10310000000001</v>
      </c>
      <c r="W3399">
        <v>32.68</v>
      </c>
      <c r="X3399">
        <v>0</v>
      </c>
      <c r="Y3399">
        <v>0</v>
      </c>
      <c r="Z3399">
        <v>4473.09</v>
      </c>
      <c r="AA3399">
        <v>4505.7700000000004</v>
      </c>
      <c r="AB3399" s="12" t="s">
        <v>3525</v>
      </c>
      <c r="AC3399">
        <v>149.10310000000001</v>
      </c>
      <c r="AD3399">
        <v>1</v>
      </c>
      <c r="AE3399">
        <v>1</v>
      </c>
      <c r="AF3399">
        <v>0</v>
      </c>
      <c r="AG3399">
        <v>4473.09</v>
      </c>
      <c r="AH3399">
        <v>30</v>
      </c>
      <c r="AI3399">
        <v>30</v>
      </c>
      <c r="AJ3399">
        <v>0</v>
      </c>
      <c r="AK3399">
        <v>1</v>
      </c>
      <c r="AL3399">
        <v>1</v>
      </c>
      <c r="AM3399">
        <v>100</v>
      </c>
      <c r="AN3399">
        <v>150.19239999999999</v>
      </c>
      <c r="AO3399">
        <v>0</v>
      </c>
      <c r="AP3399" s="13">
        <v>45560</v>
      </c>
      <c r="AQ3399">
        <v>-3</v>
      </c>
      <c r="AR3399">
        <v>1</v>
      </c>
    </row>
    <row r="3400" spans="1:44" x14ac:dyDescent="0.35">
      <c r="A3400" s="12" t="s">
        <v>4314</v>
      </c>
      <c r="B3400" s="12" t="s">
        <v>490</v>
      </c>
      <c r="C3400" s="12" t="s">
        <v>491</v>
      </c>
      <c r="D3400" s="12" t="s">
        <v>130</v>
      </c>
      <c r="E3400" s="12" t="s">
        <v>104</v>
      </c>
      <c r="F3400">
        <v>3</v>
      </c>
      <c r="G3400">
        <v>1</v>
      </c>
      <c r="H3400">
        <v>0</v>
      </c>
      <c r="I3400" s="12" t="s">
        <v>176</v>
      </c>
      <c r="J3400" s="12" t="s">
        <v>177</v>
      </c>
      <c r="K3400" s="12" t="s">
        <v>125</v>
      </c>
      <c r="L3400" s="12" t="s">
        <v>134</v>
      </c>
      <c r="M3400">
        <v>1.75</v>
      </c>
      <c r="N3400" s="12" t="s">
        <v>135</v>
      </c>
      <c r="O3400" s="12" t="s">
        <v>136</v>
      </c>
      <c r="P3400" s="12" t="s">
        <v>137</v>
      </c>
      <c r="Q3400" s="13">
        <v>45540</v>
      </c>
      <c r="R3400" s="13">
        <v>45560</v>
      </c>
      <c r="S3400">
        <v>2024</v>
      </c>
      <c r="T3400" s="12" t="s">
        <v>4283</v>
      </c>
      <c r="U3400">
        <v>74</v>
      </c>
      <c r="V3400">
        <v>264.23239999999998</v>
      </c>
      <c r="W3400">
        <v>270.75</v>
      </c>
      <c r="X3400">
        <v>0</v>
      </c>
      <c r="Y3400">
        <v>0</v>
      </c>
      <c r="Z3400">
        <v>19553.2</v>
      </c>
      <c r="AA3400">
        <v>19823.95</v>
      </c>
      <c r="AB3400" s="12" t="s">
        <v>3122</v>
      </c>
      <c r="AC3400">
        <v>264.23239999999998</v>
      </c>
      <c r="AD3400">
        <v>1</v>
      </c>
      <c r="AE3400">
        <v>1</v>
      </c>
      <c r="AF3400">
        <v>0</v>
      </c>
      <c r="AG3400">
        <v>19553.2</v>
      </c>
      <c r="AH3400">
        <v>74</v>
      </c>
      <c r="AI3400">
        <v>74</v>
      </c>
      <c r="AJ3400">
        <v>0</v>
      </c>
      <c r="AK3400">
        <v>1</v>
      </c>
      <c r="AL3400">
        <v>1</v>
      </c>
      <c r="AM3400">
        <v>100</v>
      </c>
      <c r="AN3400">
        <v>267.89120000000003</v>
      </c>
      <c r="AO3400">
        <v>0</v>
      </c>
      <c r="AP3400" s="13">
        <v>45558</v>
      </c>
      <c r="AQ3400">
        <v>-2</v>
      </c>
      <c r="AR3400">
        <v>1</v>
      </c>
    </row>
    <row r="3401" spans="1:44" x14ac:dyDescent="0.35">
      <c r="A3401" s="12" t="s">
        <v>4315</v>
      </c>
      <c r="B3401" s="12" t="s">
        <v>458</v>
      </c>
      <c r="C3401" s="12" t="s">
        <v>459</v>
      </c>
      <c r="D3401" s="12" t="s">
        <v>64</v>
      </c>
      <c r="E3401" s="12" t="s">
        <v>104</v>
      </c>
      <c r="F3401">
        <v>2</v>
      </c>
      <c r="G3401">
        <v>0</v>
      </c>
      <c r="H3401">
        <v>0</v>
      </c>
      <c r="I3401" s="12" t="s">
        <v>199</v>
      </c>
      <c r="J3401" s="12" t="s">
        <v>200</v>
      </c>
      <c r="K3401" s="12" t="s">
        <v>68</v>
      </c>
      <c r="L3401" s="12" t="s">
        <v>96</v>
      </c>
      <c r="M3401">
        <v>9.4700000000000006</v>
      </c>
      <c r="N3401" s="12" t="s">
        <v>70</v>
      </c>
      <c r="O3401" s="12" t="s">
        <v>71</v>
      </c>
      <c r="P3401" s="12" t="s">
        <v>72</v>
      </c>
      <c r="Q3401" s="13">
        <v>45540</v>
      </c>
      <c r="R3401" s="13">
        <v>45563</v>
      </c>
      <c r="S3401">
        <v>2024</v>
      </c>
      <c r="T3401" s="12" t="s">
        <v>4283</v>
      </c>
      <c r="U3401">
        <v>696</v>
      </c>
      <c r="V3401">
        <v>23.0014</v>
      </c>
      <c r="W3401">
        <v>254.75</v>
      </c>
      <c r="X3401">
        <v>0</v>
      </c>
      <c r="Y3401">
        <v>0</v>
      </c>
      <c r="Z3401">
        <v>16008.97</v>
      </c>
      <c r="AA3401">
        <v>16263.72</v>
      </c>
      <c r="AB3401" s="12" t="s">
        <v>3341</v>
      </c>
      <c r="AC3401">
        <v>23.0014</v>
      </c>
      <c r="AD3401">
        <v>1</v>
      </c>
      <c r="AE3401">
        <v>1</v>
      </c>
      <c r="AF3401">
        <v>0</v>
      </c>
      <c r="AG3401">
        <v>16008.97</v>
      </c>
      <c r="AH3401">
        <v>696</v>
      </c>
      <c r="AI3401">
        <v>694</v>
      </c>
      <c r="AJ3401">
        <v>2</v>
      </c>
      <c r="AK3401">
        <v>1</v>
      </c>
      <c r="AL3401">
        <v>1</v>
      </c>
      <c r="AM3401">
        <v>99.71</v>
      </c>
      <c r="AN3401">
        <v>23.434799999999999</v>
      </c>
      <c r="AO3401">
        <v>46</v>
      </c>
      <c r="AP3401" s="13">
        <v>45562</v>
      </c>
      <c r="AQ3401">
        <v>-1</v>
      </c>
      <c r="AR3401">
        <v>1</v>
      </c>
    </row>
    <row r="3402" spans="1:44" x14ac:dyDescent="0.35">
      <c r="A3402" s="12" t="s">
        <v>4316</v>
      </c>
      <c r="B3402" s="12" t="s">
        <v>640</v>
      </c>
      <c r="C3402" s="12" t="s">
        <v>641</v>
      </c>
      <c r="D3402" s="12" t="s">
        <v>130</v>
      </c>
      <c r="E3402" s="12" t="s">
        <v>104</v>
      </c>
      <c r="F3402">
        <v>3</v>
      </c>
      <c r="G3402">
        <v>0</v>
      </c>
      <c r="H3402">
        <v>0</v>
      </c>
      <c r="I3402" s="12" t="s">
        <v>209</v>
      </c>
      <c r="J3402" s="12" t="s">
        <v>210</v>
      </c>
      <c r="K3402" s="12" t="s">
        <v>133</v>
      </c>
      <c r="L3402" s="12" t="s">
        <v>96</v>
      </c>
      <c r="M3402">
        <v>7.82</v>
      </c>
      <c r="N3402" s="12" t="s">
        <v>159</v>
      </c>
      <c r="O3402" s="12" t="s">
        <v>160</v>
      </c>
      <c r="P3402" s="12" t="s">
        <v>137</v>
      </c>
      <c r="Q3402" s="13">
        <v>45540</v>
      </c>
      <c r="R3402" s="13">
        <v>45568</v>
      </c>
      <c r="S3402">
        <v>2024</v>
      </c>
      <c r="T3402" s="12" t="s">
        <v>4283</v>
      </c>
      <c r="U3402">
        <v>134</v>
      </c>
      <c r="V3402">
        <v>977.20889999999997</v>
      </c>
      <c r="W3402">
        <v>2320.39</v>
      </c>
      <c r="X3402">
        <v>0</v>
      </c>
      <c r="Y3402">
        <v>0</v>
      </c>
      <c r="Z3402">
        <v>130945.99</v>
      </c>
      <c r="AA3402">
        <v>133266.38</v>
      </c>
      <c r="AB3402" s="12" t="s">
        <v>3211</v>
      </c>
      <c r="AC3402">
        <v>977.20889999999997</v>
      </c>
      <c r="AD3402">
        <v>1</v>
      </c>
      <c r="AE3402">
        <v>1</v>
      </c>
      <c r="AF3402">
        <v>0</v>
      </c>
      <c r="AG3402">
        <v>130945.99</v>
      </c>
      <c r="AH3402">
        <v>134</v>
      </c>
      <c r="AI3402">
        <v>132</v>
      </c>
      <c r="AJ3402">
        <v>2</v>
      </c>
      <c r="AK3402">
        <v>1</v>
      </c>
      <c r="AL3402">
        <v>1</v>
      </c>
      <c r="AM3402">
        <v>98.51</v>
      </c>
      <c r="AN3402">
        <v>1009.5938</v>
      </c>
      <c r="AO3402">
        <v>1954.42</v>
      </c>
      <c r="AP3402" s="13">
        <v>45567</v>
      </c>
      <c r="AQ3402">
        <v>-1</v>
      </c>
      <c r="AR3402">
        <v>1</v>
      </c>
    </row>
    <row r="3403" spans="1:44" x14ac:dyDescent="0.35">
      <c r="A3403" s="12" t="s">
        <v>4317</v>
      </c>
      <c r="B3403" s="12" t="s">
        <v>85</v>
      </c>
      <c r="C3403" s="12" t="s">
        <v>86</v>
      </c>
      <c r="D3403" s="12" t="s">
        <v>78</v>
      </c>
      <c r="E3403" s="12" t="s">
        <v>65</v>
      </c>
      <c r="F3403">
        <v>3</v>
      </c>
      <c r="G3403">
        <v>5</v>
      </c>
      <c r="H3403">
        <v>0</v>
      </c>
      <c r="I3403" s="12" t="s">
        <v>87</v>
      </c>
      <c r="J3403" s="12" t="s">
        <v>88</v>
      </c>
      <c r="K3403" s="12" t="s">
        <v>89</v>
      </c>
      <c r="L3403" s="12" t="s">
        <v>69</v>
      </c>
      <c r="M3403">
        <v>14.93</v>
      </c>
      <c r="N3403" s="12" t="s">
        <v>70</v>
      </c>
      <c r="O3403" s="12" t="s">
        <v>71</v>
      </c>
      <c r="P3403" s="12" t="s">
        <v>72</v>
      </c>
      <c r="Q3403" s="13">
        <v>45540</v>
      </c>
      <c r="R3403" s="13">
        <v>45567</v>
      </c>
      <c r="S3403">
        <v>2024</v>
      </c>
      <c r="T3403" s="12" t="s">
        <v>4283</v>
      </c>
      <c r="U3403">
        <v>132</v>
      </c>
      <c r="V3403">
        <v>139.59649999999999</v>
      </c>
      <c r="W3403">
        <v>401.45</v>
      </c>
      <c r="X3403">
        <v>0</v>
      </c>
      <c r="Y3403">
        <v>0</v>
      </c>
      <c r="Z3403">
        <v>18426.740000000002</v>
      </c>
      <c r="AA3403">
        <v>18828.189999999999</v>
      </c>
      <c r="AB3403" s="12" t="s">
        <v>2621</v>
      </c>
      <c r="AC3403">
        <v>139.59649999999999</v>
      </c>
      <c r="AD3403">
        <v>1</v>
      </c>
      <c r="AE3403">
        <v>1</v>
      </c>
      <c r="AF3403">
        <v>0</v>
      </c>
      <c r="AG3403">
        <v>18426.740000000002</v>
      </c>
      <c r="AH3403">
        <v>132</v>
      </c>
      <c r="AI3403">
        <v>131</v>
      </c>
      <c r="AJ3403">
        <v>1</v>
      </c>
      <c r="AK3403">
        <v>1</v>
      </c>
      <c r="AL3403">
        <v>1</v>
      </c>
      <c r="AM3403">
        <v>99.24</v>
      </c>
      <c r="AN3403">
        <v>143.72659999999999</v>
      </c>
      <c r="AO3403">
        <v>139.6</v>
      </c>
      <c r="AP3403" s="13">
        <v>45567</v>
      </c>
      <c r="AQ3403">
        <v>0</v>
      </c>
      <c r="AR3403">
        <v>1</v>
      </c>
    </row>
    <row r="3404" spans="1:44" x14ac:dyDescent="0.35">
      <c r="A3404" s="12" t="s">
        <v>4318</v>
      </c>
      <c r="B3404" s="12" t="s">
        <v>674</v>
      </c>
      <c r="C3404" s="12" t="s">
        <v>675</v>
      </c>
      <c r="D3404" s="12" t="s">
        <v>269</v>
      </c>
      <c r="E3404" s="12" t="s">
        <v>142</v>
      </c>
      <c r="F3404">
        <v>1</v>
      </c>
      <c r="G3404">
        <v>7</v>
      </c>
      <c r="H3404">
        <v>1</v>
      </c>
      <c r="I3404" s="12" t="s">
        <v>676</v>
      </c>
      <c r="J3404" s="12" t="s">
        <v>677</v>
      </c>
      <c r="K3404" s="12" t="s">
        <v>68</v>
      </c>
      <c r="L3404" s="12" t="s">
        <v>96</v>
      </c>
      <c r="M3404">
        <v>3.57</v>
      </c>
      <c r="N3404" s="12" t="s">
        <v>135</v>
      </c>
      <c r="O3404" s="12" t="s">
        <v>136</v>
      </c>
      <c r="P3404" s="12" t="s">
        <v>137</v>
      </c>
      <c r="Q3404" s="13">
        <v>45541</v>
      </c>
      <c r="R3404" s="13">
        <v>45583</v>
      </c>
      <c r="S3404">
        <v>2024</v>
      </c>
      <c r="T3404" s="12" t="s">
        <v>4283</v>
      </c>
      <c r="U3404">
        <v>71</v>
      </c>
      <c r="V3404">
        <v>364.82069999999999</v>
      </c>
      <c r="W3404">
        <v>576.30999999999995</v>
      </c>
      <c r="X3404">
        <v>0</v>
      </c>
      <c r="Y3404">
        <v>0</v>
      </c>
      <c r="Z3404">
        <v>25902.27</v>
      </c>
      <c r="AA3404">
        <v>26478.58</v>
      </c>
      <c r="AB3404" s="12" t="s">
        <v>201</v>
      </c>
      <c r="AD3404">
        <v>0</v>
      </c>
      <c r="AE3404">
        <v>0</v>
      </c>
      <c r="AH3404">
        <v>71</v>
      </c>
      <c r="AI3404">
        <v>71</v>
      </c>
      <c r="AJ3404">
        <v>0</v>
      </c>
      <c r="AK3404">
        <v>1</v>
      </c>
      <c r="AL3404">
        <v>1</v>
      </c>
      <c r="AM3404">
        <v>100</v>
      </c>
      <c r="AN3404">
        <v>372.93770000000001</v>
      </c>
      <c r="AO3404">
        <v>0</v>
      </c>
      <c r="AP3404" s="13">
        <v>45583</v>
      </c>
      <c r="AQ3404">
        <v>0</v>
      </c>
      <c r="AR3404">
        <v>1</v>
      </c>
    </row>
    <row r="3405" spans="1:44" x14ac:dyDescent="0.35">
      <c r="A3405" s="12" t="s">
        <v>4319</v>
      </c>
      <c r="B3405" s="12" t="s">
        <v>544</v>
      </c>
      <c r="C3405" s="12" t="s">
        <v>545</v>
      </c>
      <c r="D3405" s="12" t="s">
        <v>175</v>
      </c>
      <c r="E3405" s="12" t="s">
        <v>65</v>
      </c>
      <c r="F3405">
        <v>3</v>
      </c>
      <c r="G3405">
        <v>5</v>
      </c>
      <c r="H3405">
        <v>0</v>
      </c>
      <c r="I3405" s="12" t="s">
        <v>66</v>
      </c>
      <c r="J3405" s="12" t="s">
        <v>67</v>
      </c>
      <c r="K3405" s="12" t="s">
        <v>68</v>
      </c>
      <c r="L3405" s="12" t="s">
        <v>69</v>
      </c>
      <c r="M3405">
        <v>17.66</v>
      </c>
      <c r="N3405" s="12" t="s">
        <v>107</v>
      </c>
      <c r="O3405" s="12" t="s">
        <v>108</v>
      </c>
      <c r="P3405" s="12" t="s">
        <v>109</v>
      </c>
      <c r="Q3405" s="13">
        <v>45541</v>
      </c>
      <c r="R3405" s="13">
        <v>45579</v>
      </c>
      <c r="S3405">
        <v>2024</v>
      </c>
      <c r="T3405" s="12" t="s">
        <v>4283</v>
      </c>
      <c r="U3405">
        <v>147</v>
      </c>
      <c r="V3405">
        <v>149.64580000000001</v>
      </c>
      <c r="W3405">
        <v>294.64</v>
      </c>
      <c r="X3405">
        <v>0</v>
      </c>
      <c r="Y3405">
        <v>0</v>
      </c>
      <c r="Z3405">
        <v>21997.93</v>
      </c>
      <c r="AA3405">
        <v>22292.57</v>
      </c>
      <c r="AB3405" s="12" t="s">
        <v>201</v>
      </c>
      <c r="AD3405">
        <v>0</v>
      </c>
      <c r="AE3405">
        <v>0</v>
      </c>
      <c r="AH3405">
        <v>147</v>
      </c>
      <c r="AI3405">
        <v>145</v>
      </c>
      <c r="AJ3405">
        <v>2</v>
      </c>
      <c r="AK3405">
        <v>1</v>
      </c>
      <c r="AL3405">
        <v>1</v>
      </c>
      <c r="AM3405">
        <v>98.64</v>
      </c>
      <c r="AN3405">
        <v>153.74189999999999</v>
      </c>
      <c r="AO3405">
        <v>299.29000000000002</v>
      </c>
      <c r="AP3405" s="13">
        <v>45579</v>
      </c>
      <c r="AQ3405">
        <v>0</v>
      </c>
      <c r="AR3405">
        <v>1</v>
      </c>
    </row>
    <row r="3406" spans="1:44" x14ac:dyDescent="0.35">
      <c r="A3406" s="12" t="s">
        <v>4320</v>
      </c>
      <c r="B3406" s="12" t="s">
        <v>416</v>
      </c>
      <c r="C3406" s="12" t="s">
        <v>417</v>
      </c>
      <c r="D3406" s="12" t="s">
        <v>78</v>
      </c>
      <c r="E3406" s="12" t="s">
        <v>65</v>
      </c>
      <c r="F3406">
        <v>3</v>
      </c>
      <c r="G3406">
        <v>5</v>
      </c>
      <c r="H3406">
        <v>0</v>
      </c>
      <c r="I3406" s="12" t="s">
        <v>169</v>
      </c>
      <c r="J3406" s="12" t="s">
        <v>170</v>
      </c>
      <c r="K3406" s="12" t="s">
        <v>89</v>
      </c>
      <c r="L3406" s="12" t="s">
        <v>134</v>
      </c>
      <c r="M3406">
        <v>1.37</v>
      </c>
      <c r="N3406" s="12" t="s">
        <v>70</v>
      </c>
      <c r="O3406" s="12" t="s">
        <v>71</v>
      </c>
      <c r="P3406" s="12" t="s">
        <v>72</v>
      </c>
      <c r="Q3406" s="13">
        <v>45541</v>
      </c>
      <c r="R3406" s="13">
        <v>45564</v>
      </c>
      <c r="S3406">
        <v>2024</v>
      </c>
      <c r="T3406" s="12" t="s">
        <v>4283</v>
      </c>
      <c r="U3406">
        <v>82</v>
      </c>
      <c r="V3406">
        <v>136.4109</v>
      </c>
      <c r="W3406">
        <v>159.94</v>
      </c>
      <c r="X3406">
        <v>0</v>
      </c>
      <c r="Y3406">
        <v>0</v>
      </c>
      <c r="Z3406">
        <v>11185.69</v>
      </c>
      <c r="AA3406">
        <v>11345.63</v>
      </c>
      <c r="AB3406" s="12" t="s">
        <v>2980</v>
      </c>
      <c r="AC3406">
        <v>136.4109</v>
      </c>
      <c r="AD3406">
        <v>1</v>
      </c>
      <c r="AE3406">
        <v>1</v>
      </c>
      <c r="AF3406">
        <v>0</v>
      </c>
      <c r="AG3406">
        <v>11185.69</v>
      </c>
      <c r="AH3406">
        <v>82</v>
      </c>
      <c r="AI3406">
        <v>81</v>
      </c>
      <c r="AJ3406">
        <v>1</v>
      </c>
      <c r="AK3406">
        <v>1</v>
      </c>
      <c r="AL3406">
        <v>1</v>
      </c>
      <c r="AM3406">
        <v>98.78</v>
      </c>
      <c r="AN3406">
        <v>140.06960000000001</v>
      </c>
      <c r="AO3406">
        <v>136.41</v>
      </c>
      <c r="AP3406" s="13">
        <v>45568</v>
      </c>
      <c r="AQ3406">
        <v>4</v>
      </c>
      <c r="AR3406">
        <v>0</v>
      </c>
    </row>
    <row r="3407" spans="1:44" x14ac:dyDescent="0.35">
      <c r="A3407" s="12" t="s">
        <v>4321</v>
      </c>
      <c r="B3407" s="12" t="s">
        <v>694</v>
      </c>
      <c r="C3407" s="12" t="s">
        <v>695</v>
      </c>
      <c r="D3407" s="12" t="s">
        <v>103</v>
      </c>
      <c r="E3407" s="12" t="s">
        <v>65</v>
      </c>
      <c r="F3407">
        <v>2</v>
      </c>
      <c r="G3407">
        <v>3</v>
      </c>
      <c r="H3407">
        <v>0</v>
      </c>
      <c r="I3407" s="12" t="s">
        <v>263</v>
      </c>
      <c r="J3407" s="12" t="s">
        <v>264</v>
      </c>
      <c r="K3407" s="12" t="s">
        <v>125</v>
      </c>
      <c r="L3407" s="12" t="s">
        <v>82</v>
      </c>
      <c r="M3407">
        <v>10.210000000000001</v>
      </c>
      <c r="N3407" s="12" t="s">
        <v>145</v>
      </c>
      <c r="O3407" s="12" t="s">
        <v>146</v>
      </c>
      <c r="P3407" s="12" t="s">
        <v>109</v>
      </c>
      <c r="Q3407" s="13">
        <v>45541</v>
      </c>
      <c r="R3407" s="13">
        <v>45575</v>
      </c>
      <c r="S3407">
        <v>2024</v>
      </c>
      <c r="T3407" s="12" t="s">
        <v>4283</v>
      </c>
      <c r="U3407">
        <v>112</v>
      </c>
      <c r="V3407">
        <v>211.1463</v>
      </c>
      <c r="W3407">
        <v>476.2</v>
      </c>
      <c r="X3407">
        <v>0</v>
      </c>
      <c r="Y3407">
        <v>0</v>
      </c>
      <c r="Z3407">
        <v>23648.39</v>
      </c>
      <c r="AA3407">
        <v>24124.59</v>
      </c>
      <c r="AB3407" s="12" t="s">
        <v>3377</v>
      </c>
      <c r="AC3407">
        <v>211.1463</v>
      </c>
      <c r="AD3407">
        <v>1</v>
      </c>
      <c r="AE3407">
        <v>1</v>
      </c>
      <c r="AF3407">
        <v>0</v>
      </c>
      <c r="AG3407">
        <v>23648.39</v>
      </c>
      <c r="AH3407">
        <v>112</v>
      </c>
      <c r="AI3407">
        <v>110</v>
      </c>
      <c r="AJ3407">
        <v>2</v>
      </c>
      <c r="AK3407">
        <v>1</v>
      </c>
      <c r="AL3407">
        <v>1</v>
      </c>
      <c r="AM3407">
        <v>98.21</v>
      </c>
      <c r="AN3407">
        <v>219.31440000000001</v>
      </c>
      <c r="AO3407">
        <v>422.29</v>
      </c>
      <c r="AP3407" s="13">
        <v>45574</v>
      </c>
      <c r="AQ3407">
        <v>-1</v>
      </c>
      <c r="AR3407">
        <v>1</v>
      </c>
    </row>
    <row r="3408" spans="1:44" x14ac:dyDescent="0.35">
      <c r="A3408" s="12" t="s">
        <v>4322</v>
      </c>
      <c r="B3408" s="12" t="s">
        <v>555</v>
      </c>
      <c r="C3408" s="12" t="s">
        <v>556</v>
      </c>
      <c r="D3408" s="12" t="s">
        <v>114</v>
      </c>
      <c r="E3408" s="12" t="s">
        <v>142</v>
      </c>
      <c r="F3408">
        <v>1</v>
      </c>
      <c r="G3408">
        <v>6</v>
      </c>
      <c r="H3408">
        <v>1</v>
      </c>
      <c r="I3408" s="12" t="s">
        <v>151</v>
      </c>
      <c r="J3408" s="12" t="s">
        <v>152</v>
      </c>
      <c r="K3408" s="12" t="s">
        <v>125</v>
      </c>
      <c r="L3408" s="12" t="s">
        <v>69</v>
      </c>
      <c r="M3408">
        <v>36.479999999999997</v>
      </c>
      <c r="N3408" s="12" t="s">
        <v>97</v>
      </c>
      <c r="O3408" s="12" t="s">
        <v>98</v>
      </c>
      <c r="P3408" s="12" t="s">
        <v>72</v>
      </c>
      <c r="Q3408" s="13">
        <v>45541</v>
      </c>
      <c r="R3408" s="13">
        <v>45582</v>
      </c>
      <c r="S3408">
        <v>2024</v>
      </c>
      <c r="T3408" s="12" t="s">
        <v>4283</v>
      </c>
      <c r="U3408">
        <v>63</v>
      </c>
      <c r="V3408">
        <v>278.31920000000002</v>
      </c>
      <c r="W3408">
        <v>390.28</v>
      </c>
      <c r="X3408">
        <v>0</v>
      </c>
      <c r="Y3408">
        <v>0</v>
      </c>
      <c r="Z3408">
        <v>17534.11</v>
      </c>
      <c r="AA3408">
        <v>17924.39</v>
      </c>
      <c r="AB3408" s="12" t="s">
        <v>2922</v>
      </c>
      <c r="AC3408">
        <v>278.31920000000002</v>
      </c>
      <c r="AD3408">
        <v>1</v>
      </c>
      <c r="AE3408">
        <v>1</v>
      </c>
      <c r="AF3408">
        <v>0</v>
      </c>
      <c r="AG3408">
        <v>17534.11</v>
      </c>
      <c r="AH3408">
        <v>63</v>
      </c>
      <c r="AI3408">
        <v>63</v>
      </c>
      <c r="AJ3408">
        <v>0</v>
      </c>
      <c r="AK3408">
        <v>1</v>
      </c>
      <c r="AL3408">
        <v>1</v>
      </c>
      <c r="AM3408">
        <v>100</v>
      </c>
      <c r="AN3408">
        <v>284.51409999999998</v>
      </c>
      <c r="AO3408">
        <v>0</v>
      </c>
      <c r="AP3408" s="13">
        <v>45584</v>
      </c>
      <c r="AQ3408">
        <v>2</v>
      </c>
      <c r="AR3408">
        <v>0</v>
      </c>
    </row>
    <row r="3409" spans="1:44" x14ac:dyDescent="0.35">
      <c r="A3409" s="12" t="s">
        <v>4323</v>
      </c>
      <c r="B3409" s="12" t="s">
        <v>598</v>
      </c>
      <c r="C3409" s="12" t="s">
        <v>599</v>
      </c>
      <c r="D3409" s="12" t="s">
        <v>269</v>
      </c>
      <c r="E3409" s="12" t="s">
        <v>65</v>
      </c>
      <c r="F3409">
        <v>1</v>
      </c>
      <c r="G3409">
        <v>2</v>
      </c>
      <c r="H3409">
        <v>1</v>
      </c>
      <c r="I3409" s="12" t="s">
        <v>176</v>
      </c>
      <c r="J3409" s="12" t="s">
        <v>177</v>
      </c>
      <c r="K3409" s="12" t="s">
        <v>125</v>
      </c>
      <c r="L3409" s="12" t="s">
        <v>134</v>
      </c>
      <c r="M3409">
        <v>1.75</v>
      </c>
      <c r="N3409" s="12" t="s">
        <v>159</v>
      </c>
      <c r="O3409" s="12" t="s">
        <v>160</v>
      </c>
      <c r="P3409" s="12" t="s">
        <v>137</v>
      </c>
      <c r="Q3409" s="13">
        <v>45541</v>
      </c>
      <c r="R3409" s="13">
        <v>45566</v>
      </c>
      <c r="S3409">
        <v>2024</v>
      </c>
      <c r="T3409" s="12" t="s">
        <v>4283</v>
      </c>
      <c r="U3409">
        <v>41</v>
      </c>
      <c r="V3409">
        <v>454.53089999999997</v>
      </c>
      <c r="W3409">
        <v>167.45</v>
      </c>
      <c r="X3409">
        <v>0</v>
      </c>
      <c r="Y3409">
        <v>0</v>
      </c>
      <c r="Z3409">
        <v>18635.77</v>
      </c>
      <c r="AA3409">
        <v>18803.22</v>
      </c>
      <c r="AB3409" s="12" t="s">
        <v>3102</v>
      </c>
      <c r="AC3409">
        <v>454.53089999999997</v>
      </c>
      <c r="AD3409">
        <v>1</v>
      </c>
      <c r="AE3409">
        <v>1</v>
      </c>
      <c r="AF3409">
        <v>0</v>
      </c>
      <c r="AG3409">
        <v>18635.77</v>
      </c>
      <c r="AH3409">
        <v>41</v>
      </c>
      <c r="AI3409">
        <v>41</v>
      </c>
      <c r="AJ3409">
        <v>0</v>
      </c>
      <c r="AK3409">
        <v>1</v>
      </c>
      <c r="AL3409">
        <v>1</v>
      </c>
      <c r="AM3409">
        <v>100</v>
      </c>
      <c r="AN3409">
        <v>458.61500000000001</v>
      </c>
      <c r="AO3409">
        <v>0</v>
      </c>
      <c r="AP3409" s="13">
        <v>45565</v>
      </c>
      <c r="AQ3409">
        <v>-1</v>
      </c>
      <c r="AR3409">
        <v>1</v>
      </c>
    </row>
    <row r="3410" spans="1:44" x14ac:dyDescent="0.35">
      <c r="A3410" s="12" t="s">
        <v>4324</v>
      </c>
      <c r="B3410" s="12" t="s">
        <v>876</v>
      </c>
      <c r="C3410" s="12" t="s">
        <v>877</v>
      </c>
      <c r="D3410" s="12" t="s">
        <v>269</v>
      </c>
      <c r="E3410" s="12" t="s">
        <v>142</v>
      </c>
      <c r="F3410">
        <v>3</v>
      </c>
      <c r="G3410">
        <v>11</v>
      </c>
      <c r="H3410">
        <v>0</v>
      </c>
      <c r="I3410" s="12" t="s">
        <v>515</v>
      </c>
      <c r="J3410" s="12" t="s">
        <v>516</v>
      </c>
      <c r="K3410" s="12" t="s">
        <v>68</v>
      </c>
      <c r="L3410" s="12" t="s">
        <v>134</v>
      </c>
      <c r="M3410">
        <v>3.69</v>
      </c>
      <c r="N3410" s="12" t="s">
        <v>135</v>
      </c>
      <c r="O3410" s="12" t="s">
        <v>136</v>
      </c>
      <c r="P3410" s="12" t="s">
        <v>137</v>
      </c>
      <c r="Q3410" s="13">
        <v>45541</v>
      </c>
      <c r="R3410" s="13">
        <v>45584</v>
      </c>
      <c r="S3410">
        <v>2024</v>
      </c>
      <c r="T3410" s="12" t="s">
        <v>4283</v>
      </c>
      <c r="U3410">
        <v>74</v>
      </c>
      <c r="V3410">
        <v>191.71029999999999</v>
      </c>
      <c r="W3410">
        <v>183.16</v>
      </c>
      <c r="X3410">
        <v>0</v>
      </c>
      <c r="Y3410">
        <v>0</v>
      </c>
      <c r="Z3410">
        <v>14186.56</v>
      </c>
      <c r="AA3410">
        <v>14369.72</v>
      </c>
      <c r="AB3410" s="12" t="s">
        <v>3591</v>
      </c>
      <c r="AC3410">
        <v>191.71029999999999</v>
      </c>
      <c r="AD3410">
        <v>1</v>
      </c>
      <c r="AE3410">
        <v>1</v>
      </c>
      <c r="AF3410">
        <v>0</v>
      </c>
      <c r="AG3410">
        <v>14186.56</v>
      </c>
      <c r="AH3410">
        <v>74</v>
      </c>
      <c r="AI3410">
        <v>73</v>
      </c>
      <c r="AJ3410">
        <v>1</v>
      </c>
      <c r="AK3410">
        <v>1</v>
      </c>
      <c r="AL3410">
        <v>1</v>
      </c>
      <c r="AM3410">
        <v>98.65</v>
      </c>
      <c r="AN3410">
        <v>196.84549999999999</v>
      </c>
      <c r="AO3410">
        <v>191.71</v>
      </c>
      <c r="AP3410" s="13">
        <v>45582</v>
      </c>
      <c r="AQ3410">
        <v>-2</v>
      </c>
      <c r="AR3410">
        <v>1</v>
      </c>
    </row>
    <row r="3411" spans="1:44" x14ac:dyDescent="0.35">
      <c r="A3411" s="12" t="s">
        <v>4325</v>
      </c>
      <c r="B3411" s="12" t="s">
        <v>378</v>
      </c>
      <c r="C3411" s="12" t="s">
        <v>379</v>
      </c>
      <c r="D3411" s="12" t="s">
        <v>64</v>
      </c>
      <c r="E3411" s="12" t="s">
        <v>104</v>
      </c>
      <c r="F3411">
        <v>3</v>
      </c>
      <c r="G3411">
        <v>1</v>
      </c>
      <c r="H3411">
        <v>0</v>
      </c>
      <c r="I3411" s="12" t="s">
        <v>380</v>
      </c>
      <c r="J3411" s="12" t="s">
        <v>381</v>
      </c>
      <c r="K3411" s="12" t="s">
        <v>89</v>
      </c>
      <c r="L3411" s="12" t="s">
        <v>96</v>
      </c>
      <c r="M3411">
        <v>10.210000000000001</v>
      </c>
      <c r="N3411" s="12" t="s">
        <v>70</v>
      </c>
      <c r="O3411" s="12" t="s">
        <v>71</v>
      </c>
      <c r="P3411" s="12" t="s">
        <v>72</v>
      </c>
      <c r="Q3411" s="13">
        <v>45541</v>
      </c>
      <c r="R3411" s="13">
        <v>45560</v>
      </c>
      <c r="S3411">
        <v>2024</v>
      </c>
      <c r="T3411" s="12" t="s">
        <v>4283</v>
      </c>
      <c r="U3411">
        <v>493</v>
      </c>
      <c r="V3411">
        <v>15.734999999999999</v>
      </c>
      <c r="W3411">
        <v>91.46</v>
      </c>
      <c r="X3411">
        <v>0</v>
      </c>
      <c r="Y3411">
        <v>0</v>
      </c>
      <c r="Z3411">
        <v>7757.36</v>
      </c>
      <c r="AA3411">
        <v>7848.82</v>
      </c>
      <c r="AB3411" s="12" t="s">
        <v>2847</v>
      </c>
      <c r="AC3411">
        <v>15.734999999999999</v>
      </c>
      <c r="AD3411">
        <v>1</v>
      </c>
      <c r="AE3411">
        <v>1</v>
      </c>
      <c r="AF3411">
        <v>0</v>
      </c>
      <c r="AG3411">
        <v>7757.36</v>
      </c>
      <c r="AH3411">
        <v>493</v>
      </c>
      <c r="AI3411">
        <v>491</v>
      </c>
      <c r="AJ3411">
        <v>2</v>
      </c>
      <c r="AK3411">
        <v>1</v>
      </c>
      <c r="AL3411">
        <v>1</v>
      </c>
      <c r="AM3411">
        <v>99.59</v>
      </c>
      <c r="AN3411">
        <v>15.9854</v>
      </c>
      <c r="AO3411">
        <v>31.47</v>
      </c>
      <c r="AP3411" s="13">
        <v>45567</v>
      </c>
      <c r="AQ3411">
        <v>7</v>
      </c>
      <c r="AR3411">
        <v>0</v>
      </c>
    </row>
    <row r="3412" spans="1:44" x14ac:dyDescent="0.35">
      <c r="A3412" s="12" t="s">
        <v>4326</v>
      </c>
      <c r="B3412" s="12" t="s">
        <v>339</v>
      </c>
      <c r="C3412" s="12" t="s">
        <v>340</v>
      </c>
      <c r="D3412" s="12" t="s">
        <v>103</v>
      </c>
      <c r="E3412" s="12" t="s">
        <v>142</v>
      </c>
      <c r="F3412">
        <v>2</v>
      </c>
      <c r="G3412">
        <v>9</v>
      </c>
      <c r="H3412">
        <v>0</v>
      </c>
      <c r="I3412" s="12" t="s">
        <v>169</v>
      </c>
      <c r="J3412" s="12" t="s">
        <v>170</v>
      </c>
      <c r="K3412" s="12" t="s">
        <v>89</v>
      </c>
      <c r="L3412" s="12" t="s">
        <v>134</v>
      </c>
      <c r="M3412">
        <v>1.37</v>
      </c>
      <c r="N3412" s="12" t="s">
        <v>107</v>
      </c>
      <c r="O3412" s="12" t="s">
        <v>108</v>
      </c>
      <c r="P3412" s="12" t="s">
        <v>109</v>
      </c>
      <c r="Q3412" s="13">
        <v>45541</v>
      </c>
      <c r="R3412" s="13">
        <v>45580</v>
      </c>
      <c r="S3412">
        <v>2024</v>
      </c>
      <c r="T3412" s="12" t="s">
        <v>4283</v>
      </c>
      <c r="U3412">
        <v>43</v>
      </c>
      <c r="V3412">
        <v>243.06290000000001</v>
      </c>
      <c r="W3412">
        <v>149.59</v>
      </c>
      <c r="X3412">
        <v>0</v>
      </c>
      <c r="Y3412">
        <v>0</v>
      </c>
      <c r="Z3412">
        <v>10451.700000000001</v>
      </c>
      <c r="AA3412">
        <v>10601.29</v>
      </c>
      <c r="AB3412" s="12" t="s">
        <v>2786</v>
      </c>
      <c r="AC3412">
        <v>243.06290000000001</v>
      </c>
      <c r="AD3412">
        <v>1</v>
      </c>
      <c r="AE3412">
        <v>1</v>
      </c>
      <c r="AF3412">
        <v>0</v>
      </c>
      <c r="AG3412">
        <v>10451.700000000001</v>
      </c>
      <c r="AH3412">
        <v>43</v>
      </c>
      <c r="AI3412">
        <v>43</v>
      </c>
      <c r="AJ3412">
        <v>0</v>
      </c>
      <c r="AK3412">
        <v>1</v>
      </c>
      <c r="AL3412">
        <v>1</v>
      </c>
      <c r="AM3412">
        <v>100</v>
      </c>
      <c r="AN3412">
        <v>246.54169999999999</v>
      </c>
      <c r="AO3412">
        <v>0</v>
      </c>
      <c r="AP3412" s="13">
        <v>45579</v>
      </c>
      <c r="AQ3412">
        <v>-1</v>
      </c>
      <c r="AR3412">
        <v>1</v>
      </c>
    </row>
    <row r="3413" spans="1:44" x14ac:dyDescent="0.35">
      <c r="A3413" s="12" t="s">
        <v>4327</v>
      </c>
      <c r="B3413" s="12" t="s">
        <v>391</v>
      </c>
      <c r="C3413" s="12" t="s">
        <v>392</v>
      </c>
      <c r="D3413" s="12" t="s">
        <v>114</v>
      </c>
      <c r="E3413" s="12" t="s">
        <v>65</v>
      </c>
      <c r="F3413">
        <v>2</v>
      </c>
      <c r="G3413">
        <v>2</v>
      </c>
      <c r="H3413">
        <v>0</v>
      </c>
      <c r="I3413" s="12" t="s">
        <v>310</v>
      </c>
      <c r="J3413" s="12" t="s">
        <v>311</v>
      </c>
      <c r="K3413" s="12" t="s">
        <v>81</v>
      </c>
      <c r="L3413" s="12" t="s">
        <v>69</v>
      </c>
      <c r="M3413">
        <v>28.3</v>
      </c>
      <c r="N3413" s="12" t="s">
        <v>70</v>
      </c>
      <c r="O3413" s="12" t="s">
        <v>71</v>
      </c>
      <c r="P3413" s="12" t="s">
        <v>72</v>
      </c>
      <c r="Q3413" s="13">
        <v>45541</v>
      </c>
      <c r="R3413" s="13">
        <v>45569</v>
      </c>
      <c r="S3413">
        <v>2024</v>
      </c>
      <c r="T3413" s="12" t="s">
        <v>4283</v>
      </c>
      <c r="U3413">
        <v>67</v>
      </c>
      <c r="V3413">
        <v>207.23419999999999</v>
      </c>
      <c r="W3413">
        <v>274.16000000000003</v>
      </c>
      <c r="X3413">
        <v>0</v>
      </c>
      <c r="Y3413">
        <v>0</v>
      </c>
      <c r="Z3413">
        <v>13884.69</v>
      </c>
      <c r="AA3413">
        <v>14158.85</v>
      </c>
      <c r="AB3413" s="12" t="s">
        <v>2890</v>
      </c>
      <c r="AC3413">
        <v>220.328</v>
      </c>
      <c r="AD3413">
        <v>1</v>
      </c>
      <c r="AE3413">
        <v>1</v>
      </c>
      <c r="AF3413">
        <v>-877.28</v>
      </c>
      <c r="AG3413">
        <v>14761.98</v>
      </c>
      <c r="AH3413">
        <v>67</v>
      </c>
      <c r="AI3413">
        <v>65</v>
      </c>
      <c r="AJ3413">
        <v>2</v>
      </c>
      <c r="AK3413">
        <v>1</v>
      </c>
      <c r="AL3413">
        <v>1</v>
      </c>
      <c r="AM3413">
        <v>97.01</v>
      </c>
      <c r="AN3413">
        <v>217.82849999999999</v>
      </c>
      <c r="AO3413">
        <v>414.47</v>
      </c>
      <c r="AP3413" s="13">
        <v>45566</v>
      </c>
      <c r="AQ3413">
        <v>-3</v>
      </c>
      <c r="AR3413">
        <v>1</v>
      </c>
    </row>
    <row r="3414" spans="1:44" x14ac:dyDescent="0.35">
      <c r="A3414" s="12" t="s">
        <v>4328</v>
      </c>
      <c r="B3414" s="12" t="s">
        <v>924</v>
      </c>
      <c r="C3414" s="12" t="s">
        <v>925</v>
      </c>
      <c r="D3414" s="12" t="s">
        <v>103</v>
      </c>
      <c r="E3414" s="12" t="s">
        <v>104</v>
      </c>
      <c r="F3414">
        <v>2</v>
      </c>
      <c r="G3414">
        <v>0</v>
      </c>
      <c r="H3414">
        <v>0</v>
      </c>
      <c r="I3414" s="12" t="s">
        <v>335</v>
      </c>
      <c r="J3414" s="12" t="s">
        <v>336</v>
      </c>
      <c r="K3414" s="12" t="s">
        <v>89</v>
      </c>
      <c r="L3414" s="12" t="s">
        <v>82</v>
      </c>
      <c r="M3414">
        <v>16</v>
      </c>
      <c r="N3414" s="12" t="s">
        <v>145</v>
      </c>
      <c r="O3414" s="12" t="s">
        <v>146</v>
      </c>
      <c r="P3414" s="12" t="s">
        <v>109</v>
      </c>
      <c r="Q3414" s="13">
        <v>45541</v>
      </c>
      <c r="R3414" s="13">
        <v>45566</v>
      </c>
      <c r="S3414">
        <v>2024</v>
      </c>
      <c r="T3414" s="12" t="s">
        <v>4283</v>
      </c>
      <c r="U3414">
        <v>111</v>
      </c>
      <c r="V3414">
        <v>165.2989</v>
      </c>
      <c r="W3414">
        <v>355.03</v>
      </c>
      <c r="X3414">
        <v>0</v>
      </c>
      <c r="Y3414">
        <v>0</v>
      </c>
      <c r="Z3414">
        <v>18348.18</v>
      </c>
      <c r="AA3414">
        <v>18703.21</v>
      </c>
      <c r="AB3414" s="12" t="s">
        <v>201</v>
      </c>
      <c r="AD3414">
        <v>0</v>
      </c>
      <c r="AE3414">
        <v>0</v>
      </c>
      <c r="AH3414">
        <v>111</v>
      </c>
      <c r="AI3414">
        <v>110</v>
      </c>
      <c r="AJ3414">
        <v>1</v>
      </c>
      <c r="AK3414">
        <v>1</v>
      </c>
      <c r="AL3414">
        <v>1</v>
      </c>
      <c r="AM3414">
        <v>99.1</v>
      </c>
      <c r="AN3414">
        <v>170.0292</v>
      </c>
      <c r="AO3414">
        <v>165.3</v>
      </c>
      <c r="AP3414" s="13">
        <v>45566</v>
      </c>
      <c r="AQ3414">
        <v>0</v>
      </c>
      <c r="AR3414">
        <v>1</v>
      </c>
    </row>
    <row r="3415" spans="1:44" x14ac:dyDescent="0.35">
      <c r="A3415" s="12" t="s">
        <v>4329</v>
      </c>
      <c r="B3415" s="12" t="s">
        <v>293</v>
      </c>
      <c r="C3415" s="12" t="s">
        <v>294</v>
      </c>
      <c r="D3415" s="12" t="s">
        <v>114</v>
      </c>
      <c r="E3415" s="12" t="s">
        <v>142</v>
      </c>
      <c r="F3415">
        <v>1</v>
      </c>
      <c r="G3415">
        <v>6</v>
      </c>
      <c r="H3415">
        <v>1</v>
      </c>
      <c r="I3415" s="12" t="s">
        <v>195</v>
      </c>
      <c r="J3415" s="12" t="s">
        <v>196</v>
      </c>
      <c r="K3415" s="12" t="s">
        <v>117</v>
      </c>
      <c r="L3415" s="12" t="s">
        <v>134</v>
      </c>
      <c r="M3415">
        <v>4.7699999999999996</v>
      </c>
      <c r="N3415" s="12" t="s">
        <v>70</v>
      </c>
      <c r="O3415" s="12" t="s">
        <v>71</v>
      </c>
      <c r="P3415" s="12" t="s">
        <v>72</v>
      </c>
      <c r="Q3415" s="13">
        <v>45541</v>
      </c>
      <c r="R3415" s="13">
        <v>45593</v>
      </c>
      <c r="S3415">
        <v>2024</v>
      </c>
      <c r="T3415" s="12" t="s">
        <v>4283</v>
      </c>
      <c r="U3415">
        <v>145</v>
      </c>
      <c r="V3415">
        <v>202.91499999999999</v>
      </c>
      <c r="W3415">
        <v>450.1</v>
      </c>
      <c r="X3415">
        <v>0</v>
      </c>
      <c r="Y3415">
        <v>0</v>
      </c>
      <c r="Z3415">
        <v>29422.68</v>
      </c>
      <c r="AA3415">
        <v>29872.78</v>
      </c>
      <c r="AB3415" s="12" t="s">
        <v>2837</v>
      </c>
      <c r="AC3415">
        <v>202.91499999999999</v>
      </c>
      <c r="AD3415">
        <v>1</v>
      </c>
      <c r="AE3415">
        <v>1</v>
      </c>
      <c r="AF3415">
        <v>0</v>
      </c>
      <c r="AG3415">
        <v>29422.68</v>
      </c>
      <c r="AH3415">
        <v>145</v>
      </c>
      <c r="AI3415">
        <v>142</v>
      </c>
      <c r="AJ3415">
        <v>3</v>
      </c>
      <c r="AK3415">
        <v>1</v>
      </c>
      <c r="AL3415">
        <v>1</v>
      </c>
      <c r="AM3415">
        <v>97.93</v>
      </c>
      <c r="AN3415">
        <v>210.3717</v>
      </c>
      <c r="AO3415">
        <v>608.75</v>
      </c>
      <c r="AP3415" s="13">
        <v>45593</v>
      </c>
      <c r="AQ3415">
        <v>0</v>
      </c>
      <c r="AR3415">
        <v>1</v>
      </c>
    </row>
    <row r="3416" spans="1:44" x14ac:dyDescent="0.35">
      <c r="A3416" s="12" t="s">
        <v>4330</v>
      </c>
      <c r="B3416" s="12" t="s">
        <v>238</v>
      </c>
      <c r="C3416" s="12" t="s">
        <v>239</v>
      </c>
      <c r="D3416" s="12" t="s">
        <v>122</v>
      </c>
      <c r="E3416" s="12" t="s">
        <v>65</v>
      </c>
      <c r="F3416">
        <v>3</v>
      </c>
      <c r="G3416">
        <v>4</v>
      </c>
      <c r="H3416">
        <v>0</v>
      </c>
      <c r="I3416" s="12" t="s">
        <v>143</v>
      </c>
      <c r="J3416" s="12" t="s">
        <v>144</v>
      </c>
      <c r="K3416" s="12" t="s">
        <v>133</v>
      </c>
      <c r="L3416" s="12" t="s">
        <v>96</v>
      </c>
      <c r="M3416">
        <v>5.43</v>
      </c>
      <c r="N3416" s="12" t="s">
        <v>97</v>
      </c>
      <c r="O3416" s="12" t="s">
        <v>98</v>
      </c>
      <c r="P3416" s="12" t="s">
        <v>72</v>
      </c>
      <c r="Q3416" s="13">
        <v>45541</v>
      </c>
      <c r="R3416" s="13">
        <v>45575</v>
      </c>
      <c r="S3416">
        <v>2024</v>
      </c>
      <c r="T3416" s="12" t="s">
        <v>4283</v>
      </c>
      <c r="U3416">
        <v>1594</v>
      </c>
      <c r="V3416">
        <v>42.001600000000003</v>
      </c>
      <c r="W3416">
        <v>1683.81</v>
      </c>
      <c r="X3416">
        <v>0</v>
      </c>
      <c r="Y3416">
        <v>0</v>
      </c>
      <c r="Z3416">
        <v>66950.55</v>
      </c>
      <c r="AA3416">
        <v>68634.36</v>
      </c>
      <c r="AB3416" s="12" t="s">
        <v>201</v>
      </c>
      <c r="AD3416">
        <v>0</v>
      </c>
      <c r="AE3416">
        <v>0</v>
      </c>
      <c r="AH3416">
        <v>1594</v>
      </c>
      <c r="AI3416">
        <v>1585</v>
      </c>
      <c r="AJ3416">
        <v>9</v>
      </c>
      <c r="AK3416">
        <v>1</v>
      </c>
      <c r="AL3416">
        <v>1</v>
      </c>
      <c r="AM3416">
        <v>99.44</v>
      </c>
      <c r="AN3416">
        <v>43.302399999999999</v>
      </c>
      <c r="AO3416">
        <v>378.01</v>
      </c>
      <c r="AP3416" s="13">
        <v>45578</v>
      </c>
      <c r="AQ3416">
        <v>3</v>
      </c>
      <c r="AR3416">
        <v>0</v>
      </c>
    </row>
    <row r="3417" spans="1:44" x14ac:dyDescent="0.35">
      <c r="A3417" s="12" t="s">
        <v>4331</v>
      </c>
      <c r="B3417" s="12" t="s">
        <v>149</v>
      </c>
      <c r="C3417" s="12" t="s">
        <v>150</v>
      </c>
      <c r="D3417" s="12" t="s">
        <v>78</v>
      </c>
      <c r="E3417" s="12" t="s">
        <v>65</v>
      </c>
      <c r="F3417">
        <v>2</v>
      </c>
      <c r="G3417">
        <v>2</v>
      </c>
      <c r="H3417">
        <v>0</v>
      </c>
      <c r="I3417" s="12" t="s">
        <v>169</v>
      </c>
      <c r="J3417" s="12" t="s">
        <v>170</v>
      </c>
      <c r="K3417" s="12" t="s">
        <v>89</v>
      </c>
      <c r="L3417" s="12" t="s">
        <v>134</v>
      </c>
      <c r="M3417">
        <v>1.37</v>
      </c>
      <c r="N3417" s="12" t="s">
        <v>97</v>
      </c>
      <c r="O3417" s="12" t="s">
        <v>98</v>
      </c>
      <c r="P3417" s="12" t="s">
        <v>72</v>
      </c>
      <c r="Q3417" s="13">
        <v>45544</v>
      </c>
      <c r="R3417" s="13">
        <v>45569</v>
      </c>
      <c r="S3417">
        <v>2024</v>
      </c>
      <c r="T3417" s="12" t="s">
        <v>4283</v>
      </c>
      <c r="U3417">
        <v>107</v>
      </c>
      <c r="V3417">
        <v>72.612399999999994</v>
      </c>
      <c r="W3417">
        <v>63.95</v>
      </c>
      <c r="X3417">
        <v>0</v>
      </c>
      <c r="Y3417">
        <v>0</v>
      </c>
      <c r="Z3417">
        <v>7769.53</v>
      </c>
      <c r="AA3417">
        <v>7833.48</v>
      </c>
      <c r="AB3417" s="12" t="s">
        <v>201</v>
      </c>
      <c r="AD3417">
        <v>0</v>
      </c>
      <c r="AE3417">
        <v>0</v>
      </c>
      <c r="AH3417">
        <v>107</v>
      </c>
      <c r="AI3417">
        <v>106</v>
      </c>
      <c r="AJ3417">
        <v>1</v>
      </c>
      <c r="AK3417">
        <v>1</v>
      </c>
      <c r="AL3417">
        <v>1</v>
      </c>
      <c r="AM3417">
        <v>99.07</v>
      </c>
      <c r="AN3417">
        <v>73.900700000000001</v>
      </c>
      <c r="AO3417">
        <v>72.61</v>
      </c>
      <c r="AP3417" s="13">
        <v>45575</v>
      </c>
      <c r="AQ3417">
        <v>6</v>
      </c>
      <c r="AR3417">
        <v>0</v>
      </c>
    </row>
    <row r="3418" spans="1:44" x14ac:dyDescent="0.35">
      <c r="A3418" s="12" t="s">
        <v>4332</v>
      </c>
      <c r="B3418" s="12" t="s">
        <v>537</v>
      </c>
      <c r="C3418" s="12" t="s">
        <v>538</v>
      </c>
      <c r="D3418" s="12" t="s">
        <v>103</v>
      </c>
      <c r="E3418" s="12" t="s">
        <v>104</v>
      </c>
      <c r="F3418">
        <v>3</v>
      </c>
      <c r="G3418">
        <v>0</v>
      </c>
      <c r="H3418">
        <v>0</v>
      </c>
      <c r="I3418" s="12" t="s">
        <v>380</v>
      </c>
      <c r="J3418" s="12" t="s">
        <v>381</v>
      </c>
      <c r="K3418" s="12" t="s">
        <v>89</v>
      </c>
      <c r="L3418" s="12" t="s">
        <v>96</v>
      </c>
      <c r="M3418">
        <v>10.210000000000001</v>
      </c>
      <c r="N3418" s="12" t="s">
        <v>107</v>
      </c>
      <c r="O3418" s="12" t="s">
        <v>108</v>
      </c>
      <c r="P3418" s="12" t="s">
        <v>109</v>
      </c>
      <c r="Q3418" s="13">
        <v>45544</v>
      </c>
      <c r="R3418" s="13">
        <v>45557</v>
      </c>
      <c r="S3418">
        <v>2024</v>
      </c>
      <c r="T3418" s="12" t="s">
        <v>4283</v>
      </c>
      <c r="U3418">
        <v>20</v>
      </c>
      <c r="V3418">
        <v>242.5198</v>
      </c>
      <c r="W3418">
        <v>70.16</v>
      </c>
      <c r="X3418">
        <v>0</v>
      </c>
      <c r="Y3418">
        <v>0</v>
      </c>
      <c r="Z3418">
        <v>4850.3999999999996</v>
      </c>
      <c r="AA3418">
        <v>4920.5600000000004</v>
      </c>
      <c r="AB3418" s="12" t="s">
        <v>3095</v>
      </c>
      <c r="AC3418">
        <v>242.5198</v>
      </c>
      <c r="AD3418">
        <v>1</v>
      </c>
      <c r="AE3418">
        <v>1</v>
      </c>
      <c r="AF3418">
        <v>0</v>
      </c>
      <c r="AG3418">
        <v>4850.3999999999996</v>
      </c>
      <c r="AH3418">
        <v>20</v>
      </c>
      <c r="AI3418">
        <v>20</v>
      </c>
      <c r="AJ3418">
        <v>0</v>
      </c>
      <c r="AK3418">
        <v>1</v>
      </c>
      <c r="AL3418">
        <v>1</v>
      </c>
      <c r="AM3418">
        <v>100</v>
      </c>
      <c r="AN3418">
        <v>246.02780000000001</v>
      </c>
      <c r="AO3418">
        <v>0</v>
      </c>
      <c r="AP3418" s="13">
        <v>45553</v>
      </c>
      <c r="AQ3418">
        <v>-4</v>
      </c>
      <c r="AR3418">
        <v>1</v>
      </c>
    </row>
    <row r="3419" spans="1:44" x14ac:dyDescent="0.35">
      <c r="A3419" s="12" t="s">
        <v>4333</v>
      </c>
      <c r="B3419" s="12" t="s">
        <v>327</v>
      </c>
      <c r="C3419" s="12" t="s">
        <v>328</v>
      </c>
      <c r="D3419" s="12" t="s">
        <v>130</v>
      </c>
      <c r="E3419" s="12" t="s">
        <v>104</v>
      </c>
      <c r="F3419">
        <v>2</v>
      </c>
      <c r="G3419">
        <v>0</v>
      </c>
      <c r="H3419">
        <v>0</v>
      </c>
      <c r="I3419" s="12" t="s">
        <v>94</v>
      </c>
      <c r="J3419" s="12" t="s">
        <v>95</v>
      </c>
      <c r="K3419" s="12" t="s">
        <v>81</v>
      </c>
      <c r="L3419" s="12" t="s">
        <v>96</v>
      </c>
      <c r="M3419">
        <v>4.8099999999999996</v>
      </c>
      <c r="N3419" s="12" t="s">
        <v>159</v>
      </c>
      <c r="O3419" s="12" t="s">
        <v>160</v>
      </c>
      <c r="P3419" s="12" t="s">
        <v>137</v>
      </c>
      <c r="Q3419" s="13">
        <v>45544</v>
      </c>
      <c r="R3419" s="13">
        <v>45565</v>
      </c>
      <c r="S3419">
        <v>2024</v>
      </c>
      <c r="T3419" s="12" t="s">
        <v>4283</v>
      </c>
      <c r="U3419">
        <v>83</v>
      </c>
      <c r="V3419">
        <v>697.23929999999996</v>
      </c>
      <c r="W3419">
        <v>858.99</v>
      </c>
      <c r="X3419">
        <v>0</v>
      </c>
      <c r="Y3419">
        <v>0</v>
      </c>
      <c r="Z3419">
        <v>57870.86</v>
      </c>
      <c r="AA3419">
        <v>58729.85</v>
      </c>
      <c r="AB3419" s="12" t="s">
        <v>3016</v>
      </c>
      <c r="AC3419">
        <v>697.23929999999996</v>
      </c>
      <c r="AD3419">
        <v>1</v>
      </c>
      <c r="AE3419">
        <v>1</v>
      </c>
      <c r="AF3419">
        <v>0</v>
      </c>
      <c r="AG3419">
        <v>57870.86</v>
      </c>
      <c r="AH3419">
        <v>83</v>
      </c>
      <c r="AI3419">
        <v>83</v>
      </c>
      <c r="AJ3419">
        <v>0</v>
      </c>
      <c r="AK3419">
        <v>1</v>
      </c>
      <c r="AL3419">
        <v>1</v>
      </c>
      <c r="AM3419">
        <v>100</v>
      </c>
      <c r="AN3419">
        <v>707.58860000000004</v>
      </c>
      <c r="AO3419">
        <v>0</v>
      </c>
      <c r="AP3419" s="13">
        <v>45563</v>
      </c>
      <c r="AQ3419">
        <v>-2</v>
      </c>
      <c r="AR3419">
        <v>1</v>
      </c>
    </row>
    <row r="3420" spans="1:44" x14ac:dyDescent="0.35">
      <c r="A3420" s="12" t="s">
        <v>4334</v>
      </c>
      <c r="B3420" s="12" t="s">
        <v>163</v>
      </c>
      <c r="C3420" s="12" t="s">
        <v>164</v>
      </c>
      <c r="D3420" s="12" t="s">
        <v>64</v>
      </c>
      <c r="E3420" s="12" t="s">
        <v>104</v>
      </c>
      <c r="F3420">
        <v>2</v>
      </c>
      <c r="G3420">
        <v>0</v>
      </c>
      <c r="H3420">
        <v>0</v>
      </c>
      <c r="I3420" s="12" t="s">
        <v>79</v>
      </c>
      <c r="J3420" s="12" t="s">
        <v>80</v>
      </c>
      <c r="K3420" s="12" t="s">
        <v>81</v>
      </c>
      <c r="L3420" s="12" t="s">
        <v>82</v>
      </c>
      <c r="M3420">
        <v>12.07</v>
      </c>
      <c r="N3420" s="12" t="s">
        <v>70</v>
      </c>
      <c r="O3420" s="12" t="s">
        <v>71</v>
      </c>
      <c r="P3420" s="12" t="s">
        <v>72</v>
      </c>
      <c r="Q3420" s="13">
        <v>45544</v>
      </c>
      <c r="R3420" s="13">
        <v>45557</v>
      </c>
      <c r="S3420">
        <v>2024</v>
      </c>
      <c r="T3420" s="12" t="s">
        <v>4283</v>
      </c>
      <c r="U3420">
        <v>196</v>
      </c>
      <c r="V3420">
        <v>12.2818</v>
      </c>
      <c r="W3420">
        <v>59.85</v>
      </c>
      <c r="X3420">
        <v>0</v>
      </c>
      <c r="Y3420">
        <v>0</v>
      </c>
      <c r="Z3420">
        <v>2407.23</v>
      </c>
      <c r="AA3420">
        <v>2467.08</v>
      </c>
      <c r="AB3420" s="12" t="s">
        <v>2780</v>
      </c>
      <c r="AC3420">
        <v>11.6143</v>
      </c>
      <c r="AD3420">
        <v>1</v>
      </c>
      <c r="AE3420">
        <v>1</v>
      </c>
      <c r="AF3420">
        <v>130.83000000000001</v>
      </c>
      <c r="AG3420">
        <v>2276.4</v>
      </c>
      <c r="AH3420">
        <v>196</v>
      </c>
      <c r="AI3420">
        <v>193</v>
      </c>
      <c r="AJ3420">
        <v>3</v>
      </c>
      <c r="AK3420">
        <v>1</v>
      </c>
      <c r="AL3420">
        <v>1</v>
      </c>
      <c r="AM3420">
        <v>98.47</v>
      </c>
      <c r="AN3420">
        <v>12.7828</v>
      </c>
      <c r="AO3420">
        <v>36.85</v>
      </c>
      <c r="AP3420" s="13">
        <v>45555</v>
      </c>
      <c r="AQ3420">
        <v>-2</v>
      </c>
      <c r="AR3420">
        <v>1</v>
      </c>
    </row>
    <row r="3421" spans="1:44" x14ac:dyDescent="0.35">
      <c r="A3421" s="12" t="s">
        <v>4335</v>
      </c>
      <c r="B3421" s="12" t="s">
        <v>416</v>
      </c>
      <c r="C3421" s="12" t="s">
        <v>417</v>
      </c>
      <c r="D3421" s="12" t="s">
        <v>78</v>
      </c>
      <c r="E3421" s="12" t="s">
        <v>65</v>
      </c>
      <c r="F3421">
        <v>3</v>
      </c>
      <c r="G3421">
        <v>5</v>
      </c>
      <c r="H3421">
        <v>0</v>
      </c>
      <c r="I3421" s="12" t="s">
        <v>169</v>
      </c>
      <c r="J3421" s="12" t="s">
        <v>170</v>
      </c>
      <c r="K3421" s="12" t="s">
        <v>89</v>
      </c>
      <c r="L3421" s="12" t="s">
        <v>134</v>
      </c>
      <c r="M3421">
        <v>1.37</v>
      </c>
      <c r="N3421" s="12" t="s">
        <v>97</v>
      </c>
      <c r="O3421" s="12" t="s">
        <v>98</v>
      </c>
      <c r="P3421" s="12" t="s">
        <v>72</v>
      </c>
      <c r="Q3421" s="13">
        <v>45544</v>
      </c>
      <c r="R3421" s="13">
        <v>45581</v>
      </c>
      <c r="S3421">
        <v>2024</v>
      </c>
      <c r="T3421" s="12" t="s">
        <v>4283</v>
      </c>
      <c r="U3421">
        <v>285</v>
      </c>
      <c r="V3421">
        <v>136.4109</v>
      </c>
      <c r="W3421">
        <v>372.53</v>
      </c>
      <c r="X3421">
        <v>0</v>
      </c>
      <c r="Y3421">
        <v>0</v>
      </c>
      <c r="Z3421">
        <v>38877.11</v>
      </c>
      <c r="AA3421">
        <v>39249.64</v>
      </c>
      <c r="AB3421" s="12" t="s">
        <v>2980</v>
      </c>
      <c r="AC3421">
        <v>136.4109</v>
      </c>
      <c r="AD3421">
        <v>1</v>
      </c>
      <c r="AE3421">
        <v>1</v>
      </c>
      <c r="AF3421">
        <v>0</v>
      </c>
      <c r="AG3421">
        <v>38877.11</v>
      </c>
      <c r="AH3421">
        <v>285</v>
      </c>
      <c r="AI3421">
        <v>280</v>
      </c>
      <c r="AJ3421">
        <v>5</v>
      </c>
      <c r="AK3421">
        <v>1</v>
      </c>
      <c r="AL3421">
        <v>1</v>
      </c>
      <c r="AM3421">
        <v>98.25</v>
      </c>
      <c r="AN3421">
        <v>140.1773</v>
      </c>
      <c r="AO3421">
        <v>682.05</v>
      </c>
      <c r="AP3421" s="13">
        <v>45589</v>
      </c>
      <c r="AQ3421">
        <v>8</v>
      </c>
      <c r="AR3421">
        <v>0</v>
      </c>
    </row>
    <row r="3422" spans="1:44" x14ac:dyDescent="0.35">
      <c r="A3422" s="12" t="s">
        <v>4336</v>
      </c>
      <c r="B3422" s="12" t="s">
        <v>167</v>
      </c>
      <c r="C3422" s="12" t="s">
        <v>168</v>
      </c>
      <c r="D3422" s="12" t="s">
        <v>64</v>
      </c>
      <c r="E3422" s="12" t="s">
        <v>104</v>
      </c>
      <c r="F3422">
        <v>3</v>
      </c>
      <c r="G3422">
        <v>1</v>
      </c>
      <c r="H3422">
        <v>0</v>
      </c>
      <c r="I3422" s="12" t="s">
        <v>169</v>
      </c>
      <c r="J3422" s="12" t="s">
        <v>170</v>
      </c>
      <c r="K3422" s="12" t="s">
        <v>89</v>
      </c>
      <c r="L3422" s="12" t="s">
        <v>134</v>
      </c>
      <c r="M3422">
        <v>1.37</v>
      </c>
      <c r="N3422" s="12" t="s">
        <v>97</v>
      </c>
      <c r="O3422" s="12" t="s">
        <v>98</v>
      </c>
      <c r="P3422" s="12" t="s">
        <v>72</v>
      </c>
      <c r="Q3422" s="13">
        <v>45544</v>
      </c>
      <c r="R3422" s="13">
        <v>45556</v>
      </c>
      <c r="S3422">
        <v>2024</v>
      </c>
      <c r="T3422" s="12" t="s">
        <v>4283</v>
      </c>
      <c r="U3422">
        <v>113</v>
      </c>
      <c r="V3422">
        <v>26.559100000000001</v>
      </c>
      <c r="W3422">
        <v>62.06</v>
      </c>
      <c r="X3422">
        <v>0</v>
      </c>
      <c r="Y3422">
        <v>0</v>
      </c>
      <c r="Z3422">
        <v>3001.18</v>
      </c>
      <c r="AA3422">
        <v>3063.24</v>
      </c>
      <c r="AB3422" s="12" t="s">
        <v>2885</v>
      </c>
      <c r="AC3422">
        <v>26.559100000000001</v>
      </c>
      <c r="AD3422">
        <v>1</v>
      </c>
      <c r="AE3422">
        <v>1</v>
      </c>
      <c r="AF3422">
        <v>0</v>
      </c>
      <c r="AG3422">
        <v>3001.18</v>
      </c>
      <c r="AH3422">
        <v>113</v>
      </c>
      <c r="AI3422">
        <v>113</v>
      </c>
      <c r="AJ3422">
        <v>0</v>
      </c>
      <c r="AK3422">
        <v>1</v>
      </c>
      <c r="AL3422">
        <v>1</v>
      </c>
      <c r="AM3422">
        <v>100</v>
      </c>
      <c r="AN3422">
        <v>27.1083</v>
      </c>
      <c r="AO3422">
        <v>0</v>
      </c>
      <c r="AP3422" s="13">
        <v>45565</v>
      </c>
      <c r="AQ3422">
        <v>9</v>
      </c>
      <c r="AR3422">
        <v>0</v>
      </c>
    </row>
    <row r="3423" spans="1:44" x14ac:dyDescent="0.35">
      <c r="A3423" s="12" t="s">
        <v>4337</v>
      </c>
      <c r="B3423" s="12" t="s">
        <v>990</v>
      </c>
      <c r="C3423" s="12" t="s">
        <v>991</v>
      </c>
      <c r="D3423" s="12" t="s">
        <v>122</v>
      </c>
      <c r="E3423" s="12" t="s">
        <v>142</v>
      </c>
      <c r="F3423">
        <v>1</v>
      </c>
      <c r="G3423">
        <v>6</v>
      </c>
      <c r="H3423">
        <v>1</v>
      </c>
      <c r="I3423" s="12" t="s">
        <v>217</v>
      </c>
      <c r="J3423" s="12" t="s">
        <v>218</v>
      </c>
      <c r="K3423" s="12" t="s">
        <v>68</v>
      </c>
      <c r="L3423" s="12" t="s">
        <v>82</v>
      </c>
      <c r="M3423">
        <v>14.24</v>
      </c>
      <c r="N3423" s="12" t="s">
        <v>97</v>
      </c>
      <c r="O3423" s="12" t="s">
        <v>98</v>
      </c>
      <c r="P3423" s="12" t="s">
        <v>72</v>
      </c>
      <c r="Q3423" s="13">
        <v>45544</v>
      </c>
      <c r="R3423" s="13">
        <v>45583</v>
      </c>
      <c r="S3423">
        <v>2024</v>
      </c>
      <c r="T3423" s="12" t="s">
        <v>4283</v>
      </c>
      <c r="U3423">
        <v>627</v>
      </c>
      <c r="V3423">
        <v>33.6252</v>
      </c>
      <c r="W3423">
        <v>163.93</v>
      </c>
      <c r="X3423">
        <v>0</v>
      </c>
      <c r="Y3423">
        <v>0</v>
      </c>
      <c r="Z3423">
        <v>21083</v>
      </c>
      <c r="AA3423">
        <v>21246.93</v>
      </c>
      <c r="AB3423" s="12" t="s">
        <v>3368</v>
      </c>
      <c r="AC3423">
        <v>33.6252</v>
      </c>
      <c r="AD3423">
        <v>1</v>
      </c>
      <c r="AE3423">
        <v>1</v>
      </c>
      <c r="AF3423">
        <v>0</v>
      </c>
      <c r="AG3423">
        <v>21083</v>
      </c>
      <c r="AH3423">
        <v>627</v>
      </c>
      <c r="AI3423">
        <v>626</v>
      </c>
      <c r="AJ3423">
        <v>1</v>
      </c>
      <c r="AK3423">
        <v>1</v>
      </c>
      <c r="AL3423">
        <v>1</v>
      </c>
      <c r="AM3423">
        <v>99.84</v>
      </c>
      <c r="AN3423">
        <v>33.940800000000003</v>
      </c>
      <c r="AO3423">
        <v>33.630000000000003</v>
      </c>
      <c r="AP3423" s="13">
        <v>45580</v>
      </c>
      <c r="AQ3423">
        <v>-3</v>
      </c>
      <c r="AR3423">
        <v>1</v>
      </c>
    </row>
    <row r="3424" spans="1:44" x14ac:dyDescent="0.35">
      <c r="A3424" s="12" t="s">
        <v>4338</v>
      </c>
      <c r="B3424" s="12" t="s">
        <v>1666</v>
      </c>
      <c r="C3424" s="12" t="s">
        <v>1667</v>
      </c>
      <c r="D3424" s="12" t="s">
        <v>78</v>
      </c>
      <c r="E3424" s="12" t="s">
        <v>65</v>
      </c>
      <c r="F3424">
        <v>2</v>
      </c>
      <c r="G3424">
        <v>3</v>
      </c>
      <c r="H3424">
        <v>0</v>
      </c>
      <c r="I3424" s="12" t="s">
        <v>310</v>
      </c>
      <c r="J3424" s="12" t="s">
        <v>311</v>
      </c>
      <c r="K3424" s="12" t="s">
        <v>81</v>
      </c>
      <c r="L3424" s="12" t="s">
        <v>69</v>
      </c>
      <c r="M3424">
        <v>28.3</v>
      </c>
      <c r="N3424" s="12" t="s">
        <v>70</v>
      </c>
      <c r="O3424" s="12" t="s">
        <v>71</v>
      </c>
      <c r="P3424" s="12" t="s">
        <v>72</v>
      </c>
      <c r="Q3424" s="13">
        <v>45544</v>
      </c>
      <c r="R3424" s="13">
        <v>45576</v>
      </c>
      <c r="S3424">
        <v>2024</v>
      </c>
      <c r="T3424" s="12" t="s">
        <v>4283</v>
      </c>
      <c r="U3424">
        <v>209</v>
      </c>
      <c r="V3424">
        <v>73.412099999999995</v>
      </c>
      <c r="W3424">
        <v>211.68</v>
      </c>
      <c r="X3424">
        <v>0</v>
      </c>
      <c r="Y3424">
        <v>0</v>
      </c>
      <c r="Z3424">
        <v>15343.13</v>
      </c>
      <c r="AA3424">
        <v>15554.81</v>
      </c>
      <c r="AB3424" s="12" t="s">
        <v>3090</v>
      </c>
      <c r="AC3424">
        <v>73.412099999999995</v>
      </c>
      <c r="AD3424">
        <v>1</v>
      </c>
      <c r="AE3424">
        <v>1</v>
      </c>
      <c r="AF3424">
        <v>0</v>
      </c>
      <c r="AG3424">
        <v>15343.13</v>
      </c>
      <c r="AH3424">
        <v>209</v>
      </c>
      <c r="AI3424">
        <v>206</v>
      </c>
      <c r="AJ3424">
        <v>3</v>
      </c>
      <c r="AK3424">
        <v>1</v>
      </c>
      <c r="AL3424">
        <v>1</v>
      </c>
      <c r="AM3424">
        <v>98.56</v>
      </c>
      <c r="AN3424">
        <v>75.508799999999994</v>
      </c>
      <c r="AO3424">
        <v>220.24</v>
      </c>
      <c r="AP3424" s="13">
        <v>45573</v>
      </c>
      <c r="AQ3424">
        <v>-3</v>
      </c>
      <c r="AR3424">
        <v>1</v>
      </c>
    </row>
    <row r="3425" spans="1:44" x14ac:dyDescent="0.35">
      <c r="A3425" s="12" t="s">
        <v>4339</v>
      </c>
      <c r="B3425" s="12" t="s">
        <v>661</v>
      </c>
      <c r="C3425" s="12" t="s">
        <v>662</v>
      </c>
      <c r="D3425" s="12" t="s">
        <v>175</v>
      </c>
      <c r="E3425" s="12" t="s">
        <v>104</v>
      </c>
      <c r="F3425">
        <v>1</v>
      </c>
      <c r="G3425">
        <v>0</v>
      </c>
      <c r="H3425">
        <v>1</v>
      </c>
      <c r="I3425" s="12" t="s">
        <v>183</v>
      </c>
      <c r="J3425" s="12" t="s">
        <v>184</v>
      </c>
      <c r="K3425" s="12" t="s">
        <v>133</v>
      </c>
      <c r="L3425" s="12" t="s">
        <v>82</v>
      </c>
      <c r="M3425">
        <v>8.6199999999999992</v>
      </c>
      <c r="N3425" s="12" t="s">
        <v>145</v>
      </c>
      <c r="O3425" s="12" t="s">
        <v>146</v>
      </c>
      <c r="P3425" s="12" t="s">
        <v>109</v>
      </c>
      <c r="Q3425" s="13">
        <v>45544</v>
      </c>
      <c r="R3425" s="13">
        <v>45566</v>
      </c>
      <c r="S3425">
        <v>2024</v>
      </c>
      <c r="T3425" s="12" t="s">
        <v>4283</v>
      </c>
      <c r="U3425">
        <v>94</v>
      </c>
      <c r="V3425">
        <v>180.0376</v>
      </c>
      <c r="W3425">
        <v>157.91</v>
      </c>
      <c r="X3425">
        <v>0</v>
      </c>
      <c r="Y3425">
        <v>0</v>
      </c>
      <c r="Z3425">
        <v>16923.53</v>
      </c>
      <c r="AA3425">
        <v>17081.439999999999</v>
      </c>
      <c r="AB3425" s="12" t="s">
        <v>2851</v>
      </c>
      <c r="AC3425">
        <v>180.0376</v>
      </c>
      <c r="AD3425">
        <v>1</v>
      </c>
      <c r="AE3425">
        <v>1</v>
      </c>
      <c r="AF3425">
        <v>0</v>
      </c>
      <c r="AG3425">
        <v>16923.53</v>
      </c>
      <c r="AH3425">
        <v>94</v>
      </c>
      <c r="AI3425">
        <v>93</v>
      </c>
      <c r="AJ3425">
        <v>1</v>
      </c>
      <c r="AK3425">
        <v>1</v>
      </c>
      <c r="AL3425">
        <v>1</v>
      </c>
      <c r="AM3425">
        <v>98.94</v>
      </c>
      <c r="AN3425">
        <v>183.67140000000001</v>
      </c>
      <c r="AO3425">
        <v>180.04</v>
      </c>
      <c r="AP3425" s="13">
        <v>45566</v>
      </c>
      <c r="AQ3425">
        <v>0</v>
      </c>
      <c r="AR3425">
        <v>1</v>
      </c>
    </row>
    <row r="3426" spans="1:44" x14ac:dyDescent="0.35">
      <c r="A3426" s="12" t="s">
        <v>4340</v>
      </c>
      <c r="B3426" s="12" t="s">
        <v>302</v>
      </c>
      <c r="C3426" s="12" t="s">
        <v>303</v>
      </c>
      <c r="D3426" s="12" t="s">
        <v>78</v>
      </c>
      <c r="E3426" s="12" t="s">
        <v>65</v>
      </c>
      <c r="F3426">
        <v>2</v>
      </c>
      <c r="G3426">
        <v>3</v>
      </c>
      <c r="H3426">
        <v>0</v>
      </c>
      <c r="I3426" s="12" t="s">
        <v>335</v>
      </c>
      <c r="J3426" s="12" t="s">
        <v>336</v>
      </c>
      <c r="K3426" s="12" t="s">
        <v>89</v>
      </c>
      <c r="L3426" s="12" t="s">
        <v>82</v>
      </c>
      <c r="M3426">
        <v>16</v>
      </c>
      <c r="N3426" s="12" t="s">
        <v>70</v>
      </c>
      <c r="O3426" s="12" t="s">
        <v>71</v>
      </c>
      <c r="P3426" s="12" t="s">
        <v>72</v>
      </c>
      <c r="Q3426" s="13">
        <v>45544</v>
      </c>
      <c r="R3426" s="13">
        <v>45578</v>
      </c>
      <c r="S3426">
        <v>2024</v>
      </c>
      <c r="T3426" s="12" t="s">
        <v>4283</v>
      </c>
      <c r="U3426">
        <v>236</v>
      </c>
      <c r="V3426">
        <v>141.08359999999999</v>
      </c>
      <c r="W3426">
        <v>500.29</v>
      </c>
      <c r="X3426">
        <v>0</v>
      </c>
      <c r="Y3426">
        <v>0</v>
      </c>
      <c r="Z3426">
        <v>33295.730000000003</v>
      </c>
      <c r="AA3426">
        <v>33796.019999999997</v>
      </c>
      <c r="AB3426" s="12" t="s">
        <v>2834</v>
      </c>
      <c r="AC3426">
        <v>141.08359999999999</v>
      </c>
      <c r="AD3426">
        <v>1</v>
      </c>
      <c r="AE3426">
        <v>1</v>
      </c>
      <c r="AF3426">
        <v>0</v>
      </c>
      <c r="AG3426">
        <v>33295.730000000003</v>
      </c>
      <c r="AH3426">
        <v>236</v>
      </c>
      <c r="AI3426">
        <v>232</v>
      </c>
      <c r="AJ3426">
        <v>4</v>
      </c>
      <c r="AK3426">
        <v>1</v>
      </c>
      <c r="AL3426">
        <v>1</v>
      </c>
      <c r="AM3426">
        <v>98.31</v>
      </c>
      <c r="AN3426">
        <v>145.67250000000001</v>
      </c>
      <c r="AO3426">
        <v>564.33000000000004</v>
      </c>
      <c r="AP3426" s="13">
        <v>45585</v>
      </c>
      <c r="AQ3426">
        <v>7</v>
      </c>
      <c r="AR3426">
        <v>0</v>
      </c>
    </row>
    <row r="3427" spans="1:44" x14ac:dyDescent="0.35">
      <c r="A3427" s="12" t="s">
        <v>4341</v>
      </c>
      <c r="B3427" s="12" t="s">
        <v>289</v>
      </c>
      <c r="C3427" s="12" t="s">
        <v>290</v>
      </c>
      <c r="D3427" s="12" t="s">
        <v>175</v>
      </c>
      <c r="E3427" s="12" t="s">
        <v>104</v>
      </c>
      <c r="F3427">
        <v>3</v>
      </c>
      <c r="G3427">
        <v>1</v>
      </c>
      <c r="H3427">
        <v>0</v>
      </c>
      <c r="I3427" s="12" t="s">
        <v>157</v>
      </c>
      <c r="J3427" s="12" t="s">
        <v>158</v>
      </c>
      <c r="K3427" s="12" t="s">
        <v>117</v>
      </c>
      <c r="L3427" s="12" t="s">
        <v>96</v>
      </c>
      <c r="M3427">
        <v>4.72</v>
      </c>
      <c r="N3427" s="12" t="s">
        <v>145</v>
      </c>
      <c r="O3427" s="12" t="s">
        <v>146</v>
      </c>
      <c r="P3427" s="12" t="s">
        <v>109</v>
      </c>
      <c r="Q3427" s="13">
        <v>45544</v>
      </c>
      <c r="R3427" s="13">
        <v>45567</v>
      </c>
      <c r="S3427">
        <v>2024</v>
      </c>
      <c r="T3427" s="12" t="s">
        <v>4283</v>
      </c>
      <c r="U3427">
        <v>98</v>
      </c>
      <c r="V3427">
        <v>184.24529999999999</v>
      </c>
      <c r="W3427">
        <v>343.63</v>
      </c>
      <c r="X3427">
        <v>0</v>
      </c>
      <c r="Y3427">
        <v>0</v>
      </c>
      <c r="Z3427">
        <v>18056.04</v>
      </c>
      <c r="AA3427">
        <v>18399.669999999998</v>
      </c>
      <c r="AB3427" s="12" t="s">
        <v>2676</v>
      </c>
      <c r="AC3427">
        <v>184.24529999999999</v>
      </c>
      <c r="AD3427">
        <v>1</v>
      </c>
      <c r="AE3427">
        <v>1</v>
      </c>
      <c r="AF3427">
        <v>0</v>
      </c>
      <c r="AG3427">
        <v>18056.04</v>
      </c>
      <c r="AH3427">
        <v>98</v>
      </c>
      <c r="AI3427">
        <v>98</v>
      </c>
      <c r="AJ3427">
        <v>0</v>
      </c>
      <c r="AK3427">
        <v>1</v>
      </c>
      <c r="AL3427">
        <v>1</v>
      </c>
      <c r="AM3427">
        <v>100</v>
      </c>
      <c r="AN3427">
        <v>187.7517</v>
      </c>
      <c r="AO3427">
        <v>0</v>
      </c>
      <c r="AP3427" s="13">
        <v>45565</v>
      </c>
      <c r="AQ3427">
        <v>-2</v>
      </c>
      <c r="AR3427">
        <v>1</v>
      </c>
    </row>
    <row r="3428" spans="1:44" x14ac:dyDescent="0.35">
      <c r="A3428" s="12" t="s">
        <v>4342</v>
      </c>
      <c r="B3428" s="12" t="s">
        <v>1166</v>
      </c>
      <c r="C3428" s="12" t="s">
        <v>1167</v>
      </c>
      <c r="D3428" s="12" t="s">
        <v>175</v>
      </c>
      <c r="E3428" s="12" t="s">
        <v>65</v>
      </c>
      <c r="F3428">
        <v>3</v>
      </c>
      <c r="G3428">
        <v>5</v>
      </c>
      <c r="H3428">
        <v>0</v>
      </c>
      <c r="I3428" s="12" t="s">
        <v>143</v>
      </c>
      <c r="J3428" s="12" t="s">
        <v>144</v>
      </c>
      <c r="K3428" s="12" t="s">
        <v>133</v>
      </c>
      <c r="L3428" s="12" t="s">
        <v>96</v>
      </c>
      <c r="M3428">
        <v>5.43</v>
      </c>
      <c r="N3428" s="12" t="s">
        <v>145</v>
      </c>
      <c r="O3428" s="12" t="s">
        <v>146</v>
      </c>
      <c r="P3428" s="12" t="s">
        <v>109</v>
      </c>
      <c r="Q3428" s="13">
        <v>45544</v>
      </c>
      <c r="R3428" s="13">
        <v>45566</v>
      </c>
      <c r="S3428">
        <v>2024</v>
      </c>
      <c r="T3428" s="12" t="s">
        <v>4283</v>
      </c>
      <c r="U3428">
        <v>21</v>
      </c>
      <c r="V3428">
        <v>243.08539999999999</v>
      </c>
      <c r="W3428">
        <v>47.62</v>
      </c>
      <c r="X3428">
        <v>0</v>
      </c>
      <c r="Y3428">
        <v>0</v>
      </c>
      <c r="Z3428">
        <v>5104.79</v>
      </c>
      <c r="AA3428">
        <v>5152.41</v>
      </c>
      <c r="AB3428" s="12" t="s">
        <v>201</v>
      </c>
      <c r="AD3428">
        <v>0</v>
      </c>
      <c r="AE3428">
        <v>0</v>
      </c>
      <c r="AH3428">
        <v>21</v>
      </c>
      <c r="AI3428">
        <v>21</v>
      </c>
      <c r="AJ3428">
        <v>0</v>
      </c>
      <c r="AK3428">
        <v>1</v>
      </c>
      <c r="AL3428">
        <v>1</v>
      </c>
      <c r="AM3428">
        <v>100</v>
      </c>
      <c r="AN3428">
        <v>245.35300000000001</v>
      </c>
      <c r="AO3428">
        <v>0</v>
      </c>
      <c r="AP3428" s="13">
        <v>45566</v>
      </c>
      <c r="AQ3428">
        <v>0</v>
      </c>
      <c r="AR3428">
        <v>1</v>
      </c>
    </row>
    <row r="3429" spans="1:44" x14ac:dyDescent="0.35">
      <c r="A3429" s="12" t="s">
        <v>4343</v>
      </c>
      <c r="B3429" s="12" t="s">
        <v>613</v>
      </c>
      <c r="C3429" s="12" t="s">
        <v>614</v>
      </c>
      <c r="D3429" s="12" t="s">
        <v>130</v>
      </c>
      <c r="E3429" s="12" t="s">
        <v>104</v>
      </c>
      <c r="F3429">
        <v>3</v>
      </c>
      <c r="G3429">
        <v>1</v>
      </c>
      <c r="H3429">
        <v>0</v>
      </c>
      <c r="I3429" s="12" t="s">
        <v>676</v>
      </c>
      <c r="J3429" s="12" t="s">
        <v>677</v>
      </c>
      <c r="K3429" s="12" t="s">
        <v>68</v>
      </c>
      <c r="L3429" s="12" t="s">
        <v>96</v>
      </c>
      <c r="M3429">
        <v>3.57</v>
      </c>
      <c r="N3429" s="12" t="s">
        <v>159</v>
      </c>
      <c r="O3429" s="12" t="s">
        <v>160</v>
      </c>
      <c r="P3429" s="12" t="s">
        <v>137</v>
      </c>
      <c r="Q3429" s="13">
        <v>45545</v>
      </c>
      <c r="R3429" s="13">
        <v>45558</v>
      </c>
      <c r="S3429">
        <v>2024</v>
      </c>
      <c r="T3429" s="12" t="s">
        <v>4283</v>
      </c>
      <c r="U3429">
        <v>23</v>
      </c>
      <c r="V3429">
        <v>173.64699999999999</v>
      </c>
      <c r="W3429">
        <v>95.77</v>
      </c>
      <c r="X3429">
        <v>0</v>
      </c>
      <c r="Y3429">
        <v>0</v>
      </c>
      <c r="Z3429">
        <v>3993.88</v>
      </c>
      <c r="AA3429">
        <v>4089.65</v>
      </c>
      <c r="AB3429" s="12" t="s">
        <v>3847</v>
      </c>
      <c r="AC3429">
        <v>173.64699999999999</v>
      </c>
      <c r="AD3429">
        <v>1</v>
      </c>
      <c r="AE3429">
        <v>1</v>
      </c>
      <c r="AF3429">
        <v>0</v>
      </c>
      <c r="AG3429">
        <v>3993.88</v>
      </c>
      <c r="AH3429">
        <v>23</v>
      </c>
      <c r="AI3429">
        <v>23</v>
      </c>
      <c r="AJ3429">
        <v>0</v>
      </c>
      <c r="AK3429">
        <v>1</v>
      </c>
      <c r="AL3429">
        <v>1</v>
      </c>
      <c r="AM3429">
        <v>100</v>
      </c>
      <c r="AN3429">
        <v>177.8109</v>
      </c>
      <c r="AO3429">
        <v>0</v>
      </c>
      <c r="AP3429" s="13">
        <v>45565</v>
      </c>
      <c r="AQ3429">
        <v>7</v>
      </c>
      <c r="AR3429">
        <v>0</v>
      </c>
    </row>
    <row r="3430" spans="1:44" x14ac:dyDescent="0.35">
      <c r="A3430" s="12" t="s">
        <v>4344</v>
      </c>
      <c r="B3430" s="12" t="s">
        <v>621</v>
      </c>
      <c r="C3430" s="12" t="s">
        <v>622</v>
      </c>
      <c r="D3430" s="12" t="s">
        <v>103</v>
      </c>
      <c r="E3430" s="12" t="s">
        <v>65</v>
      </c>
      <c r="F3430">
        <v>1</v>
      </c>
      <c r="G3430">
        <v>2</v>
      </c>
      <c r="H3430">
        <v>1</v>
      </c>
      <c r="I3430" s="12" t="s">
        <v>486</v>
      </c>
      <c r="J3430" s="12" t="s">
        <v>487</v>
      </c>
      <c r="K3430" s="12" t="s">
        <v>125</v>
      </c>
      <c r="L3430" s="12" t="s">
        <v>69</v>
      </c>
      <c r="M3430">
        <v>36.86</v>
      </c>
      <c r="N3430" s="12" t="s">
        <v>145</v>
      </c>
      <c r="O3430" s="12" t="s">
        <v>146</v>
      </c>
      <c r="P3430" s="12" t="s">
        <v>109</v>
      </c>
      <c r="Q3430" s="13">
        <v>45545</v>
      </c>
      <c r="R3430" s="13">
        <v>45568</v>
      </c>
      <c r="S3430">
        <v>2024</v>
      </c>
      <c r="T3430" s="12" t="s">
        <v>4283</v>
      </c>
      <c r="U3430">
        <v>26</v>
      </c>
      <c r="V3430">
        <v>201.08609999999999</v>
      </c>
      <c r="W3430">
        <v>87.05</v>
      </c>
      <c r="X3430">
        <v>0</v>
      </c>
      <c r="Y3430">
        <v>0</v>
      </c>
      <c r="Z3430">
        <v>5228.24</v>
      </c>
      <c r="AA3430">
        <v>5315.29</v>
      </c>
      <c r="AB3430" s="12" t="s">
        <v>2658</v>
      </c>
      <c r="AC3430">
        <v>201.08609999999999</v>
      </c>
      <c r="AD3430">
        <v>1</v>
      </c>
      <c r="AE3430">
        <v>1</v>
      </c>
      <c r="AF3430">
        <v>0</v>
      </c>
      <c r="AG3430">
        <v>5228.24</v>
      </c>
      <c r="AH3430">
        <v>26</v>
      </c>
      <c r="AI3430">
        <v>26</v>
      </c>
      <c r="AJ3430">
        <v>0</v>
      </c>
      <c r="AK3430">
        <v>1</v>
      </c>
      <c r="AL3430">
        <v>1</v>
      </c>
      <c r="AM3430">
        <v>100</v>
      </c>
      <c r="AN3430">
        <v>204.4342</v>
      </c>
      <c r="AO3430">
        <v>0</v>
      </c>
      <c r="AP3430" s="13">
        <v>45569</v>
      </c>
      <c r="AQ3430">
        <v>1</v>
      </c>
      <c r="AR3430">
        <v>0</v>
      </c>
    </row>
    <row r="3431" spans="1:44" x14ac:dyDescent="0.35">
      <c r="A3431" s="12" t="s">
        <v>4345</v>
      </c>
      <c r="B3431" s="12" t="s">
        <v>155</v>
      </c>
      <c r="C3431" s="12" t="s">
        <v>156</v>
      </c>
      <c r="D3431" s="12" t="s">
        <v>130</v>
      </c>
      <c r="E3431" s="12" t="s">
        <v>104</v>
      </c>
      <c r="F3431">
        <v>3</v>
      </c>
      <c r="G3431">
        <v>1</v>
      </c>
      <c r="H3431">
        <v>0</v>
      </c>
      <c r="I3431" s="12" t="s">
        <v>157</v>
      </c>
      <c r="J3431" s="12" t="s">
        <v>158</v>
      </c>
      <c r="K3431" s="12" t="s">
        <v>117</v>
      </c>
      <c r="L3431" s="12" t="s">
        <v>96</v>
      </c>
      <c r="M3431">
        <v>4.72</v>
      </c>
      <c r="N3431" s="12" t="s">
        <v>135</v>
      </c>
      <c r="O3431" s="12" t="s">
        <v>136</v>
      </c>
      <c r="P3431" s="12" t="s">
        <v>137</v>
      </c>
      <c r="Q3431" s="13">
        <v>45545</v>
      </c>
      <c r="R3431" s="13">
        <v>45559</v>
      </c>
      <c r="S3431">
        <v>2024</v>
      </c>
      <c r="T3431" s="12" t="s">
        <v>4283</v>
      </c>
      <c r="U3431">
        <v>30</v>
      </c>
      <c r="V3431">
        <v>198.64689999999999</v>
      </c>
      <c r="W3431">
        <v>72.17</v>
      </c>
      <c r="X3431">
        <v>0</v>
      </c>
      <c r="Y3431">
        <v>0</v>
      </c>
      <c r="Z3431">
        <v>5959.41</v>
      </c>
      <c r="AA3431">
        <v>6031.58</v>
      </c>
      <c r="AB3431" s="12" t="s">
        <v>201</v>
      </c>
      <c r="AD3431">
        <v>0</v>
      </c>
      <c r="AE3431">
        <v>0</v>
      </c>
      <c r="AH3431">
        <v>30</v>
      </c>
      <c r="AI3431">
        <v>30</v>
      </c>
      <c r="AJ3431">
        <v>0</v>
      </c>
      <c r="AK3431">
        <v>1</v>
      </c>
      <c r="AL3431">
        <v>1</v>
      </c>
      <c r="AM3431">
        <v>100</v>
      </c>
      <c r="AN3431">
        <v>201.05260000000001</v>
      </c>
      <c r="AO3431">
        <v>0</v>
      </c>
      <c r="AP3431" s="13">
        <v>45559</v>
      </c>
      <c r="AQ3431">
        <v>0</v>
      </c>
      <c r="AR3431">
        <v>1</v>
      </c>
    </row>
    <row r="3432" spans="1:44" x14ac:dyDescent="0.35">
      <c r="A3432" s="12" t="s">
        <v>4346</v>
      </c>
      <c r="B3432" s="12" t="s">
        <v>339</v>
      </c>
      <c r="C3432" s="12" t="s">
        <v>340</v>
      </c>
      <c r="D3432" s="12" t="s">
        <v>103</v>
      </c>
      <c r="E3432" s="12" t="s">
        <v>142</v>
      </c>
      <c r="F3432">
        <v>2</v>
      </c>
      <c r="G3432">
        <v>9</v>
      </c>
      <c r="H3432">
        <v>0</v>
      </c>
      <c r="I3432" s="12" t="s">
        <v>169</v>
      </c>
      <c r="J3432" s="12" t="s">
        <v>170</v>
      </c>
      <c r="K3432" s="12" t="s">
        <v>89</v>
      </c>
      <c r="L3432" s="12" t="s">
        <v>134</v>
      </c>
      <c r="M3432">
        <v>1.37</v>
      </c>
      <c r="N3432" s="12" t="s">
        <v>107</v>
      </c>
      <c r="O3432" s="12" t="s">
        <v>108</v>
      </c>
      <c r="P3432" s="12" t="s">
        <v>109</v>
      </c>
      <c r="Q3432" s="13">
        <v>45545</v>
      </c>
      <c r="R3432" s="13">
        <v>45586</v>
      </c>
      <c r="S3432">
        <v>2024</v>
      </c>
      <c r="T3432" s="12" t="s">
        <v>4283</v>
      </c>
      <c r="U3432">
        <v>59</v>
      </c>
      <c r="V3432">
        <v>243.06290000000001</v>
      </c>
      <c r="W3432">
        <v>228.03</v>
      </c>
      <c r="X3432">
        <v>436.71</v>
      </c>
      <c r="Y3432">
        <v>1</v>
      </c>
      <c r="Z3432">
        <v>14340.71</v>
      </c>
      <c r="AA3432">
        <v>15005.45</v>
      </c>
      <c r="AB3432" s="12" t="s">
        <v>2786</v>
      </c>
      <c r="AC3432">
        <v>243.06290000000001</v>
      </c>
      <c r="AD3432">
        <v>1</v>
      </c>
      <c r="AE3432">
        <v>1</v>
      </c>
      <c r="AF3432">
        <v>0</v>
      </c>
      <c r="AG3432">
        <v>14340.71</v>
      </c>
      <c r="AH3432">
        <v>59</v>
      </c>
      <c r="AI3432">
        <v>59</v>
      </c>
      <c r="AJ3432">
        <v>0</v>
      </c>
      <c r="AK3432">
        <v>1</v>
      </c>
      <c r="AL3432">
        <v>1</v>
      </c>
      <c r="AM3432">
        <v>100</v>
      </c>
      <c r="AN3432">
        <v>254.3297</v>
      </c>
      <c r="AO3432">
        <v>0</v>
      </c>
      <c r="AP3432" s="13">
        <v>45586</v>
      </c>
      <c r="AQ3432">
        <v>0</v>
      </c>
      <c r="AR3432">
        <v>1</v>
      </c>
    </row>
    <row r="3433" spans="1:44" x14ac:dyDescent="0.35">
      <c r="A3433" s="12" t="s">
        <v>4347</v>
      </c>
      <c r="B3433" s="12" t="s">
        <v>207</v>
      </c>
      <c r="C3433" s="12" t="s">
        <v>208</v>
      </c>
      <c r="D3433" s="12" t="s">
        <v>78</v>
      </c>
      <c r="E3433" s="12" t="s">
        <v>65</v>
      </c>
      <c r="F3433">
        <v>2</v>
      </c>
      <c r="G3433">
        <v>3</v>
      </c>
      <c r="H3433">
        <v>0</v>
      </c>
      <c r="I3433" s="12" t="s">
        <v>209</v>
      </c>
      <c r="J3433" s="12" t="s">
        <v>210</v>
      </c>
      <c r="K3433" s="12" t="s">
        <v>133</v>
      </c>
      <c r="L3433" s="12" t="s">
        <v>96</v>
      </c>
      <c r="M3433">
        <v>7.82</v>
      </c>
      <c r="N3433" s="12" t="s">
        <v>97</v>
      </c>
      <c r="O3433" s="12" t="s">
        <v>98</v>
      </c>
      <c r="P3433" s="12" t="s">
        <v>72</v>
      </c>
      <c r="Q3433" s="13">
        <v>45545</v>
      </c>
      <c r="R3433" s="13">
        <v>45581</v>
      </c>
      <c r="S3433">
        <v>2024</v>
      </c>
      <c r="T3433" s="12" t="s">
        <v>4283</v>
      </c>
      <c r="U3433">
        <v>264</v>
      </c>
      <c r="V3433">
        <v>148.61590000000001</v>
      </c>
      <c r="W3433">
        <v>787.92</v>
      </c>
      <c r="X3433">
        <v>0</v>
      </c>
      <c r="Y3433">
        <v>0</v>
      </c>
      <c r="Z3433">
        <v>39234.6</v>
      </c>
      <c r="AA3433">
        <v>40022.519999999997</v>
      </c>
      <c r="AB3433" s="12" t="s">
        <v>2832</v>
      </c>
      <c r="AC3433">
        <v>148.61590000000001</v>
      </c>
      <c r="AD3433">
        <v>1</v>
      </c>
      <c r="AE3433">
        <v>1</v>
      </c>
      <c r="AF3433">
        <v>0</v>
      </c>
      <c r="AG3433">
        <v>39234.6</v>
      </c>
      <c r="AH3433">
        <v>264</v>
      </c>
      <c r="AI3433">
        <v>258</v>
      </c>
      <c r="AJ3433">
        <v>6</v>
      </c>
      <c r="AK3433">
        <v>1</v>
      </c>
      <c r="AL3433">
        <v>1</v>
      </c>
      <c r="AM3433">
        <v>97.73</v>
      </c>
      <c r="AN3433">
        <v>155.126</v>
      </c>
      <c r="AO3433">
        <v>891.7</v>
      </c>
      <c r="AP3433" s="13">
        <v>45581</v>
      </c>
      <c r="AQ3433">
        <v>0</v>
      </c>
      <c r="AR3433">
        <v>1</v>
      </c>
    </row>
    <row r="3434" spans="1:44" x14ac:dyDescent="0.35">
      <c r="A3434" s="12" t="s">
        <v>4348</v>
      </c>
      <c r="B3434" s="12" t="s">
        <v>231</v>
      </c>
      <c r="C3434" s="12" t="s">
        <v>232</v>
      </c>
      <c r="D3434" s="12" t="s">
        <v>130</v>
      </c>
      <c r="E3434" s="12" t="s">
        <v>65</v>
      </c>
      <c r="F3434">
        <v>1</v>
      </c>
      <c r="G3434">
        <v>2</v>
      </c>
      <c r="H3434">
        <v>1</v>
      </c>
      <c r="I3434" s="12" t="s">
        <v>233</v>
      </c>
      <c r="J3434" s="12" t="s">
        <v>234</v>
      </c>
      <c r="K3434" s="12" t="s">
        <v>125</v>
      </c>
      <c r="L3434" s="12" t="s">
        <v>96</v>
      </c>
      <c r="M3434">
        <v>3.73</v>
      </c>
      <c r="N3434" s="12" t="s">
        <v>159</v>
      </c>
      <c r="O3434" s="12" t="s">
        <v>160</v>
      </c>
      <c r="P3434" s="12" t="s">
        <v>137</v>
      </c>
      <c r="Q3434" s="13">
        <v>45545</v>
      </c>
      <c r="R3434" s="13">
        <v>45582</v>
      </c>
      <c r="S3434">
        <v>2024</v>
      </c>
      <c r="T3434" s="12" t="s">
        <v>4283</v>
      </c>
      <c r="U3434">
        <v>137</v>
      </c>
      <c r="V3434">
        <v>471.56</v>
      </c>
      <c r="W3434">
        <v>1236.1099999999999</v>
      </c>
      <c r="X3434">
        <v>0</v>
      </c>
      <c r="Y3434">
        <v>0</v>
      </c>
      <c r="Z3434">
        <v>64603.72</v>
      </c>
      <c r="AA3434">
        <v>65839.83</v>
      </c>
      <c r="AB3434" s="12" t="s">
        <v>201</v>
      </c>
      <c r="AD3434">
        <v>0</v>
      </c>
      <c r="AE3434">
        <v>0</v>
      </c>
      <c r="AH3434">
        <v>137</v>
      </c>
      <c r="AI3434">
        <v>135</v>
      </c>
      <c r="AJ3434">
        <v>2</v>
      </c>
      <c r="AK3434">
        <v>1</v>
      </c>
      <c r="AL3434">
        <v>1</v>
      </c>
      <c r="AM3434">
        <v>98.54</v>
      </c>
      <c r="AN3434">
        <v>487.70240000000001</v>
      </c>
      <c r="AO3434">
        <v>943.12</v>
      </c>
      <c r="AP3434" s="13">
        <v>45579</v>
      </c>
      <c r="AQ3434">
        <v>-3</v>
      </c>
      <c r="AR3434">
        <v>1</v>
      </c>
    </row>
    <row r="3435" spans="1:44" x14ac:dyDescent="0.35">
      <c r="A3435" s="12" t="s">
        <v>4349</v>
      </c>
      <c r="B3435" s="12" t="s">
        <v>1026</v>
      </c>
      <c r="C3435" s="12" t="s">
        <v>1027</v>
      </c>
      <c r="D3435" s="12" t="s">
        <v>122</v>
      </c>
      <c r="E3435" s="12" t="s">
        <v>104</v>
      </c>
      <c r="F3435">
        <v>3</v>
      </c>
      <c r="G3435">
        <v>1</v>
      </c>
      <c r="H3435">
        <v>0</v>
      </c>
      <c r="I3435" s="12" t="s">
        <v>183</v>
      </c>
      <c r="J3435" s="12" t="s">
        <v>184</v>
      </c>
      <c r="K3435" s="12" t="s">
        <v>133</v>
      </c>
      <c r="L3435" s="12" t="s">
        <v>82</v>
      </c>
      <c r="M3435">
        <v>8.6199999999999992</v>
      </c>
      <c r="N3435" s="12" t="s">
        <v>97</v>
      </c>
      <c r="O3435" s="12" t="s">
        <v>98</v>
      </c>
      <c r="P3435" s="12" t="s">
        <v>72</v>
      </c>
      <c r="Q3435" s="13">
        <v>45545</v>
      </c>
      <c r="R3435" s="13">
        <v>45574</v>
      </c>
      <c r="S3435">
        <v>2024</v>
      </c>
      <c r="T3435" s="12" t="s">
        <v>4283</v>
      </c>
      <c r="U3435">
        <v>1952</v>
      </c>
      <c r="V3435">
        <v>40.107799999999997</v>
      </c>
      <c r="W3435">
        <v>754.7</v>
      </c>
      <c r="X3435">
        <v>0</v>
      </c>
      <c r="Y3435">
        <v>0</v>
      </c>
      <c r="Z3435">
        <v>78290.429999999993</v>
      </c>
      <c r="AA3435">
        <v>79045.13</v>
      </c>
      <c r="AB3435" s="12" t="s">
        <v>3447</v>
      </c>
      <c r="AC3435">
        <v>41.511600000000001</v>
      </c>
      <c r="AD3435">
        <v>2</v>
      </c>
      <c r="AE3435">
        <v>1</v>
      </c>
      <c r="AF3435">
        <v>-2740.22</v>
      </c>
      <c r="AG3435">
        <v>81030.64</v>
      </c>
      <c r="AH3435">
        <v>1952</v>
      </c>
      <c r="AI3435">
        <v>1944</v>
      </c>
      <c r="AJ3435">
        <v>8</v>
      </c>
      <c r="AK3435">
        <v>1</v>
      </c>
      <c r="AL3435">
        <v>1</v>
      </c>
      <c r="AM3435">
        <v>99.59</v>
      </c>
      <c r="AN3435">
        <v>40.661099999999998</v>
      </c>
      <c r="AO3435">
        <v>320.86</v>
      </c>
      <c r="AP3435" s="13">
        <v>45574</v>
      </c>
      <c r="AQ3435">
        <v>0</v>
      </c>
      <c r="AR3435">
        <v>1</v>
      </c>
    </row>
    <row r="3436" spans="1:44" x14ac:dyDescent="0.35">
      <c r="A3436" s="12" t="s">
        <v>4350</v>
      </c>
      <c r="B3436" s="12" t="s">
        <v>1026</v>
      </c>
      <c r="C3436" s="12" t="s">
        <v>1027</v>
      </c>
      <c r="D3436" s="12" t="s">
        <v>122</v>
      </c>
      <c r="E3436" s="12" t="s">
        <v>104</v>
      </c>
      <c r="F3436">
        <v>3</v>
      </c>
      <c r="G3436">
        <v>1</v>
      </c>
      <c r="H3436">
        <v>0</v>
      </c>
      <c r="I3436" s="12" t="s">
        <v>604</v>
      </c>
      <c r="J3436" s="12" t="s">
        <v>605</v>
      </c>
      <c r="K3436" s="12" t="s">
        <v>68</v>
      </c>
      <c r="L3436" s="12" t="s">
        <v>82</v>
      </c>
      <c r="M3436">
        <v>7.24</v>
      </c>
      <c r="N3436" s="12" t="s">
        <v>97</v>
      </c>
      <c r="O3436" s="12" t="s">
        <v>98</v>
      </c>
      <c r="P3436" s="12" t="s">
        <v>72</v>
      </c>
      <c r="Q3436" s="13">
        <v>45545</v>
      </c>
      <c r="R3436" s="13">
        <v>45573</v>
      </c>
      <c r="S3436">
        <v>2024</v>
      </c>
      <c r="T3436" s="12" t="s">
        <v>4283</v>
      </c>
      <c r="U3436">
        <v>1896</v>
      </c>
      <c r="V3436">
        <v>41.213299999999997</v>
      </c>
      <c r="W3436">
        <v>1800</v>
      </c>
      <c r="X3436">
        <v>0</v>
      </c>
      <c r="Y3436">
        <v>0</v>
      </c>
      <c r="Z3436">
        <v>78140.42</v>
      </c>
      <c r="AA3436">
        <v>79940.42</v>
      </c>
      <c r="AB3436" s="12" t="s">
        <v>3786</v>
      </c>
      <c r="AC3436">
        <v>41.213299999999997</v>
      </c>
      <c r="AD3436">
        <v>1</v>
      </c>
      <c r="AE3436">
        <v>1</v>
      </c>
      <c r="AF3436">
        <v>0</v>
      </c>
      <c r="AG3436">
        <v>78140.42</v>
      </c>
      <c r="AH3436">
        <v>1896</v>
      </c>
      <c r="AI3436">
        <v>1887</v>
      </c>
      <c r="AJ3436">
        <v>9</v>
      </c>
      <c r="AK3436">
        <v>1</v>
      </c>
      <c r="AL3436">
        <v>1</v>
      </c>
      <c r="AM3436">
        <v>99.53</v>
      </c>
      <c r="AN3436">
        <v>42.363799999999998</v>
      </c>
      <c r="AO3436">
        <v>370.92</v>
      </c>
      <c r="AP3436" s="13">
        <v>45572</v>
      </c>
      <c r="AQ3436">
        <v>-1</v>
      </c>
      <c r="AR3436">
        <v>1</v>
      </c>
    </row>
    <row r="3437" spans="1:44" x14ac:dyDescent="0.35">
      <c r="A3437" s="12" t="s">
        <v>4351</v>
      </c>
      <c r="B3437" s="12" t="s">
        <v>433</v>
      </c>
      <c r="C3437" s="12" t="s">
        <v>434</v>
      </c>
      <c r="D3437" s="12" t="s">
        <v>78</v>
      </c>
      <c r="E3437" s="12" t="s">
        <v>65</v>
      </c>
      <c r="F3437">
        <v>2</v>
      </c>
      <c r="G3437">
        <v>4</v>
      </c>
      <c r="H3437">
        <v>0</v>
      </c>
      <c r="I3437" s="12" t="s">
        <v>105</v>
      </c>
      <c r="J3437" s="12" t="s">
        <v>106</v>
      </c>
      <c r="K3437" s="12" t="s">
        <v>81</v>
      </c>
      <c r="L3437" s="12" t="s">
        <v>96</v>
      </c>
      <c r="M3437">
        <v>5.01</v>
      </c>
      <c r="N3437" s="12" t="s">
        <v>70</v>
      </c>
      <c r="O3437" s="12" t="s">
        <v>71</v>
      </c>
      <c r="P3437" s="12" t="s">
        <v>72</v>
      </c>
      <c r="Q3437" s="13">
        <v>45545</v>
      </c>
      <c r="R3437" s="13">
        <v>45569</v>
      </c>
      <c r="S3437">
        <v>2024</v>
      </c>
      <c r="T3437" s="12" t="s">
        <v>4283</v>
      </c>
      <c r="U3437">
        <v>84</v>
      </c>
      <c r="V3437">
        <v>72.364500000000007</v>
      </c>
      <c r="W3437">
        <v>44.01</v>
      </c>
      <c r="X3437">
        <v>0</v>
      </c>
      <c r="Y3437">
        <v>0</v>
      </c>
      <c r="Z3437">
        <v>6078.62</v>
      </c>
      <c r="AA3437">
        <v>6122.63</v>
      </c>
      <c r="AB3437" s="12" t="s">
        <v>2930</v>
      </c>
      <c r="AC3437">
        <v>72.364500000000007</v>
      </c>
      <c r="AD3437">
        <v>1</v>
      </c>
      <c r="AE3437">
        <v>1</v>
      </c>
      <c r="AF3437">
        <v>0</v>
      </c>
      <c r="AG3437">
        <v>6078.62</v>
      </c>
      <c r="AH3437">
        <v>84</v>
      </c>
      <c r="AI3437">
        <v>84</v>
      </c>
      <c r="AJ3437">
        <v>0</v>
      </c>
      <c r="AK3437">
        <v>1</v>
      </c>
      <c r="AL3437">
        <v>1</v>
      </c>
      <c r="AM3437">
        <v>100</v>
      </c>
      <c r="AN3437">
        <v>72.888400000000004</v>
      </c>
      <c r="AO3437">
        <v>0</v>
      </c>
      <c r="AP3437" s="13">
        <v>45576</v>
      </c>
      <c r="AQ3437">
        <v>7</v>
      </c>
      <c r="AR3437">
        <v>0</v>
      </c>
    </row>
    <row r="3438" spans="1:44" x14ac:dyDescent="0.35">
      <c r="A3438" s="12" t="s">
        <v>4352</v>
      </c>
      <c r="B3438" s="12" t="s">
        <v>694</v>
      </c>
      <c r="C3438" s="12" t="s">
        <v>695</v>
      </c>
      <c r="D3438" s="12" t="s">
        <v>103</v>
      </c>
      <c r="E3438" s="12" t="s">
        <v>65</v>
      </c>
      <c r="F3438">
        <v>2</v>
      </c>
      <c r="G3438">
        <v>3</v>
      </c>
      <c r="H3438">
        <v>0</v>
      </c>
      <c r="I3438" s="12" t="s">
        <v>263</v>
      </c>
      <c r="J3438" s="12" t="s">
        <v>264</v>
      </c>
      <c r="K3438" s="12" t="s">
        <v>125</v>
      </c>
      <c r="L3438" s="12" t="s">
        <v>82</v>
      </c>
      <c r="M3438">
        <v>10.210000000000001</v>
      </c>
      <c r="N3438" s="12" t="s">
        <v>145</v>
      </c>
      <c r="O3438" s="12" t="s">
        <v>146</v>
      </c>
      <c r="P3438" s="12" t="s">
        <v>109</v>
      </c>
      <c r="Q3438" s="13">
        <v>45546</v>
      </c>
      <c r="R3438" s="13">
        <v>45575</v>
      </c>
      <c r="S3438">
        <v>2024</v>
      </c>
      <c r="T3438" s="12" t="s">
        <v>4283</v>
      </c>
      <c r="U3438">
        <v>73</v>
      </c>
      <c r="V3438">
        <v>211.1463</v>
      </c>
      <c r="W3438">
        <v>336.15</v>
      </c>
      <c r="X3438">
        <v>0</v>
      </c>
      <c r="Y3438">
        <v>0</v>
      </c>
      <c r="Z3438">
        <v>15413.68</v>
      </c>
      <c r="AA3438">
        <v>15749.83</v>
      </c>
      <c r="AB3438" s="12" t="s">
        <v>3377</v>
      </c>
      <c r="AC3438">
        <v>211.1463</v>
      </c>
      <c r="AD3438">
        <v>1</v>
      </c>
      <c r="AE3438">
        <v>1</v>
      </c>
      <c r="AF3438">
        <v>0</v>
      </c>
      <c r="AG3438">
        <v>15413.68</v>
      </c>
      <c r="AH3438">
        <v>73</v>
      </c>
      <c r="AI3438">
        <v>73</v>
      </c>
      <c r="AJ3438">
        <v>0</v>
      </c>
      <c r="AK3438">
        <v>1</v>
      </c>
      <c r="AL3438">
        <v>1</v>
      </c>
      <c r="AM3438">
        <v>100</v>
      </c>
      <c r="AN3438">
        <v>215.75110000000001</v>
      </c>
      <c r="AO3438">
        <v>0</v>
      </c>
      <c r="AP3438" s="13">
        <v>45573</v>
      </c>
      <c r="AQ3438">
        <v>-2</v>
      </c>
      <c r="AR3438">
        <v>1</v>
      </c>
    </row>
    <row r="3439" spans="1:44" x14ac:dyDescent="0.35">
      <c r="A3439" s="12" t="s">
        <v>4353</v>
      </c>
      <c r="B3439" s="12" t="s">
        <v>685</v>
      </c>
      <c r="C3439" s="12" t="s">
        <v>686</v>
      </c>
      <c r="D3439" s="12" t="s">
        <v>175</v>
      </c>
      <c r="E3439" s="12" t="s">
        <v>104</v>
      </c>
      <c r="F3439">
        <v>2</v>
      </c>
      <c r="G3439">
        <v>0</v>
      </c>
      <c r="H3439">
        <v>0</v>
      </c>
      <c r="I3439" s="12" t="s">
        <v>243</v>
      </c>
      <c r="J3439" s="12" t="s">
        <v>244</v>
      </c>
      <c r="K3439" s="12" t="s">
        <v>81</v>
      </c>
      <c r="L3439" s="12" t="s">
        <v>82</v>
      </c>
      <c r="M3439">
        <v>9.2200000000000006</v>
      </c>
      <c r="N3439" s="12" t="s">
        <v>107</v>
      </c>
      <c r="O3439" s="12" t="s">
        <v>108</v>
      </c>
      <c r="P3439" s="12" t="s">
        <v>109</v>
      </c>
      <c r="Q3439" s="13">
        <v>45546</v>
      </c>
      <c r="R3439" s="13">
        <v>45562</v>
      </c>
      <c r="S3439">
        <v>2024</v>
      </c>
      <c r="T3439" s="12" t="s">
        <v>4283</v>
      </c>
      <c r="U3439">
        <v>41</v>
      </c>
      <c r="V3439">
        <v>237.94159999999999</v>
      </c>
      <c r="W3439">
        <v>156.77000000000001</v>
      </c>
      <c r="X3439">
        <v>0</v>
      </c>
      <c r="Y3439">
        <v>0</v>
      </c>
      <c r="Z3439">
        <v>9755.61</v>
      </c>
      <c r="AA3439">
        <v>9912.3799999999992</v>
      </c>
      <c r="AB3439" s="12" t="s">
        <v>201</v>
      </c>
      <c r="AD3439">
        <v>0</v>
      </c>
      <c r="AE3439">
        <v>0</v>
      </c>
      <c r="AH3439">
        <v>41</v>
      </c>
      <c r="AI3439">
        <v>40</v>
      </c>
      <c r="AJ3439">
        <v>1</v>
      </c>
      <c r="AK3439">
        <v>1</v>
      </c>
      <c r="AL3439">
        <v>1</v>
      </c>
      <c r="AM3439">
        <v>97.56</v>
      </c>
      <c r="AN3439">
        <v>247.80940000000001</v>
      </c>
      <c r="AO3439">
        <v>237.94</v>
      </c>
      <c r="AP3439" s="13">
        <v>45560</v>
      </c>
      <c r="AQ3439">
        <v>-2</v>
      </c>
      <c r="AR3439">
        <v>1</v>
      </c>
    </row>
    <row r="3440" spans="1:44" x14ac:dyDescent="0.35">
      <c r="A3440" s="12" t="s">
        <v>4354</v>
      </c>
      <c r="B3440" s="12" t="s">
        <v>451</v>
      </c>
      <c r="C3440" s="12" t="s">
        <v>452</v>
      </c>
      <c r="D3440" s="12" t="s">
        <v>175</v>
      </c>
      <c r="E3440" s="12" t="s">
        <v>104</v>
      </c>
      <c r="F3440">
        <v>3</v>
      </c>
      <c r="G3440">
        <v>1</v>
      </c>
      <c r="H3440">
        <v>0</v>
      </c>
      <c r="I3440" s="12" t="s">
        <v>359</v>
      </c>
      <c r="J3440" s="12" t="s">
        <v>360</v>
      </c>
      <c r="K3440" s="12" t="s">
        <v>133</v>
      </c>
      <c r="L3440" s="12" t="s">
        <v>82</v>
      </c>
      <c r="M3440">
        <v>12.65</v>
      </c>
      <c r="N3440" s="12" t="s">
        <v>107</v>
      </c>
      <c r="O3440" s="12" t="s">
        <v>108</v>
      </c>
      <c r="P3440" s="12" t="s">
        <v>109</v>
      </c>
      <c r="Q3440" s="13">
        <v>45546</v>
      </c>
      <c r="R3440" s="13">
        <v>45565</v>
      </c>
      <c r="S3440">
        <v>2024</v>
      </c>
      <c r="T3440" s="12" t="s">
        <v>4283</v>
      </c>
      <c r="U3440">
        <v>68</v>
      </c>
      <c r="V3440">
        <v>234.84710000000001</v>
      </c>
      <c r="W3440">
        <v>221.72</v>
      </c>
      <c r="X3440">
        <v>0</v>
      </c>
      <c r="Y3440">
        <v>0</v>
      </c>
      <c r="Z3440">
        <v>15969.6</v>
      </c>
      <c r="AA3440">
        <v>16191.32</v>
      </c>
      <c r="AB3440" s="12" t="s">
        <v>2947</v>
      </c>
      <c r="AC3440">
        <v>234.84710000000001</v>
      </c>
      <c r="AD3440">
        <v>1</v>
      </c>
      <c r="AE3440">
        <v>1</v>
      </c>
      <c r="AF3440">
        <v>0</v>
      </c>
      <c r="AG3440">
        <v>15969.6</v>
      </c>
      <c r="AH3440">
        <v>68</v>
      </c>
      <c r="AI3440">
        <v>68</v>
      </c>
      <c r="AJ3440">
        <v>0</v>
      </c>
      <c r="AK3440">
        <v>1</v>
      </c>
      <c r="AL3440">
        <v>1</v>
      </c>
      <c r="AM3440">
        <v>100</v>
      </c>
      <c r="AN3440">
        <v>238.10769999999999</v>
      </c>
      <c r="AO3440">
        <v>0</v>
      </c>
      <c r="AP3440" s="13">
        <v>45563</v>
      </c>
      <c r="AQ3440">
        <v>-2</v>
      </c>
      <c r="AR3440">
        <v>1</v>
      </c>
    </row>
    <row r="3441" spans="1:44" x14ac:dyDescent="0.35">
      <c r="A3441" s="12" t="s">
        <v>4355</v>
      </c>
      <c r="B3441" s="12" t="s">
        <v>990</v>
      </c>
      <c r="C3441" s="12" t="s">
        <v>991</v>
      </c>
      <c r="D3441" s="12" t="s">
        <v>122</v>
      </c>
      <c r="E3441" s="12" t="s">
        <v>142</v>
      </c>
      <c r="F3441">
        <v>1</v>
      </c>
      <c r="G3441">
        <v>6</v>
      </c>
      <c r="H3441">
        <v>1</v>
      </c>
      <c r="I3441" s="12" t="s">
        <v>217</v>
      </c>
      <c r="J3441" s="12" t="s">
        <v>218</v>
      </c>
      <c r="K3441" s="12" t="s">
        <v>68</v>
      </c>
      <c r="L3441" s="12" t="s">
        <v>82</v>
      </c>
      <c r="M3441">
        <v>14.24</v>
      </c>
      <c r="N3441" s="12" t="s">
        <v>70</v>
      </c>
      <c r="O3441" s="12" t="s">
        <v>71</v>
      </c>
      <c r="P3441" s="12" t="s">
        <v>72</v>
      </c>
      <c r="Q3441" s="13">
        <v>45546</v>
      </c>
      <c r="R3441" s="13">
        <v>45598</v>
      </c>
      <c r="S3441">
        <v>2024</v>
      </c>
      <c r="T3441" s="12" t="s">
        <v>4283</v>
      </c>
      <c r="U3441">
        <v>1915</v>
      </c>
      <c r="V3441">
        <v>33.6252</v>
      </c>
      <c r="W3441">
        <v>1189.51</v>
      </c>
      <c r="X3441">
        <v>0</v>
      </c>
      <c r="Y3441">
        <v>0</v>
      </c>
      <c r="Z3441">
        <v>64392.26</v>
      </c>
      <c r="AA3441">
        <v>65581.77</v>
      </c>
      <c r="AB3441" s="12" t="s">
        <v>3368</v>
      </c>
      <c r="AC3441">
        <v>33.6252</v>
      </c>
      <c r="AD3441">
        <v>1</v>
      </c>
      <c r="AE3441">
        <v>1</v>
      </c>
      <c r="AF3441">
        <v>0</v>
      </c>
      <c r="AG3441">
        <v>64392.26</v>
      </c>
      <c r="AH3441">
        <v>1915</v>
      </c>
      <c r="AI3441">
        <v>1901</v>
      </c>
      <c r="AJ3441">
        <v>14</v>
      </c>
      <c r="AK3441">
        <v>1</v>
      </c>
      <c r="AL3441">
        <v>1</v>
      </c>
      <c r="AM3441">
        <v>99.27</v>
      </c>
      <c r="AN3441">
        <v>34.498600000000003</v>
      </c>
      <c r="AO3441">
        <v>470.75</v>
      </c>
      <c r="AP3441" s="13">
        <v>45596</v>
      </c>
      <c r="AQ3441">
        <v>-2</v>
      </c>
      <c r="AR3441">
        <v>1</v>
      </c>
    </row>
    <row r="3442" spans="1:44" x14ac:dyDescent="0.35">
      <c r="A3442" s="12" t="s">
        <v>4356</v>
      </c>
      <c r="B3442" s="12" t="s">
        <v>809</v>
      </c>
      <c r="C3442" s="12" t="s">
        <v>810</v>
      </c>
      <c r="D3442" s="12" t="s">
        <v>114</v>
      </c>
      <c r="E3442" s="12" t="s">
        <v>65</v>
      </c>
      <c r="F3442">
        <v>3</v>
      </c>
      <c r="G3442">
        <v>5</v>
      </c>
      <c r="H3442">
        <v>0</v>
      </c>
      <c r="I3442" s="12" t="s">
        <v>804</v>
      </c>
      <c r="J3442" s="12" t="s">
        <v>342</v>
      </c>
      <c r="K3442" s="12" t="s">
        <v>117</v>
      </c>
      <c r="L3442" s="12" t="s">
        <v>69</v>
      </c>
      <c r="M3442">
        <v>30.07</v>
      </c>
      <c r="N3442" s="12" t="s">
        <v>70</v>
      </c>
      <c r="O3442" s="12" t="s">
        <v>71</v>
      </c>
      <c r="P3442" s="12" t="s">
        <v>72</v>
      </c>
      <c r="Q3442" s="13">
        <v>45546</v>
      </c>
      <c r="R3442" s="13">
        <v>45583</v>
      </c>
      <c r="S3442">
        <v>2024</v>
      </c>
      <c r="T3442" s="12" t="s">
        <v>4283</v>
      </c>
      <c r="U3442">
        <v>135</v>
      </c>
      <c r="V3442">
        <v>312.78919999999999</v>
      </c>
      <c r="W3442">
        <v>563.73</v>
      </c>
      <c r="X3442">
        <v>0</v>
      </c>
      <c r="Y3442">
        <v>0</v>
      </c>
      <c r="Z3442">
        <v>42226.54</v>
      </c>
      <c r="AA3442">
        <v>42790.27</v>
      </c>
      <c r="AB3442" s="12" t="s">
        <v>3416</v>
      </c>
      <c r="AC3442">
        <v>312.78919999999999</v>
      </c>
      <c r="AD3442">
        <v>1</v>
      </c>
      <c r="AE3442">
        <v>1</v>
      </c>
      <c r="AF3442">
        <v>0</v>
      </c>
      <c r="AG3442">
        <v>42226.54</v>
      </c>
      <c r="AH3442">
        <v>135</v>
      </c>
      <c r="AI3442">
        <v>133</v>
      </c>
      <c r="AJ3442">
        <v>2</v>
      </c>
      <c r="AK3442">
        <v>1</v>
      </c>
      <c r="AL3442">
        <v>1</v>
      </c>
      <c r="AM3442">
        <v>98.52</v>
      </c>
      <c r="AN3442">
        <v>321.73140000000001</v>
      </c>
      <c r="AO3442">
        <v>625.58000000000004</v>
      </c>
      <c r="AP3442" s="13">
        <v>45583</v>
      </c>
      <c r="AQ3442">
        <v>0</v>
      </c>
      <c r="AR3442">
        <v>1</v>
      </c>
    </row>
    <row r="3443" spans="1:44" x14ac:dyDescent="0.35">
      <c r="A3443" s="12" t="s">
        <v>4357</v>
      </c>
      <c r="B3443" s="12" t="s">
        <v>92</v>
      </c>
      <c r="C3443" s="12" t="s">
        <v>93</v>
      </c>
      <c r="D3443" s="12" t="s">
        <v>64</v>
      </c>
      <c r="E3443" s="12" t="s">
        <v>65</v>
      </c>
      <c r="F3443">
        <v>3</v>
      </c>
      <c r="G3443">
        <v>5</v>
      </c>
      <c r="H3443">
        <v>0</v>
      </c>
      <c r="I3443" s="12" t="s">
        <v>176</v>
      </c>
      <c r="J3443" s="12" t="s">
        <v>177</v>
      </c>
      <c r="K3443" s="12" t="s">
        <v>125</v>
      </c>
      <c r="L3443" s="12" t="s">
        <v>134</v>
      </c>
      <c r="M3443">
        <v>1.75</v>
      </c>
      <c r="N3443" s="12" t="s">
        <v>97</v>
      </c>
      <c r="O3443" s="12" t="s">
        <v>98</v>
      </c>
      <c r="P3443" s="12" t="s">
        <v>72</v>
      </c>
      <c r="Q3443" s="13">
        <v>45546</v>
      </c>
      <c r="R3443" s="13">
        <v>45571</v>
      </c>
      <c r="S3443">
        <v>2024</v>
      </c>
      <c r="T3443" s="12" t="s">
        <v>4283</v>
      </c>
      <c r="U3443">
        <v>330</v>
      </c>
      <c r="V3443">
        <v>25.9666</v>
      </c>
      <c r="W3443">
        <v>113.41</v>
      </c>
      <c r="X3443">
        <v>0</v>
      </c>
      <c r="Y3443">
        <v>0</v>
      </c>
      <c r="Z3443">
        <v>8568.98</v>
      </c>
      <c r="AA3443">
        <v>8682.39</v>
      </c>
      <c r="AB3443" s="12" t="s">
        <v>201</v>
      </c>
      <c r="AD3443">
        <v>0</v>
      </c>
      <c r="AE3443">
        <v>0</v>
      </c>
      <c r="AH3443">
        <v>330</v>
      </c>
      <c r="AI3443">
        <v>326</v>
      </c>
      <c r="AJ3443">
        <v>4</v>
      </c>
      <c r="AK3443">
        <v>1</v>
      </c>
      <c r="AL3443">
        <v>1</v>
      </c>
      <c r="AM3443">
        <v>98.79</v>
      </c>
      <c r="AN3443">
        <v>26.633099999999999</v>
      </c>
      <c r="AO3443">
        <v>103.87</v>
      </c>
      <c r="AP3443" s="13">
        <v>45575</v>
      </c>
      <c r="AQ3443">
        <v>4</v>
      </c>
      <c r="AR3443">
        <v>0</v>
      </c>
    </row>
    <row r="3444" spans="1:44" x14ac:dyDescent="0.35">
      <c r="A3444" s="12" t="s">
        <v>4358</v>
      </c>
      <c r="B3444" s="12" t="s">
        <v>957</v>
      </c>
      <c r="C3444" s="12" t="s">
        <v>958</v>
      </c>
      <c r="D3444" s="12" t="s">
        <v>103</v>
      </c>
      <c r="E3444" s="12" t="s">
        <v>142</v>
      </c>
      <c r="F3444">
        <v>1</v>
      </c>
      <c r="G3444">
        <v>7</v>
      </c>
      <c r="H3444">
        <v>1</v>
      </c>
      <c r="I3444" s="12" t="s">
        <v>183</v>
      </c>
      <c r="J3444" s="12" t="s">
        <v>184</v>
      </c>
      <c r="K3444" s="12" t="s">
        <v>133</v>
      </c>
      <c r="L3444" s="12" t="s">
        <v>82</v>
      </c>
      <c r="M3444">
        <v>8.6199999999999992</v>
      </c>
      <c r="N3444" s="12" t="s">
        <v>107</v>
      </c>
      <c r="O3444" s="12" t="s">
        <v>108</v>
      </c>
      <c r="P3444" s="12" t="s">
        <v>109</v>
      </c>
      <c r="Q3444" s="13">
        <v>45546</v>
      </c>
      <c r="R3444" s="13">
        <v>45581</v>
      </c>
      <c r="S3444">
        <v>2024</v>
      </c>
      <c r="T3444" s="12" t="s">
        <v>4283</v>
      </c>
      <c r="U3444">
        <v>10</v>
      </c>
      <c r="V3444">
        <v>193.65539999999999</v>
      </c>
      <c r="W3444">
        <v>29.76</v>
      </c>
      <c r="X3444">
        <v>0</v>
      </c>
      <c r="Y3444">
        <v>0</v>
      </c>
      <c r="Z3444">
        <v>1936.55</v>
      </c>
      <c r="AA3444">
        <v>1966.31</v>
      </c>
      <c r="AB3444" s="12" t="s">
        <v>3249</v>
      </c>
      <c r="AC3444">
        <v>193.65539999999999</v>
      </c>
      <c r="AD3444">
        <v>1</v>
      </c>
      <c r="AE3444">
        <v>1</v>
      </c>
      <c r="AF3444">
        <v>0</v>
      </c>
      <c r="AG3444">
        <v>1936.55</v>
      </c>
      <c r="AH3444">
        <v>10</v>
      </c>
      <c r="AI3444">
        <v>10</v>
      </c>
      <c r="AJ3444">
        <v>0</v>
      </c>
      <c r="AK3444">
        <v>1</v>
      </c>
      <c r="AL3444">
        <v>1</v>
      </c>
      <c r="AM3444">
        <v>100</v>
      </c>
      <c r="AN3444">
        <v>196.63140000000001</v>
      </c>
      <c r="AO3444">
        <v>0</v>
      </c>
      <c r="AP3444" s="13">
        <v>45579</v>
      </c>
      <c r="AQ3444">
        <v>-2</v>
      </c>
      <c r="AR3444">
        <v>1</v>
      </c>
    </row>
    <row r="3445" spans="1:44" x14ac:dyDescent="0.35">
      <c r="A3445" s="12" t="s">
        <v>4359</v>
      </c>
      <c r="B3445" s="12" t="s">
        <v>1179</v>
      </c>
      <c r="C3445" s="12" t="s">
        <v>1180</v>
      </c>
      <c r="D3445" s="12" t="s">
        <v>122</v>
      </c>
      <c r="E3445" s="12" t="s">
        <v>142</v>
      </c>
      <c r="F3445">
        <v>1</v>
      </c>
      <c r="G3445">
        <v>8</v>
      </c>
      <c r="H3445">
        <v>1</v>
      </c>
      <c r="I3445" s="12" t="s">
        <v>143</v>
      </c>
      <c r="J3445" s="12" t="s">
        <v>144</v>
      </c>
      <c r="K3445" s="12" t="s">
        <v>133</v>
      </c>
      <c r="L3445" s="12" t="s">
        <v>96</v>
      </c>
      <c r="M3445">
        <v>5.43</v>
      </c>
      <c r="N3445" s="12" t="s">
        <v>97</v>
      </c>
      <c r="O3445" s="12" t="s">
        <v>98</v>
      </c>
      <c r="P3445" s="12" t="s">
        <v>72</v>
      </c>
      <c r="Q3445" s="13">
        <v>45546</v>
      </c>
      <c r="R3445" s="13">
        <v>45589</v>
      </c>
      <c r="S3445">
        <v>2024</v>
      </c>
      <c r="T3445" s="12" t="s">
        <v>4283</v>
      </c>
      <c r="U3445">
        <v>1093</v>
      </c>
      <c r="V3445">
        <v>52.441499999999998</v>
      </c>
      <c r="W3445">
        <v>765.79</v>
      </c>
      <c r="X3445">
        <v>0</v>
      </c>
      <c r="Y3445">
        <v>0</v>
      </c>
      <c r="Z3445">
        <v>57318.559999999998</v>
      </c>
      <c r="AA3445">
        <v>58084.35</v>
      </c>
      <c r="AB3445" s="12" t="s">
        <v>3049</v>
      </c>
      <c r="AC3445">
        <v>52.441499999999998</v>
      </c>
      <c r="AD3445">
        <v>1</v>
      </c>
      <c r="AE3445">
        <v>1</v>
      </c>
      <c r="AF3445">
        <v>0</v>
      </c>
      <c r="AG3445">
        <v>57318.559999999998</v>
      </c>
      <c r="AH3445">
        <v>1093</v>
      </c>
      <c r="AI3445">
        <v>1090</v>
      </c>
      <c r="AJ3445">
        <v>3</v>
      </c>
      <c r="AK3445">
        <v>1</v>
      </c>
      <c r="AL3445">
        <v>1</v>
      </c>
      <c r="AM3445">
        <v>99.73</v>
      </c>
      <c r="AN3445">
        <v>53.288400000000003</v>
      </c>
      <c r="AO3445">
        <v>157.32</v>
      </c>
      <c r="AP3445" s="13">
        <v>45586</v>
      </c>
      <c r="AQ3445">
        <v>-3</v>
      </c>
      <c r="AR3445">
        <v>1</v>
      </c>
    </row>
    <row r="3446" spans="1:44" x14ac:dyDescent="0.35">
      <c r="A3446" s="12" t="s">
        <v>4360</v>
      </c>
      <c r="B3446" s="12" t="s">
        <v>215</v>
      </c>
      <c r="C3446" s="12" t="s">
        <v>216</v>
      </c>
      <c r="D3446" s="12" t="s">
        <v>122</v>
      </c>
      <c r="E3446" s="12" t="s">
        <v>142</v>
      </c>
      <c r="F3446">
        <v>3</v>
      </c>
      <c r="G3446">
        <v>11</v>
      </c>
      <c r="H3446">
        <v>0</v>
      </c>
      <c r="I3446" s="12" t="s">
        <v>310</v>
      </c>
      <c r="J3446" s="12" t="s">
        <v>311</v>
      </c>
      <c r="K3446" s="12" t="s">
        <v>81</v>
      </c>
      <c r="L3446" s="12" t="s">
        <v>69</v>
      </c>
      <c r="M3446">
        <v>28.3</v>
      </c>
      <c r="N3446" s="12" t="s">
        <v>97</v>
      </c>
      <c r="O3446" s="12" t="s">
        <v>98</v>
      </c>
      <c r="P3446" s="12" t="s">
        <v>72</v>
      </c>
      <c r="Q3446" s="13">
        <v>45546</v>
      </c>
      <c r="R3446" s="13">
        <v>45595</v>
      </c>
      <c r="S3446">
        <v>2024</v>
      </c>
      <c r="T3446" s="12" t="s">
        <v>4283</v>
      </c>
      <c r="U3446">
        <v>1634</v>
      </c>
      <c r="V3446">
        <v>15.6546</v>
      </c>
      <c r="W3446">
        <v>550.58000000000004</v>
      </c>
      <c r="X3446">
        <v>801.74</v>
      </c>
      <c r="Y3446">
        <v>1</v>
      </c>
      <c r="Z3446">
        <v>25579.62</v>
      </c>
      <c r="AA3446">
        <v>26931.94</v>
      </c>
      <c r="AB3446" s="12" t="s">
        <v>201</v>
      </c>
      <c r="AD3446">
        <v>0</v>
      </c>
      <c r="AE3446">
        <v>0</v>
      </c>
      <c r="AH3446">
        <v>1634</v>
      </c>
      <c r="AI3446">
        <v>1621</v>
      </c>
      <c r="AJ3446">
        <v>13</v>
      </c>
      <c r="AK3446">
        <v>1</v>
      </c>
      <c r="AL3446">
        <v>1</v>
      </c>
      <c r="AM3446">
        <v>99.2</v>
      </c>
      <c r="AN3446">
        <v>16.6144</v>
      </c>
      <c r="AO3446">
        <v>203.51</v>
      </c>
      <c r="AP3446" s="13">
        <v>45593</v>
      </c>
      <c r="AQ3446">
        <v>-2</v>
      </c>
      <c r="AR3446">
        <v>1</v>
      </c>
    </row>
    <row r="3447" spans="1:44" x14ac:dyDescent="0.35">
      <c r="A3447" s="12" t="s">
        <v>4361</v>
      </c>
      <c r="B3447" s="12" t="s">
        <v>482</v>
      </c>
      <c r="C3447" s="12" t="s">
        <v>483</v>
      </c>
      <c r="D3447" s="12" t="s">
        <v>78</v>
      </c>
      <c r="E3447" s="12" t="s">
        <v>142</v>
      </c>
      <c r="F3447">
        <v>2</v>
      </c>
      <c r="G3447">
        <v>9</v>
      </c>
      <c r="H3447">
        <v>0</v>
      </c>
      <c r="I3447" s="12" t="s">
        <v>87</v>
      </c>
      <c r="J3447" s="12" t="s">
        <v>88</v>
      </c>
      <c r="K3447" s="12" t="s">
        <v>89</v>
      </c>
      <c r="L3447" s="12" t="s">
        <v>69</v>
      </c>
      <c r="M3447">
        <v>14.93</v>
      </c>
      <c r="N3447" s="12" t="s">
        <v>70</v>
      </c>
      <c r="O3447" s="12" t="s">
        <v>71</v>
      </c>
      <c r="P3447" s="12" t="s">
        <v>72</v>
      </c>
      <c r="Q3447" s="13">
        <v>45546</v>
      </c>
      <c r="R3447" s="13">
        <v>45585</v>
      </c>
      <c r="S3447">
        <v>2024</v>
      </c>
      <c r="T3447" s="12" t="s">
        <v>4283</v>
      </c>
      <c r="U3447">
        <v>102</v>
      </c>
      <c r="V3447">
        <v>47.101599999999998</v>
      </c>
      <c r="W3447">
        <v>74.11</v>
      </c>
      <c r="X3447">
        <v>0</v>
      </c>
      <c r="Y3447">
        <v>0</v>
      </c>
      <c r="Z3447">
        <v>4804.3599999999997</v>
      </c>
      <c r="AA3447">
        <v>4878.47</v>
      </c>
      <c r="AB3447" s="12" t="s">
        <v>3145</v>
      </c>
      <c r="AC3447">
        <v>47.101599999999998</v>
      </c>
      <c r="AD3447">
        <v>1</v>
      </c>
      <c r="AE3447">
        <v>1</v>
      </c>
      <c r="AF3447">
        <v>0</v>
      </c>
      <c r="AG3447">
        <v>4804.3599999999997</v>
      </c>
      <c r="AH3447">
        <v>102</v>
      </c>
      <c r="AI3447">
        <v>101</v>
      </c>
      <c r="AJ3447">
        <v>1</v>
      </c>
      <c r="AK3447">
        <v>1</v>
      </c>
      <c r="AL3447">
        <v>1</v>
      </c>
      <c r="AM3447">
        <v>99.02</v>
      </c>
      <c r="AN3447">
        <v>48.301699999999997</v>
      </c>
      <c r="AO3447">
        <v>47.1</v>
      </c>
      <c r="AP3447" s="13">
        <v>45591</v>
      </c>
      <c r="AQ3447">
        <v>6</v>
      </c>
      <c r="AR3447">
        <v>0</v>
      </c>
    </row>
    <row r="3448" spans="1:44" x14ac:dyDescent="0.35">
      <c r="A3448" s="12" t="s">
        <v>4362</v>
      </c>
      <c r="B3448" s="12" t="s">
        <v>494</v>
      </c>
      <c r="C3448" s="12" t="s">
        <v>495</v>
      </c>
      <c r="D3448" s="12" t="s">
        <v>175</v>
      </c>
      <c r="E3448" s="12" t="s">
        <v>65</v>
      </c>
      <c r="F3448">
        <v>2</v>
      </c>
      <c r="G3448">
        <v>3</v>
      </c>
      <c r="H3448">
        <v>0</v>
      </c>
      <c r="I3448" s="12" t="s">
        <v>515</v>
      </c>
      <c r="J3448" s="12" t="s">
        <v>516</v>
      </c>
      <c r="K3448" s="12" t="s">
        <v>68</v>
      </c>
      <c r="L3448" s="12" t="s">
        <v>134</v>
      </c>
      <c r="M3448">
        <v>3.69</v>
      </c>
      <c r="N3448" s="12" t="s">
        <v>107</v>
      </c>
      <c r="O3448" s="12" t="s">
        <v>108</v>
      </c>
      <c r="P3448" s="12" t="s">
        <v>109</v>
      </c>
      <c r="Q3448" s="13">
        <v>45546</v>
      </c>
      <c r="R3448" s="13">
        <v>45575</v>
      </c>
      <c r="S3448">
        <v>2024</v>
      </c>
      <c r="T3448" s="12" t="s">
        <v>4283</v>
      </c>
      <c r="U3448">
        <v>75</v>
      </c>
      <c r="V3448">
        <v>157.60329999999999</v>
      </c>
      <c r="W3448">
        <v>153.72</v>
      </c>
      <c r="X3448">
        <v>0</v>
      </c>
      <c r="Y3448">
        <v>0</v>
      </c>
      <c r="Z3448">
        <v>11820.25</v>
      </c>
      <c r="AA3448">
        <v>11973.97</v>
      </c>
      <c r="AB3448" s="12" t="s">
        <v>2807</v>
      </c>
      <c r="AC3448">
        <v>157.60329999999999</v>
      </c>
      <c r="AD3448">
        <v>1</v>
      </c>
      <c r="AE3448">
        <v>1</v>
      </c>
      <c r="AF3448">
        <v>0</v>
      </c>
      <c r="AG3448">
        <v>11820.25</v>
      </c>
      <c r="AH3448">
        <v>75</v>
      </c>
      <c r="AI3448">
        <v>75</v>
      </c>
      <c r="AJ3448">
        <v>0</v>
      </c>
      <c r="AK3448">
        <v>1</v>
      </c>
      <c r="AL3448">
        <v>1</v>
      </c>
      <c r="AM3448">
        <v>100</v>
      </c>
      <c r="AN3448">
        <v>159.65289999999999</v>
      </c>
      <c r="AO3448">
        <v>0</v>
      </c>
      <c r="AP3448" s="13">
        <v>45573</v>
      </c>
      <c r="AQ3448">
        <v>-2</v>
      </c>
      <c r="AR3448">
        <v>1</v>
      </c>
    </row>
    <row r="3449" spans="1:44" x14ac:dyDescent="0.35">
      <c r="A3449" s="12" t="s">
        <v>4363</v>
      </c>
      <c r="B3449" s="12" t="s">
        <v>902</v>
      </c>
      <c r="C3449" s="12" t="s">
        <v>903</v>
      </c>
      <c r="D3449" s="12" t="s">
        <v>122</v>
      </c>
      <c r="E3449" s="12" t="s">
        <v>142</v>
      </c>
      <c r="F3449">
        <v>1</v>
      </c>
      <c r="G3449">
        <v>6</v>
      </c>
      <c r="H3449">
        <v>1</v>
      </c>
      <c r="I3449" s="12" t="s">
        <v>105</v>
      </c>
      <c r="J3449" s="12" t="s">
        <v>106</v>
      </c>
      <c r="K3449" s="12" t="s">
        <v>81</v>
      </c>
      <c r="L3449" s="12" t="s">
        <v>96</v>
      </c>
      <c r="M3449">
        <v>5.01</v>
      </c>
      <c r="N3449" s="12" t="s">
        <v>97</v>
      </c>
      <c r="O3449" s="12" t="s">
        <v>98</v>
      </c>
      <c r="P3449" s="12" t="s">
        <v>72</v>
      </c>
      <c r="Q3449" s="13">
        <v>45546</v>
      </c>
      <c r="R3449" s="13">
        <v>45585</v>
      </c>
      <c r="S3449">
        <v>2024</v>
      </c>
      <c r="T3449" s="12" t="s">
        <v>4283</v>
      </c>
      <c r="U3449">
        <v>647</v>
      </c>
      <c r="V3449">
        <v>41.6892</v>
      </c>
      <c r="W3449">
        <v>516.12</v>
      </c>
      <c r="X3449">
        <v>0</v>
      </c>
      <c r="Y3449">
        <v>0</v>
      </c>
      <c r="Z3449">
        <v>26972.91</v>
      </c>
      <c r="AA3449">
        <v>27489.03</v>
      </c>
      <c r="AB3449" s="12" t="s">
        <v>3284</v>
      </c>
      <c r="AC3449">
        <v>41.6892</v>
      </c>
      <c r="AD3449">
        <v>1</v>
      </c>
      <c r="AE3449">
        <v>1</v>
      </c>
      <c r="AF3449">
        <v>0</v>
      </c>
      <c r="AG3449">
        <v>26972.91</v>
      </c>
      <c r="AH3449">
        <v>647</v>
      </c>
      <c r="AI3449">
        <v>642</v>
      </c>
      <c r="AJ3449">
        <v>5</v>
      </c>
      <c r="AK3449">
        <v>1</v>
      </c>
      <c r="AL3449">
        <v>1</v>
      </c>
      <c r="AM3449">
        <v>99.23</v>
      </c>
      <c r="AN3449">
        <v>42.817799999999998</v>
      </c>
      <c r="AO3449">
        <v>208.45</v>
      </c>
      <c r="AP3449" s="13">
        <v>45585</v>
      </c>
      <c r="AQ3449">
        <v>0</v>
      </c>
      <c r="AR3449">
        <v>1</v>
      </c>
    </row>
    <row r="3450" spans="1:44" x14ac:dyDescent="0.35">
      <c r="A3450" s="12" t="s">
        <v>4364</v>
      </c>
      <c r="B3450" s="12" t="s">
        <v>149</v>
      </c>
      <c r="C3450" s="12" t="s">
        <v>150</v>
      </c>
      <c r="D3450" s="12" t="s">
        <v>78</v>
      </c>
      <c r="E3450" s="12" t="s">
        <v>65</v>
      </c>
      <c r="F3450">
        <v>2</v>
      </c>
      <c r="G3450">
        <v>2</v>
      </c>
      <c r="H3450">
        <v>0</v>
      </c>
      <c r="I3450" s="12" t="s">
        <v>151</v>
      </c>
      <c r="J3450" s="12" t="s">
        <v>152</v>
      </c>
      <c r="K3450" s="12" t="s">
        <v>125</v>
      </c>
      <c r="L3450" s="12" t="s">
        <v>69</v>
      </c>
      <c r="M3450">
        <v>36.479999999999997</v>
      </c>
      <c r="N3450" s="12" t="s">
        <v>97</v>
      </c>
      <c r="O3450" s="12" t="s">
        <v>98</v>
      </c>
      <c r="P3450" s="12" t="s">
        <v>72</v>
      </c>
      <c r="Q3450" s="13">
        <v>45547</v>
      </c>
      <c r="R3450" s="13">
        <v>45581</v>
      </c>
      <c r="S3450">
        <v>2024</v>
      </c>
      <c r="T3450" s="12" t="s">
        <v>4283</v>
      </c>
      <c r="U3450">
        <v>228</v>
      </c>
      <c r="V3450">
        <v>70.838700000000003</v>
      </c>
      <c r="W3450">
        <v>374.17</v>
      </c>
      <c r="X3450">
        <v>508.27</v>
      </c>
      <c r="Y3450">
        <v>1</v>
      </c>
      <c r="Z3450">
        <v>16151.22</v>
      </c>
      <c r="AA3450">
        <v>17033.66</v>
      </c>
      <c r="AB3450" s="12" t="s">
        <v>2546</v>
      </c>
      <c r="AC3450">
        <v>70.838700000000003</v>
      </c>
      <c r="AD3450">
        <v>1</v>
      </c>
      <c r="AE3450">
        <v>1</v>
      </c>
      <c r="AF3450">
        <v>0</v>
      </c>
      <c r="AG3450">
        <v>16151.22</v>
      </c>
      <c r="AH3450">
        <v>228</v>
      </c>
      <c r="AI3450">
        <v>227</v>
      </c>
      <c r="AJ3450">
        <v>1</v>
      </c>
      <c r="AK3450">
        <v>1</v>
      </c>
      <c r="AL3450">
        <v>1</v>
      </c>
      <c r="AM3450">
        <v>99.56</v>
      </c>
      <c r="AN3450">
        <v>75.038200000000003</v>
      </c>
      <c r="AO3450">
        <v>70.84</v>
      </c>
      <c r="AP3450" s="13">
        <v>45591</v>
      </c>
      <c r="AQ3450">
        <v>10</v>
      </c>
      <c r="AR3450">
        <v>0</v>
      </c>
    </row>
    <row r="3451" spans="1:44" x14ac:dyDescent="0.35">
      <c r="A3451" s="12" t="s">
        <v>4365</v>
      </c>
      <c r="B3451" s="12" t="s">
        <v>347</v>
      </c>
      <c r="C3451" s="12" t="s">
        <v>348</v>
      </c>
      <c r="D3451" s="12" t="s">
        <v>78</v>
      </c>
      <c r="E3451" s="12" t="s">
        <v>104</v>
      </c>
      <c r="F3451">
        <v>3</v>
      </c>
      <c r="G3451">
        <v>1</v>
      </c>
      <c r="H3451">
        <v>0</v>
      </c>
      <c r="I3451" s="12" t="s">
        <v>105</v>
      </c>
      <c r="J3451" s="12" t="s">
        <v>106</v>
      </c>
      <c r="K3451" s="12" t="s">
        <v>81</v>
      </c>
      <c r="L3451" s="12" t="s">
        <v>96</v>
      </c>
      <c r="M3451">
        <v>5.01</v>
      </c>
      <c r="N3451" s="12" t="s">
        <v>97</v>
      </c>
      <c r="O3451" s="12" t="s">
        <v>98</v>
      </c>
      <c r="P3451" s="12" t="s">
        <v>72</v>
      </c>
      <c r="Q3451" s="13">
        <v>45547</v>
      </c>
      <c r="R3451" s="13">
        <v>45559</v>
      </c>
      <c r="S3451">
        <v>2024</v>
      </c>
      <c r="T3451" s="12" t="s">
        <v>4283</v>
      </c>
      <c r="U3451">
        <v>47</v>
      </c>
      <c r="V3451">
        <v>100.28740000000001</v>
      </c>
      <c r="W3451">
        <v>98.03</v>
      </c>
      <c r="X3451">
        <v>0</v>
      </c>
      <c r="Y3451">
        <v>0</v>
      </c>
      <c r="Z3451">
        <v>4713.51</v>
      </c>
      <c r="AA3451">
        <v>4811.54</v>
      </c>
      <c r="AB3451" s="12" t="s">
        <v>2996</v>
      </c>
      <c r="AC3451">
        <v>100.28740000000001</v>
      </c>
      <c r="AD3451">
        <v>1</v>
      </c>
      <c r="AE3451">
        <v>1</v>
      </c>
      <c r="AF3451">
        <v>0</v>
      </c>
      <c r="AG3451">
        <v>4713.51</v>
      </c>
      <c r="AH3451">
        <v>47</v>
      </c>
      <c r="AI3451">
        <v>47</v>
      </c>
      <c r="AJ3451">
        <v>0</v>
      </c>
      <c r="AK3451">
        <v>1</v>
      </c>
      <c r="AL3451">
        <v>1</v>
      </c>
      <c r="AM3451">
        <v>100</v>
      </c>
      <c r="AN3451">
        <v>102.37309999999999</v>
      </c>
      <c r="AO3451">
        <v>0</v>
      </c>
      <c r="AP3451" s="13">
        <v>45558</v>
      </c>
      <c r="AQ3451">
        <v>-1</v>
      </c>
      <c r="AR3451">
        <v>1</v>
      </c>
    </row>
    <row r="3452" spans="1:44" x14ac:dyDescent="0.35">
      <c r="A3452" s="12" t="s">
        <v>4366</v>
      </c>
      <c r="B3452" s="12" t="s">
        <v>163</v>
      </c>
      <c r="C3452" s="12" t="s">
        <v>164</v>
      </c>
      <c r="D3452" s="12" t="s">
        <v>64</v>
      </c>
      <c r="E3452" s="12" t="s">
        <v>104</v>
      </c>
      <c r="F3452">
        <v>2</v>
      </c>
      <c r="G3452">
        <v>0</v>
      </c>
      <c r="H3452">
        <v>0</v>
      </c>
      <c r="I3452" s="12" t="s">
        <v>79</v>
      </c>
      <c r="J3452" s="12" t="s">
        <v>80</v>
      </c>
      <c r="K3452" s="12" t="s">
        <v>81</v>
      </c>
      <c r="L3452" s="12" t="s">
        <v>82</v>
      </c>
      <c r="M3452">
        <v>12.07</v>
      </c>
      <c r="N3452" s="12" t="s">
        <v>70</v>
      </c>
      <c r="O3452" s="12" t="s">
        <v>71</v>
      </c>
      <c r="P3452" s="12" t="s">
        <v>72</v>
      </c>
      <c r="Q3452" s="13">
        <v>45547</v>
      </c>
      <c r="R3452" s="13">
        <v>45574</v>
      </c>
      <c r="S3452">
        <v>2024</v>
      </c>
      <c r="T3452" s="12" t="s">
        <v>4283</v>
      </c>
      <c r="U3452">
        <v>891</v>
      </c>
      <c r="V3452">
        <v>10.948700000000001</v>
      </c>
      <c r="W3452">
        <v>122.6</v>
      </c>
      <c r="X3452">
        <v>0</v>
      </c>
      <c r="Y3452">
        <v>0</v>
      </c>
      <c r="Z3452">
        <v>9755.2900000000009</v>
      </c>
      <c r="AA3452">
        <v>9877.89</v>
      </c>
      <c r="AB3452" s="12" t="s">
        <v>2780</v>
      </c>
      <c r="AC3452">
        <v>11.6143</v>
      </c>
      <c r="AD3452">
        <v>1</v>
      </c>
      <c r="AE3452">
        <v>1</v>
      </c>
      <c r="AF3452">
        <v>-593.04999999999995</v>
      </c>
      <c r="AG3452">
        <v>10348.34</v>
      </c>
      <c r="AH3452">
        <v>891</v>
      </c>
      <c r="AI3452">
        <v>886</v>
      </c>
      <c r="AJ3452">
        <v>5</v>
      </c>
      <c r="AK3452">
        <v>1</v>
      </c>
      <c r="AL3452">
        <v>1</v>
      </c>
      <c r="AM3452">
        <v>99.44</v>
      </c>
      <c r="AN3452">
        <v>11.148899999999999</v>
      </c>
      <c r="AO3452">
        <v>54.74</v>
      </c>
      <c r="AP3452" s="13">
        <v>45572</v>
      </c>
      <c r="AQ3452">
        <v>-2</v>
      </c>
      <c r="AR3452">
        <v>1</v>
      </c>
    </row>
    <row r="3453" spans="1:44" x14ac:dyDescent="0.35">
      <c r="A3453" s="12" t="s">
        <v>4367</v>
      </c>
      <c r="B3453" s="12" t="s">
        <v>76</v>
      </c>
      <c r="C3453" s="12" t="s">
        <v>77</v>
      </c>
      <c r="D3453" s="12" t="s">
        <v>78</v>
      </c>
      <c r="E3453" s="12" t="s">
        <v>65</v>
      </c>
      <c r="F3453">
        <v>2</v>
      </c>
      <c r="G3453">
        <v>4</v>
      </c>
      <c r="H3453">
        <v>0</v>
      </c>
      <c r="I3453" s="12" t="s">
        <v>79</v>
      </c>
      <c r="J3453" s="12" t="s">
        <v>80</v>
      </c>
      <c r="K3453" s="12" t="s">
        <v>81</v>
      </c>
      <c r="L3453" s="12" t="s">
        <v>82</v>
      </c>
      <c r="M3453">
        <v>12.07</v>
      </c>
      <c r="N3453" s="12" t="s">
        <v>70</v>
      </c>
      <c r="O3453" s="12" t="s">
        <v>71</v>
      </c>
      <c r="P3453" s="12" t="s">
        <v>72</v>
      </c>
      <c r="Q3453" s="13">
        <v>45547</v>
      </c>
      <c r="R3453" s="13">
        <v>45568</v>
      </c>
      <c r="S3453">
        <v>2024</v>
      </c>
      <c r="T3453" s="12" t="s">
        <v>4283</v>
      </c>
      <c r="U3453">
        <v>52</v>
      </c>
      <c r="V3453">
        <v>45.034100000000002</v>
      </c>
      <c r="W3453">
        <v>14.18</v>
      </c>
      <c r="X3453">
        <v>0</v>
      </c>
      <c r="Y3453">
        <v>0</v>
      </c>
      <c r="Z3453">
        <v>2341.77</v>
      </c>
      <c r="AA3453">
        <v>2355.9499999999998</v>
      </c>
      <c r="AB3453" s="12" t="s">
        <v>2672</v>
      </c>
      <c r="AC3453">
        <v>45.034100000000002</v>
      </c>
      <c r="AD3453">
        <v>1</v>
      </c>
      <c r="AE3453">
        <v>1</v>
      </c>
      <c r="AF3453">
        <v>0</v>
      </c>
      <c r="AG3453">
        <v>2341.77</v>
      </c>
      <c r="AH3453">
        <v>52</v>
      </c>
      <c r="AI3453">
        <v>51</v>
      </c>
      <c r="AJ3453">
        <v>1</v>
      </c>
      <c r="AK3453">
        <v>1</v>
      </c>
      <c r="AL3453">
        <v>1</v>
      </c>
      <c r="AM3453">
        <v>98.08</v>
      </c>
      <c r="AN3453">
        <v>46.1952</v>
      </c>
      <c r="AO3453">
        <v>45.03</v>
      </c>
      <c r="AP3453" s="13">
        <v>45569</v>
      </c>
      <c r="AQ3453">
        <v>1</v>
      </c>
      <c r="AR3453">
        <v>0</v>
      </c>
    </row>
    <row r="3454" spans="1:44" x14ac:dyDescent="0.35">
      <c r="A3454" s="12" t="s">
        <v>4368</v>
      </c>
      <c r="B3454" s="12" t="s">
        <v>909</v>
      </c>
      <c r="C3454" s="12" t="s">
        <v>910</v>
      </c>
      <c r="D3454" s="12" t="s">
        <v>269</v>
      </c>
      <c r="E3454" s="12" t="s">
        <v>65</v>
      </c>
      <c r="F3454">
        <v>3</v>
      </c>
      <c r="G3454">
        <v>4</v>
      </c>
      <c r="H3454">
        <v>0</v>
      </c>
      <c r="I3454" s="12" t="s">
        <v>199</v>
      </c>
      <c r="J3454" s="12" t="s">
        <v>200</v>
      </c>
      <c r="K3454" s="12" t="s">
        <v>68</v>
      </c>
      <c r="L3454" s="12" t="s">
        <v>96</v>
      </c>
      <c r="M3454">
        <v>9.4700000000000006</v>
      </c>
      <c r="N3454" s="12" t="s">
        <v>135</v>
      </c>
      <c r="O3454" s="12" t="s">
        <v>136</v>
      </c>
      <c r="P3454" s="12" t="s">
        <v>137</v>
      </c>
      <c r="Q3454" s="13">
        <v>45547</v>
      </c>
      <c r="R3454" s="13">
        <v>45579</v>
      </c>
      <c r="S3454">
        <v>2024</v>
      </c>
      <c r="T3454" s="12" t="s">
        <v>4283</v>
      </c>
      <c r="U3454">
        <v>97</v>
      </c>
      <c r="V3454">
        <v>105.6481</v>
      </c>
      <c r="W3454">
        <v>136.30000000000001</v>
      </c>
      <c r="X3454">
        <v>0</v>
      </c>
      <c r="Y3454">
        <v>0</v>
      </c>
      <c r="Z3454">
        <v>10247.870000000001</v>
      </c>
      <c r="AA3454">
        <v>10384.17</v>
      </c>
      <c r="AB3454" s="12" t="s">
        <v>3479</v>
      </c>
      <c r="AC3454">
        <v>105.6481</v>
      </c>
      <c r="AD3454">
        <v>1</v>
      </c>
      <c r="AE3454">
        <v>1</v>
      </c>
      <c r="AF3454">
        <v>0</v>
      </c>
      <c r="AG3454">
        <v>10247.870000000001</v>
      </c>
      <c r="AH3454">
        <v>97</v>
      </c>
      <c r="AI3454">
        <v>96</v>
      </c>
      <c r="AJ3454">
        <v>1</v>
      </c>
      <c r="AK3454">
        <v>1</v>
      </c>
      <c r="AL3454">
        <v>1</v>
      </c>
      <c r="AM3454">
        <v>98.97</v>
      </c>
      <c r="AN3454">
        <v>108.16840000000001</v>
      </c>
      <c r="AO3454">
        <v>105.65</v>
      </c>
      <c r="AP3454" s="13">
        <v>45578</v>
      </c>
      <c r="AQ3454">
        <v>-1</v>
      </c>
      <c r="AR3454">
        <v>1</v>
      </c>
    </row>
    <row r="3455" spans="1:44" x14ac:dyDescent="0.35">
      <c r="A3455" s="12" t="s">
        <v>4369</v>
      </c>
      <c r="B3455" s="12" t="s">
        <v>661</v>
      </c>
      <c r="C3455" s="12" t="s">
        <v>662</v>
      </c>
      <c r="D3455" s="12" t="s">
        <v>175</v>
      </c>
      <c r="E3455" s="12" t="s">
        <v>104</v>
      </c>
      <c r="F3455">
        <v>1</v>
      </c>
      <c r="G3455">
        <v>0</v>
      </c>
      <c r="H3455">
        <v>1</v>
      </c>
      <c r="I3455" s="12" t="s">
        <v>183</v>
      </c>
      <c r="J3455" s="12" t="s">
        <v>184</v>
      </c>
      <c r="K3455" s="12" t="s">
        <v>133</v>
      </c>
      <c r="L3455" s="12" t="s">
        <v>82</v>
      </c>
      <c r="M3455">
        <v>8.6199999999999992</v>
      </c>
      <c r="N3455" s="12" t="s">
        <v>145</v>
      </c>
      <c r="O3455" s="12" t="s">
        <v>146</v>
      </c>
      <c r="P3455" s="12" t="s">
        <v>109</v>
      </c>
      <c r="Q3455" s="13">
        <v>45547</v>
      </c>
      <c r="R3455" s="13">
        <v>45576</v>
      </c>
      <c r="S3455">
        <v>2024</v>
      </c>
      <c r="T3455" s="12" t="s">
        <v>4283</v>
      </c>
      <c r="U3455">
        <v>145</v>
      </c>
      <c r="V3455">
        <v>189.20089999999999</v>
      </c>
      <c r="W3455">
        <v>401.55</v>
      </c>
      <c r="X3455">
        <v>0</v>
      </c>
      <c r="Y3455">
        <v>0</v>
      </c>
      <c r="Z3455">
        <v>27434.13</v>
      </c>
      <c r="AA3455">
        <v>27835.68</v>
      </c>
      <c r="AB3455" s="12" t="s">
        <v>2851</v>
      </c>
      <c r="AC3455">
        <v>180.0376</v>
      </c>
      <c r="AD3455">
        <v>1</v>
      </c>
      <c r="AE3455">
        <v>1</v>
      </c>
      <c r="AF3455">
        <v>1328.68</v>
      </c>
      <c r="AG3455">
        <v>26105.45</v>
      </c>
      <c r="AH3455">
        <v>145</v>
      </c>
      <c r="AI3455">
        <v>144</v>
      </c>
      <c r="AJ3455">
        <v>1</v>
      </c>
      <c r="AK3455">
        <v>1</v>
      </c>
      <c r="AL3455">
        <v>1</v>
      </c>
      <c r="AM3455">
        <v>99.31</v>
      </c>
      <c r="AN3455">
        <v>193.30330000000001</v>
      </c>
      <c r="AO3455">
        <v>189.2</v>
      </c>
      <c r="AP3455" s="13">
        <v>45576</v>
      </c>
      <c r="AQ3455">
        <v>0</v>
      </c>
      <c r="AR3455">
        <v>1</v>
      </c>
    </row>
    <row r="3456" spans="1:44" x14ac:dyDescent="0.35">
      <c r="A3456" s="12" t="s">
        <v>4370</v>
      </c>
      <c r="B3456" s="12" t="s">
        <v>1134</v>
      </c>
      <c r="C3456" s="12" t="s">
        <v>1135</v>
      </c>
      <c r="D3456" s="12" t="s">
        <v>269</v>
      </c>
      <c r="E3456" s="12" t="s">
        <v>104</v>
      </c>
      <c r="F3456">
        <v>2</v>
      </c>
      <c r="G3456">
        <v>0</v>
      </c>
      <c r="H3456">
        <v>0</v>
      </c>
      <c r="I3456" s="12" t="s">
        <v>380</v>
      </c>
      <c r="J3456" s="12" t="s">
        <v>381</v>
      </c>
      <c r="K3456" s="12" t="s">
        <v>89</v>
      </c>
      <c r="L3456" s="12" t="s">
        <v>96</v>
      </c>
      <c r="M3456">
        <v>10.210000000000001</v>
      </c>
      <c r="N3456" s="12" t="s">
        <v>159</v>
      </c>
      <c r="O3456" s="12" t="s">
        <v>160</v>
      </c>
      <c r="P3456" s="12" t="s">
        <v>137</v>
      </c>
      <c r="Q3456" s="13">
        <v>45547</v>
      </c>
      <c r="R3456" s="13">
        <v>45570</v>
      </c>
      <c r="S3456">
        <v>2024</v>
      </c>
      <c r="T3456" s="12" t="s">
        <v>4283</v>
      </c>
      <c r="U3456">
        <v>96</v>
      </c>
      <c r="V3456">
        <v>104.6238</v>
      </c>
      <c r="W3456">
        <v>219.75</v>
      </c>
      <c r="X3456">
        <v>0</v>
      </c>
      <c r="Y3456">
        <v>0</v>
      </c>
      <c r="Z3456">
        <v>10043.879999999999</v>
      </c>
      <c r="AA3456">
        <v>10263.629999999999</v>
      </c>
      <c r="AB3456" s="12" t="s">
        <v>3615</v>
      </c>
      <c r="AC3456">
        <v>100.0123</v>
      </c>
      <c r="AD3456">
        <v>1</v>
      </c>
      <c r="AE3456">
        <v>1</v>
      </c>
      <c r="AF3456">
        <v>442.7</v>
      </c>
      <c r="AG3456">
        <v>9601.18</v>
      </c>
      <c r="AH3456">
        <v>96</v>
      </c>
      <c r="AI3456">
        <v>95</v>
      </c>
      <c r="AJ3456">
        <v>1</v>
      </c>
      <c r="AK3456">
        <v>1</v>
      </c>
      <c r="AL3456">
        <v>1</v>
      </c>
      <c r="AM3456">
        <v>98.96</v>
      </c>
      <c r="AN3456">
        <v>108.03830000000001</v>
      </c>
      <c r="AO3456">
        <v>104.62</v>
      </c>
      <c r="AP3456" s="13">
        <v>45567</v>
      </c>
      <c r="AQ3456">
        <v>-3</v>
      </c>
      <c r="AR3456">
        <v>1</v>
      </c>
    </row>
    <row r="3457" spans="1:44" x14ac:dyDescent="0.35">
      <c r="A3457" s="12" t="s">
        <v>4371</v>
      </c>
      <c r="B3457" s="12" t="s">
        <v>670</v>
      </c>
      <c r="C3457" s="12" t="s">
        <v>671</v>
      </c>
      <c r="D3457" s="12" t="s">
        <v>175</v>
      </c>
      <c r="E3457" s="12" t="s">
        <v>142</v>
      </c>
      <c r="F3457">
        <v>2</v>
      </c>
      <c r="G3457">
        <v>9</v>
      </c>
      <c r="H3457">
        <v>0</v>
      </c>
      <c r="I3457" s="12" t="s">
        <v>105</v>
      </c>
      <c r="J3457" s="12" t="s">
        <v>106</v>
      </c>
      <c r="K3457" s="12" t="s">
        <v>81</v>
      </c>
      <c r="L3457" s="12" t="s">
        <v>96</v>
      </c>
      <c r="M3457">
        <v>5.01</v>
      </c>
      <c r="N3457" s="12" t="s">
        <v>107</v>
      </c>
      <c r="O3457" s="12" t="s">
        <v>108</v>
      </c>
      <c r="P3457" s="12" t="s">
        <v>109</v>
      </c>
      <c r="Q3457" s="13">
        <v>45547</v>
      </c>
      <c r="R3457" s="13">
        <v>45591</v>
      </c>
      <c r="S3457">
        <v>2024</v>
      </c>
      <c r="T3457" s="12" t="s">
        <v>4283</v>
      </c>
      <c r="U3457">
        <v>85</v>
      </c>
      <c r="V3457">
        <v>147.4665</v>
      </c>
      <c r="W3457">
        <v>225.18</v>
      </c>
      <c r="X3457">
        <v>0</v>
      </c>
      <c r="Y3457">
        <v>0</v>
      </c>
      <c r="Z3457">
        <v>12534.65</v>
      </c>
      <c r="AA3457">
        <v>12759.83</v>
      </c>
      <c r="AB3457" s="12" t="s">
        <v>3277</v>
      </c>
      <c r="AC3457">
        <v>147.4665</v>
      </c>
      <c r="AD3457">
        <v>1</v>
      </c>
      <c r="AE3457">
        <v>1</v>
      </c>
      <c r="AF3457">
        <v>0</v>
      </c>
      <c r="AG3457">
        <v>12534.65</v>
      </c>
      <c r="AH3457">
        <v>85</v>
      </c>
      <c r="AI3457">
        <v>85</v>
      </c>
      <c r="AJ3457">
        <v>0</v>
      </c>
      <c r="AK3457">
        <v>1</v>
      </c>
      <c r="AL3457">
        <v>1</v>
      </c>
      <c r="AM3457">
        <v>100</v>
      </c>
      <c r="AN3457">
        <v>150.1157</v>
      </c>
      <c r="AO3457">
        <v>0</v>
      </c>
      <c r="AP3457" s="13">
        <v>45591</v>
      </c>
      <c r="AQ3457">
        <v>0</v>
      </c>
      <c r="AR3457">
        <v>1</v>
      </c>
    </row>
    <row r="3458" spans="1:44" x14ac:dyDescent="0.35">
      <c r="A3458" s="12" t="s">
        <v>4372</v>
      </c>
      <c r="B3458" s="12" t="s">
        <v>1433</v>
      </c>
      <c r="C3458" s="12" t="s">
        <v>1434</v>
      </c>
      <c r="D3458" s="12" t="s">
        <v>269</v>
      </c>
      <c r="E3458" s="12" t="s">
        <v>65</v>
      </c>
      <c r="F3458">
        <v>3</v>
      </c>
      <c r="G3458">
        <v>5</v>
      </c>
      <c r="H3458">
        <v>0</v>
      </c>
      <c r="I3458" s="12" t="s">
        <v>115</v>
      </c>
      <c r="J3458" s="12" t="s">
        <v>116</v>
      </c>
      <c r="K3458" s="12" t="s">
        <v>117</v>
      </c>
      <c r="L3458" s="12" t="s">
        <v>82</v>
      </c>
      <c r="M3458">
        <v>17.170000000000002</v>
      </c>
      <c r="N3458" s="12" t="s">
        <v>159</v>
      </c>
      <c r="O3458" s="12" t="s">
        <v>160</v>
      </c>
      <c r="P3458" s="12" t="s">
        <v>137</v>
      </c>
      <c r="Q3458" s="13">
        <v>45547</v>
      </c>
      <c r="R3458" s="13">
        <v>45575</v>
      </c>
      <c r="S3458">
        <v>2024</v>
      </c>
      <c r="T3458" s="12" t="s">
        <v>4283</v>
      </c>
      <c r="U3458">
        <v>64</v>
      </c>
      <c r="V3458">
        <v>445.78800000000001</v>
      </c>
      <c r="W3458">
        <v>661.26</v>
      </c>
      <c r="X3458">
        <v>0</v>
      </c>
      <c r="Y3458">
        <v>0</v>
      </c>
      <c r="Z3458">
        <v>28530.43</v>
      </c>
      <c r="AA3458">
        <v>29191.69</v>
      </c>
      <c r="AB3458" s="12" t="s">
        <v>4061</v>
      </c>
      <c r="AC3458">
        <v>445.78800000000001</v>
      </c>
      <c r="AD3458">
        <v>1</v>
      </c>
      <c r="AE3458">
        <v>1</v>
      </c>
      <c r="AF3458">
        <v>0</v>
      </c>
      <c r="AG3458">
        <v>28530.43</v>
      </c>
      <c r="AH3458">
        <v>64</v>
      </c>
      <c r="AI3458">
        <v>64</v>
      </c>
      <c r="AJ3458">
        <v>0</v>
      </c>
      <c r="AK3458">
        <v>1</v>
      </c>
      <c r="AL3458">
        <v>1</v>
      </c>
      <c r="AM3458">
        <v>100</v>
      </c>
      <c r="AN3458">
        <v>456.12020000000001</v>
      </c>
      <c r="AO3458">
        <v>0</v>
      </c>
      <c r="AP3458" s="13">
        <v>45575</v>
      </c>
      <c r="AQ3458">
        <v>0</v>
      </c>
      <c r="AR3458">
        <v>1</v>
      </c>
    </row>
    <row r="3459" spans="1:44" x14ac:dyDescent="0.35">
      <c r="A3459" s="12" t="s">
        <v>4373</v>
      </c>
      <c r="B3459" s="12" t="s">
        <v>112</v>
      </c>
      <c r="C3459" s="12" t="s">
        <v>113</v>
      </c>
      <c r="D3459" s="12" t="s">
        <v>114</v>
      </c>
      <c r="E3459" s="12" t="s">
        <v>104</v>
      </c>
      <c r="F3459">
        <v>3</v>
      </c>
      <c r="G3459">
        <v>1</v>
      </c>
      <c r="H3459">
        <v>0</v>
      </c>
      <c r="I3459" s="12" t="s">
        <v>227</v>
      </c>
      <c r="J3459" s="12" t="s">
        <v>228</v>
      </c>
      <c r="K3459" s="12" t="s">
        <v>89</v>
      </c>
      <c r="L3459" s="12" t="s">
        <v>96</v>
      </c>
      <c r="M3459">
        <v>9.15</v>
      </c>
      <c r="N3459" s="12" t="s">
        <v>70</v>
      </c>
      <c r="O3459" s="12" t="s">
        <v>71</v>
      </c>
      <c r="P3459" s="12" t="s">
        <v>72</v>
      </c>
      <c r="Q3459" s="13">
        <v>45548</v>
      </c>
      <c r="R3459" s="13">
        <v>45565</v>
      </c>
      <c r="S3459">
        <v>2024</v>
      </c>
      <c r="T3459" s="12" t="s">
        <v>4283</v>
      </c>
      <c r="U3459">
        <v>50</v>
      </c>
      <c r="V3459">
        <v>255.786</v>
      </c>
      <c r="W3459">
        <v>158.34</v>
      </c>
      <c r="X3459">
        <v>0</v>
      </c>
      <c r="Y3459">
        <v>0</v>
      </c>
      <c r="Z3459">
        <v>12789.3</v>
      </c>
      <c r="AA3459">
        <v>12947.64</v>
      </c>
      <c r="AB3459" s="12" t="s">
        <v>2839</v>
      </c>
      <c r="AC3459">
        <v>255.786</v>
      </c>
      <c r="AD3459">
        <v>1</v>
      </c>
      <c r="AE3459">
        <v>1</v>
      </c>
      <c r="AF3459">
        <v>0</v>
      </c>
      <c r="AG3459">
        <v>12789.3</v>
      </c>
      <c r="AH3459">
        <v>50</v>
      </c>
      <c r="AI3459">
        <v>49</v>
      </c>
      <c r="AJ3459">
        <v>1</v>
      </c>
      <c r="AK3459">
        <v>1</v>
      </c>
      <c r="AL3459">
        <v>1</v>
      </c>
      <c r="AM3459">
        <v>98</v>
      </c>
      <c r="AN3459">
        <v>264.23759999999999</v>
      </c>
      <c r="AO3459">
        <v>255.79</v>
      </c>
      <c r="AP3459" s="13">
        <v>45563</v>
      </c>
      <c r="AQ3459">
        <v>-2</v>
      </c>
      <c r="AR3459">
        <v>1</v>
      </c>
    </row>
    <row r="3460" spans="1:44" x14ac:dyDescent="0.35">
      <c r="A3460" s="12" t="s">
        <v>4374</v>
      </c>
      <c r="B3460" s="12" t="s">
        <v>261</v>
      </c>
      <c r="C3460" s="12" t="s">
        <v>262</v>
      </c>
      <c r="D3460" s="12" t="s">
        <v>114</v>
      </c>
      <c r="E3460" s="12" t="s">
        <v>142</v>
      </c>
      <c r="F3460">
        <v>1</v>
      </c>
      <c r="G3460">
        <v>8</v>
      </c>
      <c r="H3460">
        <v>1</v>
      </c>
      <c r="I3460" s="12" t="s">
        <v>263</v>
      </c>
      <c r="J3460" s="12" t="s">
        <v>264</v>
      </c>
      <c r="K3460" s="12" t="s">
        <v>125</v>
      </c>
      <c r="L3460" s="12" t="s">
        <v>82</v>
      </c>
      <c r="M3460">
        <v>10.210000000000001</v>
      </c>
      <c r="N3460" s="12" t="s">
        <v>70</v>
      </c>
      <c r="O3460" s="12" t="s">
        <v>71</v>
      </c>
      <c r="P3460" s="12" t="s">
        <v>72</v>
      </c>
      <c r="Q3460" s="13">
        <v>45548</v>
      </c>
      <c r="R3460" s="13">
        <v>45596</v>
      </c>
      <c r="S3460">
        <v>2024</v>
      </c>
      <c r="T3460" s="12" t="s">
        <v>4283</v>
      </c>
      <c r="U3460">
        <v>115</v>
      </c>
      <c r="V3460">
        <v>137.84569999999999</v>
      </c>
      <c r="W3460">
        <v>107.47</v>
      </c>
      <c r="X3460">
        <v>0</v>
      </c>
      <c r="Y3460">
        <v>0</v>
      </c>
      <c r="Z3460">
        <v>15852.26</v>
      </c>
      <c r="AA3460">
        <v>15959.73</v>
      </c>
      <c r="AB3460" s="12" t="s">
        <v>2655</v>
      </c>
      <c r="AC3460">
        <v>137.84569999999999</v>
      </c>
      <c r="AD3460">
        <v>1</v>
      </c>
      <c r="AE3460">
        <v>1</v>
      </c>
      <c r="AF3460">
        <v>0</v>
      </c>
      <c r="AG3460">
        <v>15852.26</v>
      </c>
      <c r="AH3460">
        <v>115</v>
      </c>
      <c r="AI3460">
        <v>113</v>
      </c>
      <c r="AJ3460">
        <v>2</v>
      </c>
      <c r="AK3460">
        <v>1</v>
      </c>
      <c r="AL3460">
        <v>1</v>
      </c>
      <c r="AM3460">
        <v>98.26</v>
      </c>
      <c r="AN3460">
        <v>141.23650000000001</v>
      </c>
      <c r="AO3460">
        <v>275.69</v>
      </c>
      <c r="AP3460" s="13">
        <v>45594</v>
      </c>
      <c r="AQ3460">
        <v>-2</v>
      </c>
      <c r="AR3460">
        <v>1</v>
      </c>
    </row>
    <row r="3461" spans="1:44" x14ac:dyDescent="0.35">
      <c r="A3461" s="12" t="s">
        <v>4375</v>
      </c>
      <c r="B3461" s="12" t="s">
        <v>62</v>
      </c>
      <c r="C3461" s="12" t="s">
        <v>63</v>
      </c>
      <c r="D3461" s="12" t="s">
        <v>64</v>
      </c>
      <c r="E3461" s="12" t="s">
        <v>65</v>
      </c>
      <c r="F3461">
        <v>1</v>
      </c>
      <c r="G3461">
        <v>2</v>
      </c>
      <c r="H3461">
        <v>1</v>
      </c>
      <c r="I3461" s="12" t="s">
        <v>66</v>
      </c>
      <c r="J3461" s="12" t="s">
        <v>67</v>
      </c>
      <c r="K3461" s="12" t="s">
        <v>68</v>
      </c>
      <c r="L3461" s="12" t="s">
        <v>69</v>
      </c>
      <c r="M3461">
        <v>17.66</v>
      </c>
      <c r="N3461" s="12" t="s">
        <v>97</v>
      </c>
      <c r="O3461" s="12" t="s">
        <v>98</v>
      </c>
      <c r="P3461" s="12" t="s">
        <v>72</v>
      </c>
      <c r="Q3461" s="13">
        <v>45548</v>
      </c>
      <c r="R3461" s="13">
        <v>45585</v>
      </c>
      <c r="S3461">
        <v>2024</v>
      </c>
      <c r="T3461" s="12" t="s">
        <v>4283</v>
      </c>
      <c r="U3461">
        <v>924</v>
      </c>
      <c r="V3461">
        <v>24.572199999999999</v>
      </c>
      <c r="W3461">
        <v>390.12</v>
      </c>
      <c r="X3461">
        <v>0</v>
      </c>
      <c r="Y3461">
        <v>0</v>
      </c>
      <c r="Z3461">
        <v>22704.71</v>
      </c>
      <c r="AA3461">
        <v>23094.83</v>
      </c>
      <c r="AB3461" s="12" t="s">
        <v>201</v>
      </c>
      <c r="AD3461">
        <v>0</v>
      </c>
      <c r="AE3461">
        <v>0</v>
      </c>
      <c r="AH3461">
        <v>924</v>
      </c>
      <c r="AI3461">
        <v>911</v>
      </c>
      <c r="AJ3461">
        <v>13</v>
      </c>
      <c r="AK3461">
        <v>1</v>
      </c>
      <c r="AL3461">
        <v>1</v>
      </c>
      <c r="AM3461">
        <v>98.59</v>
      </c>
      <c r="AN3461">
        <v>25.351099999999999</v>
      </c>
      <c r="AO3461">
        <v>319.44</v>
      </c>
      <c r="AP3461" s="13">
        <v>45584</v>
      </c>
      <c r="AQ3461">
        <v>-1</v>
      </c>
      <c r="AR3461">
        <v>1</v>
      </c>
    </row>
    <row r="3462" spans="1:44" x14ac:dyDescent="0.35">
      <c r="A3462" s="12" t="s">
        <v>4376</v>
      </c>
      <c r="B3462" s="12" t="s">
        <v>155</v>
      </c>
      <c r="C3462" s="12" t="s">
        <v>156</v>
      </c>
      <c r="D3462" s="12" t="s">
        <v>130</v>
      </c>
      <c r="E3462" s="12" t="s">
        <v>104</v>
      </c>
      <c r="F3462">
        <v>3</v>
      </c>
      <c r="G3462">
        <v>1</v>
      </c>
      <c r="H3462">
        <v>0</v>
      </c>
      <c r="I3462" s="12" t="s">
        <v>157</v>
      </c>
      <c r="J3462" s="12" t="s">
        <v>158</v>
      </c>
      <c r="K3462" s="12" t="s">
        <v>117</v>
      </c>
      <c r="L3462" s="12" t="s">
        <v>96</v>
      </c>
      <c r="M3462">
        <v>4.72</v>
      </c>
      <c r="N3462" s="12" t="s">
        <v>135</v>
      </c>
      <c r="O3462" s="12" t="s">
        <v>136</v>
      </c>
      <c r="P3462" s="12" t="s">
        <v>137</v>
      </c>
      <c r="Q3462" s="13">
        <v>45548</v>
      </c>
      <c r="R3462" s="13">
        <v>45566</v>
      </c>
      <c r="S3462">
        <v>2024</v>
      </c>
      <c r="T3462" s="12" t="s">
        <v>4283</v>
      </c>
      <c r="U3462">
        <v>59</v>
      </c>
      <c r="V3462">
        <v>192.9573</v>
      </c>
      <c r="W3462">
        <v>149.88</v>
      </c>
      <c r="X3462">
        <v>0</v>
      </c>
      <c r="Y3462">
        <v>0</v>
      </c>
      <c r="Z3462">
        <v>11384.48</v>
      </c>
      <c r="AA3462">
        <v>11534.36</v>
      </c>
      <c r="AB3462" s="12" t="s">
        <v>201</v>
      </c>
      <c r="AD3462">
        <v>0</v>
      </c>
      <c r="AE3462">
        <v>0</v>
      </c>
      <c r="AH3462">
        <v>59</v>
      </c>
      <c r="AI3462">
        <v>58</v>
      </c>
      <c r="AJ3462">
        <v>1</v>
      </c>
      <c r="AK3462">
        <v>1</v>
      </c>
      <c r="AL3462">
        <v>1</v>
      </c>
      <c r="AM3462">
        <v>98.31</v>
      </c>
      <c r="AN3462">
        <v>198.8683</v>
      </c>
      <c r="AO3462">
        <v>192.96</v>
      </c>
      <c r="AP3462" s="13">
        <v>45566</v>
      </c>
      <c r="AQ3462">
        <v>0</v>
      </c>
      <c r="AR3462">
        <v>1</v>
      </c>
    </row>
    <row r="3463" spans="1:44" x14ac:dyDescent="0.35">
      <c r="A3463" s="12" t="s">
        <v>4377</v>
      </c>
      <c r="B3463" s="12" t="s">
        <v>339</v>
      </c>
      <c r="C3463" s="12" t="s">
        <v>340</v>
      </c>
      <c r="D3463" s="12" t="s">
        <v>103</v>
      </c>
      <c r="E3463" s="12" t="s">
        <v>142</v>
      </c>
      <c r="F3463">
        <v>2</v>
      </c>
      <c r="G3463">
        <v>9</v>
      </c>
      <c r="H3463">
        <v>0</v>
      </c>
      <c r="I3463" s="12" t="s">
        <v>169</v>
      </c>
      <c r="J3463" s="12" t="s">
        <v>170</v>
      </c>
      <c r="K3463" s="12" t="s">
        <v>89</v>
      </c>
      <c r="L3463" s="12" t="s">
        <v>134</v>
      </c>
      <c r="M3463">
        <v>1.37</v>
      </c>
      <c r="N3463" s="12" t="s">
        <v>145</v>
      </c>
      <c r="O3463" s="12" t="s">
        <v>146</v>
      </c>
      <c r="P3463" s="12" t="s">
        <v>109</v>
      </c>
      <c r="Q3463" s="13">
        <v>45548</v>
      </c>
      <c r="R3463" s="13">
        <v>45598</v>
      </c>
      <c r="S3463">
        <v>2024</v>
      </c>
      <c r="T3463" s="12" t="s">
        <v>4283</v>
      </c>
      <c r="U3463">
        <v>126</v>
      </c>
      <c r="V3463">
        <v>257.82690000000002</v>
      </c>
      <c r="W3463">
        <v>771.69</v>
      </c>
      <c r="X3463">
        <v>0</v>
      </c>
      <c r="Y3463">
        <v>0</v>
      </c>
      <c r="Z3463">
        <v>32486.19</v>
      </c>
      <c r="AA3463">
        <v>33257.879999999997</v>
      </c>
      <c r="AB3463" s="12" t="s">
        <v>2786</v>
      </c>
      <c r="AC3463">
        <v>243.06290000000001</v>
      </c>
      <c r="AD3463">
        <v>1</v>
      </c>
      <c r="AE3463">
        <v>1</v>
      </c>
      <c r="AF3463">
        <v>1860.26</v>
      </c>
      <c r="AG3463">
        <v>30625.93</v>
      </c>
      <c r="AH3463">
        <v>126</v>
      </c>
      <c r="AI3463">
        <v>124</v>
      </c>
      <c r="AJ3463">
        <v>2</v>
      </c>
      <c r="AK3463">
        <v>1</v>
      </c>
      <c r="AL3463">
        <v>1</v>
      </c>
      <c r="AM3463">
        <v>98.41</v>
      </c>
      <c r="AN3463">
        <v>268.20870000000002</v>
      </c>
      <c r="AO3463">
        <v>515.65</v>
      </c>
      <c r="AP3463" s="13">
        <v>45604</v>
      </c>
      <c r="AQ3463">
        <v>6</v>
      </c>
      <c r="AR3463">
        <v>0</v>
      </c>
    </row>
    <row r="3464" spans="1:44" x14ac:dyDescent="0.35">
      <c r="A3464" s="12" t="s">
        <v>4378</v>
      </c>
      <c r="B3464" s="12" t="s">
        <v>728</v>
      </c>
      <c r="C3464" s="12" t="s">
        <v>729</v>
      </c>
      <c r="D3464" s="12" t="s">
        <v>269</v>
      </c>
      <c r="E3464" s="12" t="s">
        <v>65</v>
      </c>
      <c r="F3464">
        <v>2</v>
      </c>
      <c r="G3464">
        <v>3</v>
      </c>
      <c r="H3464">
        <v>0</v>
      </c>
      <c r="I3464" s="12" t="s">
        <v>310</v>
      </c>
      <c r="J3464" s="12" t="s">
        <v>311</v>
      </c>
      <c r="K3464" s="12" t="s">
        <v>81</v>
      </c>
      <c r="L3464" s="12" t="s">
        <v>69</v>
      </c>
      <c r="M3464">
        <v>28.3</v>
      </c>
      <c r="N3464" s="12" t="s">
        <v>135</v>
      </c>
      <c r="O3464" s="12" t="s">
        <v>136</v>
      </c>
      <c r="P3464" s="12" t="s">
        <v>137</v>
      </c>
      <c r="Q3464" s="13">
        <v>45548</v>
      </c>
      <c r="R3464" s="13">
        <v>45570</v>
      </c>
      <c r="S3464">
        <v>2024</v>
      </c>
      <c r="T3464" s="12" t="s">
        <v>4283</v>
      </c>
      <c r="U3464">
        <v>19</v>
      </c>
      <c r="V3464">
        <v>364.55509999999998</v>
      </c>
      <c r="W3464">
        <v>177.86</v>
      </c>
      <c r="X3464">
        <v>0</v>
      </c>
      <c r="Y3464">
        <v>0</v>
      </c>
      <c r="Z3464">
        <v>6926.55</v>
      </c>
      <c r="AA3464">
        <v>7104.41</v>
      </c>
      <c r="AB3464" s="12" t="s">
        <v>3329</v>
      </c>
      <c r="AC3464">
        <v>364.55509999999998</v>
      </c>
      <c r="AD3464">
        <v>1</v>
      </c>
      <c r="AE3464">
        <v>1</v>
      </c>
      <c r="AF3464">
        <v>0</v>
      </c>
      <c r="AG3464">
        <v>6926.55</v>
      </c>
      <c r="AH3464">
        <v>19</v>
      </c>
      <c r="AI3464">
        <v>19</v>
      </c>
      <c r="AJ3464">
        <v>0</v>
      </c>
      <c r="AK3464">
        <v>1</v>
      </c>
      <c r="AL3464">
        <v>1</v>
      </c>
      <c r="AM3464">
        <v>100</v>
      </c>
      <c r="AN3464">
        <v>373.9162</v>
      </c>
      <c r="AO3464">
        <v>0</v>
      </c>
      <c r="AP3464" s="13">
        <v>45570</v>
      </c>
      <c r="AQ3464">
        <v>0</v>
      </c>
      <c r="AR3464">
        <v>1</v>
      </c>
    </row>
    <row r="3465" spans="1:44" x14ac:dyDescent="0.35">
      <c r="A3465" s="12" t="s">
        <v>4379</v>
      </c>
      <c r="B3465" s="12" t="s">
        <v>231</v>
      </c>
      <c r="C3465" s="12" t="s">
        <v>232</v>
      </c>
      <c r="D3465" s="12" t="s">
        <v>130</v>
      </c>
      <c r="E3465" s="12" t="s">
        <v>65</v>
      </c>
      <c r="F3465">
        <v>1</v>
      </c>
      <c r="G3465">
        <v>2</v>
      </c>
      <c r="H3465">
        <v>1</v>
      </c>
      <c r="I3465" s="12" t="s">
        <v>233</v>
      </c>
      <c r="J3465" s="12" t="s">
        <v>234</v>
      </c>
      <c r="K3465" s="12" t="s">
        <v>125</v>
      </c>
      <c r="L3465" s="12" t="s">
        <v>96</v>
      </c>
      <c r="M3465">
        <v>3.73</v>
      </c>
      <c r="N3465" s="12" t="s">
        <v>159</v>
      </c>
      <c r="O3465" s="12" t="s">
        <v>160</v>
      </c>
      <c r="P3465" s="12" t="s">
        <v>137</v>
      </c>
      <c r="Q3465" s="13">
        <v>45548</v>
      </c>
      <c r="R3465" s="13">
        <v>45583</v>
      </c>
      <c r="S3465">
        <v>2024</v>
      </c>
      <c r="T3465" s="12" t="s">
        <v>4283</v>
      </c>
      <c r="U3465">
        <v>121</v>
      </c>
      <c r="V3465">
        <v>443.17430000000002</v>
      </c>
      <c r="W3465">
        <v>704.01</v>
      </c>
      <c r="X3465">
        <v>0</v>
      </c>
      <c r="Y3465">
        <v>0</v>
      </c>
      <c r="Z3465">
        <v>53624.09</v>
      </c>
      <c r="AA3465">
        <v>54328.1</v>
      </c>
      <c r="AB3465" s="12" t="s">
        <v>201</v>
      </c>
      <c r="AD3465">
        <v>0</v>
      </c>
      <c r="AE3465">
        <v>0</v>
      </c>
      <c r="AH3465">
        <v>121</v>
      </c>
      <c r="AI3465">
        <v>120</v>
      </c>
      <c r="AJ3465">
        <v>1</v>
      </c>
      <c r="AK3465">
        <v>1</v>
      </c>
      <c r="AL3465">
        <v>1</v>
      </c>
      <c r="AM3465">
        <v>99.17</v>
      </c>
      <c r="AN3465">
        <v>452.73419999999999</v>
      </c>
      <c r="AO3465">
        <v>443.17</v>
      </c>
      <c r="AP3465" s="13">
        <v>45582</v>
      </c>
      <c r="AQ3465">
        <v>-1</v>
      </c>
      <c r="AR3465">
        <v>1</v>
      </c>
    </row>
    <row r="3466" spans="1:44" x14ac:dyDescent="0.35">
      <c r="A3466" s="12" t="s">
        <v>4380</v>
      </c>
      <c r="B3466" s="12" t="s">
        <v>869</v>
      </c>
      <c r="C3466" s="12" t="s">
        <v>870</v>
      </c>
      <c r="D3466" s="12" t="s">
        <v>130</v>
      </c>
      <c r="E3466" s="12" t="s">
        <v>104</v>
      </c>
      <c r="F3466">
        <v>2</v>
      </c>
      <c r="G3466">
        <v>0</v>
      </c>
      <c r="H3466">
        <v>0</v>
      </c>
      <c r="I3466" s="12" t="s">
        <v>515</v>
      </c>
      <c r="J3466" s="12" t="s">
        <v>516</v>
      </c>
      <c r="K3466" s="12" t="s">
        <v>68</v>
      </c>
      <c r="L3466" s="12" t="s">
        <v>134</v>
      </c>
      <c r="M3466">
        <v>3.69</v>
      </c>
      <c r="N3466" s="12" t="s">
        <v>159</v>
      </c>
      <c r="O3466" s="12" t="s">
        <v>160</v>
      </c>
      <c r="P3466" s="12" t="s">
        <v>137</v>
      </c>
      <c r="Q3466" s="13">
        <v>45548</v>
      </c>
      <c r="R3466" s="13">
        <v>45564</v>
      </c>
      <c r="S3466">
        <v>2024</v>
      </c>
      <c r="T3466" s="12" t="s">
        <v>4283</v>
      </c>
      <c r="U3466">
        <v>47</v>
      </c>
      <c r="V3466">
        <v>602.10990000000004</v>
      </c>
      <c r="W3466">
        <v>263.99</v>
      </c>
      <c r="X3466">
        <v>0</v>
      </c>
      <c r="Y3466">
        <v>0</v>
      </c>
      <c r="Z3466">
        <v>28299.17</v>
      </c>
      <c r="AA3466">
        <v>28563.16</v>
      </c>
      <c r="AB3466" s="12" t="s">
        <v>201</v>
      </c>
      <c r="AD3466">
        <v>0</v>
      </c>
      <c r="AE3466">
        <v>0</v>
      </c>
      <c r="AH3466">
        <v>47</v>
      </c>
      <c r="AI3466">
        <v>47</v>
      </c>
      <c r="AJ3466">
        <v>0</v>
      </c>
      <c r="AK3466">
        <v>1</v>
      </c>
      <c r="AL3466">
        <v>1</v>
      </c>
      <c r="AM3466">
        <v>100</v>
      </c>
      <c r="AN3466">
        <v>607.72670000000005</v>
      </c>
      <c r="AO3466">
        <v>0</v>
      </c>
      <c r="AP3466" s="13">
        <v>45564</v>
      </c>
      <c r="AQ3466">
        <v>0</v>
      </c>
      <c r="AR3466">
        <v>1</v>
      </c>
    </row>
    <row r="3467" spans="1:44" x14ac:dyDescent="0.35">
      <c r="A3467" s="12" t="s">
        <v>4381</v>
      </c>
      <c r="B3467" s="12" t="s">
        <v>323</v>
      </c>
      <c r="C3467" s="12" t="s">
        <v>324</v>
      </c>
      <c r="D3467" s="12" t="s">
        <v>64</v>
      </c>
      <c r="E3467" s="12" t="s">
        <v>142</v>
      </c>
      <c r="F3467">
        <v>1</v>
      </c>
      <c r="G3467">
        <v>7</v>
      </c>
      <c r="H3467">
        <v>1</v>
      </c>
      <c r="I3467" s="12" t="s">
        <v>143</v>
      </c>
      <c r="J3467" s="12" t="s">
        <v>144</v>
      </c>
      <c r="K3467" s="12" t="s">
        <v>133</v>
      </c>
      <c r="L3467" s="12" t="s">
        <v>96</v>
      </c>
      <c r="M3467">
        <v>5.43</v>
      </c>
      <c r="N3467" s="12" t="s">
        <v>97</v>
      </c>
      <c r="O3467" s="12" t="s">
        <v>98</v>
      </c>
      <c r="P3467" s="12" t="s">
        <v>72</v>
      </c>
      <c r="Q3467" s="13">
        <v>45548</v>
      </c>
      <c r="R3467" s="13">
        <v>45598</v>
      </c>
      <c r="S3467">
        <v>2024</v>
      </c>
      <c r="T3467" s="12" t="s">
        <v>4283</v>
      </c>
      <c r="U3467">
        <v>894</v>
      </c>
      <c r="V3467">
        <v>39.364800000000002</v>
      </c>
      <c r="W3467">
        <v>690.21</v>
      </c>
      <c r="X3467">
        <v>0</v>
      </c>
      <c r="Y3467">
        <v>0</v>
      </c>
      <c r="Z3467">
        <v>35192.129999999997</v>
      </c>
      <c r="AA3467">
        <v>35882.339999999997</v>
      </c>
      <c r="AB3467" s="12" t="s">
        <v>2828</v>
      </c>
      <c r="AC3467">
        <v>39.364800000000002</v>
      </c>
      <c r="AD3467">
        <v>1</v>
      </c>
      <c r="AE3467">
        <v>1</v>
      </c>
      <c r="AF3467">
        <v>0</v>
      </c>
      <c r="AG3467">
        <v>35192.129999999997</v>
      </c>
      <c r="AH3467">
        <v>894</v>
      </c>
      <c r="AI3467">
        <v>888</v>
      </c>
      <c r="AJ3467">
        <v>6</v>
      </c>
      <c r="AK3467">
        <v>1</v>
      </c>
      <c r="AL3467">
        <v>1</v>
      </c>
      <c r="AM3467">
        <v>99.33</v>
      </c>
      <c r="AN3467">
        <v>40.408000000000001</v>
      </c>
      <c r="AO3467">
        <v>236.19</v>
      </c>
      <c r="AP3467" s="13">
        <v>45598</v>
      </c>
      <c r="AQ3467">
        <v>0</v>
      </c>
      <c r="AR3467">
        <v>1</v>
      </c>
    </row>
    <row r="3468" spans="1:44" x14ac:dyDescent="0.35">
      <c r="A3468" s="12" t="s">
        <v>4382</v>
      </c>
      <c r="B3468" s="12" t="s">
        <v>674</v>
      </c>
      <c r="C3468" s="12" t="s">
        <v>675</v>
      </c>
      <c r="D3468" s="12" t="s">
        <v>269</v>
      </c>
      <c r="E3468" s="12" t="s">
        <v>142</v>
      </c>
      <c r="F3468">
        <v>1</v>
      </c>
      <c r="G3468">
        <v>7</v>
      </c>
      <c r="H3468">
        <v>1</v>
      </c>
      <c r="I3468" s="12" t="s">
        <v>676</v>
      </c>
      <c r="J3468" s="12" t="s">
        <v>677</v>
      </c>
      <c r="K3468" s="12" t="s">
        <v>68</v>
      </c>
      <c r="L3468" s="12" t="s">
        <v>96</v>
      </c>
      <c r="M3468">
        <v>3.57</v>
      </c>
      <c r="N3468" s="12" t="s">
        <v>135</v>
      </c>
      <c r="O3468" s="12" t="s">
        <v>136</v>
      </c>
      <c r="P3468" s="12" t="s">
        <v>137</v>
      </c>
      <c r="Q3468" s="13">
        <v>45551</v>
      </c>
      <c r="R3468" s="13">
        <v>45591</v>
      </c>
      <c r="S3468">
        <v>2024</v>
      </c>
      <c r="T3468" s="12" t="s">
        <v>4283</v>
      </c>
      <c r="U3468">
        <v>50</v>
      </c>
      <c r="V3468">
        <v>378.2758</v>
      </c>
      <c r="W3468">
        <v>185.53</v>
      </c>
      <c r="X3468">
        <v>0</v>
      </c>
      <c r="Y3468">
        <v>0</v>
      </c>
      <c r="Z3468">
        <v>18913.79</v>
      </c>
      <c r="AA3468">
        <v>19099.32</v>
      </c>
      <c r="AB3468" s="12" t="s">
        <v>201</v>
      </c>
      <c r="AD3468">
        <v>0</v>
      </c>
      <c r="AE3468">
        <v>0</v>
      </c>
      <c r="AH3468">
        <v>50</v>
      </c>
      <c r="AI3468">
        <v>49</v>
      </c>
      <c r="AJ3468">
        <v>1</v>
      </c>
      <c r="AK3468">
        <v>1</v>
      </c>
      <c r="AL3468">
        <v>1</v>
      </c>
      <c r="AM3468">
        <v>98</v>
      </c>
      <c r="AN3468">
        <v>389.78199999999998</v>
      </c>
      <c r="AO3468">
        <v>378.28</v>
      </c>
      <c r="AP3468" s="13">
        <v>45589</v>
      </c>
      <c r="AQ3468">
        <v>-2</v>
      </c>
      <c r="AR3468">
        <v>1</v>
      </c>
    </row>
    <row r="3469" spans="1:44" x14ac:dyDescent="0.35">
      <c r="A3469" s="12" t="s">
        <v>4383</v>
      </c>
      <c r="B3469" s="12" t="s">
        <v>347</v>
      </c>
      <c r="C3469" s="12" t="s">
        <v>348</v>
      </c>
      <c r="D3469" s="12" t="s">
        <v>78</v>
      </c>
      <c r="E3469" s="12" t="s">
        <v>104</v>
      </c>
      <c r="F3469">
        <v>3</v>
      </c>
      <c r="G3469">
        <v>1</v>
      </c>
      <c r="H3469">
        <v>0</v>
      </c>
      <c r="I3469" s="12" t="s">
        <v>105</v>
      </c>
      <c r="J3469" s="12" t="s">
        <v>106</v>
      </c>
      <c r="K3469" s="12" t="s">
        <v>81</v>
      </c>
      <c r="L3469" s="12" t="s">
        <v>96</v>
      </c>
      <c r="M3469">
        <v>5.01</v>
      </c>
      <c r="N3469" s="12" t="s">
        <v>97</v>
      </c>
      <c r="O3469" s="12" t="s">
        <v>98</v>
      </c>
      <c r="P3469" s="12" t="s">
        <v>72</v>
      </c>
      <c r="Q3469" s="13">
        <v>45551</v>
      </c>
      <c r="R3469" s="13">
        <v>45563</v>
      </c>
      <c r="S3469">
        <v>2024</v>
      </c>
      <c r="T3469" s="12" t="s">
        <v>4283</v>
      </c>
      <c r="U3469">
        <v>43</v>
      </c>
      <c r="V3469">
        <v>100.28740000000001</v>
      </c>
      <c r="W3469">
        <v>93.77</v>
      </c>
      <c r="X3469">
        <v>0</v>
      </c>
      <c r="Y3469">
        <v>0</v>
      </c>
      <c r="Z3469">
        <v>4312.3599999999997</v>
      </c>
      <c r="AA3469">
        <v>4406.13</v>
      </c>
      <c r="AB3469" s="12" t="s">
        <v>2996</v>
      </c>
      <c r="AC3469">
        <v>100.28740000000001</v>
      </c>
      <c r="AD3469">
        <v>1</v>
      </c>
      <c r="AE3469">
        <v>1</v>
      </c>
      <c r="AF3469">
        <v>0</v>
      </c>
      <c r="AG3469">
        <v>4312.3599999999997</v>
      </c>
      <c r="AH3469">
        <v>43</v>
      </c>
      <c r="AI3469">
        <v>42</v>
      </c>
      <c r="AJ3469">
        <v>1</v>
      </c>
      <c r="AK3469">
        <v>1</v>
      </c>
      <c r="AL3469">
        <v>1</v>
      </c>
      <c r="AM3469">
        <v>97.67</v>
      </c>
      <c r="AN3469">
        <v>104.90779999999999</v>
      </c>
      <c r="AO3469">
        <v>100.29</v>
      </c>
      <c r="AP3469" s="13">
        <v>45561</v>
      </c>
      <c r="AQ3469">
        <v>-2</v>
      </c>
      <c r="AR3469">
        <v>1</v>
      </c>
    </row>
    <row r="3470" spans="1:44" x14ac:dyDescent="0.35">
      <c r="A3470" s="12" t="s">
        <v>4384</v>
      </c>
      <c r="B3470" s="12" t="s">
        <v>963</v>
      </c>
      <c r="C3470" s="12" t="s">
        <v>964</v>
      </c>
      <c r="D3470" s="12" t="s">
        <v>114</v>
      </c>
      <c r="E3470" s="12" t="s">
        <v>142</v>
      </c>
      <c r="F3470">
        <v>1</v>
      </c>
      <c r="G3470">
        <v>6</v>
      </c>
      <c r="H3470">
        <v>1</v>
      </c>
      <c r="I3470" s="12" t="s">
        <v>176</v>
      </c>
      <c r="J3470" s="12" t="s">
        <v>177</v>
      </c>
      <c r="K3470" s="12" t="s">
        <v>125</v>
      </c>
      <c r="L3470" s="12" t="s">
        <v>134</v>
      </c>
      <c r="M3470">
        <v>1.75</v>
      </c>
      <c r="N3470" s="12" t="s">
        <v>97</v>
      </c>
      <c r="O3470" s="12" t="s">
        <v>98</v>
      </c>
      <c r="P3470" s="12" t="s">
        <v>72</v>
      </c>
      <c r="Q3470" s="13">
        <v>45551</v>
      </c>
      <c r="R3470" s="13">
        <v>45600</v>
      </c>
      <c r="S3470">
        <v>2024</v>
      </c>
      <c r="T3470" s="12" t="s">
        <v>4283</v>
      </c>
      <c r="U3470">
        <v>125</v>
      </c>
      <c r="V3470">
        <v>194.16829999999999</v>
      </c>
      <c r="W3470">
        <v>415.89</v>
      </c>
      <c r="X3470">
        <v>0</v>
      </c>
      <c r="Y3470">
        <v>0</v>
      </c>
      <c r="Z3470">
        <v>24271.040000000001</v>
      </c>
      <c r="AA3470">
        <v>24686.93</v>
      </c>
      <c r="AB3470" s="12" t="s">
        <v>3290</v>
      </c>
      <c r="AC3470">
        <v>194.16829999999999</v>
      </c>
      <c r="AD3470">
        <v>1</v>
      </c>
      <c r="AE3470">
        <v>1</v>
      </c>
      <c r="AF3470">
        <v>0</v>
      </c>
      <c r="AG3470">
        <v>24271.040000000001</v>
      </c>
      <c r="AH3470">
        <v>125</v>
      </c>
      <c r="AI3470">
        <v>124</v>
      </c>
      <c r="AJ3470">
        <v>1</v>
      </c>
      <c r="AK3470">
        <v>1</v>
      </c>
      <c r="AL3470">
        <v>1</v>
      </c>
      <c r="AM3470">
        <v>99.2</v>
      </c>
      <c r="AN3470">
        <v>199.0881</v>
      </c>
      <c r="AO3470">
        <v>194.17</v>
      </c>
      <c r="AP3470" s="13">
        <v>45599</v>
      </c>
      <c r="AQ3470">
        <v>-1</v>
      </c>
      <c r="AR3470">
        <v>1</v>
      </c>
    </row>
    <row r="3471" spans="1:44" x14ac:dyDescent="0.35">
      <c r="A3471" s="12" t="s">
        <v>4385</v>
      </c>
      <c r="B3471" s="12" t="s">
        <v>1034</v>
      </c>
      <c r="C3471" s="12" t="s">
        <v>1035</v>
      </c>
      <c r="D3471" s="12" t="s">
        <v>64</v>
      </c>
      <c r="E3471" s="12" t="s">
        <v>104</v>
      </c>
      <c r="F3471">
        <v>2</v>
      </c>
      <c r="G3471">
        <v>0</v>
      </c>
      <c r="H3471">
        <v>0</v>
      </c>
      <c r="I3471" s="12" t="s">
        <v>676</v>
      </c>
      <c r="J3471" s="12" t="s">
        <v>677</v>
      </c>
      <c r="K3471" s="12" t="s">
        <v>68</v>
      </c>
      <c r="L3471" s="12" t="s">
        <v>96</v>
      </c>
      <c r="M3471">
        <v>3.57</v>
      </c>
      <c r="N3471" s="12" t="s">
        <v>97</v>
      </c>
      <c r="O3471" s="12" t="s">
        <v>98</v>
      </c>
      <c r="P3471" s="12" t="s">
        <v>72</v>
      </c>
      <c r="Q3471" s="13">
        <v>45551</v>
      </c>
      <c r="R3471" s="13">
        <v>45574</v>
      </c>
      <c r="S3471">
        <v>2024</v>
      </c>
      <c r="T3471" s="12" t="s">
        <v>4283</v>
      </c>
      <c r="U3471">
        <v>698</v>
      </c>
      <c r="V3471">
        <v>9.9720999999999993</v>
      </c>
      <c r="W3471">
        <v>169.58</v>
      </c>
      <c r="X3471">
        <v>0</v>
      </c>
      <c r="Y3471">
        <v>0</v>
      </c>
      <c r="Z3471">
        <v>6960.53</v>
      </c>
      <c r="AA3471">
        <v>7130.11</v>
      </c>
      <c r="AB3471" s="12" t="s">
        <v>3523</v>
      </c>
      <c r="AC3471">
        <v>9.9720999999999993</v>
      </c>
      <c r="AD3471">
        <v>1</v>
      </c>
      <c r="AE3471">
        <v>1</v>
      </c>
      <c r="AF3471">
        <v>0</v>
      </c>
      <c r="AG3471">
        <v>6960.53</v>
      </c>
      <c r="AH3471">
        <v>698</v>
      </c>
      <c r="AI3471">
        <v>696</v>
      </c>
      <c r="AJ3471">
        <v>2</v>
      </c>
      <c r="AK3471">
        <v>1</v>
      </c>
      <c r="AL3471">
        <v>1</v>
      </c>
      <c r="AM3471">
        <v>99.71</v>
      </c>
      <c r="AN3471">
        <v>10.244400000000001</v>
      </c>
      <c r="AO3471">
        <v>19.940000000000001</v>
      </c>
      <c r="AP3471" s="13">
        <v>45570</v>
      </c>
      <c r="AQ3471">
        <v>-4</v>
      </c>
      <c r="AR3471">
        <v>1</v>
      </c>
    </row>
    <row r="3472" spans="1:44" x14ac:dyDescent="0.35">
      <c r="A3472" s="12" t="s">
        <v>4386</v>
      </c>
      <c r="B3472" s="12" t="s">
        <v>112</v>
      </c>
      <c r="C3472" s="12" t="s">
        <v>113</v>
      </c>
      <c r="D3472" s="12" t="s">
        <v>114</v>
      </c>
      <c r="E3472" s="12" t="s">
        <v>104</v>
      </c>
      <c r="F3472">
        <v>3</v>
      </c>
      <c r="G3472">
        <v>1</v>
      </c>
      <c r="H3472">
        <v>0</v>
      </c>
      <c r="I3472" s="12" t="s">
        <v>227</v>
      </c>
      <c r="J3472" s="12" t="s">
        <v>228</v>
      </c>
      <c r="K3472" s="12" t="s">
        <v>89</v>
      </c>
      <c r="L3472" s="12" t="s">
        <v>96</v>
      </c>
      <c r="M3472">
        <v>9.15</v>
      </c>
      <c r="N3472" s="12" t="s">
        <v>70</v>
      </c>
      <c r="O3472" s="12" t="s">
        <v>71</v>
      </c>
      <c r="P3472" s="12" t="s">
        <v>72</v>
      </c>
      <c r="Q3472" s="13">
        <v>45551</v>
      </c>
      <c r="R3472" s="13">
        <v>45578</v>
      </c>
      <c r="S3472">
        <v>2024</v>
      </c>
      <c r="T3472" s="12" t="s">
        <v>4283</v>
      </c>
      <c r="U3472">
        <v>133</v>
      </c>
      <c r="V3472">
        <v>255.786</v>
      </c>
      <c r="W3472">
        <v>625.20000000000005</v>
      </c>
      <c r="X3472">
        <v>0</v>
      </c>
      <c r="Y3472">
        <v>0</v>
      </c>
      <c r="Z3472">
        <v>34019.54</v>
      </c>
      <c r="AA3472">
        <v>34644.74</v>
      </c>
      <c r="AB3472" s="12" t="s">
        <v>2839</v>
      </c>
      <c r="AC3472">
        <v>255.786</v>
      </c>
      <c r="AD3472">
        <v>1</v>
      </c>
      <c r="AE3472">
        <v>1</v>
      </c>
      <c r="AF3472">
        <v>0</v>
      </c>
      <c r="AG3472">
        <v>34019.54</v>
      </c>
      <c r="AH3472">
        <v>133</v>
      </c>
      <c r="AI3472">
        <v>132</v>
      </c>
      <c r="AJ3472">
        <v>1</v>
      </c>
      <c r="AK3472">
        <v>1</v>
      </c>
      <c r="AL3472">
        <v>1</v>
      </c>
      <c r="AM3472">
        <v>99.25</v>
      </c>
      <c r="AN3472">
        <v>262.46010000000001</v>
      </c>
      <c r="AO3472">
        <v>255.79</v>
      </c>
      <c r="AP3472" s="13">
        <v>45576</v>
      </c>
      <c r="AQ3472">
        <v>-2</v>
      </c>
      <c r="AR3472">
        <v>1</v>
      </c>
    </row>
    <row r="3473" spans="1:44" x14ac:dyDescent="0.35">
      <c r="A3473" s="12" t="s">
        <v>4387</v>
      </c>
      <c r="B3473" s="12" t="s">
        <v>472</v>
      </c>
      <c r="C3473" s="12" t="s">
        <v>473</v>
      </c>
      <c r="D3473" s="12" t="s">
        <v>122</v>
      </c>
      <c r="E3473" s="12" t="s">
        <v>142</v>
      </c>
      <c r="F3473">
        <v>2</v>
      </c>
      <c r="G3473">
        <v>9</v>
      </c>
      <c r="H3473">
        <v>0</v>
      </c>
      <c r="I3473" s="12" t="s">
        <v>209</v>
      </c>
      <c r="J3473" s="12" t="s">
        <v>210</v>
      </c>
      <c r="K3473" s="12" t="s">
        <v>133</v>
      </c>
      <c r="L3473" s="12" t="s">
        <v>96</v>
      </c>
      <c r="M3473">
        <v>7.82</v>
      </c>
      <c r="N3473" s="12" t="s">
        <v>97</v>
      </c>
      <c r="O3473" s="12" t="s">
        <v>98</v>
      </c>
      <c r="P3473" s="12" t="s">
        <v>72</v>
      </c>
      <c r="Q3473" s="13">
        <v>45551</v>
      </c>
      <c r="R3473" s="13">
        <v>45599</v>
      </c>
      <c r="S3473">
        <v>2024</v>
      </c>
      <c r="T3473" s="12" t="s">
        <v>4283</v>
      </c>
      <c r="U3473">
        <v>1518</v>
      </c>
      <c r="V3473">
        <v>46.789099999999998</v>
      </c>
      <c r="W3473">
        <v>438.29</v>
      </c>
      <c r="X3473">
        <v>0</v>
      </c>
      <c r="Y3473">
        <v>0</v>
      </c>
      <c r="Z3473">
        <v>71025.850000000006</v>
      </c>
      <c r="AA3473">
        <v>71464.14</v>
      </c>
      <c r="AB3473" s="12" t="s">
        <v>2966</v>
      </c>
      <c r="AC3473">
        <v>46.789099999999998</v>
      </c>
      <c r="AD3473">
        <v>1</v>
      </c>
      <c r="AE3473">
        <v>1</v>
      </c>
      <c r="AF3473">
        <v>0</v>
      </c>
      <c r="AG3473">
        <v>71025.850000000006</v>
      </c>
      <c r="AH3473">
        <v>1518</v>
      </c>
      <c r="AI3473">
        <v>1501</v>
      </c>
      <c r="AJ3473">
        <v>17</v>
      </c>
      <c r="AK3473">
        <v>1</v>
      </c>
      <c r="AL3473">
        <v>1</v>
      </c>
      <c r="AM3473">
        <v>98.88</v>
      </c>
      <c r="AN3473">
        <v>47.610999999999997</v>
      </c>
      <c r="AO3473">
        <v>795.41</v>
      </c>
      <c r="AP3473" s="13">
        <v>45597</v>
      </c>
      <c r="AQ3473">
        <v>-2</v>
      </c>
      <c r="AR3473">
        <v>1</v>
      </c>
    </row>
    <row r="3474" spans="1:44" x14ac:dyDescent="0.35">
      <c r="A3474" s="12" t="s">
        <v>4388</v>
      </c>
      <c r="B3474" s="12" t="s">
        <v>261</v>
      </c>
      <c r="C3474" s="12" t="s">
        <v>262</v>
      </c>
      <c r="D3474" s="12" t="s">
        <v>114</v>
      </c>
      <c r="E3474" s="12" t="s">
        <v>142</v>
      </c>
      <c r="F3474">
        <v>1</v>
      </c>
      <c r="G3474">
        <v>8</v>
      </c>
      <c r="H3474">
        <v>1</v>
      </c>
      <c r="I3474" s="12" t="s">
        <v>263</v>
      </c>
      <c r="J3474" s="12" t="s">
        <v>264</v>
      </c>
      <c r="K3474" s="12" t="s">
        <v>125</v>
      </c>
      <c r="L3474" s="12" t="s">
        <v>82</v>
      </c>
      <c r="M3474">
        <v>10.210000000000001</v>
      </c>
      <c r="N3474" s="12" t="s">
        <v>97</v>
      </c>
      <c r="O3474" s="12" t="s">
        <v>98</v>
      </c>
      <c r="P3474" s="12" t="s">
        <v>72</v>
      </c>
      <c r="Q3474" s="13">
        <v>45551</v>
      </c>
      <c r="R3474" s="13">
        <v>45599</v>
      </c>
      <c r="S3474">
        <v>2024</v>
      </c>
      <c r="T3474" s="12" t="s">
        <v>4283</v>
      </c>
      <c r="U3474">
        <v>111</v>
      </c>
      <c r="V3474">
        <v>137.84569999999999</v>
      </c>
      <c r="W3474">
        <v>264.81</v>
      </c>
      <c r="X3474">
        <v>0</v>
      </c>
      <c r="Y3474">
        <v>0</v>
      </c>
      <c r="Z3474">
        <v>15300.87</v>
      </c>
      <c r="AA3474">
        <v>15565.68</v>
      </c>
      <c r="AB3474" s="12" t="s">
        <v>2655</v>
      </c>
      <c r="AC3474">
        <v>137.84569999999999</v>
      </c>
      <c r="AD3474">
        <v>1</v>
      </c>
      <c r="AE3474">
        <v>1</v>
      </c>
      <c r="AF3474">
        <v>0</v>
      </c>
      <c r="AG3474">
        <v>15300.87</v>
      </c>
      <c r="AH3474">
        <v>111</v>
      </c>
      <c r="AI3474">
        <v>108</v>
      </c>
      <c r="AJ3474">
        <v>3</v>
      </c>
      <c r="AK3474">
        <v>1</v>
      </c>
      <c r="AL3474">
        <v>1</v>
      </c>
      <c r="AM3474">
        <v>97.3</v>
      </c>
      <c r="AN3474">
        <v>144.1267</v>
      </c>
      <c r="AO3474">
        <v>413.54</v>
      </c>
      <c r="AP3474" s="13">
        <v>45602</v>
      </c>
      <c r="AQ3474">
        <v>3</v>
      </c>
      <c r="AR3474">
        <v>0</v>
      </c>
    </row>
    <row r="3475" spans="1:44" x14ac:dyDescent="0.35">
      <c r="A3475" s="12" t="s">
        <v>4389</v>
      </c>
      <c r="B3475" s="12" t="s">
        <v>92</v>
      </c>
      <c r="C3475" s="12" t="s">
        <v>93</v>
      </c>
      <c r="D3475" s="12" t="s">
        <v>64</v>
      </c>
      <c r="E3475" s="12" t="s">
        <v>65</v>
      </c>
      <c r="F3475">
        <v>3</v>
      </c>
      <c r="G3475">
        <v>5</v>
      </c>
      <c r="H3475">
        <v>0</v>
      </c>
      <c r="I3475" s="12" t="s">
        <v>94</v>
      </c>
      <c r="J3475" s="12" t="s">
        <v>95</v>
      </c>
      <c r="K3475" s="12" t="s">
        <v>81</v>
      </c>
      <c r="L3475" s="12" t="s">
        <v>96</v>
      </c>
      <c r="M3475">
        <v>4.8099999999999996</v>
      </c>
      <c r="N3475" s="12" t="s">
        <v>70</v>
      </c>
      <c r="O3475" s="12" t="s">
        <v>71</v>
      </c>
      <c r="P3475" s="12" t="s">
        <v>72</v>
      </c>
      <c r="Q3475" s="13">
        <v>45551</v>
      </c>
      <c r="R3475" s="13">
        <v>45583</v>
      </c>
      <c r="S3475">
        <v>2024</v>
      </c>
      <c r="T3475" s="12" t="s">
        <v>4283</v>
      </c>
      <c r="U3475">
        <v>661</v>
      </c>
      <c r="V3475">
        <v>23.8764</v>
      </c>
      <c r="W3475">
        <v>214.2</v>
      </c>
      <c r="X3475">
        <v>0</v>
      </c>
      <c r="Y3475">
        <v>0</v>
      </c>
      <c r="Z3475">
        <v>15782.3</v>
      </c>
      <c r="AA3475">
        <v>15996.5</v>
      </c>
      <c r="AB3475" s="12" t="s">
        <v>2802</v>
      </c>
      <c r="AC3475">
        <v>23.8764</v>
      </c>
      <c r="AD3475">
        <v>1</v>
      </c>
      <c r="AE3475">
        <v>1</v>
      </c>
      <c r="AF3475">
        <v>0</v>
      </c>
      <c r="AG3475">
        <v>15782.3</v>
      </c>
      <c r="AH3475">
        <v>661</v>
      </c>
      <c r="AI3475">
        <v>659</v>
      </c>
      <c r="AJ3475">
        <v>2</v>
      </c>
      <c r="AK3475">
        <v>1</v>
      </c>
      <c r="AL3475">
        <v>1</v>
      </c>
      <c r="AM3475">
        <v>99.7</v>
      </c>
      <c r="AN3475">
        <v>24.273900000000001</v>
      </c>
      <c r="AO3475">
        <v>47.75</v>
      </c>
      <c r="AP3475" s="13">
        <v>45583</v>
      </c>
      <c r="AQ3475">
        <v>0</v>
      </c>
      <c r="AR3475">
        <v>1</v>
      </c>
    </row>
    <row r="3476" spans="1:44" x14ac:dyDescent="0.35">
      <c r="A3476" s="12" t="s">
        <v>4390</v>
      </c>
      <c r="B3476" s="12" t="s">
        <v>92</v>
      </c>
      <c r="C3476" s="12" t="s">
        <v>93</v>
      </c>
      <c r="D3476" s="12" t="s">
        <v>64</v>
      </c>
      <c r="E3476" s="12" t="s">
        <v>65</v>
      </c>
      <c r="F3476">
        <v>3</v>
      </c>
      <c r="G3476">
        <v>5</v>
      </c>
      <c r="H3476">
        <v>0</v>
      </c>
      <c r="I3476" s="12" t="s">
        <v>94</v>
      </c>
      <c r="J3476" s="12" t="s">
        <v>95</v>
      </c>
      <c r="K3476" s="12" t="s">
        <v>81</v>
      </c>
      <c r="L3476" s="12" t="s">
        <v>96</v>
      </c>
      <c r="M3476">
        <v>4.8099999999999996</v>
      </c>
      <c r="N3476" s="12" t="s">
        <v>70</v>
      </c>
      <c r="O3476" s="12" t="s">
        <v>71</v>
      </c>
      <c r="P3476" s="12" t="s">
        <v>72</v>
      </c>
      <c r="Q3476" s="13">
        <v>45551</v>
      </c>
      <c r="R3476" s="13">
        <v>45575</v>
      </c>
      <c r="S3476">
        <v>2024</v>
      </c>
      <c r="T3476" s="12" t="s">
        <v>4283</v>
      </c>
      <c r="U3476">
        <v>298</v>
      </c>
      <c r="V3476">
        <v>23.8764</v>
      </c>
      <c r="W3476">
        <v>118.63</v>
      </c>
      <c r="X3476">
        <v>0</v>
      </c>
      <c r="Y3476">
        <v>0</v>
      </c>
      <c r="Z3476">
        <v>7115.17</v>
      </c>
      <c r="AA3476">
        <v>7233.8</v>
      </c>
      <c r="AB3476" s="12" t="s">
        <v>2802</v>
      </c>
      <c r="AC3476">
        <v>23.8764</v>
      </c>
      <c r="AD3476">
        <v>1</v>
      </c>
      <c r="AE3476">
        <v>1</v>
      </c>
      <c r="AF3476">
        <v>0</v>
      </c>
      <c r="AG3476">
        <v>7115.17</v>
      </c>
      <c r="AH3476">
        <v>298</v>
      </c>
      <c r="AI3476">
        <v>294</v>
      </c>
      <c r="AJ3476">
        <v>4</v>
      </c>
      <c r="AK3476">
        <v>1</v>
      </c>
      <c r="AL3476">
        <v>1</v>
      </c>
      <c r="AM3476">
        <v>98.66</v>
      </c>
      <c r="AN3476">
        <v>24.604800000000001</v>
      </c>
      <c r="AO3476">
        <v>95.51</v>
      </c>
      <c r="AP3476" s="13">
        <v>45575</v>
      </c>
      <c r="AQ3476">
        <v>0</v>
      </c>
      <c r="AR3476">
        <v>1</v>
      </c>
    </row>
    <row r="3477" spans="1:44" x14ac:dyDescent="0.35">
      <c r="A3477" s="12" t="s">
        <v>4391</v>
      </c>
      <c r="B3477" s="12" t="s">
        <v>1042</v>
      </c>
      <c r="C3477" s="12" t="s">
        <v>1043</v>
      </c>
      <c r="D3477" s="12" t="s">
        <v>269</v>
      </c>
      <c r="E3477" s="12" t="s">
        <v>104</v>
      </c>
      <c r="F3477">
        <v>2</v>
      </c>
      <c r="G3477">
        <v>0</v>
      </c>
      <c r="H3477">
        <v>0</v>
      </c>
      <c r="I3477" s="12" t="s">
        <v>143</v>
      </c>
      <c r="J3477" s="12" t="s">
        <v>144</v>
      </c>
      <c r="K3477" s="12" t="s">
        <v>133</v>
      </c>
      <c r="L3477" s="12" t="s">
        <v>96</v>
      </c>
      <c r="M3477">
        <v>5.43</v>
      </c>
      <c r="N3477" s="12" t="s">
        <v>159</v>
      </c>
      <c r="O3477" s="12" t="s">
        <v>160</v>
      </c>
      <c r="P3477" s="12" t="s">
        <v>137</v>
      </c>
      <c r="Q3477" s="13">
        <v>45551</v>
      </c>
      <c r="R3477" s="13">
        <v>45564</v>
      </c>
      <c r="S3477">
        <v>2024</v>
      </c>
      <c r="T3477" s="12" t="s">
        <v>4283</v>
      </c>
      <c r="U3477">
        <v>21</v>
      </c>
      <c r="V3477">
        <v>282.86169999999998</v>
      </c>
      <c r="W3477">
        <v>91.41</v>
      </c>
      <c r="X3477">
        <v>0</v>
      </c>
      <c r="Y3477">
        <v>0</v>
      </c>
      <c r="Z3477">
        <v>5940.1</v>
      </c>
      <c r="AA3477">
        <v>6031.51</v>
      </c>
      <c r="AB3477" s="12" t="s">
        <v>3788</v>
      </c>
      <c r="AC3477">
        <v>282.86169999999998</v>
      </c>
      <c r="AD3477">
        <v>1</v>
      </c>
      <c r="AE3477">
        <v>1</v>
      </c>
      <c r="AF3477">
        <v>0</v>
      </c>
      <c r="AG3477">
        <v>5940.1</v>
      </c>
      <c r="AH3477">
        <v>21</v>
      </c>
      <c r="AI3477">
        <v>21</v>
      </c>
      <c r="AJ3477">
        <v>0</v>
      </c>
      <c r="AK3477">
        <v>1</v>
      </c>
      <c r="AL3477">
        <v>1</v>
      </c>
      <c r="AM3477">
        <v>100</v>
      </c>
      <c r="AN3477">
        <v>287.21460000000002</v>
      </c>
      <c r="AO3477">
        <v>0</v>
      </c>
      <c r="AP3477" s="13">
        <v>45560</v>
      </c>
      <c r="AQ3477">
        <v>-4</v>
      </c>
      <c r="AR3477">
        <v>1</v>
      </c>
    </row>
    <row r="3478" spans="1:44" x14ac:dyDescent="0.35">
      <c r="A3478" s="12" t="s">
        <v>4392</v>
      </c>
      <c r="B3478" s="12" t="s">
        <v>1433</v>
      </c>
      <c r="C3478" s="12" t="s">
        <v>1434</v>
      </c>
      <c r="D3478" s="12" t="s">
        <v>269</v>
      </c>
      <c r="E3478" s="12" t="s">
        <v>65</v>
      </c>
      <c r="F3478">
        <v>3</v>
      </c>
      <c r="G3478">
        <v>5</v>
      </c>
      <c r="H3478">
        <v>0</v>
      </c>
      <c r="I3478" s="12" t="s">
        <v>223</v>
      </c>
      <c r="J3478" s="12" t="s">
        <v>224</v>
      </c>
      <c r="K3478" s="12" t="s">
        <v>81</v>
      </c>
      <c r="L3478" s="12" t="s">
        <v>134</v>
      </c>
      <c r="M3478">
        <v>2.4900000000000002</v>
      </c>
      <c r="N3478" s="12" t="s">
        <v>135</v>
      </c>
      <c r="O3478" s="12" t="s">
        <v>136</v>
      </c>
      <c r="P3478" s="12" t="s">
        <v>137</v>
      </c>
      <c r="Q3478" s="13">
        <v>45551</v>
      </c>
      <c r="R3478" s="13">
        <v>45573</v>
      </c>
      <c r="S3478">
        <v>2024</v>
      </c>
      <c r="T3478" s="12" t="s">
        <v>4283</v>
      </c>
      <c r="U3478">
        <v>17</v>
      </c>
      <c r="V3478">
        <v>494.06790000000001</v>
      </c>
      <c r="W3478">
        <v>148.12</v>
      </c>
      <c r="X3478">
        <v>0</v>
      </c>
      <c r="Y3478">
        <v>0</v>
      </c>
      <c r="Z3478">
        <v>8399.15</v>
      </c>
      <c r="AA3478">
        <v>8547.27</v>
      </c>
      <c r="AB3478" s="12" t="s">
        <v>201</v>
      </c>
      <c r="AD3478">
        <v>0</v>
      </c>
      <c r="AE3478">
        <v>0</v>
      </c>
      <c r="AH3478">
        <v>17</v>
      </c>
      <c r="AI3478">
        <v>17</v>
      </c>
      <c r="AJ3478">
        <v>0</v>
      </c>
      <c r="AK3478">
        <v>1</v>
      </c>
      <c r="AL3478">
        <v>1</v>
      </c>
      <c r="AM3478">
        <v>100</v>
      </c>
      <c r="AN3478">
        <v>502.7808</v>
      </c>
      <c r="AO3478">
        <v>0</v>
      </c>
      <c r="AP3478" s="13">
        <v>45572</v>
      </c>
      <c r="AQ3478">
        <v>-1</v>
      </c>
      <c r="AR3478">
        <v>1</v>
      </c>
    </row>
    <row r="3479" spans="1:44" x14ac:dyDescent="0.35">
      <c r="A3479" s="12" t="s">
        <v>4393</v>
      </c>
      <c r="B3479" s="12" t="s">
        <v>694</v>
      </c>
      <c r="C3479" s="12" t="s">
        <v>695</v>
      </c>
      <c r="D3479" s="12" t="s">
        <v>103</v>
      </c>
      <c r="E3479" s="12" t="s">
        <v>65</v>
      </c>
      <c r="F3479">
        <v>2</v>
      </c>
      <c r="G3479">
        <v>3</v>
      </c>
      <c r="H3479">
        <v>0</v>
      </c>
      <c r="I3479" s="12" t="s">
        <v>94</v>
      </c>
      <c r="J3479" s="12" t="s">
        <v>95</v>
      </c>
      <c r="K3479" s="12" t="s">
        <v>81</v>
      </c>
      <c r="L3479" s="12" t="s">
        <v>96</v>
      </c>
      <c r="M3479">
        <v>4.8099999999999996</v>
      </c>
      <c r="N3479" s="12" t="s">
        <v>145</v>
      </c>
      <c r="O3479" s="12" t="s">
        <v>146</v>
      </c>
      <c r="P3479" s="12" t="s">
        <v>109</v>
      </c>
      <c r="Q3479" s="13">
        <v>45552</v>
      </c>
      <c r="R3479" s="13">
        <v>45578</v>
      </c>
      <c r="S3479">
        <v>2024</v>
      </c>
      <c r="T3479" s="12" t="s">
        <v>4283</v>
      </c>
      <c r="U3479">
        <v>49</v>
      </c>
      <c r="V3479">
        <v>213.56809999999999</v>
      </c>
      <c r="W3479">
        <v>162.85</v>
      </c>
      <c r="X3479">
        <v>0</v>
      </c>
      <c r="Y3479">
        <v>0</v>
      </c>
      <c r="Z3479">
        <v>10464.84</v>
      </c>
      <c r="AA3479">
        <v>10627.69</v>
      </c>
      <c r="AB3479" s="12" t="s">
        <v>4394</v>
      </c>
      <c r="AC3479">
        <v>213.56809999999999</v>
      </c>
      <c r="AD3479">
        <v>1</v>
      </c>
      <c r="AE3479">
        <v>1</v>
      </c>
      <c r="AF3479">
        <v>0</v>
      </c>
      <c r="AG3479">
        <v>10464.84</v>
      </c>
      <c r="AH3479">
        <v>49</v>
      </c>
      <c r="AI3479">
        <v>48</v>
      </c>
      <c r="AJ3479">
        <v>1</v>
      </c>
      <c r="AK3479">
        <v>1</v>
      </c>
      <c r="AL3479">
        <v>1</v>
      </c>
      <c r="AM3479">
        <v>97.96</v>
      </c>
      <c r="AN3479">
        <v>221.4101</v>
      </c>
      <c r="AO3479">
        <v>213.57</v>
      </c>
      <c r="AP3479" s="13">
        <v>45580</v>
      </c>
      <c r="AQ3479">
        <v>2</v>
      </c>
      <c r="AR3479">
        <v>0</v>
      </c>
    </row>
    <row r="3480" spans="1:44" x14ac:dyDescent="0.35">
      <c r="A3480" s="12" t="s">
        <v>4395</v>
      </c>
      <c r="B3480" s="12" t="s">
        <v>408</v>
      </c>
      <c r="C3480" s="12" t="s">
        <v>409</v>
      </c>
      <c r="D3480" s="12" t="s">
        <v>130</v>
      </c>
      <c r="E3480" s="12" t="s">
        <v>65</v>
      </c>
      <c r="F3480">
        <v>3</v>
      </c>
      <c r="G3480">
        <v>5</v>
      </c>
      <c r="H3480">
        <v>0</v>
      </c>
      <c r="I3480" s="12" t="s">
        <v>94</v>
      </c>
      <c r="J3480" s="12" t="s">
        <v>95</v>
      </c>
      <c r="K3480" s="12" t="s">
        <v>81</v>
      </c>
      <c r="L3480" s="12" t="s">
        <v>96</v>
      </c>
      <c r="M3480">
        <v>4.8099999999999996</v>
      </c>
      <c r="N3480" s="12" t="s">
        <v>159</v>
      </c>
      <c r="O3480" s="12" t="s">
        <v>160</v>
      </c>
      <c r="P3480" s="12" t="s">
        <v>137</v>
      </c>
      <c r="Q3480" s="13">
        <v>45552</v>
      </c>
      <c r="R3480" s="13">
        <v>45583</v>
      </c>
      <c r="S3480">
        <v>2024</v>
      </c>
      <c r="T3480" s="12" t="s">
        <v>4283</v>
      </c>
      <c r="U3480">
        <v>89</v>
      </c>
      <c r="V3480">
        <v>825.62779999999998</v>
      </c>
      <c r="W3480">
        <v>610.87</v>
      </c>
      <c r="X3480">
        <v>0</v>
      </c>
      <c r="Y3480">
        <v>0</v>
      </c>
      <c r="Z3480">
        <v>73480.87</v>
      </c>
      <c r="AA3480">
        <v>74091.740000000005</v>
      </c>
      <c r="AB3480" s="12" t="s">
        <v>201</v>
      </c>
      <c r="AD3480">
        <v>0</v>
      </c>
      <c r="AE3480">
        <v>0</v>
      </c>
      <c r="AH3480">
        <v>89</v>
      </c>
      <c r="AI3480">
        <v>89</v>
      </c>
      <c r="AJ3480">
        <v>0</v>
      </c>
      <c r="AK3480">
        <v>1</v>
      </c>
      <c r="AL3480">
        <v>1</v>
      </c>
      <c r="AM3480">
        <v>100</v>
      </c>
      <c r="AN3480">
        <v>832.49149999999997</v>
      </c>
      <c r="AO3480">
        <v>0</v>
      </c>
      <c r="AP3480" s="13">
        <v>45586</v>
      </c>
      <c r="AQ3480">
        <v>3</v>
      </c>
      <c r="AR3480">
        <v>0</v>
      </c>
    </row>
    <row r="3481" spans="1:44" x14ac:dyDescent="0.35">
      <c r="A3481" s="12" t="s">
        <v>4396</v>
      </c>
      <c r="B3481" s="12" t="s">
        <v>555</v>
      </c>
      <c r="C3481" s="12" t="s">
        <v>556</v>
      </c>
      <c r="D3481" s="12" t="s">
        <v>114</v>
      </c>
      <c r="E3481" s="12" t="s">
        <v>142</v>
      </c>
      <c r="F3481">
        <v>1</v>
      </c>
      <c r="G3481">
        <v>6</v>
      </c>
      <c r="H3481">
        <v>1</v>
      </c>
      <c r="I3481" s="12" t="s">
        <v>151</v>
      </c>
      <c r="J3481" s="12" t="s">
        <v>152</v>
      </c>
      <c r="K3481" s="12" t="s">
        <v>125</v>
      </c>
      <c r="L3481" s="12" t="s">
        <v>69</v>
      </c>
      <c r="M3481">
        <v>36.479999999999997</v>
      </c>
      <c r="N3481" s="12" t="s">
        <v>70</v>
      </c>
      <c r="O3481" s="12" t="s">
        <v>71</v>
      </c>
      <c r="P3481" s="12" t="s">
        <v>72</v>
      </c>
      <c r="Q3481" s="13">
        <v>45552</v>
      </c>
      <c r="R3481" s="13">
        <v>45597</v>
      </c>
      <c r="S3481">
        <v>2024</v>
      </c>
      <c r="T3481" s="12" t="s">
        <v>4283</v>
      </c>
      <c r="U3481">
        <v>89</v>
      </c>
      <c r="V3481">
        <v>278.31920000000002</v>
      </c>
      <c r="W3481">
        <v>395.95</v>
      </c>
      <c r="X3481">
        <v>0</v>
      </c>
      <c r="Y3481">
        <v>0</v>
      </c>
      <c r="Z3481">
        <v>24770.41</v>
      </c>
      <c r="AA3481">
        <v>25166.36</v>
      </c>
      <c r="AB3481" s="12" t="s">
        <v>2922</v>
      </c>
      <c r="AC3481">
        <v>278.31920000000002</v>
      </c>
      <c r="AD3481">
        <v>1</v>
      </c>
      <c r="AE3481">
        <v>1</v>
      </c>
      <c r="AF3481">
        <v>0</v>
      </c>
      <c r="AG3481">
        <v>24770.41</v>
      </c>
      <c r="AH3481">
        <v>89</v>
      </c>
      <c r="AI3481">
        <v>87</v>
      </c>
      <c r="AJ3481">
        <v>2</v>
      </c>
      <c r="AK3481">
        <v>1</v>
      </c>
      <c r="AL3481">
        <v>1</v>
      </c>
      <c r="AM3481">
        <v>97.75</v>
      </c>
      <c r="AN3481">
        <v>289.26850000000002</v>
      </c>
      <c r="AO3481">
        <v>556.64</v>
      </c>
      <c r="AP3481" s="13">
        <v>45595</v>
      </c>
      <c r="AQ3481">
        <v>-2</v>
      </c>
      <c r="AR3481">
        <v>1</v>
      </c>
    </row>
    <row r="3482" spans="1:44" x14ac:dyDescent="0.35">
      <c r="A3482" s="12" t="s">
        <v>4397</v>
      </c>
      <c r="B3482" s="12" t="s">
        <v>339</v>
      </c>
      <c r="C3482" s="12" t="s">
        <v>340</v>
      </c>
      <c r="D3482" s="12" t="s">
        <v>103</v>
      </c>
      <c r="E3482" s="12" t="s">
        <v>142</v>
      </c>
      <c r="F3482">
        <v>2</v>
      </c>
      <c r="G3482">
        <v>9</v>
      </c>
      <c r="H3482">
        <v>0</v>
      </c>
      <c r="I3482" s="12" t="s">
        <v>169</v>
      </c>
      <c r="J3482" s="12" t="s">
        <v>170</v>
      </c>
      <c r="K3482" s="12" t="s">
        <v>89</v>
      </c>
      <c r="L3482" s="12" t="s">
        <v>134</v>
      </c>
      <c r="M3482">
        <v>1.37</v>
      </c>
      <c r="N3482" s="12" t="s">
        <v>107</v>
      </c>
      <c r="O3482" s="12" t="s">
        <v>108</v>
      </c>
      <c r="P3482" s="12" t="s">
        <v>109</v>
      </c>
      <c r="Q3482" s="13">
        <v>45552</v>
      </c>
      <c r="R3482" s="13">
        <v>45603</v>
      </c>
      <c r="S3482">
        <v>2024</v>
      </c>
      <c r="T3482" s="12" t="s">
        <v>4283</v>
      </c>
      <c r="U3482">
        <v>136</v>
      </c>
      <c r="V3482">
        <v>243.06290000000001</v>
      </c>
      <c r="W3482">
        <v>528.04</v>
      </c>
      <c r="X3482">
        <v>0</v>
      </c>
      <c r="Y3482">
        <v>0</v>
      </c>
      <c r="Z3482">
        <v>33056.550000000003</v>
      </c>
      <c r="AA3482">
        <v>33584.589999999997</v>
      </c>
      <c r="AB3482" s="12" t="s">
        <v>2786</v>
      </c>
      <c r="AC3482">
        <v>243.06290000000001</v>
      </c>
      <c r="AD3482">
        <v>1</v>
      </c>
      <c r="AE3482">
        <v>1</v>
      </c>
      <c r="AF3482">
        <v>0</v>
      </c>
      <c r="AG3482">
        <v>33056.550000000003</v>
      </c>
      <c r="AH3482">
        <v>136</v>
      </c>
      <c r="AI3482">
        <v>135</v>
      </c>
      <c r="AJ3482">
        <v>1</v>
      </c>
      <c r="AK3482">
        <v>1</v>
      </c>
      <c r="AL3482">
        <v>1</v>
      </c>
      <c r="AM3482">
        <v>99.26</v>
      </c>
      <c r="AN3482">
        <v>248.7748</v>
      </c>
      <c r="AO3482">
        <v>243.06</v>
      </c>
      <c r="AP3482" s="13">
        <v>45599</v>
      </c>
      <c r="AQ3482">
        <v>-4</v>
      </c>
      <c r="AR3482">
        <v>1</v>
      </c>
    </row>
    <row r="3483" spans="1:44" x14ac:dyDescent="0.35">
      <c r="A3483" s="12" t="s">
        <v>4398</v>
      </c>
      <c r="B3483" s="12" t="s">
        <v>657</v>
      </c>
      <c r="C3483" s="12" t="s">
        <v>658</v>
      </c>
      <c r="D3483" s="12" t="s">
        <v>175</v>
      </c>
      <c r="E3483" s="12" t="s">
        <v>65</v>
      </c>
      <c r="F3483">
        <v>1</v>
      </c>
      <c r="G3483">
        <v>2</v>
      </c>
      <c r="H3483">
        <v>1</v>
      </c>
      <c r="I3483" s="12" t="s">
        <v>183</v>
      </c>
      <c r="J3483" s="12" t="s">
        <v>184</v>
      </c>
      <c r="K3483" s="12" t="s">
        <v>133</v>
      </c>
      <c r="L3483" s="12" t="s">
        <v>82</v>
      </c>
      <c r="M3483">
        <v>8.6199999999999992</v>
      </c>
      <c r="N3483" s="12" t="s">
        <v>145</v>
      </c>
      <c r="O3483" s="12" t="s">
        <v>146</v>
      </c>
      <c r="P3483" s="12" t="s">
        <v>109</v>
      </c>
      <c r="Q3483" s="13">
        <v>45552</v>
      </c>
      <c r="R3483" s="13">
        <v>45585</v>
      </c>
      <c r="S3483">
        <v>2024</v>
      </c>
      <c r="T3483" s="12" t="s">
        <v>4283</v>
      </c>
      <c r="U3483">
        <v>107</v>
      </c>
      <c r="V3483">
        <v>157.12200000000001</v>
      </c>
      <c r="W3483">
        <v>163.54</v>
      </c>
      <c r="X3483">
        <v>0</v>
      </c>
      <c r="Y3483">
        <v>0</v>
      </c>
      <c r="Z3483">
        <v>16812.05</v>
      </c>
      <c r="AA3483">
        <v>16975.59</v>
      </c>
      <c r="AB3483" s="12" t="s">
        <v>3525</v>
      </c>
      <c r="AC3483">
        <v>149.10310000000001</v>
      </c>
      <c r="AD3483">
        <v>1</v>
      </c>
      <c r="AE3483">
        <v>1</v>
      </c>
      <c r="AF3483">
        <v>858.02</v>
      </c>
      <c r="AG3483">
        <v>15954.03</v>
      </c>
      <c r="AH3483">
        <v>107</v>
      </c>
      <c r="AI3483">
        <v>106</v>
      </c>
      <c r="AJ3483">
        <v>1</v>
      </c>
      <c r="AK3483">
        <v>1</v>
      </c>
      <c r="AL3483">
        <v>1</v>
      </c>
      <c r="AM3483">
        <v>99.07</v>
      </c>
      <c r="AN3483">
        <v>160.14709999999999</v>
      </c>
      <c r="AO3483">
        <v>157.12</v>
      </c>
      <c r="AP3483" s="13">
        <v>45591</v>
      </c>
      <c r="AQ3483">
        <v>6</v>
      </c>
      <c r="AR3483">
        <v>0</v>
      </c>
    </row>
    <row r="3484" spans="1:44" x14ac:dyDescent="0.35">
      <c r="A3484" s="12" t="s">
        <v>4399</v>
      </c>
      <c r="B3484" s="12" t="s">
        <v>490</v>
      </c>
      <c r="C3484" s="12" t="s">
        <v>491</v>
      </c>
      <c r="D3484" s="12" t="s">
        <v>130</v>
      </c>
      <c r="E3484" s="12" t="s">
        <v>104</v>
      </c>
      <c r="F3484">
        <v>3</v>
      </c>
      <c r="G3484">
        <v>1</v>
      </c>
      <c r="H3484">
        <v>0</v>
      </c>
      <c r="I3484" s="12" t="s">
        <v>176</v>
      </c>
      <c r="J3484" s="12" t="s">
        <v>177</v>
      </c>
      <c r="K3484" s="12" t="s">
        <v>125</v>
      </c>
      <c r="L3484" s="12" t="s">
        <v>134</v>
      </c>
      <c r="M3484">
        <v>1.75</v>
      </c>
      <c r="N3484" s="12" t="s">
        <v>135</v>
      </c>
      <c r="O3484" s="12" t="s">
        <v>136</v>
      </c>
      <c r="P3484" s="12" t="s">
        <v>137</v>
      </c>
      <c r="Q3484" s="13">
        <v>45552</v>
      </c>
      <c r="R3484" s="13">
        <v>45575</v>
      </c>
      <c r="S3484">
        <v>2024</v>
      </c>
      <c r="T3484" s="12" t="s">
        <v>4283</v>
      </c>
      <c r="U3484">
        <v>100</v>
      </c>
      <c r="V3484">
        <v>264.23239999999998</v>
      </c>
      <c r="W3484">
        <v>516.44000000000005</v>
      </c>
      <c r="X3484">
        <v>0</v>
      </c>
      <c r="Y3484">
        <v>0</v>
      </c>
      <c r="Z3484">
        <v>26423.24</v>
      </c>
      <c r="AA3484">
        <v>26939.68</v>
      </c>
      <c r="AB3484" s="12" t="s">
        <v>3122</v>
      </c>
      <c r="AC3484">
        <v>264.23239999999998</v>
      </c>
      <c r="AD3484">
        <v>1</v>
      </c>
      <c r="AE3484">
        <v>1</v>
      </c>
      <c r="AF3484">
        <v>0</v>
      </c>
      <c r="AG3484">
        <v>26423.24</v>
      </c>
      <c r="AH3484">
        <v>100</v>
      </c>
      <c r="AI3484">
        <v>99</v>
      </c>
      <c r="AJ3484">
        <v>1</v>
      </c>
      <c r="AK3484">
        <v>1</v>
      </c>
      <c r="AL3484">
        <v>1</v>
      </c>
      <c r="AM3484">
        <v>99</v>
      </c>
      <c r="AN3484">
        <v>272.11799999999999</v>
      </c>
      <c r="AO3484">
        <v>264.23</v>
      </c>
      <c r="AP3484" s="13">
        <v>45584</v>
      </c>
      <c r="AQ3484">
        <v>9</v>
      </c>
      <c r="AR3484">
        <v>0</v>
      </c>
    </row>
    <row r="3485" spans="1:44" x14ac:dyDescent="0.35">
      <c r="A3485" s="12" t="s">
        <v>4400</v>
      </c>
      <c r="B3485" s="12" t="s">
        <v>255</v>
      </c>
      <c r="C3485" s="12" t="s">
        <v>256</v>
      </c>
      <c r="D3485" s="12" t="s">
        <v>103</v>
      </c>
      <c r="E3485" s="12" t="s">
        <v>65</v>
      </c>
      <c r="F3485">
        <v>2</v>
      </c>
      <c r="G3485">
        <v>4</v>
      </c>
      <c r="H3485">
        <v>0</v>
      </c>
      <c r="I3485" s="12" t="s">
        <v>143</v>
      </c>
      <c r="J3485" s="12" t="s">
        <v>144</v>
      </c>
      <c r="K3485" s="12" t="s">
        <v>133</v>
      </c>
      <c r="L3485" s="12" t="s">
        <v>96</v>
      </c>
      <c r="M3485">
        <v>5.43</v>
      </c>
      <c r="N3485" s="12" t="s">
        <v>145</v>
      </c>
      <c r="O3485" s="12" t="s">
        <v>146</v>
      </c>
      <c r="P3485" s="12" t="s">
        <v>109</v>
      </c>
      <c r="Q3485" s="13">
        <v>45552</v>
      </c>
      <c r="R3485" s="13">
        <v>45578</v>
      </c>
      <c r="S3485">
        <v>2024</v>
      </c>
      <c r="T3485" s="12" t="s">
        <v>4283</v>
      </c>
      <c r="U3485">
        <v>52</v>
      </c>
      <c r="V3485">
        <v>95.073300000000003</v>
      </c>
      <c r="W3485">
        <v>122.45</v>
      </c>
      <c r="X3485">
        <v>0</v>
      </c>
      <c r="Y3485">
        <v>0</v>
      </c>
      <c r="Z3485">
        <v>4943.8100000000004</v>
      </c>
      <c r="AA3485">
        <v>5066.26</v>
      </c>
      <c r="AB3485" s="12" t="s">
        <v>2616</v>
      </c>
      <c r="AC3485">
        <v>95.073300000000003</v>
      </c>
      <c r="AD3485">
        <v>1</v>
      </c>
      <c r="AE3485">
        <v>1</v>
      </c>
      <c r="AF3485">
        <v>0</v>
      </c>
      <c r="AG3485">
        <v>4943.8100000000004</v>
      </c>
      <c r="AH3485">
        <v>52</v>
      </c>
      <c r="AI3485">
        <v>51</v>
      </c>
      <c r="AJ3485">
        <v>1</v>
      </c>
      <c r="AK3485">
        <v>1</v>
      </c>
      <c r="AL3485">
        <v>1</v>
      </c>
      <c r="AM3485">
        <v>98.08</v>
      </c>
      <c r="AN3485">
        <v>99.338499999999996</v>
      </c>
      <c r="AO3485">
        <v>95.07</v>
      </c>
      <c r="AP3485" s="13">
        <v>45575</v>
      </c>
      <c r="AQ3485">
        <v>-3</v>
      </c>
      <c r="AR3485">
        <v>1</v>
      </c>
    </row>
    <row r="3486" spans="1:44" x14ac:dyDescent="0.35">
      <c r="A3486" s="12" t="s">
        <v>4401</v>
      </c>
      <c r="B3486" s="12" t="s">
        <v>92</v>
      </c>
      <c r="C3486" s="12" t="s">
        <v>93</v>
      </c>
      <c r="D3486" s="12" t="s">
        <v>64</v>
      </c>
      <c r="E3486" s="12" t="s">
        <v>65</v>
      </c>
      <c r="F3486">
        <v>3</v>
      </c>
      <c r="G3486">
        <v>5</v>
      </c>
      <c r="H3486">
        <v>0</v>
      </c>
      <c r="I3486" s="12" t="s">
        <v>176</v>
      </c>
      <c r="J3486" s="12" t="s">
        <v>177</v>
      </c>
      <c r="K3486" s="12" t="s">
        <v>125</v>
      </c>
      <c r="L3486" s="12" t="s">
        <v>134</v>
      </c>
      <c r="M3486">
        <v>1.75</v>
      </c>
      <c r="N3486" s="12" t="s">
        <v>97</v>
      </c>
      <c r="O3486" s="12" t="s">
        <v>98</v>
      </c>
      <c r="P3486" s="12" t="s">
        <v>72</v>
      </c>
      <c r="Q3486" s="13">
        <v>45552</v>
      </c>
      <c r="R3486" s="13">
        <v>45584</v>
      </c>
      <c r="S3486">
        <v>2024</v>
      </c>
      <c r="T3486" s="12" t="s">
        <v>4283</v>
      </c>
      <c r="U3486">
        <v>686</v>
      </c>
      <c r="V3486">
        <v>27.841699999999999</v>
      </c>
      <c r="W3486">
        <v>495.21</v>
      </c>
      <c r="X3486">
        <v>0</v>
      </c>
      <c r="Y3486">
        <v>0</v>
      </c>
      <c r="Z3486">
        <v>19099.41</v>
      </c>
      <c r="AA3486">
        <v>19594.62</v>
      </c>
      <c r="AB3486" s="12" t="s">
        <v>201</v>
      </c>
      <c r="AD3486">
        <v>0</v>
      </c>
      <c r="AE3486">
        <v>0</v>
      </c>
      <c r="AH3486">
        <v>686</v>
      </c>
      <c r="AI3486">
        <v>681</v>
      </c>
      <c r="AJ3486">
        <v>5</v>
      </c>
      <c r="AK3486">
        <v>1</v>
      </c>
      <c r="AL3486">
        <v>1</v>
      </c>
      <c r="AM3486">
        <v>99.27</v>
      </c>
      <c r="AN3486">
        <v>28.773299999999999</v>
      </c>
      <c r="AO3486">
        <v>139.21</v>
      </c>
      <c r="AP3486" s="13">
        <v>45581</v>
      </c>
      <c r="AQ3486">
        <v>-3</v>
      </c>
      <c r="AR3486">
        <v>1</v>
      </c>
    </row>
    <row r="3487" spans="1:44" x14ac:dyDescent="0.35">
      <c r="A3487" s="12" t="s">
        <v>4402</v>
      </c>
      <c r="B3487" s="12" t="s">
        <v>289</v>
      </c>
      <c r="C3487" s="12" t="s">
        <v>290</v>
      </c>
      <c r="D3487" s="12" t="s">
        <v>175</v>
      </c>
      <c r="E3487" s="12" t="s">
        <v>104</v>
      </c>
      <c r="F3487">
        <v>3</v>
      </c>
      <c r="G3487">
        <v>1</v>
      </c>
      <c r="H3487">
        <v>0</v>
      </c>
      <c r="I3487" s="12" t="s">
        <v>157</v>
      </c>
      <c r="J3487" s="12" t="s">
        <v>158</v>
      </c>
      <c r="K3487" s="12" t="s">
        <v>117</v>
      </c>
      <c r="L3487" s="12" t="s">
        <v>96</v>
      </c>
      <c r="M3487">
        <v>4.72</v>
      </c>
      <c r="N3487" s="12" t="s">
        <v>107</v>
      </c>
      <c r="O3487" s="12" t="s">
        <v>108</v>
      </c>
      <c r="P3487" s="12" t="s">
        <v>109</v>
      </c>
      <c r="Q3487" s="13">
        <v>45552</v>
      </c>
      <c r="R3487" s="13">
        <v>45564</v>
      </c>
      <c r="S3487">
        <v>2024</v>
      </c>
      <c r="T3487" s="12" t="s">
        <v>4283</v>
      </c>
      <c r="U3487">
        <v>14</v>
      </c>
      <c r="V3487">
        <v>173.68709999999999</v>
      </c>
      <c r="W3487">
        <v>40.58</v>
      </c>
      <c r="X3487">
        <v>0</v>
      </c>
      <c r="Y3487">
        <v>0</v>
      </c>
      <c r="Z3487">
        <v>2431.62</v>
      </c>
      <c r="AA3487">
        <v>2472.1999999999998</v>
      </c>
      <c r="AB3487" s="12" t="s">
        <v>2676</v>
      </c>
      <c r="AC3487">
        <v>184.24529999999999</v>
      </c>
      <c r="AD3487">
        <v>1</v>
      </c>
      <c r="AE3487">
        <v>1</v>
      </c>
      <c r="AF3487">
        <v>-147.81</v>
      </c>
      <c r="AG3487">
        <v>2579.4299999999998</v>
      </c>
      <c r="AH3487">
        <v>14</v>
      </c>
      <c r="AI3487">
        <v>14</v>
      </c>
      <c r="AJ3487">
        <v>0</v>
      </c>
      <c r="AK3487">
        <v>1</v>
      </c>
      <c r="AL3487">
        <v>1</v>
      </c>
      <c r="AM3487">
        <v>100</v>
      </c>
      <c r="AN3487">
        <v>176.5857</v>
      </c>
      <c r="AO3487">
        <v>0</v>
      </c>
      <c r="AP3487" s="13">
        <v>45561</v>
      </c>
      <c r="AQ3487">
        <v>-3</v>
      </c>
      <c r="AR3487">
        <v>1</v>
      </c>
    </row>
    <row r="3488" spans="1:44" x14ac:dyDescent="0.35">
      <c r="A3488" s="12" t="s">
        <v>4403</v>
      </c>
      <c r="B3488" s="12" t="s">
        <v>1166</v>
      </c>
      <c r="C3488" s="12" t="s">
        <v>1167</v>
      </c>
      <c r="D3488" s="12" t="s">
        <v>175</v>
      </c>
      <c r="E3488" s="12" t="s">
        <v>65</v>
      </c>
      <c r="F3488">
        <v>3</v>
      </c>
      <c r="G3488">
        <v>5</v>
      </c>
      <c r="H3488">
        <v>0</v>
      </c>
      <c r="I3488" s="12" t="s">
        <v>143</v>
      </c>
      <c r="J3488" s="12" t="s">
        <v>144</v>
      </c>
      <c r="K3488" s="12" t="s">
        <v>133</v>
      </c>
      <c r="L3488" s="12" t="s">
        <v>96</v>
      </c>
      <c r="M3488">
        <v>5.43</v>
      </c>
      <c r="N3488" s="12" t="s">
        <v>107</v>
      </c>
      <c r="O3488" s="12" t="s">
        <v>108</v>
      </c>
      <c r="P3488" s="12" t="s">
        <v>109</v>
      </c>
      <c r="Q3488" s="13">
        <v>45552</v>
      </c>
      <c r="R3488" s="13">
        <v>45590</v>
      </c>
      <c r="S3488">
        <v>2024</v>
      </c>
      <c r="T3488" s="12" t="s">
        <v>4283</v>
      </c>
      <c r="U3488">
        <v>148</v>
      </c>
      <c r="V3488">
        <v>258.65280000000001</v>
      </c>
      <c r="W3488">
        <v>381.96</v>
      </c>
      <c r="X3488">
        <v>0</v>
      </c>
      <c r="Y3488">
        <v>0</v>
      </c>
      <c r="Z3488">
        <v>38280.61</v>
      </c>
      <c r="AA3488">
        <v>38662.57</v>
      </c>
      <c r="AB3488" s="12" t="s">
        <v>201</v>
      </c>
      <c r="AD3488">
        <v>0</v>
      </c>
      <c r="AE3488">
        <v>0</v>
      </c>
      <c r="AH3488">
        <v>148</v>
      </c>
      <c r="AI3488">
        <v>146</v>
      </c>
      <c r="AJ3488">
        <v>2</v>
      </c>
      <c r="AK3488">
        <v>1</v>
      </c>
      <c r="AL3488">
        <v>1</v>
      </c>
      <c r="AM3488">
        <v>98.65</v>
      </c>
      <c r="AN3488">
        <v>264.81220000000002</v>
      </c>
      <c r="AO3488">
        <v>517.30999999999995</v>
      </c>
      <c r="AP3488" s="13">
        <v>45589</v>
      </c>
      <c r="AQ3488">
        <v>-1</v>
      </c>
      <c r="AR3488">
        <v>1</v>
      </c>
    </row>
    <row r="3489" spans="1:44" x14ac:dyDescent="0.35">
      <c r="A3489" s="12" t="s">
        <v>4404</v>
      </c>
      <c r="B3489" s="12" t="s">
        <v>924</v>
      </c>
      <c r="C3489" s="12" t="s">
        <v>925</v>
      </c>
      <c r="D3489" s="12" t="s">
        <v>103</v>
      </c>
      <c r="E3489" s="12" t="s">
        <v>104</v>
      </c>
      <c r="F3489">
        <v>2</v>
      </c>
      <c r="G3489">
        <v>0</v>
      </c>
      <c r="H3489">
        <v>0</v>
      </c>
      <c r="I3489" s="12" t="s">
        <v>335</v>
      </c>
      <c r="J3489" s="12" t="s">
        <v>336</v>
      </c>
      <c r="K3489" s="12" t="s">
        <v>89</v>
      </c>
      <c r="L3489" s="12" t="s">
        <v>82</v>
      </c>
      <c r="M3489">
        <v>16</v>
      </c>
      <c r="N3489" s="12" t="s">
        <v>145</v>
      </c>
      <c r="O3489" s="12" t="s">
        <v>146</v>
      </c>
      <c r="P3489" s="12" t="s">
        <v>109</v>
      </c>
      <c r="Q3489" s="13">
        <v>45552</v>
      </c>
      <c r="R3489" s="13">
        <v>45579</v>
      </c>
      <c r="S3489">
        <v>2024</v>
      </c>
      <c r="T3489" s="12" t="s">
        <v>4283</v>
      </c>
      <c r="U3489">
        <v>127</v>
      </c>
      <c r="V3489">
        <v>164.00020000000001</v>
      </c>
      <c r="W3489">
        <v>132.21</v>
      </c>
      <c r="X3489">
        <v>0</v>
      </c>
      <c r="Y3489">
        <v>0</v>
      </c>
      <c r="Z3489">
        <v>20828.03</v>
      </c>
      <c r="AA3489">
        <v>20960.240000000002</v>
      </c>
      <c r="AB3489" s="12" t="s">
        <v>201</v>
      </c>
      <c r="AD3489">
        <v>0</v>
      </c>
      <c r="AE3489">
        <v>0</v>
      </c>
      <c r="AH3489">
        <v>127</v>
      </c>
      <c r="AI3489">
        <v>125</v>
      </c>
      <c r="AJ3489">
        <v>2</v>
      </c>
      <c r="AK3489">
        <v>1</v>
      </c>
      <c r="AL3489">
        <v>1</v>
      </c>
      <c r="AM3489">
        <v>98.43</v>
      </c>
      <c r="AN3489">
        <v>167.68190000000001</v>
      </c>
      <c r="AO3489">
        <v>328</v>
      </c>
      <c r="AP3489" s="13">
        <v>45576</v>
      </c>
      <c r="AQ3489">
        <v>-3</v>
      </c>
      <c r="AR3489">
        <v>1</v>
      </c>
    </row>
    <row r="3490" spans="1:44" x14ac:dyDescent="0.35">
      <c r="A3490" s="12" t="s">
        <v>4405</v>
      </c>
      <c r="B3490" s="12" t="s">
        <v>670</v>
      </c>
      <c r="C3490" s="12" t="s">
        <v>671</v>
      </c>
      <c r="D3490" s="12" t="s">
        <v>175</v>
      </c>
      <c r="E3490" s="12" t="s">
        <v>142</v>
      </c>
      <c r="F3490">
        <v>2</v>
      </c>
      <c r="G3490">
        <v>9</v>
      </c>
      <c r="H3490">
        <v>0</v>
      </c>
      <c r="I3490" s="12" t="s">
        <v>105</v>
      </c>
      <c r="J3490" s="12" t="s">
        <v>106</v>
      </c>
      <c r="K3490" s="12" t="s">
        <v>81</v>
      </c>
      <c r="L3490" s="12" t="s">
        <v>96</v>
      </c>
      <c r="M3490">
        <v>5.01</v>
      </c>
      <c r="N3490" s="12" t="s">
        <v>145</v>
      </c>
      <c r="O3490" s="12" t="s">
        <v>146</v>
      </c>
      <c r="P3490" s="12" t="s">
        <v>109</v>
      </c>
      <c r="Q3490" s="13">
        <v>45552</v>
      </c>
      <c r="R3490" s="13">
        <v>45601</v>
      </c>
      <c r="S3490">
        <v>2024</v>
      </c>
      <c r="T3490" s="12" t="s">
        <v>4283</v>
      </c>
      <c r="U3490">
        <v>122</v>
      </c>
      <c r="V3490">
        <v>147.4665</v>
      </c>
      <c r="W3490">
        <v>362.57</v>
      </c>
      <c r="X3490">
        <v>0</v>
      </c>
      <c r="Y3490">
        <v>0</v>
      </c>
      <c r="Z3490">
        <v>17990.91</v>
      </c>
      <c r="AA3490">
        <v>18353.48</v>
      </c>
      <c r="AB3490" s="12" t="s">
        <v>3277</v>
      </c>
      <c r="AC3490">
        <v>147.4665</v>
      </c>
      <c r="AD3490">
        <v>1</v>
      </c>
      <c r="AE3490">
        <v>1</v>
      </c>
      <c r="AF3490">
        <v>0</v>
      </c>
      <c r="AG3490">
        <v>17990.91</v>
      </c>
      <c r="AH3490">
        <v>122</v>
      </c>
      <c r="AI3490">
        <v>121</v>
      </c>
      <c r="AJ3490">
        <v>1</v>
      </c>
      <c r="AK3490">
        <v>1</v>
      </c>
      <c r="AL3490">
        <v>1</v>
      </c>
      <c r="AM3490">
        <v>99.18</v>
      </c>
      <c r="AN3490">
        <v>151.68170000000001</v>
      </c>
      <c r="AO3490">
        <v>147.47</v>
      </c>
      <c r="AP3490" s="13">
        <v>45598</v>
      </c>
      <c r="AQ3490">
        <v>-3</v>
      </c>
      <c r="AR3490">
        <v>1</v>
      </c>
    </row>
    <row r="3491" spans="1:44" x14ac:dyDescent="0.35">
      <c r="A3491" s="12" t="s">
        <v>4406</v>
      </c>
      <c r="B3491" s="12" t="s">
        <v>891</v>
      </c>
      <c r="C3491" s="12" t="s">
        <v>892</v>
      </c>
      <c r="D3491" s="12" t="s">
        <v>122</v>
      </c>
      <c r="E3491" s="12" t="s">
        <v>65</v>
      </c>
      <c r="F3491">
        <v>3</v>
      </c>
      <c r="G3491">
        <v>5</v>
      </c>
      <c r="H3491">
        <v>0</v>
      </c>
      <c r="I3491" s="12" t="s">
        <v>195</v>
      </c>
      <c r="J3491" s="12" t="s">
        <v>196</v>
      </c>
      <c r="K3491" s="12" t="s">
        <v>117</v>
      </c>
      <c r="L3491" s="12" t="s">
        <v>134</v>
      </c>
      <c r="M3491">
        <v>4.7699999999999996</v>
      </c>
      <c r="N3491" s="12" t="s">
        <v>97</v>
      </c>
      <c r="O3491" s="12" t="s">
        <v>98</v>
      </c>
      <c r="P3491" s="12" t="s">
        <v>72</v>
      </c>
      <c r="Q3491" s="13">
        <v>45553</v>
      </c>
      <c r="R3491" s="13">
        <v>45590</v>
      </c>
      <c r="S3491">
        <v>2024</v>
      </c>
      <c r="T3491" s="12" t="s">
        <v>4283</v>
      </c>
      <c r="U3491">
        <v>1873</v>
      </c>
      <c r="V3491">
        <v>37.859200000000001</v>
      </c>
      <c r="W3491">
        <v>788.59</v>
      </c>
      <c r="X3491">
        <v>0</v>
      </c>
      <c r="Y3491">
        <v>0</v>
      </c>
      <c r="Z3491">
        <v>70910.28</v>
      </c>
      <c r="AA3491">
        <v>71698.87</v>
      </c>
      <c r="AB3491" s="12" t="s">
        <v>3629</v>
      </c>
      <c r="AC3491">
        <v>37.859200000000001</v>
      </c>
      <c r="AD3491">
        <v>1</v>
      </c>
      <c r="AE3491">
        <v>1</v>
      </c>
      <c r="AF3491">
        <v>0</v>
      </c>
      <c r="AG3491">
        <v>70910.28</v>
      </c>
      <c r="AH3491">
        <v>1873</v>
      </c>
      <c r="AI3491">
        <v>1865</v>
      </c>
      <c r="AJ3491">
        <v>8</v>
      </c>
      <c r="AK3491">
        <v>1</v>
      </c>
      <c r="AL3491">
        <v>1</v>
      </c>
      <c r="AM3491">
        <v>99.57</v>
      </c>
      <c r="AN3491">
        <v>38.444400000000002</v>
      </c>
      <c r="AO3491">
        <v>302.87</v>
      </c>
      <c r="AP3491" s="13">
        <v>45589</v>
      </c>
      <c r="AQ3491">
        <v>-1</v>
      </c>
      <c r="AR3491">
        <v>1</v>
      </c>
    </row>
    <row r="3492" spans="1:44" x14ac:dyDescent="0.35">
      <c r="A3492" s="12" t="s">
        <v>4407</v>
      </c>
      <c r="B3492" s="12" t="s">
        <v>802</v>
      </c>
      <c r="C3492" s="12" t="s">
        <v>803</v>
      </c>
      <c r="D3492" s="12" t="s">
        <v>114</v>
      </c>
      <c r="E3492" s="12" t="s">
        <v>65</v>
      </c>
      <c r="F3492">
        <v>3</v>
      </c>
      <c r="G3492">
        <v>5</v>
      </c>
      <c r="H3492">
        <v>0</v>
      </c>
      <c r="I3492" s="12" t="s">
        <v>804</v>
      </c>
      <c r="J3492" s="12" t="s">
        <v>342</v>
      </c>
      <c r="K3492" s="12" t="s">
        <v>117</v>
      </c>
      <c r="L3492" s="12" t="s">
        <v>69</v>
      </c>
      <c r="M3492">
        <v>30.07</v>
      </c>
      <c r="N3492" s="12" t="s">
        <v>70</v>
      </c>
      <c r="O3492" s="12" t="s">
        <v>71</v>
      </c>
      <c r="P3492" s="12" t="s">
        <v>72</v>
      </c>
      <c r="Q3492" s="13">
        <v>45553</v>
      </c>
      <c r="R3492" s="13">
        <v>45584</v>
      </c>
      <c r="S3492">
        <v>2024</v>
      </c>
      <c r="T3492" s="12" t="s">
        <v>4283</v>
      </c>
      <c r="U3492">
        <v>93</v>
      </c>
      <c r="V3492">
        <v>360.68470000000002</v>
      </c>
      <c r="W3492">
        <v>399.86</v>
      </c>
      <c r="X3492">
        <v>0</v>
      </c>
      <c r="Y3492">
        <v>0</v>
      </c>
      <c r="Z3492">
        <v>33543.68</v>
      </c>
      <c r="AA3492">
        <v>33943.54</v>
      </c>
      <c r="AB3492" s="12" t="s">
        <v>201</v>
      </c>
      <c r="AD3492">
        <v>0</v>
      </c>
      <c r="AE3492">
        <v>0</v>
      </c>
      <c r="AH3492">
        <v>93</v>
      </c>
      <c r="AI3492">
        <v>91</v>
      </c>
      <c r="AJ3492">
        <v>2</v>
      </c>
      <c r="AK3492">
        <v>1</v>
      </c>
      <c r="AL3492">
        <v>1</v>
      </c>
      <c r="AM3492">
        <v>97.85</v>
      </c>
      <c r="AN3492">
        <v>373.0059</v>
      </c>
      <c r="AO3492">
        <v>721.37</v>
      </c>
      <c r="AP3492" s="13">
        <v>45582</v>
      </c>
      <c r="AQ3492">
        <v>-2</v>
      </c>
      <c r="AR3492">
        <v>1</v>
      </c>
    </row>
    <row r="3493" spans="1:44" x14ac:dyDescent="0.35">
      <c r="A3493" s="12" t="s">
        <v>4408</v>
      </c>
      <c r="B3493" s="12" t="s">
        <v>1054</v>
      </c>
      <c r="C3493" s="12" t="s">
        <v>1055</v>
      </c>
      <c r="D3493" s="12" t="s">
        <v>122</v>
      </c>
      <c r="E3493" s="12" t="s">
        <v>65</v>
      </c>
      <c r="F3493">
        <v>1</v>
      </c>
      <c r="G3493">
        <v>2</v>
      </c>
      <c r="H3493">
        <v>1</v>
      </c>
      <c r="I3493" s="12" t="s">
        <v>176</v>
      </c>
      <c r="J3493" s="12" t="s">
        <v>177</v>
      </c>
      <c r="K3493" s="12" t="s">
        <v>125</v>
      </c>
      <c r="L3493" s="12" t="s">
        <v>134</v>
      </c>
      <c r="M3493">
        <v>1.75</v>
      </c>
      <c r="N3493" s="12" t="s">
        <v>97</v>
      </c>
      <c r="O3493" s="12" t="s">
        <v>98</v>
      </c>
      <c r="P3493" s="12" t="s">
        <v>72</v>
      </c>
      <c r="Q3493" s="13">
        <v>45553</v>
      </c>
      <c r="R3493" s="13">
        <v>45574</v>
      </c>
      <c r="S3493">
        <v>2024</v>
      </c>
      <c r="T3493" s="12" t="s">
        <v>4283</v>
      </c>
      <c r="U3493">
        <v>268</v>
      </c>
      <c r="V3493">
        <v>45.850499999999997</v>
      </c>
      <c r="W3493">
        <v>251.16</v>
      </c>
      <c r="X3493">
        <v>0</v>
      </c>
      <c r="Y3493">
        <v>0</v>
      </c>
      <c r="Z3493">
        <v>12287.93</v>
      </c>
      <c r="AA3493">
        <v>12539.09</v>
      </c>
      <c r="AB3493" s="12" t="s">
        <v>3227</v>
      </c>
      <c r="AC3493">
        <v>45.850499999999997</v>
      </c>
      <c r="AD3493">
        <v>1</v>
      </c>
      <c r="AE3493">
        <v>1</v>
      </c>
      <c r="AF3493">
        <v>0</v>
      </c>
      <c r="AG3493">
        <v>12287.93</v>
      </c>
      <c r="AH3493">
        <v>268</v>
      </c>
      <c r="AI3493">
        <v>266</v>
      </c>
      <c r="AJ3493">
        <v>2</v>
      </c>
      <c r="AK3493">
        <v>1</v>
      </c>
      <c r="AL3493">
        <v>1</v>
      </c>
      <c r="AM3493">
        <v>99.25</v>
      </c>
      <c r="AN3493">
        <v>47.139499999999998</v>
      </c>
      <c r="AO3493">
        <v>91.7</v>
      </c>
      <c r="AP3493" s="13">
        <v>45582</v>
      </c>
      <c r="AQ3493">
        <v>8</v>
      </c>
      <c r="AR3493">
        <v>0</v>
      </c>
    </row>
    <row r="3494" spans="1:44" x14ac:dyDescent="0.35">
      <c r="A3494" s="12" t="s">
        <v>4409</v>
      </c>
      <c r="B3494" s="12" t="s">
        <v>513</v>
      </c>
      <c r="C3494" s="12" t="s">
        <v>514</v>
      </c>
      <c r="D3494" s="12" t="s">
        <v>269</v>
      </c>
      <c r="E3494" s="12" t="s">
        <v>65</v>
      </c>
      <c r="F3494">
        <v>1</v>
      </c>
      <c r="G3494">
        <v>2</v>
      </c>
      <c r="H3494">
        <v>1</v>
      </c>
      <c r="I3494" s="12" t="s">
        <v>515</v>
      </c>
      <c r="J3494" s="12" t="s">
        <v>516</v>
      </c>
      <c r="K3494" s="12" t="s">
        <v>68</v>
      </c>
      <c r="L3494" s="12" t="s">
        <v>134</v>
      </c>
      <c r="M3494">
        <v>3.69</v>
      </c>
      <c r="N3494" s="12" t="s">
        <v>159</v>
      </c>
      <c r="O3494" s="12" t="s">
        <v>160</v>
      </c>
      <c r="P3494" s="12" t="s">
        <v>137</v>
      </c>
      <c r="Q3494" s="13">
        <v>45553</v>
      </c>
      <c r="R3494" s="13">
        <v>45583</v>
      </c>
      <c r="S3494">
        <v>2024</v>
      </c>
      <c r="T3494" s="12" t="s">
        <v>4283</v>
      </c>
      <c r="U3494">
        <v>85</v>
      </c>
      <c r="V3494">
        <v>215.94049999999999</v>
      </c>
      <c r="W3494">
        <v>386.11</v>
      </c>
      <c r="X3494">
        <v>0</v>
      </c>
      <c r="Y3494">
        <v>0</v>
      </c>
      <c r="Z3494">
        <v>18354.939999999999</v>
      </c>
      <c r="AA3494">
        <v>18741.05</v>
      </c>
      <c r="AB3494" s="12" t="s">
        <v>201</v>
      </c>
      <c r="AD3494">
        <v>0</v>
      </c>
      <c r="AE3494">
        <v>0</v>
      </c>
      <c r="AH3494">
        <v>85</v>
      </c>
      <c r="AI3494">
        <v>84</v>
      </c>
      <c r="AJ3494">
        <v>1</v>
      </c>
      <c r="AK3494">
        <v>1</v>
      </c>
      <c r="AL3494">
        <v>1</v>
      </c>
      <c r="AM3494">
        <v>98.82</v>
      </c>
      <c r="AN3494">
        <v>223.1078</v>
      </c>
      <c r="AO3494">
        <v>215.94</v>
      </c>
      <c r="AP3494" s="13">
        <v>45581</v>
      </c>
      <c r="AQ3494">
        <v>-2</v>
      </c>
      <c r="AR3494">
        <v>1</v>
      </c>
    </row>
    <row r="3495" spans="1:44" x14ac:dyDescent="0.35">
      <c r="A3495" s="12" t="s">
        <v>4410</v>
      </c>
      <c r="B3495" s="12" t="s">
        <v>261</v>
      </c>
      <c r="C3495" s="12" t="s">
        <v>262</v>
      </c>
      <c r="D3495" s="12" t="s">
        <v>114</v>
      </c>
      <c r="E3495" s="12" t="s">
        <v>142</v>
      </c>
      <c r="F3495">
        <v>1</v>
      </c>
      <c r="G3495">
        <v>8</v>
      </c>
      <c r="H3495">
        <v>1</v>
      </c>
      <c r="I3495" s="12" t="s">
        <v>263</v>
      </c>
      <c r="J3495" s="12" t="s">
        <v>264</v>
      </c>
      <c r="K3495" s="12" t="s">
        <v>125</v>
      </c>
      <c r="L3495" s="12" t="s">
        <v>82</v>
      </c>
      <c r="M3495">
        <v>10.210000000000001</v>
      </c>
      <c r="N3495" s="12" t="s">
        <v>70</v>
      </c>
      <c r="O3495" s="12" t="s">
        <v>71</v>
      </c>
      <c r="P3495" s="12" t="s">
        <v>72</v>
      </c>
      <c r="Q3495" s="13">
        <v>45553</v>
      </c>
      <c r="R3495" s="13">
        <v>45588</v>
      </c>
      <c r="S3495">
        <v>2024</v>
      </c>
      <c r="T3495" s="12" t="s">
        <v>4283</v>
      </c>
      <c r="U3495">
        <v>17</v>
      </c>
      <c r="V3495">
        <v>137.84569999999999</v>
      </c>
      <c r="W3495">
        <v>39.380000000000003</v>
      </c>
      <c r="X3495">
        <v>0</v>
      </c>
      <c r="Y3495">
        <v>0</v>
      </c>
      <c r="Z3495">
        <v>2343.38</v>
      </c>
      <c r="AA3495">
        <v>2382.7600000000002</v>
      </c>
      <c r="AB3495" s="12" t="s">
        <v>2655</v>
      </c>
      <c r="AC3495">
        <v>137.84569999999999</v>
      </c>
      <c r="AD3495">
        <v>1</v>
      </c>
      <c r="AE3495">
        <v>1</v>
      </c>
      <c r="AF3495">
        <v>0</v>
      </c>
      <c r="AG3495">
        <v>2343.38</v>
      </c>
      <c r="AH3495">
        <v>17</v>
      </c>
      <c r="AI3495">
        <v>17</v>
      </c>
      <c r="AJ3495">
        <v>0</v>
      </c>
      <c r="AK3495">
        <v>1</v>
      </c>
      <c r="AL3495">
        <v>1</v>
      </c>
      <c r="AM3495">
        <v>100</v>
      </c>
      <c r="AN3495">
        <v>140.16220000000001</v>
      </c>
      <c r="AO3495">
        <v>0</v>
      </c>
      <c r="AP3495" s="13">
        <v>45587</v>
      </c>
      <c r="AQ3495">
        <v>-1</v>
      </c>
      <c r="AR3495">
        <v>1</v>
      </c>
    </row>
    <row r="3496" spans="1:44" x14ac:dyDescent="0.35">
      <c r="A3496" s="12" t="s">
        <v>4411</v>
      </c>
      <c r="B3496" s="12" t="s">
        <v>465</v>
      </c>
      <c r="C3496" s="12" t="s">
        <v>466</v>
      </c>
      <c r="D3496" s="12" t="s">
        <v>78</v>
      </c>
      <c r="E3496" s="12" t="s">
        <v>142</v>
      </c>
      <c r="F3496">
        <v>3</v>
      </c>
      <c r="G3496">
        <v>11</v>
      </c>
      <c r="H3496">
        <v>0</v>
      </c>
      <c r="I3496" s="12" t="s">
        <v>380</v>
      </c>
      <c r="J3496" s="12" t="s">
        <v>381</v>
      </c>
      <c r="K3496" s="12" t="s">
        <v>89</v>
      </c>
      <c r="L3496" s="12" t="s">
        <v>96</v>
      </c>
      <c r="M3496">
        <v>10.210000000000001</v>
      </c>
      <c r="N3496" s="12" t="s">
        <v>97</v>
      </c>
      <c r="O3496" s="12" t="s">
        <v>98</v>
      </c>
      <c r="P3496" s="12" t="s">
        <v>72</v>
      </c>
      <c r="Q3496" s="13">
        <v>45553</v>
      </c>
      <c r="R3496" s="13">
        <v>45598</v>
      </c>
      <c r="S3496">
        <v>2024</v>
      </c>
      <c r="T3496" s="12" t="s">
        <v>4283</v>
      </c>
      <c r="U3496">
        <v>192</v>
      </c>
      <c r="V3496">
        <v>111.7146</v>
      </c>
      <c r="W3496">
        <v>225.58</v>
      </c>
      <c r="X3496">
        <v>0</v>
      </c>
      <c r="Y3496">
        <v>0</v>
      </c>
      <c r="Z3496">
        <v>21449.200000000001</v>
      </c>
      <c r="AA3496">
        <v>21674.78</v>
      </c>
      <c r="AB3496" s="12" t="s">
        <v>201</v>
      </c>
      <c r="AD3496">
        <v>0</v>
      </c>
      <c r="AE3496">
        <v>0</v>
      </c>
      <c r="AH3496">
        <v>192</v>
      </c>
      <c r="AI3496">
        <v>188</v>
      </c>
      <c r="AJ3496">
        <v>4</v>
      </c>
      <c r="AK3496">
        <v>1</v>
      </c>
      <c r="AL3496">
        <v>1</v>
      </c>
      <c r="AM3496">
        <v>97.92</v>
      </c>
      <c r="AN3496">
        <v>115.2914</v>
      </c>
      <c r="AO3496">
        <v>446.86</v>
      </c>
      <c r="AP3496" s="13">
        <v>45602</v>
      </c>
      <c r="AQ3496">
        <v>4</v>
      </c>
      <c r="AR3496">
        <v>0</v>
      </c>
    </row>
    <row r="3497" spans="1:44" x14ac:dyDescent="0.35">
      <c r="A3497" s="12" t="s">
        <v>4412</v>
      </c>
      <c r="B3497" s="12" t="s">
        <v>378</v>
      </c>
      <c r="C3497" s="12" t="s">
        <v>379</v>
      </c>
      <c r="D3497" s="12" t="s">
        <v>64</v>
      </c>
      <c r="E3497" s="12" t="s">
        <v>104</v>
      </c>
      <c r="F3497">
        <v>3</v>
      </c>
      <c r="G3497">
        <v>1</v>
      </c>
      <c r="H3497">
        <v>0</v>
      </c>
      <c r="I3497" s="12" t="s">
        <v>380</v>
      </c>
      <c r="J3497" s="12" t="s">
        <v>381</v>
      </c>
      <c r="K3497" s="12" t="s">
        <v>89</v>
      </c>
      <c r="L3497" s="12" t="s">
        <v>96</v>
      </c>
      <c r="M3497">
        <v>10.210000000000001</v>
      </c>
      <c r="N3497" s="12" t="s">
        <v>70</v>
      </c>
      <c r="O3497" s="12" t="s">
        <v>71</v>
      </c>
      <c r="P3497" s="12" t="s">
        <v>72</v>
      </c>
      <c r="Q3497" s="13">
        <v>45553</v>
      </c>
      <c r="R3497" s="13">
        <v>45568</v>
      </c>
      <c r="S3497">
        <v>2024</v>
      </c>
      <c r="T3497" s="12" t="s">
        <v>4283</v>
      </c>
      <c r="U3497">
        <v>267</v>
      </c>
      <c r="V3497">
        <v>15.734999999999999</v>
      </c>
      <c r="W3497">
        <v>41.89</v>
      </c>
      <c r="X3497">
        <v>0</v>
      </c>
      <c r="Y3497">
        <v>0</v>
      </c>
      <c r="Z3497">
        <v>4201.25</v>
      </c>
      <c r="AA3497">
        <v>4243.1400000000003</v>
      </c>
      <c r="AB3497" s="12" t="s">
        <v>2847</v>
      </c>
      <c r="AC3497">
        <v>15.734999999999999</v>
      </c>
      <c r="AD3497">
        <v>1</v>
      </c>
      <c r="AE3497">
        <v>1</v>
      </c>
      <c r="AF3497">
        <v>0</v>
      </c>
      <c r="AG3497">
        <v>4201.25</v>
      </c>
      <c r="AH3497">
        <v>267</v>
      </c>
      <c r="AI3497">
        <v>264</v>
      </c>
      <c r="AJ3497">
        <v>3</v>
      </c>
      <c r="AK3497">
        <v>1</v>
      </c>
      <c r="AL3497">
        <v>1</v>
      </c>
      <c r="AM3497">
        <v>98.88</v>
      </c>
      <c r="AN3497">
        <v>16.072500000000002</v>
      </c>
      <c r="AO3497">
        <v>47.21</v>
      </c>
      <c r="AP3497" s="13">
        <v>45573</v>
      </c>
      <c r="AQ3497">
        <v>5</v>
      </c>
      <c r="AR3497">
        <v>0</v>
      </c>
    </row>
    <row r="3498" spans="1:44" x14ac:dyDescent="0.35">
      <c r="A3498" s="12" t="s">
        <v>4413</v>
      </c>
      <c r="B3498" s="12" t="s">
        <v>941</v>
      </c>
      <c r="C3498" s="12" t="s">
        <v>942</v>
      </c>
      <c r="D3498" s="12" t="s">
        <v>130</v>
      </c>
      <c r="E3498" s="12" t="s">
        <v>104</v>
      </c>
      <c r="F3498">
        <v>2</v>
      </c>
      <c r="G3498">
        <v>0</v>
      </c>
      <c r="H3498">
        <v>0</v>
      </c>
      <c r="I3498" s="12" t="s">
        <v>151</v>
      </c>
      <c r="J3498" s="12" t="s">
        <v>152</v>
      </c>
      <c r="K3498" s="12" t="s">
        <v>125</v>
      </c>
      <c r="L3498" s="12" t="s">
        <v>69</v>
      </c>
      <c r="M3498">
        <v>36.479999999999997</v>
      </c>
      <c r="N3498" s="12" t="s">
        <v>159</v>
      </c>
      <c r="O3498" s="12" t="s">
        <v>160</v>
      </c>
      <c r="P3498" s="12" t="s">
        <v>137</v>
      </c>
      <c r="Q3498" s="13">
        <v>45553</v>
      </c>
      <c r="R3498" s="13">
        <v>45566</v>
      </c>
      <c r="S3498">
        <v>2024</v>
      </c>
      <c r="T3498" s="12" t="s">
        <v>4283</v>
      </c>
      <c r="U3498">
        <v>21</v>
      </c>
      <c r="V3498">
        <v>954.04200000000003</v>
      </c>
      <c r="W3498">
        <v>303.77999999999997</v>
      </c>
      <c r="X3498">
        <v>0</v>
      </c>
      <c r="Y3498">
        <v>0</v>
      </c>
      <c r="Z3498">
        <v>20034.88</v>
      </c>
      <c r="AA3498">
        <v>20338.66</v>
      </c>
      <c r="AB3498" s="12" t="s">
        <v>4232</v>
      </c>
      <c r="AC3498">
        <v>954.04200000000003</v>
      </c>
      <c r="AD3498">
        <v>1</v>
      </c>
      <c r="AE3498">
        <v>1</v>
      </c>
      <c r="AF3498">
        <v>0</v>
      </c>
      <c r="AG3498">
        <v>20034.88</v>
      </c>
      <c r="AH3498">
        <v>21</v>
      </c>
      <c r="AI3498">
        <v>21</v>
      </c>
      <c r="AJ3498">
        <v>0</v>
      </c>
      <c r="AK3498">
        <v>1</v>
      </c>
      <c r="AL3498">
        <v>1</v>
      </c>
      <c r="AM3498">
        <v>100</v>
      </c>
      <c r="AN3498">
        <v>968.5077</v>
      </c>
      <c r="AO3498">
        <v>0</v>
      </c>
      <c r="AP3498" s="13">
        <v>45563</v>
      </c>
      <c r="AQ3498">
        <v>-3</v>
      </c>
      <c r="AR3498">
        <v>1</v>
      </c>
    </row>
    <row r="3499" spans="1:44" x14ac:dyDescent="0.35">
      <c r="A3499" s="12" t="s">
        <v>4414</v>
      </c>
      <c r="B3499" s="12" t="s">
        <v>221</v>
      </c>
      <c r="C3499" s="12" t="s">
        <v>222</v>
      </c>
      <c r="D3499" s="12" t="s">
        <v>114</v>
      </c>
      <c r="E3499" s="12" t="s">
        <v>142</v>
      </c>
      <c r="F3499">
        <v>3</v>
      </c>
      <c r="G3499">
        <v>11</v>
      </c>
      <c r="H3499">
        <v>0</v>
      </c>
      <c r="I3499" s="12" t="s">
        <v>105</v>
      </c>
      <c r="J3499" s="12" t="s">
        <v>106</v>
      </c>
      <c r="K3499" s="12" t="s">
        <v>81</v>
      </c>
      <c r="L3499" s="12" t="s">
        <v>96</v>
      </c>
      <c r="M3499">
        <v>5.01</v>
      </c>
      <c r="N3499" s="12" t="s">
        <v>97</v>
      </c>
      <c r="O3499" s="12" t="s">
        <v>98</v>
      </c>
      <c r="P3499" s="12" t="s">
        <v>72</v>
      </c>
      <c r="Q3499" s="13">
        <v>45553</v>
      </c>
      <c r="R3499" s="13">
        <v>45590</v>
      </c>
      <c r="S3499">
        <v>2024</v>
      </c>
      <c r="T3499" s="12" t="s">
        <v>4283</v>
      </c>
      <c r="U3499">
        <v>32</v>
      </c>
      <c r="V3499">
        <v>250.38059999999999</v>
      </c>
      <c r="W3499">
        <v>161.12</v>
      </c>
      <c r="X3499">
        <v>0</v>
      </c>
      <c r="Y3499">
        <v>0</v>
      </c>
      <c r="Z3499">
        <v>8012.18</v>
      </c>
      <c r="AA3499">
        <v>8173.3</v>
      </c>
      <c r="AB3499" s="12" t="s">
        <v>2818</v>
      </c>
      <c r="AC3499">
        <v>239.12260000000001</v>
      </c>
      <c r="AD3499">
        <v>1</v>
      </c>
      <c r="AE3499">
        <v>1</v>
      </c>
      <c r="AF3499">
        <v>360.26</v>
      </c>
      <c r="AG3499">
        <v>7651.92</v>
      </c>
      <c r="AH3499">
        <v>32</v>
      </c>
      <c r="AI3499">
        <v>32</v>
      </c>
      <c r="AJ3499">
        <v>0</v>
      </c>
      <c r="AK3499">
        <v>1</v>
      </c>
      <c r="AL3499">
        <v>1</v>
      </c>
      <c r="AM3499">
        <v>100</v>
      </c>
      <c r="AN3499">
        <v>255.41560000000001</v>
      </c>
      <c r="AO3499">
        <v>0</v>
      </c>
      <c r="AP3499" s="13">
        <v>45588</v>
      </c>
      <c r="AQ3499">
        <v>-2</v>
      </c>
      <c r="AR3499">
        <v>1</v>
      </c>
    </row>
    <row r="3500" spans="1:44" x14ac:dyDescent="0.35">
      <c r="A3500" s="12" t="s">
        <v>4415</v>
      </c>
      <c r="B3500" s="12" t="s">
        <v>755</v>
      </c>
      <c r="C3500" s="12" t="s">
        <v>756</v>
      </c>
      <c r="D3500" s="12" t="s">
        <v>78</v>
      </c>
      <c r="E3500" s="12" t="s">
        <v>65</v>
      </c>
      <c r="F3500">
        <v>2</v>
      </c>
      <c r="G3500">
        <v>2</v>
      </c>
      <c r="H3500">
        <v>0</v>
      </c>
      <c r="I3500" s="12" t="s">
        <v>251</v>
      </c>
      <c r="J3500" s="12" t="s">
        <v>252</v>
      </c>
      <c r="K3500" s="12" t="s">
        <v>133</v>
      </c>
      <c r="L3500" s="12" t="s">
        <v>69</v>
      </c>
      <c r="M3500">
        <v>34.49</v>
      </c>
      <c r="N3500" s="12" t="s">
        <v>97</v>
      </c>
      <c r="O3500" s="12" t="s">
        <v>98</v>
      </c>
      <c r="P3500" s="12" t="s">
        <v>72</v>
      </c>
      <c r="Q3500" s="13">
        <v>45554</v>
      </c>
      <c r="R3500" s="13">
        <v>45587</v>
      </c>
      <c r="S3500">
        <v>2024</v>
      </c>
      <c r="T3500" s="12" t="s">
        <v>4283</v>
      </c>
      <c r="U3500">
        <v>226</v>
      </c>
      <c r="V3500">
        <v>45.442900000000002</v>
      </c>
      <c r="W3500">
        <v>202</v>
      </c>
      <c r="X3500">
        <v>0</v>
      </c>
      <c r="Y3500">
        <v>0</v>
      </c>
      <c r="Z3500">
        <v>10270.1</v>
      </c>
      <c r="AA3500">
        <v>10472.1</v>
      </c>
      <c r="AB3500" s="12" t="s">
        <v>4416</v>
      </c>
      <c r="AC3500">
        <v>45.442900000000002</v>
      </c>
      <c r="AD3500">
        <v>1</v>
      </c>
      <c r="AE3500">
        <v>1</v>
      </c>
      <c r="AF3500">
        <v>0</v>
      </c>
      <c r="AG3500">
        <v>10270.1</v>
      </c>
      <c r="AH3500">
        <v>226</v>
      </c>
      <c r="AI3500">
        <v>224</v>
      </c>
      <c r="AJ3500">
        <v>2</v>
      </c>
      <c r="AK3500">
        <v>1</v>
      </c>
      <c r="AL3500">
        <v>1</v>
      </c>
      <c r="AM3500">
        <v>99.12</v>
      </c>
      <c r="AN3500">
        <v>46.750399999999999</v>
      </c>
      <c r="AO3500">
        <v>90.89</v>
      </c>
      <c r="AP3500" s="13">
        <v>45584</v>
      </c>
      <c r="AQ3500">
        <v>-3</v>
      </c>
      <c r="AR3500">
        <v>1</v>
      </c>
    </row>
    <row r="3501" spans="1:44" x14ac:dyDescent="0.35">
      <c r="A3501" s="12" t="s">
        <v>4417</v>
      </c>
      <c r="B3501" s="12" t="s">
        <v>869</v>
      </c>
      <c r="C3501" s="12" t="s">
        <v>870</v>
      </c>
      <c r="D3501" s="12" t="s">
        <v>130</v>
      </c>
      <c r="E3501" s="12" t="s">
        <v>104</v>
      </c>
      <c r="F3501">
        <v>2</v>
      </c>
      <c r="G3501">
        <v>0</v>
      </c>
      <c r="H3501">
        <v>0</v>
      </c>
      <c r="I3501" s="12" t="s">
        <v>515</v>
      </c>
      <c r="J3501" s="12" t="s">
        <v>516</v>
      </c>
      <c r="K3501" s="12" t="s">
        <v>68</v>
      </c>
      <c r="L3501" s="12" t="s">
        <v>134</v>
      </c>
      <c r="M3501">
        <v>3.69</v>
      </c>
      <c r="N3501" s="12" t="s">
        <v>159</v>
      </c>
      <c r="O3501" s="12" t="s">
        <v>160</v>
      </c>
      <c r="P3501" s="12" t="s">
        <v>137</v>
      </c>
      <c r="Q3501" s="13">
        <v>45554</v>
      </c>
      <c r="R3501" s="13">
        <v>45582</v>
      </c>
      <c r="S3501">
        <v>2024</v>
      </c>
      <c r="T3501" s="12" t="s">
        <v>4283</v>
      </c>
      <c r="U3501">
        <v>136</v>
      </c>
      <c r="V3501">
        <v>644.93079999999998</v>
      </c>
      <c r="W3501">
        <v>1795.44</v>
      </c>
      <c r="X3501">
        <v>0</v>
      </c>
      <c r="Y3501">
        <v>0</v>
      </c>
      <c r="Z3501">
        <v>87710.59</v>
      </c>
      <c r="AA3501">
        <v>89506.03</v>
      </c>
      <c r="AB3501" s="12" t="s">
        <v>201</v>
      </c>
      <c r="AD3501">
        <v>0</v>
      </c>
      <c r="AE3501">
        <v>0</v>
      </c>
      <c r="AH3501">
        <v>136</v>
      </c>
      <c r="AI3501">
        <v>134</v>
      </c>
      <c r="AJ3501">
        <v>2</v>
      </c>
      <c r="AK3501">
        <v>1</v>
      </c>
      <c r="AL3501">
        <v>1</v>
      </c>
      <c r="AM3501">
        <v>98.53</v>
      </c>
      <c r="AN3501">
        <v>667.95540000000005</v>
      </c>
      <c r="AO3501">
        <v>1289.8599999999999</v>
      </c>
      <c r="AP3501" s="13">
        <v>45580</v>
      </c>
      <c r="AQ3501">
        <v>-2</v>
      </c>
      <c r="AR3501">
        <v>1</v>
      </c>
    </row>
    <row r="3502" spans="1:44" x14ac:dyDescent="0.35">
      <c r="A3502" s="12" t="s">
        <v>4418</v>
      </c>
      <c r="B3502" s="12" t="s">
        <v>670</v>
      </c>
      <c r="C3502" s="12" t="s">
        <v>671</v>
      </c>
      <c r="D3502" s="12" t="s">
        <v>175</v>
      </c>
      <c r="E3502" s="12" t="s">
        <v>142</v>
      </c>
      <c r="F3502">
        <v>2</v>
      </c>
      <c r="G3502">
        <v>9</v>
      </c>
      <c r="H3502">
        <v>0</v>
      </c>
      <c r="I3502" s="12" t="s">
        <v>105</v>
      </c>
      <c r="J3502" s="12" t="s">
        <v>106</v>
      </c>
      <c r="K3502" s="12" t="s">
        <v>81</v>
      </c>
      <c r="L3502" s="12" t="s">
        <v>96</v>
      </c>
      <c r="M3502">
        <v>5.01</v>
      </c>
      <c r="N3502" s="12" t="s">
        <v>107</v>
      </c>
      <c r="O3502" s="12" t="s">
        <v>108</v>
      </c>
      <c r="P3502" s="12" t="s">
        <v>109</v>
      </c>
      <c r="Q3502" s="13">
        <v>45554</v>
      </c>
      <c r="R3502" s="13">
        <v>45593</v>
      </c>
      <c r="S3502">
        <v>2024</v>
      </c>
      <c r="T3502" s="12" t="s">
        <v>4283</v>
      </c>
      <c r="U3502">
        <v>41</v>
      </c>
      <c r="V3502">
        <v>147.4665</v>
      </c>
      <c r="W3502">
        <v>101.08</v>
      </c>
      <c r="X3502">
        <v>0</v>
      </c>
      <c r="Y3502">
        <v>0</v>
      </c>
      <c r="Z3502">
        <v>6046.13</v>
      </c>
      <c r="AA3502">
        <v>6147.21</v>
      </c>
      <c r="AB3502" s="12" t="s">
        <v>3277</v>
      </c>
      <c r="AC3502">
        <v>147.4665</v>
      </c>
      <c r="AD3502">
        <v>1</v>
      </c>
      <c r="AE3502">
        <v>1</v>
      </c>
      <c r="AF3502">
        <v>0</v>
      </c>
      <c r="AG3502">
        <v>6046.13</v>
      </c>
      <c r="AH3502">
        <v>41</v>
      </c>
      <c r="AI3502">
        <v>40</v>
      </c>
      <c r="AJ3502">
        <v>1</v>
      </c>
      <c r="AK3502">
        <v>1</v>
      </c>
      <c r="AL3502">
        <v>1</v>
      </c>
      <c r="AM3502">
        <v>97.56</v>
      </c>
      <c r="AN3502">
        <v>153.68020000000001</v>
      </c>
      <c r="AO3502">
        <v>147.47</v>
      </c>
      <c r="AP3502" s="13">
        <v>45590</v>
      </c>
      <c r="AQ3502">
        <v>-3</v>
      </c>
      <c r="AR3502">
        <v>1</v>
      </c>
    </row>
    <row r="3503" spans="1:44" x14ac:dyDescent="0.35">
      <c r="A3503" s="12" t="s">
        <v>4419</v>
      </c>
      <c r="B3503" s="12" t="s">
        <v>609</v>
      </c>
      <c r="C3503" s="12" t="s">
        <v>610</v>
      </c>
      <c r="D3503" s="12" t="s">
        <v>64</v>
      </c>
      <c r="E3503" s="12" t="s">
        <v>104</v>
      </c>
      <c r="F3503">
        <v>1</v>
      </c>
      <c r="G3503">
        <v>0</v>
      </c>
      <c r="H3503">
        <v>1</v>
      </c>
      <c r="I3503" s="12" t="s">
        <v>227</v>
      </c>
      <c r="J3503" s="12" t="s">
        <v>228</v>
      </c>
      <c r="K3503" s="12" t="s">
        <v>89</v>
      </c>
      <c r="L3503" s="12" t="s">
        <v>96</v>
      </c>
      <c r="M3503">
        <v>9.15</v>
      </c>
      <c r="N3503" s="12" t="s">
        <v>97</v>
      </c>
      <c r="O3503" s="12" t="s">
        <v>98</v>
      </c>
      <c r="P3503" s="12" t="s">
        <v>72</v>
      </c>
      <c r="Q3503" s="13">
        <v>45555</v>
      </c>
      <c r="R3503" s="13">
        <v>45576</v>
      </c>
      <c r="S3503">
        <v>2024</v>
      </c>
      <c r="T3503" s="12" t="s">
        <v>4283</v>
      </c>
      <c r="U3503">
        <v>569</v>
      </c>
      <c r="V3503">
        <v>20.698799999999999</v>
      </c>
      <c r="W3503">
        <v>215.4</v>
      </c>
      <c r="X3503">
        <v>0</v>
      </c>
      <c r="Y3503">
        <v>0</v>
      </c>
      <c r="Z3503">
        <v>11777.62</v>
      </c>
      <c r="AA3503">
        <v>11993.02</v>
      </c>
      <c r="AB3503" s="12" t="s">
        <v>3349</v>
      </c>
      <c r="AC3503">
        <v>20.698799999999999</v>
      </c>
      <c r="AD3503">
        <v>1</v>
      </c>
      <c r="AE3503">
        <v>1</v>
      </c>
      <c r="AF3503">
        <v>0</v>
      </c>
      <c r="AG3503">
        <v>11777.62</v>
      </c>
      <c r="AH3503">
        <v>569</v>
      </c>
      <c r="AI3503">
        <v>563</v>
      </c>
      <c r="AJ3503">
        <v>6</v>
      </c>
      <c r="AK3503">
        <v>1</v>
      </c>
      <c r="AL3503">
        <v>1</v>
      </c>
      <c r="AM3503">
        <v>98.95</v>
      </c>
      <c r="AN3503">
        <v>21.302</v>
      </c>
      <c r="AO3503">
        <v>124.19</v>
      </c>
      <c r="AP3503" s="13">
        <v>45576</v>
      </c>
      <c r="AQ3503">
        <v>0</v>
      </c>
      <c r="AR3503">
        <v>1</v>
      </c>
    </row>
    <row r="3504" spans="1:44" x14ac:dyDescent="0.35">
      <c r="A3504" s="12" t="s">
        <v>4420</v>
      </c>
      <c r="B3504" s="12" t="s">
        <v>519</v>
      </c>
      <c r="C3504" s="12" t="s">
        <v>520</v>
      </c>
      <c r="D3504" s="12" t="s">
        <v>78</v>
      </c>
      <c r="E3504" s="12" t="s">
        <v>65</v>
      </c>
      <c r="F3504">
        <v>2</v>
      </c>
      <c r="G3504">
        <v>3</v>
      </c>
      <c r="H3504">
        <v>0</v>
      </c>
      <c r="I3504" s="12" t="s">
        <v>143</v>
      </c>
      <c r="J3504" s="12" t="s">
        <v>144</v>
      </c>
      <c r="K3504" s="12" t="s">
        <v>133</v>
      </c>
      <c r="L3504" s="12" t="s">
        <v>96</v>
      </c>
      <c r="M3504">
        <v>5.43</v>
      </c>
      <c r="N3504" s="12" t="s">
        <v>70</v>
      </c>
      <c r="O3504" s="12" t="s">
        <v>71</v>
      </c>
      <c r="P3504" s="12" t="s">
        <v>72</v>
      </c>
      <c r="Q3504" s="13">
        <v>45555</v>
      </c>
      <c r="R3504" s="13">
        <v>45585</v>
      </c>
      <c r="S3504">
        <v>2024</v>
      </c>
      <c r="T3504" s="12" t="s">
        <v>4283</v>
      </c>
      <c r="U3504">
        <v>179</v>
      </c>
      <c r="V3504">
        <v>30.1342</v>
      </c>
      <c r="W3504">
        <v>48.12</v>
      </c>
      <c r="X3504">
        <v>0</v>
      </c>
      <c r="Y3504">
        <v>0</v>
      </c>
      <c r="Z3504">
        <v>5394.02</v>
      </c>
      <c r="AA3504">
        <v>5442.14</v>
      </c>
      <c r="AB3504" s="12" t="s">
        <v>3130</v>
      </c>
      <c r="AC3504">
        <v>30.1342</v>
      </c>
      <c r="AD3504">
        <v>1</v>
      </c>
      <c r="AE3504">
        <v>1</v>
      </c>
      <c r="AF3504">
        <v>0</v>
      </c>
      <c r="AG3504">
        <v>5394.02</v>
      </c>
      <c r="AH3504">
        <v>179</v>
      </c>
      <c r="AI3504">
        <v>175</v>
      </c>
      <c r="AJ3504">
        <v>4</v>
      </c>
      <c r="AK3504">
        <v>1</v>
      </c>
      <c r="AL3504">
        <v>1</v>
      </c>
      <c r="AM3504">
        <v>97.77</v>
      </c>
      <c r="AN3504">
        <v>31.097999999999999</v>
      </c>
      <c r="AO3504">
        <v>120.54</v>
      </c>
      <c r="AP3504" s="13">
        <v>45584</v>
      </c>
      <c r="AQ3504">
        <v>-1</v>
      </c>
      <c r="AR3504">
        <v>1</v>
      </c>
    </row>
    <row r="3505" spans="1:44" x14ac:dyDescent="0.35">
      <c r="A3505" s="12" t="s">
        <v>4421</v>
      </c>
      <c r="B3505" s="12" t="s">
        <v>621</v>
      </c>
      <c r="C3505" s="12" t="s">
        <v>622</v>
      </c>
      <c r="D3505" s="12" t="s">
        <v>103</v>
      </c>
      <c r="E3505" s="12" t="s">
        <v>65</v>
      </c>
      <c r="F3505">
        <v>1</v>
      </c>
      <c r="G3505">
        <v>2</v>
      </c>
      <c r="H3505">
        <v>1</v>
      </c>
      <c r="I3505" s="12" t="s">
        <v>486</v>
      </c>
      <c r="J3505" s="12" t="s">
        <v>487</v>
      </c>
      <c r="K3505" s="12" t="s">
        <v>125</v>
      </c>
      <c r="L3505" s="12" t="s">
        <v>69</v>
      </c>
      <c r="M3505">
        <v>36.86</v>
      </c>
      <c r="N3505" s="12" t="s">
        <v>145</v>
      </c>
      <c r="O3505" s="12" t="s">
        <v>146</v>
      </c>
      <c r="P3505" s="12" t="s">
        <v>109</v>
      </c>
      <c r="Q3505" s="13">
        <v>45555</v>
      </c>
      <c r="R3505" s="13">
        <v>45590</v>
      </c>
      <c r="S3505">
        <v>2024</v>
      </c>
      <c r="T3505" s="12" t="s">
        <v>4283</v>
      </c>
      <c r="U3505">
        <v>122</v>
      </c>
      <c r="V3505">
        <v>201.08609999999999</v>
      </c>
      <c r="W3505">
        <v>230.08</v>
      </c>
      <c r="X3505">
        <v>0</v>
      </c>
      <c r="Y3505">
        <v>0</v>
      </c>
      <c r="Z3505">
        <v>24532.5</v>
      </c>
      <c r="AA3505">
        <v>24762.58</v>
      </c>
      <c r="AB3505" s="12" t="s">
        <v>2658</v>
      </c>
      <c r="AC3505">
        <v>201.08609999999999</v>
      </c>
      <c r="AD3505">
        <v>1</v>
      </c>
      <c r="AE3505">
        <v>1</v>
      </c>
      <c r="AF3505">
        <v>0</v>
      </c>
      <c r="AG3505">
        <v>24532.5</v>
      </c>
      <c r="AH3505">
        <v>122</v>
      </c>
      <c r="AI3505">
        <v>122</v>
      </c>
      <c r="AJ3505">
        <v>0</v>
      </c>
      <c r="AK3505">
        <v>1</v>
      </c>
      <c r="AL3505">
        <v>1</v>
      </c>
      <c r="AM3505">
        <v>100</v>
      </c>
      <c r="AN3505">
        <v>202.97200000000001</v>
      </c>
      <c r="AO3505">
        <v>0</v>
      </c>
      <c r="AP3505" s="13">
        <v>45587</v>
      </c>
      <c r="AQ3505">
        <v>-3</v>
      </c>
      <c r="AR3505">
        <v>1</v>
      </c>
    </row>
    <row r="3506" spans="1:44" x14ac:dyDescent="0.35">
      <c r="A3506" s="12" t="s">
        <v>4422</v>
      </c>
      <c r="B3506" s="12" t="s">
        <v>378</v>
      </c>
      <c r="C3506" s="12" t="s">
        <v>379</v>
      </c>
      <c r="D3506" s="12" t="s">
        <v>64</v>
      </c>
      <c r="E3506" s="12" t="s">
        <v>104</v>
      </c>
      <c r="F3506">
        <v>3</v>
      </c>
      <c r="G3506">
        <v>1</v>
      </c>
      <c r="H3506">
        <v>0</v>
      </c>
      <c r="I3506" s="12" t="s">
        <v>176</v>
      </c>
      <c r="J3506" s="12" t="s">
        <v>177</v>
      </c>
      <c r="K3506" s="12" t="s">
        <v>125</v>
      </c>
      <c r="L3506" s="12" t="s">
        <v>134</v>
      </c>
      <c r="M3506">
        <v>1.75</v>
      </c>
      <c r="N3506" s="12" t="s">
        <v>97</v>
      </c>
      <c r="O3506" s="12" t="s">
        <v>98</v>
      </c>
      <c r="P3506" s="12" t="s">
        <v>72</v>
      </c>
      <c r="Q3506" s="13">
        <v>45555</v>
      </c>
      <c r="R3506" s="13">
        <v>45581</v>
      </c>
      <c r="S3506">
        <v>2024</v>
      </c>
      <c r="T3506" s="12" t="s">
        <v>4283</v>
      </c>
      <c r="U3506">
        <v>811</v>
      </c>
      <c r="V3506">
        <v>15.8965</v>
      </c>
      <c r="W3506">
        <v>80.23</v>
      </c>
      <c r="X3506">
        <v>0</v>
      </c>
      <c r="Y3506">
        <v>0</v>
      </c>
      <c r="Z3506">
        <v>12892.06</v>
      </c>
      <c r="AA3506">
        <v>12972.29</v>
      </c>
      <c r="AB3506" s="12" t="s">
        <v>201</v>
      </c>
      <c r="AD3506">
        <v>0</v>
      </c>
      <c r="AE3506">
        <v>0</v>
      </c>
      <c r="AH3506">
        <v>811</v>
      </c>
      <c r="AI3506">
        <v>799</v>
      </c>
      <c r="AJ3506">
        <v>12</v>
      </c>
      <c r="AK3506">
        <v>1</v>
      </c>
      <c r="AL3506">
        <v>1</v>
      </c>
      <c r="AM3506">
        <v>98.52</v>
      </c>
      <c r="AN3506">
        <v>16.235700000000001</v>
      </c>
      <c r="AO3506">
        <v>190.76</v>
      </c>
      <c r="AP3506" s="13">
        <v>45579</v>
      </c>
      <c r="AQ3506">
        <v>-2</v>
      </c>
      <c r="AR3506">
        <v>1</v>
      </c>
    </row>
    <row r="3507" spans="1:44" x14ac:dyDescent="0.35">
      <c r="A3507" s="12" t="s">
        <v>4423</v>
      </c>
      <c r="B3507" s="12" t="s">
        <v>1666</v>
      </c>
      <c r="C3507" s="12" t="s">
        <v>1667</v>
      </c>
      <c r="D3507" s="12" t="s">
        <v>78</v>
      </c>
      <c r="E3507" s="12" t="s">
        <v>65</v>
      </c>
      <c r="F3507">
        <v>2</v>
      </c>
      <c r="G3507">
        <v>3</v>
      </c>
      <c r="H3507">
        <v>0</v>
      </c>
      <c r="I3507" s="12" t="s">
        <v>310</v>
      </c>
      <c r="J3507" s="12" t="s">
        <v>311</v>
      </c>
      <c r="K3507" s="12" t="s">
        <v>81</v>
      </c>
      <c r="L3507" s="12" t="s">
        <v>69</v>
      </c>
      <c r="M3507">
        <v>28.3</v>
      </c>
      <c r="N3507" s="12" t="s">
        <v>70</v>
      </c>
      <c r="O3507" s="12" t="s">
        <v>71</v>
      </c>
      <c r="P3507" s="12" t="s">
        <v>72</v>
      </c>
      <c r="Q3507" s="13">
        <v>45555</v>
      </c>
      <c r="R3507" s="13">
        <v>45589</v>
      </c>
      <c r="S3507">
        <v>2024</v>
      </c>
      <c r="T3507" s="12" t="s">
        <v>4283</v>
      </c>
      <c r="U3507">
        <v>239</v>
      </c>
      <c r="V3507">
        <v>73.412099999999995</v>
      </c>
      <c r="W3507">
        <v>289.75</v>
      </c>
      <c r="X3507">
        <v>0</v>
      </c>
      <c r="Y3507">
        <v>0</v>
      </c>
      <c r="Z3507">
        <v>17545.490000000002</v>
      </c>
      <c r="AA3507">
        <v>17835.240000000002</v>
      </c>
      <c r="AB3507" s="12" t="s">
        <v>3090</v>
      </c>
      <c r="AC3507">
        <v>73.412099999999995</v>
      </c>
      <c r="AD3507">
        <v>1</v>
      </c>
      <c r="AE3507">
        <v>1</v>
      </c>
      <c r="AF3507">
        <v>0</v>
      </c>
      <c r="AG3507">
        <v>17545.490000000002</v>
      </c>
      <c r="AH3507">
        <v>239</v>
      </c>
      <c r="AI3507">
        <v>234</v>
      </c>
      <c r="AJ3507">
        <v>5</v>
      </c>
      <c r="AK3507">
        <v>1</v>
      </c>
      <c r="AL3507">
        <v>1</v>
      </c>
      <c r="AM3507">
        <v>97.91</v>
      </c>
      <c r="AN3507">
        <v>76.218999999999994</v>
      </c>
      <c r="AO3507">
        <v>367.06</v>
      </c>
      <c r="AP3507" s="13">
        <v>45585</v>
      </c>
      <c r="AQ3507">
        <v>-4</v>
      </c>
      <c r="AR3507">
        <v>1</v>
      </c>
    </row>
    <row r="3508" spans="1:44" x14ac:dyDescent="0.35">
      <c r="A3508" s="12" t="s">
        <v>4424</v>
      </c>
      <c r="B3508" s="12" t="s">
        <v>140</v>
      </c>
      <c r="C3508" s="12" t="s">
        <v>141</v>
      </c>
      <c r="D3508" s="12" t="s">
        <v>103</v>
      </c>
      <c r="E3508" s="12" t="s">
        <v>142</v>
      </c>
      <c r="F3508">
        <v>1</v>
      </c>
      <c r="G3508">
        <v>7</v>
      </c>
      <c r="H3508">
        <v>1</v>
      </c>
      <c r="I3508" s="12" t="s">
        <v>143</v>
      </c>
      <c r="J3508" s="12" t="s">
        <v>144</v>
      </c>
      <c r="K3508" s="12" t="s">
        <v>133</v>
      </c>
      <c r="L3508" s="12" t="s">
        <v>96</v>
      </c>
      <c r="M3508">
        <v>5.43</v>
      </c>
      <c r="N3508" s="12" t="s">
        <v>145</v>
      </c>
      <c r="O3508" s="12" t="s">
        <v>146</v>
      </c>
      <c r="P3508" s="12" t="s">
        <v>109</v>
      </c>
      <c r="Q3508" s="13">
        <v>45555</v>
      </c>
      <c r="R3508" s="13">
        <v>45596</v>
      </c>
      <c r="S3508">
        <v>2024</v>
      </c>
      <c r="T3508" s="12" t="s">
        <v>4283</v>
      </c>
      <c r="U3508">
        <v>58</v>
      </c>
      <c r="V3508">
        <v>211.35810000000001</v>
      </c>
      <c r="W3508">
        <v>92.19</v>
      </c>
      <c r="X3508">
        <v>0</v>
      </c>
      <c r="Y3508">
        <v>0</v>
      </c>
      <c r="Z3508">
        <v>12258.77</v>
      </c>
      <c r="AA3508">
        <v>12350.96</v>
      </c>
      <c r="AB3508" s="12" t="s">
        <v>2815</v>
      </c>
      <c r="AC3508">
        <v>211.35810000000001</v>
      </c>
      <c r="AD3508">
        <v>1</v>
      </c>
      <c r="AE3508">
        <v>1</v>
      </c>
      <c r="AF3508">
        <v>0</v>
      </c>
      <c r="AG3508">
        <v>12258.77</v>
      </c>
      <c r="AH3508">
        <v>58</v>
      </c>
      <c r="AI3508">
        <v>57</v>
      </c>
      <c r="AJ3508">
        <v>1</v>
      </c>
      <c r="AK3508">
        <v>1</v>
      </c>
      <c r="AL3508">
        <v>1</v>
      </c>
      <c r="AM3508">
        <v>98.28</v>
      </c>
      <c r="AN3508">
        <v>216.68350000000001</v>
      </c>
      <c r="AO3508">
        <v>211.36</v>
      </c>
      <c r="AP3508" s="13">
        <v>45605</v>
      </c>
      <c r="AQ3508">
        <v>9</v>
      </c>
      <c r="AR3508">
        <v>0</v>
      </c>
    </row>
    <row r="3509" spans="1:44" x14ac:dyDescent="0.35">
      <c r="A3509" s="12" t="s">
        <v>4425</v>
      </c>
      <c r="B3509" s="12" t="s">
        <v>924</v>
      </c>
      <c r="C3509" s="12" t="s">
        <v>925</v>
      </c>
      <c r="D3509" s="12" t="s">
        <v>103</v>
      </c>
      <c r="E3509" s="12" t="s">
        <v>104</v>
      </c>
      <c r="F3509">
        <v>2</v>
      </c>
      <c r="G3509">
        <v>0</v>
      </c>
      <c r="H3509">
        <v>0</v>
      </c>
      <c r="I3509" s="12" t="s">
        <v>335</v>
      </c>
      <c r="J3509" s="12" t="s">
        <v>336</v>
      </c>
      <c r="K3509" s="12" t="s">
        <v>89</v>
      </c>
      <c r="L3509" s="12" t="s">
        <v>82</v>
      </c>
      <c r="M3509">
        <v>16</v>
      </c>
      <c r="N3509" s="12" t="s">
        <v>107</v>
      </c>
      <c r="O3509" s="12" t="s">
        <v>108</v>
      </c>
      <c r="P3509" s="12" t="s">
        <v>109</v>
      </c>
      <c r="Q3509" s="13">
        <v>45555</v>
      </c>
      <c r="R3509" s="13">
        <v>45574</v>
      </c>
      <c r="S3509">
        <v>2024</v>
      </c>
      <c r="T3509" s="12" t="s">
        <v>4283</v>
      </c>
      <c r="U3509">
        <v>64</v>
      </c>
      <c r="V3509">
        <v>163.5977</v>
      </c>
      <c r="W3509">
        <v>183.97</v>
      </c>
      <c r="X3509">
        <v>0</v>
      </c>
      <c r="Y3509">
        <v>0</v>
      </c>
      <c r="Z3509">
        <v>10470.25</v>
      </c>
      <c r="AA3509">
        <v>10654.22</v>
      </c>
      <c r="AB3509" s="12" t="s">
        <v>201</v>
      </c>
      <c r="AD3509">
        <v>0</v>
      </c>
      <c r="AE3509">
        <v>0</v>
      </c>
      <c r="AH3509">
        <v>64</v>
      </c>
      <c r="AI3509">
        <v>63</v>
      </c>
      <c r="AJ3509">
        <v>1</v>
      </c>
      <c r="AK3509">
        <v>1</v>
      </c>
      <c r="AL3509">
        <v>1</v>
      </c>
      <c r="AM3509">
        <v>98.44</v>
      </c>
      <c r="AN3509">
        <v>169.1146</v>
      </c>
      <c r="AO3509">
        <v>163.6</v>
      </c>
      <c r="AP3509" s="13">
        <v>45580</v>
      </c>
      <c r="AQ3509">
        <v>6</v>
      </c>
      <c r="AR3509">
        <v>0</v>
      </c>
    </row>
    <row r="3510" spans="1:44" x14ac:dyDescent="0.35">
      <c r="A3510" s="12" t="s">
        <v>4426</v>
      </c>
      <c r="B3510" s="12" t="s">
        <v>1034</v>
      </c>
      <c r="C3510" s="12" t="s">
        <v>1035</v>
      </c>
      <c r="D3510" s="12" t="s">
        <v>64</v>
      </c>
      <c r="E3510" s="12" t="s">
        <v>104</v>
      </c>
      <c r="F3510">
        <v>2</v>
      </c>
      <c r="G3510">
        <v>0</v>
      </c>
      <c r="H3510">
        <v>0</v>
      </c>
      <c r="I3510" s="12" t="s">
        <v>157</v>
      </c>
      <c r="J3510" s="12" t="s">
        <v>158</v>
      </c>
      <c r="K3510" s="12" t="s">
        <v>117</v>
      </c>
      <c r="L3510" s="12" t="s">
        <v>96</v>
      </c>
      <c r="M3510">
        <v>4.72</v>
      </c>
      <c r="N3510" s="12" t="s">
        <v>70</v>
      </c>
      <c r="O3510" s="12" t="s">
        <v>71</v>
      </c>
      <c r="P3510" s="12" t="s">
        <v>72</v>
      </c>
      <c r="Q3510" s="13">
        <v>45558</v>
      </c>
      <c r="R3510" s="13">
        <v>45581</v>
      </c>
      <c r="S3510">
        <v>2024</v>
      </c>
      <c r="T3510" s="12" t="s">
        <v>4283</v>
      </c>
      <c r="U3510">
        <v>663</v>
      </c>
      <c r="V3510">
        <v>9.2698</v>
      </c>
      <c r="W3510">
        <v>50.13</v>
      </c>
      <c r="X3510">
        <v>0</v>
      </c>
      <c r="Y3510">
        <v>0</v>
      </c>
      <c r="Z3510">
        <v>6145.88</v>
      </c>
      <c r="AA3510">
        <v>6196.01</v>
      </c>
      <c r="AB3510" s="12" t="s">
        <v>3309</v>
      </c>
      <c r="AC3510">
        <v>9.2698</v>
      </c>
      <c r="AD3510">
        <v>1</v>
      </c>
      <c r="AE3510">
        <v>1</v>
      </c>
      <c r="AF3510">
        <v>0</v>
      </c>
      <c r="AG3510">
        <v>6145.88</v>
      </c>
      <c r="AH3510">
        <v>663</v>
      </c>
      <c r="AI3510">
        <v>653</v>
      </c>
      <c r="AJ3510">
        <v>10</v>
      </c>
      <c r="AK3510">
        <v>1</v>
      </c>
      <c r="AL3510">
        <v>1</v>
      </c>
      <c r="AM3510">
        <v>98.49</v>
      </c>
      <c r="AN3510">
        <v>9.4885000000000002</v>
      </c>
      <c r="AO3510">
        <v>92.7</v>
      </c>
      <c r="AP3510" s="13">
        <v>45580</v>
      </c>
      <c r="AQ3510">
        <v>-1</v>
      </c>
      <c r="AR3510">
        <v>1</v>
      </c>
    </row>
    <row r="3511" spans="1:44" x14ac:dyDescent="0.35">
      <c r="A3511" s="12" t="s">
        <v>4427</v>
      </c>
      <c r="B3511" s="12" t="s">
        <v>621</v>
      </c>
      <c r="C3511" s="12" t="s">
        <v>622</v>
      </c>
      <c r="D3511" s="12" t="s">
        <v>103</v>
      </c>
      <c r="E3511" s="12" t="s">
        <v>65</v>
      </c>
      <c r="F3511">
        <v>1</v>
      </c>
      <c r="G3511">
        <v>2</v>
      </c>
      <c r="H3511">
        <v>1</v>
      </c>
      <c r="I3511" s="12" t="s">
        <v>486</v>
      </c>
      <c r="J3511" s="12" t="s">
        <v>487</v>
      </c>
      <c r="K3511" s="12" t="s">
        <v>125</v>
      </c>
      <c r="L3511" s="12" t="s">
        <v>69</v>
      </c>
      <c r="M3511">
        <v>36.86</v>
      </c>
      <c r="N3511" s="12" t="s">
        <v>107</v>
      </c>
      <c r="O3511" s="12" t="s">
        <v>108</v>
      </c>
      <c r="P3511" s="12" t="s">
        <v>109</v>
      </c>
      <c r="Q3511" s="13">
        <v>45558</v>
      </c>
      <c r="R3511" s="13">
        <v>45585</v>
      </c>
      <c r="S3511">
        <v>2024</v>
      </c>
      <c r="T3511" s="12" t="s">
        <v>4283</v>
      </c>
      <c r="U3511">
        <v>59</v>
      </c>
      <c r="V3511">
        <v>201.08609999999999</v>
      </c>
      <c r="W3511">
        <v>201.88</v>
      </c>
      <c r="X3511">
        <v>358.78</v>
      </c>
      <c r="Y3511">
        <v>1</v>
      </c>
      <c r="Z3511">
        <v>11864.08</v>
      </c>
      <c r="AA3511">
        <v>12424.74</v>
      </c>
      <c r="AB3511" s="12" t="s">
        <v>2658</v>
      </c>
      <c r="AC3511">
        <v>201.08609999999999</v>
      </c>
      <c r="AD3511">
        <v>1</v>
      </c>
      <c r="AE3511">
        <v>1</v>
      </c>
      <c r="AF3511">
        <v>0</v>
      </c>
      <c r="AG3511">
        <v>11864.08</v>
      </c>
      <c r="AH3511">
        <v>59</v>
      </c>
      <c r="AI3511">
        <v>58</v>
      </c>
      <c r="AJ3511">
        <v>1</v>
      </c>
      <c r="AK3511">
        <v>1</v>
      </c>
      <c r="AL3511">
        <v>1</v>
      </c>
      <c r="AM3511">
        <v>98.31</v>
      </c>
      <c r="AN3511">
        <v>214.21969999999999</v>
      </c>
      <c r="AO3511">
        <v>201.09</v>
      </c>
      <c r="AP3511" s="13">
        <v>45585</v>
      </c>
      <c r="AQ3511">
        <v>0</v>
      </c>
      <c r="AR3511">
        <v>1</v>
      </c>
    </row>
    <row r="3512" spans="1:44" x14ac:dyDescent="0.35">
      <c r="A3512" s="12" t="s">
        <v>4428</v>
      </c>
      <c r="B3512" s="12" t="s">
        <v>451</v>
      </c>
      <c r="C3512" s="12" t="s">
        <v>452</v>
      </c>
      <c r="D3512" s="12" t="s">
        <v>175</v>
      </c>
      <c r="E3512" s="12" t="s">
        <v>104</v>
      </c>
      <c r="F3512">
        <v>3</v>
      </c>
      <c r="G3512">
        <v>1</v>
      </c>
      <c r="H3512">
        <v>0</v>
      </c>
      <c r="I3512" s="12" t="s">
        <v>176</v>
      </c>
      <c r="J3512" s="12" t="s">
        <v>177</v>
      </c>
      <c r="K3512" s="12" t="s">
        <v>125</v>
      </c>
      <c r="L3512" s="12" t="s">
        <v>134</v>
      </c>
      <c r="M3512">
        <v>1.75</v>
      </c>
      <c r="N3512" s="12" t="s">
        <v>145</v>
      </c>
      <c r="O3512" s="12" t="s">
        <v>146</v>
      </c>
      <c r="P3512" s="12" t="s">
        <v>109</v>
      </c>
      <c r="Q3512" s="13">
        <v>45558</v>
      </c>
      <c r="R3512" s="13">
        <v>45582</v>
      </c>
      <c r="S3512">
        <v>2024</v>
      </c>
      <c r="T3512" s="12" t="s">
        <v>4283</v>
      </c>
      <c r="U3512">
        <v>111</v>
      </c>
      <c r="V3512">
        <v>239.53530000000001</v>
      </c>
      <c r="W3512">
        <v>259.8</v>
      </c>
      <c r="X3512">
        <v>0</v>
      </c>
      <c r="Y3512">
        <v>0</v>
      </c>
      <c r="Z3512">
        <v>26588.42</v>
      </c>
      <c r="AA3512">
        <v>26848.22</v>
      </c>
      <c r="AB3512" s="12" t="s">
        <v>2749</v>
      </c>
      <c r="AC3512">
        <v>254.14510000000001</v>
      </c>
      <c r="AD3512">
        <v>1</v>
      </c>
      <c r="AE3512">
        <v>1</v>
      </c>
      <c r="AF3512">
        <v>-1621.69</v>
      </c>
      <c r="AG3512">
        <v>28210.11</v>
      </c>
      <c r="AH3512">
        <v>111</v>
      </c>
      <c r="AI3512">
        <v>110</v>
      </c>
      <c r="AJ3512">
        <v>1</v>
      </c>
      <c r="AK3512">
        <v>1</v>
      </c>
      <c r="AL3512">
        <v>1</v>
      </c>
      <c r="AM3512">
        <v>99.1</v>
      </c>
      <c r="AN3512">
        <v>244.07470000000001</v>
      </c>
      <c r="AO3512">
        <v>239.54</v>
      </c>
      <c r="AP3512" s="13">
        <v>45578</v>
      </c>
      <c r="AQ3512">
        <v>-4</v>
      </c>
      <c r="AR3512">
        <v>1</v>
      </c>
    </row>
    <row r="3513" spans="1:44" x14ac:dyDescent="0.35">
      <c r="A3513" s="12" t="s">
        <v>4429</v>
      </c>
      <c r="B3513" s="12" t="s">
        <v>378</v>
      </c>
      <c r="C3513" s="12" t="s">
        <v>379</v>
      </c>
      <c r="D3513" s="12" t="s">
        <v>64</v>
      </c>
      <c r="E3513" s="12" t="s">
        <v>104</v>
      </c>
      <c r="F3513">
        <v>3</v>
      </c>
      <c r="G3513">
        <v>1</v>
      </c>
      <c r="H3513">
        <v>0</v>
      </c>
      <c r="I3513" s="12" t="s">
        <v>176</v>
      </c>
      <c r="J3513" s="12" t="s">
        <v>177</v>
      </c>
      <c r="K3513" s="12" t="s">
        <v>125</v>
      </c>
      <c r="L3513" s="12" t="s">
        <v>134</v>
      </c>
      <c r="M3513">
        <v>1.75</v>
      </c>
      <c r="N3513" s="12" t="s">
        <v>97</v>
      </c>
      <c r="O3513" s="12" t="s">
        <v>98</v>
      </c>
      <c r="P3513" s="12" t="s">
        <v>72</v>
      </c>
      <c r="Q3513" s="13">
        <v>45558</v>
      </c>
      <c r="R3513" s="13">
        <v>45574</v>
      </c>
      <c r="S3513">
        <v>2024</v>
      </c>
      <c r="T3513" s="12" t="s">
        <v>4283</v>
      </c>
      <c r="U3513">
        <v>335</v>
      </c>
      <c r="V3513">
        <v>15.624499999999999</v>
      </c>
      <c r="W3513">
        <v>98.02</v>
      </c>
      <c r="X3513">
        <v>0</v>
      </c>
      <c r="Y3513">
        <v>0</v>
      </c>
      <c r="Z3513">
        <v>5234.21</v>
      </c>
      <c r="AA3513">
        <v>5332.23</v>
      </c>
      <c r="AB3513" s="12" t="s">
        <v>201</v>
      </c>
      <c r="AD3513">
        <v>0</v>
      </c>
      <c r="AE3513">
        <v>0</v>
      </c>
      <c r="AH3513">
        <v>335</v>
      </c>
      <c r="AI3513">
        <v>333</v>
      </c>
      <c r="AJ3513">
        <v>2</v>
      </c>
      <c r="AK3513">
        <v>1</v>
      </c>
      <c r="AL3513">
        <v>1</v>
      </c>
      <c r="AM3513">
        <v>99.4</v>
      </c>
      <c r="AN3513">
        <v>16.012699999999999</v>
      </c>
      <c r="AO3513">
        <v>31.25</v>
      </c>
      <c r="AP3513" s="13">
        <v>45571</v>
      </c>
      <c r="AQ3513">
        <v>-3</v>
      </c>
      <c r="AR3513">
        <v>1</v>
      </c>
    </row>
    <row r="3514" spans="1:44" x14ac:dyDescent="0.35">
      <c r="A3514" s="12" t="s">
        <v>4430</v>
      </c>
      <c r="B3514" s="12" t="s">
        <v>657</v>
      </c>
      <c r="C3514" s="12" t="s">
        <v>658</v>
      </c>
      <c r="D3514" s="12" t="s">
        <v>175</v>
      </c>
      <c r="E3514" s="12" t="s">
        <v>65</v>
      </c>
      <c r="F3514">
        <v>1</v>
      </c>
      <c r="G3514">
        <v>2</v>
      </c>
      <c r="H3514">
        <v>1</v>
      </c>
      <c r="I3514" s="12" t="s">
        <v>183</v>
      </c>
      <c r="J3514" s="12" t="s">
        <v>184</v>
      </c>
      <c r="K3514" s="12" t="s">
        <v>133</v>
      </c>
      <c r="L3514" s="12" t="s">
        <v>82</v>
      </c>
      <c r="M3514">
        <v>8.6199999999999992</v>
      </c>
      <c r="N3514" s="12" t="s">
        <v>145</v>
      </c>
      <c r="O3514" s="12" t="s">
        <v>146</v>
      </c>
      <c r="P3514" s="12" t="s">
        <v>109</v>
      </c>
      <c r="Q3514" s="13">
        <v>45558</v>
      </c>
      <c r="R3514" s="13">
        <v>45596</v>
      </c>
      <c r="S3514">
        <v>2024</v>
      </c>
      <c r="T3514" s="12" t="s">
        <v>4283</v>
      </c>
      <c r="U3514">
        <v>146</v>
      </c>
      <c r="V3514">
        <v>149.10310000000001</v>
      </c>
      <c r="W3514">
        <v>417.59</v>
      </c>
      <c r="X3514">
        <v>0</v>
      </c>
      <c r="Y3514">
        <v>0</v>
      </c>
      <c r="Z3514">
        <v>21769.05</v>
      </c>
      <c r="AA3514">
        <v>22186.639999999999</v>
      </c>
      <c r="AB3514" s="12" t="s">
        <v>3525</v>
      </c>
      <c r="AC3514">
        <v>149.10310000000001</v>
      </c>
      <c r="AD3514">
        <v>1</v>
      </c>
      <c r="AE3514">
        <v>1</v>
      </c>
      <c r="AF3514">
        <v>0</v>
      </c>
      <c r="AG3514">
        <v>21769.05</v>
      </c>
      <c r="AH3514">
        <v>146</v>
      </c>
      <c r="AI3514">
        <v>145</v>
      </c>
      <c r="AJ3514">
        <v>1</v>
      </c>
      <c r="AK3514">
        <v>1</v>
      </c>
      <c r="AL3514">
        <v>1</v>
      </c>
      <c r="AM3514">
        <v>99.32</v>
      </c>
      <c r="AN3514">
        <v>153.01130000000001</v>
      </c>
      <c r="AO3514">
        <v>149.1</v>
      </c>
      <c r="AP3514" s="13">
        <v>45596</v>
      </c>
      <c r="AQ3514">
        <v>0</v>
      </c>
      <c r="AR3514">
        <v>1</v>
      </c>
    </row>
    <row r="3515" spans="1:44" x14ac:dyDescent="0.35">
      <c r="A3515" s="12" t="s">
        <v>4431</v>
      </c>
      <c r="B3515" s="12" t="s">
        <v>267</v>
      </c>
      <c r="C3515" s="12" t="s">
        <v>268</v>
      </c>
      <c r="D3515" s="12" t="s">
        <v>269</v>
      </c>
      <c r="E3515" s="12" t="s">
        <v>142</v>
      </c>
      <c r="F3515">
        <v>1</v>
      </c>
      <c r="G3515">
        <v>8</v>
      </c>
      <c r="H3515">
        <v>1</v>
      </c>
      <c r="I3515" s="12" t="s">
        <v>94</v>
      </c>
      <c r="J3515" s="12" t="s">
        <v>95</v>
      </c>
      <c r="K3515" s="12" t="s">
        <v>81</v>
      </c>
      <c r="L3515" s="12" t="s">
        <v>96</v>
      </c>
      <c r="M3515">
        <v>4.8099999999999996</v>
      </c>
      <c r="N3515" s="12" t="s">
        <v>135</v>
      </c>
      <c r="O3515" s="12" t="s">
        <v>136</v>
      </c>
      <c r="P3515" s="12" t="s">
        <v>137</v>
      </c>
      <c r="Q3515" s="13">
        <v>45558</v>
      </c>
      <c r="R3515" s="13">
        <v>45606</v>
      </c>
      <c r="S3515">
        <v>2024</v>
      </c>
      <c r="T3515" s="12" t="s">
        <v>4283</v>
      </c>
      <c r="U3515">
        <v>111</v>
      </c>
      <c r="V3515">
        <v>225.02719999999999</v>
      </c>
      <c r="W3515">
        <v>485.62</v>
      </c>
      <c r="X3515">
        <v>0</v>
      </c>
      <c r="Y3515">
        <v>0</v>
      </c>
      <c r="Z3515">
        <v>24978.02</v>
      </c>
      <c r="AA3515">
        <v>25463.64</v>
      </c>
      <c r="AB3515" s="12" t="s">
        <v>2878</v>
      </c>
      <c r="AC3515">
        <v>225.02719999999999</v>
      </c>
      <c r="AD3515">
        <v>1</v>
      </c>
      <c r="AE3515">
        <v>1</v>
      </c>
      <c r="AF3515">
        <v>0</v>
      </c>
      <c r="AG3515">
        <v>24978.02</v>
      </c>
      <c r="AH3515">
        <v>111</v>
      </c>
      <c r="AI3515">
        <v>110</v>
      </c>
      <c r="AJ3515">
        <v>1</v>
      </c>
      <c r="AK3515">
        <v>1</v>
      </c>
      <c r="AL3515">
        <v>1</v>
      </c>
      <c r="AM3515">
        <v>99.1</v>
      </c>
      <c r="AN3515">
        <v>231.48759999999999</v>
      </c>
      <c r="AO3515">
        <v>225.03</v>
      </c>
      <c r="AP3515" s="13">
        <v>45606</v>
      </c>
      <c r="AQ3515">
        <v>0</v>
      </c>
      <c r="AR3515">
        <v>1</v>
      </c>
    </row>
    <row r="3516" spans="1:44" x14ac:dyDescent="0.35">
      <c r="A3516" s="12" t="s">
        <v>4432</v>
      </c>
      <c r="B3516" s="12" t="s">
        <v>289</v>
      </c>
      <c r="C3516" s="12" t="s">
        <v>290</v>
      </c>
      <c r="D3516" s="12" t="s">
        <v>175</v>
      </c>
      <c r="E3516" s="12" t="s">
        <v>104</v>
      </c>
      <c r="F3516">
        <v>3</v>
      </c>
      <c r="G3516">
        <v>1</v>
      </c>
      <c r="H3516">
        <v>0</v>
      </c>
      <c r="I3516" s="12" t="s">
        <v>209</v>
      </c>
      <c r="J3516" s="12" t="s">
        <v>210</v>
      </c>
      <c r="K3516" s="12" t="s">
        <v>133</v>
      </c>
      <c r="L3516" s="12" t="s">
        <v>96</v>
      </c>
      <c r="M3516">
        <v>7.82</v>
      </c>
      <c r="N3516" s="12" t="s">
        <v>145</v>
      </c>
      <c r="O3516" s="12" t="s">
        <v>146</v>
      </c>
      <c r="P3516" s="12" t="s">
        <v>109</v>
      </c>
      <c r="Q3516" s="13">
        <v>45558</v>
      </c>
      <c r="R3516" s="13">
        <v>45570</v>
      </c>
      <c r="S3516">
        <v>2024</v>
      </c>
      <c r="T3516" s="12" t="s">
        <v>4283</v>
      </c>
      <c r="U3516">
        <v>11</v>
      </c>
      <c r="V3516">
        <v>201.18899999999999</v>
      </c>
      <c r="W3516">
        <v>35.36</v>
      </c>
      <c r="X3516">
        <v>0</v>
      </c>
      <c r="Y3516">
        <v>0</v>
      </c>
      <c r="Z3516">
        <v>2213.08</v>
      </c>
      <c r="AA3516">
        <v>2248.44</v>
      </c>
      <c r="AB3516" s="12" t="s">
        <v>201</v>
      </c>
      <c r="AD3516">
        <v>0</v>
      </c>
      <c r="AE3516">
        <v>0</v>
      </c>
      <c r="AH3516">
        <v>11</v>
      </c>
      <c r="AI3516">
        <v>11</v>
      </c>
      <c r="AJ3516">
        <v>0</v>
      </c>
      <c r="AK3516">
        <v>1</v>
      </c>
      <c r="AL3516">
        <v>1</v>
      </c>
      <c r="AM3516">
        <v>100</v>
      </c>
      <c r="AN3516">
        <v>204.40350000000001</v>
      </c>
      <c r="AO3516">
        <v>0</v>
      </c>
      <c r="AP3516" s="13">
        <v>45567</v>
      </c>
      <c r="AQ3516">
        <v>-3</v>
      </c>
      <c r="AR3516">
        <v>1</v>
      </c>
    </row>
    <row r="3517" spans="1:44" x14ac:dyDescent="0.35">
      <c r="A3517" s="12" t="s">
        <v>4433</v>
      </c>
      <c r="B3517" s="12" t="s">
        <v>532</v>
      </c>
      <c r="C3517" s="12" t="s">
        <v>533</v>
      </c>
      <c r="D3517" s="12" t="s">
        <v>114</v>
      </c>
      <c r="E3517" s="12" t="s">
        <v>65</v>
      </c>
      <c r="F3517">
        <v>2</v>
      </c>
      <c r="G3517">
        <v>3</v>
      </c>
      <c r="H3517">
        <v>0</v>
      </c>
      <c r="I3517" s="12" t="s">
        <v>115</v>
      </c>
      <c r="J3517" s="12" t="s">
        <v>116</v>
      </c>
      <c r="K3517" s="12" t="s">
        <v>117</v>
      </c>
      <c r="L3517" s="12" t="s">
        <v>82</v>
      </c>
      <c r="M3517">
        <v>17.170000000000002</v>
      </c>
      <c r="N3517" s="12" t="s">
        <v>97</v>
      </c>
      <c r="O3517" s="12" t="s">
        <v>98</v>
      </c>
      <c r="P3517" s="12" t="s">
        <v>72</v>
      </c>
      <c r="Q3517" s="13">
        <v>45558</v>
      </c>
      <c r="R3517" s="13">
        <v>45593</v>
      </c>
      <c r="S3517">
        <v>2024</v>
      </c>
      <c r="T3517" s="12" t="s">
        <v>4283</v>
      </c>
      <c r="U3517">
        <v>122</v>
      </c>
      <c r="V3517">
        <v>242.14850000000001</v>
      </c>
      <c r="W3517">
        <v>751</v>
      </c>
      <c r="X3517">
        <v>0</v>
      </c>
      <c r="Y3517">
        <v>0</v>
      </c>
      <c r="Z3517">
        <v>29542.12</v>
      </c>
      <c r="AA3517">
        <v>30293.119999999999</v>
      </c>
      <c r="AB3517" s="12" t="s">
        <v>4434</v>
      </c>
      <c r="AC3517">
        <v>242.14850000000001</v>
      </c>
      <c r="AD3517">
        <v>1</v>
      </c>
      <c r="AE3517">
        <v>1</v>
      </c>
      <c r="AF3517">
        <v>0</v>
      </c>
      <c r="AG3517">
        <v>29542.12</v>
      </c>
      <c r="AH3517">
        <v>122</v>
      </c>
      <c r="AI3517">
        <v>120</v>
      </c>
      <c r="AJ3517">
        <v>2</v>
      </c>
      <c r="AK3517">
        <v>1</v>
      </c>
      <c r="AL3517">
        <v>1</v>
      </c>
      <c r="AM3517">
        <v>98.36</v>
      </c>
      <c r="AN3517">
        <v>252.4426</v>
      </c>
      <c r="AO3517">
        <v>484.3</v>
      </c>
      <c r="AP3517" s="13">
        <v>45592</v>
      </c>
      <c r="AQ3517">
        <v>-1</v>
      </c>
      <c r="AR3517">
        <v>1</v>
      </c>
    </row>
    <row r="3518" spans="1:44" x14ac:dyDescent="0.35">
      <c r="A3518" s="12" t="s">
        <v>4435</v>
      </c>
      <c r="B3518" s="12" t="s">
        <v>640</v>
      </c>
      <c r="C3518" s="12" t="s">
        <v>641</v>
      </c>
      <c r="D3518" s="12" t="s">
        <v>130</v>
      </c>
      <c r="E3518" s="12" t="s">
        <v>104</v>
      </c>
      <c r="F3518">
        <v>3</v>
      </c>
      <c r="G3518">
        <v>0</v>
      </c>
      <c r="H3518">
        <v>0</v>
      </c>
      <c r="I3518" s="12" t="s">
        <v>209</v>
      </c>
      <c r="J3518" s="12" t="s">
        <v>210</v>
      </c>
      <c r="K3518" s="12" t="s">
        <v>133</v>
      </c>
      <c r="L3518" s="12" t="s">
        <v>96</v>
      </c>
      <c r="M3518">
        <v>7.82</v>
      </c>
      <c r="N3518" s="12" t="s">
        <v>135</v>
      </c>
      <c r="O3518" s="12" t="s">
        <v>136</v>
      </c>
      <c r="P3518" s="12" t="s">
        <v>137</v>
      </c>
      <c r="Q3518" s="13">
        <v>45558</v>
      </c>
      <c r="R3518" s="13">
        <v>45576</v>
      </c>
      <c r="S3518">
        <v>2024</v>
      </c>
      <c r="T3518" s="12" t="s">
        <v>4283</v>
      </c>
      <c r="U3518">
        <v>61</v>
      </c>
      <c r="V3518">
        <v>977.20889999999997</v>
      </c>
      <c r="W3518">
        <v>1187.56</v>
      </c>
      <c r="X3518">
        <v>0</v>
      </c>
      <c r="Y3518">
        <v>0</v>
      </c>
      <c r="Z3518">
        <v>59609.74</v>
      </c>
      <c r="AA3518">
        <v>60797.3</v>
      </c>
      <c r="AB3518" s="12" t="s">
        <v>3211</v>
      </c>
      <c r="AC3518">
        <v>977.20889999999997</v>
      </c>
      <c r="AD3518">
        <v>1</v>
      </c>
      <c r="AE3518">
        <v>1</v>
      </c>
      <c r="AF3518">
        <v>0</v>
      </c>
      <c r="AG3518">
        <v>59609.74</v>
      </c>
      <c r="AH3518">
        <v>61</v>
      </c>
      <c r="AI3518">
        <v>61</v>
      </c>
      <c r="AJ3518">
        <v>0</v>
      </c>
      <c r="AK3518">
        <v>1</v>
      </c>
      <c r="AL3518">
        <v>1</v>
      </c>
      <c r="AM3518">
        <v>100</v>
      </c>
      <c r="AN3518">
        <v>996.6771</v>
      </c>
      <c r="AO3518">
        <v>0</v>
      </c>
      <c r="AP3518" s="13">
        <v>45573</v>
      </c>
      <c r="AQ3518">
        <v>-3</v>
      </c>
      <c r="AR3518">
        <v>1</v>
      </c>
    </row>
    <row r="3519" spans="1:44" x14ac:dyDescent="0.35">
      <c r="A3519" s="12" t="s">
        <v>4436</v>
      </c>
      <c r="B3519" s="12" t="s">
        <v>163</v>
      </c>
      <c r="C3519" s="12" t="s">
        <v>164</v>
      </c>
      <c r="D3519" s="12" t="s">
        <v>64</v>
      </c>
      <c r="E3519" s="12" t="s">
        <v>104</v>
      </c>
      <c r="F3519">
        <v>2</v>
      </c>
      <c r="G3519">
        <v>0</v>
      </c>
      <c r="H3519">
        <v>0</v>
      </c>
      <c r="I3519" s="12" t="s">
        <v>79</v>
      </c>
      <c r="J3519" s="12" t="s">
        <v>80</v>
      </c>
      <c r="K3519" s="12" t="s">
        <v>81</v>
      </c>
      <c r="L3519" s="12" t="s">
        <v>82</v>
      </c>
      <c r="M3519">
        <v>12.07</v>
      </c>
      <c r="N3519" s="12" t="s">
        <v>97</v>
      </c>
      <c r="O3519" s="12" t="s">
        <v>98</v>
      </c>
      <c r="P3519" s="12" t="s">
        <v>72</v>
      </c>
      <c r="Q3519" s="13">
        <v>45559</v>
      </c>
      <c r="R3519" s="13">
        <v>45585</v>
      </c>
      <c r="S3519">
        <v>2024</v>
      </c>
      <c r="T3519" s="12" t="s">
        <v>4283</v>
      </c>
      <c r="U3519">
        <v>806</v>
      </c>
      <c r="V3519">
        <v>11.6143</v>
      </c>
      <c r="W3519">
        <v>161.43</v>
      </c>
      <c r="X3519">
        <v>0</v>
      </c>
      <c r="Y3519">
        <v>0</v>
      </c>
      <c r="Z3519">
        <v>9361.1299999999992</v>
      </c>
      <c r="AA3519">
        <v>9522.56</v>
      </c>
      <c r="AB3519" s="12" t="s">
        <v>2780</v>
      </c>
      <c r="AC3519">
        <v>11.6143</v>
      </c>
      <c r="AD3519">
        <v>1</v>
      </c>
      <c r="AE3519">
        <v>1</v>
      </c>
      <c r="AF3519">
        <v>0</v>
      </c>
      <c r="AG3519">
        <v>9361.1299999999992</v>
      </c>
      <c r="AH3519">
        <v>806</v>
      </c>
      <c r="AI3519">
        <v>804</v>
      </c>
      <c r="AJ3519">
        <v>2</v>
      </c>
      <c r="AK3519">
        <v>1</v>
      </c>
      <c r="AL3519">
        <v>1</v>
      </c>
      <c r="AM3519">
        <v>99.75</v>
      </c>
      <c r="AN3519">
        <v>11.843999999999999</v>
      </c>
      <c r="AO3519">
        <v>23.23</v>
      </c>
      <c r="AP3519" s="13">
        <v>45584</v>
      </c>
      <c r="AQ3519">
        <v>-1</v>
      </c>
      <c r="AR3519">
        <v>1</v>
      </c>
    </row>
    <row r="3520" spans="1:44" x14ac:dyDescent="0.35">
      <c r="A3520" s="12" t="s">
        <v>4437</v>
      </c>
      <c r="B3520" s="12" t="s">
        <v>952</v>
      </c>
      <c r="C3520" s="12" t="s">
        <v>953</v>
      </c>
      <c r="D3520" s="12" t="s">
        <v>64</v>
      </c>
      <c r="E3520" s="12" t="s">
        <v>142</v>
      </c>
      <c r="F3520">
        <v>1</v>
      </c>
      <c r="G3520">
        <v>8</v>
      </c>
      <c r="H3520">
        <v>1</v>
      </c>
      <c r="I3520" s="12" t="s">
        <v>131</v>
      </c>
      <c r="J3520" s="12" t="s">
        <v>132</v>
      </c>
      <c r="K3520" s="12" t="s">
        <v>133</v>
      </c>
      <c r="L3520" s="12" t="s">
        <v>134</v>
      </c>
      <c r="M3520">
        <v>1.51</v>
      </c>
      <c r="N3520" s="12" t="s">
        <v>70</v>
      </c>
      <c r="O3520" s="12" t="s">
        <v>71</v>
      </c>
      <c r="P3520" s="12" t="s">
        <v>72</v>
      </c>
      <c r="Q3520" s="13">
        <v>45559</v>
      </c>
      <c r="R3520" s="13">
        <v>45607</v>
      </c>
      <c r="S3520">
        <v>2024</v>
      </c>
      <c r="T3520" s="12" t="s">
        <v>4283</v>
      </c>
      <c r="U3520">
        <v>751</v>
      </c>
      <c r="V3520">
        <v>31.110399999999998</v>
      </c>
      <c r="W3520">
        <v>140.86000000000001</v>
      </c>
      <c r="X3520">
        <v>0</v>
      </c>
      <c r="Y3520">
        <v>0</v>
      </c>
      <c r="Z3520">
        <v>23363.91</v>
      </c>
      <c r="AA3520">
        <v>23504.77</v>
      </c>
      <c r="AB3520" s="12" t="s">
        <v>3261</v>
      </c>
      <c r="AC3520">
        <v>31.110399999999998</v>
      </c>
      <c r="AD3520">
        <v>1</v>
      </c>
      <c r="AE3520">
        <v>1</v>
      </c>
      <c r="AF3520">
        <v>0</v>
      </c>
      <c r="AG3520">
        <v>23363.91</v>
      </c>
      <c r="AH3520">
        <v>751</v>
      </c>
      <c r="AI3520">
        <v>741</v>
      </c>
      <c r="AJ3520">
        <v>10</v>
      </c>
      <c r="AK3520">
        <v>1</v>
      </c>
      <c r="AL3520">
        <v>1</v>
      </c>
      <c r="AM3520">
        <v>98.67</v>
      </c>
      <c r="AN3520">
        <v>31.720300000000002</v>
      </c>
      <c r="AO3520">
        <v>311.10000000000002</v>
      </c>
      <c r="AP3520" s="13">
        <v>45606</v>
      </c>
      <c r="AQ3520">
        <v>-1</v>
      </c>
      <c r="AR3520">
        <v>1</v>
      </c>
    </row>
    <row r="3521" spans="1:44" x14ac:dyDescent="0.35">
      <c r="A3521" s="12" t="s">
        <v>4438</v>
      </c>
      <c r="B3521" s="12" t="s">
        <v>490</v>
      </c>
      <c r="C3521" s="12" t="s">
        <v>491</v>
      </c>
      <c r="D3521" s="12" t="s">
        <v>130</v>
      </c>
      <c r="E3521" s="12" t="s">
        <v>104</v>
      </c>
      <c r="F3521">
        <v>3</v>
      </c>
      <c r="G3521">
        <v>1</v>
      </c>
      <c r="H3521">
        <v>0</v>
      </c>
      <c r="I3521" s="12" t="s">
        <v>176</v>
      </c>
      <c r="J3521" s="12" t="s">
        <v>177</v>
      </c>
      <c r="K3521" s="12" t="s">
        <v>125</v>
      </c>
      <c r="L3521" s="12" t="s">
        <v>134</v>
      </c>
      <c r="M3521">
        <v>1.75</v>
      </c>
      <c r="N3521" s="12" t="s">
        <v>135</v>
      </c>
      <c r="O3521" s="12" t="s">
        <v>136</v>
      </c>
      <c r="P3521" s="12" t="s">
        <v>137</v>
      </c>
      <c r="Q3521" s="13">
        <v>45559</v>
      </c>
      <c r="R3521" s="13">
        <v>45578</v>
      </c>
      <c r="S3521">
        <v>2024</v>
      </c>
      <c r="T3521" s="12" t="s">
        <v>4283</v>
      </c>
      <c r="U3521">
        <v>66</v>
      </c>
      <c r="V3521">
        <v>264.23239999999998</v>
      </c>
      <c r="W3521">
        <v>288.72000000000003</v>
      </c>
      <c r="X3521">
        <v>0</v>
      </c>
      <c r="Y3521">
        <v>0</v>
      </c>
      <c r="Z3521">
        <v>17439.34</v>
      </c>
      <c r="AA3521">
        <v>17728.060000000001</v>
      </c>
      <c r="AB3521" s="12" t="s">
        <v>3122</v>
      </c>
      <c r="AC3521">
        <v>264.23239999999998</v>
      </c>
      <c r="AD3521">
        <v>1</v>
      </c>
      <c r="AE3521">
        <v>1</v>
      </c>
      <c r="AF3521">
        <v>0</v>
      </c>
      <c r="AG3521">
        <v>17439.34</v>
      </c>
      <c r="AH3521">
        <v>66</v>
      </c>
      <c r="AI3521">
        <v>65</v>
      </c>
      <c r="AJ3521">
        <v>1</v>
      </c>
      <c r="AK3521">
        <v>1</v>
      </c>
      <c r="AL3521">
        <v>1</v>
      </c>
      <c r="AM3521">
        <v>98.48</v>
      </c>
      <c r="AN3521">
        <v>272.73939999999999</v>
      </c>
      <c r="AO3521">
        <v>264.23</v>
      </c>
      <c r="AP3521" s="13">
        <v>45577</v>
      </c>
      <c r="AQ3521">
        <v>-1</v>
      </c>
      <c r="AR3521">
        <v>1</v>
      </c>
    </row>
    <row r="3522" spans="1:44" x14ac:dyDescent="0.35">
      <c r="A3522" s="12" t="s">
        <v>4439</v>
      </c>
      <c r="B3522" s="12" t="s">
        <v>732</v>
      </c>
      <c r="C3522" s="12" t="s">
        <v>733</v>
      </c>
      <c r="D3522" s="12" t="s">
        <v>114</v>
      </c>
      <c r="E3522" s="12" t="s">
        <v>104</v>
      </c>
      <c r="F3522">
        <v>3</v>
      </c>
      <c r="G3522">
        <v>1</v>
      </c>
      <c r="H3522">
        <v>0</v>
      </c>
      <c r="I3522" s="12" t="s">
        <v>251</v>
      </c>
      <c r="J3522" s="12" t="s">
        <v>252</v>
      </c>
      <c r="K3522" s="12" t="s">
        <v>133</v>
      </c>
      <c r="L3522" s="12" t="s">
        <v>69</v>
      </c>
      <c r="M3522">
        <v>34.49</v>
      </c>
      <c r="N3522" s="12" t="s">
        <v>97</v>
      </c>
      <c r="O3522" s="12" t="s">
        <v>98</v>
      </c>
      <c r="P3522" s="12" t="s">
        <v>72</v>
      </c>
      <c r="Q3522" s="13">
        <v>45559</v>
      </c>
      <c r="R3522" s="13">
        <v>45581</v>
      </c>
      <c r="S3522">
        <v>2024</v>
      </c>
      <c r="T3522" s="12" t="s">
        <v>4283</v>
      </c>
      <c r="U3522">
        <v>92</v>
      </c>
      <c r="V3522">
        <v>304.44779999999997</v>
      </c>
      <c r="W3522">
        <v>703.43</v>
      </c>
      <c r="X3522">
        <v>0</v>
      </c>
      <c r="Y3522">
        <v>0</v>
      </c>
      <c r="Z3522">
        <v>28009.200000000001</v>
      </c>
      <c r="AA3522">
        <v>28712.63</v>
      </c>
      <c r="AB3522" s="12" t="s">
        <v>3247</v>
      </c>
      <c r="AC3522">
        <v>304.44779999999997</v>
      </c>
      <c r="AD3522">
        <v>1</v>
      </c>
      <c r="AE3522">
        <v>1</v>
      </c>
      <c r="AF3522">
        <v>0</v>
      </c>
      <c r="AG3522">
        <v>28009.200000000001</v>
      </c>
      <c r="AH3522">
        <v>92</v>
      </c>
      <c r="AI3522">
        <v>91</v>
      </c>
      <c r="AJ3522">
        <v>1</v>
      </c>
      <c r="AK3522">
        <v>1</v>
      </c>
      <c r="AL3522">
        <v>1</v>
      </c>
      <c r="AM3522">
        <v>98.91</v>
      </c>
      <c r="AN3522">
        <v>315.52339999999998</v>
      </c>
      <c r="AO3522">
        <v>304.45</v>
      </c>
      <c r="AP3522" s="13">
        <v>45578</v>
      </c>
      <c r="AQ3522">
        <v>-3</v>
      </c>
      <c r="AR3522">
        <v>1</v>
      </c>
    </row>
    <row r="3523" spans="1:44" x14ac:dyDescent="0.35">
      <c r="A3523" s="12" t="s">
        <v>4440</v>
      </c>
      <c r="B3523" s="12" t="s">
        <v>362</v>
      </c>
      <c r="C3523" s="12" t="s">
        <v>363</v>
      </c>
      <c r="D3523" s="12" t="s">
        <v>78</v>
      </c>
      <c r="E3523" s="12" t="s">
        <v>104</v>
      </c>
      <c r="F3523">
        <v>3</v>
      </c>
      <c r="G3523">
        <v>0</v>
      </c>
      <c r="H3523">
        <v>0</v>
      </c>
      <c r="I3523" s="12" t="s">
        <v>157</v>
      </c>
      <c r="J3523" s="12" t="s">
        <v>158</v>
      </c>
      <c r="K3523" s="12" t="s">
        <v>117</v>
      </c>
      <c r="L3523" s="12" t="s">
        <v>96</v>
      </c>
      <c r="M3523">
        <v>4.72</v>
      </c>
      <c r="N3523" s="12" t="s">
        <v>97</v>
      </c>
      <c r="O3523" s="12" t="s">
        <v>98</v>
      </c>
      <c r="P3523" s="12" t="s">
        <v>72</v>
      </c>
      <c r="Q3523" s="13">
        <v>45559</v>
      </c>
      <c r="R3523" s="13">
        <v>45587</v>
      </c>
      <c r="S3523">
        <v>2024</v>
      </c>
      <c r="T3523" s="12" t="s">
        <v>4283</v>
      </c>
      <c r="U3523">
        <v>276</v>
      </c>
      <c r="V3523">
        <v>59.830500000000001</v>
      </c>
      <c r="W3523">
        <v>259.77</v>
      </c>
      <c r="X3523">
        <v>0</v>
      </c>
      <c r="Y3523">
        <v>0</v>
      </c>
      <c r="Z3523">
        <v>16513.22</v>
      </c>
      <c r="AA3523">
        <v>16772.990000000002</v>
      </c>
      <c r="AB3523" s="12" t="s">
        <v>3185</v>
      </c>
      <c r="AC3523">
        <v>59.830500000000001</v>
      </c>
      <c r="AD3523">
        <v>1</v>
      </c>
      <c r="AE3523">
        <v>1</v>
      </c>
      <c r="AF3523">
        <v>0</v>
      </c>
      <c r="AG3523">
        <v>16513.22</v>
      </c>
      <c r="AH3523">
        <v>276</v>
      </c>
      <c r="AI3523">
        <v>271</v>
      </c>
      <c r="AJ3523">
        <v>5</v>
      </c>
      <c r="AK3523">
        <v>1</v>
      </c>
      <c r="AL3523">
        <v>1</v>
      </c>
      <c r="AM3523">
        <v>98.19</v>
      </c>
      <c r="AN3523">
        <v>61.892899999999997</v>
      </c>
      <c r="AO3523">
        <v>299.14999999999998</v>
      </c>
      <c r="AP3523" s="13">
        <v>45587</v>
      </c>
      <c r="AQ3523">
        <v>0</v>
      </c>
      <c r="AR3523">
        <v>1</v>
      </c>
    </row>
    <row r="3524" spans="1:44" x14ac:dyDescent="0.35">
      <c r="A3524" s="12" t="s">
        <v>4441</v>
      </c>
      <c r="B3524" s="12" t="s">
        <v>532</v>
      </c>
      <c r="C3524" s="12" t="s">
        <v>533</v>
      </c>
      <c r="D3524" s="12" t="s">
        <v>114</v>
      </c>
      <c r="E3524" s="12" t="s">
        <v>65</v>
      </c>
      <c r="F3524">
        <v>2</v>
      </c>
      <c r="G3524">
        <v>3</v>
      </c>
      <c r="H3524">
        <v>0</v>
      </c>
      <c r="I3524" s="12" t="s">
        <v>105</v>
      </c>
      <c r="J3524" s="12" t="s">
        <v>106</v>
      </c>
      <c r="K3524" s="12" t="s">
        <v>81</v>
      </c>
      <c r="L3524" s="12" t="s">
        <v>96</v>
      </c>
      <c r="M3524">
        <v>5.01</v>
      </c>
      <c r="N3524" s="12" t="s">
        <v>70</v>
      </c>
      <c r="O3524" s="12" t="s">
        <v>71</v>
      </c>
      <c r="P3524" s="12" t="s">
        <v>72</v>
      </c>
      <c r="Q3524" s="13">
        <v>45559</v>
      </c>
      <c r="R3524" s="13">
        <v>45582</v>
      </c>
      <c r="S3524">
        <v>2024</v>
      </c>
      <c r="T3524" s="12" t="s">
        <v>4283</v>
      </c>
      <c r="U3524">
        <v>26</v>
      </c>
      <c r="V3524">
        <v>249.9546</v>
      </c>
      <c r="W3524">
        <v>59.67</v>
      </c>
      <c r="X3524">
        <v>0</v>
      </c>
      <c r="Y3524">
        <v>0</v>
      </c>
      <c r="Z3524">
        <v>6498.82</v>
      </c>
      <c r="AA3524">
        <v>6558.49</v>
      </c>
      <c r="AB3524" s="12" t="s">
        <v>3041</v>
      </c>
      <c r="AC3524">
        <v>249.9546</v>
      </c>
      <c r="AD3524">
        <v>1</v>
      </c>
      <c r="AE3524">
        <v>1</v>
      </c>
      <c r="AF3524">
        <v>0</v>
      </c>
      <c r="AG3524">
        <v>6498.82</v>
      </c>
      <c r="AH3524">
        <v>26</v>
      </c>
      <c r="AI3524">
        <v>26</v>
      </c>
      <c r="AJ3524">
        <v>0</v>
      </c>
      <c r="AK3524">
        <v>1</v>
      </c>
      <c r="AL3524">
        <v>1</v>
      </c>
      <c r="AM3524">
        <v>100</v>
      </c>
      <c r="AN3524">
        <v>252.24959999999999</v>
      </c>
      <c r="AO3524">
        <v>0</v>
      </c>
      <c r="AP3524" s="13">
        <v>45581</v>
      </c>
      <c r="AQ3524">
        <v>-1</v>
      </c>
      <c r="AR3524">
        <v>1</v>
      </c>
    </row>
    <row r="3525" spans="1:44" x14ac:dyDescent="0.35">
      <c r="A3525" s="12" t="s">
        <v>4442</v>
      </c>
      <c r="B3525" s="12" t="s">
        <v>221</v>
      </c>
      <c r="C3525" s="12" t="s">
        <v>222</v>
      </c>
      <c r="D3525" s="12" t="s">
        <v>114</v>
      </c>
      <c r="E3525" s="12" t="s">
        <v>142</v>
      </c>
      <c r="F3525">
        <v>3</v>
      </c>
      <c r="G3525">
        <v>11</v>
      </c>
      <c r="H3525">
        <v>0</v>
      </c>
      <c r="I3525" s="12" t="s">
        <v>223</v>
      </c>
      <c r="J3525" s="12" t="s">
        <v>224</v>
      </c>
      <c r="K3525" s="12" t="s">
        <v>81</v>
      </c>
      <c r="L3525" s="12" t="s">
        <v>134</v>
      </c>
      <c r="M3525">
        <v>2.4900000000000002</v>
      </c>
      <c r="N3525" s="12" t="s">
        <v>97</v>
      </c>
      <c r="O3525" s="12" t="s">
        <v>98</v>
      </c>
      <c r="P3525" s="12" t="s">
        <v>72</v>
      </c>
      <c r="Q3525" s="13">
        <v>45559</v>
      </c>
      <c r="R3525" s="13">
        <v>45601</v>
      </c>
      <c r="S3525">
        <v>2024</v>
      </c>
      <c r="T3525" s="12" t="s">
        <v>4283</v>
      </c>
      <c r="U3525">
        <v>71</v>
      </c>
      <c r="V3525">
        <v>235.93719999999999</v>
      </c>
      <c r="W3525">
        <v>355.83</v>
      </c>
      <c r="X3525">
        <v>0</v>
      </c>
      <c r="Y3525">
        <v>0</v>
      </c>
      <c r="Z3525">
        <v>16751.54</v>
      </c>
      <c r="AA3525">
        <v>17107.37</v>
      </c>
      <c r="AB3525" s="12" t="s">
        <v>3373</v>
      </c>
      <c r="AC3525">
        <v>235.93719999999999</v>
      </c>
      <c r="AD3525">
        <v>1</v>
      </c>
      <c r="AE3525">
        <v>1</v>
      </c>
      <c r="AF3525">
        <v>0</v>
      </c>
      <c r="AG3525">
        <v>16751.54</v>
      </c>
      <c r="AH3525">
        <v>71</v>
      </c>
      <c r="AI3525">
        <v>70</v>
      </c>
      <c r="AJ3525">
        <v>1</v>
      </c>
      <c r="AK3525">
        <v>1</v>
      </c>
      <c r="AL3525">
        <v>1</v>
      </c>
      <c r="AM3525">
        <v>98.59</v>
      </c>
      <c r="AN3525">
        <v>244.39099999999999</v>
      </c>
      <c r="AO3525">
        <v>235.94</v>
      </c>
      <c r="AP3525" s="13">
        <v>45601</v>
      </c>
      <c r="AQ3525">
        <v>0</v>
      </c>
      <c r="AR3525">
        <v>1</v>
      </c>
    </row>
    <row r="3526" spans="1:44" x14ac:dyDescent="0.35">
      <c r="A3526" s="12" t="s">
        <v>4443</v>
      </c>
      <c r="B3526" s="12" t="s">
        <v>1034</v>
      </c>
      <c r="C3526" s="12" t="s">
        <v>1035</v>
      </c>
      <c r="D3526" s="12" t="s">
        <v>64</v>
      </c>
      <c r="E3526" s="12" t="s">
        <v>104</v>
      </c>
      <c r="F3526">
        <v>2</v>
      </c>
      <c r="G3526">
        <v>0</v>
      </c>
      <c r="H3526">
        <v>0</v>
      </c>
      <c r="I3526" s="12" t="s">
        <v>157</v>
      </c>
      <c r="J3526" s="12" t="s">
        <v>158</v>
      </c>
      <c r="K3526" s="12" t="s">
        <v>117</v>
      </c>
      <c r="L3526" s="12" t="s">
        <v>96</v>
      </c>
      <c r="M3526">
        <v>4.72</v>
      </c>
      <c r="N3526" s="12" t="s">
        <v>70</v>
      </c>
      <c r="O3526" s="12" t="s">
        <v>71</v>
      </c>
      <c r="P3526" s="12" t="s">
        <v>72</v>
      </c>
      <c r="Q3526" s="13">
        <v>45560</v>
      </c>
      <c r="R3526" s="13">
        <v>45579</v>
      </c>
      <c r="S3526">
        <v>2024</v>
      </c>
      <c r="T3526" s="12" t="s">
        <v>4283</v>
      </c>
      <c r="U3526">
        <v>459</v>
      </c>
      <c r="V3526">
        <v>9.2698</v>
      </c>
      <c r="W3526">
        <v>50.24</v>
      </c>
      <c r="X3526">
        <v>0</v>
      </c>
      <c r="Y3526">
        <v>0</v>
      </c>
      <c r="Z3526">
        <v>4254.84</v>
      </c>
      <c r="AA3526">
        <v>4305.08</v>
      </c>
      <c r="AB3526" s="12" t="s">
        <v>3309</v>
      </c>
      <c r="AC3526">
        <v>9.2698</v>
      </c>
      <c r="AD3526">
        <v>1</v>
      </c>
      <c r="AE3526">
        <v>1</v>
      </c>
      <c r="AF3526">
        <v>0</v>
      </c>
      <c r="AG3526">
        <v>4254.84</v>
      </c>
      <c r="AH3526">
        <v>459</v>
      </c>
      <c r="AI3526">
        <v>452</v>
      </c>
      <c r="AJ3526">
        <v>7</v>
      </c>
      <c r="AK3526">
        <v>1</v>
      </c>
      <c r="AL3526">
        <v>1</v>
      </c>
      <c r="AM3526">
        <v>98.47</v>
      </c>
      <c r="AN3526">
        <v>9.5244999999999997</v>
      </c>
      <c r="AO3526">
        <v>64.89</v>
      </c>
      <c r="AP3526" s="13">
        <v>45577</v>
      </c>
      <c r="AQ3526">
        <v>-2</v>
      </c>
      <c r="AR3526">
        <v>1</v>
      </c>
    </row>
    <row r="3527" spans="1:44" x14ac:dyDescent="0.35">
      <c r="A3527" s="12" t="s">
        <v>4444</v>
      </c>
      <c r="B3527" s="12" t="s">
        <v>706</v>
      </c>
      <c r="C3527" s="12" t="s">
        <v>707</v>
      </c>
      <c r="D3527" s="12" t="s">
        <v>130</v>
      </c>
      <c r="E3527" s="12" t="s">
        <v>142</v>
      </c>
      <c r="F3527">
        <v>1</v>
      </c>
      <c r="G3527">
        <v>8</v>
      </c>
      <c r="H3527">
        <v>1</v>
      </c>
      <c r="I3527" s="12" t="s">
        <v>263</v>
      </c>
      <c r="J3527" s="12" t="s">
        <v>264</v>
      </c>
      <c r="K3527" s="12" t="s">
        <v>125</v>
      </c>
      <c r="L3527" s="12" t="s">
        <v>82</v>
      </c>
      <c r="M3527">
        <v>10.210000000000001</v>
      </c>
      <c r="N3527" s="12" t="s">
        <v>135</v>
      </c>
      <c r="O3527" s="12" t="s">
        <v>136</v>
      </c>
      <c r="P3527" s="12" t="s">
        <v>137</v>
      </c>
      <c r="Q3527" s="13">
        <v>45561</v>
      </c>
      <c r="R3527" s="13">
        <v>45608</v>
      </c>
      <c r="S3527">
        <v>2024</v>
      </c>
      <c r="T3527" s="12" t="s">
        <v>4283</v>
      </c>
      <c r="U3527">
        <v>106</v>
      </c>
      <c r="V3527">
        <v>277.214</v>
      </c>
      <c r="W3527">
        <v>605.99</v>
      </c>
      <c r="X3527">
        <v>0</v>
      </c>
      <c r="Y3527">
        <v>0</v>
      </c>
      <c r="Z3527">
        <v>29384.68</v>
      </c>
      <c r="AA3527">
        <v>29990.67</v>
      </c>
      <c r="AB3527" s="12" t="s">
        <v>3434</v>
      </c>
      <c r="AC3527">
        <v>277.214</v>
      </c>
      <c r="AD3527">
        <v>1</v>
      </c>
      <c r="AE3527">
        <v>1</v>
      </c>
      <c r="AF3527">
        <v>0</v>
      </c>
      <c r="AG3527">
        <v>29384.68</v>
      </c>
      <c r="AH3527">
        <v>106</v>
      </c>
      <c r="AI3527">
        <v>105</v>
      </c>
      <c r="AJ3527">
        <v>1</v>
      </c>
      <c r="AK3527">
        <v>1</v>
      </c>
      <c r="AL3527">
        <v>1</v>
      </c>
      <c r="AM3527">
        <v>99.06</v>
      </c>
      <c r="AN3527">
        <v>285.62549999999999</v>
      </c>
      <c r="AO3527">
        <v>277.20999999999998</v>
      </c>
      <c r="AP3527" s="13">
        <v>45604</v>
      </c>
      <c r="AQ3527">
        <v>-4</v>
      </c>
      <c r="AR3527">
        <v>1</v>
      </c>
    </row>
    <row r="3528" spans="1:44" x14ac:dyDescent="0.35">
      <c r="A3528" s="12" t="s">
        <v>4445</v>
      </c>
      <c r="B3528" s="12" t="s">
        <v>609</v>
      </c>
      <c r="C3528" s="12" t="s">
        <v>610</v>
      </c>
      <c r="D3528" s="12" t="s">
        <v>64</v>
      </c>
      <c r="E3528" s="12" t="s">
        <v>104</v>
      </c>
      <c r="F3528">
        <v>1</v>
      </c>
      <c r="G3528">
        <v>0</v>
      </c>
      <c r="H3528">
        <v>1</v>
      </c>
      <c r="I3528" s="12" t="s">
        <v>227</v>
      </c>
      <c r="J3528" s="12" t="s">
        <v>228</v>
      </c>
      <c r="K3528" s="12" t="s">
        <v>89</v>
      </c>
      <c r="L3528" s="12" t="s">
        <v>96</v>
      </c>
      <c r="M3528">
        <v>9.15</v>
      </c>
      <c r="N3528" s="12" t="s">
        <v>70</v>
      </c>
      <c r="O3528" s="12" t="s">
        <v>71</v>
      </c>
      <c r="P3528" s="12" t="s">
        <v>72</v>
      </c>
      <c r="Q3528" s="13">
        <v>45561</v>
      </c>
      <c r="R3528" s="13">
        <v>45573</v>
      </c>
      <c r="S3528">
        <v>2024</v>
      </c>
      <c r="T3528" s="12" t="s">
        <v>4283</v>
      </c>
      <c r="U3528">
        <v>145</v>
      </c>
      <c r="V3528">
        <v>20.698799999999999</v>
      </c>
      <c r="W3528">
        <v>29.05</v>
      </c>
      <c r="X3528">
        <v>0</v>
      </c>
      <c r="Y3528">
        <v>0</v>
      </c>
      <c r="Z3528">
        <v>3001.33</v>
      </c>
      <c r="AA3528">
        <v>3030.38</v>
      </c>
      <c r="AB3528" s="12" t="s">
        <v>3349</v>
      </c>
      <c r="AC3528">
        <v>20.698799999999999</v>
      </c>
      <c r="AD3528">
        <v>1</v>
      </c>
      <c r="AE3528">
        <v>1</v>
      </c>
      <c r="AF3528">
        <v>0</v>
      </c>
      <c r="AG3528">
        <v>3001.33</v>
      </c>
      <c r="AH3528">
        <v>145</v>
      </c>
      <c r="AI3528">
        <v>143</v>
      </c>
      <c r="AJ3528">
        <v>2</v>
      </c>
      <c r="AK3528">
        <v>1</v>
      </c>
      <c r="AL3528">
        <v>1</v>
      </c>
      <c r="AM3528">
        <v>98.62</v>
      </c>
      <c r="AN3528">
        <v>21.191400000000002</v>
      </c>
      <c r="AO3528">
        <v>41.4</v>
      </c>
      <c r="AP3528" s="13">
        <v>45570</v>
      </c>
      <c r="AQ3528">
        <v>-3</v>
      </c>
      <c r="AR3528">
        <v>1</v>
      </c>
    </row>
    <row r="3529" spans="1:44" x14ac:dyDescent="0.35">
      <c r="A3529" s="12" t="s">
        <v>4446</v>
      </c>
      <c r="B3529" s="12" t="s">
        <v>408</v>
      </c>
      <c r="C3529" s="12" t="s">
        <v>409</v>
      </c>
      <c r="D3529" s="12" t="s">
        <v>130</v>
      </c>
      <c r="E3529" s="12" t="s">
        <v>65</v>
      </c>
      <c r="F3529">
        <v>3</v>
      </c>
      <c r="G3529">
        <v>5</v>
      </c>
      <c r="H3529">
        <v>0</v>
      </c>
      <c r="I3529" s="12" t="s">
        <v>105</v>
      </c>
      <c r="J3529" s="12" t="s">
        <v>106</v>
      </c>
      <c r="K3529" s="12" t="s">
        <v>81</v>
      </c>
      <c r="L3529" s="12" t="s">
        <v>96</v>
      </c>
      <c r="M3529">
        <v>5.01</v>
      </c>
      <c r="N3529" s="12" t="s">
        <v>135</v>
      </c>
      <c r="O3529" s="12" t="s">
        <v>136</v>
      </c>
      <c r="P3529" s="12" t="s">
        <v>137</v>
      </c>
      <c r="Q3529" s="13">
        <v>45561</v>
      </c>
      <c r="R3529" s="13">
        <v>45582</v>
      </c>
      <c r="S3529">
        <v>2024</v>
      </c>
      <c r="T3529" s="12" t="s">
        <v>4283</v>
      </c>
      <c r="U3529">
        <v>11</v>
      </c>
      <c r="V3529">
        <v>746.87909999999999</v>
      </c>
      <c r="W3529">
        <v>92.02</v>
      </c>
      <c r="X3529">
        <v>0</v>
      </c>
      <c r="Y3529">
        <v>0</v>
      </c>
      <c r="Z3529">
        <v>8215.67</v>
      </c>
      <c r="AA3529">
        <v>8307.69</v>
      </c>
      <c r="AB3529" s="12" t="s">
        <v>3038</v>
      </c>
      <c r="AC3529">
        <v>746.87909999999999</v>
      </c>
      <c r="AD3529">
        <v>1</v>
      </c>
      <c r="AE3529">
        <v>1</v>
      </c>
      <c r="AF3529">
        <v>0</v>
      </c>
      <c r="AG3529">
        <v>8215.67</v>
      </c>
      <c r="AH3529">
        <v>11</v>
      </c>
      <c r="AI3529">
        <v>11</v>
      </c>
      <c r="AJ3529">
        <v>0</v>
      </c>
      <c r="AK3529">
        <v>1</v>
      </c>
      <c r="AL3529">
        <v>1</v>
      </c>
      <c r="AM3529">
        <v>100</v>
      </c>
      <c r="AN3529">
        <v>755.24459999999999</v>
      </c>
      <c r="AO3529">
        <v>0</v>
      </c>
      <c r="AP3529" s="13">
        <v>45581</v>
      </c>
      <c r="AQ3529">
        <v>-1</v>
      </c>
      <c r="AR3529">
        <v>1</v>
      </c>
    </row>
    <row r="3530" spans="1:44" x14ac:dyDescent="0.35">
      <c r="A3530" s="12" t="s">
        <v>4447</v>
      </c>
      <c r="B3530" s="12" t="s">
        <v>909</v>
      </c>
      <c r="C3530" s="12" t="s">
        <v>910</v>
      </c>
      <c r="D3530" s="12" t="s">
        <v>269</v>
      </c>
      <c r="E3530" s="12" t="s">
        <v>65</v>
      </c>
      <c r="F3530">
        <v>3</v>
      </c>
      <c r="G3530">
        <v>4</v>
      </c>
      <c r="H3530">
        <v>0</v>
      </c>
      <c r="I3530" s="12" t="s">
        <v>199</v>
      </c>
      <c r="J3530" s="12" t="s">
        <v>200</v>
      </c>
      <c r="K3530" s="12" t="s">
        <v>68</v>
      </c>
      <c r="L3530" s="12" t="s">
        <v>96</v>
      </c>
      <c r="M3530">
        <v>9.4700000000000006</v>
      </c>
      <c r="N3530" s="12" t="s">
        <v>135</v>
      </c>
      <c r="O3530" s="12" t="s">
        <v>136</v>
      </c>
      <c r="P3530" s="12" t="s">
        <v>137</v>
      </c>
      <c r="Q3530" s="13">
        <v>45561</v>
      </c>
      <c r="R3530" s="13">
        <v>45595</v>
      </c>
      <c r="S3530">
        <v>2024</v>
      </c>
      <c r="T3530" s="12" t="s">
        <v>4283</v>
      </c>
      <c r="U3530">
        <v>118</v>
      </c>
      <c r="V3530">
        <v>105.6481</v>
      </c>
      <c r="W3530">
        <v>231.41</v>
      </c>
      <c r="X3530">
        <v>0</v>
      </c>
      <c r="Y3530">
        <v>0</v>
      </c>
      <c r="Z3530">
        <v>12466.48</v>
      </c>
      <c r="AA3530">
        <v>12697.89</v>
      </c>
      <c r="AB3530" s="12" t="s">
        <v>3479</v>
      </c>
      <c r="AC3530">
        <v>105.6481</v>
      </c>
      <c r="AD3530">
        <v>1</v>
      </c>
      <c r="AE3530">
        <v>1</v>
      </c>
      <c r="AF3530">
        <v>0</v>
      </c>
      <c r="AG3530">
        <v>12466.48</v>
      </c>
      <c r="AH3530">
        <v>118</v>
      </c>
      <c r="AI3530">
        <v>117</v>
      </c>
      <c r="AJ3530">
        <v>1</v>
      </c>
      <c r="AK3530">
        <v>1</v>
      </c>
      <c r="AL3530">
        <v>1</v>
      </c>
      <c r="AM3530">
        <v>99.15</v>
      </c>
      <c r="AN3530">
        <v>108.52889999999999</v>
      </c>
      <c r="AO3530">
        <v>105.65</v>
      </c>
      <c r="AP3530" s="13">
        <v>45602</v>
      </c>
      <c r="AQ3530">
        <v>7</v>
      </c>
      <c r="AR3530">
        <v>0</v>
      </c>
    </row>
    <row r="3531" spans="1:44" x14ac:dyDescent="0.35">
      <c r="A3531" s="12" t="s">
        <v>4448</v>
      </c>
      <c r="B3531" s="12" t="s">
        <v>167</v>
      </c>
      <c r="C3531" s="12" t="s">
        <v>168</v>
      </c>
      <c r="D3531" s="12" t="s">
        <v>64</v>
      </c>
      <c r="E3531" s="12" t="s">
        <v>104</v>
      </c>
      <c r="F3531">
        <v>3</v>
      </c>
      <c r="G3531">
        <v>1</v>
      </c>
      <c r="H3531">
        <v>0</v>
      </c>
      <c r="I3531" s="12" t="s">
        <v>169</v>
      </c>
      <c r="J3531" s="12" t="s">
        <v>170</v>
      </c>
      <c r="K3531" s="12" t="s">
        <v>89</v>
      </c>
      <c r="L3531" s="12" t="s">
        <v>134</v>
      </c>
      <c r="M3531">
        <v>1.37</v>
      </c>
      <c r="N3531" s="12" t="s">
        <v>70</v>
      </c>
      <c r="O3531" s="12" t="s">
        <v>71</v>
      </c>
      <c r="P3531" s="12" t="s">
        <v>72</v>
      </c>
      <c r="Q3531" s="13">
        <v>45561</v>
      </c>
      <c r="R3531" s="13">
        <v>45590</v>
      </c>
      <c r="S3531">
        <v>2024</v>
      </c>
      <c r="T3531" s="12" t="s">
        <v>4283</v>
      </c>
      <c r="U3531">
        <v>980</v>
      </c>
      <c r="V3531">
        <v>26.559100000000001</v>
      </c>
      <c r="W3531">
        <v>648.84</v>
      </c>
      <c r="X3531">
        <v>0</v>
      </c>
      <c r="Y3531">
        <v>0</v>
      </c>
      <c r="Z3531">
        <v>26027.919999999998</v>
      </c>
      <c r="AA3531">
        <v>26676.76</v>
      </c>
      <c r="AB3531" s="12" t="s">
        <v>2885</v>
      </c>
      <c r="AC3531">
        <v>26.559100000000001</v>
      </c>
      <c r="AD3531">
        <v>1</v>
      </c>
      <c r="AE3531">
        <v>1</v>
      </c>
      <c r="AF3531">
        <v>0</v>
      </c>
      <c r="AG3531">
        <v>26027.919999999998</v>
      </c>
      <c r="AH3531">
        <v>980</v>
      </c>
      <c r="AI3531">
        <v>969</v>
      </c>
      <c r="AJ3531">
        <v>11</v>
      </c>
      <c r="AK3531">
        <v>1</v>
      </c>
      <c r="AL3531">
        <v>1</v>
      </c>
      <c r="AM3531">
        <v>98.88</v>
      </c>
      <c r="AN3531">
        <v>27.530200000000001</v>
      </c>
      <c r="AO3531">
        <v>292.14999999999998</v>
      </c>
      <c r="AP3531" s="13">
        <v>45592</v>
      </c>
      <c r="AQ3531">
        <v>2</v>
      </c>
      <c r="AR3531">
        <v>0</v>
      </c>
    </row>
    <row r="3532" spans="1:44" x14ac:dyDescent="0.35">
      <c r="A3532" s="12" t="s">
        <v>4449</v>
      </c>
      <c r="B3532" s="12" t="s">
        <v>437</v>
      </c>
      <c r="C3532" s="12" t="s">
        <v>438</v>
      </c>
      <c r="D3532" s="12" t="s">
        <v>269</v>
      </c>
      <c r="E3532" s="12" t="s">
        <v>65</v>
      </c>
      <c r="F3532">
        <v>2</v>
      </c>
      <c r="G3532">
        <v>4</v>
      </c>
      <c r="H3532">
        <v>0</v>
      </c>
      <c r="I3532" s="12" t="s">
        <v>115</v>
      </c>
      <c r="J3532" s="12" t="s">
        <v>116</v>
      </c>
      <c r="K3532" s="12" t="s">
        <v>117</v>
      </c>
      <c r="L3532" s="12" t="s">
        <v>82</v>
      </c>
      <c r="M3532">
        <v>17.170000000000002</v>
      </c>
      <c r="N3532" s="12" t="s">
        <v>135</v>
      </c>
      <c r="O3532" s="12" t="s">
        <v>136</v>
      </c>
      <c r="P3532" s="12" t="s">
        <v>137</v>
      </c>
      <c r="Q3532" s="13">
        <v>45562</v>
      </c>
      <c r="R3532" s="13">
        <v>45588</v>
      </c>
      <c r="S3532">
        <v>2024</v>
      </c>
      <c r="T3532" s="12" t="s">
        <v>4283</v>
      </c>
      <c r="U3532">
        <v>55</v>
      </c>
      <c r="V3532">
        <v>440.05549999999999</v>
      </c>
      <c r="W3532">
        <v>264.26</v>
      </c>
      <c r="X3532">
        <v>0</v>
      </c>
      <c r="Y3532">
        <v>0</v>
      </c>
      <c r="Z3532">
        <v>24203.05</v>
      </c>
      <c r="AA3532">
        <v>24467.31</v>
      </c>
      <c r="AB3532" s="12" t="s">
        <v>2670</v>
      </c>
      <c r="AC3532">
        <v>440.05549999999999</v>
      </c>
      <c r="AD3532">
        <v>1</v>
      </c>
      <c r="AE3532">
        <v>1</v>
      </c>
      <c r="AF3532">
        <v>0</v>
      </c>
      <c r="AG3532">
        <v>24203.05</v>
      </c>
      <c r="AH3532">
        <v>55</v>
      </c>
      <c r="AI3532">
        <v>55</v>
      </c>
      <c r="AJ3532">
        <v>0</v>
      </c>
      <c r="AK3532">
        <v>1</v>
      </c>
      <c r="AL3532">
        <v>1</v>
      </c>
      <c r="AM3532">
        <v>100</v>
      </c>
      <c r="AN3532">
        <v>444.86020000000002</v>
      </c>
      <c r="AO3532">
        <v>0</v>
      </c>
      <c r="AP3532" s="13">
        <v>45586</v>
      </c>
      <c r="AQ3532">
        <v>-2</v>
      </c>
      <c r="AR3532">
        <v>1</v>
      </c>
    </row>
    <row r="3533" spans="1:44" x14ac:dyDescent="0.35">
      <c r="A3533" s="12" t="s">
        <v>4450</v>
      </c>
      <c r="B3533" s="12" t="s">
        <v>261</v>
      </c>
      <c r="C3533" s="12" t="s">
        <v>262</v>
      </c>
      <c r="D3533" s="12" t="s">
        <v>114</v>
      </c>
      <c r="E3533" s="12" t="s">
        <v>142</v>
      </c>
      <c r="F3533">
        <v>1</v>
      </c>
      <c r="G3533">
        <v>8</v>
      </c>
      <c r="H3533">
        <v>1</v>
      </c>
      <c r="I3533" s="12" t="s">
        <v>263</v>
      </c>
      <c r="J3533" s="12" t="s">
        <v>264</v>
      </c>
      <c r="K3533" s="12" t="s">
        <v>125</v>
      </c>
      <c r="L3533" s="12" t="s">
        <v>82</v>
      </c>
      <c r="M3533">
        <v>10.210000000000001</v>
      </c>
      <c r="N3533" s="12" t="s">
        <v>97</v>
      </c>
      <c r="O3533" s="12" t="s">
        <v>98</v>
      </c>
      <c r="P3533" s="12" t="s">
        <v>72</v>
      </c>
      <c r="Q3533" s="13">
        <v>45562</v>
      </c>
      <c r="R3533" s="13">
        <v>45599</v>
      </c>
      <c r="S3533">
        <v>2024</v>
      </c>
      <c r="T3533" s="12" t="s">
        <v>4283</v>
      </c>
      <c r="U3533">
        <v>32</v>
      </c>
      <c r="V3533">
        <v>137.84569999999999</v>
      </c>
      <c r="W3533">
        <v>97.7</v>
      </c>
      <c r="X3533">
        <v>0</v>
      </c>
      <c r="Y3533">
        <v>0</v>
      </c>
      <c r="Z3533">
        <v>4411.0600000000004</v>
      </c>
      <c r="AA3533">
        <v>4508.76</v>
      </c>
      <c r="AB3533" s="12" t="s">
        <v>2655</v>
      </c>
      <c r="AC3533">
        <v>137.84569999999999</v>
      </c>
      <c r="AD3533">
        <v>1</v>
      </c>
      <c r="AE3533">
        <v>1</v>
      </c>
      <c r="AF3533">
        <v>0</v>
      </c>
      <c r="AG3533">
        <v>4411.0600000000004</v>
      </c>
      <c r="AH3533">
        <v>32</v>
      </c>
      <c r="AI3533">
        <v>32</v>
      </c>
      <c r="AJ3533">
        <v>0</v>
      </c>
      <c r="AK3533">
        <v>1</v>
      </c>
      <c r="AL3533">
        <v>1</v>
      </c>
      <c r="AM3533">
        <v>100</v>
      </c>
      <c r="AN3533">
        <v>140.89879999999999</v>
      </c>
      <c r="AO3533">
        <v>0</v>
      </c>
      <c r="AP3533" s="13">
        <v>45608</v>
      </c>
      <c r="AQ3533">
        <v>9</v>
      </c>
      <c r="AR3533">
        <v>0</v>
      </c>
    </row>
    <row r="3534" spans="1:44" x14ac:dyDescent="0.35">
      <c r="A3534" s="12" t="s">
        <v>4451</v>
      </c>
      <c r="B3534" s="12" t="s">
        <v>308</v>
      </c>
      <c r="C3534" s="12" t="s">
        <v>309</v>
      </c>
      <c r="D3534" s="12" t="s">
        <v>122</v>
      </c>
      <c r="E3534" s="12" t="s">
        <v>142</v>
      </c>
      <c r="F3534">
        <v>1</v>
      </c>
      <c r="G3534">
        <v>6</v>
      </c>
      <c r="H3534">
        <v>1</v>
      </c>
      <c r="I3534" s="12" t="s">
        <v>310</v>
      </c>
      <c r="J3534" s="12" t="s">
        <v>311</v>
      </c>
      <c r="K3534" s="12" t="s">
        <v>81</v>
      </c>
      <c r="L3534" s="12" t="s">
        <v>69</v>
      </c>
      <c r="M3534">
        <v>28.3</v>
      </c>
      <c r="N3534" s="12" t="s">
        <v>70</v>
      </c>
      <c r="O3534" s="12" t="s">
        <v>71</v>
      </c>
      <c r="P3534" s="12" t="s">
        <v>72</v>
      </c>
      <c r="Q3534" s="13">
        <v>45562</v>
      </c>
      <c r="R3534" s="13">
        <v>45608</v>
      </c>
      <c r="S3534">
        <v>2024</v>
      </c>
      <c r="T3534" s="12" t="s">
        <v>4283</v>
      </c>
      <c r="U3534">
        <v>1370</v>
      </c>
      <c r="V3534">
        <v>58.086399999999998</v>
      </c>
      <c r="W3534">
        <v>1368.75</v>
      </c>
      <c r="X3534">
        <v>0</v>
      </c>
      <c r="Y3534">
        <v>0</v>
      </c>
      <c r="Z3534">
        <v>79578.37</v>
      </c>
      <c r="AA3534">
        <v>80947.12</v>
      </c>
      <c r="AB3534" s="12" t="s">
        <v>2726</v>
      </c>
      <c r="AC3534">
        <v>58.086399999999998</v>
      </c>
      <c r="AD3534">
        <v>1</v>
      </c>
      <c r="AE3534">
        <v>1</v>
      </c>
      <c r="AF3534">
        <v>0</v>
      </c>
      <c r="AG3534">
        <v>79578.37</v>
      </c>
      <c r="AH3534">
        <v>1370</v>
      </c>
      <c r="AI3534">
        <v>1357</v>
      </c>
      <c r="AJ3534">
        <v>13</v>
      </c>
      <c r="AK3534">
        <v>1</v>
      </c>
      <c r="AL3534">
        <v>1</v>
      </c>
      <c r="AM3534">
        <v>99.05</v>
      </c>
      <c r="AN3534">
        <v>59.651499999999999</v>
      </c>
      <c r="AO3534">
        <v>755.12</v>
      </c>
      <c r="AP3534" s="13">
        <v>45607</v>
      </c>
      <c r="AQ3534">
        <v>-1</v>
      </c>
      <c r="AR3534">
        <v>1</v>
      </c>
    </row>
    <row r="3535" spans="1:44" x14ac:dyDescent="0.35">
      <c r="A3535" s="12" t="s">
        <v>4452</v>
      </c>
      <c r="B3535" s="12" t="s">
        <v>193</v>
      </c>
      <c r="C3535" s="12" t="s">
        <v>194</v>
      </c>
      <c r="D3535" s="12" t="s">
        <v>114</v>
      </c>
      <c r="E3535" s="12" t="s">
        <v>65</v>
      </c>
      <c r="F3535">
        <v>3</v>
      </c>
      <c r="G3535">
        <v>4</v>
      </c>
      <c r="H3535">
        <v>0</v>
      </c>
      <c r="I3535" s="12" t="s">
        <v>143</v>
      </c>
      <c r="J3535" s="12" t="s">
        <v>144</v>
      </c>
      <c r="K3535" s="12" t="s">
        <v>133</v>
      </c>
      <c r="L3535" s="12" t="s">
        <v>96</v>
      </c>
      <c r="M3535">
        <v>5.43</v>
      </c>
      <c r="N3535" s="12" t="s">
        <v>97</v>
      </c>
      <c r="O3535" s="12" t="s">
        <v>98</v>
      </c>
      <c r="P3535" s="12" t="s">
        <v>72</v>
      </c>
      <c r="Q3535" s="13">
        <v>45562</v>
      </c>
      <c r="R3535" s="13">
        <v>45583</v>
      </c>
      <c r="S3535">
        <v>2024</v>
      </c>
      <c r="T3535" s="12" t="s">
        <v>4283</v>
      </c>
      <c r="U3535">
        <v>17</v>
      </c>
      <c r="V3535">
        <v>105.8665</v>
      </c>
      <c r="W3535">
        <v>44.82</v>
      </c>
      <c r="X3535">
        <v>0</v>
      </c>
      <c r="Y3535">
        <v>0</v>
      </c>
      <c r="Z3535">
        <v>1799.73</v>
      </c>
      <c r="AA3535">
        <v>1844.55</v>
      </c>
      <c r="AB3535" s="12" t="s">
        <v>2888</v>
      </c>
      <c r="AC3535">
        <v>105.8665</v>
      </c>
      <c r="AD3535">
        <v>1</v>
      </c>
      <c r="AE3535">
        <v>1</v>
      </c>
      <c r="AF3535">
        <v>0</v>
      </c>
      <c r="AG3535">
        <v>1799.73</v>
      </c>
      <c r="AH3535">
        <v>17</v>
      </c>
      <c r="AI3535">
        <v>17</v>
      </c>
      <c r="AJ3535">
        <v>0</v>
      </c>
      <c r="AK3535">
        <v>1</v>
      </c>
      <c r="AL3535">
        <v>1</v>
      </c>
      <c r="AM3535">
        <v>100</v>
      </c>
      <c r="AN3535">
        <v>108.503</v>
      </c>
      <c r="AO3535">
        <v>0</v>
      </c>
      <c r="AP3535" s="13">
        <v>45581</v>
      </c>
      <c r="AQ3535">
        <v>-2</v>
      </c>
      <c r="AR3535">
        <v>1</v>
      </c>
    </row>
    <row r="3536" spans="1:44" x14ac:dyDescent="0.35">
      <c r="A3536" s="12" t="s">
        <v>4453</v>
      </c>
      <c r="B3536" s="12" t="s">
        <v>289</v>
      </c>
      <c r="C3536" s="12" t="s">
        <v>290</v>
      </c>
      <c r="D3536" s="12" t="s">
        <v>175</v>
      </c>
      <c r="E3536" s="12" t="s">
        <v>104</v>
      </c>
      <c r="F3536">
        <v>3</v>
      </c>
      <c r="G3536">
        <v>1</v>
      </c>
      <c r="H3536">
        <v>0</v>
      </c>
      <c r="I3536" s="12" t="s">
        <v>359</v>
      </c>
      <c r="J3536" s="12" t="s">
        <v>360</v>
      </c>
      <c r="K3536" s="12" t="s">
        <v>133</v>
      </c>
      <c r="L3536" s="12" t="s">
        <v>82</v>
      </c>
      <c r="M3536">
        <v>12.65</v>
      </c>
      <c r="N3536" s="12" t="s">
        <v>145</v>
      </c>
      <c r="O3536" s="12" t="s">
        <v>146</v>
      </c>
      <c r="P3536" s="12" t="s">
        <v>109</v>
      </c>
      <c r="Q3536" s="13">
        <v>45562</v>
      </c>
      <c r="R3536" s="13">
        <v>45590</v>
      </c>
      <c r="S3536">
        <v>2024</v>
      </c>
      <c r="T3536" s="12" t="s">
        <v>4283</v>
      </c>
      <c r="U3536">
        <v>135</v>
      </c>
      <c r="V3536">
        <v>190.43559999999999</v>
      </c>
      <c r="W3536">
        <v>485</v>
      </c>
      <c r="X3536">
        <v>0</v>
      </c>
      <c r="Y3536">
        <v>0</v>
      </c>
      <c r="Z3536">
        <v>25708.81</v>
      </c>
      <c r="AA3536">
        <v>26193.81</v>
      </c>
      <c r="AB3536" s="12" t="s">
        <v>2723</v>
      </c>
      <c r="AC3536">
        <v>190.43559999999999</v>
      </c>
      <c r="AD3536">
        <v>1</v>
      </c>
      <c r="AE3536">
        <v>1</v>
      </c>
      <c r="AF3536">
        <v>0</v>
      </c>
      <c r="AG3536">
        <v>25708.81</v>
      </c>
      <c r="AH3536">
        <v>135</v>
      </c>
      <c r="AI3536">
        <v>133</v>
      </c>
      <c r="AJ3536">
        <v>2</v>
      </c>
      <c r="AK3536">
        <v>1</v>
      </c>
      <c r="AL3536">
        <v>1</v>
      </c>
      <c r="AM3536">
        <v>98.52</v>
      </c>
      <c r="AN3536">
        <v>196.94589999999999</v>
      </c>
      <c r="AO3536">
        <v>380.87</v>
      </c>
      <c r="AP3536" s="13">
        <v>45588</v>
      </c>
      <c r="AQ3536">
        <v>-2</v>
      </c>
      <c r="AR3536">
        <v>1</v>
      </c>
    </row>
    <row r="3537" spans="1:44" x14ac:dyDescent="0.35">
      <c r="A3537" s="12" t="s">
        <v>4454</v>
      </c>
      <c r="B3537" s="12" t="s">
        <v>740</v>
      </c>
      <c r="C3537" s="12" t="s">
        <v>741</v>
      </c>
      <c r="D3537" s="12" t="s">
        <v>64</v>
      </c>
      <c r="E3537" s="12" t="s">
        <v>104</v>
      </c>
      <c r="F3537">
        <v>2</v>
      </c>
      <c r="G3537">
        <v>0</v>
      </c>
      <c r="H3537">
        <v>0</v>
      </c>
      <c r="I3537" s="12" t="s">
        <v>183</v>
      </c>
      <c r="J3537" s="12" t="s">
        <v>184</v>
      </c>
      <c r="K3537" s="12" t="s">
        <v>133</v>
      </c>
      <c r="L3537" s="12" t="s">
        <v>82</v>
      </c>
      <c r="M3537">
        <v>8.6199999999999992</v>
      </c>
      <c r="N3537" s="12" t="s">
        <v>70</v>
      </c>
      <c r="O3537" s="12" t="s">
        <v>71</v>
      </c>
      <c r="P3537" s="12" t="s">
        <v>72</v>
      </c>
      <c r="Q3537" s="13">
        <v>45562</v>
      </c>
      <c r="R3537" s="13">
        <v>45588</v>
      </c>
      <c r="S3537">
        <v>2024</v>
      </c>
      <c r="T3537" s="12" t="s">
        <v>4283</v>
      </c>
      <c r="U3537">
        <v>806</v>
      </c>
      <c r="V3537">
        <v>41.1708</v>
      </c>
      <c r="W3537">
        <v>661.97</v>
      </c>
      <c r="X3537">
        <v>0</v>
      </c>
      <c r="Y3537">
        <v>0</v>
      </c>
      <c r="Z3537">
        <v>33183.660000000003</v>
      </c>
      <c r="AA3537">
        <v>33845.629999999997</v>
      </c>
      <c r="AB3537" s="12" t="s">
        <v>3134</v>
      </c>
      <c r="AC3537">
        <v>41.1708</v>
      </c>
      <c r="AD3537">
        <v>1</v>
      </c>
      <c r="AE3537">
        <v>1</v>
      </c>
      <c r="AF3537">
        <v>0</v>
      </c>
      <c r="AG3537">
        <v>33183.660000000003</v>
      </c>
      <c r="AH3537">
        <v>806</v>
      </c>
      <c r="AI3537">
        <v>796</v>
      </c>
      <c r="AJ3537">
        <v>10</v>
      </c>
      <c r="AK3537">
        <v>1</v>
      </c>
      <c r="AL3537">
        <v>1</v>
      </c>
      <c r="AM3537">
        <v>98.76</v>
      </c>
      <c r="AN3537">
        <v>42.519599999999997</v>
      </c>
      <c r="AO3537">
        <v>411.71</v>
      </c>
      <c r="AP3537" s="13">
        <v>45593</v>
      </c>
      <c r="AQ3537">
        <v>5</v>
      </c>
      <c r="AR3537">
        <v>0</v>
      </c>
    </row>
    <row r="3538" spans="1:44" x14ac:dyDescent="0.35">
      <c r="A3538" s="12" t="s">
        <v>4455</v>
      </c>
      <c r="B3538" s="12" t="s">
        <v>433</v>
      </c>
      <c r="C3538" s="12" t="s">
        <v>434</v>
      </c>
      <c r="D3538" s="12" t="s">
        <v>78</v>
      </c>
      <c r="E3538" s="12" t="s">
        <v>65</v>
      </c>
      <c r="F3538">
        <v>2</v>
      </c>
      <c r="G3538">
        <v>4</v>
      </c>
      <c r="H3538">
        <v>0</v>
      </c>
      <c r="I3538" s="12" t="s">
        <v>105</v>
      </c>
      <c r="J3538" s="12" t="s">
        <v>106</v>
      </c>
      <c r="K3538" s="12" t="s">
        <v>81</v>
      </c>
      <c r="L3538" s="12" t="s">
        <v>96</v>
      </c>
      <c r="M3538">
        <v>5.01</v>
      </c>
      <c r="N3538" s="12" t="s">
        <v>70</v>
      </c>
      <c r="O3538" s="12" t="s">
        <v>71</v>
      </c>
      <c r="P3538" s="12" t="s">
        <v>72</v>
      </c>
      <c r="Q3538" s="13">
        <v>45562</v>
      </c>
      <c r="R3538" s="13">
        <v>45599</v>
      </c>
      <c r="S3538">
        <v>2024</v>
      </c>
      <c r="T3538" s="12" t="s">
        <v>4283</v>
      </c>
      <c r="U3538">
        <v>284</v>
      </c>
      <c r="V3538">
        <v>72.364500000000007</v>
      </c>
      <c r="W3538">
        <v>173.91</v>
      </c>
      <c r="X3538">
        <v>0</v>
      </c>
      <c r="Y3538">
        <v>0</v>
      </c>
      <c r="Z3538">
        <v>20551.52</v>
      </c>
      <c r="AA3538">
        <v>20725.43</v>
      </c>
      <c r="AB3538" s="12" t="s">
        <v>2930</v>
      </c>
      <c r="AC3538">
        <v>72.364500000000007</v>
      </c>
      <c r="AD3538">
        <v>1</v>
      </c>
      <c r="AE3538">
        <v>1</v>
      </c>
      <c r="AF3538">
        <v>0</v>
      </c>
      <c r="AG3538">
        <v>20551.52</v>
      </c>
      <c r="AH3538">
        <v>284</v>
      </c>
      <c r="AI3538">
        <v>282</v>
      </c>
      <c r="AJ3538">
        <v>2</v>
      </c>
      <c r="AK3538">
        <v>1</v>
      </c>
      <c r="AL3538">
        <v>1</v>
      </c>
      <c r="AM3538">
        <v>99.3</v>
      </c>
      <c r="AN3538">
        <v>73.494399999999999</v>
      </c>
      <c r="AO3538">
        <v>144.72999999999999</v>
      </c>
      <c r="AP3538" s="13">
        <v>45597</v>
      </c>
      <c r="AQ3538">
        <v>-2</v>
      </c>
      <c r="AR3538">
        <v>1</v>
      </c>
    </row>
    <row r="3539" spans="1:44" x14ac:dyDescent="0.35">
      <c r="A3539" s="12" t="s">
        <v>4456</v>
      </c>
      <c r="B3539" s="12" t="s">
        <v>674</v>
      </c>
      <c r="C3539" s="12" t="s">
        <v>675</v>
      </c>
      <c r="D3539" s="12" t="s">
        <v>269</v>
      </c>
      <c r="E3539" s="12" t="s">
        <v>142</v>
      </c>
      <c r="F3539">
        <v>1</v>
      </c>
      <c r="G3539">
        <v>7</v>
      </c>
      <c r="H3539">
        <v>1</v>
      </c>
      <c r="I3539" s="12" t="s">
        <v>676</v>
      </c>
      <c r="J3539" s="12" t="s">
        <v>677</v>
      </c>
      <c r="K3539" s="12" t="s">
        <v>68</v>
      </c>
      <c r="L3539" s="12" t="s">
        <v>96</v>
      </c>
      <c r="M3539">
        <v>3.57</v>
      </c>
      <c r="N3539" s="12" t="s">
        <v>135</v>
      </c>
      <c r="O3539" s="12" t="s">
        <v>136</v>
      </c>
      <c r="P3539" s="12" t="s">
        <v>137</v>
      </c>
      <c r="Q3539" s="13">
        <v>45565</v>
      </c>
      <c r="R3539" s="13">
        <v>45610</v>
      </c>
      <c r="S3539">
        <v>2024</v>
      </c>
      <c r="T3539" s="12" t="s">
        <v>4283</v>
      </c>
      <c r="U3539">
        <v>93</v>
      </c>
      <c r="V3539">
        <v>393.40879999999999</v>
      </c>
      <c r="W3539">
        <v>357.85</v>
      </c>
      <c r="X3539">
        <v>0</v>
      </c>
      <c r="Y3539">
        <v>0</v>
      </c>
      <c r="Z3539">
        <v>36587.019999999997</v>
      </c>
      <c r="AA3539">
        <v>36944.870000000003</v>
      </c>
      <c r="AB3539" s="12" t="s">
        <v>201</v>
      </c>
      <c r="AD3539">
        <v>0</v>
      </c>
      <c r="AE3539">
        <v>0</v>
      </c>
      <c r="AH3539">
        <v>93</v>
      </c>
      <c r="AI3539">
        <v>92</v>
      </c>
      <c r="AJ3539">
        <v>1</v>
      </c>
      <c r="AK3539">
        <v>1</v>
      </c>
      <c r="AL3539">
        <v>1</v>
      </c>
      <c r="AM3539">
        <v>98.92</v>
      </c>
      <c r="AN3539">
        <v>401.57470000000001</v>
      </c>
      <c r="AO3539">
        <v>393.41</v>
      </c>
      <c r="AP3539" s="13">
        <v>45610</v>
      </c>
      <c r="AQ3539">
        <v>0</v>
      </c>
      <c r="AR3539">
        <v>1</v>
      </c>
    </row>
    <row r="3540" spans="1:44" x14ac:dyDescent="0.35">
      <c r="A3540" s="12" t="s">
        <v>4457</v>
      </c>
      <c r="B3540" s="12" t="s">
        <v>674</v>
      </c>
      <c r="C3540" s="12" t="s">
        <v>675</v>
      </c>
      <c r="D3540" s="12" t="s">
        <v>269</v>
      </c>
      <c r="E3540" s="12" t="s">
        <v>142</v>
      </c>
      <c r="F3540">
        <v>1</v>
      </c>
      <c r="G3540">
        <v>7</v>
      </c>
      <c r="H3540">
        <v>1</v>
      </c>
      <c r="I3540" s="12" t="s">
        <v>676</v>
      </c>
      <c r="J3540" s="12" t="s">
        <v>677</v>
      </c>
      <c r="K3540" s="12" t="s">
        <v>68</v>
      </c>
      <c r="L3540" s="12" t="s">
        <v>96</v>
      </c>
      <c r="M3540">
        <v>3.57</v>
      </c>
      <c r="N3540" s="12" t="s">
        <v>135</v>
      </c>
      <c r="O3540" s="12" t="s">
        <v>136</v>
      </c>
      <c r="P3540" s="12" t="s">
        <v>137</v>
      </c>
      <c r="Q3540" s="13">
        <v>45565</v>
      </c>
      <c r="R3540" s="13">
        <v>45610</v>
      </c>
      <c r="S3540">
        <v>2024</v>
      </c>
      <c r="T3540" s="12" t="s">
        <v>4283</v>
      </c>
      <c r="U3540">
        <v>92</v>
      </c>
      <c r="V3540">
        <v>378.89449999999999</v>
      </c>
      <c r="W3540">
        <v>541.97</v>
      </c>
      <c r="X3540">
        <v>0</v>
      </c>
      <c r="Y3540">
        <v>0</v>
      </c>
      <c r="Z3540">
        <v>34858.29</v>
      </c>
      <c r="AA3540">
        <v>35400.26</v>
      </c>
      <c r="AB3540" s="12" t="s">
        <v>201</v>
      </c>
      <c r="AD3540">
        <v>0</v>
      </c>
      <c r="AE3540">
        <v>0</v>
      </c>
      <c r="AH3540">
        <v>92</v>
      </c>
      <c r="AI3540">
        <v>91</v>
      </c>
      <c r="AJ3540">
        <v>1</v>
      </c>
      <c r="AK3540">
        <v>1</v>
      </c>
      <c r="AL3540">
        <v>1</v>
      </c>
      <c r="AM3540">
        <v>98.91</v>
      </c>
      <c r="AN3540">
        <v>389.01389999999998</v>
      </c>
      <c r="AO3540">
        <v>378.89</v>
      </c>
      <c r="AP3540" s="13">
        <v>45607</v>
      </c>
      <c r="AQ3540">
        <v>-3</v>
      </c>
      <c r="AR3540">
        <v>1</v>
      </c>
    </row>
    <row r="3541" spans="1:44" x14ac:dyDescent="0.35">
      <c r="A3541" s="12" t="s">
        <v>4458</v>
      </c>
      <c r="B3541" s="12" t="s">
        <v>565</v>
      </c>
      <c r="C3541" s="12" t="s">
        <v>566</v>
      </c>
      <c r="D3541" s="12" t="s">
        <v>122</v>
      </c>
      <c r="E3541" s="12" t="s">
        <v>104</v>
      </c>
      <c r="F3541">
        <v>3</v>
      </c>
      <c r="G3541">
        <v>1</v>
      </c>
      <c r="H3541">
        <v>0</v>
      </c>
      <c r="I3541" s="12" t="s">
        <v>87</v>
      </c>
      <c r="J3541" s="12" t="s">
        <v>88</v>
      </c>
      <c r="K3541" s="12" t="s">
        <v>89</v>
      </c>
      <c r="L3541" s="12" t="s">
        <v>69</v>
      </c>
      <c r="M3541">
        <v>14.93</v>
      </c>
      <c r="N3541" s="12" t="s">
        <v>70</v>
      </c>
      <c r="O3541" s="12" t="s">
        <v>71</v>
      </c>
      <c r="P3541" s="12" t="s">
        <v>72</v>
      </c>
      <c r="Q3541" s="13">
        <v>45565</v>
      </c>
      <c r="R3541" s="13">
        <v>45586</v>
      </c>
      <c r="S3541">
        <v>2024</v>
      </c>
      <c r="T3541" s="12" t="s">
        <v>4283</v>
      </c>
      <c r="U3541">
        <v>1169</v>
      </c>
      <c r="V3541">
        <v>35.96</v>
      </c>
      <c r="W3541">
        <v>645.86</v>
      </c>
      <c r="X3541">
        <v>0</v>
      </c>
      <c r="Y3541">
        <v>0</v>
      </c>
      <c r="Z3541">
        <v>42037.24</v>
      </c>
      <c r="AA3541">
        <v>42683.1</v>
      </c>
      <c r="AB3541" s="12" t="s">
        <v>3238</v>
      </c>
      <c r="AC3541">
        <v>34.7179</v>
      </c>
      <c r="AD3541">
        <v>1</v>
      </c>
      <c r="AE3541">
        <v>1</v>
      </c>
      <c r="AF3541">
        <v>1452.01</v>
      </c>
      <c r="AG3541">
        <v>40585.230000000003</v>
      </c>
      <c r="AH3541">
        <v>1169</v>
      </c>
      <c r="AI3541">
        <v>1165</v>
      </c>
      <c r="AJ3541">
        <v>4</v>
      </c>
      <c r="AK3541">
        <v>1</v>
      </c>
      <c r="AL3541">
        <v>1</v>
      </c>
      <c r="AM3541">
        <v>99.66</v>
      </c>
      <c r="AN3541">
        <v>36.637900000000002</v>
      </c>
      <c r="AO3541">
        <v>143.84</v>
      </c>
      <c r="AP3541" s="13">
        <v>45595</v>
      </c>
      <c r="AQ3541">
        <v>9</v>
      </c>
      <c r="AR3541">
        <v>0</v>
      </c>
    </row>
    <row r="3542" spans="1:44" x14ac:dyDescent="0.35">
      <c r="A3542" s="12" t="s">
        <v>4459</v>
      </c>
      <c r="B3542" s="12" t="s">
        <v>128</v>
      </c>
      <c r="C3542" s="12" t="s">
        <v>129</v>
      </c>
      <c r="D3542" s="12" t="s">
        <v>130</v>
      </c>
      <c r="E3542" s="12" t="s">
        <v>65</v>
      </c>
      <c r="F3542">
        <v>3</v>
      </c>
      <c r="G3542">
        <v>5</v>
      </c>
      <c r="H3542">
        <v>0</v>
      </c>
      <c r="I3542" s="12" t="s">
        <v>131</v>
      </c>
      <c r="J3542" s="12" t="s">
        <v>132</v>
      </c>
      <c r="K3542" s="12" t="s">
        <v>133</v>
      </c>
      <c r="L3542" s="12" t="s">
        <v>134</v>
      </c>
      <c r="M3542">
        <v>1.51</v>
      </c>
      <c r="N3542" s="12" t="s">
        <v>135</v>
      </c>
      <c r="O3542" s="12" t="s">
        <v>136</v>
      </c>
      <c r="P3542" s="12" t="s">
        <v>137</v>
      </c>
      <c r="Q3542" s="13">
        <v>45565</v>
      </c>
      <c r="R3542" s="13">
        <v>45594</v>
      </c>
      <c r="S3542">
        <v>2024</v>
      </c>
      <c r="T3542" s="12" t="s">
        <v>4283</v>
      </c>
      <c r="U3542">
        <v>76</v>
      </c>
      <c r="V3542">
        <v>436.51600000000002</v>
      </c>
      <c r="W3542">
        <v>842.93</v>
      </c>
      <c r="X3542">
        <v>0</v>
      </c>
      <c r="Y3542">
        <v>0</v>
      </c>
      <c r="Z3542">
        <v>33175.22</v>
      </c>
      <c r="AA3542">
        <v>34018.15</v>
      </c>
      <c r="AB3542" s="12" t="s">
        <v>201</v>
      </c>
      <c r="AD3542">
        <v>0</v>
      </c>
      <c r="AE3542">
        <v>0</v>
      </c>
      <c r="AH3542">
        <v>76</v>
      </c>
      <c r="AI3542">
        <v>71</v>
      </c>
      <c r="AJ3542">
        <v>5</v>
      </c>
      <c r="AK3542">
        <v>1</v>
      </c>
      <c r="AL3542">
        <v>1</v>
      </c>
      <c r="AM3542">
        <v>93.42</v>
      </c>
      <c r="AN3542">
        <v>479.12880000000001</v>
      </c>
      <c r="AO3542">
        <v>2182.58</v>
      </c>
      <c r="AP3542" s="13">
        <v>45594</v>
      </c>
      <c r="AQ3542">
        <v>0</v>
      </c>
      <c r="AR3542">
        <v>1</v>
      </c>
    </row>
    <row r="3543" spans="1:44" x14ac:dyDescent="0.35">
      <c r="A3543" s="12" t="s">
        <v>4460</v>
      </c>
      <c r="B3543" s="12" t="s">
        <v>837</v>
      </c>
      <c r="C3543" s="12" t="s">
        <v>838</v>
      </c>
      <c r="D3543" s="12" t="s">
        <v>114</v>
      </c>
      <c r="E3543" s="12" t="s">
        <v>104</v>
      </c>
      <c r="F3543">
        <v>2</v>
      </c>
      <c r="G3543">
        <v>0</v>
      </c>
      <c r="H3543">
        <v>0</v>
      </c>
      <c r="I3543" s="12" t="s">
        <v>79</v>
      </c>
      <c r="J3543" s="12" t="s">
        <v>80</v>
      </c>
      <c r="K3543" s="12" t="s">
        <v>81</v>
      </c>
      <c r="L3543" s="12" t="s">
        <v>82</v>
      </c>
      <c r="M3543">
        <v>12.07</v>
      </c>
      <c r="N3543" s="12" t="s">
        <v>97</v>
      </c>
      <c r="O3543" s="12" t="s">
        <v>98</v>
      </c>
      <c r="P3543" s="12" t="s">
        <v>72</v>
      </c>
      <c r="Q3543" s="13">
        <v>45566</v>
      </c>
      <c r="R3543" s="13">
        <v>45590</v>
      </c>
      <c r="S3543">
        <v>2024</v>
      </c>
      <c r="T3543" s="12" t="s">
        <v>4461</v>
      </c>
      <c r="U3543">
        <v>104</v>
      </c>
      <c r="V3543">
        <v>71.072699999999998</v>
      </c>
      <c r="W3543">
        <v>142.38</v>
      </c>
      <c r="X3543">
        <v>0</v>
      </c>
      <c r="Y3543">
        <v>0</v>
      </c>
      <c r="Z3543">
        <v>7391.56</v>
      </c>
      <c r="AA3543">
        <v>7533.94</v>
      </c>
      <c r="AB3543" s="12" t="s">
        <v>4186</v>
      </c>
      <c r="AC3543">
        <v>71.072699999999998</v>
      </c>
      <c r="AD3543">
        <v>1</v>
      </c>
      <c r="AE3543">
        <v>1</v>
      </c>
      <c r="AF3543">
        <v>0</v>
      </c>
      <c r="AG3543">
        <v>7391.56</v>
      </c>
      <c r="AH3543">
        <v>104</v>
      </c>
      <c r="AI3543">
        <v>101</v>
      </c>
      <c r="AJ3543">
        <v>3</v>
      </c>
      <c r="AK3543">
        <v>1</v>
      </c>
      <c r="AL3543">
        <v>1</v>
      </c>
      <c r="AM3543">
        <v>97.12</v>
      </c>
      <c r="AN3543">
        <v>74.593500000000006</v>
      </c>
      <c r="AO3543">
        <v>213.22</v>
      </c>
      <c r="AP3543" s="13">
        <v>45589</v>
      </c>
      <c r="AQ3543">
        <v>-1</v>
      </c>
      <c r="AR3543">
        <v>1</v>
      </c>
    </row>
    <row r="3544" spans="1:44" x14ac:dyDescent="0.35">
      <c r="A3544" s="12" t="s">
        <v>4462</v>
      </c>
      <c r="B3544" s="12" t="s">
        <v>149</v>
      </c>
      <c r="C3544" s="12" t="s">
        <v>150</v>
      </c>
      <c r="D3544" s="12" t="s">
        <v>78</v>
      </c>
      <c r="E3544" s="12" t="s">
        <v>65</v>
      </c>
      <c r="F3544">
        <v>2</v>
      </c>
      <c r="G3544">
        <v>2</v>
      </c>
      <c r="H3544">
        <v>0</v>
      </c>
      <c r="I3544" s="12" t="s">
        <v>151</v>
      </c>
      <c r="J3544" s="12" t="s">
        <v>152</v>
      </c>
      <c r="K3544" s="12" t="s">
        <v>125</v>
      </c>
      <c r="L3544" s="12" t="s">
        <v>69</v>
      </c>
      <c r="M3544">
        <v>36.479999999999997</v>
      </c>
      <c r="N3544" s="12" t="s">
        <v>70</v>
      </c>
      <c r="O3544" s="12" t="s">
        <v>71</v>
      </c>
      <c r="P3544" s="12" t="s">
        <v>72</v>
      </c>
      <c r="Q3544" s="13">
        <v>45566</v>
      </c>
      <c r="R3544" s="13">
        <v>45591</v>
      </c>
      <c r="S3544">
        <v>2024</v>
      </c>
      <c r="T3544" s="12" t="s">
        <v>4461</v>
      </c>
      <c r="U3544">
        <v>107</v>
      </c>
      <c r="V3544">
        <v>70.838700000000003</v>
      </c>
      <c r="W3544">
        <v>145.04</v>
      </c>
      <c r="X3544">
        <v>0</v>
      </c>
      <c r="Y3544">
        <v>0</v>
      </c>
      <c r="Z3544">
        <v>7579.74</v>
      </c>
      <c r="AA3544">
        <v>7724.78</v>
      </c>
      <c r="AB3544" s="12" t="s">
        <v>2546</v>
      </c>
      <c r="AC3544">
        <v>70.838700000000003</v>
      </c>
      <c r="AD3544">
        <v>1</v>
      </c>
      <c r="AE3544">
        <v>1</v>
      </c>
      <c r="AF3544">
        <v>0</v>
      </c>
      <c r="AG3544">
        <v>7579.74</v>
      </c>
      <c r="AH3544">
        <v>107</v>
      </c>
      <c r="AI3544">
        <v>105</v>
      </c>
      <c r="AJ3544">
        <v>2</v>
      </c>
      <c r="AK3544">
        <v>1</v>
      </c>
      <c r="AL3544">
        <v>1</v>
      </c>
      <c r="AM3544">
        <v>98.13</v>
      </c>
      <c r="AN3544">
        <v>73.569299999999998</v>
      </c>
      <c r="AO3544">
        <v>141.68</v>
      </c>
      <c r="AP3544" s="13">
        <v>45589</v>
      </c>
      <c r="AQ3544">
        <v>-2</v>
      </c>
      <c r="AR3544">
        <v>1</v>
      </c>
    </row>
    <row r="3545" spans="1:44" x14ac:dyDescent="0.35">
      <c r="A3545" s="12" t="s">
        <v>4463</v>
      </c>
      <c r="B3545" s="12" t="s">
        <v>404</v>
      </c>
      <c r="C3545" s="12" t="s">
        <v>405</v>
      </c>
      <c r="D3545" s="12" t="s">
        <v>269</v>
      </c>
      <c r="E3545" s="12" t="s">
        <v>65</v>
      </c>
      <c r="F3545">
        <v>3</v>
      </c>
      <c r="G3545">
        <v>5</v>
      </c>
      <c r="H3545">
        <v>0</v>
      </c>
      <c r="I3545" s="12" t="s">
        <v>79</v>
      </c>
      <c r="J3545" s="12" t="s">
        <v>80</v>
      </c>
      <c r="K3545" s="12" t="s">
        <v>81</v>
      </c>
      <c r="L3545" s="12" t="s">
        <v>82</v>
      </c>
      <c r="M3545">
        <v>12.07</v>
      </c>
      <c r="N3545" s="12" t="s">
        <v>159</v>
      </c>
      <c r="O3545" s="12" t="s">
        <v>160</v>
      </c>
      <c r="P3545" s="12" t="s">
        <v>137</v>
      </c>
      <c r="Q3545" s="13">
        <v>45566</v>
      </c>
      <c r="R3545" s="13">
        <v>45592</v>
      </c>
      <c r="S3545">
        <v>2024</v>
      </c>
      <c r="T3545" s="12" t="s">
        <v>4461</v>
      </c>
      <c r="U3545">
        <v>50</v>
      </c>
      <c r="V3545">
        <v>430.2559</v>
      </c>
      <c r="W3545">
        <v>321</v>
      </c>
      <c r="X3545">
        <v>0</v>
      </c>
      <c r="Y3545">
        <v>0</v>
      </c>
      <c r="Z3545">
        <v>21512.799999999999</v>
      </c>
      <c r="AA3545">
        <v>21833.8</v>
      </c>
      <c r="AB3545" s="12" t="s">
        <v>2910</v>
      </c>
      <c r="AC3545">
        <v>430.2559</v>
      </c>
      <c r="AD3545">
        <v>1</v>
      </c>
      <c r="AE3545">
        <v>1</v>
      </c>
      <c r="AF3545">
        <v>0</v>
      </c>
      <c r="AG3545">
        <v>21512.799999999999</v>
      </c>
      <c r="AH3545">
        <v>50</v>
      </c>
      <c r="AI3545">
        <v>50</v>
      </c>
      <c r="AJ3545">
        <v>0</v>
      </c>
      <c r="AK3545">
        <v>1</v>
      </c>
      <c r="AL3545">
        <v>1</v>
      </c>
      <c r="AM3545">
        <v>100</v>
      </c>
      <c r="AN3545">
        <v>436.67590000000001</v>
      </c>
      <c r="AO3545">
        <v>0</v>
      </c>
      <c r="AP3545" s="13">
        <v>45592</v>
      </c>
      <c r="AQ3545">
        <v>0</v>
      </c>
      <c r="AR3545">
        <v>1</v>
      </c>
    </row>
    <row r="3546" spans="1:44" x14ac:dyDescent="0.35">
      <c r="A3546" s="12" t="s">
        <v>4464</v>
      </c>
      <c r="B3546" s="12" t="s">
        <v>548</v>
      </c>
      <c r="C3546" s="12" t="s">
        <v>549</v>
      </c>
      <c r="D3546" s="12" t="s">
        <v>78</v>
      </c>
      <c r="E3546" s="12" t="s">
        <v>104</v>
      </c>
      <c r="F3546">
        <v>3</v>
      </c>
      <c r="G3546">
        <v>1</v>
      </c>
      <c r="H3546">
        <v>0</v>
      </c>
      <c r="I3546" s="12" t="s">
        <v>223</v>
      </c>
      <c r="J3546" s="12" t="s">
        <v>224</v>
      </c>
      <c r="K3546" s="12" t="s">
        <v>81</v>
      </c>
      <c r="L3546" s="12" t="s">
        <v>134</v>
      </c>
      <c r="M3546">
        <v>2.4900000000000002</v>
      </c>
      <c r="N3546" s="12" t="s">
        <v>97</v>
      </c>
      <c r="O3546" s="12" t="s">
        <v>98</v>
      </c>
      <c r="P3546" s="12" t="s">
        <v>72</v>
      </c>
      <c r="Q3546" s="13">
        <v>45566</v>
      </c>
      <c r="R3546" s="13">
        <v>45585</v>
      </c>
      <c r="S3546">
        <v>2024</v>
      </c>
      <c r="T3546" s="12" t="s">
        <v>4461</v>
      </c>
      <c r="U3546">
        <v>146</v>
      </c>
      <c r="V3546">
        <v>59.346200000000003</v>
      </c>
      <c r="W3546">
        <v>162.26</v>
      </c>
      <c r="X3546">
        <v>0</v>
      </c>
      <c r="Y3546">
        <v>0</v>
      </c>
      <c r="Z3546">
        <v>8664.5499999999993</v>
      </c>
      <c r="AA3546">
        <v>8826.81</v>
      </c>
      <c r="AB3546" s="12" t="s">
        <v>3127</v>
      </c>
      <c r="AC3546">
        <v>59.346200000000003</v>
      </c>
      <c r="AD3546">
        <v>1</v>
      </c>
      <c r="AE3546">
        <v>1</v>
      </c>
      <c r="AF3546">
        <v>0</v>
      </c>
      <c r="AG3546">
        <v>8664.5499999999993</v>
      </c>
      <c r="AH3546">
        <v>146</v>
      </c>
      <c r="AI3546">
        <v>145</v>
      </c>
      <c r="AJ3546">
        <v>1</v>
      </c>
      <c r="AK3546">
        <v>1</v>
      </c>
      <c r="AL3546">
        <v>1</v>
      </c>
      <c r="AM3546">
        <v>99.32</v>
      </c>
      <c r="AN3546">
        <v>60.874499999999998</v>
      </c>
      <c r="AO3546">
        <v>59.35</v>
      </c>
      <c r="AP3546" s="13">
        <v>45585</v>
      </c>
      <c r="AQ3546">
        <v>0</v>
      </c>
      <c r="AR3546">
        <v>1</v>
      </c>
    </row>
    <row r="3547" spans="1:44" x14ac:dyDescent="0.35">
      <c r="A3547" s="12" t="s">
        <v>4465</v>
      </c>
      <c r="B3547" s="12" t="s">
        <v>284</v>
      </c>
      <c r="C3547" s="12" t="s">
        <v>285</v>
      </c>
      <c r="D3547" s="12" t="s">
        <v>269</v>
      </c>
      <c r="E3547" s="12" t="s">
        <v>104</v>
      </c>
      <c r="F3547">
        <v>3</v>
      </c>
      <c r="G3547">
        <v>1</v>
      </c>
      <c r="H3547">
        <v>0</v>
      </c>
      <c r="I3547" s="12" t="s">
        <v>243</v>
      </c>
      <c r="J3547" s="12" t="s">
        <v>244</v>
      </c>
      <c r="K3547" s="12" t="s">
        <v>81</v>
      </c>
      <c r="L3547" s="12" t="s">
        <v>82</v>
      </c>
      <c r="M3547">
        <v>9.2200000000000006</v>
      </c>
      <c r="N3547" s="12" t="s">
        <v>159</v>
      </c>
      <c r="O3547" s="12" t="s">
        <v>160</v>
      </c>
      <c r="P3547" s="12" t="s">
        <v>137</v>
      </c>
      <c r="Q3547" s="13">
        <v>45566</v>
      </c>
      <c r="R3547" s="13">
        <v>45580</v>
      </c>
      <c r="S3547">
        <v>2024</v>
      </c>
      <c r="T3547" s="12" t="s">
        <v>4461</v>
      </c>
      <c r="U3547">
        <v>25</v>
      </c>
      <c r="V3547">
        <v>365.26819999999998</v>
      </c>
      <c r="W3547">
        <v>165.25</v>
      </c>
      <c r="X3547">
        <v>0</v>
      </c>
      <c r="Y3547">
        <v>0</v>
      </c>
      <c r="Z3547">
        <v>9131.7099999999991</v>
      </c>
      <c r="AA3547">
        <v>9296.9599999999991</v>
      </c>
      <c r="AB3547" s="12" t="s">
        <v>3977</v>
      </c>
      <c r="AC3547">
        <v>388.12880000000001</v>
      </c>
      <c r="AD3547">
        <v>1</v>
      </c>
      <c r="AE3547">
        <v>1</v>
      </c>
      <c r="AF3547">
        <v>-571.52</v>
      </c>
      <c r="AG3547">
        <v>9703.2199999999993</v>
      </c>
      <c r="AH3547">
        <v>25</v>
      </c>
      <c r="AI3547">
        <v>25</v>
      </c>
      <c r="AJ3547">
        <v>0</v>
      </c>
      <c r="AK3547">
        <v>1</v>
      </c>
      <c r="AL3547">
        <v>1</v>
      </c>
      <c r="AM3547">
        <v>100</v>
      </c>
      <c r="AN3547">
        <v>371.87819999999999</v>
      </c>
      <c r="AO3547">
        <v>0</v>
      </c>
      <c r="AP3547" s="13">
        <v>45576</v>
      </c>
      <c r="AQ3547">
        <v>-4</v>
      </c>
      <c r="AR3547">
        <v>1</v>
      </c>
    </row>
    <row r="3548" spans="1:44" x14ac:dyDescent="0.35">
      <c r="A3548" s="12" t="s">
        <v>4466</v>
      </c>
      <c r="B3548" s="12" t="s">
        <v>755</v>
      </c>
      <c r="C3548" s="12" t="s">
        <v>756</v>
      </c>
      <c r="D3548" s="12" t="s">
        <v>78</v>
      </c>
      <c r="E3548" s="12" t="s">
        <v>65</v>
      </c>
      <c r="F3548">
        <v>2</v>
      </c>
      <c r="G3548">
        <v>2</v>
      </c>
      <c r="H3548">
        <v>0</v>
      </c>
      <c r="I3548" s="12" t="s">
        <v>359</v>
      </c>
      <c r="J3548" s="12" t="s">
        <v>360</v>
      </c>
      <c r="K3548" s="12" t="s">
        <v>133</v>
      </c>
      <c r="L3548" s="12" t="s">
        <v>82</v>
      </c>
      <c r="M3548">
        <v>12.65</v>
      </c>
      <c r="N3548" s="12" t="s">
        <v>70</v>
      </c>
      <c r="O3548" s="12" t="s">
        <v>71</v>
      </c>
      <c r="P3548" s="12" t="s">
        <v>72</v>
      </c>
      <c r="Q3548" s="13">
        <v>45566</v>
      </c>
      <c r="R3548" s="13">
        <v>45597</v>
      </c>
      <c r="S3548">
        <v>2024</v>
      </c>
      <c r="T3548" s="12" t="s">
        <v>4461</v>
      </c>
      <c r="U3548">
        <v>190</v>
      </c>
      <c r="V3548">
        <v>43.122799999999998</v>
      </c>
      <c r="W3548">
        <v>65.209999999999994</v>
      </c>
      <c r="X3548">
        <v>0</v>
      </c>
      <c r="Y3548">
        <v>0</v>
      </c>
      <c r="Z3548">
        <v>8193.33</v>
      </c>
      <c r="AA3548">
        <v>8258.5400000000009</v>
      </c>
      <c r="AB3548" s="12" t="s">
        <v>3414</v>
      </c>
      <c r="AC3548">
        <v>43.122799999999998</v>
      </c>
      <c r="AD3548">
        <v>1</v>
      </c>
      <c r="AE3548">
        <v>1</v>
      </c>
      <c r="AF3548">
        <v>0</v>
      </c>
      <c r="AG3548">
        <v>8193.33</v>
      </c>
      <c r="AH3548">
        <v>190</v>
      </c>
      <c r="AI3548">
        <v>188</v>
      </c>
      <c r="AJ3548">
        <v>2</v>
      </c>
      <c r="AK3548">
        <v>1</v>
      </c>
      <c r="AL3548">
        <v>1</v>
      </c>
      <c r="AM3548">
        <v>98.95</v>
      </c>
      <c r="AN3548">
        <v>43.928400000000003</v>
      </c>
      <c r="AO3548">
        <v>86.25</v>
      </c>
      <c r="AP3548" s="13">
        <v>45597</v>
      </c>
      <c r="AQ3548">
        <v>0</v>
      </c>
      <c r="AR3548">
        <v>1</v>
      </c>
    </row>
    <row r="3549" spans="1:44" x14ac:dyDescent="0.35">
      <c r="A3549" s="12" t="s">
        <v>4467</v>
      </c>
      <c r="B3549" s="12" t="s">
        <v>823</v>
      </c>
      <c r="C3549" s="12" t="s">
        <v>824</v>
      </c>
      <c r="D3549" s="12" t="s">
        <v>114</v>
      </c>
      <c r="E3549" s="12" t="s">
        <v>142</v>
      </c>
      <c r="F3549">
        <v>1</v>
      </c>
      <c r="G3549">
        <v>8</v>
      </c>
      <c r="H3549">
        <v>1</v>
      </c>
      <c r="I3549" s="12" t="s">
        <v>515</v>
      </c>
      <c r="J3549" s="12" t="s">
        <v>516</v>
      </c>
      <c r="K3549" s="12" t="s">
        <v>68</v>
      </c>
      <c r="L3549" s="12" t="s">
        <v>134</v>
      </c>
      <c r="M3549">
        <v>3.69</v>
      </c>
      <c r="N3549" s="12" t="s">
        <v>97</v>
      </c>
      <c r="O3549" s="12" t="s">
        <v>98</v>
      </c>
      <c r="P3549" s="12" t="s">
        <v>72</v>
      </c>
      <c r="Q3549" s="13">
        <v>45566</v>
      </c>
      <c r="R3549" s="13">
        <v>45612</v>
      </c>
      <c r="S3549">
        <v>2024</v>
      </c>
      <c r="T3549" s="12" t="s">
        <v>4461</v>
      </c>
      <c r="U3549">
        <v>100</v>
      </c>
      <c r="V3549">
        <v>361.71230000000003</v>
      </c>
      <c r="W3549">
        <v>436.9</v>
      </c>
      <c r="X3549">
        <v>0</v>
      </c>
      <c r="Y3549">
        <v>0</v>
      </c>
      <c r="Z3549">
        <v>36171.230000000003</v>
      </c>
      <c r="AA3549">
        <v>36608.129999999997</v>
      </c>
      <c r="AB3549" s="12" t="s">
        <v>3483</v>
      </c>
      <c r="AC3549">
        <v>361.71230000000003</v>
      </c>
      <c r="AD3549">
        <v>1</v>
      </c>
      <c r="AE3549">
        <v>1</v>
      </c>
      <c r="AF3549">
        <v>0</v>
      </c>
      <c r="AG3549">
        <v>36171.230000000003</v>
      </c>
      <c r="AH3549">
        <v>100</v>
      </c>
      <c r="AI3549">
        <v>98</v>
      </c>
      <c r="AJ3549">
        <v>2</v>
      </c>
      <c r="AK3549">
        <v>1</v>
      </c>
      <c r="AL3549">
        <v>1</v>
      </c>
      <c r="AM3549">
        <v>98</v>
      </c>
      <c r="AN3549">
        <v>373.5523</v>
      </c>
      <c r="AO3549">
        <v>723.42</v>
      </c>
      <c r="AP3549" s="13">
        <v>45612</v>
      </c>
      <c r="AQ3549">
        <v>0</v>
      </c>
      <c r="AR3549">
        <v>1</v>
      </c>
    </row>
    <row r="3550" spans="1:44" x14ac:dyDescent="0.35">
      <c r="A3550" s="12" t="s">
        <v>4468</v>
      </c>
      <c r="B3550" s="12" t="s">
        <v>537</v>
      </c>
      <c r="C3550" s="12" t="s">
        <v>538</v>
      </c>
      <c r="D3550" s="12" t="s">
        <v>103</v>
      </c>
      <c r="E3550" s="12" t="s">
        <v>104</v>
      </c>
      <c r="F3550">
        <v>3</v>
      </c>
      <c r="G3550">
        <v>0</v>
      </c>
      <c r="H3550">
        <v>0</v>
      </c>
      <c r="I3550" s="12" t="s">
        <v>380</v>
      </c>
      <c r="J3550" s="12" t="s">
        <v>381</v>
      </c>
      <c r="K3550" s="12" t="s">
        <v>89</v>
      </c>
      <c r="L3550" s="12" t="s">
        <v>96</v>
      </c>
      <c r="M3550">
        <v>10.210000000000001</v>
      </c>
      <c r="N3550" s="12" t="s">
        <v>145</v>
      </c>
      <c r="O3550" s="12" t="s">
        <v>146</v>
      </c>
      <c r="P3550" s="12" t="s">
        <v>109</v>
      </c>
      <c r="Q3550" s="13">
        <v>45567</v>
      </c>
      <c r="R3550" s="13">
        <v>45580</v>
      </c>
      <c r="S3550">
        <v>2024</v>
      </c>
      <c r="T3550" s="12" t="s">
        <v>4461</v>
      </c>
      <c r="U3550">
        <v>23</v>
      </c>
      <c r="V3550">
        <v>242.5198</v>
      </c>
      <c r="W3550">
        <v>133.35</v>
      </c>
      <c r="X3550">
        <v>174.11</v>
      </c>
      <c r="Y3550">
        <v>1</v>
      </c>
      <c r="Z3550">
        <v>5577.96</v>
      </c>
      <c r="AA3550">
        <v>5885.42</v>
      </c>
      <c r="AB3550" s="12" t="s">
        <v>3095</v>
      </c>
      <c r="AC3550">
        <v>242.5198</v>
      </c>
      <c r="AD3550">
        <v>1</v>
      </c>
      <c r="AE3550">
        <v>1</v>
      </c>
      <c r="AF3550">
        <v>0</v>
      </c>
      <c r="AG3550">
        <v>5577.96</v>
      </c>
      <c r="AH3550">
        <v>23</v>
      </c>
      <c r="AI3550">
        <v>23</v>
      </c>
      <c r="AJ3550">
        <v>0</v>
      </c>
      <c r="AK3550">
        <v>1</v>
      </c>
      <c r="AL3550">
        <v>1</v>
      </c>
      <c r="AM3550">
        <v>100</v>
      </c>
      <c r="AN3550">
        <v>255.88759999999999</v>
      </c>
      <c r="AO3550">
        <v>0</v>
      </c>
      <c r="AP3550" s="13">
        <v>45578</v>
      </c>
      <c r="AQ3550">
        <v>-2</v>
      </c>
      <c r="AR3550">
        <v>1</v>
      </c>
    </row>
    <row r="3551" spans="1:44" x14ac:dyDescent="0.35">
      <c r="A3551" s="12" t="s">
        <v>4469</v>
      </c>
      <c r="B3551" s="12" t="s">
        <v>544</v>
      </c>
      <c r="C3551" s="12" t="s">
        <v>545</v>
      </c>
      <c r="D3551" s="12" t="s">
        <v>175</v>
      </c>
      <c r="E3551" s="12" t="s">
        <v>65</v>
      </c>
      <c r="F3551">
        <v>3</v>
      </c>
      <c r="G3551">
        <v>5</v>
      </c>
      <c r="H3551">
        <v>0</v>
      </c>
      <c r="I3551" s="12" t="s">
        <v>66</v>
      </c>
      <c r="J3551" s="12" t="s">
        <v>67</v>
      </c>
      <c r="K3551" s="12" t="s">
        <v>68</v>
      </c>
      <c r="L3551" s="12" t="s">
        <v>69</v>
      </c>
      <c r="M3551">
        <v>17.66</v>
      </c>
      <c r="N3551" s="12" t="s">
        <v>107</v>
      </c>
      <c r="O3551" s="12" t="s">
        <v>108</v>
      </c>
      <c r="P3551" s="12" t="s">
        <v>109</v>
      </c>
      <c r="Q3551" s="13">
        <v>45567</v>
      </c>
      <c r="R3551" s="13">
        <v>45592</v>
      </c>
      <c r="S3551">
        <v>2024</v>
      </c>
      <c r="T3551" s="12" t="s">
        <v>4461</v>
      </c>
      <c r="U3551">
        <v>43</v>
      </c>
      <c r="V3551">
        <v>156.761</v>
      </c>
      <c r="W3551">
        <v>60.82</v>
      </c>
      <c r="X3551">
        <v>0</v>
      </c>
      <c r="Y3551">
        <v>0</v>
      </c>
      <c r="Z3551">
        <v>6740.72</v>
      </c>
      <c r="AA3551">
        <v>6801.54</v>
      </c>
      <c r="AB3551" s="12" t="s">
        <v>201</v>
      </c>
      <c r="AD3551">
        <v>0</v>
      </c>
      <c r="AE3551">
        <v>0</v>
      </c>
      <c r="AH3551">
        <v>43</v>
      </c>
      <c r="AI3551">
        <v>43</v>
      </c>
      <c r="AJ3551">
        <v>0</v>
      </c>
      <c r="AK3551">
        <v>1</v>
      </c>
      <c r="AL3551">
        <v>1</v>
      </c>
      <c r="AM3551">
        <v>100</v>
      </c>
      <c r="AN3551">
        <v>158.1754</v>
      </c>
      <c r="AO3551">
        <v>0</v>
      </c>
      <c r="AP3551" s="13">
        <v>45590</v>
      </c>
      <c r="AQ3551">
        <v>-2</v>
      </c>
      <c r="AR3551">
        <v>1</v>
      </c>
    </row>
    <row r="3552" spans="1:44" x14ac:dyDescent="0.35">
      <c r="A3552" s="12" t="s">
        <v>4470</v>
      </c>
      <c r="B3552" s="12" t="s">
        <v>1108</v>
      </c>
      <c r="C3552" s="12" t="s">
        <v>1109</v>
      </c>
      <c r="D3552" s="12" t="s">
        <v>103</v>
      </c>
      <c r="E3552" s="12" t="s">
        <v>65</v>
      </c>
      <c r="F3552">
        <v>3</v>
      </c>
      <c r="G3552">
        <v>4</v>
      </c>
      <c r="H3552">
        <v>0</v>
      </c>
      <c r="I3552" s="12" t="s">
        <v>66</v>
      </c>
      <c r="J3552" s="12" t="s">
        <v>67</v>
      </c>
      <c r="K3552" s="12" t="s">
        <v>68</v>
      </c>
      <c r="L3552" s="12" t="s">
        <v>69</v>
      </c>
      <c r="M3552">
        <v>17.66</v>
      </c>
      <c r="N3552" s="12" t="s">
        <v>145</v>
      </c>
      <c r="O3552" s="12" t="s">
        <v>146</v>
      </c>
      <c r="P3552" s="12" t="s">
        <v>109</v>
      </c>
      <c r="Q3552" s="13">
        <v>45567</v>
      </c>
      <c r="R3552" s="13">
        <v>45601</v>
      </c>
      <c r="S3552">
        <v>2024</v>
      </c>
      <c r="T3552" s="12" t="s">
        <v>4461</v>
      </c>
      <c r="U3552">
        <v>118</v>
      </c>
      <c r="V3552">
        <v>97.226699999999994</v>
      </c>
      <c r="W3552">
        <v>258.07</v>
      </c>
      <c r="X3552">
        <v>0</v>
      </c>
      <c r="Y3552">
        <v>0</v>
      </c>
      <c r="Z3552">
        <v>11472.75</v>
      </c>
      <c r="AA3552">
        <v>11730.82</v>
      </c>
      <c r="AB3552" s="12" t="s">
        <v>201</v>
      </c>
      <c r="AD3552">
        <v>0</v>
      </c>
      <c r="AE3552">
        <v>0</v>
      </c>
      <c r="AH3552">
        <v>118</v>
      </c>
      <c r="AI3552">
        <v>118</v>
      </c>
      <c r="AJ3552">
        <v>0</v>
      </c>
      <c r="AK3552">
        <v>1</v>
      </c>
      <c r="AL3552">
        <v>1</v>
      </c>
      <c r="AM3552">
        <v>100</v>
      </c>
      <c r="AN3552">
        <v>99.413700000000006</v>
      </c>
      <c r="AO3552">
        <v>0</v>
      </c>
      <c r="AP3552" s="13">
        <v>45599</v>
      </c>
      <c r="AQ3552">
        <v>-2</v>
      </c>
      <c r="AR3552">
        <v>1</v>
      </c>
    </row>
    <row r="3553" spans="1:44" x14ac:dyDescent="0.35">
      <c r="A3553" s="12" t="s">
        <v>4471</v>
      </c>
      <c r="B3553" s="12" t="s">
        <v>416</v>
      </c>
      <c r="C3553" s="12" t="s">
        <v>417</v>
      </c>
      <c r="D3553" s="12" t="s">
        <v>78</v>
      </c>
      <c r="E3553" s="12" t="s">
        <v>65</v>
      </c>
      <c r="F3553">
        <v>3</v>
      </c>
      <c r="G3553">
        <v>5</v>
      </c>
      <c r="H3553">
        <v>0</v>
      </c>
      <c r="I3553" s="12" t="s">
        <v>169</v>
      </c>
      <c r="J3553" s="12" t="s">
        <v>170</v>
      </c>
      <c r="K3553" s="12" t="s">
        <v>89</v>
      </c>
      <c r="L3553" s="12" t="s">
        <v>134</v>
      </c>
      <c r="M3553">
        <v>1.37</v>
      </c>
      <c r="N3553" s="12" t="s">
        <v>70</v>
      </c>
      <c r="O3553" s="12" t="s">
        <v>71</v>
      </c>
      <c r="P3553" s="12" t="s">
        <v>72</v>
      </c>
      <c r="Q3553" s="13">
        <v>45567</v>
      </c>
      <c r="R3553" s="13">
        <v>45590</v>
      </c>
      <c r="S3553">
        <v>2024</v>
      </c>
      <c r="T3553" s="12" t="s">
        <v>4461</v>
      </c>
      <c r="U3553">
        <v>70</v>
      </c>
      <c r="V3553">
        <v>136.4109</v>
      </c>
      <c r="W3553">
        <v>81.93</v>
      </c>
      <c r="X3553">
        <v>0</v>
      </c>
      <c r="Y3553">
        <v>0</v>
      </c>
      <c r="Z3553">
        <v>9548.76</v>
      </c>
      <c r="AA3553">
        <v>9630.69</v>
      </c>
      <c r="AB3553" s="12" t="s">
        <v>2980</v>
      </c>
      <c r="AC3553">
        <v>136.4109</v>
      </c>
      <c r="AD3553">
        <v>1</v>
      </c>
      <c r="AE3553">
        <v>1</v>
      </c>
      <c r="AF3553">
        <v>0</v>
      </c>
      <c r="AG3553">
        <v>9548.76</v>
      </c>
      <c r="AH3553">
        <v>70</v>
      </c>
      <c r="AI3553">
        <v>69</v>
      </c>
      <c r="AJ3553">
        <v>1</v>
      </c>
      <c r="AK3553">
        <v>1</v>
      </c>
      <c r="AL3553">
        <v>1</v>
      </c>
      <c r="AM3553">
        <v>98.57</v>
      </c>
      <c r="AN3553">
        <v>139.5753</v>
      </c>
      <c r="AO3553">
        <v>136.41</v>
      </c>
      <c r="AP3553" s="13">
        <v>45590</v>
      </c>
      <c r="AQ3553">
        <v>0</v>
      </c>
      <c r="AR3553">
        <v>1</v>
      </c>
    </row>
    <row r="3554" spans="1:44" x14ac:dyDescent="0.35">
      <c r="A3554" s="12" t="s">
        <v>4472</v>
      </c>
      <c r="B3554" s="12" t="s">
        <v>472</v>
      </c>
      <c r="C3554" s="12" t="s">
        <v>473</v>
      </c>
      <c r="D3554" s="12" t="s">
        <v>122</v>
      </c>
      <c r="E3554" s="12" t="s">
        <v>142</v>
      </c>
      <c r="F3554">
        <v>2</v>
      </c>
      <c r="G3554">
        <v>9</v>
      </c>
      <c r="H3554">
        <v>0</v>
      </c>
      <c r="I3554" s="12" t="s">
        <v>209</v>
      </c>
      <c r="J3554" s="12" t="s">
        <v>210</v>
      </c>
      <c r="K3554" s="12" t="s">
        <v>133</v>
      </c>
      <c r="L3554" s="12" t="s">
        <v>96</v>
      </c>
      <c r="M3554">
        <v>7.82</v>
      </c>
      <c r="N3554" s="12" t="s">
        <v>70</v>
      </c>
      <c r="O3554" s="12" t="s">
        <v>71</v>
      </c>
      <c r="P3554" s="12" t="s">
        <v>72</v>
      </c>
      <c r="Q3554" s="13">
        <v>45567</v>
      </c>
      <c r="R3554" s="13">
        <v>45616</v>
      </c>
      <c r="S3554">
        <v>2024</v>
      </c>
      <c r="T3554" s="12" t="s">
        <v>4461</v>
      </c>
      <c r="U3554">
        <v>1667</v>
      </c>
      <c r="V3554">
        <v>46.789099999999998</v>
      </c>
      <c r="W3554">
        <v>490.86</v>
      </c>
      <c r="X3554">
        <v>0</v>
      </c>
      <c r="Y3554">
        <v>0</v>
      </c>
      <c r="Z3554">
        <v>77997.429999999993</v>
      </c>
      <c r="AA3554">
        <v>78488.289999999994</v>
      </c>
      <c r="AB3554" s="12" t="s">
        <v>2966</v>
      </c>
      <c r="AC3554">
        <v>46.789099999999998</v>
      </c>
      <c r="AD3554">
        <v>1</v>
      </c>
      <c r="AE3554">
        <v>1</v>
      </c>
      <c r="AF3554">
        <v>0</v>
      </c>
      <c r="AG3554">
        <v>77997.429999999993</v>
      </c>
      <c r="AH3554">
        <v>1667</v>
      </c>
      <c r="AI3554">
        <v>1655</v>
      </c>
      <c r="AJ3554">
        <v>12</v>
      </c>
      <c r="AK3554">
        <v>1</v>
      </c>
      <c r="AL3554">
        <v>1</v>
      </c>
      <c r="AM3554">
        <v>99.28</v>
      </c>
      <c r="AN3554">
        <v>47.424900000000001</v>
      </c>
      <c r="AO3554">
        <v>561.47</v>
      </c>
      <c r="AP3554" s="13">
        <v>45616</v>
      </c>
      <c r="AQ3554">
        <v>0</v>
      </c>
      <c r="AR3554">
        <v>1</v>
      </c>
    </row>
    <row r="3555" spans="1:44" x14ac:dyDescent="0.35">
      <c r="A3555" s="12" t="s">
        <v>4473</v>
      </c>
      <c r="B3555" s="12" t="s">
        <v>62</v>
      </c>
      <c r="C3555" s="12" t="s">
        <v>63</v>
      </c>
      <c r="D3555" s="12" t="s">
        <v>64</v>
      </c>
      <c r="E3555" s="12" t="s">
        <v>65</v>
      </c>
      <c r="F3555">
        <v>1</v>
      </c>
      <c r="G3555">
        <v>2</v>
      </c>
      <c r="H3555">
        <v>1</v>
      </c>
      <c r="I3555" s="12" t="s">
        <v>66</v>
      </c>
      <c r="J3555" s="12" t="s">
        <v>67</v>
      </c>
      <c r="K3555" s="12" t="s">
        <v>68</v>
      </c>
      <c r="L3555" s="12" t="s">
        <v>69</v>
      </c>
      <c r="M3555">
        <v>17.66</v>
      </c>
      <c r="N3555" s="12" t="s">
        <v>97</v>
      </c>
      <c r="O3555" s="12" t="s">
        <v>98</v>
      </c>
      <c r="P3555" s="12" t="s">
        <v>72</v>
      </c>
      <c r="Q3555" s="13">
        <v>45567</v>
      </c>
      <c r="R3555" s="13">
        <v>45605</v>
      </c>
      <c r="S3555">
        <v>2024</v>
      </c>
      <c r="T3555" s="12" t="s">
        <v>4461</v>
      </c>
      <c r="U3555">
        <v>961</v>
      </c>
      <c r="V3555">
        <v>26.032399999999999</v>
      </c>
      <c r="W3555">
        <v>280.55</v>
      </c>
      <c r="X3555">
        <v>0</v>
      </c>
      <c r="Y3555">
        <v>0</v>
      </c>
      <c r="Z3555">
        <v>25017.14</v>
      </c>
      <c r="AA3555">
        <v>25297.69</v>
      </c>
      <c r="AB3555" s="12" t="s">
        <v>201</v>
      </c>
      <c r="AD3555">
        <v>0</v>
      </c>
      <c r="AE3555">
        <v>0</v>
      </c>
      <c r="AH3555">
        <v>961</v>
      </c>
      <c r="AI3555">
        <v>946</v>
      </c>
      <c r="AJ3555">
        <v>15</v>
      </c>
      <c r="AK3555">
        <v>1</v>
      </c>
      <c r="AL3555">
        <v>1</v>
      </c>
      <c r="AM3555">
        <v>98.44</v>
      </c>
      <c r="AN3555">
        <v>26.741700000000002</v>
      </c>
      <c r="AO3555">
        <v>390.49</v>
      </c>
      <c r="AP3555" s="13">
        <v>45601</v>
      </c>
      <c r="AQ3555">
        <v>-4</v>
      </c>
      <c r="AR3555">
        <v>1</v>
      </c>
    </row>
    <row r="3556" spans="1:44" x14ac:dyDescent="0.35">
      <c r="A3556" s="12" t="s">
        <v>4474</v>
      </c>
      <c r="B3556" s="12" t="s">
        <v>617</v>
      </c>
      <c r="C3556" s="12" t="s">
        <v>618</v>
      </c>
      <c r="D3556" s="12" t="s">
        <v>78</v>
      </c>
      <c r="E3556" s="12" t="s">
        <v>65</v>
      </c>
      <c r="F3556">
        <v>2</v>
      </c>
      <c r="G3556">
        <v>4</v>
      </c>
      <c r="H3556">
        <v>0</v>
      </c>
      <c r="I3556" s="12" t="s">
        <v>341</v>
      </c>
      <c r="J3556" s="12" t="s">
        <v>342</v>
      </c>
      <c r="K3556" s="12" t="s">
        <v>117</v>
      </c>
      <c r="L3556" s="12" t="s">
        <v>82</v>
      </c>
      <c r="M3556">
        <v>18.36</v>
      </c>
      <c r="N3556" s="12" t="s">
        <v>97</v>
      </c>
      <c r="O3556" s="12" t="s">
        <v>98</v>
      </c>
      <c r="P3556" s="12" t="s">
        <v>72</v>
      </c>
      <c r="Q3556" s="13">
        <v>45567</v>
      </c>
      <c r="R3556" s="13">
        <v>45590</v>
      </c>
      <c r="S3556">
        <v>2024</v>
      </c>
      <c r="T3556" s="12" t="s">
        <v>4461</v>
      </c>
      <c r="U3556">
        <v>70</v>
      </c>
      <c r="V3556">
        <v>102.4909</v>
      </c>
      <c r="W3556">
        <v>178.73</v>
      </c>
      <c r="X3556">
        <v>0</v>
      </c>
      <c r="Y3556">
        <v>0</v>
      </c>
      <c r="Z3556">
        <v>7174.36</v>
      </c>
      <c r="AA3556">
        <v>7353.09</v>
      </c>
      <c r="AB3556" s="12" t="s">
        <v>3217</v>
      </c>
      <c r="AC3556">
        <v>102.4909</v>
      </c>
      <c r="AD3556">
        <v>1</v>
      </c>
      <c r="AE3556">
        <v>1</v>
      </c>
      <c r="AF3556">
        <v>0</v>
      </c>
      <c r="AG3556">
        <v>7174.36</v>
      </c>
      <c r="AH3556">
        <v>70</v>
      </c>
      <c r="AI3556">
        <v>69</v>
      </c>
      <c r="AJ3556">
        <v>1</v>
      </c>
      <c r="AK3556">
        <v>1</v>
      </c>
      <c r="AL3556">
        <v>1</v>
      </c>
      <c r="AM3556">
        <v>98.57</v>
      </c>
      <c r="AN3556">
        <v>106.56659999999999</v>
      </c>
      <c r="AO3556">
        <v>102.49</v>
      </c>
      <c r="AP3556" s="13">
        <v>45590</v>
      </c>
      <c r="AQ3556">
        <v>0</v>
      </c>
      <c r="AR3556">
        <v>1</v>
      </c>
    </row>
    <row r="3557" spans="1:44" x14ac:dyDescent="0.35">
      <c r="A3557" s="12" t="s">
        <v>4475</v>
      </c>
      <c r="B3557" s="12" t="s">
        <v>640</v>
      </c>
      <c r="C3557" s="12" t="s">
        <v>641</v>
      </c>
      <c r="D3557" s="12" t="s">
        <v>130</v>
      </c>
      <c r="E3557" s="12" t="s">
        <v>104</v>
      </c>
      <c r="F3557">
        <v>3</v>
      </c>
      <c r="G3557">
        <v>0</v>
      </c>
      <c r="H3557">
        <v>0</v>
      </c>
      <c r="I3557" s="12" t="s">
        <v>209</v>
      </c>
      <c r="J3557" s="12" t="s">
        <v>210</v>
      </c>
      <c r="K3557" s="12" t="s">
        <v>133</v>
      </c>
      <c r="L3557" s="12" t="s">
        <v>96</v>
      </c>
      <c r="M3557">
        <v>7.82</v>
      </c>
      <c r="N3557" s="12" t="s">
        <v>159</v>
      </c>
      <c r="O3557" s="12" t="s">
        <v>160</v>
      </c>
      <c r="P3557" s="12" t="s">
        <v>137</v>
      </c>
      <c r="Q3557" s="13">
        <v>45567</v>
      </c>
      <c r="R3557" s="13">
        <v>45591</v>
      </c>
      <c r="S3557">
        <v>2024</v>
      </c>
      <c r="T3557" s="12" t="s">
        <v>4461</v>
      </c>
      <c r="U3557">
        <v>104</v>
      </c>
      <c r="V3557">
        <v>977.20889999999997</v>
      </c>
      <c r="W3557">
        <v>2347.5500000000002</v>
      </c>
      <c r="X3557">
        <v>0</v>
      </c>
      <c r="Y3557">
        <v>0</v>
      </c>
      <c r="Z3557">
        <v>101629.73</v>
      </c>
      <c r="AA3557">
        <v>103977.28</v>
      </c>
      <c r="AB3557" s="12" t="s">
        <v>3211</v>
      </c>
      <c r="AC3557">
        <v>977.20889999999997</v>
      </c>
      <c r="AD3557">
        <v>1</v>
      </c>
      <c r="AE3557">
        <v>1</v>
      </c>
      <c r="AF3557">
        <v>0</v>
      </c>
      <c r="AG3557">
        <v>101629.73</v>
      </c>
      <c r="AH3557">
        <v>104</v>
      </c>
      <c r="AI3557">
        <v>103</v>
      </c>
      <c r="AJ3557">
        <v>1</v>
      </c>
      <c r="AK3557">
        <v>1</v>
      </c>
      <c r="AL3557">
        <v>1</v>
      </c>
      <c r="AM3557">
        <v>99.04</v>
      </c>
      <c r="AN3557">
        <v>1009.4881</v>
      </c>
      <c r="AO3557">
        <v>977.21</v>
      </c>
      <c r="AP3557" s="13">
        <v>45590</v>
      </c>
      <c r="AQ3557">
        <v>-1</v>
      </c>
      <c r="AR3557">
        <v>1</v>
      </c>
    </row>
    <row r="3558" spans="1:44" x14ac:dyDescent="0.35">
      <c r="A3558" s="12" t="s">
        <v>4476</v>
      </c>
      <c r="B3558" s="12" t="s">
        <v>587</v>
      </c>
      <c r="C3558" s="12" t="s">
        <v>588</v>
      </c>
      <c r="D3558" s="12" t="s">
        <v>122</v>
      </c>
      <c r="E3558" s="12" t="s">
        <v>104</v>
      </c>
      <c r="F3558">
        <v>2</v>
      </c>
      <c r="G3558">
        <v>0</v>
      </c>
      <c r="H3558">
        <v>0</v>
      </c>
      <c r="I3558" s="12" t="s">
        <v>94</v>
      </c>
      <c r="J3558" s="12" t="s">
        <v>95</v>
      </c>
      <c r="K3558" s="12" t="s">
        <v>81</v>
      </c>
      <c r="L3558" s="12" t="s">
        <v>96</v>
      </c>
      <c r="M3558">
        <v>4.8099999999999996</v>
      </c>
      <c r="N3558" s="12" t="s">
        <v>97</v>
      </c>
      <c r="O3558" s="12" t="s">
        <v>98</v>
      </c>
      <c r="P3558" s="12" t="s">
        <v>72</v>
      </c>
      <c r="Q3558" s="13">
        <v>45567</v>
      </c>
      <c r="R3558" s="13">
        <v>45594</v>
      </c>
      <c r="S3558">
        <v>2024</v>
      </c>
      <c r="T3558" s="12" t="s">
        <v>4461</v>
      </c>
      <c r="U3558">
        <v>1774</v>
      </c>
      <c r="V3558">
        <v>12.5105</v>
      </c>
      <c r="W3558">
        <v>141.47</v>
      </c>
      <c r="X3558">
        <v>0</v>
      </c>
      <c r="Y3558">
        <v>0</v>
      </c>
      <c r="Z3558">
        <v>22193.63</v>
      </c>
      <c r="AA3558">
        <v>22335.1</v>
      </c>
      <c r="AB3558" s="12" t="s">
        <v>3105</v>
      </c>
      <c r="AC3558">
        <v>12.5105</v>
      </c>
      <c r="AD3558">
        <v>1</v>
      </c>
      <c r="AE3558">
        <v>1</v>
      </c>
      <c r="AF3558">
        <v>0</v>
      </c>
      <c r="AG3558">
        <v>22193.63</v>
      </c>
      <c r="AH3558">
        <v>1774</v>
      </c>
      <c r="AI3558">
        <v>1756</v>
      </c>
      <c r="AJ3558">
        <v>18</v>
      </c>
      <c r="AK3558">
        <v>1</v>
      </c>
      <c r="AL3558">
        <v>1</v>
      </c>
      <c r="AM3558">
        <v>98.99</v>
      </c>
      <c r="AN3558">
        <v>12.7193</v>
      </c>
      <c r="AO3558">
        <v>225.19</v>
      </c>
      <c r="AP3558" s="13">
        <v>45592</v>
      </c>
      <c r="AQ3558">
        <v>-2</v>
      </c>
      <c r="AR3558">
        <v>1</v>
      </c>
    </row>
    <row r="3559" spans="1:44" x14ac:dyDescent="0.35">
      <c r="A3559" s="12" t="s">
        <v>4477</v>
      </c>
      <c r="B3559" s="12" t="s">
        <v>85</v>
      </c>
      <c r="C3559" s="12" t="s">
        <v>86</v>
      </c>
      <c r="D3559" s="12" t="s">
        <v>78</v>
      </c>
      <c r="E3559" s="12" t="s">
        <v>65</v>
      </c>
      <c r="F3559">
        <v>3</v>
      </c>
      <c r="G3559">
        <v>5</v>
      </c>
      <c r="H3559">
        <v>0</v>
      </c>
      <c r="I3559" s="12" t="s">
        <v>87</v>
      </c>
      <c r="J3559" s="12" t="s">
        <v>88</v>
      </c>
      <c r="K3559" s="12" t="s">
        <v>89</v>
      </c>
      <c r="L3559" s="12" t="s">
        <v>69</v>
      </c>
      <c r="M3559">
        <v>14.93</v>
      </c>
      <c r="N3559" s="12" t="s">
        <v>70</v>
      </c>
      <c r="O3559" s="12" t="s">
        <v>71</v>
      </c>
      <c r="P3559" s="12" t="s">
        <v>72</v>
      </c>
      <c r="Q3559" s="13">
        <v>45567</v>
      </c>
      <c r="R3559" s="13">
        <v>45589</v>
      </c>
      <c r="S3559">
        <v>2024</v>
      </c>
      <c r="T3559" s="12" t="s">
        <v>4461</v>
      </c>
      <c r="U3559">
        <v>60</v>
      </c>
      <c r="V3559">
        <v>139.59649999999999</v>
      </c>
      <c r="W3559">
        <v>99.85</v>
      </c>
      <c r="X3559">
        <v>0</v>
      </c>
      <c r="Y3559">
        <v>0</v>
      </c>
      <c r="Z3559">
        <v>8375.7900000000009</v>
      </c>
      <c r="AA3559">
        <v>8475.64</v>
      </c>
      <c r="AB3559" s="12" t="s">
        <v>2621</v>
      </c>
      <c r="AC3559">
        <v>139.59649999999999</v>
      </c>
      <c r="AD3559">
        <v>1</v>
      </c>
      <c r="AE3559">
        <v>1</v>
      </c>
      <c r="AF3559">
        <v>0</v>
      </c>
      <c r="AG3559">
        <v>8375.7900000000009</v>
      </c>
      <c r="AH3559">
        <v>60</v>
      </c>
      <c r="AI3559">
        <v>60</v>
      </c>
      <c r="AJ3559">
        <v>0</v>
      </c>
      <c r="AK3559">
        <v>1</v>
      </c>
      <c r="AL3559">
        <v>1</v>
      </c>
      <c r="AM3559">
        <v>100</v>
      </c>
      <c r="AN3559">
        <v>141.26070000000001</v>
      </c>
      <c r="AO3559">
        <v>0</v>
      </c>
      <c r="AP3559" s="13">
        <v>45588</v>
      </c>
      <c r="AQ3559">
        <v>-1</v>
      </c>
      <c r="AR3559">
        <v>1</v>
      </c>
    </row>
    <row r="3560" spans="1:44" x14ac:dyDescent="0.35">
      <c r="A3560" s="12" t="s">
        <v>4478</v>
      </c>
      <c r="B3560" s="12" t="s">
        <v>972</v>
      </c>
      <c r="C3560" s="12" t="s">
        <v>973</v>
      </c>
      <c r="D3560" s="12" t="s">
        <v>130</v>
      </c>
      <c r="E3560" s="12" t="s">
        <v>142</v>
      </c>
      <c r="F3560">
        <v>2</v>
      </c>
      <c r="G3560">
        <v>9</v>
      </c>
      <c r="H3560">
        <v>0</v>
      </c>
      <c r="I3560" s="12" t="s">
        <v>676</v>
      </c>
      <c r="J3560" s="12" t="s">
        <v>677</v>
      </c>
      <c r="K3560" s="12" t="s">
        <v>68</v>
      </c>
      <c r="L3560" s="12" t="s">
        <v>96</v>
      </c>
      <c r="M3560">
        <v>3.57</v>
      </c>
      <c r="N3560" s="12" t="s">
        <v>135</v>
      </c>
      <c r="O3560" s="12" t="s">
        <v>136</v>
      </c>
      <c r="P3560" s="12" t="s">
        <v>137</v>
      </c>
      <c r="Q3560" s="13">
        <v>45567</v>
      </c>
      <c r="R3560" s="13">
        <v>45614</v>
      </c>
      <c r="S3560">
        <v>2024</v>
      </c>
      <c r="T3560" s="12" t="s">
        <v>4461</v>
      </c>
      <c r="U3560">
        <v>105</v>
      </c>
      <c r="V3560">
        <v>841.25639999999999</v>
      </c>
      <c r="W3560">
        <v>1693.46</v>
      </c>
      <c r="X3560">
        <v>0</v>
      </c>
      <c r="Y3560">
        <v>0</v>
      </c>
      <c r="Z3560">
        <v>88331.92</v>
      </c>
      <c r="AA3560">
        <v>90025.38</v>
      </c>
      <c r="AB3560" s="12" t="s">
        <v>3546</v>
      </c>
      <c r="AC3560">
        <v>841.25639999999999</v>
      </c>
      <c r="AD3560">
        <v>1</v>
      </c>
      <c r="AE3560">
        <v>1</v>
      </c>
      <c r="AF3560">
        <v>0</v>
      </c>
      <c r="AG3560">
        <v>88331.92</v>
      </c>
      <c r="AH3560">
        <v>105</v>
      </c>
      <c r="AI3560">
        <v>105</v>
      </c>
      <c r="AJ3560">
        <v>0</v>
      </c>
      <c r="AK3560">
        <v>1</v>
      </c>
      <c r="AL3560">
        <v>1</v>
      </c>
      <c r="AM3560">
        <v>100</v>
      </c>
      <c r="AN3560">
        <v>857.38459999999998</v>
      </c>
      <c r="AO3560">
        <v>0</v>
      </c>
      <c r="AP3560" s="13">
        <v>45621</v>
      </c>
      <c r="AQ3560">
        <v>7</v>
      </c>
      <c r="AR3560">
        <v>0</v>
      </c>
    </row>
    <row r="3561" spans="1:44" x14ac:dyDescent="0.35">
      <c r="A3561" s="12" t="s">
        <v>4479</v>
      </c>
      <c r="B3561" s="12" t="s">
        <v>680</v>
      </c>
      <c r="C3561" s="12" t="s">
        <v>681</v>
      </c>
      <c r="D3561" s="12" t="s">
        <v>122</v>
      </c>
      <c r="E3561" s="12" t="s">
        <v>104</v>
      </c>
      <c r="F3561">
        <v>3</v>
      </c>
      <c r="G3561">
        <v>1</v>
      </c>
      <c r="H3561">
        <v>0</v>
      </c>
      <c r="I3561" s="12" t="s">
        <v>227</v>
      </c>
      <c r="J3561" s="12" t="s">
        <v>228</v>
      </c>
      <c r="K3561" s="12" t="s">
        <v>89</v>
      </c>
      <c r="L3561" s="12" t="s">
        <v>96</v>
      </c>
      <c r="M3561">
        <v>9.15</v>
      </c>
      <c r="N3561" s="12" t="s">
        <v>70</v>
      </c>
      <c r="O3561" s="12" t="s">
        <v>71</v>
      </c>
      <c r="P3561" s="12" t="s">
        <v>72</v>
      </c>
      <c r="Q3561" s="13">
        <v>45568</v>
      </c>
      <c r="R3561" s="13">
        <v>45593</v>
      </c>
      <c r="S3561">
        <v>2024</v>
      </c>
      <c r="T3561" s="12" t="s">
        <v>4461</v>
      </c>
      <c r="U3561">
        <v>1528</v>
      </c>
      <c r="V3561">
        <v>24.058399999999999</v>
      </c>
      <c r="W3561">
        <v>258.58</v>
      </c>
      <c r="X3561">
        <v>0</v>
      </c>
      <c r="Y3561">
        <v>0</v>
      </c>
      <c r="Z3561">
        <v>36761.24</v>
      </c>
      <c r="AA3561">
        <v>37019.82</v>
      </c>
      <c r="AB3561" s="12" t="s">
        <v>201</v>
      </c>
      <c r="AD3561">
        <v>0</v>
      </c>
      <c r="AE3561">
        <v>0</v>
      </c>
      <c r="AH3561">
        <v>1528</v>
      </c>
      <c r="AI3561">
        <v>1514</v>
      </c>
      <c r="AJ3561">
        <v>14</v>
      </c>
      <c r="AK3561">
        <v>1</v>
      </c>
      <c r="AL3561">
        <v>1</v>
      </c>
      <c r="AM3561">
        <v>99.08</v>
      </c>
      <c r="AN3561">
        <v>24.451699999999999</v>
      </c>
      <c r="AO3561">
        <v>336.82</v>
      </c>
      <c r="AP3561" s="13">
        <v>45591</v>
      </c>
      <c r="AQ3561">
        <v>-2</v>
      </c>
      <c r="AR3561">
        <v>1</v>
      </c>
    </row>
    <row r="3562" spans="1:44" x14ac:dyDescent="0.35">
      <c r="A3562" s="12" t="s">
        <v>4480</v>
      </c>
      <c r="B3562" s="12" t="s">
        <v>537</v>
      </c>
      <c r="C3562" s="12" t="s">
        <v>538</v>
      </c>
      <c r="D3562" s="12" t="s">
        <v>103</v>
      </c>
      <c r="E3562" s="12" t="s">
        <v>104</v>
      </c>
      <c r="F3562">
        <v>3</v>
      </c>
      <c r="G3562">
        <v>0</v>
      </c>
      <c r="H3562">
        <v>0</v>
      </c>
      <c r="I3562" s="12" t="s">
        <v>380</v>
      </c>
      <c r="J3562" s="12" t="s">
        <v>381</v>
      </c>
      <c r="K3562" s="12" t="s">
        <v>89</v>
      </c>
      <c r="L3562" s="12" t="s">
        <v>96</v>
      </c>
      <c r="M3562">
        <v>10.210000000000001</v>
      </c>
      <c r="N3562" s="12" t="s">
        <v>145</v>
      </c>
      <c r="O3562" s="12" t="s">
        <v>146</v>
      </c>
      <c r="P3562" s="12" t="s">
        <v>109</v>
      </c>
      <c r="Q3562" s="13">
        <v>45568</v>
      </c>
      <c r="R3562" s="13">
        <v>45596</v>
      </c>
      <c r="S3562">
        <v>2024</v>
      </c>
      <c r="T3562" s="12" t="s">
        <v>4461</v>
      </c>
      <c r="U3562">
        <v>141</v>
      </c>
      <c r="V3562">
        <v>242.5198</v>
      </c>
      <c r="W3562">
        <v>408.63</v>
      </c>
      <c r="X3562">
        <v>0</v>
      </c>
      <c r="Y3562">
        <v>0</v>
      </c>
      <c r="Z3562">
        <v>34195.29</v>
      </c>
      <c r="AA3562">
        <v>34603.919999999998</v>
      </c>
      <c r="AB3562" s="12" t="s">
        <v>3095</v>
      </c>
      <c r="AC3562">
        <v>242.5198</v>
      </c>
      <c r="AD3562">
        <v>1</v>
      </c>
      <c r="AE3562">
        <v>1</v>
      </c>
      <c r="AF3562">
        <v>0</v>
      </c>
      <c r="AG3562">
        <v>34195.29</v>
      </c>
      <c r="AH3562">
        <v>141</v>
      </c>
      <c r="AI3562">
        <v>140</v>
      </c>
      <c r="AJ3562">
        <v>1</v>
      </c>
      <c r="AK3562">
        <v>1</v>
      </c>
      <c r="AL3562">
        <v>1</v>
      </c>
      <c r="AM3562">
        <v>99.29</v>
      </c>
      <c r="AN3562">
        <v>247.17089999999999</v>
      </c>
      <c r="AO3562">
        <v>242.52</v>
      </c>
      <c r="AP3562" s="13">
        <v>45596</v>
      </c>
      <c r="AQ3562">
        <v>0</v>
      </c>
      <c r="AR3562">
        <v>1</v>
      </c>
    </row>
    <row r="3563" spans="1:44" x14ac:dyDescent="0.35">
      <c r="A3563" s="12" t="s">
        <v>4481</v>
      </c>
      <c r="B3563" s="12" t="s">
        <v>404</v>
      </c>
      <c r="C3563" s="12" t="s">
        <v>405</v>
      </c>
      <c r="D3563" s="12" t="s">
        <v>269</v>
      </c>
      <c r="E3563" s="12" t="s">
        <v>65</v>
      </c>
      <c r="F3563">
        <v>3</v>
      </c>
      <c r="G3563">
        <v>5</v>
      </c>
      <c r="H3563">
        <v>0</v>
      </c>
      <c r="I3563" s="12" t="s">
        <v>209</v>
      </c>
      <c r="J3563" s="12" t="s">
        <v>210</v>
      </c>
      <c r="K3563" s="12" t="s">
        <v>133</v>
      </c>
      <c r="L3563" s="12" t="s">
        <v>96</v>
      </c>
      <c r="M3563">
        <v>7.82</v>
      </c>
      <c r="N3563" s="12" t="s">
        <v>159</v>
      </c>
      <c r="O3563" s="12" t="s">
        <v>160</v>
      </c>
      <c r="P3563" s="12" t="s">
        <v>137</v>
      </c>
      <c r="Q3563" s="13">
        <v>45568</v>
      </c>
      <c r="R3563" s="13">
        <v>45593</v>
      </c>
      <c r="S3563">
        <v>2024</v>
      </c>
      <c r="T3563" s="12" t="s">
        <v>4461</v>
      </c>
      <c r="U3563">
        <v>46</v>
      </c>
      <c r="V3563">
        <v>430.1182</v>
      </c>
      <c r="W3563">
        <v>514.26</v>
      </c>
      <c r="X3563">
        <v>0</v>
      </c>
      <c r="Y3563">
        <v>0</v>
      </c>
      <c r="Z3563">
        <v>19785.439999999999</v>
      </c>
      <c r="AA3563">
        <v>20299.7</v>
      </c>
      <c r="AB3563" s="12" t="s">
        <v>3172</v>
      </c>
      <c r="AC3563">
        <v>430.1182</v>
      </c>
      <c r="AD3563">
        <v>1</v>
      </c>
      <c r="AE3563">
        <v>1</v>
      </c>
      <c r="AF3563">
        <v>0</v>
      </c>
      <c r="AG3563">
        <v>19785.439999999999</v>
      </c>
      <c r="AH3563">
        <v>46</v>
      </c>
      <c r="AI3563">
        <v>45</v>
      </c>
      <c r="AJ3563">
        <v>1</v>
      </c>
      <c r="AK3563">
        <v>1</v>
      </c>
      <c r="AL3563">
        <v>1</v>
      </c>
      <c r="AM3563">
        <v>97.83</v>
      </c>
      <c r="AN3563">
        <v>451.1044</v>
      </c>
      <c r="AO3563">
        <v>430.12</v>
      </c>
      <c r="AP3563" s="13">
        <v>45590</v>
      </c>
      <c r="AQ3563">
        <v>-3</v>
      </c>
      <c r="AR3563">
        <v>1</v>
      </c>
    </row>
    <row r="3564" spans="1:44" x14ac:dyDescent="0.35">
      <c r="A3564" s="12" t="s">
        <v>4482</v>
      </c>
      <c r="B3564" s="12" t="s">
        <v>1108</v>
      </c>
      <c r="C3564" s="12" t="s">
        <v>1109</v>
      </c>
      <c r="D3564" s="12" t="s">
        <v>103</v>
      </c>
      <c r="E3564" s="12" t="s">
        <v>65</v>
      </c>
      <c r="F3564">
        <v>3</v>
      </c>
      <c r="G3564">
        <v>4</v>
      </c>
      <c r="H3564">
        <v>0</v>
      </c>
      <c r="I3564" s="12" t="s">
        <v>79</v>
      </c>
      <c r="J3564" s="12" t="s">
        <v>80</v>
      </c>
      <c r="K3564" s="12" t="s">
        <v>81</v>
      </c>
      <c r="L3564" s="12" t="s">
        <v>82</v>
      </c>
      <c r="M3564">
        <v>12.07</v>
      </c>
      <c r="N3564" s="12" t="s">
        <v>107</v>
      </c>
      <c r="O3564" s="12" t="s">
        <v>108</v>
      </c>
      <c r="P3564" s="12" t="s">
        <v>109</v>
      </c>
      <c r="Q3564" s="13">
        <v>45568</v>
      </c>
      <c r="R3564" s="13">
        <v>45604</v>
      </c>
      <c r="S3564">
        <v>2024</v>
      </c>
      <c r="T3564" s="12" t="s">
        <v>4461</v>
      </c>
      <c r="U3564">
        <v>130</v>
      </c>
      <c r="V3564">
        <v>85.889600000000002</v>
      </c>
      <c r="W3564">
        <v>275.94</v>
      </c>
      <c r="X3564">
        <v>0</v>
      </c>
      <c r="Y3564">
        <v>0</v>
      </c>
      <c r="Z3564">
        <v>11165.65</v>
      </c>
      <c r="AA3564">
        <v>11441.59</v>
      </c>
      <c r="AB3564" s="12" t="s">
        <v>3269</v>
      </c>
      <c r="AC3564">
        <v>85.889600000000002</v>
      </c>
      <c r="AD3564">
        <v>1</v>
      </c>
      <c r="AE3564">
        <v>1</v>
      </c>
      <c r="AF3564">
        <v>0</v>
      </c>
      <c r="AG3564">
        <v>11165.65</v>
      </c>
      <c r="AH3564">
        <v>130</v>
      </c>
      <c r="AI3564">
        <v>129</v>
      </c>
      <c r="AJ3564">
        <v>1</v>
      </c>
      <c r="AK3564">
        <v>1</v>
      </c>
      <c r="AL3564">
        <v>1</v>
      </c>
      <c r="AM3564">
        <v>99.23</v>
      </c>
      <c r="AN3564">
        <v>88.694500000000005</v>
      </c>
      <c r="AO3564">
        <v>85.89</v>
      </c>
      <c r="AP3564" s="13">
        <v>45604</v>
      </c>
      <c r="AQ3564">
        <v>0</v>
      </c>
      <c r="AR3564">
        <v>1</v>
      </c>
    </row>
    <row r="3565" spans="1:44" x14ac:dyDescent="0.35">
      <c r="A3565" s="12" t="s">
        <v>4483</v>
      </c>
      <c r="B3565" s="12" t="s">
        <v>1068</v>
      </c>
      <c r="C3565" s="12" t="s">
        <v>1069</v>
      </c>
      <c r="D3565" s="12" t="s">
        <v>122</v>
      </c>
      <c r="E3565" s="12" t="s">
        <v>65</v>
      </c>
      <c r="F3565">
        <v>2</v>
      </c>
      <c r="G3565">
        <v>2</v>
      </c>
      <c r="H3565">
        <v>0</v>
      </c>
      <c r="I3565" s="12" t="s">
        <v>79</v>
      </c>
      <c r="J3565" s="12" t="s">
        <v>80</v>
      </c>
      <c r="K3565" s="12" t="s">
        <v>81</v>
      </c>
      <c r="L3565" s="12" t="s">
        <v>82</v>
      </c>
      <c r="M3565">
        <v>12.07</v>
      </c>
      <c r="N3565" s="12" t="s">
        <v>97</v>
      </c>
      <c r="O3565" s="12" t="s">
        <v>98</v>
      </c>
      <c r="P3565" s="12" t="s">
        <v>72</v>
      </c>
      <c r="Q3565" s="13">
        <v>45568</v>
      </c>
      <c r="R3565" s="13">
        <v>45594</v>
      </c>
      <c r="S3565">
        <v>2024</v>
      </c>
      <c r="T3565" s="12" t="s">
        <v>4461</v>
      </c>
      <c r="U3565">
        <v>770</v>
      </c>
      <c r="V3565">
        <v>21.277999999999999</v>
      </c>
      <c r="W3565">
        <v>375.4</v>
      </c>
      <c r="X3565">
        <v>0</v>
      </c>
      <c r="Y3565">
        <v>0</v>
      </c>
      <c r="Z3565">
        <v>16384.060000000001</v>
      </c>
      <c r="AA3565">
        <v>16759.46</v>
      </c>
      <c r="AB3565" s="12" t="s">
        <v>3113</v>
      </c>
      <c r="AC3565">
        <v>21.277999999999999</v>
      </c>
      <c r="AD3565">
        <v>1</v>
      </c>
      <c r="AE3565">
        <v>1</v>
      </c>
      <c r="AF3565">
        <v>0</v>
      </c>
      <c r="AG3565">
        <v>16384.060000000001</v>
      </c>
      <c r="AH3565">
        <v>770</v>
      </c>
      <c r="AI3565">
        <v>766</v>
      </c>
      <c r="AJ3565">
        <v>4</v>
      </c>
      <c r="AK3565">
        <v>1</v>
      </c>
      <c r="AL3565">
        <v>1</v>
      </c>
      <c r="AM3565">
        <v>99.48</v>
      </c>
      <c r="AN3565">
        <v>21.879200000000001</v>
      </c>
      <c r="AO3565">
        <v>85.11</v>
      </c>
      <c r="AP3565" s="13">
        <v>45591</v>
      </c>
      <c r="AQ3565">
        <v>-3</v>
      </c>
      <c r="AR3565">
        <v>1</v>
      </c>
    </row>
    <row r="3566" spans="1:44" x14ac:dyDescent="0.35">
      <c r="A3566" s="12" t="s">
        <v>4484</v>
      </c>
      <c r="B3566" s="12" t="s">
        <v>249</v>
      </c>
      <c r="C3566" s="12" t="s">
        <v>250</v>
      </c>
      <c r="D3566" s="12" t="s">
        <v>64</v>
      </c>
      <c r="E3566" s="12" t="s">
        <v>65</v>
      </c>
      <c r="F3566">
        <v>2</v>
      </c>
      <c r="G3566">
        <v>3</v>
      </c>
      <c r="H3566">
        <v>0</v>
      </c>
      <c r="I3566" s="12" t="s">
        <v>183</v>
      </c>
      <c r="J3566" s="12" t="s">
        <v>184</v>
      </c>
      <c r="K3566" s="12" t="s">
        <v>133</v>
      </c>
      <c r="L3566" s="12" t="s">
        <v>82</v>
      </c>
      <c r="M3566">
        <v>8.6199999999999992</v>
      </c>
      <c r="N3566" s="12" t="s">
        <v>97</v>
      </c>
      <c r="O3566" s="12" t="s">
        <v>98</v>
      </c>
      <c r="P3566" s="12" t="s">
        <v>72</v>
      </c>
      <c r="Q3566" s="13">
        <v>45568</v>
      </c>
      <c r="R3566" s="13">
        <v>45602</v>
      </c>
      <c r="S3566">
        <v>2024</v>
      </c>
      <c r="T3566" s="12" t="s">
        <v>4461</v>
      </c>
      <c r="U3566">
        <v>754</v>
      </c>
      <c r="V3566">
        <v>9.8707999999999991</v>
      </c>
      <c r="W3566">
        <v>154.69999999999999</v>
      </c>
      <c r="X3566">
        <v>0</v>
      </c>
      <c r="Y3566">
        <v>0</v>
      </c>
      <c r="Z3566">
        <v>7442.58</v>
      </c>
      <c r="AA3566">
        <v>7597.28</v>
      </c>
      <c r="AB3566" s="12" t="s">
        <v>4485</v>
      </c>
      <c r="AC3566">
        <v>9.8707999999999991</v>
      </c>
      <c r="AD3566">
        <v>1</v>
      </c>
      <c r="AE3566">
        <v>1</v>
      </c>
      <c r="AF3566">
        <v>0</v>
      </c>
      <c r="AG3566">
        <v>7442.58</v>
      </c>
      <c r="AH3566">
        <v>754</v>
      </c>
      <c r="AI3566">
        <v>748</v>
      </c>
      <c r="AJ3566">
        <v>6</v>
      </c>
      <c r="AK3566">
        <v>1</v>
      </c>
      <c r="AL3566">
        <v>1</v>
      </c>
      <c r="AM3566">
        <v>99.2</v>
      </c>
      <c r="AN3566">
        <v>10.1568</v>
      </c>
      <c r="AO3566">
        <v>59.22</v>
      </c>
      <c r="AP3566" s="13">
        <v>45601</v>
      </c>
      <c r="AQ3566">
        <v>-1</v>
      </c>
      <c r="AR3566">
        <v>1</v>
      </c>
    </row>
    <row r="3567" spans="1:44" x14ac:dyDescent="0.35">
      <c r="A3567" s="12" t="s">
        <v>4486</v>
      </c>
      <c r="B3567" s="12" t="s">
        <v>420</v>
      </c>
      <c r="C3567" s="12" t="s">
        <v>421</v>
      </c>
      <c r="D3567" s="12" t="s">
        <v>269</v>
      </c>
      <c r="E3567" s="12" t="s">
        <v>104</v>
      </c>
      <c r="F3567">
        <v>2</v>
      </c>
      <c r="G3567">
        <v>0</v>
      </c>
      <c r="H3567">
        <v>0</v>
      </c>
      <c r="I3567" s="12" t="s">
        <v>335</v>
      </c>
      <c r="J3567" s="12" t="s">
        <v>336</v>
      </c>
      <c r="K3567" s="12" t="s">
        <v>89</v>
      </c>
      <c r="L3567" s="12" t="s">
        <v>82</v>
      </c>
      <c r="M3567">
        <v>16</v>
      </c>
      <c r="N3567" s="12" t="s">
        <v>159</v>
      </c>
      <c r="O3567" s="12" t="s">
        <v>160</v>
      </c>
      <c r="P3567" s="12" t="s">
        <v>137</v>
      </c>
      <c r="Q3567" s="13">
        <v>45568</v>
      </c>
      <c r="R3567" s="13">
        <v>45586</v>
      </c>
      <c r="S3567">
        <v>2024</v>
      </c>
      <c r="T3567" s="12" t="s">
        <v>4461</v>
      </c>
      <c r="U3567">
        <v>57</v>
      </c>
      <c r="V3567">
        <v>146.46350000000001</v>
      </c>
      <c r="W3567">
        <v>108.92</v>
      </c>
      <c r="X3567">
        <v>0</v>
      </c>
      <c r="Y3567">
        <v>0</v>
      </c>
      <c r="Z3567">
        <v>8348.42</v>
      </c>
      <c r="AA3567">
        <v>8457.34</v>
      </c>
      <c r="AB3567" s="12" t="s">
        <v>3027</v>
      </c>
      <c r="AC3567">
        <v>146.46350000000001</v>
      </c>
      <c r="AD3567">
        <v>1</v>
      </c>
      <c r="AE3567">
        <v>1</v>
      </c>
      <c r="AF3567">
        <v>0</v>
      </c>
      <c r="AG3567">
        <v>8348.42</v>
      </c>
      <c r="AH3567">
        <v>57</v>
      </c>
      <c r="AI3567">
        <v>56</v>
      </c>
      <c r="AJ3567">
        <v>1</v>
      </c>
      <c r="AK3567">
        <v>1</v>
      </c>
      <c r="AL3567">
        <v>1</v>
      </c>
      <c r="AM3567">
        <v>98.25</v>
      </c>
      <c r="AN3567">
        <v>151.0239</v>
      </c>
      <c r="AO3567">
        <v>146.46</v>
      </c>
      <c r="AP3567" s="13">
        <v>45585</v>
      </c>
      <c r="AQ3567">
        <v>-1</v>
      </c>
      <c r="AR3567">
        <v>1</v>
      </c>
    </row>
    <row r="3568" spans="1:44" x14ac:dyDescent="0.35">
      <c r="A3568" s="12" t="s">
        <v>4487</v>
      </c>
      <c r="B3568" s="12" t="s">
        <v>92</v>
      </c>
      <c r="C3568" s="12" t="s">
        <v>93</v>
      </c>
      <c r="D3568" s="12" t="s">
        <v>64</v>
      </c>
      <c r="E3568" s="12" t="s">
        <v>65</v>
      </c>
      <c r="F3568">
        <v>3</v>
      </c>
      <c r="G3568">
        <v>5</v>
      </c>
      <c r="H3568">
        <v>0</v>
      </c>
      <c r="I3568" s="12" t="s">
        <v>176</v>
      </c>
      <c r="J3568" s="12" t="s">
        <v>177</v>
      </c>
      <c r="K3568" s="12" t="s">
        <v>125</v>
      </c>
      <c r="L3568" s="12" t="s">
        <v>134</v>
      </c>
      <c r="M3568">
        <v>1.75</v>
      </c>
      <c r="N3568" s="12" t="s">
        <v>97</v>
      </c>
      <c r="O3568" s="12" t="s">
        <v>98</v>
      </c>
      <c r="P3568" s="12" t="s">
        <v>72</v>
      </c>
      <c r="Q3568" s="13">
        <v>45568</v>
      </c>
      <c r="R3568" s="13">
        <v>45589</v>
      </c>
      <c r="S3568">
        <v>2024</v>
      </c>
      <c r="T3568" s="12" t="s">
        <v>4461</v>
      </c>
      <c r="U3568">
        <v>134</v>
      </c>
      <c r="V3568">
        <v>25.352499999999999</v>
      </c>
      <c r="W3568">
        <v>68.56</v>
      </c>
      <c r="X3568">
        <v>0</v>
      </c>
      <c r="Y3568">
        <v>0</v>
      </c>
      <c r="Z3568">
        <v>3397.24</v>
      </c>
      <c r="AA3568">
        <v>3465.8</v>
      </c>
      <c r="AB3568" s="12" t="s">
        <v>201</v>
      </c>
      <c r="AD3568">
        <v>0</v>
      </c>
      <c r="AE3568">
        <v>0</v>
      </c>
      <c r="AH3568">
        <v>134</v>
      </c>
      <c r="AI3568">
        <v>133</v>
      </c>
      <c r="AJ3568">
        <v>1</v>
      </c>
      <c r="AK3568">
        <v>1</v>
      </c>
      <c r="AL3568">
        <v>1</v>
      </c>
      <c r="AM3568">
        <v>99.25</v>
      </c>
      <c r="AN3568">
        <v>26.058599999999998</v>
      </c>
      <c r="AO3568">
        <v>25.35</v>
      </c>
      <c r="AP3568" s="13">
        <v>45588</v>
      </c>
      <c r="AQ3568">
        <v>-1</v>
      </c>
      <c r="AR3568">
        <v>1</v>
      </c>
    </row>
    <row r="3569" spans="1:44" x14ac:dyDescent="0.35">
      <c r="A3569" s="12" t="s">
        <v>4488</v>
      </c>
      <c r="B3569" s="12" t="s">
        <v>736</v>
      </c>
      <c r="C3569" s="12" t="s">
        <v>737</v>
      </c>
      <c r="D3569" s="12" t="s">
        <v>64</v>
      </c>
      <c r="E3569" s="12" t="s">
        <v>104</v>
      </c>
      <c r="F3569">
        <v>3</v>
      </c>
      <c r="G3569">
        <v>1</v>
      </c>
      <c r="H3569">
        <v>0</v>
      </c>
      <c r="I3569" s="12" t="s">
        <v>94</v>
      </c>
      <c r="J3569" s="12" t="s">
        <v>95</v>
      </c>
      <c r="K3569" s="12" t="s">
        <v>81</v>
      </c>
      <c r="L3569" s="12" t="s">
        <v>96</v>
      </c>
      <c r="M3569">
        <v>4.8099999999999996</v>
      </c>
      <c r="N3569" s="12" t="s">
        <v>70</v>
      </c>
      <c r="O3569" s="12" t="s">
        <v>71</v>
      </c>
      <c r="P3569" s="12" t="s">
        <v>72</v>
      </c>
      <c r="Q3569" s="13">
        <v>45568</v>
      </c>
      <c r="R3569" s="13">
        <v>45590</v>
      </c>
      <c r="S3569">
        <v>2024</v>
      </c>
      <c r="T3569" s="12" t="s">
        <v>4461</v>
      </c>
      <c r="U3569">
        <v>625</v>
      </c>
      <c r="V3569">
        <v>22.894600000000001</v>
      </c>
      <c r="W3569">
        <v>295.51</v>
      </c>
      <c r="X3569">
        <v>0</v>
      </c>
      <c r="Y3569">
        <v>0</v>
      </c>
      <c r="Z3569">
        <v>14309.13</v>
      </c>
      <c r="AA3569">
        <v>14604.64</v>
      </c>
      <c r="AB3569" s="12" t="s">
        <v>3251</v>
      </c>
      <c r="AC3569">
        <v>22.894600000000001</v>
      </c>
      <c r="AD3569">
        <v>1</v>
      </c>
      <c r="AE3569">
        <v>1</v>
      </c>
      <c r="AF3569">
        <v>0</v>
      </c>
      <c r="AG3569">
        <v>14309.13</v>
      </c>
      <c r="AH3569">
        <v>625</v>
      </c>
      <c r="AI3569">
        <v>617</v>
      </c>
      <c r="AJ3569">
        <v>8</v>
      </c>
      <c r="AK3569">
        <v>1</v>
      </c>
      <c r="AL3569">
        <v>1</v>
      </c>
      <c r="AM3569">
        <v>98.72</v>
      </c>
      <c r="AN3569">
        <v>23.670400000000001</v>
      </c>
      <c r="AO3569">
        <v>183.16</v>
      </c>
      <c r="AP3569" s="13">
        <v>45598</v>
      </c>
      <c r="AQ3569">
        <v>8</v>
      </c>
      <c r="AR3569">
        <v>0</v>
      </c>
    </row>
    <row r="3570" spans="1:44" x14ac:dyDescent="0.35">
      <c r="A3570" s="12" t="s">
        <v>4489</v>
      </c>
      <c r="B3570" s="12" t="s">
        <v>85</v>
      </c>
      <c r="C3570" s="12" t="s">
        <v>86</v>
      </c>
      <c r="D3570" s="12" t="s">
        <v>78</v>
      </c>
      <c r="E3570" s="12" t="s">
        <v>65</v>
      </c>
      <c r="F3570">
        <v>3</v>
      </c>
      <c r="G3570">
        <v>5</v>
      </c>
      <c r="H3570">
        <v>0</v>
      </c>
      <c r="I3570" s="12" t="s">
        <v>87</v>
      </c>
      <c r="J3570" s="12" t="s">
        <v>88</v>
      </c>
      <c r="K3570" s="12" t="s">
        <v>89</v>
      </c>
      <c r="L3570" s="12" t="s">
        <v>69</v>
      </c>
      <c r="M3570">
        <v>14.93</v>
      </c>
      <c r="N3570" s="12" t="s">
        <v>97</v>
      </c>
      <c r="O3570" s="12" t="s">
        <v>98</v>
      </c>
      <c r="P3570" s="12" t="s">
        <v>72</v>
      </c>
      <c r="Q3570" s="13">
        <v>45568</v>
      </c>
      <c r="R3570" s="13">
        <v>45598</v>
      </c>
      <c r="S3570">
        <v>2024</v>
      </c>
      <c r="T3570" s="12" t="s">
        <v>4461</v>
      </c>
      <c r="U3570">
        <v>183</v>
      </c>
      <c r="V3570">
        <v>142.56460000000001</v>
      </c>
      <c r="W3570">
        <v>668.52</v>
      </c>
      <c r="X3570">
        <v>0</v>
      </c>
      <c r="Y3570">
        <v>0</v>
      </c>
      <c r="Z3570">
        <v>26089.32</v>
      </c>
      <c r="AA3570">
        <v>26757.84</v>
      </c>
      <c r="AB3570" s="12" t="s">
        <v>2621</v>
      </c>
      <c r="AC3570">
        <v>139.59649999999999</v>
      </c>
      <c r="AD3570">
        <v>1</v>
      </c>
      <c r="AE3570">
        <v>1</v>
      </c>
      <c r="AF3570">
        <v>543.16</v>
      </c>
      <c r="AG3570">
        <v>25546.16</v>
      </c>
      <c r="AH3570">
        <v>183</v>
      </c>
      <c r="AI3570">
        <v>181</v>
      </c>
      <c r="AJ3570">
        <v>2</v>
      </c>
      <c r="AK3570">
        <v>1</v>
      </c>
      <c r="AL3570">
        <v>1</v>
      </c>
      <c r="AM3570">
        <v>98.91</v>
      </c>
      <c r="AN3570">
        <v>147.83340000000001</v>
      </c>
      <c r="AO3570">
        <v>285.13</v>
      </c>
      <c r="AP3570" s="13">
        <v>45608</v>
      </c>
      <c r="AQ3570">
        <v>10</v>
      </c>
      <c r="AR3570">
        <v>0</v>
      </c>
    </row>
    <row r="3571" spans="1:44" x14ac:dyDescent="0.35">
      <c r="A3571" s="12" t="s">
        <v>4490</v>
      </c>
      <c r="B3571" s="12" t="s">
        <v>537</v>
      </c>
      <c r="C3571" s="12" t="s">
        <v>538</v>
      </c>
      <c r="D3571" s="12" t="s">
        <v>103</v>
      </c>
      <c r="E3571" s="12" t="s">
        <v>104</v>
      </c>
      <c r="F3571">
        <v>3</v>
      </c>
      <c r="G3571">
        <v>0</v>
      </c>
      <c r="H3571">
        <v>0</v>
      </c>
      <c r="I3571" s="12" t="s">
        <v>380</v>
      </c>
      <c r="J3571" s="12" t="s">
        <v>381</v>
      </c>
      <c r="K3571" s="12" t="s">
        <v>89</v>
      </c>
      <c r="L3571" s="12" t="s">
        <v>96</v>
      </c>
      <c r="M3571">
        <v>10.210000000000001</v>
      </c>
      <c r="N3571" s="12" t="s">
        <v>145</v>
      </c>
      <c r="O3571" s="12" t="s">
        <v>146</v>
      </c>
      <c r="P3571" s="12" t="s">
        <v>109</v>
      </c>
      <c r="Q3571" s="13">
        <v>45569</v>
      </c>
      <c r="R3571" s="13">
        <v>45586</v>
      </c>
      <c r="S3571">
        <v>2024</v>
      </c>
      <c r="T3571" s="12" t="s">
        <v>4461</v>
      </c>
      <c r="U3571">
        <v>50</v>
      </c>
      <c r="V3571">
        <v>252.02670000000001</v>
      </c>
      <c r="W3571">
        <v>230.49</v>
      </c>
      <c r="X3571">
        <v>399.55</v>
      </c>
      <c r="Y3571">
        <v>1</v>
      </c>
      <c r="Z3571">
        <v>12601.34</v>
      </c>
      <c r="AA3571">
        <v>13231.38</v>
      </c>
      <c r="AB3571" s="12" t="s">
        <v>3095</v>
      </c>
      <c r="AC3571">
        <v>242.5198</v>
      </c>
      <c r="AD3571">
        <v>1</v>
      </c>
      <c r="AE3571">
        <v>1</v>
      </c>
      <c r="AF3571">
        <v>475.35</v>
      </c>
      <c r="AG3571">
        <v>12125.99</v>
      </c>
      <c r="AH3571">
        <v>50</v>
      </c>
      <c r="AI3571">
        <v>49</v>
      </c>
      <c r="AJ3571">
        <v>1</v>
      </c>
      <c r="AK3571">
        <v>1</v>
      </c>
      <c r="AL3571">
        <v>1</v>
      </c>
      <c r="AM3571">
        <v>98</v>
      </c>
      <c r="AN3571">
        <v>270.02809999999999</v>
      </c>
      <c r="AO3571">
        <v>252.03</v>
      </c>
      <c r="AP3571" s="13">
        <v>45586</v>
      </c>
      <c r="AQ3571">
        <v>0</v>
      </c>
      <c r="AR3571">
        <v>1</v>
      </c>
    </row>
    <row r="3572" spans="1:44" x14ac:dyDescent="0.35">
      <c r="A3572" s="12" t="s">
        <v>4491</v>
      </c>
      <c r="B3572" s="12" t="s">
        <v>565</v>
      </c>
      <c r="C3572" s="12" t="s">
        <v>566</v>
      </c>
      <c r="D3572" s="12" t="s">
        <v>122</v>
      </c>
      <c r="E3572" s="12" t="s">
        <v>104</v>
      </c>
      <c r="F3572">
        <v>3</v>
      </c>
      <c r="G3572">
        <v>1</v>
      </c>
      <c r="H3572">
        <v>0</v>
      </c>
      <c r="I3572" s="12" t="s">
        <v>131</v>
      </c>
      <c r="J3572" s="12" t="s">
        <v>132</v>
      </c>
      <c r="K3572" s="12" t="s">
        <v>133</v>
      </c>
      <c r="L3572" s="12" t="s">
        <v>134</v>
      </c>
      <c r="M3572">
        <v>1.51</v>
      </c>
      <c r="N3572" s="12" t="s">
        <v>97</v>
      </c>
      <c r="O3572" s="12" t="s">
        <v>98</v>
      </c>
      <c r="P3572" s="12" t="s">
        <v>72</v>
      </c>
      <c r="Q3572" s="13">
        <v>45569</v>
      </c>
      <c r="R3572" s="13">
        <v>45598</v>
      </c>
      <c r="S3572">
        <v>2024</v>
      </c>
      <c r="T3572" s="12" t="s">
        <v>4461</v>
      </c>
      <c r="U3572">
        <v>1917</v>
      </c>
      <c r="V3572">
        <v>35.698500000000003</v>
      </c>
      <c r="W3572">
        <v>1589.71</v>
      </c>
      <c r="X3572">
        <v>0</v>
      </c>
      <c r="Y3572">
        <v>0</v>
      </c>
      <c r="Z3572">
        <v>68434.02</v>
      </c>
      <c r="AA3572">
        <v>70023.73</v>
      </c>
      <c r="AB3572" s="12" t="s">
        <v>4164</v>
      </c>
      <c r="AC3572">
        <v>35.698500000000003</v>
      </c>
      <c r="AD3572">
        <v>1</v>
      </c>
      <c r="AE3572">
        <v>1</v>
      </c>
      <c r="AF3572">
        <v>0</v>
      </c>
      <c r="AG3572">
        <v>68434.02</v>
      </c>
      <c r="AH3572">
        <v>1917</v>
      </c>
      <c r="AI3572">
        <v>1911</v>
      </c>
      <c r="AJ3572">
        <v>6</v>
      </c>
      <c r="AK3572">
        <v>1</v>
      </c>
      <c r="AL3572">
        <v>1</v>
      </c>
      <c r="AM3572">
        <v>99.69</v>
      </c>
      <c r="AN3572">
        <v>36.642499999999998</v>
      </c>
      <c r="AO3572">
        <v>214.19</v>
      </c>
      <c r="AP3572" s="13">
        <v>45595</v>
      </c>
      <c r="AQ3572">
        <v>-3</v>
      </c>
      <c r="AR3572">
        <v>1</v>
      </c>
    </row>
    <row r="3573" spans="1:44" x14ac:dyDescent="0.35">
      <c r="A3573" s="12" t="s">
        <v>4492</v>
      </c>
      <c r="B3573" s="12" t="s">
        <v>548</v>
      </c>
      <c r="C3573" s="12" t="s">
        <v>549</v>
      </c>
      <c r="D3573" s="12" t="s">
        <v>78</v>
      </c>
      <c r="E3573" s="12" t="s">
        <v>104</v>
      </c>
      <c r="F3573">
        <v>3</v>
      </c>
      <c r="G3573">
        <v>1</v>
      </c>
      <c r="H3573">
        <v>0</v>
      </c>
      <c r="I3573" s="12" t="s">
        <v>223</v>
      </c>
      <c r="J3573" s="12" t="s">
        <v>224</v>
      </c>
      <c r="K3573" s="12" t="s">
        <v>81</v>
      </c>
      <c r="L3573" s="12" t="s">
        <v>134</v>
      </c>
      <c r="M3573">
        <v>2.4900000000000002</v>
      </c>
      <c r="N3573" s="12" t="s">
        <v>70</v>
      </c>
      <c r="O3573" s="12" t="s">
        <v>71</v>
      </c>
      <c r="P3573" s="12" t="s">
        <v>72</v>
      </c>
      <c r="Q3573" s="13">
        <v>45569</v>
      </c>
      <c r="R3573" s="13">
        <v>45585</v>
      </c>
      <c r="S3573">
        <v>2024</v>
      </c>
      <c r="T3573" s="12" t="s">
        <v>4461</v>
      </c>
      <c r="U3573">
        <v>99</v>
      </c>
      <c r="V3573">
        <v>59.346200000000003</v>
      </c>
      <c r="W3573">
        <v>103.88</v>
      </c>
      <c r="X3573">
        <v>0</v>
      </c>
      <c r="Y3573">
        <v>0</v>
      </c>
      <c r="Z3573">
        <v>5875.27</v>
      </c>
      <c r="AA3573">
        <v>5979.15</v>
      </c>
      <c r="AB3573" s="12" t="s">
        <v>3127</v>
      </c>
      <c r="AC3573">
        <v>59.346200000000003</v>
      </c>
      <c r="AD3573">
        <v>1</v>
      </c>
      <c r="AE3573">
        <v>1</v>
      </c>
      <c r="AF3573">
        <v>0</v>
      </c>
      <c r="AG3573">
        <v>5875.27</v>
      </c>
      <c r="AH3573">
        <v>99</v>
      </c>
      <c r="AI3573">
        <v>97</v>
      </c>
      <c r="AJ3573">
        <v>2</v>
      </c>
      <c r="AK3573">
        <v>1</v>
      </c>
      <c r="AL3573">
        <v>1</v>
      </c>
      <c r="AM3573">
        <v>97.98</v>
      </c>
      <c r="AN3573">
        <v>61.640799999999999</v>
      </c>
      <c r="AO3573">
        <v>118.69</v>
      </c>
      <c r="AP3573" s="13">
        <v>45583</v>
      </c>
      <c r="AQ3573">
        <v>-2</v>
      </c>
      <c r="AR3573">
        <v>1</v>
      </c>
    </row>
    <row r="3574" spans="1:44" x14ac:dyDescent="0.35">
      <c r="A3574" s="12" t="s">
        <v>4493</v>
      </c>
      <c r="B3574" s="12" t="s">
        <v>1068</v>
      </c>
      <c r="C3574" s="12" t="s">
        <v>1069</v>
      </c>
      <c r="D3574" s="12" t="s">
        <v>122</v>
      </c>
      <c r="E3574" s="12" t="s">
        <v>65</v>
      </c>
      <c r="F3574">
        <v>2</v>
      </c>
      <c r="G3574">
        <v>2</v>
      </c>
      <c r="H3574">
        <v>0</v>
      </c>
      <c r="I3574" s="12" t="s">
        <v>79</v>
      </c>
      <c r="J3574" s="12" t="s">
        <v>80</v>
      </c>
      <c r="K3574" s="12" t="s">
        <v>81</v>
      </c>
      <c r="L3574" s="12" t="s">
        <v>82</v>
      </c>
      <c r="M3574">
        <v>12.07</v>
      </c>
      <c r="N3574" s="12" t="s">
        <v>70</v>
      </c>
      <c r="O3574" s="12" t="s">
        <v>71</v>
      </c>
      <c r="P3574" s="12" t="s">
        <v>72</v>
      </c>
      <c r="Q3574" s="13">
        <v>45569</v>
      </c>
      <c r="R3574" s="13">
        <v>45607</v>
      </c>
      <c r="S3574">
        <v>2024</v>
      </c>
      <c r="T3574" s="12" t="s">
        <v>4461</v>
      </c>
      <c r="U3574">
        <v>1913</v>
      </c>
      <c r="V3574">
        <v>21.277999999999999</v>
      </c>
      <c r="W3574">
        <v>780.97</v>
      </c>
      <c r="X3574">
        <v>0</v>
      </c>
      <c r="Y3574">
        <v>0</v>
      </c>
      <c r="Z3574">
        <v>40704.81</v>
      </c>
      <c r="AA3574">
        <v>41485.78</v>
      </c>
      <c r="AB3574" s="12" t="s">
        <v>3113</v>
      </c>
      <c r="AC3574">
        <v>21.277999999999999</v>
      </c>
      <c r="AD3574">
        <v>1</v>
      </c>
      <c r="AE3574">
        <v>1</v>
      </c>
      <c r="AF3574">
        <v>0</v>
      </c>
      <c r="AG3574">
        <v>40704.81</v>
      </c>
      <c r="AH3574">
        <v>1913</v>
      </c>
      <c r="AI3574">
        <v>1905</v>
      </c>
      <c r="AJ3574">
        <v>8</v>
      </c>
      <c r="AK3574">
        <v>1</v>
      </c>
      <c r="AL3574">
        <v>1</v>
      </c>
      <c r="AM3574">
        <v>99.58</v>
      </c>
      <c r="AN3574">
        <v>21.7773</v>
      </c>
      <c r="AO3574">
        <v>170.22</v>
      </c>
      <c r="AP3574" s="13">
        <v>45607</v>
      </c>
      <c r="AQ3574">
        <v>0</v>
      </c>
      <c r="AR3574">
        <v>1</v>
      </c>
    </row>
    <row r="3575" spans="1:44" x14ac:dyDescent="0.35">
      <c r="A3575" s="12" t="s">
        <v>4494</v>
      </c>
      <c r="B3575" s="12" t="s">
        <v>231</v>
      </c>
      <c r="C3575" s="12" t="s">
        <v>232</v>
      </c>
      <c r="D3575" s="12" t="s">
        <v>130</v>
      </c>
      <c r="E3575" s="12" t="s">
        <v>65</v>
      </c>
      <c r="F3575">
        <v>1</v>
      </c>
      <c r="G3575">
        <v>2</v>
      </c>
      <c r="H3575">
        <v>1</v>
      </c>
      <c r="I3575" s="12" t="s">
        <v>233</v>
      </c>
      <c r="J3575" s="12" t="s">
        <v>234</v>
      </c>
      <c r="K3575" s="12" t="s">
        <v>125</v>
      </c>
      <c r="L3575" s="12" t="s">
        <v>96</v>
      </c>
      <c r="M3575">
        <v>3.73</v>
      </c>
      <c r="N3575" s="12" t="s">
        <v>135</v>
      </c>
      <c r="O3575" s="12" t="s">
        <v>136</v>
      </c>
      <c r="P3575" s="12" t="s">
        <v>137</v>
      </c>
      <c r="Q3575" s="13">
        <v>45569</v>
      </c>
      <c r="R3575" s="13">
        <v>45596</v>
      </c>
      <c r="S3575">
        <v>2024</v>
      </c>
      <c r="T3575" s="12" t="s">
        <v>4461</v>
      </c>
      <c r="U3575">
        <v>61</v>
      </c>
      <c r="V3575">
        <v>449.00619999999998</v>
      </c>
      <c r="W3575">
        <v>180.84</v>
      </c>
      <c r="X3575">
        <v>0</v>
      </c>
      <c r="Y3575">
        <v>0</v>
      </c>
      <c r="Z3575">
        <v>27389.38</v>
      </c>
      <c r="AA3575">
        <v>27570.22</v>
      </c>
      <c r="AB3575" s="12" t="s">
        <v>201</v>
      </c>
      <c r="AD3575">
        <v>0</v>
      </c>
      <c r="AE3575">
        <v>0</v>
      </c>
      <c r="AH3575">
        <v>61</v>
      </c>
      <c r="AI3575">
        <v>61</v>
      </c>
      <c r="AJ3575">
        <v>0</v>
      </c>
      <c r="AK3575">
        <v>1</v>
      </c>
      <c r="AL3575">
        <v>1</v>
      </c>
      <c r="AM3575">
        <v>100</v>
      </c>
      <c r="AN3575">
        <v>451.9708</v>
      </c>
      <c r="AO3575">
        <v>0</v>
      </c>
      <c r="AP3575" s="13">
        <v>45593</v>
      </c>
      <c r="AQ3575">
        <v>-3</v>
      </c>
      <c r="AR3575">
        <v>1</v>
      </c>
    </row>
    <row r="3576" spans="1:44" x14ac:dyDescent="0.35">
      <c r="A3576" s="12" t="s">
        <v>4495</v>
      </c>
      <c r="B3576" s="12" t="s">
        <v>787</v>
      </c>
      <c r="C3576" s="12" t="s">
        <v>788</v>
      </c>
      <c r="D3576" s="12" t="s">
        <v>269</v>
      </c>
      <c r="E3576" s="12" t="s">
        <v>65</v>
      </c>
      <c r="F3576">
        <v>2</v>
      </c>
      <c r="G3576">
        <v>3</v>
      </c>
      <c r="H3576">
        <v>0</v>
      </c>
      <c r="I3576" s="12" t="s">
        <v>143</v>
      </c>
      <c r="J3576" s="12" t="s">
        <v>144</v>
      </c>
      <c r="K3576" s="12" t="s">
        <v>133</v>
      </c>
      <c r="L3576" s="12" t="s">
        <v>96</v>
      </c>
      <c r="M3576">
        <v>5.43</v>
      </c>
      <c r="N3576" s="12" t="s">
        <v>135</v>
      </c>
      <c r="O3576" s="12" t="s">
        <v>136</v>
      </c>
      <c r="P3576" s="12" t="s">
        <v>137</v>
      </c>
      <c r="Q3576" s="13">
        <v>45569</v>
      </c>
      <c r="R3576" s="13">
        <v>45603</v>
      </c>
      <c r="S3576">
        <v>2024</v>
      </c>
      <c r="T3576" s="12" t="s">
        <v>4461</v>
      </c>
      <c r="U3576">
        <v>113</v>
      </c>
      <c r="V3576">
        <v>322.82389999999998</v>
      </c>
      <c r="W3576">
        <v>784.5</v>
      </c>
      <c r="X3576">
        <v>0</v>
      </c>
      <c r="Y3576">
        <v>0</v>
      </c>
      <c r="Z3576">
        <v>36479.1</v>
      </c>
      <c r="AA3576">
        <v>37263.599999999999</v>
      </c>
      <c r="AB3576" s="12" t="s">
        <v>3813</v>
      </c>
      <c r="AC3576">
        <v>342.88099999999997</v>
      </c>
      <c r="AD3576">
        <v>1</v>
      </c>
      <c r="AE3576">
        <v>1</v>
      </c>
      <c r="AF3576">
        <v>-2266.4499999999998</v>
      </c>
      <c r="AG3576">
        <v>38745.550000000003</v>
      </c>
      <c r="AH3576">
        <v>113</v>
      </c>
      <c r="AI3576">
        <v>111</v>
      </c>
      <c r="AJ3576">
        <v>2</v>
      </c>
      <c r="AK3576">
        <v>1</v>
      </c>
      <c r="AL3576">
        <v>1</v>
      </c>
      <c r="AM3576">
        <v>98.23</v>
      </c>
      <c r="AN3576">
        <v>335.7081</v>
      </c>
      <c r="AO3576">
        <v>645.65</v>
      </c>
      <c r="AP3576" s="13">
        <v>45603</v>
      </c>
      <c r="AQ3576">
        <v>0</v>
      </c>
      <c r="AR3576">
        <v>1</v>
      </c>
    </row>
    <row r="3577" spans="1:44" x14ac:dyDescent="0.35">
      <c r="A3577" s="12" t="s">
        <v>4496</v>
      </c>
      <c r="B3577" s="12" t="s">
        <v>740</v>
      </c>
      <c r="C3577" s="12" t="s">
        <v>741</v>
      </c>
      <c r="D3577" s="12" t="s">
        <v>64</v>
      </c>
      <c r="E3577" s="12" t="s">
        <v>104</v>
      </c>
      <c r="F3577">
        <v>2</v>
      </c>
      <c r="G3577">
        <v>0</v>
      </c>
      <c r="H3577">
        <v>0</v>
      </c>
      <c r="I3577" s="12" t="s">
        <v>183</v>
      </c>
      <c r="J3577" s="12" t="s">
        <v>184</v>
      </c>
      <c r="K3577" s="12" t="s">
        <v>133</v>
      </c>
      <c r="L3577" s="12" t="s">
        <v>82</v>
      </c>
      <c r="M3577">
        <v>8.6199999999999992</v>
      </c>
      <c r="N3577" s="12" t="s">
        <v>70</v>
      </c>
      <c r="O3577" s="12" t="s">
        <v>71</v>
      </c>
      <c r="P3577" s="12" t="s">
        <v>72</v>
      </c>
      <c r="Q3577" s="13">
        <v>45569</v>
      </c>
      <c r="R3577" s="13">
        <v>45588</v>
      </c>
      <c r="S3577">
        <v>2024</v>
      </c>
      <c r="T3577" s="12" t="s">
        <v>4461</v>
      </c>
      <c r="U3577">
        <v>479</v>
      </c>
      <c r="V3577">
        <v>41.1708</v>
      </c>
      <c r="W3577">
        <v>498.58</v>
      </c>
      <c r="X3577">
        <v>0</v>
      </c>
      <c r="Y3577">
        <v>0</v>
      </c>
      <c r="Z3577">
        <v>19720.810000000001</v>
      </c>
      <c r="AA3577">
        <v>20219.39</v>
      </c>
      <c r="AB3577" s="12" t="s">
        <v>3134</v>
      </c>
      <c r="AC3577">
        <v>41.1708</v>
      </c>
      <c r="AD3577">
        <v>1</v>
      </c>
      <c r="AE3577">
        <v>1</v>
      </c>
      <c r="AF3577">
        <v>0</v>
      </c>
      <c r="AG3577">
        <v>19720.810000000001</v>
      </c>
      <c r="AH3577">
        <v>479</v>
      </c>
      <c r="AI3577">
        <v>474</v>
      </c>
      <c r="AJ3577">
        <v>5</v>
      </c>
      <c r="AK3577">
        <v>1</v>
      </c>
      <c r="AL3577">
        <v>1</v>
      </c>
      <c r="AM3577">
        <v>98.96</v>
      </c>
      <c r="AN3577">
        <v>42.6569</v>
      </c>
      <c r="AO3577">
        <v>205.85</v>
      </c>
      <c r="AP3577" s="13">
        <v>45585</v>
      </c>
      <c r="AQ3577">
        <v>-3</v>
      </c>
      <c r="AR3577">
        <v>1</v>
      </c>
    </row>
    <row r="3578" spans="1:44" x14ac:dyDescent="0.35">
      <c r="A3578" s="12" t="s">
        <v>4497</v>
      </c>
      <c r="B3578" s="12" t="s">
        <v>494</v>
      </c>
      <c r="C3578" s="12" t="s">
        <v>495</v>
      </c>
      <c r="D3578" s="12" t="s">
        <v>175</v>
      </c>
      <c r="E3578" s="12" t="s">
        <v>65</v>
      </c>
      <c r="F3578">
        <v>2</v>
      </c>
      <c r="G3578">
        <v>3</v>
      </c>
      <c r="H3578">
        <v>0</v>
      </c>
      <c r="I3578" s="12" t="s">
        <v>515</v>
      </c>
      <c r="J3578" s="12" t="s">
        <v>516</v>
      </c>
      <c r="K3578" s="12" t="s">
        <v>68</v>
      </c>
      <c r="L3578" s="12" t="s">
        <v>134</v>
      </c>
      <c r="M3578">
        <v>3.69</v>
      </c>
      <c r="N3578" s="12" t="s">
        <v>107</v>
      </c>
      <c r="O3578" s="12" t="s">
        <v>108</v>
      </c>
      <c r="P3578" s="12" t="s">
        <v>109</v>
      </c>
      <c r="Q3578" s="13">
        <v>45569</v>
      </c>
      <c r="R3578" s="13">
        <v>45606</v>
      </c>
      <c r="S3578">
        <v>2024</v>
      </c>
      <c r="T3578" s="12" t="s">
        <v>4461</v>
      </c>
      <c r="U3578">
        <v>138</v>
      </c>
      <c r="V3578">
        <v>157.60329999999999</v>
      </c>
      <c r="W3578">
        <v>145.91999999999999</v>
      </c>
      <c r="X3578">
        <v>0</v>
      </c>
      <c r="Y3578">
        <v>0</v>
      </c>
      <c r="Z3578">
        <v>21749.26</v>
      </c>
      <c r="AA3578">
        <v>21895.18</v>
      </c>
      <c r="AB3578" s="12" t="s">
        <v>2807</v>
      </c>
      <c r="AC3578">
        <v>157.60329999999999</v>
      </c>
      <c r="AD3578">
        <v>1</v>
      </c>
      <c r="AE3578">
        <v>1</v>
      </c>
      <c r="AF3578">
        <v>0</v>
      </c>
      <c r="AG3578">
        <v>21749.26</v>
      </c>
      <c r="AH3578">
        <v>138</v>
      </c>
      <c r="AI3578">
        <v>137</v>
      </c>
      <c r="AJ3578">
        <v>1</v>
      </c>
      <c r="AK3578">
        <v>1</v>
      </c>
      <c r="AL3578">
        <v>1</v>
      </c>
      <c r="AM3578">
        <v>99.28</v>
      </c>
      <c r="AN3578">
        <v>159.81880000000001</v>
      </c>
      <c r="AO3578">
        <v>157.6</v>
      </c>
      <c r="AP3578" s="13">
        <v>45605</v>
      </c>
      <c r="AQ3578">
        <v>-1</v>
      </c>
      <c r="AR3578">
        <v>1</v>
      </c>
    </row>
    <row r="3579" spans="1:44" x14ac:dyDescent="0.35">
      <c r="A3579" s="12" t="s">
        <v>4498</v>
      </c>
      <c r="B3579" s="12" t="s">
        <v>569</v>
      </c>
      <c r="C3579" s="12" t="s">
        <v>570</v>
      </c>
      <c r="D3579" s="12" t="s">
        <v>114</v>
      </c>
      <c r="E3579" s="12" t="s">
        <v>142</v>
      </c>
      <c r="F3579">
        <v>1</v>
      </c>
      <c r="G3579">
        <v>6</v>
      </c>
      <c r="H3579">
        <v>1</v>
      </c>
      <c r="I3579" s="12" t="s">
        <v>123</v>
      </c>
      <c r="J3579" s="12" t="s">
        <v>124</v>
      </c>
      <c r="K3579" s="12" t="s">
        <v>125</v>
      </c>
      <c r="L3579" s="12" t="s">
        <v>82</v>
      </c>
      <c r="M3579">
        <v>6.75</v>
      </c>
      <c r="N3579" s="12" t="s">
        <v>70</v>
      </c>
      <c r="O3579" s="12" t="s">
        <v>71</v>
      </c>
      <c r="P3579" s="12" t="s">
        <v>72</v>
      </c>
      <c r="Q3579" s="13">
        <v>45572</v>
      </c>
      <c r="R3579" s="13">
        <v>45618</v>
      </c>
      <c r="S3579">
        <v>2024</v>
      </c>
      <c r="T3579" s="12" t="s">
        <v>4461</v>
      </c>
      <c r="U3579">
        <v>96</v>
      </c>
      <c r="V3579">
        <v>349.07319999999999</v>
      </c>
      <c r="W3579">
        <v>467.8</v>
      </c>
      <c r="X3579">
        <v>0</v>
      </c>
      <c r="Y3579">
        <v>0</v>
      </c>
      <c r="Z3579">
        <v>33511.03</v>
      </c>
      <c r="AA3579">
        <v>33978.83</v>
      </c>
      <c r="AB3579" s="12" t="s">
        <v>3205</v>
      </c>
      <c r="AC3579">
        <v>349.07319999999999</v>
      </c>
      <c r="AD3579">
        <v>1</v>
      </c>
      <c r="AE3579">
        <v>1</v>
      </c>
      <c r="AF3579">
        <v>0</v>
      </c>
      <c r="AG3579">
        <v>33511.03</v>
      </c>
      <c r="AH3579">
        <v>96</v>
      </c>
      <c r="AI3579">
        <v>94</v>
      </c>
      <c r="AJ3579">
        <v>2</v>
      </c>
      <c r="AK3579">
        <v>1</v>
      </c>
      <c r="AL3579">
        <v>1</v>
      </c>
      <c r="AM3579">
        <v>97.92</v>
      </c>
      <c r="AN3579">
        <v>361.4769</v>
      </c>
      <c r="AO3579">
        <v>698.15</v>
      </c>
      <c r="AP3579" s="13">
        <v>45616</v>
      </c>
      <c r="AQ3579">
        <v>-2</v>
      </c>
      <c r="AR3579">
        <v>1</v>
      </c>
    </row>
    <row r="3580" spans="1:44" x14ac:dyDescent="0.35">
      <c r="A3580" s="12" t="s">
        <v>4499</v>
      </c>
      <c r="B3580" s="12" t="s">
        <v>458</v>
      </c>
      <c r="C3580" s="12" t="s">
        <v>459</v>
      </c>
      <c r="D3580" s="12" t="s">
        <v>64</v>
      </c>
      <c r="E3580" s="12" t="s">
        <v>104</v>
      </c>
      <c r="F3580">
        <v>2</v>
      </c>
      <c r="G3580">
        <v>0</v>
      </c>
      <c r="H3580">
        <v>0</v>
      </c>
      <c r="I3580" s="12" t="s">
        <v>199</v>
      </c>
      <c r="J3580" s="12" t="s">
        <v>200</v>
      </c>
      <c r="K3580" s="12" t="s">
        <v>68</v>
      </c>
      <c r="L3580" s="12" t="s">
        <v>96</v>
      </c>
      <c r="M3580">
        <v>9.4700000000000006</v>
      </c>
      <c r="N3580" s="12" t="s">
        <v>70</v>
      </c>
      <c r="O3580" s="12" t="s">
        <v>71</v>
      </c>
      <c r="P3580" s="12" t="s">
        <v>72</v>
      </c>
      <c r="Q3580" s="13">
        <v>45572</v>
      </c>
      <c r="R3580" s="13">
        <v>45594</v>
      </c>
      <c r="S3580">
        <v>2024</v>
      </c>
      <c r="T3580" s="12" t="s">
        <v>4461</v>
      </c>
      <c r="U3580">
        <v>600</v>
      </c>
      <c r="V3580">
        <v>23.0014</v>
      </c>
      <c r="W3580">
        <v>240.3</v>
      </c>
      <c r="X3580">
        <v>0</v>
      </c>
      <c r="Y3580">
        <v>0</v>
      </c>
      <c r="Z3580">
        <v>13800.84</v>
      </c>
      <c r="AA3580">
        <v>14041.14</v>
      </c>
      <c r="AB3580" s="12" t="s">
        <v>3341</v>
      </c>
      <c r="AC3580">
        <v>23.0014</v>
      </c>
      <c r="AD3580">
        <v>1</v>
      </c>
      <c r="AE3580">
        <v>1</v>
      </c>
      <c r="AF3580">
        <v>0</v>
      </c>
      <c r="AG3580">
        <v>13800.84</v>
      </c>
      <c r="AH3580">
        <v>600</v>
      </c>
      <c r="AI3580">
        <v>598</v>
      </c>
      <c r="AJ3580">
        <v>2</v>
      </c>
      <c r="AK3580">
        <v>1</v>
      </c>
      <c r="AL3580">
        <v>1</v>
      </c>
      <c r="AM3580">
        <v>99.67</v>
      </c>
      <c r="AN3580">
        <v>23.4802</v>
      </c>
      <c r="AO3580">
        <v>46</v>
      </c>
      <c r="AP3580" s="13">
        <v>45592</v>
      </c>
      <c r="AQ3580">
        <v>-2</v>
      </c>
      <c r="AR3580">
        <v>1</v>
      </c>
    </row>
    <row r="3581" spans="1:44" x14ac:dyDescent="0.35">
      <c r="A3581" s="12" t="s">
        <v>4500</v>
      </c>
      <c r="B3581" s="12" t="s">
        <v>736</v>
      </c>
      <c r="C3581" s="12" t="s">
        <v>737</v>
      </c>
      <c r="D3581" s="12" t="s">
        <v>64</v>
      </c>
      <c r="E3581" s="12" t="s">
        <v>104</v>
      </c>
      <c r="F3581">
        <v>3</v>
      </c>
      <c r="G3581">
        <v>1</v>
      </c>
      <c r="H3581">
        <v>0</v>
      </c>
      <c r="I3581" s="12" t="s">
        <v>131</v>
      </c>
      <c r="J3581" s="12" t="s">
        <v>132</v>
      </c>
      <c r="K3581" s="12" t="s">
        <v>133</v>
      </c>
      <c r="L3581" s="12" t="s">
        <v>134</v>
      </c>
      <c r="M3581">
        <v>1.51</v>
      </c>
      <c r="N3581" s="12" t="s">
        <v>97</v>
      </c>
      <c r="O3581" s="12" t="s">
        <v>98</v>
      </c>
      <c r="P3581" s="12" t="s">
        <v>72</v>
      </c>
      <c r="Q3581" s="13">
        <v>45572</v>
      </c>
      <c r="R3581" s="13">
        <v>45597</v>
      </c>
      <c r="S3581">
        <v>2024</v>
      </c>
      <c r="T3581" s="12" t="s">
        <v>4461</v>
      </c>
      <c r="U3581">
        <v>772</v>
      </c>
      <c r="V3581">
        <v>27.447199999999999</v>
      </c>
      <c r="W3581">
        <v>392.3</v>
      </c>
      <c r="X3581">
        <v>0</v>
      </c>
      <c r="Y3581">
        <v>0</v>
      </c>
      <c r="Z3581">
        <v>21189.24</v>
      </c>
      <c r="AA3581">
        <v>21581.54</v>
      </c>
      <c r="AB3581" s="12" t="s">
        <v>201</v>
      </c>
      <c r="AD3581">
        <v>0</v>
      </c>
      <c r="AE3581">
        <v>0</v>
      </c>
      <c r="AH3581">
        <v>772</v>
      </c>
      <c r="AI3581">
        <v>760</v>
      </c>
      <c r="AJ3581">
        <v>12</v>
      </c>
      <c r="AK3581">
        <v>1</v>
      </c>
      <c r="AL3581">
        <v>1</v>
      </c>
      <c r="AM3581">
        <v>98.45</v>
      </c>
      <c r="AN3581">
        <v>28.396799999999999</v>
      </c>
      <c r="AO3581">
        <v>329.37</v>
      </c>
      <c r="AP3581" s="13">
        <v>45603</v>
      </c>
      <c r="AQ3581">
        <v>6</v>
      </c>
      <c r="AR3581">
        <v>0</v>
      </c>
    </row>
    <row r="3582" spans="1:44" x14ac:dyDescent="0.35">
      <c r="A3582" s="12" t="s">
        <v>4501</v>
      </c>
      <c r="B3582" s="12" t="s">
        <v>569</v>
      </c>
      <c r="C3582" s="12" t="s">
        <v>570</v>
      </c>
      <c r="D3582" s="12" t="s">
        <v>114</v>
      </c>
      <c r="E3582" s="12" t="s">
        <v>142</v>
      </c>
      <c r="F3582">
        <v>1</v>
      </c>
      <c r="G3582">
        <v>6</v>
      </c>
      <c r="H3582">
        <v>1</v>
      </c>
      <c r="I3582" s="12" t="s">
        <v>123</v>
      </c>
      <c r="J3582" s="12" t="s">
        <v>124</v>
      </c>
      <c r="K3582" s="12" t="s">
        <v>125</v>
      </c>
      <c r="L3582" s="12" t="s">
        <v>82</v>
      </c>
      <c r="M3582">
        <v>6.75</v>
      </c>
      <c r="N3582" s="12" t="s">
        <v>70</v>
      </c>
      <c r="O3582" s="12" t="s">
        <v>71</v>
      </c>
      <c r="P3582" s="12" t="s">
        <v>72</v>
      </c>
      <c r="Q3582" s="13">
        <v>45572</v>
      </c>
      <c r="R3582" s="13">
        <v>45618</v>
      </c>
      <c r="S3582">
        <v>2024</v>
      </c>
      <c r="T3582" s="12" t="s">
        <v>4461</v>
      </c>
      <c r="U3582">
        <v>96</v>
      </c>
      <c r="V3582">
        <v>349.07319999999999</v>
      </c>
      <c r="W3582">
        <v>467.8</v>
      </c>
      <c r="X3582">
        <v>0</v>
      </c>
      <c r="Y3582">
        <v>0</v>
      </c>
      <c r="Z3582">
        <v>33511.03</v>
      </c>
      <c r="AA3582">
        <v>33978.83</v>
      </c>
      <c r="AB3582" s="12" t="s">
        <v>3205</v>
      </c>
      <c r="AC3582">
        <v>349.07319999999999</v>
      </c>
      <c r="AD3582">
        <v>1</v>
      </c>
      <c r="AE3582">
        <v>1</v>
      </c>
      <c r="AF3582">
        <v>0</v>
      </c>
      <c r="AG3582">
        <v>33511.03</v>
      </c>
      <c r="AK3582">
        <v>0</v>
      </c>
      <c r="AL3582">
        <v>0</v>
      </c>
      <c r="AO3582">
        <v>0</v>
      </c>
      <c r="AP3582" s="13"/>
    </row>
    <row r="3583" spans="1:44" x14ac:dyDescent="0.35">
      <c r="A3583" s="12" t="s">
        <v>4502</v>
      </c>
      <c r="B3583" s="12" t="s">
        <v>163</v>
      </c>
      <c r="C3583" s="12" t="s">
        <v>164</v>
      </c>
      <c r="D3583" s="12" t="s">
        <v>64</v>
      </c>
      <c r="E3583" s="12" t="s">
        <v>104</v>
      </c>
      <c r="F3583">
        <v>2</v>
      </c>
      <c r="G3583">
        <v>0</v>
      </c>
      <c r="H3583">
        <v>0</v>
      </c>
      <c r="I3583" s="12" t="s">
        <v>79</v>
      </c>
      <c r="J3583" s="12" t="s">
        <v>80</v>
      </c>
      <c r="K3583" s="12" t="s">
        <v>81</v>
      </c>
      <c r="L3583" s="12" t="s">
        <v>82</v>
      </c>
      <c r="M3583">
        <v>12.07</v>
      </c>
      <c r="N3583" s="12" t="s">
        <v>70</v>
      </c>
      <c r="O3583" s="12" t="s">
        <v>71</v>
      </c>
      <c r="P3583" s="12" t="s">
        <v>72</v>
      </c>
      <c r="Q3583" s="13">
        <v>45573</v>
      </c>
      <c r="R3583" s="13">
        <v>45589</v>
      </c>
      <c r="S3583">
        <v>2024</v>
      </c>
      <c r="T3583" s="12" t="s">
        <v>4461</v>
      </c>
      <c r="U3583">
        <v>310</v>
      </c>
      <c r="V3583">
        <v>11.6143</v>
      </c>
      <c r="W3583">
        <v>24.59</v>
      </c>
      <c r="X3583">
        <v>0</v>
      </c>
      <c r="Y3583">
        <v>0</v>
      </c>
      <c r="Z3583">
        <v>3600.43</v>
      </c>
      <c r="AA3583">
        <v>3625.02</v>
      </c>
      <c r="AB3583" s="12" t="s">
        <v>2780</v>
      </c>
      <c r="AC3583">
        <v>11.6143</v>
      </c>
      <c r="AD3583">
        <v>1</v>
      </c>
      <c r="AE3583">
        <v>1</v>
      </c>
      <c r="AF3583">
        <v>0</v>
      </c>
      <c r="AG3583">
        <v>3600.43</v>
      </c>
      <c r="AH3583">
        <v>310</v>
      </c>
      <c r="AI3583">
        <v>306</v>
      </c>
      <c r="AJ3583">
        <v>4</v>
      </c>
      <c r="AK3583">
        <v>1</v>
      </c>
      <c r="AL3583">
        <v>1</v>
      </c>
      <c r="AM3583">
        <v>98.71</v>
      </c>
      <c r="AN3583">
        <v>11.846500000000001</v>
      </c>
      <c r="AO3583">
        <v>46.46</v>
      </c>
      <c r="AP3583" s="13">
        <v>45587</v>
      </c>
      <c r="AQ3583">
        <v>-2</v>
      </c>
      <c r="AR3583">
        <v>1</v>
      </c>
    </row>
    <row r="3584" spans="1:44" x14ac:dyDescent="0.35">
      <c r="A3584" s="12" t="s">
        <v>4503</v>
      </c>
      <c r="B3584" s="12" t="s">
        <v>706</v>
      </c>
      <c r="C3584" s="12" t="s">
        <v>707</v>
      </c>
      <c r="D3584" s="12" t="s">
        <v>130</v>
      </c>
      <c r="E3584" s="12" t="s">
        <v>142</v>
      </c>
      <c r="F3584">
        <v>1</v>
      </c>
      <c r="G3584">
        <v>8</v>
      </c>
      <c r="H3584">
        <v>1</v>
      </c>
      <c r="I3584" s="12" t="s">
        <v>263</v>
      </c>
      <c r="J3584" s="12" t="s">
        <v>264</v>
      </c>
      <c r="K3584" s="12" t="s">
        <v>125</v>
      </c>
      <c r="L3584" s="12" t="s">
        <v>82</v>
      </c>
      <c r="M3584">
        <v>10.210000000000001</v>
      </c>
      <c r="N3584" s="12" t="s">
        <v>159</v>
      </c>
      <c r="O3584" s="12" t="s">
        <v>160</v>
      </c>
      <c r="P3584" s="12" t="s">
        <v>137</v>
      </c>
      <c r="Q3584" s="13">
        <v>45573</v>
      </c>
      <c r="R3584" s="13">
        <v>45610</v>
      </c>
      <c r="S3584">
        <v>2024</v>
      </c>
      <c r="T3584" s="12" t="s">
        <v>4461</v>
      </c>
      <c r="U3584">
        <v>30</v>
      </c>
      <c r="V3584">
        <v>277.214</v>
      </c>
      <c r="W3584">
        <v>164.74</v>
      </c>
      <c r="X3584">
        <v>0</v>
      </c>
      <c r="Y3584">
        <v>0</v>
      </c>
      <c r="Z3584">
        <v>8316.42</v>
      </c>
      <c r="AA3584">
        <v>8481.16</v>
      </c>
      <c r="AB3584" s="12" t="s">
        <v>3434</v>
      </c>
      <c r="AC3584">
        <v>277.214</v>
      </c>
      <c r="AD3584">
        <v>1</v>
      </c>
      <c r="AE3584">
        <v>1</v>
      </c>
      <c r="AF3584">
        <v>0</v>
      </c>
      <c r="AG3584">
        <v>8316.42</v>
      </c>
      <c r="AH3584">
        <v>30</v>
      </c>
      <c r="AI3584">
        <v>30</v>
      </c>
      <c r="AJ3584">
        <v>0</v>
      </c>
      <c r="AK3584">
        <v>1</v>
      </c>
      <c r="AL3584">
        <v>1</v>
      </c>
      <c r="AM3584">
        <v>100</v>
      </c>
      <c r="AN3584">
        <v>282.70530000000002</v>
      </c>
      <c r="AO3584">
        <v>0</v>
      </c>
      <c r="AP3584" s="13">
        <v>45609</v>
      </c>
      <c r="AQ3584">
        <v>-1</v>
      </c>
      <c r="AR3584">
        <v>1</v>
      </c>
    </row>
    <row r="3585" spans="1:44" x14ac:dyDescent="0.35">
      <c r="A3585" s="12" t="s">
        <v>4504</v>
      </c>
      <c r="B3585" s="12" t="s">
        <v>1054</v>
      </c>
      <c r="C3585" s="12" t="s">
        <v>1055</v>
      </c>
      <c r="D3585" s="12" t="s">
        <v>122</v>
      </c>
      <c r="E3585" s="12" t="s">
        <v>65</v>
      </c>
      <c r="F3585">
        <v>1</v>
      </c>
      <c r="G3585">
        <v>2</v>
      </c>
      <c r="H3585">
        <v>1</v>
      </c>
      <c r="I3585" s="12" t="s">
        <v>176</v>
      </c>
      <c r="J3585" s="12" t="s">
        <v>177</v>
      </c>
      <c r="K3585" s="12" t="s">
        <v>125</v>
      </c>
      <c r="L3585" s="12" t="s">
        <v>134</v>
      </c>
      <c r="M3585">
        <v>1.75</v>
      </c>
      <c r="N3585" s="12" t="s">
        <v>97</v>
      </c>
      <c r="O3585" s="12" t="s">
        <v>98</v>
      </c>
      <c r="P3585" s="12" t="s">
        <v>72</v>
      </c>
      <c r="Q3585" s="13">
        <v>45573</v>
      </c>
      <c r="R3585" s="13">
        <v>45599</v>
      </c>
      <c r="S3585">
        <v>2024</v>
      </c>
      <c r="T3585" s="12" t="s">
        <v>4461</v>
      </c>
      <c r="U3585">
        <v>770</v>
      </c>
      <c r="V3585">
        <v>45.850499999999997</v>
      </c>
      <c r="W3585">
        <v>394.48</v>
      </c>
      <c r="X3585">
        <v>0</v>
      </c>
      <c r="Y3585">
        <v>0</v>
      </c>
      <c r="Z3585">
        <v>35304.89</v>
      </c>
      <c r="AA3585">
        <v>35699.370000000003</v>
      </c>
      <c r="AB3585" s="12" t="s">
        <v>3227</v>
      </c>
      <c r="AC3585">
        <v>45.850499999999997</v>
      </c>
      <c r="AD3585">
        <v>1</v>
      </c>
      <c r="AE3585">
        <v>1</v>
      </c>
      <c r="AF3585">
        <v>0</v>
      </c>
      <c r="AG3585">
        <v>35304.89</v>
      </c>
      <c r="AH3585">
        <v>770</v>
      </c>
      <c r="AI3585">
        <v>768</v>
      </c>
      <c r="AJ3585">
        <v>2</v>
      </c>
      <c r="AK3585">
        <v>1</v>
      </c>
      <c r="AL3585">
        <v>1</v>
      </c>
      <c r="AM3585">
        <v>99.74</v>
      </c>
      <c r="AN3585">
        <v>46.483499999999999</v>
      </c>
      <c r="AO3585">
        <v>91.7</v>
      </c>
      <c r="AP3585" s="13">
        <v>45596</v>
      </c>
      <c r="AQ3585">
        <v>-3</v>
      </c>
      <c r="AR3585">
        <v>1</v>
      </c>
    </row>
    <row r="3586" spans="1:44" x14ac:dyDescent="0.35">
      <c r="A3586" s="12" t="s">
        <v>4505</v>
      </c>
      <c r="B3586" s="12" t="s">
        <v>76</v>
      </c>
      <c r="C3586" s="12" t="s">
        <v>77</v>
      </c>
      <c r="D3586" s="12" t="s">
        <v>78</v>
      </c>
      <c r="E3586" s="12" t="s">
        <v>65</v>
      </c>
      <c r="F3586">
        <v>2</v>
      </c>
      <c r="G3586">
        <v>4</v>
      </c>
      <c r="H3586">
        <v>0</v>
      </c>
      <c r="I3586" s="12" t="s">
        <v>79</v>
      </c>
      <c r="J3586" s="12" t="s">
        <v>80</v>
      </c>
      <c r="K3586" s="12" t="s">
        <v>81</v>
      </c>
      <c r="L3586" s="12" t="s">
        <v>82</v>
      </c>
      <c r="M3586">
        <v>12.07</v>
      </c>
      <c r="N3586" s="12" t="s">
        <v>97</v>
      </c>
      <c r="O3586" s="12" t="s">
        <v>98</v>
      </c>
      <c r="P3586" s="12" t="s">
        <v>72</v>
      </c>
      <c r="Q3586" s="13">
        <v>45573</v>
      </c>
      <c r="R3586" s="13">
        <v>45607</v>
      </c>
      <c r="S3586">
        <v>2024</v>
      </c>
      <c r="T3586" s="12" t="s">
        <v>4461</v>
      </c>
      <c r="U3586">
        <v>238</v>
      </c>
      <c r="V3586">
        <v>45.034100000000002</v>
      </c>
      <c r="W3586">
        <v>270.04000000000002</v>
      </c>
      <c r="X3586">
        <v>0</v>
      </c>
      <c r="Y3586">
        <v>0</v>
      </c>
      <c r="Z3586">
        <v>10718.12</v>
      </c>
      <c r="AA3586">
        <v>10988.16</v>
      </c>
      <c r="AB3586" s="12" t="s">
        <v>2672</v>
      </c>
      <c r="AC3586">
        <v>45.034100000000002</v>
      </c>
      <c r="AD3586">
        <v>1</v>
      </c>
      <c r="AE3586">
        <v>1</v>
      </c>
      <c r="AF3586">
        <v>0</v>
      </c>
      <c r="AG3586">
        <v>10718.12</v>
      </c>
      <c r="AH3586">
        <v>238</v>
      </c>
      <c r="AI3586">
        <v>234</v>
      </c>
      <c r="AJ3586">
        <v>4</v>
      </c>
      <c r="AK3586">
        <v>1</v>
      </c>
      <c r="AL3586">
        <v>1</v>
      </c>
      <c r="AM3586">
        <v>98.32</v>
      </c>
      <c r="AN3586">
        <v>46.957900000000002</v>
      </c>
      <c r="AO3586">
        <v>180.14</v>
      </c>
      <c r="AP3586" s="13">
        <v>45606</v>
      </c>
      <c r="AQ3586">
        <v>-1</v>
      </c>
      <c r="AR3586">
        <v>1</v>
      </c>
    </row>
    <row r="3587" spans="1:44" x14ac:dyDescent="0.35">
      <c r="A3587" s="12" t="s">
        <v>4506</v>
      </c>
      <c r="B3587" s="12" t="s">
        <v>442</v>
      </c>
      <c r="C3587" s="12" t="s">
        <v>443</v>
      </c>
      <c r="D3587" s="12" t="s">
        <v>130</v>
      </c>
      <c r="E3587" s="12" t="s">
        <v>65</v>
      </c>
      <c r="F3587">
        <v>3</v>
      </c>
      <c r="G3587">
        <v>4</v>
      </c>
      <c r="H3587">
        <v>0</v>
      </c>
      <c r="I3587" s="12" t="s">
        <v>251</v>
      </c>
      <c r="J3587" s="12" t="s">
        <v>252</v>
      </c>
      <c r="K3587" s="12" t="s">
        <v>133</v>
      </c>
      <c r="L3587" s="12" t="s">
        <v>69</v>
      </c>
      <c r="M3587">
        <v>34.49</v>
      </c>
      <c r="N3587" s="12" t="s">
        <v>135</v>
      </c>
      <c r="O3587" s="12" t="s">
        <v>136</v>
      </c>
      <c r="P3587" s="12" t="s">
        <v>137</v>
      </c>
      <c r="Q3587" s="13">
        <v>45573</v>
      </c>
      <c r="R3587" s="13">
        <v>45594</v>
      </c>
      <c r="S3587">
        <v>2024</v>
      </c>
      <c r="T3587" s="12" t="s">
        <v>4461</v>
      </c>
      <c r="U3587">
        <v>14</v>
      </c>
      <c r="V3587">
        <v>577.56029999999998</v>
      </c>
      <c r="W3587">
        <v>171.31</v>
      </c>
      <c r="X3587">
        <v>0</v>
      </c>
      <c r="Y3587">
        <v>0</v>
      </c>
      <c r="Z3587">
        <v>8085.84</v>
      </c>
      <c r="AA3587">
        <v>8257.15</v>
      </c>
      <c r="AB3587" s="12" t="s">
        <v>3116</v>
      </c>
      <c r="AC3587">
        <v>560.57730000000004</v>
      </c>
      <c r="AD3587">
        <v>1</v>
      </c>
      <c r="AE3587">
        <v>1</v>
      </c>
      <c r="AF3587">
        <v>237.76</v>
      </c>
      <c r="AG3587">
        <v>7848.08</v>
      </c>
      <c r="AH3587">
        <v>14</v>
      </c>
      <c r="AI3587">
        <v>14</v>
      </c>
      <c r="AJ3587">
        <v>0</v>
      </c>
      <c r="AK3587">
        <v>1</v>
      </c>
      <c r="AL3587">
        <v>1</v>
      </c>
      <c r="AM3587">
        <v>100</v>
      </c>
      <c r="AN3587">
        <v>589.79669999999999</v>
      </c>
      <c r="AO3587">
        <v>0</v>
      </c>
      <c r="AP3587" s="13">
        <v>45593</v>
      </c>
      <c r="AQ3587">
        <v>-1</v>
      </c>
      <c r="AR3587">
        <v>1</v>
      </c>
    </row>
    <row r="3588" spans="1:44" x14ac:dyDescent="0.35">
      <c r="A3588" s="12" t="s">
        <v>4507</v>
      </c>
      <c r="B3588" s="12" t="s">
        <v>621</v>
      </c>
      <c r="C3588" s="12" t="s">
        <v>622</v>
      </c>
      <c r="D3588" s="12" t="s">
        <v>103</v>
      </c>
      <c r="E3588" s="12" t="s">
        <v>65</v>
      </c>
      <c r="F3588">
        <v>1</v>
      </c>
      <c r="G3588">
        <v>2</v>
      </c>
      <c r="H3588">
        <v>1</v>
      </c>
      <c r="I3588" s="12" t="s">
        <v>486</v>
      </c>
      <c r="J3588" s="12" t="s">
        <v>487</v>
      </c>
      <c r="K3588" s="12" t="s">
        <v>125</v>
      </c>
      <c r="L3588" s="12" t="s">
        <v>69</v>
      </c>
      <c r="M3588">
        <v>36.86</v>
      </c>
      <c r="N3588" s="12" t="s">
        <v>145</v>
      </c>
      <c r="O3588" s="12" t="s">
        <v>146</v>
      </c>
      <c r="P3588" s="12" t="s">
        <v>109</v>
      </c>
      <c r="Q3588" s="13">
        <v>45573</v>
      </c>
      <c r="R3588" s="13">
        <v>45602</v>
      </c>
      <c r="S3588">
        <v>2024</v>
      </c>
      <c r="T3588" s="12" t="s">
        <v>4461</v>
      </c>
      <c r="U3588">
        <v>73</v>
      </c>
      <c r="V3588">
        <v>201.08609999999999</v>
      </c>
      <c r="W3588">
        <v>199.99</v>
      </c>
      <c r="X3588">
        <v>0</v>
      </c>
      <c r="Y3588">
        <v>0</v>
      </c>
      <c r="Z3588">
        <v>14679.29</v>
      </c>
      <c r="AA3588">
        <v>14879.28</v>
      </c>
      <c r="AB3588" s="12" t="s">
        <v>2658</v>
      </c>
      <c r="AC3588">
        <v>201.08609999999999</v>
      </c>
      <c r="AD3588">
        <v>1</v>
      </c>
      <c r="AE3588">
        <v>1</v>
      </c>
      <c r="AF3588">
        <v>0</v>
      </c>
      <c r="AG3588">
        <v>14679.29</v>
      </c>
      <c r="AH3588">
        <v>73</v>
      </c>
      <c r="AI3588">
        <v>73</v>
      </c>
      <c r="AJ3588">
        <v>0</v>
      </c>
      <c r="AK3588">
        <v>1</v>
      </c>
      <c r="AL3588">
        <v>1</v>
      </c>
      <c r="AM3588">
        <v>100</v>
      </c>
      <c r="AN3588">
        <v>203.82570000000001</v>
      </c>
      <c r="AO3588">
        <v>0</v>
      </c>
      <c r="AP3588" s="13">
        <v>45601</v>
      </c>
      <c r="AQ3588">
        <v>-1</v>
      </c>
      <c r="AR3588">
        <v>1</v>
      </c>
    </row>
    <row r="3589" spans="1:44" x14ac:dyDescent="0.35">
      <c r="A3589" s="12" t="s">
        <v>4508</v>
      </c>
      <c r="B3589" s="12" t="s">
        <v>289</v>
      </c>
      <c r="C3589" s="12" t="s">
        <v>290</v>
      </c>
      <c r="D3589" s="12" t="s">
        <v>175</v>
      </c>
      <c r="E3589" s="12" t="s">
        <v>104</v>
      </c>
      <c r="F3589">
        <v>3</v>
      </c>
      <c r="G3589">
        <v>1</v>
      </c>
      <c r="H3589">
        <v>0</v>
      </c>
      <c r="I3589" s="12" t="s">
        <v>157</v>
      </c>
      <c r="J3589" s="12" t="s">
        <v>158</v>
      </c>
      <c r="K3589" s="12" t="s">
        <v>117</v>
      </c>
      <c r="L3589" s="12" t="s">
        <v>96</v>
      </c>
      <c r="M3589">
        <v>4.72</v>
      </c>
      <c r="N3589" s="12" t="s">
        <v>107</v>
      </c>
      <c r="O3589" s="12" t="s">
        <v>108</v>
      </c>
      <c r="P3589" s="12" t="s">
        <v>109</v>
      </c>
      <c r="Q3589" s="13">
        <v>45573</v>
      </c>
      <c r="R3589" s="13">
        <v>45586</v>
      </c>
      <c r="S3589">
        <v>2024</v>
      </c>
      <c r="T3589" s="12" t="s">
        <v>4461</v>
      </c>
      <c r="U3589">
        <v>23</v>
      </c>
      <c r="V3589">
        <v>184.24529999999999</v>
      </c>
      <c r="W3589">
        <v>26.52</v>
      </c>
      <c r="X3589">
        <v>0</v>
      </c>
      <c r="Y3589">
        <v>0</v>
      </c>
      <c r="Z3589">
        <v>4237.6400000000003</v>
      </c>
      <c r="AA3589">
        <v>4264.16</v>
      </c>
      <c r="AB3589" s="12" t="s">
        <v>2676</v>
      </c>
      <c r="AC3589">
        <v>184.24529999999999</v>
      </c>
      <c r="AD3589">
        <v>1</v>
      </c>
      <c r="AE3589">
        <v>1</v>
      </c>
      <c r="AF3589">
        <v>0</v>
      </c>
      <c r="AG3589">
        <v>4237.6400000000003</v>
      </c>
      <c r="AH3589">
        <v>23</v>
      </c>
      <c r="AI3589">
        <v>23</v>
      </c>
      <c r="AJ3589">
        <v>0</v>
      </c>
      <c r="AK3589">
        <v>1</v>
      </c>
      <c r="AL3589">
        <v>1</v>
      </c>
      <c r="AM3589">
        <v>100</v>
      </c>
      <c r="AN3589">
        <v>185.39830000000001</v>
      </c>
      <c r="AO3589">
        <v>0</v>
      </c>
      <c r="AP3589" s="13">
        <v>45586</v>
      </c>
      <c r="AQ3589">
        <v>0</v>
      </c>
      <c r="AR3589">
        <v>1</v>
      </c>
    </row>
    <row r="3590" spans="1:44" x14ac:dyDescent="0.35">
      <c r="A3590" s="12" t="s">
        <v>4509</v>
      </c>
      <c r="B3590" s="12" t="s">
        <v>561</v>
      </c>
      <c r="C3590" s="12" t="s">
        <v>562</v>
      </c>
      <c r="D3590" s="12" t="s">
        <v>130</v>
      </c>
      <c r="E3590" s="12" t="s">
        <v>142</v>
      </c>
      <c r="F3590">
        <v>1</v>
      </c>
      <c r="G3590">
        <v>9</v>
      </c>
      <c r="H3590">
        <v>1</v>
      </c>
      <c r="I3590" s="12" t="s">
        <v>223</v>
      </c>
      <c r="J3590" s="12" t="s">
        <v>224</v>
      </c>
      <c r="K3590" s="12" t="s">
        <v>81</v>
      </c>
      <c r="L3590" s="12" t="s">
        <v>134</v>
      </c>
      <c r="M3590">
        <v>2.4900000000000002</v>
      </c>
      <c r="N3590" s="12" t="s">
        <v>135</v>
      </c>
      <c r="O3590" s="12" t="s">
        <v>136</v>
      </c>
      <c r="P3590" s="12" t="s">
        <v>137</v>
      </c>
      <c r="Q3590" s="13">
        <v>45573</v>
      </c>
      <c r="R3590" s="13">
        <v>45616</v>
      </c>
      <c r="S3590">
        <v>2024</v>
      </c>
      <c r="T3590" s="12" t="s">
        <v>4461</v>
      </c>
      <c r="U3590">
        <v>77</v>
      </c>
      <c r="V3590">
        <v>553.68700000000001</v>
      </c>
      <c r="W3590">
        <v>473.81</v>
      </c>
      <c r="X3590">
        <v>0</v>
      </c>
      <c r="Y3590">
        <v>0</v>
      </c>
      <c r="Z3590">
        <v>42633.9</v>
      </c>
      <c r="AA3590">
        <v>43107.71</v>
      </c>
      <c r="AB3590" s="12" t="s">
        <v>201</v>
      </c>
      <c r="AD3590">
        <v>0</v>
      </c>
      <c r="AE3590">
        <v>0</v>
      </c>
      <c r="AH3590">
        <v>77</v>
      </c>
      <c r="AI3590">
        <v>76</v>
      </c>
      <c r="AJ3590">
        <v>1</v>
      </c>
      <c r="AK3590">
        <v>1</v>
      </c>
      <c r="AL3590">
        <v>1</v>
      </c>
      <c r="AM3590">
        <v>98.7</v>
      </c>
      <c r="AN3590">
        <v>567.20669999999996</v>
      </c>
      <c r="AO3590">
        <v>553.69000000000005</v>
      </c>
      <c r="AP3590" s="13">
        <v>45614</v>
      </c>
      <c r="AQ3590">
        <v>-2</v>
      </c>
      <c r="AR3590">
        <v>1</v>
      </c>
    </row>
    <row r="3591" spans="1:44" x14ac:dyDescent="0.35">
      <c r="A3591" s="12" t="s">
        <v>4510</v>
      </c>
      <c r="B3591" s="12" t="s">
        <v>1034</v>
      </c>
      <c r="C3591" s="12" t="s">
        <v>1035</v>
      </c>
      <c r="D3591" s="12" t="s">
        <v>64</v>
      </c>
      <c r="E3591" s="12" t="s">
        <v>104</v>
      </c>
      <c r="F3591">
        <v>2</v>
      </c>
      <c r="G3591">
        <v>0</v>
      </c>
      <c r="H3591">
        <v>0</v>
      </c>
      <c r="I3591" s="12" t="s">
        <v>157</v>
      </c>
      <c r="J3591" s="12" t="s">
        <v>158</v>
      </c>
      <c r="K3591" s="12" t="s">
        <v>117</v>
      </c>
      <c r="L3591" s="12" t="s">
        <v>96</v>
      </c>
      <c r="M3591">
        <v>4.72</v>
      </c>
      <c r="N3591" s="12" t="s">
        <v>97</v>
      </c>
      <c r="O3591" s="12" t="s">
        <v>98</v>
      </c>
      <c r="P3591" s="12" t="s">
        <v>72</v>
      </c>
      <c r="Q3591" s="13">
        <v>45574</v>
      </c>
      <c r="R3591" s="13">
        <v>45597</v>
      </c>
      <c r="S3591">
        <v>2024</v>
      </c>
      <c r="T3591" s="12" t="s">
        <v>4461</v>
      </c>
      <c r="U3591">
        <v>691</v>
      </c>
      <c r="V3591">
        <v>9.5709</v>
      </c>
      <c r="W3591">
        <v>44.09</v>
      </c>
      <c r="X3591">
        <v>0</v>
      </c>
      <c r="Y3591">
        <v>0</v>
      </c>
      <c r="Z3591">
        <v>6613.49</v>
      </c>
      <c r="AA3591">
        <v>6657.58</v>
      </c>
      <c r="AB3591" s="12" t="s">
        <v>3309</v>
      </c>
      <c r="AC3591">
        <v>9.2698</v>
      </c>
      <c r="AD3591">
        <v>1</v>
      </c>
      <c r="AE3591">
        <v>1</v>
      </c>
      <c r="AF3591">
        <v>208.06</v>
      </c>
      <c r="AG3591">
        <v>6405.43</v>
      </c>
      <c r="AH3591">
        <v>691</v>
      </c>
      <c r="AI3591">
        <v>684</v>
      </c>
      <c r="AJ3591">
        <v>7</v>
      </c>
      <c r="AK3591">
        <v>1</v>
      </c>
      <c r="AL3591">
        <v>1</v>
      </c>
      <c r="AM3591">
        <v>98.99</v>
      </c>
      <c r="AN3591">
        <v>9.7332999999999998</v>
      </c>
      <c r="AO3591">
        <v>67</v>
      </c>
      <c r="AP3591" s="13">
        <v>45594</v>
      </c>
      <c r="AQ3591">
        <v>-3</v>
      </c>
      <c r="AR3591">
        <v>1</v>
      </c>
    </row>
    <row r="3592" spans="1:44" x14ac:dyDescent="0.35">
      <c r="A3592" s="12" t="s">
        <v>4511</v>
      </c>
      <c r="B3592" s="12" t="s">
        <v>513</v>
      </c>
      <c r="C3592" s="12" t="s">
        <v>514</v>
      </c>
      <c r="D3592" s="12" t="s">
        <v>269</v>
      </c>
      <c r="E3592" s="12" t="s">
        <v>65</v>
      </c>
      <c r="F3592">
        <v>1</v>
      </c>
      <c r="G3592">
        <v>2</v>
      </c>
      <c r="H3592">
        <v>1</v>
      </c>
      <c r="I3592" s="12" t="s">
        <v>515</v>
      </c>
      <c r="J3592" s="12" t="s">
        <v>516</v>
      </c>
      <c r="K3592" s="12" t="s">
        <v>68</v>
      </c>
      <c r="L3592" s="12" t="s">
        <v>134</v>
      </c>
      <c r="M3592">
        <v>3.69</v>
      </c>
      <c r="N3592" s="12" t="s">
        <v>159</v>
      </c>
      <c r="O3592" s="12" t="s">
        <v>160</v>
      </c>
      <c r="P3592" s="12" t="s">
        <v>137</v>
      </c>
      <c r="Q3592" s="13">
        <v>45574</v>
      </c>
      <c r="R3592" s="13">
        <v>45605</v>
      </c>
      <c r="S3592">
        <v>2024</v>
      </c>
      <c r="T3592" s="12" t="s">
        <v>4461</v>
      </c>
      <c r="U3592">
        <v>93</v>
      </c>
      <c r="V3592">
        <v>229.93989999999999</v>
      </c>
      <c r="W3592">
        <v>249.55</v>
      </c>
      <c r="X3592">
        <v>0</v>
      </c>
      <c r="Y3592">
        <v>0</v>
      </c>
      <c r="Z3592">
        <v>21384.41</v>
      </c>
      <c r="AA3592">
        <v>21633.96</v>
      </c>
      <c r="AB3592" s="12" t="s">
        <v>201</v>
      </c>
      <c r="AD3592">
        <v>0</v>
      </c>
      <c r="AE3592">
        <v>0</v>
      </c>
      <c r="AH3592">
        <v>93</v>
      </c>
      <c r="AI3592">
        <v>92</v>
      </c>
      <c r="AJ3592">
        <v>1</v>
      </c>
      <c r="AK3592">
        <v>1</v>
      </c>
      <c r="AL3592">
        <v>1</v>
      </c>
      <c r="AM3592">
        <v>98.92</v>
      </c>
      <c r="AN3592">
        <v>235.15170000000001</v>
      </c>
      <c r="AO3592">
        <v>229.94</v>
      </c>
      <c r="AP3592" s="13">
        <v>45608</v>
      </c>
      <c r="AQ3592">
        <v>3</v>
      </c>
      <c r="AR3592">
        <v>0</v>
      </c>
    </row>
    <row r="3593" spans="1:44" x14ac:dyDescent="0.35">
      <c r="A3593" s="12" t="s">
        <v>4512</v>
      </c>
      <c r="B3593" s="12" t="s">
        <v>728</v>
      </c>
      <c r="C3593" s="12" t="s">
        <v>729</v>
      </c>
      <c r="D3593" s="12" t="s">
        <v>269</v>
      </c>
      <c r="E3593" s="12" t="s">
        <v>65</v>
      </c>
      <c r="F3593">
        <v>2</v>
      </c>
      <c r="G3593">
        <v>3</v>
      </c>
      <c r="H3593">
        <v>0</v>
      </c>
      <c r="I3593" s="12" t="s">
        <v>243</v>
      </c>
      <c r="J3593" s="12" t="s">
        <v>244</v>
      </c>
      <c r="K3593" s="12" t="s">
        <v>81</v>
      </c>
      <c r="L3593" s="12" t="s">
        <v>82</v>
      </c>
      <c r="M3593">
        <v>9.2200000000000006</v>
      </c>
      <c r="N3593" s="12" t="s">
        <v>159</v>
      </c>
      <c r="O3593" s="12" t="s">
        <v>160</v>
      </c>
      <c r="P3593" s="12" t="s">
        <v>137</v>
      </c>
      <c r="Q3593" s="13">
        <v>45574</v>
      </c>
      <c r="R3593" s="13">
        <v>45611</v>
      </c>
      <c r="S3593">
        <v>2024</v>
      </c>
      <c r="T3593" s="12" t="s">
        <v>4461</v>
      </c>
      <c r="U3593">
        <v>136</v>
      </c>
      <c r="V3593">
        <v>364.83319999999998</v>
      </c>
      <c r="W3593">
        <v>309.08999999999997</v>
      </c>
      <c r="X3593">
        <v>0</v>
      </c>
      <c r="Y3593">
        <v>0</v>
      </c>
      <c r="Z3593">
        <v>49617.32</v>
      </c>
      <c r="AA3593">
        <v>49926.41</v>
      </c>
      <c r="AB3593" s="12" t="s">
        <v>3540</v>
      </c>
      <c r="AC3593">
        <v>364.83319999999998</v>
      </c>
      <c r="AD3593">
        <v>1</v>
      </c>
      <c r="AE3593">
        <v>1</v>
      </c>
      <c r="AF3593">
        <v>0</v>
      </c>
      <c r="AG3593">
        <v>49617.32</v>
      </c>
      <c r="AH3593">
        <v>136</v>
      </c>
      <c r="AI3593">
        <v>134</v>
      </c>
      <c r="AJ3593">
        <v>2</v>
      </c>
      <c r="AK3593">
        <v>1</v>
      </c>
      <c r="AL3593">
        <v>1</v>
      </c>
      <c r="AM3593">
        <v>98.53</v>
      </c>
      <c r="AN3593">
        <v>372.58510000000001</v>
      </c>
      <c r="AO3593">
        <v>729.67</v>
      </c>
      <c r="AP3593" s="13">
        <v>45617</v>
      </c>
      <c r="AQ3593">
        <v>6</v>
      </c>
      <c r="AR3593">
        <v>0</v>
      </c>
    </row>
    <row r="3594" spans="1:44" x14ac:dyDescent="0.35">
      <c r="A3594" s="12" t="s">
        <v>4513</v>
      </c>
      <c r="B3594" s="12" t="s">
        <v>255</v>
      </c>
      <c r="C3594" s="12" t="s">
        <v>256</v>
      </c>
      <c r="D3594" s="12" t="s">
        <v>103</v>
      </c>
      <c r="E3594" s="12" t="s">
        <v>65</v>
      </c>
      <c r="F3594">
        <v>2</v>
      </c>
      <c r="G3594">
        <v>4</v>
      </c>
      <c r="H3594">
        <v>0</v>
      </c>
      <c r="I3594" s="12" t="s">
        <v>143</v>
      </c>
      <c r="J3594" s="12" t="s">
        <v>144</v>
      </c>
      <c r="K3594" s="12" t="s">
        <v>133</v>
      </c>
      <c r="L3594" s="12" t="s">
        <v>96</v>
      </c>
      <c r="M3594">
        <v>5.43</v>
      </c>
      <c r="N3594" s="12" t="s">
        <v>145</v>
      </c>
      <c r="O3594" s="12" t="s">
        <v>146</v>
      </c>
      <c r="P3594" s="12" t="s">
        <v>109</v>
      </c>
      <c r="Q3594" s="13">
        <v>45574</v>
      </c>
      <c r="R3594" s="13">
        <v>45602</v>
      </c>
      <c r="S3594">
        <v>2024</v>
      </c>
      <c r="T3594" s="12" t="s">
        <v>4461</v>
      </c>
      <c r="U3594">
        <v>64</v>
      </c>
      <c r="V3594">
        <v>95.073300000000003</v>
      </c>
      <c r="W3594">
        <v>68.16</v>
      </c>
      <c r="X3594">
        <v>0</v>
      </c>
      <c r="Y3594">
        <v>0</v>
      </c>
      <c r="Z3594">
        <v>6084.69</v>
      </c>
      <c r="AA3594">
        <v>6152.85</v>
      </c>
      <c r="AB3594" s="12" t="s">
        <v>2616</v>
      </c>
      <c r="AC3594">
        <v>95.073300000000003</v>
      </c>
      <c r="AD3594">
        <v>1</v>
      </c>
      <c r="AE3594">
        <v>1</v>
      </c>
      <c r="AF3594">
        <v>0</v>
      </c>
      <c r="AG3594">
        <v>6084.69</v>
      </c>
      <c r="AH3594">
        <v>64</v>
      </c>
      <c r="AI3594">
        <v>64</v>
      </c>
      <c r="AJ3594">
        <v>0</v>
      </c>
      <c r="AK3594">
        <v>1</v>
      </c>
      <c r="AL3594">
        <v>1</v>
      </c>
      <c r="AM3594">
        <v>100</v>
      </c>
      <c r="AN3594">
        <v>96.138300000000001</v>
      </c>
      <c r="AO3594">
        <v>0</v>
      </c>
      <c r="AP3594" s="13">
        <v>45607</v>
      </c>
      <c r="AQ3594">
        <v>5</v>
      </c>
      <c r="AR3594">
        <v>0</v>
      </c>
    </row>
    <row r="3595" spans="1:44" x14ac:dyDescent="0.35">
      <c r="A3595" s="12" t="s">
        <v>4514</v>
      </c>
      <c r="B3595" s="12" t="s">
        <v>736</v>
      </c>
      <c r="C3595" s="12" t="s">
        <v>737</v>
      </c>
      <c r="D3595" s="12" t="s">
        <v>64</v>
      </c>
      <c r="E3595" s="12" t="s">
        <v>104</v>
      </c>
      <c r="F3595">
        <v>3</v>
      </c>
      <c r="G3595">
        <v>1</v>
      </c>
      <c r="H3595">
        <v>0</v>
      </c>
      <c r="I3595" s="12" t="s">
        <v>94</v>
      </c>
      <c r="J3595" s="12" t="s">
        <v>95</v>
      </c>
      <c r="K3595" s="12" t="s">
        <v>81</v>
      </c>
      <c r="L3595" s="12" t="s">
        <v>96</v>
      </c>
      <c r="M3595">
        <v>4.8099999999999996</v>
      </c>
      <c r="N3595" s="12" t="s">
        <v>70</v>
      </c>
      <c r="O3595" s="12" t="s">
        <v>71</v>
      </c>
      <c r="P3595" s="12" t="s">
        <v>72</v>
      </c>
      <c r="Q3595" s="13">
        <v>45574</v>
      </c>
      <c r="R3595" s="13">
        <v>45594</v>
      </c>
      <c r="S3595">
        <v>2024</v>
      </c>
      <c r="T3595" s="12" t="s">
        <v>4461</v>
      </c>
      <c r="U3595">
        <v>543</v>
      </c>
      <c r="V3595">
        <v>22.894600000000001</v>
      </c>
      <c r="W3595">
        <v>219.29</v>
      </c>
      <c r="X3595">
        <v>0</v>
      </c>
      <c r="Y3595">
        <v>0</v>
      </c>
      <c r="Z3595">
        <v>12431.77</v>
      </c>
      <c r="AA3595">
        <v>12651.06</v>
      </c>
      <c r="AB3595" s="12" t="s">
        <v>3251</v>
      </c>
      <c r="AC3595">
        <v>22.894600000000001</v>
      </c>
      <c r="AD3595">
        <v>1</v>
      </c>
      <c r="AE3595">
        <v>1</v>
      </c>
      <c r="AF3595">
        <v>0</v>
      </c>
      <c r="AG3595">
        <v>12431.77</v>
      </c>
      <c r="AH3595">
        <v>543</v>
      </c>
      <c r="AI3595">
        <v>535</v>
      </c>
      <c r="AJ3595">
        <v>8</v>
      </c>
      <c r="AK3595">
        <v>1</v>
      </c>
      <c r="AL3595">
        <v>1</v>
      </c>
      <c r="AM3595">
        <v>98.53</v>
      </c>
      <c r="AN3595">
        <v>23.646799999999999</v>
      </c>
      <c r="AO3595">
        <v>183.16</v>
      </c>
      <c r="AP3595" s="13">
        <v>45593</v>
      </c>
      <c r="AQ3595">
        <v>-1</v>
      </c>
      <c r="AR3595">
        <v>1</v>
      </c>
    </row>
    <row r="3596" spans="1:44" x14ac:dyDescent="0.35">
      <c r="A3596" s="12" t="s">
        <v>4515</v>
      </c>
      <c r="B3596" s="12" t="s">
        <v>902</v>
      </c>
      <c r="C3596" s="12" t="s">
        <v>903</v>
      </c>
      <c r="D3596" s="12" t="s">
        <v>122</v>
      </c>
      <c r="E3596" s="12" t="s">
        <v>142</v>
      </c>
      <c r="F3596">
        <v>1</v>
      </c>
      <c r="G3596">
        <v>6</v>
      </c>
      <c r="H3596">
        <v>1</v>
      </c>
      <c r="I3596" s="12" t="s">
        <v>105</v>
      </c>
      <c r="J3596" s="12" t="s">
        <v>106</v>
      </c>
      <c r="K3596" s="12" t="s">
        <v>81</v>
      </c>
      <c r="L3596" s="12" t="s">
        <v>96</v>
      </c>
      <c r="M3596">
        <v>5.01</v>
      </c>
      <c r="N3596" s="12" t="s">
        <v>97</v>
      </c>
      <c r="O3596" s="12" t="s">
        <v>98</v>
      </c>
      <c r="P3596" s="12" t="s">
        <v>72</v>
      </c>
      <c r="Q3596" s="13">
        <v>45574</v>
      </c>
      <c r="R3596" s="13">
        <v>45618</v>
      </c>
      <c r="S3596">
        <v>2024</v>
      </c>
      <c r="T3596" s="12" t="s">
        <v>4461</v>
      </c>
      <c r="U3596">
        <v>1120</v>
      </c>
      <c r="V3596">
        <v>41.6892</v>
      </c>
      <c r="W3596">
        <v>1198.29</v>
      </c>
      <c r="X3596">
        <v>0</v>
      </c>
      <c r="Y3596">
        <v>0</v>
      </c>
      <c r="Z3596">
        <v>46691.9</v>
      </c>
      <c r="AA3596">
        <v>47890.19</v>
      </c>
      <c r="AB3596" s="12" t="s">
        <v>3284</v>
      </c>
      <c r="AC3596">
        <v>41.6892</v>
      </c>
      <c r="AD3596">
        <v>1</v>
      </c>
      <c r="AE3596">
        <v>1</v>
      </c>
      <c r="AF3596">
        <v>0</v>
      </c>
      <c r="AG3596">
        <v>46691.9</v>
      </c>
      <c r="AH3596">
        <v>1120</v>
      </c>
      <c r="AI3596">
        <v>1114</v>
      </c>
      <c r="AJ3596">
        <v>6</v>
      </c>
      <c r="AK3596">
        <v>1</v>
      </c>
      <c r="AL3596">
        <v>1</v>
      </c>
      <c r="AM3596">
        <v>99.46</v>
      </c>
      <c r="AN3596">
        <v>42.989400000000003</v>
      </c>
      <c r="AO3596">
        <v>250.14</v>
      </c>
      <c r="AP3596" s="13">
        <v>45618</v>
      </c>
      <c r="AQ3596">
        <v>0</v>
      </c>
      <c r="AR3596">
        <v>1</v>
      </c>
    </row>
    <row r="3597" spans="1:44" x14ac:dyDescent="0.35">
      <c r="A3597" s="12" t="s">
        <v>4516</v>
      </c>
      <c r="B3597" s="12" t="s">
        <v>433</v>
      </c>
      <c r="C3597" s="12" t="s">
        <v>434</v>
      </c>
      <c r="D3597" s="12" t="s">
        <v>78</v>
      </c>
      <c r="E3597" s="12" t="s">
        <v>65</v>
      </c>
      <c r="F3597">
        <v>2</v>
      </c>
      <c r="G3597">
        <v>4</v>
      </c>
      <c r="H3597">
        <v>0</v>
      </c>
      <c r="I3597" s="12" t="s">
        <v>105</v>
      </c>
      <c r="J3597" s="12" t="s">
        <v>106</v>
      </c>
      <c r="K3597" s="12" t="s">
        <v>81</v>
      </c>
      <c r="L3597" s="12" t="s">
        <v>96</v>
      </c>
      <c r="M3597">
        <v>5.01</v>
      </c>
      <c r="N3597" s="12" t="s">
        <v>70</v>
      </c>
      <c r="O3597" s="12" t="s">
        <v>71</v>
      </c>
      <c r="P3597" s="12" t="s">
        <v>72</v>
      </c>
      <c r="Q3597" s="13">
        <v>45574</v>
      </c>
      <c r="R3597" s="13">
        <v>45612</v>
      </c>
      <c r="S3597">
        <v>2024</v>
      </c>
      <c r="T3597" s="12" t="s">
        <v>4461</v>
      </c>
      <c r="U3597">
        <v>285</v>
      </c>
      <c r="V3597">
        <v>75.462299999999999</v>
      </c>
      <c r="W3597">
        <v>394.98</v>
      </c>
      <c r="X3597">
        <v>0</v>
      </c>
      <c r="Y3597">
        <v>0</v>
      </c>
      <c r="Z3597">
        <v>21506.76</v>
      </c>
      <c r="AA3597">
        <v>21901.74</v>
      </c>
      <c r="AB3597" s="12" t="s">
        <v>2930</v>
      </c>
      <c r="AC3597">
        <v>72.364500000000007</v>
      </c>
      <c r="AD3597">
        <v>1</v>
      </c>
      <c r="AE3597">
        <v>1</v>
      </c>
      <c r="AF3597">
        <v>882.87</v>
      </c>
      <c r="AG3597">
        <v>20623.88</v>
      </c>
      <c r="AH3597">
        <v>285</v>
      </c>
      <c r="AI3597">
        <v>279</v>
      </c>
      <c r="AJ3597">
        <v>6</v>
      </c>
      <c r="AK3597">
        <v>1</v>
      </c>
      <c r="AL3597">
        <v>1</v>
      </c>
      <c r="AM3597">
        <v>97.89</v>
      </c>
      <c r="AN3597">
        <v>78.500799999999998</v>
      </c>
      <c r="AO3597">
        <v>452.77</v>
      </c>
      <c r="AP3597" s="13">
        <v>45611</v>
      </c>
      <c r="AQ3597">
        <v>-1</v>
      </c>
      <c r="AR3597">
        <v>1</v>
      </c>
    </row>
    <row r="3598" spans="1:44" x14ac:dyDescent="0.35">
      <c r="A3598" s="12" t="s">
        <v>4517</v>
      </c>
      <c r="B3598" s="12" t="s">
        <v>149</v>
      </c>
      <c r="C3598" s="12" t="s">
        <v>150</v>
      </c>
      <c r="D3598" s="12" t="s">
        <v>78</v>
      </c>
      <c r="E3598" s="12" t="s">
        <v>65</v>
      </c>
      <c r="F3598">
        <v>2</v>
      </c>
      <c r="G3598">
        <v>2</v>
      </c>
      <c r="H3598">
        <v>0</v>
      </c>
      <c r="I3598" s="12" t="s">
        <v>151</v>
      </c>
      <c r="J3598" s="12" t="s">
        <v>152</v>
      </c>
      <c r="K3598" s="12" t="s">
        <v>125</v>
      </c>
      <c r="L3598" s="12" t="s">
        <v>69</v>
      </c>
      <c r="M3598">
        <v>36.479999999999997</v>
      </c>
      <c r="N3598" s="12" t="s">
        <v>97</v>
      </c>
      <c r="O3598" s="12" t="s">
        <v>98</v>
      </c>
      <c r="P3598" s="12" t="s">
        <v>72</v>
      </c>
      <c r="Q3598" s="13">
        <v>45575</v>
      </c>
      <c r="R3598" s="13">
        <v>45605</v>
      </c>
      <c r="S3598">
        <v>2024</v>
      </c>
      <c r="T3598" s="12" t="s">
        <v>4461</v>
      </c>
      <c r="U3598">
        <v>173</v>
      </c>
      <c r="V3598">
        <v>70.838700000000003</v>
      </c>
      <c r="W3598">
        <v>216.71</v>
      </c>
      <c r="X3598">
        <v>0</v>
      </c>
      <c r="Y3598">
        <v>0</v>
      </c>
      <c r="Z3598">
        <v>12255.1</v>
      </c>
      <c r="AA3598">
        <v>12471.81</v>
      </c>
      <c r="AB3598" s="12" t="s">
        <v>2546</v>
      </c>
      <c r="AC3598">
        <v>70.838700000000003</v>
      </c>
      <c r="AD3598">
        <v>1</v>
      </c>
      <c r="AE3598">
        <v>1</v>
      </c>
      <c r="AF3598">
        <v>0</v>
      </c>
      <c r="AG3598">
        <v>12255.1</v>
      </c>
      <c r="AH3598">
        <v>173</v>
      </c>
      <c r="AI3598">
        <v>171</v>
      </c>
      <c r="AJ3598">
        <v>2</v>
      </c>
      <c r="AK3598">
        <v>1</v>
      </c>
      <c r="AL3598">
        <v>1</v>
      </c>
      <c r="AM3598">
        <v>98.84</v>
      </c>
      <c r="AN3598">
        <v>72.9345</v>
      </c>
      <c r="AO3598">
        <v>141.68</v>
      </c>
      <c r="AP3598" s="13">
        <v>45603</v>
      </c>
      <c r="AQ3598">
        <v>-2</v>
      </c>
      <c r="AR3598">
        <v>1</v>
      </c>
    </row>
    <row r="3599" spans="1:44" x14ac:dyDescent="0.35">
      <c r="A3599" s="12" t="s">
        <v>4518</v>
      </c>
      <c r="B3599" s="12" t="s">
        <v>1034</v>
      </c>
      <c r="C3599" s="12" t="s">
        <v>1035</v>
      </c>
      <c r="D3599" s="12" t="s">
        <v>64</v>
      </c>
      <c r="E3599" s="12" t="s">
        <v>104</v>
      </c>
      <c r="F3599">
        <v>2</v>
      </c>
      <c r="G3599">
        <v>0</v>
      </c>
      <c r="H3599">
        <v>0</v>
      </c>
      <c r="I3599" s="12" t="s">
        <v>157</v>
      </c>
      <c r="J3599" s="12" t="s">
        <v>158</v>
      </c>
      <c r="K3599" s="12" t="s">
        <v>117</v>
      </c>
      <c r="L3599" s="12" t="s">
        <v>96</v>
      </c>
      <c r="M3599">
        <v>4.72</v>
      </c>
      <c r="N3599" s="12" t="s">
        <v>97</v>
      </c>
      <c r="O3599" s="12" t="s">
        <v>98</v>
      </c>
      <c r="P3599" s="12" t="s">
        <v>72</v>
      </c>
      <c r="Q3599" s="13">
        <v>45575</v>
      </c>
      <c r="R3599" s="13">
        <v>45590</v>
      </c>
      <c r="S3599">
        <v>2024</v>
      </c>
      <c r="T3599" s="12" t="s">
        <v>4461</v>
      </c>
      <c r="U3599">
        <v>258</v>
      </c>
      <c r="V3599">
        <v>9.2698</v>
      </c>
      <c r="W3599">
        <v>16.170000000000002</v>
      </c>
      <c r="X3599">
        <v>0</v>
      </c>
      <c r="Y3599">
        <v>0</v>
      </c>
      <c r="Z3599">
        <v>2391.61</v>
      </c>
      <c r="AA3599">
        <v>2407.7800000000002</v>
      </c>
      <c r="AB3599" s="12" t="s">
        <v>3309</v>
      </c>
      <c r="AC3599">
        <v>9.2698</v>
      </c>
      <c r="AD3599">
        <v>1</v>
      </c>
      <c r="AE3599">
        <v>1</v>
      </c>
      <c r="AF3599">
        <v>0</v>
      </c>
      <c r="AG3599">
        <v>2391.61</v>
      </c>
      <c r="AH3599">
        <v>258</v>
      </c>
      <c r="AI3599">
        <v>256</v>
      </c>
      <c r="AJ3599">
        <v>2</v>
      </c>
      <c r="AK3599">
        <v>1</v>
      </c>
      <c r="AL3599">
        <v>1</v>
      </c>
      <c r="AM3599">
        <v>99.22</v>
      </c>
      <c r="AN3599">
        <v>9.4054000000000002</v>
      </c>
      <c r="AO3599">
        <v>18.54</v>
      </c>
      <c r="AP3599" s="13">
        <v>45589</v>
      </c>
      <c r="AQ3599">
        <v>-1</v>
      </c>
      <c r="AR3599">
        <v>1</v>
      </c>
    </row>
    <row r="3600" spans="1:44" x14ac:dyDescent="0.35">
      <c r="A3600" s="12" t="s">
        <v>4519</v>
      </c>
      <c r="B3600" s="12" t="s">
        <v>843</v>
      </c>
      <c r="C3600" s="12" t="s">
        <v>844</v>
      </c>
      <c r="D3600" s="12" t="s">
        <v>175</v>
      </c>
      <c r="E3600" s="12" t="s">
        <v>65</v>
      </c>
      <c r="F3600">
        <v>3</v>
      </c>
      <c r="G3600">
        <v>5</v>
      </c>
      <c r="H3600">
        <v>0</v>
      </c>
      <c r="I3600" s="12" t="s">
        <v>359</v>
      </c>
      <c r="J3600" s="12" t="s">
        <v>360</v>
      </c>
      <c r="K3600" s="12" t="s">
        <v>133</v>
      </c>
      <c r="L3600" s="12" t="s">
        <v>82</v>
      </c>
      <c r="M3600">
        <v>12.65</v>
      </c>
      <c r="N3600" s="12" t="s">
        <v>107</v>
      </c>
      <c r="O3600" s="12" t="s">
        <v>108</v>
      </c>
      <c r="P3600" s="12" t="s">
        <v>109</v>
      </c>
      <c r="Q3600" s="13">
        <v>45575</v>
      </c>
      <c r="R3600" s="13">
        <v>45613</v>
      </c>
      <c r="S3600">
        <v>2024</v>
      </c>
      <c r="T3600" s="12" t="s">
        <v>4461</v>
      </c>
      <c r="U3600">
        <v>145</v>
      </c>
      <c r="V3600">
        <v>236.74590000000001</v>
      </c>
      <c r="W3600">
        <v>668.14</v>
      </c>
      <c r="X3600">
        <v>0</v>
      </c>
      <c r="Y3600">
        <v>0</v>
      </c>
      <c r="Z3600">
        <v>34328.160000000003</v>
      </c>
      <c r="AA3600">
        <v>34996.300000000003</v>
      </c>
      <c r="AB3600" s="12" t="s">
        <v>3324</v>
      </c>
      <c r="AC3600">
        <v>251.77279999999999</v>
      </c>
      <c r="AD3600">
        <v>1</v>
      </c>
      <c r="AE3600">
        <v>1</v>
      </c>
      <c r="AF3600">
        <v>-2178.9</v>
      </c>
      <c r="AG3600">
        <v>36507.06</v>
      </c>
      <c r="AH3600">
        <v>145</v>
      </c>
      <c r="AI3600">
        <v>144</v>
      </c>
      <c r="AJ3600">
        <v>1</v>
      </c>
      <c r="AK3600">
        <v>1</v>
      </c>
      <c r="AL3600">
        <v>1</v>
      </c>
      <c r="AM3600">
        <v>99.31</v>
      </c>
      <c r="AN3600">
        <v>243.02979999999999</v>
      </c>
      <c r="AO3600">
        <v>236.75</v>
      </c>
      <c r="AP3600" s="13">
        <v>45622</v>
      </c>
      <c r="AQ3600">
        <v>9</v>
      </c>
      <c r="AR3600">
        <v>0</v>
      </c>
    </row>
    <row r="3601" spans="1:44" x14ac:dyDescent="0.35">
      <c r="A3601" s="12" t="s">
        <v>4520</v>
      </c>
      <c r="B3601" s="12" t="s">
        <v>416</v>
      </c>
      <c r="C3601" s="12" t="s">
        <v>417</v>
      </c>
      <c r="D3601" s="12" t="s">
        <v>78</v>
      </c>
      <c r="E3601" s="12" t="s">
        <v>65</v>
      </c>
      <c r="F3601">
        <v>3</v>
      </c>
      <c r="G3601">
        <v>5</v>
      </c>
      <c r="H3601">
        <v>0</v>
      </c>
      <c r="I3601" s="12" t="s">
        <v>169</v>
      </c>
      <c r="J3601" s="12" t="s">
        <v>170</v>
      </c>
      <c r="K3601" s="12" t="s">
        <v>89</v>
      </c>
      <c r="L3601" s="12" t="s">
        <v>134</v>
      </c>
      <c r="M3601">
        <v>1.37</v>
      </c>
      <c r="N3601" s="12" t="s">
        <v>70</v>
      </c>
      <c r="O3601" s="12" t="s">
        <v>71</v>
      </c>
      <c r="P3601" s="12" t="s">
        <v>72</v>
      </c>
      <c r="Q3601" s="13">
        <v>45575</v>
      </c>
      <c r="R3601" s="13">
        <v>45596</v>
      </c>
      <c r="S3601">
        <v>2024</v>
      </c>
      <c r="T3601" s="12" t="s">
        <v>4461</v>
      </c>
      <c r="U3601">
        <v>45</v>
      </c>
      <c r="V3601">
        <v>136.4109</v>
      </c>
      <c r="W3601">
        <v>97.38</v>
      </c>
      <c r="X3601">
        <v>0</v>
      </c>
      <c r="Y3601">
        <v>0</v>
      </c>
      <c r="Z3601">
        <v>6138.49</v>
      </c>
      <c r="AA3601">
        <v>6235.87</v>
      </c>
      <c r="AB3601" s="12" t="s">
        <v>2980</v>
      </c>
      <c r="AC3601">
        <v>136.4109</v>
      </c>
      <c r="AD3601">
        <v>1</v>
      </c>
      <c r="AE3601">
        <v>1</v>
      </c>
      <c r="AF3601">
        <v>0</v>
      </c>
      <c r="AG3601">
        <v>6138.49</v>
      </c>
      <c r="AH3601">
        <v>45</v>
      </c>
      <c r="AI3601">
        <v>44</v>
      </c>
      <c r="AJ3601">
        <v>1</v>
      </c>
      <c r="AK3601">
        <v>1</v>
      </c>
      <c r="AL3601">
        <v>1</v>
      </c>
      <c r="AM3601">
        <v>97.78</v>
      </c>
      <c r="AN3601">
        <v>141.7243</v>
      </c>
      <c r="AO3601">
        <v>136.41</v>
      </c>
      <c r="AP3601" s="13">
        <v>45595</v>
      </c>
      <c r="AQ3601">
        <v>-1</v>
      </c>
      <c r="AR3601">
        <v>1</v>
      </c>
    </row>
    <row r="3602" spans="1:44" x14ac:dyDescent="0.35">
      <c r="A3602" s="12" t="s">
        <v>4521</v>
      </c>
      <c r="B3602" s="12" t="s">
        <v>416</v>
      </c>
      <c r="C3602" s="12" t="s">
        <v>417</v>
      </c>
      <c r="D3602" s="12" t="s">
        <v>78</v>
      </c>
      <c r="E3602" s="12" t="s">
        <v>65</v>
      </c>
      <c r="F3602">
        <v>3</v>
      </c>
      <c r="G3602">
        <v>5</v>
      </c>
      <c r="H3602">
        <v>0</v>
      </c>
      <c r="I3602" s="12" t="s">
        <v>87</v>
      </c>
      <c r="J3602" s="12" t="s">
        <v>88</v>
      </c>
      <c r="K3602" s="12" t="s">
        <v>89</v>
      </c>
      <c r="L3602" s="12" t="s">
        <v>69</v>
      </c>
      <c r="M3602">
        <v>14.93</v>
      </c>
      <c r="N3602" s="12" t="s">
        <v>97</v>
      </c>
      <c r="O3602" s="12" t="s">
        <v>98</v>
      </c>
      <c r="P3602" s="12" t="s">
        <v>72</v>
      </c>
      <c r="Q3602" s="13">
        <v>45575</v>
      </c>
      <c r="R3602" s="13">
        <v>45601</v>
      </c>
      <c r="S3602">
        <v>2024</v>
      </c>
      <c r="T3602" s="12" t="s">
        <v>4461</v>
      </c>
      <c r="U3602">
        <v>123</v>
      </c>
      <c r="V3602">
        <v>164.2944</v>
      </c>
      <c r="W3602">
        <v>475.98</v>
      </c>
      <c r="X3602">
        <v>0</v>
      </c>
      <c r="Y3602">
        <v>0</v>
      </c>
      <c r="Z3602">
        <v>20208.21</v>
      </c>
      <c r="AA3602">
        <v>20684.189999999999</v>
      </c>
      <c r="AB3602" s="12" t="s">
        <v>201</v>
      </c>
      <c r="AD3602">
        <v>0</v>
      </c>
      <c r="AE3602">
        <v>0</v>
      </c>
      <c r="AH3602">
        <v>123</v>
      </c>
      <c r="AI3602">
        <v>122</v>
      </c>
      <c r="AJ3602">
        <v>1</v>
      </c>
      <c r="AK3602">
        <v>1</v>
      </c>
      <c r="AL3602">
        <v>1</v>
      </c>
      <c r="AM3602">
        <v>99.19</v>
      </c>
      <c r="AN3602">
        <v>169.54259999999999</v>
      </c>
      <c r="AO3602">
        <v>164.29</v>
      </c>
      <c r="AP3602" s="13">
        <v>45601</v>
      </c>
      <c r="AQ3602">
        <v>0</v>
      </c>
      <c r="AR3602">
        <v>1</v>
      </c>
    </row>
    <row r="3603" spans="1:44" x14ac:dyDescent="0.35">
      <c r="A3603" s="12" t="s">
        <v>4522</v>
      </c>
      <c r="B3603" s="12" t="s">
        <v>809</v>
      </c>
      <c r="C3603" s="12" t="s">
        <v>810</v>
      </c>
      <c r="D3603" s="12" t="s">
        <v>114</v>
      </c>
      <c r="E3603" s="12" t="s">
        <v>65</v>
      </c>
      <c r="F3603">
        <v>3</v>
      </c>
      <c r="G3603">
        <v>5</v>
      </c>
      <c r="H3603">
        <v>0</v>
      </c>
      <c r="I3603" s="12" t="s">
        <v>804</v>
      </c>
      <c r="J3603" s="12" t="s">
        <v>342</v>
      </c>
      <c r="K3603" s="12" t="s">
        <v>117</v>
      </c>
      <c r="L3603" s="12" t="s">
        <v>69</v>
      </c>
      <c r="M3603">
        <v>30.07</v>
      </c>
      <c r="N3603" s="12" t="s">
        <v>97</v>
      </c>
      <c r="O3603" s="12" t="s">
        <v>98</v>
      </c>
      <c r="P3603" s="12" t="s">
        <v>72</v>
      </c>
      <c r="Q3603" s="13">
        <v>45575</v>
      </c>
      <c r="R3603" s="13">
        <v>45606</v>
      </c>
      <c r="S3603">
        <v>2024</v>
      </c>
      <c r="T3603" s="12" t="s">
        <v>4461</v>
      </c>
      <c r="U3603">
        <v>88</v>
      </c>
      <c r="V3603">
        <v>312.78919999999999</v>
      </c>
      <c r="W3603">
        <v>367.54</v>
      </c>
      <c r="X3603">
        <v>844.46</v>
      </c>
      <c r="Y3603">
        <v>1</v>
      </c>
      <c r="Z3603">
        <v>27525.45</v>
      </c>
      <c r="AA3603">
        <v>28737.45</v>
      </c>
      <c r="AB3603" s="12" t="s">
        <v>3416</v>
      </c>
      <c r="AC3603">
        <v>312.78919999999999</v>
      </c>
      <c r="AD3603">
        <v>1</v>
      </c>
      <c r="AE3603">
        <v>1</v>
      </c>
      <c r="AF3603">
        <v>0</v>
      </c>
      <c r="AG3603">
        <v>27525.45</v>
      </c>
      <c r="AH3603">
        <v>88</v>
      </c>
      <c r="AI3603">
        <v>86</v>
      </c>
      <c r="AJ3603">
        <v>2</v>
      </c>
      <c r="AK3603">
        <v>1</v>
      </c>
      <c r="AL3603">
        <v>1</v>
      </c>
      <c r="AM3603">
        <v>97.73</v>
      </c>
      <c r="AN3603">
        <v>334.15640000000002</v>
      </c>
      <c r="AO3603">
        <v>625.58000000000004</v>
      </c>
      <c r="AP3603" s="13">
        <v>45605</v>
      </c>
      <c r="AQ3603">
        <v>-1</v>
      </c>
      <c r="AR3603">
        <v>1</v>
      </c>
    </row>
    <row r="3604" spans="1:44" x14ac:dyDescent="0.35">
      <c r="A3604" s="12" t="s">
        <v>4523</v>
      </c>
      <c r="B3604" s="12" t="s">
        <v>952</v>
      </c>
      <c r="C3604" s="12" t="s">
        <v>953</v>
      </c>
      <c r="D3604" s="12" t="s">
        <v>64</v>
      </c>
      <c r="E3604" s="12" t="s">
        <v>142</v>
      </c>
      <c r="F3604">
        <v>1</v>
      </c>
      <c r="G3604">
        <v>8</v>
      </c>
      <c r="H3604">
        <v>1</v>
      </c>
      <c r="I3604" s="12" t="s">
        <v>131</v>
      </c>
      <c r="J3604" s="12" t="s">
        <v>132</v>
      </c>
      <c r="K3604" s="12" t="s">
        <v>133</v>
      </c>
      <c r="L3604" s="12" t="s">
        <v>134</v>
      </c>
      <c r="M3604">
        <v>1.51</v>
      </c>
      <c r="N3604" s="12" t="s">
        <v>97</v>
      </c>
      <c r="O3604" s="12" t="s">
        <v>98</v>
      </c>
      <c r="P3604" s="12" t="s">
        <v>72</v>
      </c>
      <c r="Q3604" s="13">
        <v>45575</v>
      </c>
      <c r="R3604" s="13">
        <v>45621</v>
      </c>
      <c r="S3604">
        <v>2024</v>
      </c>
      <c r="T3604" s="12" t="s">
        <v>4461</v>
      </c>
      <c r="U3604">
        <v>687</v>
      </c>
      <c r="V3604">
        <v>31.110399999999998</v>
      </c>
      <c r="W3604">
        <v>132.85</v>
      </c>
      <c r="X3604">
        <v>659.54</v>
      </c>
      <c r="Y3604">
        <v>1</v>
      </c>
      <c r="Z3604">
        <v>21372.84</v>
      </c>
      <c r="AA3604">
        <v>22165.23</v>
      </c>
      <c r="AB3604" s="12" t="s">
        <v>3261</v>
      </c>
      <c r="AC3604">
        <v>31.110399999999998</v>
      </c>
      <c r="AD3604">
        <v>1</v>
      </c>
      <c r="AE3604">
        <v>1</v>
      </c>
      <c r="AF3604">
        <v>0</v>
      </c>
      <c r="AG3604">
        <v>21372.84</v>
      </c>
      <c r="AH3604">
        <v>687</v>
      </c>
      <c r="AI3604">
        <v>685</v>
      </c>
      <c r="AJ3604">
        <v>2</v>
      </c>
      <c r="AK3604">
        <v>1</v>
      </c>
      <c r="AL3604">
        <v>1</v>
      </c>
      <c r="AM3604">
        <v>99.71</v>
      </c>
      <c r="AN3604">
        <v>32.357999999999997</v>
      </c>
      <c r="AO3604">
        <v>62.22</v>
      </c>
      <c r="AP3604" s="13">
        <v>45619</v>
      </c>
      <c r="AQ3604">
        <v>-2</v>
      </c>
      <c r="AR3604">
        <v>1</v>
      </c>
    </row>
    <row r="3605" spans="1:44" x14ac:dyDescent="0.35">
      <c r="A3605" s="12" t="s">
        <v>4524</v>
      </c>
      <c r="B3605" s="12" t="s">
        <v>92</v>
      </c>
      <c r="C3605" s="12" t="s">
        <v>93</v>
      </c>
      <c r="D3605" s="12" t="s">
        <v>64</v>
      </c>
      <c r="E3605" s="12" t="s">
        <v>65</v>
      </c>
      <c r="F3605">
        <v>3</v>
      </c>
      <c r="G3605">
        <v>5</v>
      </c>
      <c r="H3605">
        <v>0</v>
      </c>
      <c r="I3605" s="12" t="s">
        <v>94</v>
      </c>
      <c r="J3605" s="12" t="s">
        <v>95</v>
      </c>
      <c r="K3605" s="12" t="s">
        <v>81</v>
      </c>
      <c r="L3605" s="12" t="s">
        <v>96</v>
      </c>
      <c r="M3605">
        <v>4.8099999999999996</v>
      </c>
      <c r="N3605" s="12" t="s">
        <v>97</v>
      </c>
      <c r="O3605" s="12" t="s">
        <v>98</v>
      </c>
      <c r="P3605" s="12" t="s">
        <v>72</v>
      </c>
      <c r="Q3605" s="13">
        <v>45575</v>
      </c>
      <c r="R3605" s="13">
        <v>45608</v>
      </c>
      <c r="S3605">
        <v>2024</v>
      </c>
      <c r="T3605" s="12" t="s">
        <v>4461</v>
      </c>
      <c r="U3605">
        <v>710</v>
      </c>
      <c r="V3605">
        <v>23.8764</v>
      </c>
      <c r="W3605">
        <v>255.44</v>
      </c>
      <c r="X3605">
        <v>0</v>
      </c>
      <c r="Y3605">
        <v>0</v>
      </c>
      <c r="Z3605">
        <v>16952.240000000002</v>
      </c>
      <c r="AA3605">
        <v>17207.68</v>
      </c>
      <c r="AB3605" s="12" t="s">
        <v>2802</v>
      </c>
      <c r="AC3605">
        <v>23.8764</v>
      </c>
      <c r="AD3605">
        <v>1</v>
      </c>
      <c r="AE3605">
        <v>1</v>
      </c>
      <c r="AF3605">
        <v>0</v>
      </c>
      <c r="AG3605">
        <v>16952.240000000002</v>
      </c>
      <c r="AH3605">
        <v>710</v>
      </c>
      <c r="AI3605">
        <v>705</v>
      </c>
      <c r="AJ3605">
        <v>5</v>
      </c>
      <c r="AK3605">
        <v>1</v>
      </c>
      <c r="AL3605">
        <v>1</v>
      </c>
      <c r="AM3605">
        <v>99.3</v>
      </c>
      <c r="AN3605">
        <v>24.408100000000001</v>
      </c>
      <c r="AO3605">
        <v>119.38</v>
      </c>
      <c r="AP3605" s="13">
        <v>45617</v>
      </c>
      <c r="AQ3605">
        <v>9</v>
      </c>
      <c r="AR3605">
        <v>0</v>
      </c>
    </row>
    <row r="3606" spans="1:44" x14ac:dyDescent="0.35">
      <c r="A3606" s="12" t="s">
        <v>4525</v>
      </c>
      <c r="B3606" s="12" t="s">
        <v>1026</v>
      </c>
      <c r="C3606" s="12" t="s">
        <v>1027</v>
      </c>
      <c r="D3606" s="12" t="s">
        <v>122</v>
      </c>
      <c r="E3606" s="12" t="s">
        <v>104</v>
      </c>
      <c r="F3606">
        <v>3</v>
      </c>
      <c r="G3606">
        <v>1</v>
      </c>
      <c r="H3606">
        <v>0</v>
      </c>
      <c r="I3606" s="12" t="s">
        <v>183</v>
      </c>
      <c r="J3606" s="12" t="s">
        <v>184</v>
      </c>
      <c r="K3606" s="12" t="s">
        <v>133</v>
      </c>
      <c r="L3606" s="12" t="s">
        <v>82</v>
      </c>
      <c r="M3606">
        <v>8.6199999999999992</v>
      </c>
      <c r="N3606" s="12" t="s">
        <v>70</v>
      </c>
      <c r="O3606" s="12" t="s">
        <v>71</v>
      </c>
      <c r="P3606" s="12" t="s">
        <v>72</v>
      </c>
      <c r="Q3606" s="13">
        <v>45575</v>
      </c>
      <c r="R3606" s="13">
        <v>45599</v>
      </c>
      <c r="S3606">
        <v>2024</v>
      </c>
      <c r="T3606" s="12" t="s">
        <v>4461</v>
      </c>
      <c r="U3606">
        <v>1454</v>
      </c>
      <c r="V3606">
        <v>40.107799999999997</v>
      </c>
      <c r="W3606">
        <v>1027.26</v>
      </c>
      <c r="X3606">
        <v>0</v>
      </c>
      <c r="Y3606">
        <v>0</v>
      </c>
      <c r="Z3606">
        <v>58316.74</v>
      </c>
      <c r="AA3606">
        <v>59344</v>
      </c>
      <c r="AB3606" s="12" t="s">
        <v>3447</v>
      </c>
      <c r="AC3606">
        <v>41.511600000000001</v>
      </c>
      <c r="AD3606">
        <v>2</v>
      </c>
      <c r="AE3606">
        <v>1</v>
      </c>
      <c r="AF3606">
        <v>-2041.13</v>
      </c>
      <c r="AG3606">
        <v>60357.87</v>
      </c>
      <c r="AH3606">
        <v>1454</v>
      </c>
      <c r="AI3606">
        <v>1448</v>
      </c>
      <c r="AJ3606">
        <v>6</v>
      </c>
      <c r="AK3606">
        <v>1</v>
      </c>
      <c r="AL3606">
        <v>1</v>
      </c>
      <c r="AM3606">
        <v>99.59</v>
      </c>
      <c r="AN3606">
        <v>40.983400000000003</v>
      </c>
      <c r="AO3606">
        <v>240.65</v>
      </c>
      <c r="AP3606" s="13">
        <v>45596</v>
      </c>
      <c r="AQ3606">
        <v>-3</v>
      </c>
      <c r="AR3606">
        <v>1</v>
      </c>
    </row>
    <row r="3607" spans="1:44" x14ac:dyDescent="0.35">
      <c r="A3607" s="12" t="s">
        <v>4526</v>
      </c>
      <c r="B3607" s="12" t="s">
        <v>193</v>
      </c>
      <c r="C3607" s="12" t="s">
        <v>194</v>
      </c>
      <c r="D3607" s="12" t="s">
        <v>114</v>
      </c>
      <c r="E3607" s="12" t="s">
        <v>65</v>
      </c>
      <c r="F3607">
        <v>3</v>
      </c>
      <c r="G3607">
        <v>4</v>
      </c>
      <c r="H3607">
        <v>0</v>
      </c>
      <c r="I3607" s="12" t="s">
        <v>195</v>
      </c>
      <c r="J3607" s="12" t="s">
        <v>196</v>
      </c>
      <c r="K3607" s="12" t="s">
        <v>117</v>
      </c>
      <c r="L3607" s="12" t="s">
        <v>134</v>
      </c>
      <c r="M3607">
        <v>4.7699999999999996</v>
      </c>
      <c r="N3607" s="12" t="s">
        <v>97</v>
      </c>
      <c r="O3607" s="12" t="s">
        <v>98</v>
      </c>
      <c r="P3607" s="12" t="s">
        <v>72</v>
      </c>
      <c r="Q3607" s="13">
        <v>45575</v>
      </c>
      <c r="R3607" s="13">
        <v>45597</v>
      </c>
      <c r="S3607">
        <v>2024</v>
      </c>
      <c r="T3607" s="12" t="s">
        <v>4461</v>
      </c>
      <c r="U3607">
        <v>24</v>
      </c>
      <c r="V3607">
        <v>105.8943</v>
      </c>
      <c r="W3607">
        <v>35.82</v>
      </c>
      <c r="X3607">
        <v>0</v>
      </c>
      <c r="Y3607">
        <v>0</v>
      </c>
      <c r="Z3607">
        <v>2541.46</v>
      </c>
      <c r="AA3607">
        <v>2577.2800000000002</v>
      </c>
      <c r="AB3607" s="12" t="s">
        <v>3197</v>
      </c>
      <c r="AC3607">
        <v>105.8943</v>
      </c>
      <c r="AD3607">
        <v>1</v>
      </c>
      <c r="AE3607">
        <v>1</v>
      </c>
      <c r="AF3607">
        <v>0</v>
      </c>
      <c r="AG3607">
        <v>2541.46</v>
      </c>
      <c r="AH3607">
        <v>24</v>
      </c>
      <c r="AI3607">
        <v>23</v>
      </c>
      <c r="AJ3607">
        <v>1</v>
      </c>
      <c r="AK3607">
        <v>1</v>
      </c>
      <c r="AL3607">
        <v>1</v>
      </c>
      <c r="AM3607">
        <v>95.83</v>
      </c>
      <c r="AN3607">
        <v>112.0558</v>
      </c>
      <c r="AO3607">
        <v>105.89</v>
      </c>
      <c r="AP3607" s="13">
        <v>45601</v>
      </c>
      <c r="AQ3607">
        <v>4</v>
      </c>
      <c r="AR3607">
        <v>0</v>
      </c>
    </row>
    <row r="3608" spans="1:44" x14ac:dyDescent="0.35">
      <c r="A3608" s="12" t="s">
        <v>4527</v>
      </c>
      <c r="B3608" s="12" t="s">
        <v>215</v>
      </c>
      <c r="C3608" s="12" t="s">
        <v>216</v>
      </c>
      <c r="D3608" s="12" t="s">
        <v>122</v>
      </c>
      <c r="E3608" s="12" t="s">
        <v>142</v>
      </c>
      <c r="F3608">
        <v>3</v>
      </c>
      <c r="G3608">
        <v>11</v>
      </c>
      <c r="H3608">
        <v>0</v>
      </c>
      <c r="I3608" s="12" t="s">
        <v>217</v>
      </c>
      <c r="J3608" s="12" t="s">
        <v>218</v>
      </c>
      <c r="K3608" s="12" t="s">
        <v>68</v>
      </c>
      <c r="L3608" s="12" t="s">
        <v>82</v>
      </c>
      <c r="M3608">
        <v>14.24</v>
      </c>
      <c r="N3608" s="12" t="s">
        <v>97</v>
      </c>
      <c r="O3608" s="12" t="s">
        <v>98</v>
      </c>
      <c r="P3608" s="12" t="s">
        <v>72</v>
      </c>
      <c r="Q3608" s="13">
        <v>45575</v>
      </c>
      <c r="R3608" s="13">
        <v>45627</v>
      </c>
      <c r="S3608">
        <v>2024</v>
      </c>
      <c r="T3608" s="12" t="s">
        <v>4461</v>
      </c>
      <c r="U3608">
        <v>1933</v>
      </c>
      <c r="V3608">
        <v>14.797000000000001</v>
      </c>
      <c r="W3608">
        <v>247.44</v>
      </c>
      <c r="X3608">
        <v>0</v>
      </c>
      <c r="Y3608">
        <v>0</v>
      </c>
      <c r="Z3608">
        <v>28602.6</v>
      </c>
      <c r="AA3608">
        <v>28850.04</v>
      </c>
      <c r="AB3608" s="12" t="s">
        <v>2696</v>
      </c>
      <c r="AC3608">
        <v>14.797000000000001</v>
      </c>
      <c r="AD3608">
        <v>1</v>
      </c>
      <c r="AE3608">
        <v>1</v>
      </c>
      <c r="AF3608">
        <v>0</v>
      </c>
      <c r="AG3608">
        <v>28602.6</v>
      </c>
      <c r="AH3608">
        <v>1933</v>
      </c>
      <c r="AI3608">
        <v>1925</v>
      </c>
      <c r="AJ3608">
        <v>8</v>
      </c>
      <c r="AK3608">
        <v>1</v>
      </c>
      <c r="AL3608">
        <v>1</v>
      </c>
      <c r="AM3608">
        <v>99.59</v>
      </c>
      <c r="AN3608">
        <v>14.987</v>
      </c>
      <c r="AO3608">
        <v>118.38</v>
      </c>
      <c r="AP3608" s="13">
        <v>45624</v>
      </c>
      <c r="AQ3608">
        <v>-3</v>
      </c>
      <c r="AR3608">
        <v>1</v>
      </c>
    </row>
    <row r="3609" spans="1:44" x14ac:dyDescent="0.35">
      <c r="A3609" s="12" t="s">
        <v>4528</v>
      </c>
      <c r="B3609" s="12" t="s">
        <v>924</v>
      </c>
      <c r="C3609" s="12" t="s">
        <v>925</v>
      </c>
      <c r="D3609" s="12" t="s">
        <v>103</v>
      </c>
      <c r="E3609" s="12" t="s">
        <v>104</v>
      </c>
      <c r="F3609">
        <v>2</v>
      </c>
      <c r="G3609">
        <v>0</v>
      </c>
      <c r="H3609">
        <v>0</v>
      </c>
      <c r="I3609" s="12" t="s">
        <v>335</v>
      </c>
      <c r="J3609" s="12" t="s">
        <v>336</v>
      </c>
      <c r="K3609" s="12" t="s">
        <v>89</v>
      </c>
      <c r="L3609" s="12" t="s">
        <v>82</v>
      </c>
      <c r="M3609">
        <v>16</v>
      </c>
      <c r="N3609" s="12" t="s">
        <v>107</v>
      </c>
      <c r="O3609" s="12" t="s">
        <v>108</v>
      </c>
      <c r="P3609" s="12" t="s">
        <v>109</v>
      </c>
      <c r="Q3609" s="13">
        <v>45575</v>
      </c>
      <c r="R3609" s="13">
        <v>45604</v>
      </c>
      <c r="S3609">
        <v>2024</v>
      </c>
      <c r="T3609" s="12" t="s">
        <v>4461</v>
      </c>
      <c r="U3609">
        <v>144</v>
      </c>
      <c r="V3609">
        <v>179.72970000000001</v>
      </c>
      <c r="W3609">
        <v>497.17</v>
      </c>
      <c r="X3609">
        <v>0</v>
      </c>
      <c r="Y3609">
        <v>0</v>
      </c>
      <c r="Z3609">
        <v>25881.08</v>
      </c>
      <c r="AA3609">
        <v>26378.25</v>
      </c>
      <c r="AB3609" s="12" t="s">
        <v>201</v>
      </c>
      <c r="AD3609">
        <v>0</v>
      </c>
      <c r="AE3609">
        <v>0</v>
      </c>
      <c r="AH3609">
        <v>144</v>
      </c>
      <c r="AI3609">
        <v>142</v>
      </c>
      <c r="AJ3609">
        <v>2</v>
      </c>
      <c r="AK3609">
        <v>1</v>
      </c>
      <c r="AL3609">
        <v>1</v>
      </c>
      <c r="AM3609">
        <v>98.61</v>
      </c>
      <c r="AN3609">
        <v>185.76230000000001</v>
      </c>
      <c r="AO3609">
        <v>359.46</v>
      </c>
      <c r="AP3609" s="13">
        <v>45604</v>
      </c>
      <c r="AQ3609">
        <v>0</v>
      </c>
      <c r="AR3609">
        <v>1</v>
      </c>
    </row>
    <row r="3610" spans="1:44" x14ac:dyDescent="0.35">
      <c r="A3610" s="12" t="s">
        <v>4529</v>
      </c>
      <c r="B3610" s="12" t="s">
        <v>680</v>
      </c>
      <c r="C3610" s="12" t="s">
        <v>681</v>
      </c>
      <c r="D3610" s="12" t="s">
        <v>122</v>
      </c>
      <c r="E3610" s="12" t="s">
        <v>104</v>
      </c>
      <c r="F3610">
        <v>3</v>
      </c>
      <c r="G3610">
        <v>1</v>
      </c>
      <c r="H3610">
        <v>0</v>
      </c>
      <c r="I3610" s="12" t="s">
        <v>227</v>
      </c>
      <c r="J3610" s="12" t="s">
        <v>228</v>
      </c>
      <c r="K3610" s="12" t="s">
        <v>89</v>
      </c>
      <c r="L3610" s="12" t="s">
        <v>96</v>
      </c>
      <c r="M3610">
        <v>9.15</v>
      </c>
      <c r="N3610" s="12" t="s">
        <v>70</v>
      </c>
      <c r="O3610" s="12" t="s">
        <v>71</v>
      </c>
      <c r="P3610" s="12" t="s">
        <v>72</v>
      </c>
      <c r="Q3610" s="13">
        <v>45576</v>
      </c>
      <c r="R3610" s="13">
        <v>45588</v>
      </c>
      <c r="S3610">
        <v>2024</v>
      </c>
      <c r="T3610" s="12" t="s">
        <v>4461</v>
      </c>
      <c r="U3610">
        <v>224</v>
      </c>
      <c r="V3610">
        <v>25.043099999999999</v>
      </c>
      <c r="W3610">
        <v>51.13</v>
      </c>
      <c r="X3610">
        <v>0</v>
      </c>
      <c r="Y3610">
        <v>0</v>
      </c>
      <c r="Z3610">
        <v>5609.65</v>
      </c>
      <c r="AA3610">
        <v>5660.78</v>
      </c>
      <c r="AB3610" s="12" t="s">
        <v>201</v>
      </c>
      <c r="AD3610">
        <v>0</v>
      </c>
      <c r="AE3610">
        <v>0</v>
      </c>
      <c r="AH3610">
        <v>224</v>
      </c>
      <c r="AI3610">
        <v>222</v>
      </c>
      <c r="AJ3610">
        <v>2</v>
      </c>
      <c r="AK3610">
        <v>1</v>
      </c>
      <c r="AL3610">
        <v>1</v>
      </c>
      <c r="AM3610">
        <v>99.11</v>
      </c>
      <c r="AN3610">
        <v>25.498999999999999</v>
      </c>
      <c r="AO3610">
        <v>50.09</v>
      </c>
      <c r="AP3610" s="13">
        <v>45587</v>
      </c>
      <c r="AQ3610">
        <v>-1</v>
      </c>
      <c r="AR3610">
        <v>1</v>
      </c>
    </row>
    <row r="3611" spans="1:44" x14ac:dyDescent="0.35">
      <c r="A3611" s="12" t="s">
        <v>4530</v>
      </c>
      <c r="B3611" s="12" t="s">
        <v>646</v>
      </c>
      <c r="C3611" s="12" t="s">
        <v>647</v>
      </c>
      <c r="D3611" s="12" t="s">
        <v>175</v>
      </c>
      <c r="E3611" s="12" t="s">
        <v>104</v>
      </c>
      <c r="F3611">
        <v>3</v>
      </c>
      <c r="G3611">
        <v>1</v>
      </c>
      <c r="H3611">
        <v>0</v>
      </c>
      <c r="I3611" s="12" t="s">
        <v>209</v>
      </c>
      <c r="J3611" s="12" t="s">
        <v>210</v>
      </c>
      <c r="K3611" s="12" t="s">
        <v>133</v>
      </c>
      <c r="L3611" s="12" t="s">
        <v>96</v>
      </c>
      <c r="M3611">
        <v>7.82</v>
      </c>
      <c r="N3611" s="12" t="s">
        <v>145</v>
      </c>
      <c r="O3611" s="12" t="s">
        <v>146</v>
      </c>
      <c r="P3611" s="12" t="s">
        <v>109</v>
      </c>
      <c r="Q3611" s="13">
        <v>45576</v>
      </c>
      <c r="R3611" s="13">
        <v>45588</v>
      </c>
      <c r="S3611">
        <v>2024</v>
      </c>
      <c r="T3611" s="12" t="s">
        <v>4461</v>
      </c>
      <c r="U3611">
        <v>12</v>
      </c>
      <c r="V3611">
        <v>243.67089999999999</v>
      </c>
      <c r="W3611">
        <v>48.81</v>
      </c>
      <c r="X3611">
        <v>0</v>
      </c>
      <c r="Y3611">
        <v>0</v>
      </c>
      <c r="Z3611">
        <v>2924.05</v>
      </c>
      <c r="AA3611">
        <v>2972.86</v>
      </c>
      <c r="AB3611" s="12" t="s">
        <v>201</v>
      </c>
      <c r="AD3611">
        <v>0</v>
      </c>
      <c r="AE3611">
        <v>0</v>
      </c>
      <c r="AH3611">
        <v>12</v>
      </c>
      <c r="AI3611">
        <v>12</v>
      </c>
      <c r="AJ3611">
        <v>0</v>
      </c>
      <c r="AK3611">
        <v>1</v>
      </c>
      <c r="AL3611">
        <v>1</v>
      </c>
      <c r="AM3611">
        <v>100</v>
      </c>
      <c r="AN3611">
        <v>247.73840000000001</v>
      </c>
      <c r="AO3611">
        <v>0</v>
      </c>
      <c r="AP3611" s="13">
        <v>45592</v>
      </c>
      <c r="AQ3611">
        <v>4</v>
      </c>
      <c r="AR3611">
        <v>0</v>
      </c>
    </row>
    <row r="3612" spans="1:44" x14ac:dyDescent="0.35">
      <c r="A3612" s="12" t="s">
        <v>4531</v>
      </c>
      <c r="B3612" s="12" t="s">
        <v>249</v>
      </c>
      <c r="C3612" s="12" t="s">
        <v>250</v>
      </c>
      <c r="D3612" s="12" t="s">
        <v>64</v>
      </c>
      <c r="E3612" s="12" t="s">
        <v>65</v>
      </c>
      <c r="F3612">
        <v>2</v>
      </c>
      <c r="G3612">
        <v>3</v>
      </c>
      <c r="H3612">
        <v>0</v>
      </c>
      <c r="I3612" s="12" t="s">
        <v>251</v>
      </c>
      <c r="J3612" s="12" t="s">
        <v>252</v>
      </c>
      <c r="K3612" s="12" t="s">
        <v>133</v>
      </c>
      <c r="L3612" s="12" t="s">
        <v>69</v>
      </c>
      <c r="M3612">
        <v>34.49</v>
      </c>
      <c r="N3612" s="12" t="s">
        <v>97</v>
      </c>
      <c r="O3612" s="12" t="s">
        <v>98</v>
      </c>
      <c r="P3612" s="12" t="s">
        <v>72</v>
      </c>
      <c r="Q3612" s="13">
        <v>45576</v>
      </c>
      <c r="R3612" s="13">
        <v>45614</v>
      </c>
      <c r="S3612">
        <v>2024</v>
      </c>
      <c r="T3612" s="12" t="s">
        <v>4461</v>
      </c>
      <c r="U3612">
        <v>976</v>
      </c>
      <c r="V3612">
        <v>10.292</v>
      </c>
      <c r="W3612">
        <v>74.81</v>
      </c>
      <c r="X3612">
        <v>0</v>
      </c>
      <c r="Y3612">
        <v>0</v>
      </c>
      <c r="Z3612">
        <v>10044.99</v>
      </c>
      <c r="AA3612">
        <v>10119.799999999999</v>
      </c>
      <c r="AB3612" s="12" t="s">
        <v>2747</v>
      </c>
      <c r="AC3612">
        <v>10.292</v>
      </c>
      <c r="AD3612">
        <v>1</v>
      </c>
      <c r="AE3612">
        <v>1</v>
      </c>
      <c r="AF3612">
        <v>0</v>
      </c>
      <c r="AG3612">
        <v>10044.99</v>
      </c>
      <c r="AH3612">
        <v>976</v>
      </c>
      <c r="AI3612">
        <v>970</v>
      </c>
      <c r="AJ3612">
        <v>6</v>
      </c>
      <c r="AK3612">
        <v>1</v>
      </c>
      <c r="AL3612">
        <v>1</v>
      </c>
      <c r="AM3612">
        <v>99.39</v>
      </c>
      <c r="AN3612">
        <v>10.4328</v>
      </c>
      <c r="AO3612">
        <v>61.75</v>
      </c>
      <c r="AP3612" s="13">
        <v>45611</v>
      </c>
      <c r="AQ3612">
        <v>-3</v>
      </c>
      <c r="AR3612">
        <v>1</v>
      </c>
    </row>
    <row r="3613" spans="1:44" x14ac:dyDescent="0.35">
      <c r="A3613" s="12" t="s">
        <v>4532</v>
      </c>
      <c r="B3613" s="12" t="s">
        <v>451</v>
      </c>
      <c r="C3613" s="12" t="s">
        <v>452</v>
      </c>
      <c r="D3613" s="12" t="s">
        <v>175</v>
      </c>
      <c r="E3613" s="12" t="s">
        <v>104</v>
      </c>
      <c r="F3613">
        <v>3</v>
      </c>
      <c r="G3613">
        <v>1</v>
      </c>
      <c r="H3613">
        <v>0</v>
      </c>
      <c r="I3613" s="12" t="s">
        <v>157</v>
      </c>
      <c r="J3613" s="12" t="s">
        <v>158</v>
      </c>
      <c r="K3613" s="12" t="s">
        <v>117</v>
      </c>
      <c r="L3613" s="12" t="s">
        <v>96</v>
      </c>
      <c r="M3613">
        <v>4.72</v>
      </c>
      <c r="N3613" s="12" t="s">
        <v>145</v>
      </c>
      <c r="O3613" s="12" t="s">
        <v>146</v>
      </c>
      <c r="P3613" s="12" t="s">
        <v>109</v>
      </c>
      <c r="Q3613" s="13">
        <v>45576</v>
      </c>
      <c r="R3613" s="13">
        <v>45595</v>
      </c>
      <c r="S3613">
        <v>2024</v>
      </c>
      <c r="T3613" s="12" t="s">
        <v>4461</v>
      </c>
      <c r="U3613">
        <v>65</v>
      </c>
      <c r="V3613">
        <v>267.31279999999998</v>
      </c>
      <c r="W3613">
        <v>267.37</v>
      </c>
      <c r="X3613">
        <v>0</v>
      </c>
      <c r="Y3613">
        <v>0</v>
      </c>
      <c r="Z3613">
        <v>17375.330000000002</v>
      </c>
      <c r="AA3613">
        <v>17642.7</v>
      </c>
      <c r="AB3613" s="12" t="s">
        <v>201</v>
      </c>
      <c r="AD3613">
        <v>0</v>
      </c>
      <c r="AE3613">
        <v>0</v>
      </c>
      <c r="AH3613">
        <v>65</v>
      </c>
      <c r="AI3613">
        <v>64</v>
      </c>
      <c r="AJ3613">
        <v>1</v>
      </c>
      <c r="AK3613">
        <v>1</v>
      </c>
      <c r="AL3613">
        <v>1</v>
      </c>
      <c r="AM3613">
        <v>98.46</v>
      </c>
      <c r="AN3613">
        <v>275.66719999999998</v>
      </c>
      <c r="AO3613">
        <v>267.31</v>
      </c>
      <c r="AP3613" s="13">
        <v>45592</v>
      </c>
      <c r="AQ3613">
        <v>-3</v>
      </c>
      <c r="AR3613">
        <v>1</v>
      </c>
    </row>
    <row r="3614" spans="1:44" x14ac:dyDescent="0.35">
      <c r="A3614" s="12" t="s">
        <v>4533</v>
      </c>
      <c r="B3614" s="12" t="s">
        <v>809</v>
      </c>
      <c r="C3614" s="12" t="s">
        <v>810</v>
      </c>
      <c r="D3614" s="12" t="s">
        <v>114</v>
      </c>
      <c r="E3614" s="12" t="s">
        <v>65</v>
      </c>
      <c r="F3614">
        <v>3</v>
      </c>
      <c r="G3614">
        <v>5</v>
      </c>
      <c r="H3614">
        <v>0</v>
      </c>
      <c r="I3614" s="12" t="s">
        <v>811</v>
      </c>
      <c r="J3614" s="12" t="s">
        <v>812</v>
      </c>
      <c r="K3614" s="12" t="s">
        <v>117</v>
      </c>
      <c r="L3614" s="12" t="s">
        <v>69</v>
      </c>
      <c r="M3614">
        <v>26.4</v>
      </c>
      <c r="N3614" s="12" t="s">
        <v>97</v>
      </c>
      <c r="O3614" s="12" t="s">
        <v>98</v>
      </c>
      <c r="P3614" s="12" t="s">
        <v>72</v>
      </c>
      <c r="Q3614" s="13">
        <v>45576</v>
      </c>
      <c r="R3614" s="13">
        <v>45602</v>
      </c>
      <c r="S3614">
        <v>2024</v>
      </c>
      <c r="T3614" s="12" t="s">
        <v>4461</v>
      </c>
      <c r="U3614">
        <v>55</v>
      </c>
      <c r="V3614">
        <v>319.41250000000002</v>
      </c>
      <c r="W3614">
        <v>121.08</v>
      </c>
      <c r="X3614">
        <v>0</v>
      </c>
      <c r="Y3614">
        <v>0</v>
      </c>
      <c r="Z3614">
        <v>17567.689999999999</v>
      </c>
      <c r="AA3614">
        <v>17688.77</v>
      </c>
      <c r="AB3614" s="12" t="s">
        <v>3176</v>
      </c>
      <c r="AC3614">
        <v>319.41250000000002</v>
      </c>
      <c r="AD3614">
        <v>1</v>
      </c>
      <c r="AE3614">
        <v>1</v>
      </c>
      <c r="AF3614">
        <v>0</v>
      </c>
      <c r="AG3614">
        <v>17567.689999999999</v>
      </c>
      <c r="AH3614">
        <v>55</v>
      </c>
      <c r="AI3614">
        <v>54</v>
      </c>
      <c r="AJ3614">
        <v>1</v>
      </c>
      <c r="AK3614">
        <v>1</v>
      </c>
      <c r="AL3614">
        <v>1</v>
      </c>
      <c r="AM3614">
        <v>98.18</v>
      </c>
      <c r="AN3614">
        <v>327.56979999999999</v>
      </c>
      <c r="AO3614">
        <v>319.41000000000003</v>
      </c>
      <c r="AP3614" s="13">
        <v>45601</v>
      </c>
      <c r="AQ3614">
        <v>-1</v>
      </c>
      <c r="AR3614">
        <v>1</v>
      </c>
    </row>
    <row r="3615" spans="1:44" x14ac:dyDescent="0.35">
      <c r="A3615" s="12" t="s">
        <v>4534</v>
      </c>
      <c r="B3615" s="12" t="s">
        <v>657</v>
      </c>
      <c r="C3615" s="12" t="s">
        <v>658</v>
      </c>
      <c r="D3615" s="12" t="s">
        <v>175</v>
      </c>
      <c r="E3615" s="12" t="s">
        <v>65</v>
      </c>
      <c r="F3615">
        <v>1</v>
      </c>
      <c r="G3615">
        <v>2</v>
      </c>
      <c r="H3615">
        <v>1</v>
      </c>
      <c r="I3615" s="12" t="s">
        <v>183</v>
      </c>
      <c r="J3615" s="12" t="s">
        <v>184</v>
      </c>
      <c r="K3615" s="12" t="s">
        <v>133</v>
      </c>
      <c r="L3615" s="12" t="s">
        <v>82</v>
      </c>
      <c r="M3615">
        <v>8.6199999999999992</v>
      </c>
      <c r="N3615" s="12" t="s">
        <v>145</v>
      </c>
      <c r="O3615" s="12" t="s">
        <v>146</v>
      </c>
      <c r="P3615" s="12" t="s">
        <v>109</v>
      </c>
      <c r="Q3615" s="13">
        <v>45576</v>
      </c>
      <c r="R3615" s="13">
        <v>45612</v>
      </c>
      <c r="S3615">
        <v>2024</v>
      </c>
      <c r="T3615" s="12" t="s">
        <v>4461</v>
      </c>
      <c r="U3615">
        <v>131</v>
      </c>
      <c r="V3615">
        <v>149.10310000000001</v>
      </c>
      <c r="W3615">
        <v>352.74</v>
      </c>
      <c r="X3615">
        <v>0</v>
      </c>
      <c r="Y3615">
        <v>0</v>
      </c>
      <c r="Z3615">
        <v>19532.509999999998</v>
      </c>
      <c r="AA3615">
        <v>19885.25</v>
      </c>
      <c r="AB3615" s="12" t="s">
        <v>3525</v>
      </c>
      <c r="AC3615">
        <v>149.10310000000001</v>
      </c>
      <c r="AD3615">
        <v>1</v>
      </c>
      <c r="AE3615">
        <v>1</v>
      </c>
      <c r="AF3615">
        <v>0</v>
      </c>
      <c r="AG3615">
        <v>19532.509999999998</v>
      </c>
      <c r="AH3615">
        <v>131</v>
      </c>
      <c r="AI3615">
        <v>129</v>
      </c>
      <c r="AJ3615">
        <v>2</v>
      </c>
      <c r="AK3615">
        <v>1</v>
      </c>
      <c r="AL3615">
        <v>1</v>
      </c>
      <c r="AM3615">
        <v>98.47</v>
      </c>
      <c r="AN3615">
        <v>154.14920000000001</v>
      </c>
      <c r="AO3615">
        <v>298.20999999999998</v>
      </c>
      <c r="AP3615" s="13">
        <v>45609</v>
      </c>
      <c r="AQ3615">
        <v>-3</v>
      </c>
      <c r="AR3615">
        <v>1</v>
      </c>
    </row>
    <row r="3616" spans="1:44" x14ac:dyDescent="0.35">
      <c r="A3616" s="12" t="s">
        <v>4535</v>
      </c>
      <c r="B3616" s="12" t="s">
        <v>728</v>
      </c>
      <c r="C3616" s="12" t="s">
        <v>729</v>
      </c>
      <c r="D3616" s="12" t="s">
        <v>269</v>
      </c>
      <c r="E3616" s="12" t="s">
        <v>65</v>
      </c>
      <c r="F3616">
        <v>2</v>
      </c>
      <c r="G3616">
        <v>3</v>
      </c>
      <c r="H3616">
        <v>0</v>
      </c>
      <c r="I3616" s="12" t="s">
        <v>310</v>
      </c>
      <c r="J3616" s="12" t="s">
        <v>311</v>
      </c>
      <c r="K3616" s="12" t="s">
        <v>81</v>
      </c>
      <c r="L3616" s="12" t="s">
        <v>69</v>
      </c>
      <c r="M3616">
        <v>28.3</v>
      </c>
      <c r="N3616" s="12" t="s">
        <v>159</v>
      </c>
      <c r="O3616" s="12" t="s">
        <v>160</v>
      </c>
      <c r="P3616" s="12" t="s">
        <v>137</v>
      </c>
      <c r="Q3616" s="13">
        <v>45576</v>
      </c>
      <c r="R3616" s="13">
        <v>45610</v>
      </c>
      <c r="S3616">
        <v>2024</v>
      </c>
      <c r="T3616" s="12" t="s">
        <v>4461</v>
      </c>
      <c r="U3616">
        <v>111</v>
      </c>
      <c r="V3616">
        <v>364.55509999999998</v>
      </c>
      <c r="W3616">
        <v>390.17</v>
      </c>
      <c r="X3616">
        <v>0</v>
      </c>
      <c r="Y3616">
        <v>0</v>
      </c>
      <c r="Z3616">
        <v>40465.620000000003</v>
      </c>
      <c r="AA3616">
        <v>40855.79</v>
      </c>
      <c r="AB3616" s="12" t="s">
        <v>3329</v>
      </c>
      <c r="AC3616">
        <v>364.55509999999998</v>
      </c>
      <c r="AD3616">
        <v>1</v>
      </c>
      <c r="AE3616">
        <v>1</v>
      </c>
      <c r="AF3616">
        <v>0</v>
      </c>
      <c r="AG3616">
        <v>40465.620000000003</v>
      </c>
      <c r="AH3616">
        <v>111</v>
      </c>
      <c r="AI3616">
        <v>109</v>
      </c>
      <c r="AJ3616">
        <v>2</v>
      </c>
      <c r="AK3616">
        <v>1</v>
      </c>
      <c r="AL3616">
        <v>1</v>
      </c>
      <c r="AM3616">
        <v>98.2</v>
      </c>
      <c r="AN3616">
        <v>374.82369999999997</v>
      </c>
      <c r="AO3616">
        <v>729.11</v>
      </c>
      <c r="AP3616" s="13">
        <v>45615</v>
      </c>
      <c r="AQ3616">
        <v>5</v>
      </c>
      <c r="AR3616">
        <v>0</v>
      </c>
    </row>
    <row r="3617" spans="1:44" x14ac:dyDescent="0.35">
      <c r="A3617" s="12" t="s">
        <v>4536</v>
      </c>
      <c r="B3617" s="12" t="s">
        <v>92</v>
      </c>
      <c r="C3617" s="12" t="s">
        <v>93</v>
      </c>
      <c r="D3617" s="12" t="s">
        <v>64</v>
      </c>
      <c r="E3617" s="12" t="s">
        <v>65</v>
      </c>
      <c r="F3617">
        <v>3</v>
      </c>
      <c r="G3617">
        <v>5</v>
      </c>
      <c r="H3617">
        <v>0</v>
      </c>
      <c r="I3617" s="12" t="s">
        <v>94</v>
      </c>
      <c r="J3617" s="12" t="s">
        <v>95</v>
      </c>
      <c r="K3617" s="12" t="s">
        <v>81</v>
      </c>
      <c r="L3617" s="12" t="s">
        <v>96</v>
      </c>
      <c r="M3617">
        <v>4.8099999999999996</v>
      </c>
      <c r="N3617" s="12" t="s">
        <v>70</v>
      </c>
      <c r="O3617" s="12" t="s">
        <v>71</v>
      </c>
      <c r="P3617" s="12" t="s">
        <v>72</v>
      </c>
      <c r="Q3617" s="13">
        <v>45576</v>
      </c>
      <c r="R3617" s="13">
        <v>45598</v>
      </c>
      <c r="S3617">
        <v>2024</v>
      </c>
      <c r="T3617" s="12" t="s">
        <v>4461</v>
      </c>
      <c r="U3617">
        <v>172</v>
      </c>
      <c r="V3617">
        <v>23.8764</v>
      </c>
      <c r="W3617">
        <v>92.63</v>
      </c>
      <c r="X3617">
        <v>0</v>
      </c>
      <c r="Y3617">
        <v>0</v>
      </c>
      <c r="Z3617">
        <v>4106.74</v>
      </c>
      <c r="AA3617">
        <v>4199.37</v>
      </c>
      <c r="AB3617" s="12" t="s">
        <v>2802</v>
      </c>
      <c r="AC3617">
        <v>23.8764</v>
      </c>
      <c r="AD3617">
        <v>1</v>
      </c>
      <c r="AE3617">
        <v>1</v>
      </c>
      <c r="AF3617">
        <v>0</v>
      </c>
      <c r="AG3617">
        <v>4106.74</v>
      </c>
      <c r="AH3617">
        <v>172</v>
      </c>
      <c r="AI3617">
        <v>170</v>
      </c>
      <c r="AJ3617">
        <v>2</v>
      </c>
      <c r="AK3617">
        <v>1</v>
      </c>
      <c r="AL3617">
        <v>1</v>
      </c>
      <c r="AM3617">
        <v>98.84</v>
      </c>
      <c r="AN3617">
        <v>24.702200000000001</v>
      </c>
      <c r="AO3617">
        <v>47.75</v>
      </c>
      <c r="AP3617" s="13">
        <v>45608</v>
      </c>
      <c r="AQ3617">
        <v>10</v>
      </c>
      <c r="AR3617">
        <v>0</v>
      </c>
    </row>
    <row r="3618" spans="1:44" x14ac:dyDescent="0.35">
      <c r="A3618" s="12" t="s">
        <v>4537</v>
      </c>
      <c r="B3618" s="12" t="s">
        <v>957</v>
      </c>
      <c r="C3618" s="12" t="s">
        <v>958</v>
      </c>
      <c r="D3618" s="12" t="s">
        <v>103</v>
      </c>
      <c r="E3618" s="12" t="s">
        <v>142</v>
      </c>
      <c r="F3618">
        <v>1</v>
      </c>
      <c r="G3618">
        <v>7</v>
      </c>
      <c r="H3618">
        <v>1</v>
      </c>
      <c r="I3618" s="12" t="s">
        <v>183</v>
      </c>
      <c r="J3618" s="12" t="s">
        <v>184</v>
      </c>
      <c r="K3618" s="12" t="s">
        <v>133</v>
      </c>
      <c r="L3618" s="12" t="s">
        <v>82</v>
      </c>
      <c r="M3618">
        <v>8.6199999999999992</v>
      </c>
      <c r="N3618" s="12" t="s">
        <v>107</v>
      </c>
      <c r="O3618" s="12" t="s">
        <v>108</v>
      </c>
      <c r="P3618" s="12" t="s">
        <v>109</v>
      </c>
      <c r="Q3618" s="13">
        <v>45576</v>
      </c>
      <c r="R3618" s="13">
        <v>45623</v>
      </c>
      <c r="S3618">
        <v>2024</v>
      </c>
      <c r="T3618" s="12" t="s">
        <v>4461</v>
      </c>
      <c r="U3618">
        <v>103</v>
      </c>
      <c r="V3618">
        <v>193.65539999999999</v>
      </c>
      <c r="W3618">
        <v>134.94999999999999</v>
      </c>
      <c r="X3618">
        <v>0</v>
      </c>
      <c r="Y3618">
        <v>0</v>
      </c>
      <c r="Z3618">
        <v>19946.509999999998</v>
      </c>
      <c r="AA3618">
        <v>20081.46</v>
      </c>
      <c r="AB3618" s="12" t="s">
        <v>3249</v>
      </c>
      <c r="AC3618">
        <v>193.65539999999999</v>
      </c>
      <c r="AD3618">
        <v>1</v>
      </c>
      <c r="AE3618">
        <v>1</v>
      </c>
      <c r="AF3618">
        <v>0</v>
      </c>
      <c r="AG3618">
        <v>19946.509999999998</v>
      </c>
      <c r="AH3618">
        <v>103</v>
      </c>
      <c r="AI3618">
        <v>101</v>
      </c>
      <c r="AJ3618">
        <v>2</v>
      </c>
      <c r="AK3618">
        <v>1</v>
      </c>
      <c r="AL3618">
        <v>1</v>
      </c>
      <c r="AM3618">
        <v>98.06</v>
      </c>
      <c r="AN3618">
        <v>198.8263</v>
      </c>
      <c r="AO3618">
        <v>387.31</v>
      </c>
      <c r="AP3618" s="13">
        <v>45620</v>
      </c>
      <c r="AQ3618">
        <v>-3</v>
      </c>
      <c r="AR3618">
        <v>1</v>
      </c>
    </row>
    <row r="3619" spans="1:44" x14ac:dyDescent="0.35">
      <c r="A3619" s="12" t="s">
        <v>4538</v>
      </c>
      <c r="B3619" s="12" t="s">
        <v>465</v>
      </c>
      <c r="C3619" s="12" t="s">
        <v>466</v>
      </c>
      <c r="D3619" s="12" t="s">
        <v>78</v>
      </c>
      <c r="E3619" s="12" t="s">
        <v>142</v>
      </c>
      <c r="F3619">
        <v>3</v>
      </c>
      <c r="G3619">
        <v>11</v>
      </c>
      <c r="H3619">
        <v>0</v>
      </c>
      <c r="I3619" s="12" t="s">
        <v>195</v>
      </c>
      <c r="J3619" s="12" t="s">
        <v>196</v>
      </c>
      <c r="K3619" s="12" t="s">
        <v>117</v>
      </c>
      <c r="L3619" s="12" t="s">
        <v>134</v>
      </c>
      <c r="M3619">
        <v>4.7699999999999996</v>
      </c>
      <c r="N3619" s="12" t="s">
        <v>70</v>
      </c>
      <c r="O3619" s="12" t="s">
        <v>71</v>
      </c>
      <c r="P3619" s="12" t="s">
        <v>72</v>
      </c>
      <c r="Q3619" s="13">
        <v>45579</v>
      </c>
      <c r="R3619" s="13">
        <v>45618</v>
      </c>
      <c r="S3619">
        <v>2024</v>
      </c>
      <c r="T3619" s="12" t="s">
        <v>4461</v>
      </c>
      <c r="U3619">
        <v>107</v>
      </c>
      <c r="V3619">
        <v>111.39409999999999</v>
      </c>
      <c r="W3619">
        <v>185.23</v>
      </c>
      <c r="X3619">
        <v>0</v>
      </c>
      <c r="Y3619">
        <v>0</v>
      </c>
      <c r="Z3619">
        <v>11919.17</v>
      </c>
      <c r="AA3619">
        <v>12104.4</v>
      </c>
      <c r="AB3619" s="12" t="s">
        <v>3058</v>
      </c>
      <c r="AC3619">
        <v>107.81189999999999</v>
      </c>
      <c r="AD3619">
        <v>1</v>
      </c>
      <c r="AE3619">
        <v>1</v>
      </c>
      <c r="AF3619">
        <v>383.3</v>
      </c>
      <c r="AG3619">
        <v>11535.87</v>
      </c>
      <c r="AH3619">
        <v>107</v>
      </c>
      <c r="AI3619">
        <v>106</v>
      </c>
      <c r="AJ3619">
        <v>1</v>
      </c>
      <c r="AK3619">
        <v>1</v>
      </c>
      <c r="AL3619">
        <v>1</v>
      </c>
      <c r="AM3619">
        <v>99.07</v>
      </c>
      <c r="AN3619">
        <v>114.19240000000001</v>
      </c>
      <c r="AO3619">
        <v>111.39</v>
      </c>
      <c r="AP3619" s="13">
        <v>45617</v>
      </c>
      <c r="AQ3619">
        <v>-1</v>
      </c>
      <c r="AR3619">
        <v>1</v>
      </c>
    </row>
    <row r="3620" spans="1:44" x14ac:dyDescent="0.35">
      <c r="A3620" s="12" t="s">
        <v>4539</v>
      </c>
      <c r="B3620" s="12" t="s">
        <v>990</v>
      </c>
      <c r="C3620" s="12" t="s">
        <v>991</v>
      </c>
      <c r="D3620" s="12" t="s">
        <v>122</v>
      </c>
      <c r="E3620" s="12" t="s">
        <v>142</v>
      </c>
      <c r="F3620">
        <v>1</v>
      </c>
      <c r="G3620">
        <v>6</v>
      </c>
      <c r="H3620">
        <v>1</v>
      </c>
      <c r="I3620" s="12" t="s">
        <v>217</v>
      </c>
      <c r="J3620" s="12" t="s">
        <v>218</v>
      </c>
      <c r="K3620" s="12" t="s">
        <v>68</v>
      </c>
      <c r="L3620" s="12" t="s">
        <v>82</v>
      </c>
      <c r="M3620">
        <v>14.24</v>
      </c>
      <c r="N3620" s="12" t="s">
        <v>70</v>
      </c>
      <c r="O3620" s="12" t="s">
        <v>71</v>
      </c>
      <c r="P3620" s="12" t="s">
        <v>72</v>
      </c>
      <c r="Q3620" s="13">
        <v>45579</v>
      </c>
      <c r="R3620" s="13">
        <v>45629</v>
      </c>
      <c r="S3620">
        <v>2024</v>
      </c>
      <c r="T3620" s="12" t="s">
        <v>4461</v>
      </c>
      <c r="U3620">
        <v>1775</v>
      </c>
      <c r="V3620">
        <v>33.6252</v>
      </c>
      <c r="W3620">
        <v>790.3</v>
      </c>
      <c r="X3620">
        <v>0</v>
      </c>
      <c r="Y3620">
        <v>0</v>
      </c>
      <c r="Z3620">
        <v>59684.73</v>
      </c>
      <c r="AA3620">
        <v>60475.03</v>
      </c>
      <c r="AB3620" s="12" t="s">
        <v>3368</v>
      </c>
      <c r="AC3620">
        <v>33.6252</v>
      </c>
      <c r="AD3620">
        <v>1</v>
      </c>
      <c r="AE3620">
        <v>1</v>
      </c>
      <c r="AF3620">
        <v>0</v>
      </c>
      <c r="AG3620">
        <v>59684.73</v>
      </c>
      <c r="AH3620">
        <v>1775</v>
      </c>
      <c r="AI3620">
        <v>1771</v>
      </c>
      <c r="AJ3620">
        <v>4</v>
      </c>
      <c r="AK3620">
        <v>1</v>
      </c>
      <c r="AL3620">
        <v>1</v>
      </c>
      <c r="AM3620">
        <v>99.77</v>
      </c>
      <c r="AN3620">
        <v>34.147399999999998</v>
      </c>
      <c r="AO3620">
        <v>134.5</v>
      </c>
      <c r="AP3620" s="13">
        <v>45627</v>
      </c>
      <c r="AQ3620">
        <v>-2</v>
      </c>
      <c r="AR3620">
        <v>1</v>
      </c>
    </row>
    <row r="3621" spans="1:44" x14ac:dyDescent="0.35">
      <c r="A3621" s="12" t="s">
        <v>4540</v>
      </c>
      <c r="B3621" s="12" t="s">
        <v>255</v>
      </c>
      <c r="C3621" s="12" t="s">
        <v>256</v>
      </c>
      <c r="D3621" s="12" t="s">
        <v>103</v>
      </c>
      <c r="E3621" s="12" t="s">
        <v>65</v>
      </c>
      <c r="F3621">
        <v>2</v>
      </c>
      <c r="G3621">
        <v>4</v>
      </c>
      <c r="H3621">
        <v>0</v>
      </c>
      <c r="I3621" s="12" t="s">
        <v>143</v>
      </c>
      <c r="J3621" s="12" t="s">
        <v>144</v>
      </c>
      <c r="K3621" s="12" t="s">
        <v>133</v>
      </c>
      <c r="L3621" s="12" t="s">
        <v>96</v>
      </c>
      <c r="M3621">
        <v>5.43</v>
      </c>
      <c r="N3621" s="12" t="s">
        <v>107</v>
      </c>
      <c r="O3621" s="12" t="s">
        <v>108</v>
      </c>
      <c r="P3621" s="12" t="s">
        <v>109</v>
      </c>
      <c r="Q3621" s="13">
        <v>45579</v>
      </c>
      <c r="R3621" s="13">
        <v>45616</v>
      </c>
      <c r="S3621">
        <v>2024</v>
      </c>
      <c r="T3621" s="12" t="s">
        <v>4461</v>
      </c>
      <c r="U3621">
        <v>135</v>
      </c>
      <c r="V3621">
        <v>95.073300000000003</v>
      </c>
      <c r="W3621">
        <v>93.92</v>
      </c>
      <c r="X3621">
        <v>403.16</v>
      </c>
      <c r="Y3621">
        <v>1</v>
      </c>
      <c r="Z3621">
        <v>12834.9</v>
      </c>
      <c r="AA3621">
        <v>13331.98</v>
      </c>
      <c r="AB3621" s="12" t="s">
        <v>2616</v>
      </c>
      <c r="AC3621">
        <v>95.073300000000003</v>
      </c>
      <c r="AD3621">
        <v>1</v>
      </c>
      <c r="AE3621">
        <v>1</v>
      </c>
      <c r="AF3621">
        <v>0</v>
      </c>
      <c r="AG3621">
        <v>12834.9</v>
      </c>
      <c r="AH3621">
        <v>135</v>
      </c>
      <c r="AI3621">
        <v>134</v>
      </c>
      <c r="AJ3621">
        <v>1</v>
      </c>
      <c r="AK3621">
        <v>1</v>
      </c>
      <c r="AL3621">
        <v>1</v>
      </c>
      <c r="AM3621">
        <v>99.26</v>
      </c>
      <c r="AN3621">
        <v>99.492400000000004</v>
      </c>
      <c r="AO3621">
        <v>95.07</v>
      </c>
      <c r="AP3621" s="13">
        <v>45616</v>
      </c>
      <c r="AQ3621">
        <v>0</v>
      </c>
      <c r="AR3621">
        <v>1</v>
      </c>
    </row>
    <row r="3622" spans="1:44" x14ac:dyDescent="0.35">
      <c r="A3622" s="12" t="s">
        <v>4541</v>
      </c>
      <c r="B3622" s="12" t="s">
        <v>221</v>
      </c>
      <c r="C3622" s="12" t="s">
        <v>222</v>
      </c>
      <c r="D3622" s="12" t="s">
        <v>114</v>
      </c>
      <c r="E3622" s="12" t="s">
        <v>142</v>
      </c>
      <c r="F3622">
        <v>3</v>
      </c>
      <c r="G3622">
        <v>11</v>
      </c>
      <c r="H3622">
        <v>0</v>
      </c>
      <c r="I3622" s="12" t="s">
        <v>105</v>
      </c>
      <c r="J3622" s="12" t="s">
        <v>106</v>
      </c>
      <c r="K3622" s="12" t="s">
        <v>81</v>
      </c>
      <c r="L3622" s="12" t="s">
        <v>96</v>
      </c>
      <c r="M3622">
        <v>5.01</v>
      </c>
      <c r="N3622" s="12" t="s">
        <v>70</v>
      </c>
      <c r="O3622" s="12" t="s">
        <v>71</v>
      </c>
      <c r="P3622" s="12" t="s">
        <v>72</v>
      </c>
      <c r="Q3622" s="13">
        <v>45579</v>
      </c>
      <c r="R3622" s="13">
        <v>45620</v>
      </c>
      <c r="S3622">
        <v>2024</v>
      </c>
      <c r="T3622" s="12" t="s">
        <v>4461</v>
      </c>
      <c r="U3622">
        <v>58</v>
      </c>
      <c r="V3622">
        <v>239.12260000000001</v>
      </c>
      <c r="W3622">
        <v>100.41</v>
      </c>
      <c r="X3622">
        <v>0</v>
      </c>
      <c r="Y3622">
        <v>0</v>
      </c>
      <c r="Z3622">
        <v>13869.11</v>
      </c>
      <c r="AA3622">
        <v>13969.52</v>
      </c>
      <c r="AB3622" s="12" t="s">
        <v>2818</v>
      </c>
      <c r="AC3622">
        <v>239.12260000000001</v>
      </c>
      <c r="AD3622">
        <v>1</v>
      </c>
      <c r="AE3622">
        <v>1</v>
      </c>
      <c r="AF3622">
        <v>0</v>
      </c>
      <c r="AG3622">
        <v>13869.11</v>
      </c>
      <c r="AH3622">
        <v>58</v>
      </c>
      <c r="AI3622">
        <v>58</v>
      </c>
      <c r="AJ3622">
        <v>0</v>
      </c>
      <c r="AK3622">
        <v>1</v>
      </c>
      <c r="AL3622">
        <v>1</v>
      </c>
      <c r="AM3622">
        <v>100</v>
      </c>
      <c r="AN3622">
        <v>240.85380000000001</v>
      </c>
      <c r="AO3622">
        <v>0</v>
      </c>
      <c r="AP3622" s="13">
        <v>45617</v>
      </c>
      <c r="AQ3622">
        <v>-3</v>
      </c>
      <c r="AR3622">
        <v>1</v>
      </c>
    </row>
    <row r="3623" spans="1:44" x14ac:dyDescent="0.35">
      <c r="A3623" s="12" t="s">
        <v>4542</v>
      </c>
      <c r="B3623" s="12" t="s">
        <v>293</v>
      </c>
      <c r="C3623" s="12" t="s">
        <v>294</v>
      </c>
      <c r="D3623" s="12" t="s">
        <v>114</v>
      </c>
      <c r="E3623" s="12" t="s">
        <v>142</v>
      </c>
      <c r="F3623">
        <v>1</v>
      </c>
      <c r="G3623">
        <v>6</v>
      </c>
      <c r="H3623">
        <v>1</v>
      </c>
      <c r="I3623" s="12" t="s">
        <v>195</v>
      </c>
      <c r="J3623" s="12" t="s">
        <v>196</v>
      </c>
      <c r="K3623" s="12" t="s">
        <v>117</v>
      </c>
      <c r="L3623" s="12" t="s">
        <v>134</v>
      </c>
      <c r="M3623">
        <v>4.7699999999999996</v>
      </c>
      <c r="N3623" s="12" t="s">
        <v>70</v>
      </c>
      <c r="O3623" s="12" t="s">
        <v>71</v>
      </c>
      <c r="P3623" s="12" t="s">
        <v>72</v>
      </c>
      <c r="Q3623" s="13">
        <v>45579</v>
      </c>
      <c r="R3623" s="13">
        <v>45626</v>
      </c>
      <c r="S3623">
        <v>2024</v>
      </c>
      <c r="T3623" s="12" t="s">
        <v>4461</v>
      </c>
      <c r="U3623">
        <v>103</v>
      </c>
      <c r="V3623">
        <v>202.91499999999999</v>
      </c>
      <c r="W3623">
        <v>299.02</v>
      </c>
      <c r="X3623">
        <v>0</v>
      </c>
      <c r="Y3623">
        <v>0</v>
      </c>
      <c r="Z3623">
        <v>20900.25</v>
      </c>
      <c r="AA3623">
        <v>21199.27</v>
      </c>
      <c r="AB3623" s="12" t="s">
        <v>2837</v>
      </c>
      <c r="AC3623">
        <v>202.91499999999999</v>
      </c>
      <c r="AD3623">
        <v>1</v>
      </c>
      <c r="AE3623">
        <v>1</v>
      </c>
      <c r="AF3623">
        <v>0</v>
      </c>
      <c r="AG3623">
        <v>20900.25</v>
      </c>
      <c r="AH3623">
        <v>103</v>
      </c>
      <c r="AI3623">
        <v>101</v>
      </c>
      <c r="AJ3623">
        <v>2</v>
      </c>
      <c r="AK3623">
        <v>1</v>
      </c>
      <c r="AL3623">
        <v>1</v>
      </c>
      <c r="AM3623">
        <v>98.06</v>
      </c>
      <c r="AN3623">
        <v>209.8937</v>
      </c>
      <c r="AO3623">
        <v>405.83</v>
      </c>
      <c r="AP3623" s="13">
        <v>45626</v>
      </c>
      <c r="AQ3623">
        <v>0</v>
      </c>
      <c r="AR3623">
        <v>1</v>
      </c>
    </row>
    <row r="3624" spans="1:44" x14ac:dyDescent="0.35">
      <c r="A3624" s="12" t="s">
        <v>4543</v>
      </c>
      <c r="B3624" s="12" t="s">
        <v>327</v>
      </c>
      <c r="C3624" s="12" t="s">
        <v>328</v>
      </c>
      <c r="D3624" s="12" t="s">
        <v>130</v>
      </c>
      <c r="E3624" s="12" t="s">
        <v>104</v>
      </c>
      <c r="F3624">
        <v>2</v>
      </c>
      <c r="G3624">
        <v>0</v>
      </c>
      <c r="H3624">
        <v>0</v>
      </c>
      <c r="I3624" s="12" t="s">
        <v>94</v>
      </c>
      <c r="J3624" s="12" t="s">
        <v>95</v>
      </c>
      <c r="K3624" s="12" t="s">
        <v>81</v>
      </c>
      <c r="L3624" s="12" t="s">
        <v>96</v>
      </c>
      <c r="M3624">
        <v>4.8099999999999996</v>
      </c>
      <c r="N3624" s="12" t="s">
        <v>135</v>
      </c>
      <c r="O3624" s="12" t="s">
        <v>136</v>
      </c>
      <c r="P3624" s="12" t="s">
        <v>137</v>
      </c>
      <c r="Q3624" s="13">
        <v>45580</v>
      </c>
      <c r="R3624" s="13">
        <v>45608</v>
      </c>
      <c r="S3624">
        <v>2024</v>
      </c>
      <c r="T3624" s="12" t="s">
        <v>4461</v>
      </c>
      <c r="U3624">
        <v>140</v>
      </c>
      <c r="V3624">
        <v>697.23929999999996</v>
      </c>
      <c r="W3624">
        <v>2240.39</v>
      </c>
      <c r="X3624">
        <v>0</v>
      </c>
      <c r="Y3624">
        <v>0</v>
      </c>
      <c r="Z3624">
        <v>97613.5</v>
      </c>
      <c r="AA3624">
        <v>99853.89</v>
      </c>
      <c r="AB3624" s="12" t="s">
        <v>3016</v>
      </c>
      <c r="AC3624">
        <v>697.23929999999996</v>
      </c>
      <c r="AD3624">
        <v>1</v>
      </c>
      <c r="AE3624">
        <v>1</v>
      </c>
      <c r="AF3624">
        <v>0</v>
      </c>
      <c r="AG3624">
        <v>97613.5</v>
      </c>
      <c r="AH3624">
        <v>140</v>
      </c>
      <c r="AI3624">
        <v>138</v>
      </c>
      <c r="AJ3624">
        <v>2</v>
      </c>
      <c r="AK3624">
        <v>1</v>
      </c>
      <c r="AL3624">
        <v>1</v>
      </c>
      <c r="AM3624">
        <v>98.57</v>
      </c>
      <c r="AN3624">
        <v>723.57889999999998</v>
      </c>
      <c r="AO3624">
        <v>1394.48</v>
      </c>
      <c r="AP3624" s="13">
        <v>45608</v>
      </c>
      <c r="AQ3624">
        <v>0</v>
      </c>
      <c r="AR3624">
        <v>1</v>
      </c>
    </row>
    <row r="3625" spans="1:44" x14ac:dyDescent="0.35">
      <c r="A3625" s="12" t="s">
        <v>4544</v>
      </c>
      <c r="B3625" s="12" t="s">
        <v>347</v>
      </c>
      <c r="C3625" s="12" t="s">
        <v>348</v>
      </c>
      <c r="D3625" s="12" t="s">
        <v>78</v>
      </c>
      <c r="E3625" s="12" t="s">
        <v>104</v>
      </c>
      <c r="F3625">
        <v>3</v>
      </c>
      <c r="G3625">
        <v>1</v>
      </c>
      <c r="H3625">
        <v>0</v>
      </c>
      <c r="I3625" s="12" t="s">
        <v>105</v>
      </c>
      <c r="J3625" s="12" t="s">
        <v>106</v>
      </c>
      <c r="K3625" s="12" t="s">
        <v>81</v>
      </c>
      <c r="L3625" s="12" t="s">
        <v>96</v>
      </c>
      <c r="M3625">
        <v>5.01</v>
      </c>
      <c r="N3625" s="12" t="s">
        <v>70</v>
      </c>
      <c r="O3625" s="12" t="s">
        <v>71</v>
      </c>
      <c r="P3625" s="12" t="s">
        <v>72</v>
      </c>
      <c r="Q3625" s="13">
        <v>45580</v>
      </c>
      <c r="R3625" s="13">
        <v>45592</v>
      </c>
      <c r="S3625">
        <v>2024</v>
      </c>
      <c r="T3625" s="12" t="s">
        <v>4461</v>
      </c>
      <c r="U3625">
        <v>41</v>
      </c>
      <c r="V3625">
        <v>100.28740000000001</v>
      </c>
      <c r="W3625">
        <v>60.82</v>
      </c>
      <c r="X3625">
        <v>0</v>
      </c>
      <c r="Y3625">
        <v>0</v>
      </c>
      <c r="Z3625">
        <v>4111.78</v>
      </c>
      <c r="AA3625">
        <v>4172.6000000000004</v>
      </c>
      <c r="AB3625" s="12" t="s">
        <v>2996</v>
      </c>
      <c r="AC3625">
        <v>100.28740000000001</v>
      </c>
      <c r="AD3625">
        <v>1</v>
      </c>
      <c r="AE3625">
        <v>1</v>
      </c>
      <c r="AF3625">
        <v>0</v>
      </c>
      <c r="AG3625">
        <v>4111.78</v>
      </c>
      <c r="AH3625">
        <v>41</v>
      </c>
      <c r="AI3625">
        <v>40</v>
      </c>
      <c r="AJ3625">
        <v>1</v>
      </c>
      <c r="AK3625">
        <v>1</v>
      </c>
      <c r="AL3625">
        <v>1</v>
      </c>
      <c r="AM3625">
        <v>97.56</v>
      </c>
      <c r="AN3625">
        <v>104.3151</v>
      </c>
      <c r="AO3625">
        <v>100.29</v>
      </c>
      <c r="AP3625" s="13">
        <v>45592</v>
      </c>
      <c r="AQ3625">
        <v>0</v>
      </c>
      <c r="AR3625">
        <v>1</v>
      </c>
    </row>
    <row r="3626" spans="1:44" x14ac:dyDescent="0.35">
      <c r="A3626" s="12" t="s">
        <v>4545</v>
      </c>
      <c r="B3626" s="12" t="s">
        <v>465</v>
      </c>
      <c r="C3626" s="12" t="s">
        <v>466</v>
      </c>
      <c r="D3626" s="12" t="s">
        <v>78</v>
      </c>
      <c r="E3626" s="12" t="s">
        <v>142</v>
      </c>
      <c r="F3626">
        <v>3</v>
      </c>
      <c r="G3626">
        <v>11</v>
      </c>
      <c r="H3626">
        <v>0</v>
      </c>
      <c r="I3626" s="12" t="s">
        <v>195</v>
      </c>
      <c r="J3626" s="12" t="s">
        <v>196</v>
      </c>
      <c r="K3626" s="12" t="s">
        <v>117</v>
      </c>
      <c r="L3626" s="12" t="s">
        <v>134</v>
      </c>
      <c r="M3626">
        <v>4.7699999999999996</v>
      </c>
      <c r="N3626" s="12" t="s">
        <v>70</v>
      </c>
      <c r="O3626" s="12" t="s">
        <v>71</v>
      </c>
      <c r="P3626" s="12" t="s">
        <v>72</v>
      </c>
      <c r="Q3626" s="13">
        <v>45580</v>
      </c>
      <c r="R3626" s="13">
        <v>45630</v>
      </c>
      <c r="S3626">
        <v>2024</v>
      </c>
      <c r="T3626" s="12" t="s">
        <v>4461</v>
      </c>
      <c r="U3626">
        <v>263</v>
      </c>
      <c r="V3626">
        <v>107.81189999999999</v>
      </c>
      <c r="W3626">
        <v>364.08</v>
      </c>
      <c r="X3626">
        <v>0</v>
      </c>
      <c r="Y3626">
        <v>0</v>
      </c>
      <c r="Z3626">
        <v>28354.53</v>
      </c>
      <c r="AA3626">
        <v>28718.61</v>
      </c>
      <c r="AB3626" s="12" t="s">
        <v>3058</v>
      </c>
      <c r="AC3626">
        <v>107.81189999999999</v>
      </c>
      <c r="AD3626">
        <v>1</v>
      </c>
      <c r="AE3626">
        <v>1</v>
      </c>
      <c r="AF3626">
        <v>0</v>
      </c>
      <c r="AG3626">
        <v>28354.53</v>
      </c>
      <c r="AH3626">
        <v>263</v>
      </c>
      <c r="AI3626">
        <v>262</v>
      </c>
      <c r="AJ3626">
        <v>1</v>
      </c>
      <c r="AK3626">
        <v>1</v>
      </c>
      <c r="AL3626">
        <v>1</v>
      </c>
      <c r="AM3626">
        <v>99.62</v>
      </c>
      <c r="AN3626">
        <v>109.613</v>
      </c>
      <c r="AO3626">
        <v>107.81</v>
      </c>
      <c r="AP3626" s="13">
        <v>45638</v>
      </c>
      <c r="AQ3626">
        <v>8</v>
      </c>
      <c r="AR3626">
        <v>0</v>
      </c>
    </row>
    <row r="3627" spans="1:44" x14ac:dyDescent="0.35">
      <c r="A3627" s="12" t="s">
        <v>4546</v>
      </c>
      <c r="B3627" s="12" t="s">
        <v>617</v>
      </c>
      <c r="C3627" s="12" t="s">
        <v>618</v>
      </c>
      <c r="D3627" s="12" t="s">
        <v>78</v>
      </c>
      <c r="E3627" s="12" t="s">
        <v>65</v>
      </c>
      <c r="F3627">
        <v>2</v>
      </c>
      <c r="G3627">
        <v>4</v>
      </c>
      <c r="H3627">
        <v>0</v>
      </c>
      <c r="I3627" s="12" t="s">
        <v>341</v>
      </c>
      <c r="J3627" s="12" t="s">
        <v>342</v>
      </c>
      <c r="K3627" s="12" t="s">
        <v>117</v>
      </c>
      <c r="L3627" s="12" t="s">
        <v>82</v>
      </c>
      <c r="M3627">
        <v>18.36</v>
      </c>
      <c r="N3627" s="12" t="s">
        <v>70</v>
      </c>
      <c r="O3627" s="12" t="s">
        <v>71</v>
      </c>
      <c r="P3627" s="12" t="s">
        <v>72</v>
      </c>
      <c r="Q3627" s="13">
        <v>45580</v>
      </c>
      <c r="R3627" s="13">
        <v>45609</v>
      </c>
      <c r="S3627">
        <v>2024</v>
      </c>
      <c r="T3627" s="12" t="s">
        <v>4461</v>
      </c>
      <c r="U3627">
        <v>157</v>
      </c>
      <c r="V3627">
        <v>102.4909</v>
      </c>
      <c r="W3627">
        <v>367.29</v>
      </c>
      <c r="X3627">
        <v>0</v>
      </c>
      <c r="Y3627">
        <v>0</v>
      </c>
      <c r="Z3627">
        <v>16091.07</v>
      </c>
      <c r="AA3627">
        <v>16458.36</v>
      </c>
      <c r="AB3627" s="12" t="s">
        <v>3217</v>
      </c>
      <c r="AC3627">
        <v>102.4909</v>
      </c>
      <c r="AD3627">
        <v>1</v>
      </c>
      <c r="AE3627">
        <v>1</v>
      </c>
      <c r="AF3627">
        <v>0</v>
      </c>
      <c r="AG3627">
        <v>16091.07</v>
      </c>
      <c r="AH3627">
        <v>157</v>
      </c>
      <c r="AI3627">
        <v>154</v>
      </c>
      <c r="AJ3627">
        <v>3</v>
      </c>
      <c r="AK3627">
        <v>1</v>
      </c>
      <c r="AL3627">
        <v>1</v>
      </c>
      <c r="AM3627">
        <v>98.09</v>
      </c>
      <c r="AN3627">
        <v>106.8725</v>
      </c>
      <c r="AO3627">
        <v>307.47000000000003</v>
      </c>
      <c r="AP3627" s="13">
        <v>45609</v>
      </c>
      <c r="AQ3627">
        <v>0</v>
      </c>
      <c r="AR3627">
        <v>1</v>
      </c>
    </row>
    <row r="3628" spans="1:44" x14ac:dyDescent="0.35">
      <c r="A3628" s="12" t="s">
        <v>4547</v>
      </c>
      <c r="B3628" s="12" t="s">
        <v>167</v>
      </c>
      <c r="C3628" s="12" t="s">
        <v>168</v>
      </c>
      <c r="D3628" s="12" t="s">
        <v>64</v>
      </c>
      <c r="E3628" s="12" t="s">
        <v>104</v>
      </c>
      <c r="F3628">
        <v>3</v>
      </c>
      <c r="G3628">
        <v>1</v>
      </c>
      <c r="H3628">
        <v>0</v>
      </c>
      <c r="I3628" s="12" t="s">
        <v>169</v>
      </c>
      <c r="J3628" s="12" t="s">
        <v>170</v>
      </c>
      <c r="K3628" s="12" t="s">
        <v>89</v>
      </c>
      <c r="L3628" s="12" t="s">
        <v>134</v>
      </c>
      <c r="M3628">
        <v>1.37</v>
      </c>
      <c r="N3628" s="12" t="s">
        <v>70</v>
      </c>
      <c r="O3628" s="12" t="s">
        <v>71</v>
      </c>
      <c r="P3628" s="12" t="s">
        <v>72</v>
      </c>
      <c r="Q3628" s="13">
        <v>45580</v>
      </c>
      <c r="R3628" s="13">
        <v>45597</v>
      </c>
      <c r="S3628">
        <v>2024</v>
      </c>
      <c r="T3628" s="12" t="s">
        <v>4461</v>
      </c>
      <c r="U3628">
        <v>356</v>
      </c>
      <c r="V3628">
        <v>26.559100000000001</v>
      </c>
      <c r="W3628">
        <v>105.29</v>
      </c>
      <c r="X3628">
        <v>0</v>
      </c>
      <c r="Y3628">
        <v>0</v>
      </c>
      <c r="Z3628">
        <v>9455.0400000000009</v>
      </c>
      <c r="AA3628">
        <v>9560.33</v>
      </c>
      <c r="AB3628" s="12" t="s">
        <v>2885</v>
      </c>
      <c r="AC3628">
        <v>26.559100000000001</v>
      </c>
      <c r="AD3628">
        <v>1</v>
      </c>
      <c r="AE3628">
        <v>1</v>
      </c>
      <c r="AF3628">
        <v>0</v>
      </c>
      <c r="AG3628">
        <v>9455.0400000000009</v>
      </c>
      <c r="AH3628">
        <v>356</v>
      </c>
      <c r="AI3628">
        <v>353</v>
      </c>
      <c r="AJ3628">
        <v>3</v>
      </c>
      <c r="AK3628">
        <v>1</v>
      </c>
      <c r="AL3628">
        <v>1</v>
      </c>
      <c r="AM3628">
        <v>99.16</v>
      </c>
      <c r="AN3628">
        <v>27.083100000000002</v>
      </c>
      <c r="AO3628">
        <v>79.680000000000007</v>
      </c>
      <c r="AP3628" s="13">
        <v>45594</v>
      </c>
      <c r="AQ3628">
        <v>-3</v>
      </c>
      <c r="AR3628">
        <v>1</v>
      </c>
    </row>
    <row r="3629" spans="1:44" x14ac:dyDescent="0.35">
      <c r="A3629" s="12" t="s">
        <v>4548</v>
      </c>
      <c r="B3629" s="12" t="s">
        <v>267</v>
      </c>
      <c r="C3629" s="12" t="s">
        <v>268</v>
      </c>
      <c r="D3629" s="12" t="s">
        <v>269</v>
      </c>
      <c r="E3629" s="12" t="s">
        <v>142</v>
      </c>
      <c r="F3629">
        <v>1</v>
      </c>
      <c r="G3629">
        <v>8</v>
      </c>
      <c r="H3629">
        <v>1</v>
      </c>
      <c r="I3629" s="12" t="s">
        <v>94</v>
      </c>
      <c r="J3629" s="12" t="s">
        <v>95</v>
      </c>
      <c r="K3629" s="12" t="s">
        <v>81</v>
      </c>
      <c r="L3629" s="12" t="s">
        <v>96</v>
      </c>
      <c r="M3629">
        <v>4.8099999999999996</v>
      </c>
      <c r="N3629" s="12" t="s">
        <v>135</v>
      </c>
      <c r="O3629" s="12" t="s">
        <v>136</v>
      </c>
      <c r="P3629" s="12" t="s">
        <v>137</v>
      </c>
      <c r="Q3629" s="13">
        <v>45580</v>
      </c>
      <c r="R3629" s="13">
        <v>45625</v>
      </c>
      <c r="S3629">
        <v>2024</v>
      </c>
      <c r="T3629" s="12" t="s">
        <v>4461</v>
      </c>
      <c r="U3629">
        <v>95</v>
      </c>
      <c r="V3629">
        <v>225.02719999999999</v>
      </c>
      <c r="W3629">
        <v>243.05</v>
      </c>
      <c r="X3629">
        <v>0</v>
      </c>
      <c r="Y3629">
        <v>0</v>
      </c>
      <c r="Z3629">
        <v>21377.58</v>
      </c>
      <c r="AA3629">
        <v>21620.63</v>
      </c>
      <c r="AB3629" s="12" t="s">
        <v>2878</v>
      </c>
      <c r="AC3629">
        <v>225.02719999999999</v>
      </c>
      <c r="AD3629">
        <v>1</v>
      </c>
      <c r="AE3629">
        <v>1</v>
      </c>
      <c r="AF3629">
        <v>0</v>
      </c>
      <c r="AG3629">
        <v>21377.58</v>
      </c>
      <c r="AH3629">
        <v>95</v>
      </c>
      <c r="AI3629">
        <v>94</v>
      </c>
      <c r="AJ3629">
        <v>1</v>
      </c>
      <c r="AK3629">
        <v>1</v>
      </c>
      <c r="AL3629">
        <v>1</v>
      </c>
      <c r="AM3629">
        <v>98.95</v>
      </c>
      <c r="AN3629">
        <v>230.0067</v>
      </c>
      <c r="AO3629">
        <v>225.03</v>
      </c>
      <c r="AP3629" s="13">
        <v>45622</v>
      </c>
      <c r="AQ3629">
        <v>-3</v>
      </c>
      <c r="AR3629">
        <v>1</v>
      </c>
    </row>
    <row r="3630" spans="1:44" x14ac:dyDescent="0.35">
      <c r="A3630" s="12" t="s">
        <v>4549</v>
      </c>
      <c r="B3630" s="12" t="s">
        <v>454</v>
      </c>
      <c r="C3630" s="12" t="s">
        <v>455</v>
      </c>
      <c r="D3630" s="12" t="s">
        <v>122</v>
      </c>
      <c r="E3630" s="12" t="s">
        <v>104</v>
      </c>
      <c r="F3630">
        <v>3</v>
      </c>
      <c r="G3630">
        <v>1</v>
      </c>
      <c r="H3630">
        <v>0</v>
      </c>
      <c r="I3630" s="12" t="s">
        <v>243</v>
      </c>
      <c r="J3630" s="12" t="s">
        <v>244</v>
      </c>
      <c r="K3630" s="12" t="s">
        <v>81</v>
      </c>
      <c r="L3630" s="12" t="s">
        <v>82</v>
      </c>
      <c r="M3630">
        <v>9.2200000000000006</v>
      </c>
      <c r="N3630" s="12" t="s">
        <v>97</v>
      </c>
      <c r="O3630" s="12" t="s">
        <v>98</v>
      </c>
      <c r="P3630" s="12" t="s">
        <v>72</v>
      </c>
      <c r="Q3630" s="13">
        <v>45580</v>
      </c>
      <c r="R3630" s="13">
        <v>45599</v>
      </c>
      <c r="S3630">
        <v>2024</v>
      </c>
      <c r="T3630" s="12" t="s">
        <v>4461</v>
      </c>
      <c r="U3630">
        <v>933</v>
      </c>
      <c r="V3630">
        <v>20.9206</v>
      </c>
      <c r="W3630">
        <v>360.05</v>
      </c>
      <c r="X3630">
        <v>0</v>
      </c>
      <c r="Y3630">
        <v>0</v>
      </c>
      <c r="Z3630">
        <v>19518.919999999998</v>
      </c>
      <c r="AA3630">
        <v>19878.97</v>
      </c>
      <c r="AB3630" s="12" t="s">
        <v>2767</v>
      </c>
      <c r="AC3630">
        <v>20.9206</v>
      </c>
      <c r="AD3630">
        <v>1</v>
      </c>
      <c r="AE3630">
        <v>1</v>
      </c>
      <c r="AF3630">
        <v>0</v>
      </c>
      <c r="AG3630">
        <v>19518.919999999998</v>
      </c>
      <c r="AH3630">
        <v>933</v>
      </c>
      <c r="AI3630">
        <v>928</v>
      </c>
      <c r="AJ3630">
        <v>5</v>
      </c>
      <c r="AK3630">
        <v>1</v>
      </c>
      <c r="AL3630">
        <v>1</v>
      </c>
      <c r="AM3630">
        <v>99.46</v>
      </c>
      <c r="AN3630">
        <v>21.421299999999999</v>
      </c>
      <c r="AO3630">
        <v>104.6</v>
      </c>
      <c r="AP3630" s="13">
        <v>45598</v>
      </c>
      <c r="AQ3630">
        <v>-1</v>
      </c>
      <c r="AR3630">
        <v>1</v>
      </c>
    </row>
    <row r="3631" spans="1:44" x14ac:dyDescent="0.35">
      <c r="A3631" s="12" t="s">
        <v>4550</v>
      </c>
      <c r="B3631" s="12" t="s">
        <v>362</v>
      </c>
      <c r="C3631" s="12" t="s">
        <v>363</v>
      </c>
      <c r="D3631" s="12" t="s">
        <v>78</v>
      </c>
      <c r="E3631" s="12" t="s">
        <v>104</v>
      </c>
      <c r="F3631">
        <v>3</v>
      </c>
      <c r="G3631">
        <v>0</v>
      </c>
      <c r="H3631">
        <v>0</v>
      </c>
      <c r="I3631" s="12" t="s">
        <v>157</v>
      </c>
      <c r="J3631" s="12" t="s">
        <v>158</v>
      </c>
      <c r="K3631" s="12" t="s">
        <v>117</v>
      </c>
      <c r="L3631" s="12" t="s">
        <v>96</v>
      </c>
      <c r="M3631">
        <v>4.72</v>
      </c>
      <c r="N3631" s="12" t="s">
        <v>97</v>
      </c>
      <c r="O3631" s="12" t="s">
        <v>98</v>
      </c>
      <c r="P3631" s="12" t="s">
        <v>72</v>
      </c>
      <c r="Q3631" s="13">
        <v>45580</v>
      </c>
      <c r="R3631" s="13">
        <v>45609</v>
      </c>
      <c r="S3631">
        <v>2024</v>
      </c>
      <c r="T3631" s="12" t="s">
        <v>4461</v>
      </c>
      <c r="U3631">
        <v>288</v>
      </c>
      <c r="V3631">
        <v>56.395800000000001</v>
      </c>
      <c r="W3631">
        <v>374.54</v>
      </c>
      <c r="X3631">
        <v>0</v>
      </c>
      <c r="Y3631">
        <v>0</v>
      </c>
      <c r="Z3631">
        <v>16241.99</v>
      </c>
      <c r="AA3631">
        <v>16616.53</v>
      </c>
      <c r="AB3631" s="12" t="s">
        <v>3185</v>
      </c>
      <c r="AC3631">
        <v>59.830500000000001</v>
      </c>
      <c r="AD3631">
        <v>1</v>
      </c>
      <c r="AE3631">
        <v>1</v>
      </c>
      <c r="AF3631">
        <v>-989.19</v>
      </c>
      <c r="AG3631">
        <v>17231.18</v>
      </c>
      <c r="AH3631">
        <v>288</v>
      </c>
      <c r="AI3631">
        <v>283</v>
      </c>
      <c r="AJ3631">
        <v>5</v>
      </c>
      <c r="AK3631">
        <v>1</v>
      </c>
      <c r="AL3631">
        <v>1</v>
      </c>
      <c r="AM3631">
        <v>98.26</v>
      </c>
      <c r="AN3631">
        <v>58.715699999999998</v>
      </c>
      <c r="AO3631">
        <v>281.98</v>
      </c>
      <c r="AP3631" s="13">
        <v>45607</v>
      </c>
      <c r="AQ3631">
        <v>-2</v>
      </c>
      <c r="AR3631">
        <v>1</v>
      </c>
    </row>
    <row r="3632" spans="1:44" x14ac:dyDescent="0.35">
      <c r="A3632" s="12" t="s">
        <v>4551</v>
      </c>
      <c r="B3632" s="12" t="s">
        <v>92</v>
      </c>
      <c r="C3632" s="12" t="s">
        <v>93</v>
      </c>
      <c r="D3632" s="12" t="s">
        <v>64</v>
      </c>
      <c r="E3632" s="12" t="s">
        <v>65</v>
      </c>
      <c r="F3632">
        <v>3</v>
      </c>
      <c r="G3632">
        <v>5</v>
      </c>
      <c r="H3632">
        <v>0</v>
      </c>
      <c r="I3632" s="12" t="s">
        <v>94</v>
      </c>
      <c r="J3632" s="12" t="s">
        <v>95</v>
      </c>
      <c r="K3632" s="12" t="s">
        <v>81</v>
      </c>
      <c r="L3632" s="12" t="s">
        <v>96</v>
      </c>
      <c r="M3632">
        <v>4.8099999999999996</v>
      </c>
      <c r="N3632" s="12" t="s">
        <v>70</v>
      </c>
      <c r="O3632" s="12" t="s">
        <v>71</v>
      </c>
      <c r="P3632" s="12" t="s">
        <v>72</v>
      </c>
      <c r="Q3632" s="13">
        <v>45580</v>
      </c>
      <c r="R3632" s="13">
        <v>45608</v>
      </c>
      <c r="S3632">
        <v>2024</v>
      </c>
      <c r="T3632" s="12" t="s">
        <v>4461</v>
      </c>
      <c r="U3632">
        <v>492</v>
      </c>
      <c r="V3632">
        <v>23.8764</v>
      </c>
      <c r="W3632">
        <v>99.91</v>
      </c>
      <c r="X3632">
        <v>0</v>
      </c>
      <c r="Y3632">
        <v>0</v>
      </c>
      <c r="Z3632">
        <v>11747.19</v>
      </c>
      <c r="AA3632">
        <v>11847.1</v>
      </c>
      <c r="AB3632" s="12" t="s">
        <v>2802</v>
      </c>
      <c r="AC3632">
        <v>23.8764</v>
      </c>
      <c r="AD3632">
        <v>1</v>
      </c>
      <c r="AE3632">
        <v>1</v>
      </c>
      <c r="AF3632">
        <v>0</v>
      </c>
      <c r="AG3632">
        <v>11747.19</v>
      </c>
      <c r="AH3632">
        <v>492</v>
      </c>
      <c r="AI3632">
        <v>491</v>
      </c>
      <c r="AJ3632">
        <v>1</v>
      </c>
      <c r="AK3632">
        <v>1</v>
      </c>
      <c r="AL3632">
        <v>1</v>
      </c>
      <c r="AM3632">
        <v>99.8</v>
      </c>
      <c r="AN3632">
        <v>24.128499999999999</v>
      </c>
      <c r="AO3632">
        <v>23.88</v>
      </c>
      <c r="AP3632" s="13">
        <v>45608</v>
      </c>
      <c r="AQ3632">
        <v>0</v>
      </c>
      <c r="AR3632">
        <v>1</v>
      </c>
    </row>
    <row r="3633" spans="1:44" x14ac:dyDescent="0.35">
      <c r="A3633" s="12" t="s">
        <v>4552</v>
      </c>
      <c r="B3633" s="12" t="s">
        <v>302</v>
      </c>
      <c r="C3633" s="12" t="s">
        <v>303</v>
      </c>
      <c r="D3633" s="12" t="s">
        <v>78</v>
      </c>
      <c r="E3633" s="12" t="s">
        <v>65</v>
      </c>
      <c r="F3633">
        <v>2</v>
      </c>
      <c r="G3633">
        <v>3</v>
      </c>
      <c r="H3633">
        <v>0</v>
      </c>
      <c r="I3633" s="12" t="s">
        <v>335</v>
      </c>
      <c r="J3633" s="12" t="s">
        <v>336</v>
      </c>
      <c r="K3633" s="12" t="s">
        <v>89</v>
      </c>
      <c r="L3633" s="12" t="s">
        <v>82</v>
      </c>
      <c r="M3633">
        <v>16</v>
      </c>
      <c r="N3633" s="12" t="s">
        <v>97</v>
      </c>
      <c r="O3633" s="12" t="s">
        <v>98</v>
      </c>
      <c r="P3633" s="12" t="s">
        <v>72</v>
      </c>
      <c r="Q3633" s="13">
        <v>45580</v>
      </c>
      <c r="R3633" s="13">
        <v>45607</v>
      </c>
      <c r="S3633">
        <v>2024</v>
      </c>
      <c r="T3633" s="12" t="s">
        <v>4461</v>
      </c>
      <c r="U3633">
        <v>138</v>
      </c>
      <c r="V3633">
        <v>141.08359999999999</v>
      </c>
      <c r="W3633">
        <v>344.39</v>
      </c>
      <c r="X3633">
        <v>0</v>
      </c>
      <c r="Y3633">
        <v>0</v>
      </c>
      <c r="Z3633">
        <v>19469.54</v>
      </c>
      <c r="AA3633">
        <v>19813.93</v>
      </c>
      <c r="AB3633" s="12" t="s">
        <v>2834</v>
      </c>
      <c r="AC3633">
        <v>141.08359999999999</v>
      </c>
      <c r="AD3633">
        <v>1</v>
      </c>
      <c r="AE3633">
        <v>1</v>
      </c>
      <c r="AF3633">
        <v>0</v>
      </c>
      <c r="AG3633">
        <v>19469.54</v>
      </c>
      <c r="AH3633">
        <v>138</v>
      </c>
      <c r="AI3633">
        <v>135</v>
      </c>
      <c r="AJ3633">
        <v>3</v>
      </c>
      <c r="AK3633">
        <v>1</v>
      </c>
      <c r="AL3633">
        <v>1</v>
      </c>
      <c r="AM3633">
        <v>97.83</v>
      </c>
      <c r="AN3633">
        <v>146.7698</v>
      </c>
      <c r="AO3633">
        <v>423.25</v>
      </c>
      <c r="AP3633" s="13">
        <v>45603</v>
      </c>
      <c r="AQ3633">
        <v>-4</v>
      </c>
      <c r="AR3633">
        <v>1</v>
      </c>
    </row>
    <row r="3634" spans="1:44" x14ac:dyDescent="0.35">
      <c r="A3634" s="12" t="s">
        <v>4553</v>
      </c>
      <c r="B3634" s="12" t="s">
        <v>957</v>
      </c>
      <c r="C3634" s="12" t="s">
        <v>958</v>
      </c>
      <c r="D3634" s="12" t="s">
        <v>103</v>
      </c>
      <c r="E3634" s="12" t="s">
        <v>142</v>
      </c>
      <c r="F3634">
        <v>1</v>
      </c>
      <c r="G3634">
        <v>7</v>
      </c>
      <c r="H3634">
        <v>1</v>
      </c>
      <c r="I3634" s="12" t="s">
        <v>183</v>
      </c>
      <c r="J3634" s="12" t="s">
        <v>184</v>
      </c>
      <c r="K3634" s="12" t="s">
        <v>133</v>
      </c>
      <c r="L3634" s="12" t="s">
        <v>82</v>
      </c>
      <c r="M3634">
        <v>8.6199999999999992</v>
      </c>
      <c r="N3634" s="12" t="s">
        <v>145</v>
      </c>
      <c r="O3634" s="12" t="s">
        <v>146</v>
      </c>
      <c r="P3634" s="12" t="s">
        <v>109</v>
      </c>
      <c r="Q3634" s="13">
        <v>45580</v>
      </c>
      <c r="R3634" s="13">
        <v>45630</v>
      </c>
      <c r="S3634">
        <v>2024</v>
      </c>
      <c r="T3634" s="12" t="s">
        <v>4461</v>
      </c>
      <c r="U3634">
        <v>128</v>
      </c>
      <c r="V3634">
        <v>193.65539999999999</v>
      </c>
      <c r="W3634">
        <v>255.88</v>
      </c>
      <c r="X3634">
        <v>0</v>
      </c>
      <c r="Y3634">
        <v>0</v>
      </c>
      <c r="Z3634">
        <v>24787.89</v>
      </c>
      <c r="AA3634">
        <v>25043.77</v>
      </c>
      <c r="AB3634" s="12" t="s">
        <v>3249</v>
      </c>
      <c r="AC3634">
        <v>193.65539999999999</v>
      </c>
      <c r="AD3634">
        <v>1</v>
      </c>
      <c r="AE3634">
        <v>1</v>
      </c>
      <c r="AF3634">
        <v>0</v>
      </c>
      <c r="AG3634">
        <v>24787.89</v>
      </c>
      <c r="AH3634">
        <v>128</v>
      </c>
      <c r="AI3634">
        <v>127</v>
      </c>
      <c r="AJ3634">
        <v>1</v>
      </c>
      <c r="AK3634">
        <v>1</v>
      </c>
      <c r="AL3634">
        <v>1</v>
      </c>
      <c r="AM3634">
        <v>99.22</v>
      </c>
      <c r="AN3634">
        <v>197.19499999999999</v>
      </c>
      <c r="AO3634">
        <v>193.66</v>
      </c>
      <c r="AP3634" s="13">
        <v>45627</v>
      </c>
      <c r="AQ3634">
        <v>-3</v>
      </c>
      <c r="AR3634">
        <v>1</v>
      </c>
    </row>
    <row r="3635" spans="1:44" x14ac:dyDescent="0.35">
      <c r="A3635" s="12" t="s">
        <v>4554</v>
      </c>
      <c r="B3635" s="12" t="s">
        <v>602</v>
      </c>
      <c r="C3635" s="12" t="s">
        <v>603</v>
      </c>
      <c r="D3635" s="12" t="s">
        <v>114</v>
      </c>
      <c r="E3635" s="12" t="s">
        <v>142</v>
      </c>
      <c r="F3635">
        <v>2</v>
      </c>
      <c r="G3635">
        <v>10</v>
      </c>
      <c r="H3635">
        <v>0</v>
      </c>
      <c r="I3635" s="12" t="s">
        <v>263</v>
      </c>
      <c r="J3635" s="12" t="s">
        <v>264</v>
      </c>
      <c r="K3635" s="12" t="s">
        <v>125</v>
      </c>
      <c r="L3635" s="12" t="s">
        <v>82</v>
      </c>
      <c r="M3635">
        <v>10.210000000000001</v>
      </c>
      <c r="N3635" s="12" t="s">
        <v>70</v>
      </c>
      <c r="O3635" s="12" t="s">
        <v>71</v>
      </c>
      <c r="P3635" s="12" t="s">
        <v>72</v>
      </c>
      <c r="Q3635" s="13">
        <v>45580</v>
      </c>
      <c r="R3635" s="13">
        <v>45630</v>
      </c>
      <c r="S3635">
        <v>2024</v>
      </c>
      <c r="T3635" s="12" t="s">
        <v>4461</v>
      </c>
      <c r="U3635">
        <v>131</v>
      </c>
      <c r="V3635">
        <v>210.69990000000001</v>
      </c>
      <c r="W3635">
        <v>455.32</v>
      </c>
      <c r="X3635">
        <v>0</v>
      </c>
      <c r="Y3635">
        <v>0</v>
      </c>
      <c r="Z3635">
        <v>27601.69</v>
      </c>
      <c r="AA3635">
        <v>28057.01</v>
      </c>
      <c r="AB3635" s="12" t="s">
        <v>2790</v>
      </c>
      <c r="AC3635">
        <v>210.69990000000001</v>
      </c>
      <c r="AD3635">
        <v>1</v>
      </c>
      <c r="AE3635">
        <v>1</v>
      </c>
      <c r="AF3635">
        <v>0</v>
      </c>
      <c r="AG3635">
        <v>27601.69</v>
      </c>
      <c r="AH3635">
        <v>131</v>
      </c>
      <c r="AI3635">
        <v>130</v>
      </c>
      <c r="AJ3635">
        <v>1</v>
      </c>
      <c r="AK3635">
        <v>1</v>
      </c>
      <c r="AL3635">
        <v>1</v>
      </c>
      <c r="AM3635">
        <v>99.24</v>
      </c>
      <c r="AN3635">
        <v>215.82310000000001</v>
      </c>
      <c r="AO3635">
        <v>210.7</v>
      </c>
      <c r="AP3635" s="13">
        <v>45629</v>
      </c>
      <c r="AQ3635">
        <v>-1</v>
      </c>
      <c r="AR3635">
        <v>1</v>
      </c>
    </row>
    <row r="3636" spans="1:44" x14ac:dyDescent="0.35">
      <c r="A3636" s="12" t="s">
        <v>4555</v>
      </c>
      <c r="B3636" s="12" t="s">
        <v>404</v>
      </c>
      <c r="C3636" s="12" t="s">
        <v>405</v>
      </c>
      <c r="D3636" s="12" t="s">
        <v>269</v>
      </c>
      <c r="E3636" s="12" t="s">
        <v>65</v>
      </c>
      <c r="F3636">
        <v>3</v>
      </c>
      <c r="G3636">
        <v>5</v>
      </c>
      <c r="H3636">
        <v>0</v>
      </c>
      <c r="I3636" s="12" t="s">
        <v>79</v>
      </c>
      <c r="J3636" s="12" t="s">
        <v>80</v>
      </c>
      <c r="K3636" s="12" t="s">
        <v>81</v>
      </c>
      <c r="L3636" s="12" t="s">
        <v>82</v>
      </c>
      <c r="M3636">
        <v>12.07</v>
      </c>
      <c r="N3636" s="12" t="s">
        <v>135</v>
      </c>
      <c r="O3636" s="12" t="s">
        <v>136</v>
      </c>
      <c r="P3636" s="12" t="s">
        <v>137</v>
      </c>
      <c r="Q3636" s="13">
        <v>45581</v>
      </c>
      <c r="R3636" s="13">
        <v>45606</v>
      </c>
      <c r="S3636">
        <v>2024</v>
      </c>
      <c r="T3636" s="12" t="s">
        <v>4461</v>
      </c>
      <c r="U3636">
        <v>44</v>
      </c>
      <c r="V3636">
        <v>430.2559</v>
      </c>
      <c r="W3636">
        <v>480.87</v>
      </c>
      <c r="X3636">
        <v>583.94000000000005</v>
      </c>
      <c r="Y3636">
        <v>1</v>
      </c>
      <c r="Z3636">
        <v>18931.259999999998</v>
      </c>
      <c r="AA3636">
        <v>19996.07</v>
      </c>
      <c r="AB3636" s="12" t="s">
        <v>2910</v>
      </c>
      <c r="AC3636">
        <v>430.2559</v>
      </c>
      <c r="AD3636">
        <v>1</v>
      </c>
      <c r="AE3636">
        <v>1</v>
      </c>
      <c r="AF3636">
        <v>0</v>
      </c>
      <c r="AG3636">
        <v>18931.259999999998</v>
      </c>
      <c r="AH3636">
        <v>44</v>
      </c>
      <c r="AI3636">
        <v>43</v>
      </c>
      <c r="AJ3636">
        <v>1</v>
      </c>
      <c r="AK3636">
        <v>1</v>
      </c>
      <c r="AL3636">
        <v>1</v>
      </c>
      <c r="AM3636">
        <v>97.73</v>
      </c>
      <c r="AN3636">
        <v>465.0249</v>
      </c>
      <c r="AO3636">
        <v>430.26</v>
      </c>
      <c r="AP3636" s="13">
        <v>45608</v>
      </c>
      <c r="AQ3636">
        <v>2</v>
      </c>
      <c r="AR3636">
        <v>0</v>
      </c>
    </row>
    <row r="3637" spans="1:44" x14ac:dyDescent="0.35">
      <c r="A3637" s="12" t="s">
        <v>4556</v>
      </c>
      <c r="B3637" s="12" t="s">
        <v>472</v>
      </c>
      <c r="C3637" s="12" t="s">
        <v>473</v>
      </c>
      <c r="D3637" s="12" t="s">
        <v>122</v>
      </c>
      <c r="E3637" s="12" t="s">
        <v>142</v>
      </c>
      <c r="F3637">
        <v>2</v>
      </c>
      <c r="G3637">
        <v>9</v>
      </c>
      <c r="H3637">
        <v>0</v>
      </c>
      <c r="I3637" s="12" t="s">
        <v>87</v>
      </c>
      <c r="J3637" s="12" t="s">
        <v>88</v>
      </c>
      <c r="K3637" s="12" t="s">
        <v>89</v>
      </c>
      <c r="L3637" s="12" t="s">
        <v>69</v>
      </c>
      <c r="M3637">
        <v>14.93</v>
      </c>
      <c r="N3637" s="12" t="s">
        <v>97</v>
      </c>
      <c r="O3637" s="12" t="s">
        <v>98</v>
      </c>
      <c r="P3637" s="12" t="s">
        <v>72</v>
      </c>
      <c r="Q3637" s="13">
        <v>45581</v>
      </c>
      <c r="R3637" s="13">
        <v>45629</v>
      </c>
      <c r="S3637">
        <v>2024</v>
      </c>
      <c r="T3637" s="12" t="s">
        <v>4461</v>
      </c>
      <c r="U3637">
        <v>1563</v>
      </c>
      <c r="V3637">
        <v>47.8491</v>
      </c>
      <c r="W3637">
        <v>1203.8800000000001</v>
      </c>
      <c r="X3637">
        <v>0</v>
      </c>
      <c r="Y3637">
        <v>0</v>
      </c>
      <c r="Z3637">
        <v>74788.14</v>
      </c>
      <c r="AA3637">
        <v>75992.02</v>
      </c>
      <c r="AB3637" s="12" t="s">
        <v>3351</v>
      </c>
      <c r="AC3637">
        <v>47.8491</v>
      </c>
      <c r="AD3637">
        <v>1</v>
      </c>
      <c r="AE3637">
        <v>1</v>
      </c>
      <c r="AF3637">
        <v>0</v>
      </c>
      <c r="AG3637">
        <v>74788.14</v>
      </c>
      <c r="AH3637">
        <v>1563</v>
      </c>
      <c r="AI3637">
        <v>1551</v>
      </c>
      <c r="AJ3637">
        <v>12</v>
      </c>
      <c r="AK3637">
        <v>1</v>
      </c>
      <c r="AL3637">
        <v>1</v>
      </c>
      <c r="AM3637">
        <v>99.23</v>
      </c>
      <c r="AN3637">
        <v>48.9955</v>
      </c>
      <c r="AO3637">
        <v>574.19000000000005</v>
      </c>
      <c r="AP3637" s="13">
        <v>45627</v>
      </c>
      <c r="AQ3637">
        <v>-2</v>
      </c>
      <c r="AR3637">
        <v>1</v>
      </c>
    </row>
    <row r="3638" spans="1:44" x14ac:dyDescent="0.35">
      <c r="A3638" s="12" t="s">
        <v>4557</v>
      </c>
      <c r="B3638" s="12" t="s">
        <v>249</v>
      </c>
      <c r="C3638" s="12" t="s">
        <v>250</v>
      </c>
      <c r="D3638" s="12" t="s">
        <v>64</v>
      </c>
      <c r="E3638" s="12" t="s">
        <v>65</v>
      </c>
      <c r="F3638">
        <v>2</v>
      </c>
      <c r="G3638">
        <v>3</v>
      </c>
      <c r="H3638">
        <v>0</v>
      </c>
      <c r="I3638" s="12" t="s">
        <v>251</v>
      </c>
      <c r="J3638" s="12" t="s">
        <v>252</v>
      </c>
      <c r="K3638" s="12" t="s">
        <v>133</v>
      </c>
      <c r="L3638" s="12" t="s">
        <v>69</v>
      </c>
      <c r="M3638">
        <v>34.49</v>
      </c>
      <c r="N3638" s="12" t="s">
        <v>70</v>
      </c>
      <c r="O3638" s="12" t="s">
        <v>71</v>
      </c>
      <c r="P3638" s="12" t="s">
        <v>72</v>
      </c>
      <c r="Q3638" s="13">
        <v>45581</v>
      </c>
      <c r="R3638" s="13">
        <v>45611</v>
      </c>
      <c r="S3638">
        <v>2024</v>
      </c>
      <c r="T3638" s="12" t="s">
        <v>4461</v>
      </c>
      <c r="U3638">
        <v>573</v>
      </c>
      <c r="V3638">
        <v>9.6974</v>
      </c>
      <c r="W3638">
        <v>112.14</v>
      </c>
      <c r="X3638">
        <v>0</v>
      </c>
      <c r="Y3638">
        <v>0</v>
      </c>
      <c r="Z3638">
        <v>5556.61</v>
      </c>
      <c r="AA3638">
        <v>5668.75</v>
      </c>
      <c r="AB3638" s="12" t="s">
        <v>2747</v>
      </c>
      <c r="AC3638">
        <v>10.292</v>
      </c>
      <c r="AD3638">
        <v>1</v>
      </c>
      <c r="AE3638">
        <v>1</v>
      </c>
      <c r="AF3638">
        <v>-340.71</v>
      </c>
      <c r="AG3638">
        <v>5897.32</v>
      </c>
      <c r="AH3638">
        <v>573</v>
      </c>
      <c r="AI3638">
        <v>569</v>
      </c>
      <c r="AJ3638">
        <v>4</v>
      </c>
      <c r="AK3638">
        <v>1</v>
      </c>
      <c r="AL3638">
        <v>1</v>
      </c>
      <c r="AM3638">
        <v>99.3</v>
      </c>
      <c r="AN3638">
        <v>9.9626999999999999</v>
      </c>
      <c r="AO3638">
        <v>38.79</v>
      </c>
      <c r="AP3638" s="13">
        <v>45619</v>
      </c>
      <c r="AQ3638">
        <v>8</v>
      </c>
      <c r="AR3638">
        <v>0</v>
      </c>
    </row>
    <row r="3639" spans="1:44" x14ac:dyDescent="0.35">
      <c r="A3639" s="12" t="s">
        <v>4558</v>
      </c>
      <c r="B3639" s="12" t="s">
        <v>876</v>
      </c>
      <c r="C3639" s="12" t="s">
        <v>877</v>
      </c>
      <c r="D3639" s="12" t="s">
        <v>269</v>
      </c>
      <c r="E3639" s="12" t="s">
        <v>142</v>
      </c>
      <c r="F3639">
        <v>3</v>
      </c>
      <c r="G3639">
        <v>11</v>
      </c>
      <c r="H3639">
        <v>0</v>
      </c>
      <c r="I3639" s="12" t="s">
        <v>515</v>
      </c>
      <c r="J3639" s="12" t="s">
        <v>516</v>
      </c>
      <c r="K3639" s="12" t="s">
        <v>68</v>
      </c>
      <c r="L3639" s="12" t="s">
        <v>134</v>
      </c>
      <c r="M3639">
        <v>3.69</v>
      </c>
      <c r="N3639" s="12" t="s">
        <v>135</v>
      </c>
      <c r="O3639" s="12" t="s">
        <v>136</v>
      </c>
      <c r="P3639" s="12" t="s">
        <v>137</v>
      </c>
      <c r="Q3639" s="13">
        <v>45581</v>
      </c>
      <c r="R3639" s="13">
        <v>45633</v>
      </c>
      <c r="S3639">
        <v>2024</v>
      </c>
      <c r="T3639" s="12" t="s">
        <v>4461</v>
      </c>
      <c r="U3639">
        <v>144</v>
      </c>
      <c r="V3639">
        <v>191.71029999999999</v>
      </c>
      <c r="W3639">
        <v>420.56</v>
      </c>
      <c r="X3639">
        <v>0</v>
      </c>
      <c r="Y3639">
        <v>0</v>
      </c>
      <c r="Z3639">
        <v>27606.28</v>
      </c>
      <c r="AA3639">
        <v>28026.84</v>
      </c>
      <c r="AB3639" s="12" t="s">
        <v>3591</v>
      </c>
      <c r="AC3639">
        <v>191.71029999999999</v>
      </c>
      <c r="AD3639">
        <v>1</v>
      </c>
      <c r="AE3639">
        <v>1</v>
      </c>
      <c r="AF3639">
        <v>0</v>
      </c>
      <c r="AG3639">
        <v>27606.28</v>
      </c>
      <c r="AH3639">
        <v>144</v>
      </c>
      <c r="AI3639">
        <v>142</v>
      </c>
      <c r="AJ3639">
        <v>2</v>
      </c>
      <c r="AK3639">
        <v>1</v>
      </c>
      <c r="AL3639">
        <v>1</v>
      </c>
      <c r="AM3639">
        <v>98.61</v>
      </c>
      <c r="AN3639">
        <v>197.37209999999999</v>
      </c>
      <c r="AO3639">
        <v>383.42</v>
      </c>
      <c r="AP3639" s="13">
        <v>45631</v>
      </c>
      <c r="AQ3639">
        <v>-2</v>
      </c>
      <c r="AR3639">
        <v>1</v>
      </c>
    </row>
    <row r="3640" spans="1:44" x14ac:dyDescent="0.35">
      <c r="A3640" s="12" t="s">
        <v>4559</v>
      </c>
      <c r="B3640" s="12" t="s">
        <v>378</v>
      </c>
      <c r="C3640" s="12" t="s">
        <v>379</v>
      </c>
      <c r="D3640" s="12" t="s">
        <v>64</v>
      </c>
      <c r="E3640" s="12" t="s">
        <v>104</v>
      </c>
      <c r="F3640">
        <v>3</v>
      </c>
      <c r="G3640">
        <v>1</v>
      </c>
      <c r="H3640">
        <v>0</v>
      </c>
      <c r="I3640" s="12" t="s">
        <v>380</v>
      </c>
      <c r="J3640" s="12" t="s">
        <v>381</v>
      </c>
      <c r="K3640" s="12" t="s">
        <v>89</v>
      </c>
      <c r="L3640" s="12" t="s">
        <v>96</v>
      </c>
      <c r="M3640">
        <v>10.210000000000001</v>
      </c>
      <c r="N3640" s="12" t="s">
        <v>97</v>
      </c>
      <c r="O3640" s="12" t="s">
        <v>98</v>
      </c>
      <c r="P3640" s="12" t="s">
        <v>72</v>
      </c>
      <c r="Q3640" s="13">
        <v>45581</v>
      </c>
      <c r="R3640" s="13">
        <v>45596</v>
      </c>
      <c r="S3640">
        <v>2024</v>
      </c>
      <c r="T3640" s="12" t="s">
        <v>4461</v>
      </c>
      <c r="U3640">
        <v>262</v>
      </c>
      <c r="V3640">
        <v>15.734999999999999</v>
      </c>
      <c r="W3640">
        <v>48.24</v>
      </c>
      <c r="X3640">
        <v>0</v>
      </c>
      <c r="Y3640">
        <v>0</v>
      </c>
      <c r="Z3640">
        <v>4122.57</v>
      </c>
      <c r="AA3640">
        <v>4170.8100000000004</v>
      </c>
      <c r="AB3640" s="12" t="s">
        <v>2847</v>
      </c>
      <c r="AC3640">
        <v>15.734999999999999</v>
      </c>
      <c r="AD3640">
        <v>1</v>
      </c>
      <c r="AE3640">
        <v>1</v>
      </c>
      <c r="AF3640">
        <v>0</v>
      </c>
      <c r="AG3640">
        <v>4122.57</v>
      </c>
      <c r="AH3640">
        <v>262</v>
      </c>
      <c r="AI3640">
        <v>260</v>
      </c>
      <c r="AJ3640">
        <v>2</v>
      </c>
      <c r="AK3640">
        <v>1</v>
      </c>
      <c r="AL3640">
        <v>1</v>
      </c>
      <c r="AM3640">
        <v>99.24</v>
      </c>
      <c r="AN3640">
        <v>16.041599999999999</v>
      </c>
      <c r="AO3640">
        <v>31.47</v>
      </c>
      <c r="AP3640" s="13">
        <v>45593</v>
      </c>
      <c r="AQ3640">
        <v>-3</v>
      </c>
      <c r="AR3640">
        <v>1</v>
      </c>
    </row>
    <row r="3641" spans="1:44" x14ac:dyDescent="0.35">
      <c r="A3641" s="12" t="s">
        <v>4560</v>
      </c>
      <c r="B3641" s="12" t="s">
        <v>823</v>
      </c>
      <c r="C3641" s="12" t="s">
        <v>824</v>
      </c>
      <c r="D3641" s="12" t="s">
        <v>114</v>
      </c>
      <c r="E3641" s="12" t="s">
        <v>142</v>
      </c>
      <c r="F3641">
        <v>1</v>
      </c>
      <c r="G3641">
        <v>8</v>
      </c>
      <c r="H3641">
        <v>1</v>
      </c>
      <c r="I3641" s="12" t="s">
        <v>515</v>
      </c>
      <c r="J3641" s="12" t="s">
        <v>516</v>
      </c>
      <c r="K3641" s="12" t="s">
        <v>68</v>
      </c>
      <c r="L3641" s="12" t="s">
        <v>134</v>
      </c>
      <c r="M3641">
        <v>3.69</v>
      </c>
      <c r="N3641" s="12" t="s">
        <v>70</v>
      </c>
      <c r="O3641" s="12" t="s">
        <v>71</v>
      </c>
      <c r="P3641" s="12" t="s">
        <v>72</v>
      </c>
      <c r="Q3641" s="13">
        <v>45581</v>
      </c>
      <c r="R3641" s="13">
        <v>45621</v>
      </c>
      <c r="S3641">
        <v>2024</v>
      </c>
      <c r="T3641" s="12" t="s">
        <v>4461</v>
      </c>
      <c r="U3641">
        <v>55</v>
      </c>
      <c r="V3641">
        <v>361.71230000000003</v>
      </c>
      <c r="W3641">
        <v>149.28</v>
      </c>
      <c r="X3641">
        <v>0</v>
      </c>
      <c r="Y3641">
        <v>0</v>
      </c>
      <c r="Z3641">
        <v>19894.18</v>
      </c>
      <c r="AA3641">
        <v>20043.46</v>
      </c>
      <c r="AB3641" s="12" t="s">
        <v>3483</v>
      </c>
      <c r="AC3641">
        <v>361.71230000000003</v>
      </c>
      <c r="AD3641">
        <v>1</v>
      </c>
      <c r="AE3641">
        <v>1</v>
      </c>
      <c r="AF3641">
        <v>0</v>
      </c>
      <c r="AG3641">
        <v>19894.18</v>
      </c>
      <c r="AH3641">
        <v>55</v>
      </c>
      <c r="AI3641">
        <v>54</v>
      </c>
      <c r="AJ3641">
        <v>1</v>
      </c>
      <c r="AK3641">
        <v>1</v>
      </c>
      <c r="AL3641">
        <v>1</v>
      </c>
      <c r="AM3641">
        <v>98.18</v>
      </c>
      <c r="AN3641">
        <v>371.17509999999999</v>
      </c>
      <c r="AO3641">
        <v>361.71</v>
      </c>
      <c r="AP3641" s="13">
        <v>45618</v>
      </c>
      <c r="AQ3641">
        <v>-3</v>
      </c>
      <c r="AR3641">
        <v>1</v>
      </c>
    </row>
    <row r="3642" spans="1:44" x14ac:dyDescent="0.35">
      <c r="A3642" s="12" t="s">
        <v>4561</v>
      </c>
      <c r="B3642" s="12" t="s">
        <v>1042</v>
      </c>
      <c r="C3642" s="12" t="s">
        <v>1043</v>
      </c>
      <c r="D3642" s="12" t="s">
        <v>269</v>
      </c>
      <c r="E3642" s="12" t="s">
        <v>104</v>
      </c>
      <c r="F3642">
        <v>2</v>
      </c>
      <c r="G3642">
        <v>0</v>
      </c>
      <c r="H3642">
        <v>0</v>
      </c>
      <c r="I3642" s="12" t="s">
        <v>143</v>
      </c>
      <c r="J3642" s="12" t="s">
        <v>144</v>
      </c>
      <c r="K3642" s="12" t="s">
        <v>133</v>
      </c>
      <c r="L3642" s="12" t="s">
        <v>96</v>
      </c>
      <c r="M3642">
        <v>5.43</v>
      </c>
      <c r="N3642" s="12" t="s">
        <v>159</v>
      </c>
      <c r="O3642" s="12" t="s">
        <v>160</v>
      </c>
      <c r="P3642" s="12" t="s">
        <v>137</v>
      </c>
      <c r="Q3642" s="13">
        <v>45581</v>
      </c>
      <c r="R3642" s="13">
        <v>45596</v>
      </c>
      <c r="S3642">
        <v>2024</v>
      </c>
      <c r="T3642" s="12" t="s">
        <v>4461</v>
      </c>
      <c r="U3642">
        <v>37</v>
      </c>
      <c r="V3642">
        <v>282.86169999999998</v>
      </c>
      <c r="W3642">
        <v>197.48</v>
      </c>
      <c r="X3642">
        <v>0</v>
      </c>
      <c r="Y3642">
        <v>0</v>
      </c>
      <c r="Z3642">
        <v>10465.879999999999</v>
      </c>
      <c r="AA3642">
        <v>10663.36</v>
      </c>
      <c r="AB3642" s="12" t="s">
        <v>3788</v>
      </c>
      <c r="AC3642">
        <v>282.86169999999998</v>
      </c>
      <c r="AD3642">
        <v>1</v>
      </c>
      <c r="AE3642">
        <v>1</v>
      </c>
      <c r="AF3642">
        <v>0</v>
      </c>
      <c r="AG3642">
        <v>10465.879999999999</v>
      </c>
      <c r="AH3642">
        <v>37</v>
      </c>
      <c r="AI3642">
        <v>37</v>
      </c>
      <c r="AJ3642">
        <v>0</v>
      </c>
      <c r="AK3642">
        <v>1</v>
      </c>
      <c r="AL3642">
        <v>1</v>
      </c>
      <c r="AM3642">
        <v>100</v>
      </c>
      <c r="AN3642">
        <v>288.19900000000001</v>
      </c>
      <c r="AO3642">
        <v>0</v>
      </c>
      <c r="AP3642" s="13">
        <v>45596</v>
      </c>
      <c r="AQ3642">
        <v>0</v>
      </c>
      <c r="AR3642">
        <v>1</v>
      </c>
    </row>
    <row r="3643" spans="1:44" x14ac:dyDescent="0.35">
      <c r="A3643" s="12" t="s">
        <v>4562</v>
      </c>
      <c r="B3643" s="12" t="s">
        <v>1034</v>
      </c>
      <c r="C3643" s="12" t="s">
        <v>1035</v>
      </c>
      <c r="D3643" s="12" t="s">
        <v>64</v>
      </c>
      <c r="E3643" s="12" t="s">
        <v>104</v>
      </c>
      <c r="F3643">
        <v>2</v>
      </c>
      <c r="G3643">
        <v>0</v>
      </c>
      <c r="H3643">
        <v>0</v>
      </c>
      <c r="I3643" s="12" t="s">
        <v>676</v>
      </c>
      <c r="J3643" s="12" t="s">
        <v>677</v>
      </c>
      <c r="K3643" s="12" t="s">
        <v>68</v>
      </c>
      <c r="L3643" s="12" t="s">
        <v>96</v>
      </c>
      <c r="M3643">
        <v>3.57</v>
      </c>
      <c r="N3643" s="12" t="s">
        <v>97</v>
      </c>
      <c r="O3643" s="12" t="s">
        <v>98</v>
      </c>
      <c r="P3643" s="12" t="s">
        <v>72</v>
      </c>
      <c r="Q3643" s="13">
        <v>45582</v>
      </c>
      <c r="R3643" s="13">
        <v>45600</v>
      </c>
      <c r="S3643">
        <v>2024</v>
      </c>
      <c r="T3643" s="12" t="s">
        <v>4461</v>
      </c>
      <c r="U3643">
        <v>418</v>
      </c>
      <c r="V3643">
        <v>9.9720999999999993</v>
      </c>
      <c r="W3643">
        <v>106.13</v>
      </c>
      <c r="X3643">
        <v>0</v>
      </c>
      <c r="Y3643">
        <v>0</v>
      </c>
      <c r="Z3643">
        <v>4168.34</v>
      </c>
      <c r="AA3643">
        <v>4274.47</v>
      </c>
      <c r="AB3643" s="12" t="s">
        <v>3523</v>
      </c>
      <c r="AC3643">
        <v>9.9720999999999993</v>
      </c>
      <c r="AD3643">
        <v>1</v>
      </c>
      <c r="AE3643">
        <v>1</v>
      </c>
      <c r="AF3643">
        <v>0</v>
      </c>
      <c r="AG3643">
        <v>4168.34</v>
      </c>
      <c r="AH3643">
        <v>418</v>
      </c>
      <c r="AI3643">
        <v>416</v>
      </c>
      <c r="AJ3643">
        <v>2</v>
      </c>
      <c r="AK3643">
        <v>1</v>
      </c>
      <c r="AL3643">
        <v>1</v>
      </c>
      <c r="AM3643">
        <v>99.52</v>
      </c>
      <c r="AN3643">
        <v>10.2752</v>
      </c>
      <c r="AO3643">
        <v>19.940000000000001</v>
      </c>
      <c r="AP3643" s="13">
        <v>45600</v>
      </c>
      <c r="AQ3643">
        <v>0</v>
      </c>
      <c r="AR3643">
        <v>1</v>
      </c>
    </row>
    <row r="3644" spans="1:44" x14ac:dyDescent="0.35">
      <c r="A3644" s="12" t="s">
        <v>4563</v>
      </c>
      <c r="B3644" s="12" t="s">
        <v>503</v>
      </c>
      <c r="C3644" s="12" t="s">
        <v>504</v>
      </c>
      <c r="D3644" s="12" t="s">
        <v>103</v>
      </c>
      <c r="E3644" s="12" t="s">
        <v>104</v>
      </c>
      <c r="F3644">
        <v>3</v>
      </c>
      <c r="G3644">
        <v>1</v>
      </c>
      <c r="H3644">
        <v>0</v>
      </c>
      <c r="I3644" s="12" t="s">
        <v>209</v>
      </c>
      <c r="J3644" s="12" t="s">
        <v>210</v>
      </c>
      <c r="K3644" s="12" t="s">
        <v>133</v>
      </c>
      <c r="L3644" s="12" t="s">
        <v>96</v>
      </c>
      <c r="M3644">
        <v>7.82</v>
      </c>
      <c r="N3644" s="12" t="s">
        <v>107</v>
      </c>
      <c r="O3644" s="12" t="s">
        <v>108</v>
      </c>
      <c r="P3644" s="12" t="s">
        <v>109</v>
      </c>
      <c r="Q3644" s="13">
        <v>45582</v>
      </c>
      <c r="R3644" s="13">
        <v>45597</v>
      </c>
      <c r="S3644">
        <v>2024</v>
      </c>
      <c r="T3644" s="12" t="s">
        <v>4461</v>
      </c>
      <c r="U3644">
        <v>36</v>
      </c>
      <c r="V3644">
        <v>156.6559</v>
      </c>
      <c r="W3644">
        <v>83.55</v>
      </c>
      <c r="X3644">
        <v>0</v>
      </c>
      <c r="Y3644">
        <v>0</v>
      </c>
      <c r="Z3644">
        <v>5639.61</v>
      </c>
      <c r="AA3644">
        <v>5723.16</v>
      </c>
      <c r="AB3644" s="12" t="s">
        <v>3083</v>
      </c>
      <c r="AC3644">
        <v>156.6559</v>
      </c>
      <c r="AD3644">
        <v>1</v>
      </c>
      <c r="AE3644">
        <v>1</v>
      </c>
      <c r="AF3644">
        <v>0</v>
      </c>
      <c r="AG3644">
        <v>5639.61</v>
      </c>
      <c r="AH3644">
        <v>36</v>
      </c>
      <c r="AI3644">
        <v>36</v>
      </c>
      <c r="AJ3644">
        <v>0</v>
      </c>
      <c r="AK3644">
        <v>1</v>
      </c>
      <c r="AL3644">
        <v>1</v>
      </c>
      <c r="AM3644">
        <v>100</v>
      </c>
      <c r="AN3644">
        <v>158.97669999999999</v>
      </c>
      <c r="AO3644">
        <v>0</v>
      </c>
      <c r="AP3644" s="13">
        <v>45594</v>
      </c>
      <c r="AQ3644">
        <v>-3</v>
      </c>
      <c r="AR3644">
        <v>1</v>
      </c>
    </row>
    <row r="3645" spans="1:44" x14ac:dyDescent="0.35">
      <c r="A3645" s="12" t="s">
        <v>4564</v>
      </c>
      <c r="B3645" s="12" t="s">
        <v>848</v>
      </c>
      <c r="C3645" s="12" t="s">
        <v>849</v>
      </c>
      <c r="D3645" s="12" t="s">
        <v>103</v>
      </c>
      <c r="E3645" s="12" t="s">
        <v>65</v>
      </c>
      <c r="F3645">
        <v>2</v>
      </c>
      <c r="G3645">
        <v>4</v>
      </c>
      <c r="H3645">
        <v>0</v>
      </c>
      <c r="I3645" s="12" t="s">
        <v>87</v>
      </c>
      <c r="J3645" s="12" t="s">
        <v>88</v>
      </c>
      <c r="K3645" s="12" t="s">
        <v>89</v>
      </c>
      <c r="L3645" s="12" t="s">
        <v>69</v>
      </c>
      <c r="M3645">
        <v>14.93</v>
      </c>
      <c r="N3645" s="12" t="s">
        <v>107</v>
      </c>
      <c r="O3645" s="12" t="s">
        <v>108</v>
      </c>
      <c r="P3645" s="12" t="s">
        <v>109</v>
      </c>
      <c r="Q3645" s="13">
        <v>45582</v>
      </c>
      <c r="R3645" s="13">
        <v>45613</v>
      </c>
      <c r="S3645">
        <v>2024</v>
      </c>
      <c r="T3645" s="12" t="s">
        <v>4461</v>
      </c>
      <c r="U3645">
        <v>88</v>
      </c>
      <c r="V3645">
        <v>121.1635</v>
      </c>
      <c r="W3645">
        <v>176.8</v>
      </c>
      <c r="X3645">
        <v>331.5</v>
      </c>
      <c r="Y3645">
        <v>1</v>
      </c>
      <c r="Z3645">
        <v>10662.39</v>
      </c>
      <c r="AA3645">
        <v>11170.69</v>
      </c>
      <c r="AB3645" s="12" t="s">
        <v>3680</v>
      </c>
      <c r="AC3645">
        <v>121.1635</v>
      </c>
      <c r="AD3645">
        <v>1</v>
      </c>
      <c r="AE3645">
        <v>1</v>
      </c>
      <c r="AF3645">
        <v>0</v>
      </c>
      <c r="AG3645">
        <v>10662.39</v>
      </c>
      <c r="AH3645">
        <v>88</v>
      </c>
      <c r="AI3645">
        <v>87</v>
      </c>
      <c r="AJ3645">
        <v>1</v>
      </c>
      <c r="AK3645">
        <v>1</v>
      </c>
      <c r="AL3645">
        <v>1</v>
      </c>
      <c r="AM3645">
        <v>98.86</v>
      </c>
      <c r="AN3645">
        <v>128.39869999999999</v>
      </c>
      <c r="AO3645">
        <v>121.16</v>
      </c>
      <c r="AP3645" s="13">
        <v>45611</v>
      </c>
      <c r="AQ3645">
        <v>-2</v>
      </c>
      <c r="AR3645">
        <v>1</v>
      </c>
    </row>
    <row r="3646" spans="1:44" x14ac:dyDescent="0.35">
      <c r="A3646" s="12" t="s">
        <v>4565</v>
      </c>
      <c r="B3646" s="12" t="s">
        <v>465</v>
      </c>
      <c r="C3646" s="12" t="s">
        <v>466</v>
      </c>
      <c r="D3646" s="12" t="s">
        <v>78</v>
      </c>
      <c r="E3646" s="12" t="s">
        <v>142</v>
      </c>
      <c r="F3646">
        <v>3</v>
      </c>
      <c r="G3646">
        <v>11</v>
      </c>
      <c r="H3646">
        <v>0</v>
      </c>
      <c r="I3646" s="12" t="s">
        <v>195</v>
      </c>
      <c r="J3646" s="12" t="s">
        <v>196</v>
      </c>
      <c r="K3646" s="12" t="s">
        <v>117</v>
      </c>
      <c r="L3646" s="12" t="s">
        <v>134</v>
      </c>
      <c r="M3646">
        <v>4.7699999999999996</v>
      </c>
      <c r="N3646" s="12" t="s">
        <v>97</v>
      </c>
      <c r="O3646" s="12" t="s">
        <v>98</v>
      </c>
      <c r="P3646" s="12" t="s">
        <v>72</v>
      </c>
      <c r="Q3646" s="13">
        <v>45582</v>
      </c>
      <c r="R3646" s="13">
        <v>45626</v>
      </c>
      <c r="S3646">
        <v>2024</v>
      </c>
      <c r="T3646" s="12" t="s">
        <v>4461</v>
      </c>
      <c r="U3646">
        <v>174</v>
      </c>
      <c r="V3646">
        <v>107.81189999999999</v>
      </c>
      <c r="W3646">
        <v>415.51</v>
      </c>
      <c r="X3646">
        <v>0</v>
      </c>
      <c r="Y3646">
        <v>0</v>
      </c>
      <c r="Z3646">
        <v>18759.27</v>
      </c>
      <c r="AA3646">
        <v>19174.78</v>
      </c>
      <c r="AB3646" s="12" t="s">
        <v>3058</v>
      </c>
      <c r="AC3646">
        <v>107.81189999999999</v>
      </c>
      <c r="AD3646">
        <v>1</v>
      </c>
      <c r="AE3646">
        <v>1</v>
      </c>
      <c r="AF3646">
        <v>0</v>
      </c>
      <c r="AG3646">
        <v>18759.27</v>
      </c>
      <c r="AH3646">
        <v>174</v>
      </c>
      <c r="AI3646">
        <v>173</v>
      </c>
      <c r="AJ3646">
        <v>1</v>
      </c>
      <c r="AK3646">
        <v>1</v>
      </c>
      <c r="AL3646">
        <v>1</v>
      </c>
      <c r="AM3646">
        <v>99.43</v>
      </c>
      <c r="AN3646">
        <v>110.8369</v>
      </c>
      <c r="AO3646">
        <v>107.81</v>
      </c>
      <c r="AP3646" s="13">
        <v>45624</v>
      </c>
      <c r="AQ3646">
        <v>-2</v>
      </c>
      <c r="AR3646">
        <v>1</v>
      </c>
    </row>
    <row r="3647" spans="1:44" x14ac:dyDescent="0.35">
      <c r="A3647" s="12" t="s">
        <v>4566</v>
      </c>
      <c r="B3647" s="12" t="s">
        <v>621</v>
      </c>
      <c r="C3647" s="12" t="s">
        <v>622</v>
      </c>
      <c r="D3647" s="12" t="s">
        <v>103</v>
      </c>
      <c r="E3647" s="12" t="s">
        <v>65</v>
      </c>
      <c r="F3647">
        <v>1</v>
      </c>
      <c r="G3647">
        <v>2</v>
      </c>
      <c r="H3647">
        <v>1</v>
      </c>
      <c r="I3647" s="12" t="s">
        <v>486</v>
      </c>
      <c r="J3647" s="12" t="s">
        <v>487</v>
      </c>
      <c r="K3647" s="12" t="s">
        <v>125</v>
      </c>
      <c r="L3647" s="12" t="s">
        <v>69</v>
      </c>
      <c r="M3647">
        <v>36.86</v>
      </c>
      <c r="N3647" s="12" t="s">
        <v>145</v>
      </c>
      <c r="O3647" s="12" t="s">
        <v>146</v>
      </c>
      <c r="P3647" s="12" t="s">
        <v>109</v>
      </c>
      <c r="Q3647" s="13">
        <v>45582</v>
      </c>
      <c r="R3647" s="13">
        <v>45619</v>
      </c>
      <c r="S3647">
        <v>2024</v>
      </c>
      <c r="T3647" s="12" t="s">
        <v>4461</v>
      </c>
      <c r="U3647">
        <v>138</v>
      </c>
      <c r="V3647">
        <v>207.6583</v>
      </c>
      <c r="W3647">
        <v>594.73</v>
      </c>
      <c r="X3647">
        <v>0</v>
      </c>
      <c r="Y3647">
        <v>0</v>
      </c>
      <c r="Z3647">
        <v>28656.85</v>
      </c>
      <c r="AA3647">
        <v>29251.58</v>
      </c>
      <c r="AB3647" s="12" t="s">
        <v>2658</v>
      </c>
      <c r="AC3647">
        <v>201.08609999999999</v>
      </c>
      <c r="AD3647">
        <v>1</v>
      </c>
      <c r="AE3647">
        <v>1</v>
      </c>
      <c r="AF3647">
        <v>906.96</v>
      </c>
      <c r="AG3647">
        <v>27749.88</v>
      </c>
      <c r="AH3647">
        <v>138</v>
      </c>
      <c r="AI3647">
        <v>138</v>
      </c>
      <c r="AJ3647">
        <v>0</v>
      </c>
      <c r="AK3647">
        <v>1</v>
      </c>
      <c r="AL3647">
        <v>1</v>
      </c>
      <c r="AM3647">
        <v>100</v>
      </c>
      <c r="AN3647">
        <v>211.96789999999999</v>
      </c>
      <c r="AO3647">
        <v>0</v>
      </c>
      <c r="AP3647" s="13">
        <v>45628</v>
      </c>
      <c r="AQ3647">
        <v>9</v>
      </c>
      <c r="AR3647">
        <v>0</v>
      </c>
    </row>
    <row r="3648" spans="1:44" x14ac:dyDescent="0.35">
      <c r="A3648" s="12" t="s">
        <v>4567</v>
      </c>
      <c r="B3648" s="12" t="s">
        <v>876</v>
      </c>
      <c r="C3648" s="12" t="s">
        <v>877</v>
      </c>
      <c r="D3648" s="12" t="s">
        <v>269</v>
      </c>
      <c r="E3648" s="12" t="s">
        <v>142</v>
      </c>
      <c r="F3648">
        <v>3</v>
      </c>
      <c r="G3648">
        <v>11</v>
      </c>
      <c r="H3648">
        <v>0</v>
      </c>
      <c r="I3648" s="12" t="s">
        <v>87</v>
      </c>
      <c r="J3648" s="12" t="s">
        <v>88</v>
      </c>
      <c r="K3648" s="12" t="s">
        <v>89</v>
      </c>
      <c r="L3648" s="12" t="s">
        <v>69</v>
      </c>
      <c r="M3648">
        <v>14.93</v>
      </c>
      <c r="N3648" s="12" t="s">
        <v>159</v>
      </c>
      <c r="O3648" s="12" t="s">
        <v>160</v>
      </c>
      <c r="P3648" s="12" t="s">
        <v>137</v>
      </c>
      <c r="Q3648" s="13">
        <v>45582</v>
      </c>
      <c r="R3648" s="13">
        <v>45629</v>
      </c>
      <c r="S3648">
        <v>2024</v>
      </c>
      <c r="T3648" s="12" t="s">
        <v>4461</v>
      </c>
      <c r="U3648">
        <v>107</v>
      </c>
      <c r="V3648">
        <v>213.976</v>
      </c>
      <c r="W3648">
        <v>493</v>
      </c>
      <c r="X3648">
        <v>0</v>
      </c>
      <c r="Y3648">
        <v>0</v>
      </c>
      <c r="Z3648">
        <v>22895.43</v>
      </c>
      <c r="AA3648">
        <v>23388.43</v>
      </c>
      <c r="AB3648" s="12" t="s">
        <v>201</v>
      </c>
      <c r="AD3648">
        <v>0</v>
      </c>
      <c r="AE3648">
        <v>0</v>
      </c>
      <c r="AH3648">
        <v>107</v>
      </c>
      <c r="AI3648">
        <v>106</v>
      </c>
      <c r="AJ3648">
        <v>1</v>
      </c>
      <c r="AK3648">
        <v>1</v>
      </c>
      <c r="AL3648">
        <v>1</v>
      </c>
      <c r="AM3648">
        <v>99.07</v>
      </c>
      <c r="AN3648">
        <v>220.6456</v>
      </c>
      <c r="AO3648">
        <v>213.98</v>
      </c>
      <c r="AP3648" s="13">
        <v>45626</v>
      </c>
      <c r="AQ3648">
        <v>-3</v>
      </c>
      <c r="AR3648">
        <v>1</v>
      </c>
    </row>
    <row r="3649" spans="1:44" x14ac:dyDescent="0.35">
      <c r="A3649" s="12" t="s">
        <v>4568</v>
      </c>
      <c r="B3649" s="12" t="s">
        <v>809</v>
      </c>
      <c r="C3649" s="12" t="s">
        <v>810</v>
      </c>
      <c r="D3649" s="12" t="s">
        <v>114</v>
      </c>
      <c r="E3649" s="12" t="s">
        <v>65</v>
      </c>
      <c r="F3649">
        <v>3</v>
      </c>
      <c r="G3649">
        <v>5</v>
      </c>
      <c r="H3649">
        <v>0</v>
      </c>
      <c r="I3649" s="12" t="s">
        <v>811</v>
      </c>
      <c r="J3649" s="12" t="s">
        <v>812</v>
      </c>
      <c r="K3649" s="12" t="s">
        <v>117</v>
      </c>
      <c r="L3649" s="12" t="s">
        <v>69</v>
      </c>
      <c r="M3649">
        <v>26.4</v>
      </c>
      <c r="N3649" s="12" t="s">
        <v>97</v>
      </c>
      <c r="O3649" s="12" t="s">
        <v>98</v>
      </c>
      <c r="P3649" s="12" t="s">
        <v>72</v>
      </c>
      <c r="Q3649" s="13">
        <v>45582</v>
      </c>
      <c r="R3649" s="13">
        <v>45619</v>
      </c>
      <c r="S3649">
        <v>2024</v>
      </c>
      <c r="T3649" s="12" t="s">
        <v>4461</v>
      </c>
      <c r="U3649">
        <v>134</v>
      </c>
      <c r="V3649">
        <v>319.41250000000002</v>
      </c>
      <c r="W3649">
        <v>877.39</v>
      </c>
      <c r="X3649">
        <v>1383.58</v>
      </c>
      <c r="Y3649">
        <v>1</v>
      </c>
      <c r="Z3649">
        <v>42801.279999999999</v>
      </c>
      <c r="AA3649">
        <v>45062.25</v>
      </c>
      <c r="AB3649" s="12" t="s">
        <v>3176</v>
      </c>
      <c r="AC3649">
        <v>319.41250000000002</v>
      </c>
      <c r="AD3649">
        <v>1</v>
      </c>
      <c r="AE3649">
        <v>1</v>
      </c>
      <c r="AF3649">
        <v>0</v>
      </c>
      <c r="AG3649">
        <v>42801.279999999999</v>
      </c>
      <c r="AH3649">
        <v>134</v>
      </c>
      <c r="AI3649">
        <v>132</v>
      </c>
      <c r="AJ3649">
        <v>2</v>
      </c>
      <c r="AK3649">
        <v>1</v>
      </c>
      <c r="AL3649">
        <v>1</v>
      </c>
      <c r="AM3649">
        <v>98.51</v>
      </c>
      <c r="AN3649">
        <v>341.38060000000002</v>
      </c>
      <c r="AO3649">
        <v>638.83000000000004</v>
      </c>
      <c r="AP3649" s="13">
        <v>45622</v>
      </c>
      <c r="AQ3649">
        <v>3</v>
      </c>
      <c r="AR3649">
        <v>0</v>
      </c>
    </row>
    <row r="3650" spans="1:44" x14ac:dyDescent="0.35">
      <c r="A3650" s="12" t="s">
        <v>4569</v>
      </c>
      <c r="B3650" s="12" t="s">
        <v>128</v>
      </c>
      <c r="C3650" s="12" t="s">
        <v>129</v>
      </c>
      <c r="D3650" s="12" t="s">
        <v>130</v>
      </c>
      <c r="E3650" s="12" t="s">
        <v>65</v>
      </c>
      <c r="F3650">
        <v>3</v>
      </c>
      <c r="G3650">
        <v>5</v>
      </c>
      <c r="H3650">
        <v>0</v>
      </c>
      <c r="I3650" s="12" t="s">
        <v>380</v>
      </c>
      <c r="J3650" s="12" t="s">
        <v>381</v>
      </c>
      <c r="K3650" s="12" t="s">
        <v>89</v>
      </c>
      <c r="L3650" s="12" t="s">
        <v>96</v>
      </c>
      <c r="M3650">
        <v>10.210000000000001</v>
      </c>
      <c r="N3650" s="12" t="s">
        <v>159</v>
      </c>
      <c r="O3650" s="12" t="s">
        <v>160</v>
      </c>
      <c r="P3650" s="12" t="s">
        <v>137</v>
      </c>
      <c r="Q3650" s="13">
        <v>45582</v>
      </c>
      <c r="R3650" s="13">
        <v>45608</v>
      </c>
      <c r="S3650">
        <v>2024</v>
      </c>
      <c r="T3650" s="12" t="s">
        <v>4461</v>
      </c>
      <c r="U3650">
        <v>51</v>
      </c>
      <c r="V3650">
        <v>484.95960000000002</v>
      </c>
      <c r="W3650">
        <v>582.88</v>
      </c>
      <c r="X3650">
        <v>0</v>
      </c>
      <c r="Y3650">
        <v>0</v>
      </c>
      <c r="Z3650">
        <v>24732.94</v>
      </c>
      <c r="AA3650">
        <v>25315.82</v>
      </c>
      <c r="AB3650" s="12" t="s">
        <v>3995</v>
      </c>
      <c r="AC3650">
        <v>484.95960000000002</v>
      </c>
      <c r="AD3650">
        <v>1</v>
      </c>
      <c r="AE3650">
        <v>1</v>
      </c>
      <c r="AF3650">
        <v>0</v>
      </c>
      <c r="AG3650">
        <v>24732.94</v>
      </c>
      <c r="AH3650">
        <v>51</v>
      </c>
      <c r="AI3650">
        <v>51</v>
      </c>
      <c r="AJ3650">
        <v>0</v>
      </c>
      <c r="AK3650">
        <v>1</v>
      </c>
      <c r="AL3650">
        <v>1</v>
      </c>
      <c r="AM3650">
        <v>100</v>
      </c>
      <c r="AN3650">
        <v>496.3886</v>
      </c>
      <c r="AO3650">
        <v>0</v>
      </c>
      <c r="AP3650" s="13">
        <v>45608</v>
      </c>
      <c r="AQ3650">
        <v>0</v>
      </c>
      <c r="AR3650">
        <v>1</v>
      </c>
    </row>
    <row r="3651" spans="1:44" x14ac:dyDescent="0.35">
      <c r="A3651" s="12" t="s">
        <v>4570</v>
      </c>
      <c r="B3651" s="12" t="s">
        <v>978</v>
      </c>
      <c r="C3651" s="12" t="s">
        <v>979</v>
      </c>
      <c r="D3651" s="12" t="s">
        <v>122</v>
      </c>
      <c r="E3651" s="12" t="s">
        <v>65</v>
      </c>
      <c r="F3651">
        <v>1</v>
      </c>
      <c r="G3651">
        <v>2</v>
      </c>
      <c r="H3651">
        <v>1</v>
      </c>
      <c r="I3651" s="12" t="s">
        <v>310</v>
      </c>
      <c r="J3651" s="12" t="s">
        <v>311</v>
      </c>
      <c r="K3651" s="12" t="s">
        <v>81</v>
      </c>
      <c r="L3651" s="12" t="s">
        <v>69</v>
      </c>
      <c r="M3651">
        <v>28.3</v>
      </c>
      <c r="N3651" s="12" t="s">
        <v>97</v>
      </c>
      <c r="O3651" s="12" t="s">
        <v>98</v>
      </c>
      <c r="P3651" s="12" t="s">
        <v>72</v>
      </c>
      <c r="Q3651" s="13">
        <v>45582</v>
      </c>
      <c r="R3651" s="13">
        <v>45618</v>
      </c>
      <c r="S3651">
        <v>2024</v>
      </c>
      <c r="T3651" s="12" t="s">
        <v>4461</v>
      </c>
      <c r="U3651">
        <v>1770</v>
      </c>
      <c r="V3651">
        <v>43.574800000000003</v>
      </c>
      <c r="W3651">
        <v>1525.83</v>
      </c>
      <c r="X3651">
        <v>0</v>
      </c>
      <c r="Y3651">
        <v>0</v>
      </c>
      <c r="Z3651">
        <v>77127.399999999994</v>
      </c>
      <c r="AA3651">
        <v>78653.23</v>
      </c>
      <c r="AB3651" s="12" t="s">
        <v>3471</v>
      </c>
      <c r="AC3651">
        <v>43.574800000000003</v>
      </c>
      <c r="AD3651">
        <v>1</v>
      </c>
      <c r="AE3651">
        <v>1</v>
      </c>
      <c r="AF3651">
        <v>0</v>
      </c>
      <c r="AG3651">
        <v>77127.399999999994</v>
      </c>
      <c r="AH3651">
        <v>1770</v>
      </c>
      <c r="AI3651">
        <v>1755</v>
      </c>
      <c r="AJ3651">
        <v>15</v>
      </c>
      <c r="AK3651">
        <v>1</v>
      </c>
      <c r="AL3651">
        <v>1</v>
      </c>
      <c r="AM3651">
        <v>99.15</v>
      </c>
      <c r="AN3651">
        <v>44.816699999999997</v>
      </c>
      <c r="AO3651">
        <v>653.62</v>
      </c>
      <c r="AP3651" s="13">
        <v>45616</v>
      </c>
      <c r="AQ3651">
        <v>-2</v>
      </c>
      <c r="AR3651">
        <v>1</v>
      </c>
    </row>
    <row r="3652" spans="1:44" x14ac:dyDescent="0.35">
      <c r="A3652" s="12" t="s">
        <v>4571</v>
      </c>
      <c r="B3652" s="12" t="s">
        <v>827</v>
      </c>
      <c r="C3652" s="12" t="s">
        <v>828</v>
      </c>
      <c r="D3652" s="12" t="s">
        <v>175</v>
      </c>
      <c r="E3652" s="12" t="s">
        <v>104</v>
      </c>
      <c r="F3652">
        <v>2</v>
      </c>
      <c r="G3652">
        <v>0</v>
      </c>
      <c r="H3652">
        <v>0</v>
      </c>
      <c r="I3652" s="12" t="s">
        <v>183</v>
      </c>
      <c r="J3652" s="12" t="s">
        <v>184</v>
      </c>
      <c r="K3652" s="12" t="s">
        <v>133</v>
      </c>
      <c r="L3652" s="12" t="s">
        <v>82</v>
      </c>
      <c r="M3652">
        <v>8.6199999999999992</v>
      </c>
      <c r="N3652" s="12" t="s">
        <v>107</v>
      </c>
      <c r="O3652" s="12" t="s">
        <v>108</v>
      </c>
      <c r="P3652" s="12" t="s">
        <v>109</v>
      </c>
      <c r="Q3652" s="13">
        <v>45582</v>
      </c>
      <c r="R3652" s="13">
        <v>45604</v>
      </c>
      <c r="S3652">
        <v>2024</v>
      </c>
      <c r="T3652" s="12" t="s">
        <v>4461</v>
      </c>
      <c r="U3652">
        <v>95</v>
      </c>
      <c r="V3652">
        <v>101.62560000000001</v>
      </c>
      <c r="W3652">
        <v>217.07</v>
      </c>
      <c r="X3652">
        <v>0</v>
      </c>
      <c r="Y3652">
        <v>0</v>
      </c>
      <c r="Z3652">
        <v>9654.43</v>
      </c>
      <c r="AA3652">
        <v>9871.5</v>
      </c>
      <c r="AB3652" s="12" t="s">
        <v>3394</v>
      </c>
      <c r="AC3652">
        <v>101.62560000000001</v>
      </c>
      <c r="AD3652">
        <v>1</v>
      </c>
      <c r="AE3652">
        <v>1</v>
      </c>
      <c r="AF3652">
        <v>0</v>
      </c>
      <c r="AG3652">
        <v>9654.43</v>
      </c>
      <c r="AH3652">
        <v>95</v>
      </c>
      <c r="AI3652">
        <v>95</v>
      </c>
      <c r="AJ3652">
        <v>0</v>
      </c>
      <c r="AK3652">
        <v>1</v>
      </c>
      <c r="AL3652">
        <v>1</v>
      </c>
      <c r="AM3652">
        <v>100</v>
      </c>
      <c r="AN3652">
        <v>103.9105</v>
      </c>
      <c r="AO3652">
        <v>0</v>
      </c>
      <c r="AP3652" s="13">
        <v>45601</v>
      </c>
      <c r="AQ3652">
        <v>-3</v>
      </c>
      <c r="AR3652">
        <v>1</v>
      </c>
    </row>
    <row r="3653" spans="1:44" x14ac:dyDescent="0.35">
      <c r="A3653" s="12" t="s">
        <v>4572</v>
      </c>
      <c r="B3653" s="12" t="s">
        <v>1166</v>
      </c>
      <c r="C3653" s="12" t="s">
        <v>1167</v>
      </c>
      <c r="D3653" s="12" t="s">
        <v>175</v>
      </c>
      <c r="E3653" s="12" t="s">
        <v>65</v>
      </c>
      <c r="F3653">
        <v>3</v>
      </c>
      <c r="G3653">
        <v>5</v>
      </c>
      <c r="H3653">
        <v>0</v>
      </c>
      <c r="I3653" s="12" t="s">
        <v>105</v>
      </c>
      <c r="J3653" s="12" t="s">
        <v>106</v>
      </c>
      <c r="K3653" s="12" t="s">
        <v>81</v>
      </c>
      <c r="L3653" s="12" t="s">
        <v>96</v>
      </c>
      <c r="M3653">
        <v>5.01</v>
      </c>
      <c r="N3653" s="12" t="s">
        <v>145</v>
      </c>
      <c r="O3653" s="12" t="s">
        <v>146</v>
      </c>
      <c r="P3653" s="12" t="s">
        <v>109</v>
      </c>
      <c r="Q3653" s="13">
        <v>45582</v>
      </c>
      <c r="R3653" s="13">
        <v>45611</v>
      </c>
      <c r="S3653">
        <v>2024</v>
      </c>
      <c r="T3653" s="12" t="s">
        <v>4461</v>
      </c>
      <c r="U3653">
        <v>75</v>
      </c>
      <c r="V3653">
        <v>220.24369999999999</v>
      </c>
      <c r="W3653">
        <v>166.27</v>
      </c>
      <c r="X3653">
        <v>0</v>
      </c>
      <c r="Y3653">
        <v>0</v>
      </c>
      <c r="Z3653">
        <v>16518.28</v>
      </c>
      <c r="AA3653">
        <v>16684.55</v>
      </c>
      <c r="AB3653" s="12" t="s">
        <v>3746</v>
      </c>
      <c r="AC3653">
        <v>233.78229999999999</v>
      </c>
      <c r="AD3653">
        <v>1</v>
      </c>
      <c r="AE3653">
        <v>1</v>
      </c>
      <c r="AF3653">
        <v>-1015.4</v>
      </c>
      <c r="AG3653">
        <v>17533.669999999998</v>
      </c>
      <c r="AH3653">
        <v>75</v>
      </c>
      <c r="AI3653">
        <v>75</v>
      </c>
      <c r="AJ3653">
        <v>0</v>
      </c>
      <c r="AK3653">
        <v>1</v>
      </c>
      <c r="AL3653">
        <v>1</v>
      </c>
      <c r="AM3653">
        <v>100</v>
      </c>
      <c r="AN3653">
        <v>222.4606</v>
      </c>
      <c r="AO3653">
        <v>0</v>
      </c>
      <c r="AP3653" s="13">
        <v>45611</v>
      </c>
      <c r="AQ3653">
        <v>0</v>
      </c>
      <c r="AR3653">
        <v>1</v>
      </c>
    </row>
    <row r="3654" spans="1:44" x14ac:dyDescent="0.35">
      <c r="A3654" s="12" t="s">
        <v>4573</v>
      </c>
      <c r="B3654" s="12" t="s">
        <v>924</v>
      </c>
      <c r="C3654" s="12" t="s">
        <v>925</v>
      </c>
      <c r="D3654" s="12" t="s">
        <v>103</v>
      </c>
      <c r="E3654" s="12" t="s">
        <v>104</v>
      </c>
      <c r="F3654">
        <v>2</v>
      </c>
      <c r="G3654">
        <v>0</v>
      </c>
      <c r="H3654">
        <v>0</v>
      </c>
      <c r="I3654" s="12" t="s">
        <v>335</v>
      </c>
      <c r="J3654" s="12" t="s">
        <v>336</v>
      </c>
      <c r="K3654" s="12" t="s">
        <v>89</v>
      </c>
      <c r="L3654" s="12" t="s">
        <v>82</v>
      </c>
      <c r="M3654">
        <v>16</v>
      </c>
      <c r="N3654" s="12" t="s">
        <v>145</v>
      </c>
      <c r="O3654" s="12" t="s">
        <v>146</v>
      </c>
      <c r="P3654" s="12" t="s">
        <v>109</v>
      </c>
      <c r="Q3654" s="13">
        <v>45582</v>
      </c>
      <c r="R3654" s="13">
        <v>45611</v>
      </c>
      <c r="S3654">
        <v>2024</v>
      </c>
      <c r="T3654" s="12" t="s">
        <v>4461</v>
      </c>
      <c r="U3654">
        <v>146</v>
      </c>
      <c r="V3654">
        <v>164.91650000000001</v>
      </c>
      <c r="W3654">
        <v>553.89</v>
      </c>
      <c r="X3654">
        <v>0</v>
      </c>
      <c r="Y3654">
        <v>0</v>
      </c>
      <c r="Z3654">
        <v>24077.81</v>
      </c>
      <c r="AA3654">
        <v>24631.7</v>
      </c>
      <c r="AB3654" s="12" t="s">
        <v>201</v>
      </c>
      <c r="AD3654">
        <v>0</v>
      </c>
      <c r="AE3654">
        <v>0</v>
      </c>
      <c r="AH3654">
        <v>146</v>
      </c>
      <c r="AI3654">
        <v>144</v>
      </c>
      <c r="AJ3654">
        <v>2</v>
      </c>
      <c r="AK3654">
        <v>1</v>
      </c>
      <c r="AL3654">
        <v>1</v>
      </c>
      <c r="AM3654">
        <v>98.63</v>
      </c>
      <c r="AN3654">
        <v>171.05350000000001</v>
      </c>
      <c r="AO3654">
        <v>329.83</v>
      </c>
      <c r="AP3654" s="13">
        <v>45608</v>
      </c>
      <c r="AQ3654">
        <v>-3</v>
      </c>
      <c r="AR3654">
        <v>1</v>
      </c>
    </row>
    <row r="3655" spans="1:44" x14ac:dyDescent="0.35">
      <c r="A3655" s="12" t="s">
        <v>4574</v>
      </c>
      <c r="B3655" s="12" t="s">
        <v>323</v>
      </c>
      <c r="C3655" s="12" t="s">
        <v>324</v>
      </c>
      <c r="D3655" s="12" t="s">
        <v>64</v>
      </c>
      <c r="E3655" s="12" t="s">
        <v>142</v>
      </c>
      <c r="F3655">
        <v>1</v>
      </c>
      <c r="G3655">
        <v>7</v>
      </c>
      <c r="H3655">
        <v>1</v>
      </c>
      <c r="I3655" s="12" t="s">
        <v>143</v>
      </c>
      <c r="J3655" s="12" t="s">
        <v>144</v>
      </c>
      <c r="K3655" s="12" t="s">
        <v>133</v>
      </c>
      <c r="L3655" s="12" t="s">
        <v>96</v>
      </c>
      <c r="M3655">
        <v>5.43</v>
      </c>
      <c r="N3655" s="12" t="s">
        <v>70</v>
      </c>
      <c r="O3655" s="12" t="s">
        <v>71</v>
      </c>
      <c r="P3655" s="12" t="s">
        <v>72</v>
      </c>
      <c r="Q3655" s="13">
        <v>45582</v>
      </c>
      <c r="R3655" s="13">
        <v>45623</v>
      </c>
      <c r="S3655">
        <v>2024</v>
      </c>
      <c r="T3655" s="12" t="s">
        <v>4461</v>
      </c>
      <c r="U3655">
        <v>432</v>
      </c>
      <c r="V3655">
        <v>39.364800000000002</v>
      </c>
      <c r="W3655">
        <v>321.56</v>
      </c>
      <c r="X3655">
        <v>0</v>
      </c>
      <c r="Y3655">
        <v>0</v>
      </c>
      <c r="Z3655">
        <v>17005.59</v>
      </c>
      <c r="AA3655">
        <v>17327.150000000001</v>
      </c>
      <c r="AB3655" s="12" t="s">
        <v>2828</v>
      </c>
      <c r="AC3655">
        <v>39.364800000000002</v>
      </c>
      <c r="AD3655">
        <v>1</v>
      </c>
      <c r="AE3655">
        <v>1</v>
      </c>
      <c r="AF3655">
        <v>0</v>
      </c>
      <c r="AG3655">
        <v>17005.59</v>
      </c>
      <c r="AH3655">
        <v>432</v>
      </c>
      <c r="AI3655">
        <v>425</v>
      </c>
      <c r="AJ3655">
        <v>7</v>
      </c>
      <c r="AK3655">
        <v>1</v>
      </c>
      <c r="AL3655">
        <v>1</v>
      </c>
      <c r="AM3655">
        <v>98.38</v>
      </c>
      <c r="AN3655">
        <v>40.769799999999996</v>
      </c>
      <c r="AO3655">
        <v>275.55</v>
      </c>
      <c r="AP3655" s="13">
        <v>45623</v>
      </c>
      <c r="AQ3655">
        <v>0</v>
      </c>
      <c r="AR3655">
        <v>1</v>
      </c>
    </row>
    <row r="3656" spans="1:44" x14ac:dyDescent="0.35">
      <c r="A3656" s="12" t="s">
        <v>4575</v>
      </c>
      <c r="B3656" s="12" t="s">
        <v>674</v>
      </c>
      <c r="C3656" s="12" t="s">
        <v>675</v>
      </c>
      <c r="D3656" s="12" t="s">
        <v>269</v>
      </c>
      <c r="E3656" s="12" t="s">
        <v>142</v>
      </c>
      <c r="F3656">
        <v>1</v>
      </c>
      <c r="G3656">
        <v>7</v>
      </c>
      <c r="H3656">
        <v>1</v>
      </c>
      <c r="I3656" s="12" t="s">
        <v>676</v>
      </c>
      <c r="J3656" s="12" t="s">
        <v>677</v>
      </c>
      <c r="K3656" s="12" t="s">
        <v>68</v>
      </c>
      <c r="L3656" s="12" t="s">
        <v>96</v>
      </c>
      <c r="M3656">
        <v>3.57</v>
      </c>
      <c r="N3656" s="12" t="s">
        <v>135</v>
      </c>
      <c r="O3656" s="12" t="s">
        <v>136</v>
      </c>
      <c r="P3656" s="12" t="s">
        <v>137</v>
      </c>
      <c r="Q3656" s="13">
        <v>45583</v>
      </c>
      <c r="R3656" s="13">
        <v>45628</v>
      </c>
      <c r="S3656">
        <v>2024</v>
      </c>
      <c r="T3656" s="12" t="s">
        <v>4461</v>
      </c>
      <c r="U3656">
        <v>92</v>
      </c>
      <c r="V3656">
        <v>376.3974</v>
      </c>
      <c r="W3656">
        <v>629.95000000000005</v>
      </c>
      <c r="X3656">
        <v>0</v>
      </c>
      <c r="Y3656">
        <v>0</v>
      </c>
      <c r="Z3656">
        <v>34628.559999999998</v>
      </c>
      <c r="AA3656">
        <v>35258.51</v>
      </c>
      <c r="AB3656" s="12" t="s">
        <v>201</v>
      </c>
      <c r="AD3656">
        <v>0</v>
      </c>
      <c r="AE3656">
        <v>0</v>
      </c>
      <c r="AH3656">
        <v>92</v>
      </c>
      <c r="AI3656">
        <v>91</v>
      </c>
      <c r="AJ3656">
        <v>1</v>
      </c>
      <c r="AK3656">
        <v>1</v>
      </c>
      <c r="AL3656">
        <v>1</v>
      </c>
      <c r="AM3656">
        <v>98.91</v>
      </c>
      <c r="AN3656">
        <v>387.45620000000002</v>
      </c>
      <c r="AO3656">
        <v>376.4</v>
      </c>
      <c r="AP3656" s="13">
        <v>45625</v>
      </c>
      <c r="AQ3656">
        <v>-3</v>
      </c>
      <c r="AR3656">
        <v>1</v>
      </c>
    </row>
    <row r="3657" spans="1:44" x14ac:dyDescent="0.35">
      <c r="A3657" s="12" t="s">
        <v>4576</v>
      </c>
      <c r="B3657" s="12" t="s">
        <v>766</v>
      </c>
      <c r="C3657" s="12" t="s">
        <v>767</v>
      </c>
      <c r="D3657" s="12" t="s">
        <v>175</v>
      </c>
      <c r="E3657" s="12" t="s">
        <v>65</v>
      </c>
      <c r="F3657">
        <v>3</v>
      </c>
      <c r="G3657">
        <v>5</v>
      </c>
      <c r="H3657">
        <v>0</v>
      </c>
      <c r="I3657" s="12" t="s">
        <v>157</v>
      </c>
      <c r="J3657" s="12" t="s">
        <v>158</v>
      </c>
      <c r="K3657" s="12" t="s">
        <v>117</v>
      </c>
      <c r="L3657" s="12" t="s">
        <v>96</v>
      </c>
      <c r="M3657">
        <v>4.72</v>
      </c>
      <c r="N3657" s="12" t="s">
        <v>145</v>
      </c>
      <c r="O3657" s="12" t="s">
        <v>146</v>
      </c>
      <c r="P3657" s="12" t="s">
        <v>109</v>
      </c>
      <c r="Q3657" s="13">
        <v>45583</v>
      </c>
      <c r="R3657" s="13">
        <v>45604</v>
      </c>
      <c r="S3657">
        <v>2024</v>
      </c>
      <c r="T3657" s="12" t="s">
        <v>4461</v>
      </c>
      <c r="U3657">
        <v>16</v>
      </c>
      <c r="V3657">
        <v>82.0565</v>
      </c>
      <c r="W3657">
        <v>8.58</v>
      </c>
      <c r="X3657">
        <v>41.15</v>
      </c>
      <c r="Y3657">
        <v>1</v>
      </c>
      <c r="Z3657">
        <v>1312.9</v>
      </c>
      <c r="AA3657">
        <v>1362.63</v>
      </c>
      <c r="AB3657" s="12" t="s">
        <v>3554</v>
      </c>
      <c r="AC3657">
        <v>82.0565</v>
      </c>
      <c r="AD3657">
        <v>1</v>
      </c>
      <c r="AE3657">
        <v>1</v>
      </c>
      <c r="AF3657">
        <v>0</v>
      </c>
      <c r="AG3657">
        <v>1312.9</v>
      </c>
      <c r="AH3657">
        <v>16</v>
      </c>
      <c r="AI3657">
        <v>16</v>
      </c>
      <c r="AJ3657">
        <v>0</v>
      </c>
      <c r="AK3657">
        <v>1</v>
      </c>
      <c r="AL3657">
        <v>1</v>
      </c>
      <c r="AM3657">
        <v>100</v>
      </c>
      <c r="AN3657">
        <v>85.164599999999993</v>
      </c>
      <c r="AO3657">
        <v>0</v>
      </c>
      <c r="AP3657" s="13">
        <v>45602</v>
      </c>
      <c r="AQ3657">
        <v>-2</v>
      </c>
      <c r="AR3657">
        <v>1</v>
      </c>
    </row>
    <row r="3658" spans="1:44" x14ac:dyDescent="0.35">
      <c r="A3658" s="12" t="s">
        <v>4577</v>
      </c>
      <c r="B3658" s="12" t="s">
        <v>766</v>
      </c>
      <c r="C3658" s="12" t="s">
        <v>767</v>
      </c>
      <c r="D3658" s="12" t="s">
        <v>175</v>
      </c>
      <c r="E3658" s="12" t="s">
        <v>65</v>
      </c>
      <c r="F3658">
        <v>3</v>
      </c>
      <c r="G3658">
        <v>5</v>
      </c>
      <c r="H3658">
        <v>0</v>
      </c>
      <c r="I3658" s="12" t="s">
        <v>87</v>
      </c>
      <c r="J3658" s="12" t="s">
        <v>88</v>
      </c>
      <c r="K3658" s="12" t="s">
        <v>89</v>
      </c>
      <c r="L3658" s="12" t="s">
        <v>69</v>
      </c>
      <c r="M3658">
        <v>14.93</v>
      </c>
      <c r="N3658" s="12" t="s">
        <v>107</v>
      </c>
      <c r="O3658" s="12" t="s">
        <v>108</v>
      </c>
      <c r="P3658" s="12" t="s">
        <v>109</v>
      </c>
      <c r="Q3658" s="13">
        <v>45583</v>
      </c>
      <c r="R3658" s="13">
        <v>45621</v>
      </c>
      <c r="S3658">
        <v>2024</v>
      </c>
      <c r="T3658" s="12" t="s">
        <v>4461</v>
      </c>
      <c r="U3658">
        <v>147</v>
      </c>
      <c r="V3658">
        <v>81.825500000000005</v>
      </c>
      <c r="W3658">
        <v>299.82</v>
      </c>
      <c r="X3658">
        <v>0</v>
      </c>
      <c r="Y3658">
        <v>0</v>
      </c>
      <c r="Z3658">
        <v>12028.35</v>
      </c>
      <c r="AA3658">
        <v>12328.17</v>
      </c>
      <c r="AB3658" s="12" t="s">
        <v>3225</v>
      </c>
      <c r="AC3658">
        <v>81.825500000000005</v>
      </c>
      <c r="AD3658">
        <v>1</v>
      </c>
      <c r="AE3658">
        <v>1</v>
      </c>
      <c r="AF3658">
        <v>0</v>
      </c>
      <c r="AG3658">
        <v>12028.35</v>
      </c>
      <c r="AH3658">
        <v>147</v>
      </c>
      <c r="AI3658">
        <v>146</v>
      </c>
      <c r="AJ3658">
        <v>1</v>
      </c>
      <c r="AK3658">
        <v>1</v>
      </c>
      <c r="AL3658">
        <v>1</v>
      </c>
      <c r="AM3658">
        <v>99.32</v>
      </c>
      <c r="AN3658">
        <v>84.439499999999995</v>
      </c>
      <c r="AO3658">
        <v>81.83</v>
      </c>
      <c r="AP3658" s="13">
        <v>45621</v>
      </c>
      <c r="AQ3658">
        <v>0</v>
      </c>
      <c r="AR3658">
        <v>1</v>
      </c>
    </row>
    <row r="3659" spans="1:44" x14ac:dyDescent="0.35">
      <c r="A3659" s="12" t="s">
        <v>4578</v>
      </c>
      <c r="B3659" s="12" t="s">
        <v>331</v>
      </c>
      <c r="C3659" s="12" t="s">
        <v>332</v>
      </c>
      <c r="D3659" s="12" t="s">
        <v>122</v>
      </c>
      <c r="E3659" s="12" t="s">
        <v>142</v>
      </c>
      <c r="F3659">
        <v>3</v>
      </c>
      <c r="G3659">
        <v>11</v>
      </c>
      <c r="H3659">
        <v>0</v>
      </c>
      <c r="I3659" s="12" t="s">
        <v>263</v>
      </c>
      <c r="J3659" s="12" t="s">
        <v>264</v>
      </c>
      <c r="K3659" s="12" t="s">
        <v>125</v>
      </c>
      <c r="L3659" s="12" t="s">
        <v>82</v>
      </c>
      <c r="M3659">
        <v>10.210000000000001</v>
      </c>
      <c r="N3659" s="12" t="s">
        <v>97</v>
      </c>
      <c r="O3659" s="12" t="s">
        <v>98</v>
      </c>
      <c r="P3659" s="12" t="s">
        <v>72</v>
      </c>
      <c r="Q3659" s="13">
        <v>45583</v>
      </c>
      <c r="R3659" s="13">
        <v>45625</v>
      </c>
      <c r="S3659">
        <v>2024</v>
      </c>
      <c r="T3659" s="12" t="s">
        <v>4461</v>
      </c>
      <c r="U3659">
        <v>940</v>
      </c>
      <c r="V3659">
        <v>24.008700000000001</v>
      </c>
      <c r="W3659">
        <v>224.56</v>
      </c>
      <c r="X3659">
        <v>0</v>
      </c>
      <c r="Y3659">
        <v>0</v>
      </c>
      <c r="Z3659">
        <v>22568.18</v>
      </c>
      <c r="AA3659">
        <v>22792.74</v>
      </c>
      <c r="AB3659" s="12" t="s">
        <v>2732</v>
      </c>
      <c r="AC3659">
        <v>24.008700000000001</v>
      </c>
      <c r="AD3659">
        <v>1</v>
      </c>
      <c r="AE3659">
        <v>1</v>
      </c>
      <c r="AF3659">
        <v>0</v>
      </c>
      <c r="AG3659">
        <v>22568.18</v>
      </c>
      <c r="AH3659">
        <v>940</v>
      </c>
      <c r="AI3659">
        <v>934</v>
      </c>
      <c r="AJ3659">
        <v>6</v>
      </c>
      <c r="AK3659">
        <v>1</v>
      </c>
      <c r="AL3659">
        <v>1</v>
      </c>
      <c r="AM3659">
        <v>99.36</v>
      </c>
      <c r="AN3659">
        <v>24.403400000000001</v>
      </c>
      <c r="AO3659">
        <v>144.05000000000001</v>
      </c>
      <c r="AP3659" s="13">
        <v>45625</v>
      </c>
      <c r="AQ3659">
        <v>0</v>
      </c>
      <c r="AR3659">
        <v>1</v>
      </c>
    </row>
    <row r="3660" spans="1:44" x14ac:dyDescent="0.35">
      <c r="A3660" s="12" t="s">
        <v>4579</v>
      </c>
      <c r="B3660" s="12" t="s">
        <v>1179</v>
      </c>
      <c r="C3660" s="12" t="s">
        <v>1180</v>
      </c>
      <c r="D3660" s="12" t="s">
        <v>122</v>
      </c>
      <c r="E3660" s="12" t="s">
        <v>142</v>
      </c>
      <c r="F3660">
        <v>1</v>
      </c>
      <c r="G3660">
        <v>8</v>
      </c>
      <c r="H3660">
        <v>1</v>
      </c>
      <c r="I3660" s="12" t="s">
        <v>143</v>
      </c>
      <c r="J3660" s="12" t="s">
        <v>144</v>
      </c>
      <c r="K3660" s="12" t="s">
        <v>133</v>
      </c>
      <c r="L3660" s="12" t="s">
        <v>96</v>
      </c>
      <c r="M3660">
        <v>5.43</v>
      </c>
      <c r="N3660" s="12" t="s">
        <v>97</v>
      </c>
      <c r="O3660" s="12" t="s">
        <v>98</v>
      </c>
      <c r="P3660" s="12" t="s">
        <v>72</v>
      </c>
      <c r="Q3660" s="13">
        <v>45583</v>
      </c>
      <c r="R3660" s="13">
        <v>45632</v>
      </c>
      <c r="S3660">
        <v>2024</v>
      </c>
      <c r="T3660" s="12" t="s">
        <v>4461</v>
      </c>
      <c r="U3660">
        <v>1671</v>
      </c>
      <c r="V3660">
        <v>52.441499999999998</v>
      </c>
      <c r="W3660">
        <v>2276.7800000000002</v>
      </c>
      <c r="X3660">
        <v>0</v>
      </c>
      <c r="Y3660">
        <v>0</v>
      </c>
      <c r="Z3660">
        <v>87629.75</v>
      </c>
      <c r="AA3660">
        <v>89906.53</v>
      </c>
      <c r="AB3660" s="12" t="s">
        <v>3049</v>
      </c>
      <c r="AC3660">
        <v>52.441499999999998</v>
      </c>
      <c r="AD3660">
        <v>1</v>
      </c>
      <c r="AE3660">
        <v>1</v>
      </c>
      <c r="AF3660">
        <v>0</v>
      </c>
      <c r="AG3660">
        <v>87629.75</v>
      </c>
      <c r="AH3660">
        <v>1671</v>
      </c>
      <c r="AI3660">
        <v>1654</v>
      </c>
      <c r="AJ3660">
        <v>17</v>
      </c>
      <c r="AK3660">
        <v>1</v>
      </c>
      <c r="AL3660">
        <v>1</v>
      </c>
      <c r="AM3660">
        <v>98.98</v>
      </c>
      <c r="AN3660">
        <v>54.356999999999999</v>
      </c>
      <c r="AO3660">
        <v>891.51</v>
      </c>
      <c r="AP3660" s="13">
        <v>45630</v>
      </c>
      <c r="AQ3660">
        <v>-2</v>
      </c>
      <c r="AR3660">
        <v>1</v>
      </c>
    </row>
    <row r="3661" spans="1:44" x14ac:dyDescent="0.35">
      <c r="A3661" s="12" t="s">
        <v>4580</v>
      </c>
      <c r="B3661" s="12" t="s">
        <v>792</v>
      </c>
      <c r="C3661" s="12" t="s">
        <v>793</v>
      </c>
      <c r="D3661" s="12" t="s">
        <v>103</v>
      </c>
      <c r="E3661" s="12" t="s">
        <v>65</v>
      </c>
      <c r="F3661">
        <v>2</v>
      </c>
      <c r="G3661">
        <v>3</v>
      </c>
      <c r="H3661">
        <v>0</v>
      </c>
      <c r="I3661" s="12" t="s">
        <v>115</v>
      </c>
      <c r="J3661" s="12" t="s">
        <v>116</v>
      </c>
      <c r="K3661" s="12" t="s">
        <v>117</v>
      </c>
      <c r="L3661" s="12" t="s">
        <v>82</v>
      </c>
      <c r="M3661">
        <v>17.170000000000002</v>
      </c>
      <c r="N3661" s="12" t="s">
        <v>145</v>
      </c>
      <c r="O3661" s="12" t="s">
        <v>146</v>
      </c>
      <c r="P3661" s="12" t="s">
        <v>109</v>
      </c>
      <c r="Q3661" s="13">
        <v>45583</v>
      </c>
      <c r="R3661" s="13">
        <v>45607</v>
      </c>
      <c r="S3661">
        <v>2024</v>
      </c>
      <c r="T3661" s="12" t="s">
        <v>4461</v>
      </c>
      <c r="U3661">
        <v>39</v>
      </c>
      <c r="V3661">
        <v>98.330600000000004</v>
      </c>
      <c r="W3661">
        <v>24.45</v>
      </c>
      <c r="X3661">
        <v>0</v>
      </c>
      <c r="Y3661">
        <v>0</v>
      </c>
      <c r="Z3661">
        <v>3834.89</v>
      </c>
      <c r="AA3661">
        <v>3859.34</v>
      </c>
      <c r="AB3661" s="12" t="s">
        <v>3411</v>
      </c>
      <c r="AC3661">
        <v>98.330600000000004</v>
      </c>
      <c r="AD3661">
        <v>1</v>
      </c>
      <c r="AE3661">
        <v>1</v>
      </c>
      <c r="AF3661">
        <v>0</v>
      </c>
      <c r="AG3661">
        <v>3834.89</v>
      </c>
      <c r="AH3661">
        <v>39</v>
      </c>
      <c r="AI3661">
        <v>38</v>
      </c>
      <c r="AJ3661">
        <v>1</v>
      </c>
      <c r="AK3661">
        <v>1</v>
      </c>
      <c r="AL3661">
        <v>1</v>
      </c>
      <c r="AM3661">
        <v>97.44</v>
      </c>
      <c r="AN3661">
        <v>101.5617</v>
      </c>
      <c r="AO3661">
        <v>98.33</v>
      </c>
      <c r="AP3661" s="13">
        <v>45605</v>
      </c>
      <c r="AQ3661">
        <v>-2</v>
      </c>
      <c r="AR3661">
        <v>1</v>
      </c>
    </row>
    <row r="3662" spans="1:44" x14ac:dyDescent="0.35">
      <c r="A3662" s="12" t="s">
        <v>4581</v>
      </c>
      <c r="B3662" s="12" t="s">
        <v>544</v>
      </c>
      <c r="C3662" s="12" t="s">
        <v>545</v>
      </c>
      <c r="D3662" s="12" t="s">
        <v>175</v>
      </c>
      <c r="E3662" s="12" t="s">
        <v>65</v>
      </c>
      <c r="F3662">
        <v>3</v>
      </c>
      <c r="G3662">
        <v>5</v>
      </c>
      <c r="H3662">
        <v>0</v>
      </c>
      <c r="I3662" s="12" t="s">
        <v>66</v>
      </c>
      <c r="J3662" s="12" t="s">
        <v>67</v>
      </c>
      <c r="K3662" s="12" t="s">
        <v>68</v>
      </c>
      <c r="L3662" s="12" t="s">
        <v>69</v>
      </c>
      <c r="M3662">
        <v>17.66</v>
      </c>
      <c r="N3662" s="12" t="s">
        <v>107</v>
      </c>
      <c r="O3662" s="12" t="s">
        <v>108</v>
      </c>
      <c r="P3662" s="12" t="s">
        <v>109</v>
      </c>
      <c r="Q3662" s="13">
        <v>45586</v>
      </c>
      <c r="R3662" s="13">
        <v>45617</v>
      </c>
      <c r="S3662">
        <v>2024</v>
      </c>
      <c r="T3662" s="12" t="s">
        <v>4461</v>
      </c>
      <c r="U3662">
        <v>92</v>
      </c>
      <c r="V3662">
        <v>152.90520000000001</v>
      </c>
      <c r="W3662">
        <v>317.07</v>
      </c>
      <c r="X3662">
        <v>0</v>
      </c>
      <c r="Y3662">
        <v>0</v>
      </c>
      <c r="Z3662">
        <v>14067.28</v>
      </c>
      <c r="AA3662">
        <v>14384.35</v>
      </c>
      <c r="AB3662" s="12" t="s">
        <v>201</v>
      </c>
      <c r="AD3662">
        <v>0</v>
      </c>
      <c r="AE3662">
        <v>0</v>
      </c>
      <c r="AH3662">
        <v>92</v>
      </c>
      <c r="AI3662">
        <v>91</v>
      </c>
      <c r="AJ3662">
        <v>1</v>
      </c>
      <c r="AK3662">
        <v>1</v>
      </c>
      <c r="AL3662">
        <v>1</v>
      </c>
      <c r="AM3662">
        <v>98.91</v>
      </c>
      <c r="AN3662">
        <v>158.06979999999999</v>
      </c>
      <c r="AO3662">
        <v>152.91</v>
      </c>
      <c r="AP3662" s="13">
        <v>45617</v>
      </c>
      <c r="AQ3662">
        <v>0</v>
      </c>
      <c r="AR3662">
        <v>1</v>
      </c>
    </row>
    <row r="3663" spans="1:44" x14ac:dyDescent="0.35">
      <c r="A3663" s="12" t="s">
        <v>4582</v>
      </c>
      <c r="B3663" s="12" t="s">
        <v>565</v>
      </c>
      <c r="C3663" s="12" t="s">
        <v>566</v>
      </c>
      <c r="D3663" s="12" t="s">
        <v>122</v>
      </c>
      <c r="E3663" s="12" t="s">
        <v>104</v>
      </c>
      <c r="F3663">
        <v>3</v>
      </c>
      <c r="G3663">
        <v>1</v>
      </c>
      <c r="H3663">
        <v>0</v>
      </c>
      <c r="I3663" s="12" t="s">
        <v>131</v>
      </c>
      <c r="J3663" s="12" t="s">
        <v>132</v>
      </c>
      <c r="K3663" s="12" t="s">
        <v>133</v>
      </c>
      <c r="L3663" s="12" t="s">
        <v>134</v>
      </c>
      <c r="M3663">
        <v>1.51</v>
      </c>
      <c r="N3663" s="12" t="s">
        <v>97</v>
      </c>
      <c r="O3663" s="12" t="s">
        <v>98</v>
      </c>
      <c r="P3663" s="12" t="s">
        <v>72</v>
      </c>
      <c r="Q3663" s="13">
        <v>45586</v>
      </c>
      <c r="R3663" s="13">
        <v>45611</v>
      </c>
      <c r="S3663">
        <v>2024</v>
      </c>
      <c r="T3663" s="12" t="s">
        <v>4461</v>
      </c>
      <c r="U3663">
        <v>1508</v>
      </c>
      <c r="V3663">
        <v>35.698500000000003</v>
      </c>
      <c r="W3663">
        <v>941.21</v>
      </c>
      <c r="X3663">
        <v>0</v>
      </c>
      <c r="Y3663">
        <v>0</v>
      </c>
      <c r="Z3663">
        <v>53833.34</v>
      </c>
      <c r="AA3663">
        <v>54774.55</v>
      </c>
      <c r="AB3663" s="12" t="s">
        <v>4164</v>
      </c>
      <c r="AC3663">
        <v>35.698500000000003</v>
      </c>
      <c r="AD3663">
        <v>1</v>
      </c>
      <c r="AE3663">
        <v>1</v>
      </c>
      <c r="AF3663">
        <v>0</v>
      </c>
      <c r="AG3663">
        <v>53833.34</v>
      </c>
      <c r="AH3663">
        <v>1508</v>
      </c>
      <c r="AI3663">
        <v>1493</v>
      </c>
      <c r="AJ3663">
        <v>15</v>
      </c>
      <c r="AK3663">
        <v>1</v>
      </c>
      <c r="AL3663">
        <v>1</v>
      </c>
      <c r="AM3663">
        <v>99.01</v>
      </c>
      <c r="AN3663">
        <v>36.687600000000003</v>
      </c>
      <c r="AO3663">
        <v>535.48</v>
      </c>
      <c r="AP3663" s="13">
        <v>45611</v>
      </c>
      <c r="AQ3663">
        <v>0</v>
      </c>
      <c r="AR3663">
        <v>1</v>
      </c>
    </row>
    <row r="3664" spans="1:44" x14ac:dyDescent="0.35">
      <c r="A3664" s="12" t="s">
        <v>4583</v>
      </c>
      <c r="B3664" s="12" t="s">
        <v>1054</v>
      </c>
      <c r="C3664" s="12" t="s">
        <v>1055</v>
      </c>
      <c r="D3664" s="12" t="s">
        <v>122</v>
      </c>
      <c r="E3664" s="12" t="s">
        <v>65</v>
      </c>
      <c r="F3664">
        <v>1</v>
      </c>
      <c r="G3664">
        <v>2</v>
      </c>
      <c r="H3664">
        <v>1</v>
      </c>
      <c r="I3664" s="12" t="s">
        <v>176</v>
      </c>
      <c r="J3664" s="12" t="s">
        <v>177</v>
      </c>
      <c r="K3664" s="12" t="s">
        <v>125</v>
      </c>
      <c r="L3664" s="12" t="s">
        <v>134</v>
      </c>
      <c r="M3664">
        <v>1.75</v>
      </c>
      <c r="N3664" s="12" t="s">
        <v>97</v>
      </c>
      <c r="O3664" s="12" t="s">
        <v>98</v>
      </c>
      <c r="P3664" s="12" t="s">
        <v>72</v>
      </c>
      <c r="Q3664" s="13">
        <v>45586</v>
      </c>
      <c r="R3664" s="13">
        <v>45617</v>
      </c>
      <c r="S3664">
        <v>2024</v>
      </c>
      <c r="T3664" s="12" t="s">
        <v>4461</v>
      </c>
      <c r="U3664">
        <v>1240</v>
      </c>
      <c r="V3664">
        <v>45.850499999999997</v>
      </c>
      <c r="W3664">
        <v>1363.92</v>
      </c>
      <c r="X3664">
        <v>0</v>
      </c>
      <c r="Y3664">
        <v>0</v>
      </c>
      <c r="Z3664">
        <v>56854.62</v>
      </c>
      <c r="AA3664">
        <v>58218.54</v>
      </c>
      <c r="AB3664" s="12" t="s">
        <v>3227</v>
      </c>
      <c r="AC3664">
        <v>45.850499999999997</v>
      </c>
      <c r="AD3664">
        <v>1</v>
      </c>
      <c r="AE3664">
        <v>1</v>
      </c>
      <c r="AF3664">
        <v>0</v>
      </c>
      <c r="AG3664">
        <v>56854.62</v>
      </c>
      <c r="AH3664">
        <v>1240</v>
      </c>
      <c r="AI3664">
        <v>1235</v>
      </c>
      <c r="AJ3664">
        <v>5</v>
      </c>
      <c r="AK3664">
        <v>1</v>
      </c>
      <c r="AL3664">
        <v>1</v>
      </c>
      <c r="AM3664">
        <v>99.6</v>
      </c>
      <c r="AN3664">
        <v>47.140500000000003</v>
      </c>
      <c r="AO3664">
        <v>229.25</v>
      </c>
      <c r="AP3664" s="13">
        <v>45615</v>
      </c>
      <c r="AQ3664">
        <v>-2</v>
      </c>
      <c r="AR3664">
        <v>1</v>
      </c>
    </row>
    <row r="3665" spans="1:44" x14ac:dyDescent="0.35">
      <c r="A3665" s="12" t="s">
        <v>4584</v>
      </c>
      <c r="B3665" s="12" t="s">
        <v>416</v>
      </c>
      <c r="C3665" s="12" t="s">
        <v>417</v>
      </c>
      <c r="D3665" s="12" t="s">
        <v>78</v>
      </c>
      <c r="E3665" s="12" t="s">
        <v>65</v>
      </c>
      <c r="F3665">
        <v>3</v>
      </c>
      <c r="G3665">
        <v>5</v>
      </c>
      <c r="H3665">
        <v>0</v>
      </c>
      <c r="I3665" s="12" t="s">
        <v>169</v>
      </c>
      <c r="J3665" s="12" t="s">
        <v>170</v>
      </c>
      <c r="K3665" s="12" t="s">
        <v>89</v>
      </c>
      <c r="L3665" s="12" t="s">
        <v>134</v>
      </c>
      <c r="M3665">
        <v>1.37</v>
      </c>
      <c r="N3665" s="12" t="s">
        <v>97</v>
      </c>
      <c r="O3665" s="12" t="s">
        <v>98</v>
      </c>
      <c r="P3665" s="12" t="s">
        <v>72</v>
      </c>
      <c r="Q3665" s="13">
        <v>45586</v>
      </c>
      <c r="R3665" s="13">
        <v>45608</v>
      </c>
      <c r="S3665">
        <v>2024</v>
      </c>
      <c r="T3665" s="12" t="s">
        <v>4461</v>
      </c>
      <c r="U3665">
        <v>56</v>
      </c>
      <c r="V3665">
        <v>136.4109</v>
      </c>
      <c r="W3665">
        <v>100.52</v>
      </c>
      <c r="X3665">
        <v>0</v>
      </c>
      <c r="Y3665">
        <v>0</v>
      </c>
      <c r="Z3665">
        <v>7639.01</v>
      </c>
      <c r="AA3665">
        <v>7739.53</v>
      </c>
      <c r="AB3665" s="12" t="s">
        <v>2980</v>
      </c>
      <c r="AC3665">
        <v>136.4109</v>
      </c>
      <c r="AD3665">
        <v>1</v>
      </c>
      <c r="AE3665">
        <v>1</v>
      </c>
      <c r="AF3665">
        <v>0</v>
      </c>
      <c r="AG3665">
        <v>7639.01</v>
      </c>
      <c r="AH3665">
        <v>56</v>
      </c>
      <c r="AI3665">
        <v>55</v>
      </c>
      <c r="AJ3665">
        <v>1</v>
      </c>
      <c r="AK3665">
        <v>1</v>
      </c>
      <c r="AL3665">
        <v>1</v>
      </c>
      <c r="AM3665">
        <v>98.21</v>
      </c>
      <c r="AN3665">
        <v>140.71870000000001</v>
      </c>
      <c r="AO3665">
        <v>136.41</v>
      </c>
      <c r="AP3665" s="13">
        <v>45605</v>
      </c>
      <c r="AQ3665">
        <v>-3</v>
      </c>
      <c r="AR3665">
        <v>1</v>
      </c>
    </row>
    <row r="3666" spans="1:44" x14ac:dyDescent="0.35">
      <c r="A3666" s="12" t="s">
        <v>4585</v>
      </c>
      <c r="B3666" s="12" t="s">
        <v>465</v>
      </c>
      <c r="C3666" s="12" t="s">
        <v>466</v>
      </c>
      <c r="D3666" s="12" t="s">
        <v>78</v>
      </c>
      <c r="E3666" s="12" t="s">
        <v>142</v>
      </c>
      <c r="F3666">
        <v>3</v>
      </c>
      <c r="G3666">
        <v>11</v>
      </c>
      <c r="H3666">
        <v>0</v>
      </c>
      <c r="I3666" s="12" t="s">
        <v>195</v>
      </c>
      <c r="J3666" s="12" t="s">
        <v>196</v>
      </c>
      <c r="K3666" s="12" t="s">
        <v>117</v>
      </c>
      <c r="L3666" s="12" t="s">
        <v>134</v>
      </c>
      <c r="M3666">
        <v>4.7699999999999996</v>
      </c>
      <c r="N3666" s="12" t="s">
        <v>70</v>
      </c>
      <c r="O3666" s="12" t="s">
        <v>71</v>
      </c>
      <c r="P3666" s="12" t="s">
        <v>72</v>
      </c>
      <c r="Q3666" s="13">
        <v>45586</v>
      </c>
      <c r="R3666" s="13">
        <v>45630</v>
      </c>
      <c r="S3666">
        <v>2024</v>
      </c>
      <c r="T3666" s="12" t="s">
        <v>4461</v>
      </c>
      <c r="U3666">
        <v>174</v>
      </c>
      <c r="V3666">
        <v>107.81189999999999</v>
      </c>
      <c r="W3666">
        <v>266.02999999999997</v>
      </c>
      <c r="X3666">
        <v>0</v>
      </c>
      <c r="Y3666">
        <v>0</v>
      </c>
      <c r="Z3666">
        <v>18759.27</v>
      </c>
      <c r="AA3666">
        <v>19025.3</v>
      </c>
      <c r="AB3666" s="12" t="s">
        <v>3058</v>
      </c>
      <c r="AC3666">
        <v>107.81189999999999</v>
      </c>
      <c r="AD3666">
        <v>1</v>
      </c>
      <c r="AE3666">
        <v>1</v>
      </c>
      <c r="AF3666">
        <v>0</v>
      </c>
      <c r="AG3666">
        <v>18759.27</v>
      </c>
      <c r="AH3666">
        <v>174</v>
      </c>
      <c r="AI3666">
        <v>171</v>
      </c>
      <c r="AJ3666">
        <v>3</v>
      </c>
      <c r="AK3666">
        <v>1</v>
      </c>
      <c r="AL3666">
        <v>1</v>
      </c>
      <c r="AM3666">
        <v>98.28</v>
      </c>
      <c r="AN3666">
        <v>111.2591</v>
      </c>
      <c r="AO3666">
        <v>323.44</v>
      </c>
      <c r="AP3666" s="13">
        <v>45629</v>
      </c>
      <c r="AQ3666">
        <v>-1</v>
      </c>
      <c r="AR3666">
        <v>1</v>
      </c>
    </row>
    <row r="3667" spans="1:44" x14ac:dyDescent="0.35">
      <c r="A3667" s="12" t="s">
        <v>4586</v>
      </c>
      <c r="B3667" s="12" t="s">
        <v>241</v>
      </c>
      <c r="C3667" s="12" t="s">
        <v>242</v>
      </c>
      <c r="D3667" s="12" t="s">
        <v>103</v>
      </c>
      <c r="E3667" s="12" t="s">
        <v>142</v>
      </c>
      <c r="F3667">
        <v>3</v>
      </c>
      <c r="G3667">
        <v>11</v>
      </c>
      <c r="H3667">
        <v>0</v>
      </c>
      <c r="I3667" s="12" t="s">
        <v>243</v>
      </c>
      <c r="J3667" s="12" t="s">
        <v>244</v>
      </c>
      <c r="K3667" s="12" t="s">
        <v>81</v>
      </c>
      <c r="L3667" s="12" t="s">
        <v>82</v>
      </c>
      <c r="M3667">
        <v>9.2200000000000006</v>
      </c>
      <c r="N3667" s="12" t="s">
        <v>107</v>
      </c>
      <c r="O3667" s="12" t="s">
        <v>108</v>
      </c>
      <c r="P3667" s="12" t="s">
        <v>109</v>
      </c>
      <c r="Q3667" s="13">
        <v>45586</v>
      </c>
      <c r="R3667" s="13">
        <v>45632</v>
      </c>
      <c r="S3667">
        <v>2024</v>
      </c>
      <c r="T3667" s="12" t="s">
        <v>4461</v>
      </c>
      <c r="U3667">
        <v>98</v>
      </c>
      <c r="V3667">
        <v>182.5188</v>
      </c>
      <c r="W3667">
        <v>302.45999999999998</v>
      </c>
      <c r="X3667">
        <v>0</v>
      </c>
      <c r="Y3667">
        <v>0</v>
      </c>
      <c r="Z3667">
        <v>17886.84</v>
      </c>
      <c r="AA3667">
        <v>18189.3</v>
      </c>
      <c r="AB3667" s="12" t="s">
        <v>201</v>
      </c>
      <c r="AD3667">
        <v>0</v>
      </c>
      <c r="AE3667">
        <v>0</v>
      </c>
      <c r="AH3667">
        <v>98</v>
      </c>
      <c r="AI3667">
        <v>96</v>
      </c>
      <c r="AJ3667">
        <v>2</v>
      </c>
      <c r="AK3667">
        <v>1</v>
      </c>
      <c r="AL3667">
        <v>1</v>
      </c>
      <c r="AM3667">
        <v>97.96</v>
      </c>
      <c r="AN3667">
        <v>189.47190000000001</v>
      </c>
      <c r="AO3667">
        <v>365.04</v>
      </c>
      <c r="AP3667" s="13">
        <v>45632</v>
      </c>
      <c r="AQ3667">
        <v>0</v>
      </c>
      <c r="AR3667">
        <v>1</v>
      </c>
    </row>
    <row r="3668" spans="1:44" x14ac:dyDescent="0.35">
      <c r="A3668" s="12" t="s">
        <v>4587</v>
      </c>
      <c r="B3668" s="12" t="s">
        <v>339</v>
      </c>
      <c r="C3668" s="12" t="s">
        <v>340</v>
      </c>
      <c r="D3668" s="12" t="s">
        <v>103</v>
      </c>
      <c r="E3668" s="12" t="s">
        <v>142</v>
      </c>
      <c r="F3668">
        <v>2</v>
      </c>
      <c r="G3668">
        <v>9</v>
      </c>
      <c r="H3668">
        <v>0</v>
      </c>
      <c r="I3668" s="12" t="s">
        <v>169</v>
      </c>
      <c r="J3668" s="12" t="s">
        <v>170</v>
      </c>
      <c r="K3668" s="12" t="s">
        <v>89</v>
      </c>
      <c r="L3668" s="12" t="s">
        <v>134</v>
      </c>
      <c r="M3668">
        <v>1.37</v>
      </c>
      <c r="N3668" s="12" t="s">
        <v>107</v>
      </c>
      <c r="O3668" s="12" t="s">
        <v>108</v>
      </c>
      <c r="P3668" s="12" t="s">
        <v>109</v>
      </c>
      <c r="Q3668" s="13">
        <v>45586</v>
      </c>
      <c r="R3668" s="13">
        <v>45634</v>
      </c>
      <c r="S3668">
        <v>2024</v>
      </c>
      <c r="T3668" s="12" t="s">
        <v>4461</v>
      </c>
      <c r="U3668">
        <v>118</v>
      </c>
      <c r="V3668">
        <v>243.06290000000001</v>
      </c>
      <c r="W3668">
        <v>232.85</v>
      </c>
      <c r="X3668">
        <v>0</v>
      </c>
      <c r="Y3668">
        <v>0</v>
      </c>
      <c r="Z3668">
        <v>28681.42</v>
      </c>
      <c r="AA3668">
        <v>28914.27</v>
      </c>
      <c r="AB3668" s="12" t="s">
        <v>2786</v>
      </c>
      <c r="AC3668">
        <v>243.06290000000001</v>
      </c>
      <c r="AD3668">
        <v>1</v>
      </c>
      <c r="AE3668">
        <v>1</v>
      </c>
      <c r="AF3668">
        <v>0</v>
      </c>
      <c r="AG3668">
        <v>28681.42</v>
      </c>
      <c r="AH3668">
        <v>118</v>
      </c>
      <c r="AI3668">
        <v>117</v>
      </c>
      <c r="AJ3668">
        <v>1</v>
      </c>
      <c r="AK3668">
        <v>1</v>
      </c>
      <c r="AL3668">
        <v>1</v>
      </c>
      <c r="AM3668">
        <v>99.15</v>
      </c>
      <c r="AN3668">
        <v>247.13050000000001</v>
      </c>
      <c r="AO3668">
        <v>243.06</v>
      </c>
      <c r="AP3668" s="13">
        <v>45637</v>
      </c>
      <c r="AQ3668">
        <v>3</v>
      </c>
      <c r="AR3668">
        <v>0</v>
      </c>
    </row>
    <row r="3669" spans="1:44" x14ac:dyDescent="0.35">
      <c r="A3669" s="12" t="s">
        <v>4588</v>
      </c>
      <c r="B3669" s="12" t="s">
        <v>362</v>
      </c>
      <c r="C3669" s="12" t="s">
        <v>363</v>
      </c>
      <c r="D3669" s="12" t="s">
        <v>78</v>
      </c>
      <c r="E3669" s="12" t="s">
        <v>104</v>
      </c>
      <c r="F3669">
        <v>3</v>
      </c>
      <c r="G3669">
        <v>0</v>
      </c>
      <c r="H3669">
        <v>0</v>
      </c>
      <c r="I3669" s="12" t="s">
        <v>157</v>
      </c>
      <c r="J3669" s="12" t="s">
        <v>158</v>
      </c>
      <c r="K3669" s="12" t="s">
        <v>117</v>
      </c>
      <c r="L3669" s="12" t="s">
        <v>96</v>
      </c>
      <c r="M3669">
        <v>4.72</v>
      </c>
      <c r="N3669" s="12" t="s">
        <v>70</v>
      </c>
      <c r="O3669" s="12" t="s">
        <v>71</v>
      </c>
      <c r="P3669" s="12" t="s">
        <v>72</v>
      </c>
      <c r="Q3669" s="13">
        <v>45586</v>
      </c>
      <c r="R3669" s="13">
        <v>45614</v>
      </c>
      <c r="S3669">
        <v>2024</v>
      </c>
      <c r="T3669" s="12" t="s">
        <v>4461</v>
      </c>
      <c r="U3669">
        <v>273</v>
      </c>
      <c r="V3669">
        <v>59.830500000000001</v>
      </c>
      <c r="W3669">
        <v>151.25</v>
      </c>
      <c r="X3669">
        <v>0</v>
      </c>
      <c r="Y3669">
        <v>0</v>
      </c>
      <c r="Z3669">
        <v>16333.73</v>
      </c>
      <c r="AA3669">
        <v>16484.98</v>
      </c>
      <c r="AB3669" s="12" t="s">
        <v>3185</v>
      </c>
      <c r="AC3669">
        <v>59.830500000000001</v>
      </c>
      <c r="AD3669">
        <v>1</v>
      </c>
      <c r="AE3669">
        <v>1</v>
      </c>
      <c r="AF3669">
        <v>0</v>
      </c>
      <c r="AG3669">
        <v>16333.73</v>
      </c>
      <c r="AH3669">
        <v>273</v>
      </c>
      <c r="AI3669">
        <v>271</v>
      </c>
      <c r="AJ3669">
        <v>2</v>
      </c>
      <c r="AK3669">
        <v>1</v>
      </c>
      <c r="AL3669">
        <v>1</v>
      </c>
      <c r="AM3669">
        <v>99.27</v>
      </c>
      <c r="AN3669">
        <v>60.830199999999998</v>
      </c>
      <c r="AO3669">
        <v>119.66</v>
      </c>
      <c r="AP3669" s="13">
        <v>45614</v>
      </c>
      <c r="AQ3669">
        <v>0</v>
      </c>
      <c r="AR3669">
        <v>1</v>
      </c>
    </row>
    <row r="3670" spans="1:44" x14ac:dyDescent="0.35">
      <c r="A3670" s="12" t="s">
        <v>4589</v>
      </c>
      <c r="B3670" s="12" t="s">
        <v>289</v>
      </c>
      <c r="C3670" s="12" t="s">
        <v>290</v>
      </c>
      <c r="D3670" s="12" t="s">
        <v>175</v>
      </c>
      <c r="E3670" s="12" t="s">
        <v>104</v>
      </c>
      <c r="F3670">
        <v>3</v>
      </c>
      <c r="G3670">
        <v>1</v>
      </c>
      <c r="H3670">
        <v>0</v>
      </c>
      <c r="I3670" s="12" t="s">
        <v>157</v>
      </c>
      <c r="J3670" s="12" t="s">
        <v>158</v>
      </c>
      <c r="K3670" s="12" t="s">
        <v>117</v>
      </c>
      <c r="L3670" s="12" t="s">
        <v>96</v>
      </c>
      <c r="M3670">
        <v>4.72</v>
      </c>
      <c r="N3670" s="12" t="s">
        <v>145</v>
      </c>
      <c r="O3670" s="12" t="s">
        <v>146</v>
      </c>
      <c r="P3670" s="12" t="s">
        <v>109</v>
      </c>
      <c r="Q3670" s="13">
        <v>45586</v>
      </c>
      <c r="R3670" s="13">
        <v>45599</v>
      </c>
      <c r="S3670">
        <v>2024</v>
      </c>
      <c r="T3670" s="12" t="s">
        <v>4461</v>
      </c>
      <c r="U3670">
        <v>21</v>
      </c>
      <c r="V3670">
        <v>184.24529999999999</v>
      </c>
      <c r="W3670">
        <v>90.74</v>
      </c>
      <c r="X3670">
        <v>0</v>
      </c>
      <c r="Y3670">
        <v>0</v>
      </c>
      <c r="Z3670">
        <v>3869.15</v>
      </c>
      <c r="AA3670">
        <v>3959.89</v>
      </c>
      <c r="AB3670" s="12" t="s">
        <v>2676</v>
      </c>
      <c r="AC3670">
        <v>184.24529999999999</v>
      </c>
      <c r="AD3670">
        <v>1</v>
      </c>
      <c r="AE3670">
        <v>1</v>
      </c>
      <c r="AF3670">
        <v>0</v>
      </c>
      <c r="AG3670">
        <v>3869.15</v>
      </c>
      <c r="AH3670">
        <v>21</v>
      </c>
      <c r="AI3670">
        <v>21</v>
      </c>
      <c r="AJ3670">
        <v>0</v>
      </c>
      <c r="AK3670">
        <v>1</v>
      </c>
      <c r="AL3670">
        <v>1</v>
      </c>
      <c r="AM3670">
        <v>100</v>
      </c>
      <c r="AN3670">
        <v>188.56630000000001</v>
      </c>
      <c r="AO3670">
        <v>0</v>
      </c>
      <c r="AP3670" s="13">
        <v>45595</v>
      </c>
      <c r="AQ3670">
        <v>-4</v>
      </c>
      <c r="AR3670">
        <v>1</v>
      </c>
    </row>
    <row r="3671" spans="1:44" x14ac:dyDescent="0.35">
      <c r="A3671" s="12" t="s">
        <v>4590</v>
      </c>
      <c r="B3671" s="12" t="s">
        <v>1179</v>
      </c>
      <c r="C3671" s="12" t="s">
        <v>1180</v>
      </c>
      <c r="D3671" s="12" t="s">
        <v>122</v>
      </c>
      <c r="E3671" s="12" t="s">
        <v>142</v>
      </c>
      <c r="F3671">
        <v>1</v>
      </c>
      <c r="G3671">
        <v>8</v>
      </c>
      <c r="H3671">
        <v>1</v>
      </c>
      <c r="I3671" s="12" t="s">
        <v>143</v>
      </c>
      <c r="J3671" s="12" t="s">
        <v>144</v>
      </c>
      <c r="K3671" s="12" t="s">
        <v>133</v>
      </c>
      <c r="L3671" s="12" t="s">
        <v>96</v>
      </c>
      <c r="M3671">
        <v>5.43</v>
      </c>
      <c r="N3671" s="12" t="s">
        <v>70</v>
      </c>
      <c r="O3671" s="12" t="s">
        <v>71</v>
      </c>
      <c r="P3671" s="12" t="s">
        <v>72</v>
      </c>
      <c r="Q3671" s="13">
        <v>45586</v>
      </c>
      <c r="R3671" s="13">
        <v>45621</v>
      </c>
      <c r="S3671">
        <v>2024</v>
      </c>
      <c r="T3671" s="12" t="s">
        <v>4461</v>
      </c>
      <c r="U3671">
        <v>243</v>
      </c>
      <c r="V3671">
        <v>52.441499999999998</v>
      </c>
      <c r="W3671">
        <v>328.2</v>
      </c>
      <c r="X3671">
        <v>0</v>
      </c>
      <c r="Y3671">
        <v>0</v>
      </c>
      <c r="Z3671">
        <v>12743.28</v>
      </c>
      <c r="AA3671">
        <v>13071.48</v>
      </c>
      <c r="AB3671" s="12" t="s">
        <v>3049</v>
      </c>
      <c r="AC3671">
        <v>52.441499999999998</v>
      </c>
      <c r="AD3671">
        <v>1</v>
      </c>
      <c r="AE3671">
        <v>1</v>
      </c>
      <c r="AF3671">
        <v>0</v>
      </c>
      <c r="AG3671">
        <v>12743.28</v>
      </c>
      <c r="AH3671">
        <v>243</v>
      </c>
      <c r="AI3671">
        <v>242</v>
      </c>
      <c r="AJ3671">
        <v>1</v>
      </c>
      <c r="AK3671">
        <v>1</v>
      </c>
      <c r="AL3671">
        <v>1</v>
      </c>
      <c r="AM3671">
        <v>99.59</v>
      </c>
      <c r="AN3671">
        <v>54.014400000000002</v>
      </c>
      <c r="AO3671">
        <v>52.44</v>
      </c>
      <c r="AP3671" s="13">
        <v>45621</v>
      </c>
      <c r="AQ3671">
        <v>0</v>
      </c>
      <c r="AR3671">
        <v>1</v>
      </c>
    </row>
    <row r="3672" spans="1:44" x14ac:dyDescent="0.35">
      <c r="A3672" s="12" t="s">
        <v>4591</v>
      </c>
      <c r="B3672" s="12" t="s">
        <v>494</v>
      </c>
      <c r="C3672" s="12" t="s">
        <v>495</v>
      </c>
      <c r="D3672" s="12" t="s">
        <v>175</v>
      </c>
      <c r="E3672" s="12" t="s">
        <v>65</v>
      </c>
      <c r="F3672">
        <v>2</v>
      </c>
      <c r="G3672">
        <v>3</v>
      </c>
      <c r="H3672">
        <v>0</v>
      </c>
      <c r="I3672" s="12" t="s">
        <v>515</v>
      </c>
      <c r="J3672" s="12" t="s">
        <v>516</v>
      </c>
      <c r="K3672" s="12" t="s">
        <v>68</v>
      </c>
      <c r="L3672" s="12" t="s">
        <v>134</v>
      </c>
      <c r="M3672">
        <v>3.69</v>
      </c>
      <c r="N3672" s="12" t="s">
        <v>145</v>
      </c>
      <c r="O3672" s="12" t="s">
        <v>146</v>
      </c>
      <c r="P3672" s="12" t="s">
        <v>109</v>
      </c>
      <c r="Q3672" s="13">
        <v>45586</v>
      </c>
      <c r="R3672" s="13">
        <v>45620</v>
      </c>
      <c r="S3672">
        <v>2024</v>
      </c>
      <c r="T3672" s="12" t="s">
        <v>4461</v>
      </c>
      <c r="U3672">
        <v>112</v>
      </c>
      <c r="V3672">
        <v>157.60329999999999</v>
      </c>
      <c r="W3672">
        <v>414.18</v>
      </c>
      <c r="X3672">
        <v>0</v>
      </c>
      <c r="Y3672">
        <v>0</v>
      </c>
      <c r="Z3672">
        <v>17651.57</v>
      </c>
      <c r="AA3672">
        <v>18065.75</v>
      </c>
      <c r="AB3672" s="12" t="s">
        <v>2807</v>
      </c>
      <c r="AC3672">
        <v>157.60329999999999</v>
      </c>
      <c r="AD3672">
        <v>1</v>
      </c>
      <c r="AE3672">
        <v>1</v>
      </c>
      <c r="AF3672">
        <v>0</v>
      </c>
      <c r="AG3672">
        <v>17651.57</v>
      </c>
      <c r="AH3672">
        <v>112</v>
      </c>
      <c r="AI3672">
        <v>112</v>
      </c>
      <c r="AJ3672">
        <v>0</v>
      </c>
      <c r="AK3672">
        <v>1</v>
      </c>
      <c r="AL3672">
        <v>1</v>
      </c>
      <c r="AM3672">
        <v>100</v>
      </c>
      <c r="AN3672">
        <v>161.3013</v>
      </c>
      <c r="AO3672">
        <v>0</v>
      </c>
      <c r="AP3672" s="13">
        <v>45618</v>
      </c>
      <c r="AQ3672">
        <v>-2</v>
      </c>
      <c r="AR3672">
        <v>1</v>
      </c>
    </row>
    <row r="3673" spans="1:44" x14ac:dyDescent="0.35">
      <c r="A3673" s="12" t="s">
        <v>4592</v>
      </c>
      <c r="B3673" s="12" t="s">
        <v>509</v>
      </c>
      <c r="C3673" s="12" t="s">
        <v>510</v>
      </c>
      <c r="D3673" s="12" t="s">
        <v>78</v>
      </c>
      <c r="E3673" s="12" t="s">
        <v>142</v>
      </c>
      <c r="F3673">
        <v>3</v>
      </c>
      <c r="G3673">
        <v>11</v>
      </c>
      <c r="H3673">
        <v>0</v>
      </c>
      <c r="I3673" s="12" t="s">
        <v>176</v>
      </c>
      <c r="J3673" s="12" t="s">
        <v>177</v>
      </c>
      <c r="K3673" s="12" t="s">
        <v>125</v>
      </c>
      <c r="L3673" s="12" t="s">
        <v>134</v>
      </c>
      <c r="M3673">
        <v>1.75</v>
      </c>
      <c r="N3673" s="12" t="s">
        <v>70</v>
      </c>
      <c r="O3673" s="12" t="s">
        <v>71</v>
      </c>
      <c r="P3673" s="12" t="s">
        <v>72</v>
      </c>
      <c r="Q3673" s="13">
        <v>45586</v>
      </c>
      <c r="R3673" s="13">
        <v>45634</v>
      </c>
      <c r="S3673">
        <v>2024</v>
      </c>
      <c r="T3673" s="12" t="s">
        <v>4461</v>
      </c>
      <c r="U3673">
        <v>235</v>
      </c>
      <c r="V3673">
        <v>146.1661</v>
      </c>
      <c r="W3673">
        <v>240.82</v>
      </c>
      <c r="X3673">
        <v>0</v>
      </c>
      <c r="Y3673">
        <v>0</v>
      </c>
      <c r="Z3673">
        <v>34349.03</v>
      </c>
      <c r="AA3673">
        <v>34589.85</v>
      </c>
      <c r="AB3673" s="12" t="s">
        <v>201</v>
      </c>
      <c r="AD3673">
        <v>0</v>
      </c>
      <c r="AE3673">
        <v>0</v>
      </c>
      <c r="AH3673">
        <v>235</v>
      </c>
      <c r="AI3673">
        <v>229</v>
      </c>
      <c r="AJ3673">
        <v>6</v>
      </c>
      <c r="AK3673">
        <v>1</v>
      </c>
      <c r="AL3673">
        <v>1</v>
      </c>
      <c r="AM3673">
        <v>97.45</v>
      </c>
      <c r="AN3673">
        <v>151.04740000000001</v>
      </c>
      <c r="AO3673">
        <v>877</v>
      </c>
      <c r="AP3673" s="13">
        <v>45632</v>
      </c>
      <c r="AQ3673">
        <v>-2</v>
      </c>
      <c r="AR3673">
        <v>1</v>
      </c>
    </row>
    <row r="3674" spans="1:44" x14ac:dyDescent="0.35">
      <c r="A3674" s="12" t="s">
        <v>4593</v>
      </c>
      <c r="B3674" s="12" t="s">
        <v>76</v>
      </c>
      <c r="C3674" s="12" t="s">
        <v>77</v>
      </c>
      <c r="D3674" s="12" t="s">
        <v>78</v>
      </c>
      <c r="E3674" s="12" t="s">
        <v>65</v>
      </c>
      <c r="F3674">
        <v>2</v>
      </c>
      <c r="G3674">
        <v>4</v>
      </c>
      <c r="H3674">
        <v>0</v>
      </c>
      <c r="I3674" s="12" t="s">
        <v>79</v>
      </c>
      <c r="J3674" s="12" t="s">
        <v>80</v>
      </c>
      <c r="K3674" s="12" t="s">
        <v>81</v>
      </c>
      <c r="L3674" s="12" t="s">
        <v>82</v>
      </c>
      <c r="M3674">
        <v>12.07</v>
      </c>
      <c r="N3674" s="12" t="s">
        <v>70</v>
      </c>
      <c r="O3674" s="12" t="s">
        <v>71</v>
      </c>
      <c r="P3674" s="12" t="s">
        <v>72</v>
      </c>
      <c r="Q3674" s="13">
        <v>45587</v>
      </c>
      <c r="R3674" s="13">
        <v>45617</v>
      </c>
      <c r="S3674">
        <v>2024</v>
      </c>
      <c r="T3674" s="12" t="s">
        <v>4461</v>
      </c>
      <c r="U3674">
        <v>178</v>
      </c>
      <c r="V3674">
        <v>45.034100000000002</v>
      </c>
      <c r="W3674">
        <v>131.31</v>
      </c>
      <c r="X3674">
        <v>246.43</v>
      </c>
      <c r="Y3674">
        <v>1</v>
      </c>
      <c r="Z3674">
        <v>8016.07</v>
      </c>
      <c r="AA3674">
        <v>8393.81</v>
      </c>
      <c r="AB3674" s="12" t="s">
        <v>2672</v>
      </c>
      <c r="AC3674">
        <v>45.034100000000002</v>
      </c>
      <c r="AD3674">
        <v>1</v>
      </c>
      <c r="AE3674">
        <v>1</v>
      </c>
      <c r="AF3674">
        <v>0</v>
      </c>
      <c r="AG3674">
        <v>8016.07</v>
      </c>
      <c r="AH3674">
        <v>178</v>
      </c>
      <c r="AI3674">
        <v>177</v>
      </c>
      <c r="AJ3674">
        <v>1</v>
      </c>
      <c r="AK3674">
        <v>1</v>
      </c>
      <c r="AL3674">
        <v>1</v>
      </c>
      <c r="AM3674">
        <v>99.44</v>
      </c>
      <c r="AN3674">
        <v>47.422699999999999</v>
      </c>
      <c r="AO3674">
        <v>45.03</v>
      </c>
      <c r="AP3674" s="13">
        <v>45622</v>
      </c>
      <c r="AQ3674">
        <v>5</v>
      </c>
      <c r="AR3674">
        <v>0</v>
      </c>
    </row>
    <row r="3675" spans="1:44" x14ac:dyDescent="0.35">
      <c r="A3675" s="12" t="s">
        <v>4594</v>
      </c>
      <c r="B3675" s="12" t="s">
        <v>465</v>
      </c>
      <c r="C3675" s="12" t="s">
        <v>466</v>
      </c>
      <c r="D3675" s="12" t="s">
        <v>78</v>
      </c>
      <c r="E3675" s="12" t="s">
        <v>142</v>
      </c>
      <c r="F3675">
        <v>3</v>
      </c>
      <c r="G3675">
        <v>11</v>
      </c>
      <c r="H3675">
        <v>0</v>
      </c>
      <c r="I3675" s="12" t="s">
        <v>195</v>
      </c>
      <c r="J3675" s="12" t="s">
        <v>196</v>
      </c>
      <c r="K3675" s="12" t="s">
        <v>117</v>
      </c>
      <c r="L3675" s="12" t="s">
        <v>134</v>
      </c>
      <c r="M3675">
        <v>4.7699999999999996</v>
      </c>
      <c r="N3675" s="12" t="s">
        <v>97</v>
      </c>
      <c r="O3675" s="12" t="s">
        <v>98</v>
      </c>
      <c r="P3675" s="12" t="s">
        <v>72</v>
      </c>
      <c r="Q3675" s="13">
        <v>45587</v>
      </c>
      <c r="R3675" s="13">
        <v>45630</v>
      </c>
      <c r="S3675">
        <v>2024</v>
      </c>
      <c r="T3675" s="12" t="s">
        <v>4461</v>
      </c>
      <c r="U3675">
        <v>158</v>
      </c>
      <c r="V3675">
        <v>107.81189999999999</v>
      </c>
      <c r="W3675">
        <v>372.36</v>
      </c>
      <c r="X3675">
        <v>0</v>
      </c>
      <c r="Y3675">
        <v>0</v>
      </c>
      <c r="Z3675">
        <v>17034.28</v>
      </c>
      <c r="AA3675">
        <v>17406.64</v>
      </c>
      <c r="AB3675" s="12" t="s">
        <v>3058</v>
      </c>
      <c r="AC3675">
        <v>107.81189999999999</v>
      </c>
      <c r="AD3675">
        <v>1</v>
      </c>
      <c r="AE3675">
        <v>1</v>
      </c>
      <c r="AF3675">
        <v>0</v>
      </c>
      <c r="AG3675">
        <v>17034.28</v>
      </c>
      <c r="AH3675">
        <v>158</v>
      </c>
      <c r="AI3675">
        <v>155</v>
      </c>
      <c r="AJ3675">
        <v>3</v>
      </c>
      <c r="AK3675">
        <v>1</v>
      </c>
      <c r="AL3675">
        <v>1</v>
      </c>
      <c r="AM3675">
        <v>98.1</v>
      </c>
      <c r="AN3675">
        <v>112.3009</v>
      </c>
      <c r="AO3675">
        <v>323.44</v>
      </c>
      <c r="AP3675" s="13">
        <v>45636</v>
      </c>
      <c r="AQ3675">
        <v>6</v>
      </c>
      <c r="AR3675">
        <v>0</v>
      </c>
    </row>
    <row r="3676" spans="1:44" x14ac:dyDescent="0.35">
      <c r="A3676" s="12" t="s">
        <v>4595</v>
      </c>
      <c r="B3676" s="12" t="s">
        <v>694</v>
      </c>
      <c r="C3676" s="12" t="s">
        <v>695</v>
      </c>
      <c r="D3676" s="12" t="s">
        <v>103</v>
      </c>
      <c r="E3676" s="12" t="s">
        <v>65</v>
      </c>
      <c r="F3676">
        <v>2</v>
      </c>
      <c r="G3676">
        <v>3</v>
      </c>
      <c r="H3676">
        <v>0</v>
      </c>
      <c r="I3676" s="12" t="s">
        <v>94</v>
      </c>
      <c r="J3676" s="12" t="s">
        <v>95</v>
      </c>
      <c r="K3676" s="12" t="s">
        <v>81</v>
      </c>
      <c r="L3676" s="12" t="s">
        <v>96</v>
      </c>
      <c r="M3676">
        <v>4.8099999999999996</v>
      </c>
      <c r="N3676" s="12" t="s">
        <v>145</v>
      </c>
      <c r="O3676" s="12" t="s">
        <v>146</v>
      </c>
      <c r="P3676" s="12" t="s">
        <v>109</v>
      </c>
      <c r="Q3676" s="13">
        <v>45587</v>
      </c>
      <c r="R3676" s="13">
        <v>45614</v>
      </c>
      <c r="S3676">
        <v>2024</v>
      </c>
      <c r="T3676" s="12" t="s">
        <v>4461</v>
      </c>
      <c r="U3676">
        <v>58</v>
      </c>
      <c r="V3676">
        <v>213.56809999999999</v>
      </c>
      <c r="W3676">
        <v>142.65</v>
      </c>
      <c r="X3676">
        <v>0</v>
      </c>
      <c r="Y3676">
        <v>0</v>
      </c>
      <c r="Z3676">
        <v>12386.95</v>
      </c>
      <c r="AA3676">
        <v>12529.6</v>
      </c>
      <c r="AB3676" s="12" t="s">
        <v>4394</v>
      </c>
      <c r="AC3676">
        <v>213.56809999999999</v>
      </c>
      <c r="AD3676">
        <v>1</v>
      </c>
      <c r="AE3676">
        <v>1</v>
      </c>
      <c r="AF3676">
        <v>0</v>
      </c>
      <c r="AG3676">
        <v>12386.95</v>
      </c>
      <c r="AH3676">
        <v>58</v>
      </c>
      <c r="AI3676">
        <v>57</v>
      </c>
      <c r="AJ3676">
        <v>1</v>
      </c>
      <c r="AK3676">
        <v>1</v>
      </c>
      <c r="AL3676">
        <v>1</v>
      </c>
      <c r="AM3676">
        <v>98.28</v>
      </c>
      <c r="AN3676">
        <v>219.8175</v>
      </c>
      <c r="AO3676">
        <v>213.57</v>
      </c>
      <c r="AP3676" s="13">
        <v>45614</v>
      </c>
      <c r="AQ3676">
        <v>0</v>
      </c>
      <c r="AR3676">
        <v>1</v>
      </c>
    </row>
    <row r="3677" spans="1:44" x14ac:dyDescent="0.35">
      <c r="A3677" s="12" t="s">
        <v>4596</v>
      </c>
      <c r="B3677" s="12" t="s">
        <v>598</v>
      </c>
      <c r="C3677" s="12" t="s">
        <v>599</v>
      </c>
      <c r="D3677" s="12" t="s">
        <v>269</v>
      </c>
      <c r="E3677" s="12" t="s">
        <v>65</v>
      </c>
      <c r="F3677">
        <v>1</v>
      </c>
      <c r="G3677">
        <v>2</v>
      </c>
      <c r="H3677">
        <v>1</v>
      </c>
      <c r="I3677" s="12" t="s">
        <v>176</v>
      </c>
      <c r="J3677" s="12" t="s">
        <v>177</v>
      </c>
      <c r="K3677" s="12" t="s">
        <v>125</v>
      </c>
      <c r="L3677" s="12" t="s">
        <v>134</v>
      </c>
      <c r="M3677">
        <v>1.75</v>
      </c>
      <c r="N3677" s="12" t="s">
        <v>159</v>
      </c>
      <c r="O3677" s="12" t="s">
        <v>160</v>
      </c>
      <c r="P3677" s="12" t="s">
        <v>137</v>
      </c>
      <c r="Q3677" s="13">
        <v>45587</v>
      </c>
      <c r="R3677" s="13">
        <v>45623</v>
      </c>
      <c r="S3677">
        <v>2024</v>
      </c>
      <c r="T3677" s="12" t="s">
        <v>4461</v>
      </c>
      <c r="U3677">
        <v>128</v>
      </c>
      <c r="V3677">
        <v>454.53089999999997</v>
      </c>
      <c r="W3677">
        <v>567.16</v>
      </c>
      <c r="X3677">
        <v>0</v>
      </c>
      <c r="Y3677">
        <v>0</v>
      </c>
      <c r="Z3677">
        <v>58179.96</v>
      </c>
      <c r="AA3677">
        <v>58747.12</v>
      </c>
      <c r="AB3677" s="12" t="s">
        <v>3102</v>
      </c>
      <c r="AC3677">
        <v>454.53089999999997</v>
      </c>
      <c r="AD3677">
        <v>1</v>
      </c>
      <c r="AE3677">
        <v>1</v>
      </c>
      <c r="AF3677">
        <v>0</v>
      </c>
      <c r="AG3677">
        <v>58179.96</v>
      </c>
      <c r="AH3677">
        <v>128</v>
      </c>
      <c r="AI3677">
        <v>127</v>
      </c>
      <c r="AJ3677">
        <v>1</v>
      </c>
      <c r="AK3677">
        <v>1</v>
      </c>
      <c r="AL3677">
        <v>1</v>
      </c>
      <c r="AM3677">
        <v>99.22</v>
      </c>
      <c r="AN3677">
        <v>462.57569999999998</v>
      </c>
      <c r="AO3677">
        <v>454.53</v>
      </c>
      <c r="AP3677" s="13">
        <v>45622</v>
      </c>
      <c r="AQ3677">
        <v>-1</v>
      </c>
      <c r="AR3677">
        <v>1</v>
      </c>
    </row>
    <row r="3678" spans="1:44" x14ac:dyDescent="0.35">
      <c r="A3678" s="12" t="s">
        <v>4597</v>
      </c>
      <c r="B3678" s="12" t="s">
        <v>519</v>
      </c>
      <c r="C3678" s="12" t="s">
        <v>520</v>
      </c>
      <c r="D3678" s="12" t="s">
        <v>78</v>
      </c>
      <c r="E3678" s="12" t="s">
        <v>65</v>
      </c>
      <c r="F3678">
        <v>2</v>
      </c>
      <c r="G3678">
        <v>3</v>
      </c>
      <c r="H3678">
        <v>0</v>
      </c>
      <c r="I3678" s="12" t="s">
        <v>66</v>
      </c>
      <c r="J3678" s="12" t="s">
        <v>67</v>
      </c>
      <c r="K3678" s="12" t="s">
        <v>68</v>
      </c>
      <c r="L3678" s="12" t="s">
        <v>69</v>
      </c>
      <c r="M3678">
        <v>17.66</v>
      </c>
      <c r="N3678" s="12" t="s">
        <v>97</v>
      </c>
      <c r="O3678" s="12" t="s">
        <v>98</v>
      </c>
      <c r="P3678" s="12" t="s">
        <v>72</v>
      </c>
      <c r="Q3678" s="13">
        <v>45587</v>
      </c>
      <c r="R3678" s="13">
        <v>45619</v>
      </c>
      <c r="S3678">
        <v>2024</v>
      </c>
      <c r="T3678" s="12" t="s">
        <v>4461</v>
      </c>
      <c r="U3678">
        <v>203</v>
      </c>
      <c r="V3678">
        <v>37.845799999999997</v>
      </c>
      <c r="W3678">
        <v>191.82</v>
      </c>
      <c r="X3678">
        <v>0</v>
      </c>
      <c r="Y3678">
        <v>0</v>
      </c>
      <c r="Z3678">
        <v>7682.7</v>
      </c>
      <c r="AA3678">
        <v>7874.52</v>
      </c>
      <c r="AB3678" s="12" t="s">
        <v>201</v>
      </c>
      <c r="AD3678">
        <v>0</v>
      </c>
      <c r="AE3678">
        <v>0</v>
      </c>
      <c r="AH3678">
        <v>203</v>
      </c>
      <c r="AI3678">
        <v>199</v>
      </c>
      <c r="AJ3678">
        <v>4</v>
      </c>
      <c r="AK3678">
        <v>1</v>
      </c>
      <c r="AL3678">
        <v>1</v>
      </c>
      <c r="AM3678">
        <v>98.03</v>
      </c>
      <c r="AN3678">
        <v>39.570399999999999</v>
      </c>
      <c r="AO3678">
        <v>151.38</v>
      </c>
      <c r="AP3678" s="13">
        <v>45618</v>
      </c>
      <c r="AQ3678">
        <v>-1</v>
      </c>
      <c r="AR3678">
        <v>1</v>
      </c>
    </row>
    <row r="3679" spans="1:44" x14ac:dyDescent="0.35">
      <c r="A3679" s="12" t="s">
        <v>4598</v>
      </c>
      <c r="B3679" s="12" t="s">
        <v>657</v>
      </c>
      <c r="C3679" s="12" t="s">
        <v>658</v>
      </c>
      <c r="D3679" s="12" t="s">
        <v>175</v>
      </c>
      <c r="E3679" s="12" t="s">
        <v>65</v>
      </c>
      <c r="F3679">
        <v>1</v>
      </c>
      <c r="G3679">
        <v>2</v>
      </c>
      <c r="H3679">
        <v>1</v>
      </c>
      <c r="I3679" s="12" t="s">
        <v>183</v>
      </c>
      <c r="J3679" s="12" t="s">
        <v>184</v>
      </c>
      <c r="K3679" s="12" t="s">
        <v>133</v>
      </c>
      <c r="L3679" s="12" t="s">
        <v>82</v>
      </c>
      <c r="M3679">
        <v>8.6199999999999992</v>
      </c>
      <c r="N3679" s="12" t="s">
        <v>107</v>
      </c>
      <c r="O3679" s="12" t="s">
        <v>108</v>
      </c>
      <c r="P3679" s="12" t="s">
        <v>109</v>
      </c>
      <c r="Q3679" s="13">
        <v>45587</v>
      </c>
      <c r="R3679" s="13">
        <v>45617</v>
      </c>
      <c r="S3679">
        <v>2024</v>
      </c>
      <c r="T3679" s="12" t="s">
        <v>4461</v>
      </c>
      <c r="U3679">
        <v>84</v>
      </c>
      <c r="V3679">
        <v>149.10310000000001</v>
      </c>
      <c r="W3679">
        <v>114.83</v>
      </c>
      <c r="X3679">
        <v>0</v>
      </c>
      <c r="Y3679">
        <v>0</v>
      </c>
      <c r="Z3679">
        <v>12524.66</v>
      </c>
      <c r="AA3679">
        <v>12639.49</v>
      </c>
      <c r="AB3679" s="12" t="s">
        <v>3525</v>
      </c>
      <c r="AC3679">
        <v>149.10310000000001</v>
      </c>
      <c r="AD3679">
        <v>1</v>
      </c>
      <c r="AE3679">
        <v>1</v>
      </c>
      <c r="AF3679">
        <v>0</v>
      </c>
      <c r="AG3679">
        <v>12524.66</v>
      </c>
      <c r="AH3679">
        <v>84</v>
      </c>
      <c r="AI3679">
        <v>83</v>
      </c>
      <c r="AJ3679">
        <v>1</v>
      </c>
      <c r="AK3679">
        <v>1</v>
      </c>
      <c r="AL3679">
        <v>1</v>
      </c>
      <c r="AM3679">
        <v>98.81</v>
      </c>
      <c r="AN3679">
        <v>152.28299999999999</v>
      </c>
      <c r="AO3679">
        <v>149.1</v>
      </c>
      <c r="AP3679" s="13">
        <v>45621</v>
      </c>
      <c r="AQ3679">
        <v>4</v>
      </c>
      <c r="AR3679">
        <v>0</v>
      </c>
    </row>
    <row r="3680" spans="1:44" x14ac:dyDescent="0.35">
      <c r="A3680" s="12" t="s">
        <v>4599</v>
      </c>
      <c r="B3680" s="12" t="s">
        <v>661</v>
      </c>
      <c r="C3680" s="12" t="s">
        <v>662</v>
      </c>
      <c r="D3680" s="12" t="s">
        <v>175</v>
      </c>
      <c r="E3680" s="12" t="s">
        <v>104</v>
      </c>
      <c r="F3680">
        <v>1</v>
      </c>
      <c r="G3680">
        <v>0</v>
      </c>
      <c r="H3680">
        <v>1</v>
      </c>
      <c r="I3680" s="12" t="s">
        <v>183</v>
      </c>
      <c r="J3680" s="12" t="s">
        <v>184</v>
      </c>
      <c r="K3680" s="12" t="s">
        <v>133</v>
      </c>
      <c r="L3680" s="12" t="s">
        <v>82</v>
      </c>
      <c r="M3680">
        <v>8.6199999999999992</v>
      </c>
      <c r="N3680" s="12" t="s">
        <v>107</v>
      </c>
      <c r="O3680" s="12" t="s">
        <v>108</v>
      </c>
      <c r="P3680" s="12" t="s">
        <v>109</v>
      </c>
      <c r="Q3680" s="13">
        <v>45587</v>
      </c>
      <c r="R3680" s="13">
        <v>45603</v>
      </c>
      <c r="S3680">
        <v>2024</v>
      </c>
      <c r="T3680" s="12" t="s">
        <v>4461</v>
      </c>
      <c r="U3680">
        <v>45</v>
      </c>
      <c r="V3680">
        <v>180.0376</v>
      </c>
      <c r="W3680">
        <v>98.11</v>
      </c>
      <c r="X3680">
        <v>0</v>
      </c>
      <c r="Y3680">
        <v>0</v>
      </c>
      <c r="Z3680">
        <v>8101.69</v>
      </c>
      <c r="AA3680">
        <v>8199.7999999999993</v>
      </c>
      <c r="AB3680" s="12" t="s">
        <v>2851</v>
      </c>
      <c r="AC3680">
        <v>180.0376</v>
      </c>
      <c r="AD3680">
        <v>1</v>
      </c>
      <c r="AE3680">
        <v>1</v>
      </c>
      <c r="AF3680">
        <v>0</v>
      </c>
      <c r="AG3680">
        <v>8101.69</v>
      </c>
      <c r="AH3680">
        <v>45</v>
      </c>
      <c r="AI3680">
        <v>44</v>
      </c>
      <c r="AJ3680">
        <v>1</v>
      </c>
      <c r="AK3680">
        <v>1</v>
      </c>
      <c r="AL3680">
        <v>1</v>
      </c>
      <c r="AM3680">
        <v>97.78</v>
      </c>
      <c r="AN3680">
        <v>186.35910000000001</v>
      </c>
      <c r="AO3680">
        <v>180.04</v>
      </c>
      <c r="AP3680" s="13">
        <v>45604</v>
      </c>
      <c r="AQ3680">
        <v>1</v>
      </c>
      <c r="AR3680">
        <v>0</v>
      </c>
    </row>
    <row r="3681" spans="1:44" x14ac:dyDescent="0.35">
      <c r="A3681" s="12" t="s">
        <v>4600</v>
      </c>
      <c r="B3681" s="12" t="s">
        <v>837</v>
      </c>
      <c r="C3681" s="12" t="s">
        <v>838</v>
      </c>
      <c r="D3681" s="12" t="s">
        <v>114</v>
      </c>
      <c r="E3681" s="12" t="s">
        <v>104</v>
      </c>
      <c r="F3681">
        <v>2</v>
      </c>
      <c r="G3681">
        <v>0</v>
      </c>
      <c r="H3681">
        <v>0</v>
      </c>
      <c r="I3681" s="12" t="s">
        <v>199</v>
      </c>
      <c r="J3681" s="12" t="s">
        <v>200</v>
      </c>
      <c r="K3681" s="12" t="s">
        <v>68</v>
      </c>
      <c r="L3681" s="12" t="s">
        <v>96</v>
      </c>
      <c r="M3681">
        <v>9.4700000000000006</v>
      </c>
      <c r="N3681" s="12" t="s">
        <v>70</v>
      </c>
      <c r="O3681" s="12" t="s">
        <v>71</v>
      </c>
      <c r="P3681" s="12" t="s">
        <v>72</v>
      </c>
      <c r="Q3681" s="13">
        <v>45588</v>
      </c>
      <c r="R3681" s="13">
        <v>45606</v>
      </c>
      <c r="S3681">
        <v>2024</v>
      </c>
      <c r="T3681" s="12" t="s">
        <v>4461</v>
      </c>
      <c r="U3681">
        <v>62</v>
      </c>
      <c r="V3681">
        <v>68.916300000000007</v>
      </c>
      <c r="W3681">
        <v>97.66</v>
      </c>
      <c r="X3681">
        <v>0</v>
      </c>
      <c r="Y3681">
        <v>0</v>
      </c>
      <c r="Z3681">
        <v>4272.8100000000004</v>
      </c>
      <c r="AA3681">
        <v>4370.47</v>
      </c>
      <c r="AB3681" s="12" t="s">
        <v>3432</v>
      </c>
      <c r="AC3681">
        <v>68.916300000000007</v>
      </c>
      <c r="AD3681">
        <v>1</v>
      </c>
      <c r="AE3681">
        <v>1</v>
      </c>
      <c r="AF3681">
        <v>0</v>
      </c>
      <c r="AG3681">
        <v>4272.8100000000004</v>
      </c>
      <c r="AH3681">
        <v>62</v>
      </c>
      <c r="AI3681">
        <v>61</v>
      </c>
      <c r="AJ3681">
        <v>1</v>
      </c>
      <c r="AK3681">
        <v>1</v>
      </c>
      <c r="AL3681">
        <v>1</v>
      </c>
      <c r="AM3681">
        <v>98.39</v>
      </c>
      <c r="AN3681">
        <v>71.647099999999995</v>
      </c>
      <c r="AO3681">
        <v>68.92</v>
      </c>
      <c r="AP3681" s="13">
        <v>45606</v>
      </c>
      <c r="AQ3681">
        <v>0</v>
      </c>
      <c r="AR3681">
        <v>1</v>
      </c>
    </row>
    <row r="3682" spans="1:44" x14ac:dyDescent="0.35">
      <c r="A3682" s="12" t="s">
        <v>4601</v>
      </c>
      <c r="B3682" s="12" t="s">
        <v>149</v>
      </c>
      <c r="C3682" s="12" t="s">
        <v>150</v>
      </c>
      <c r="D3682" s="12" t="s">
        <v>78</v>
      </c>
      <c r="E3682" s="12" t="s">
        <v>65</v>
      </c>
      <c r="F3682">
        <v>2</v>
      </c>
      <c r="G3682">
        <v>2</v>
      </c>
      <c r="H3682">
        <v>0</v>
      </c>
      <c r="I3682" s="12" t="s">
        <v>151</v>
      </c>
      <c r="J3682" s="12" t="s">
        <v>152</v>
      </c>
      <c r="K3682" s="12" t="s">
        <v>125</v>
      </c>
      <c r="L3682" s="12" t="s">
        <v>69</v>
      </c>
      <c r="M3682">
        <v>36.479999999999997</v>
      </c>
      <c r="N3682" s="12" t="s">
        <v>97</v>
      </c>
      <c r="O3682" s="12" t="s">
        <v>98</v>
      </c>
      <c r="P3682" s="12" t="s">
        <v>72</v>
      </c>
      <c r="Q3682" s="13">
        <v>45588</v>
      </c>
      <c r="R3682" s="13">
        <v>45618</v>
      </c>
      <c r="S3682">
        <v>2024</v>
      </c>
      <c r="T3682" s="12" t="s">
        <v>4461</v>
      </c>
      <c r="U3682">
        <v>179</v>
      </c>
      <c r="V3682">
        <v>70.838700000000003</v>
      </c>
      <c r="W3682">
        <v>208.92</v>
      </c>
      <c r="X3682">
        <v>0</v>
      </c>
      <c r="Y3682">
        <v>0</v>
      </c>
      <c r="Z3682">
        <v>12680.13</v>
      </c>
      <c r="AA3682">
        <v>12889.05</v>
      </c>
      <c r="AB3682" s="12" t="s">
        <v>2546</v>
      </c>
      <c r="AC3682">
        <v>70.838700000000003</v>
      </c>
      <c r="AD3682">
        <v>1</v>
      </c>
      <c r="AE3682">
        <v>1</v>
      </c>
      <c r="AF3682">
        <v>0</v>
      </c>
      <c r="AG3682">
        <v>12680.13</v>
      </c>
      <c r="AH3682">
        <v>179</v>
      </c>
      <c r="AI3682">
        <v>177</v>
      </c>
      <c r="AJ3682">
        <v>2</v>
      </c>
      <c r="AK3682">
        <v>1</v>
      </c>
      <c r="AL3682">
        <v>1</v>
      </c>
      <c r="AM3682">
        <v>98.88</v>
      </c>
      <c r="AN3682">
        <v>72.819500000000005</v>
      </c>
      <c r="AO3682">
        <v>141.68</v>
      </c>
      <c r="AP3682" s="13">
        <v>45618</v>
      </c>
      <c r="AQ3682">
        <v>0</v>
      </c>
      <c r="AR3682">
        <v>1</v>
      </c>
    </row>
    <row r="3683" spans="1:44" x14ac:dyDescent="0.35">
      <c r="A3683" s="12" t="s">
        <v>4602</v>
      </c>
      <c r="B3683" s="12" t="s">
        <v>706</v>
      </c>
      <c r="C3683" s="12" t="s">
        <v>707</v>
      </c>
      <c r="D3683" s="12" t="s">
        <v>130</v>
      </c>
      <c r="E3683" s="12" t="s">
        <v>142</v>
      </c>
      <c r="F3683">
        <v>1</v>
      </c>
      <c r="G3683">
        <v>8</v>
      </c>
      <c r="H3683">
        <v>1</v>
      </c>
      <c r="I3683" s="12" t="s">
        <v>263</v>
      </c>
      <c r="J3683" s="12" t="s">
        <v>264</v>
      </c>
      <c r="K3683" s="12" t="s">
        <v>125</v>
      </c>
      <c r="L3683" s="12" t="s">
        <v>82</v>
      </c>
      <c r="M3683">
        <v>10.210000000000001</v>
      </c>
      <c r="N3683" s="12" t="s">
        <v>135</v>
      </c>
      <c r="O3683" s="12" t="s">
        <v>136</v>
      </c>
      <c r="P3683" s="12" t="s">
        <v>137</v>
      </c>
      <c r="Q3683" s="13">
        <v>45588</v>
      </c>
      <c r="R3683" s="13">
        <v>45629</v>
      </c>
      <c r="S3683">
        <v>2024</v>
      </c>
      <c r="T3683" s="12" t="s">
        <v>4461</v>
      </c>
      <c r="U3683">
        <v>60</v>
      </c>
      <c r="V3683">
        <v>283.38940000000002</v>
      </c>
      <c r="W3683">
        <v>136.1</v>
      </c>
      <c r="X3683">
        <v>0</v>
      </c>
      <c r="Y3683">
        <v>0</v>
      </c>
      <c r="Z3683">
        <v>17003.36</v>
      </c>
      <c r="AA3683">
        <v>17139.46</v>
      </c>
      <c r="AB3683" s="12" t="s">
        <v>3434</v>
      </c>
      <c r="AC3683">
        <v>277.214</v>
      </c>
      <c r="AD3683">
        <v>1</v>
      </c>
      <c r="AE3683">
        <v>1</v>
      </c>
      <c r="AF3683">
        <v>370.52</v>
      </c>
      <c r="AG3683">
        <v>16632.84</v>
      </c>
      <c r="AH3683">
        <v>60</v>
      </c>
      <c r="AI3683">
        <v>59</v>
      </c>
      <c r="AJ3683">
        <v>1</v>
      </c>
      <c r="AK3683">
        <v>1</v>
      </c>
      <c r="AL3683">
        <v>1</v>
      </c>
      <c r="AM3683">
        <v>98.33</v>
      </c>
      <c r="AN3683">
        <v>290.49939999999998</v>
      </c>
      <c r="AO3683">
        <v>283.39</v>
      </c>
      <c r="AP3683" s="13">
        <v>45634</v>
      </c>
      <c r="AQ3683">
        <v>5</v>
      </c>
      <c r="AR3683">
        <v>0</v>
      </c>
    </row>
    <row r="3684" spans="1:44" x14ac:dyDescent="0.35">
      <c r="A3684" s="12" t="s">
        <v>4603</v>
      </c>
      <c r="B3684" s="12" t="s">
        <v>1034</v>
      </c>
      <c r="C3684" s="12" t="s">
        <v>1035</v>
      </c>
      <c r="D3684" s="12" t="s">
        <v>64</v>
      </c>
      <c r="E3684" s="12" t="s">
        <v>104</v>
      </c>
      <c r="F3684">
        <v>2</v>
      </c>
      <c r="G3684">
        <v>0</v>
      </c>
      <c r="H3684">
        <v>0</v>
      </c>
      <c r="I3684" s="12" t="s">
        <v>157</v>
      </c>
      <c r="J3684" s="12" t="s">
        <v>158</v>
      </c>
      <c r="K3684" s="12" t="s">
        <v>117</v>
      </c>
      <c r="L3684" s="12" t="s">
        <v>96</v>
      </c>
      <c r="M3684">
        <v>4.72</v>
      </c>
      <c r="N3684" s="12" t="s">
        <v>70</v>
      </c>
      <c r="O3684" s="12" t="s">
        <v>71</v>
      </c>
      <c r="P3684" s="12" t="s">
        <v>72</v>
      </c>
      <c r="Q3684" s="13">
        <v>45588</v>
      </c>
      <c r="R3684" s="13">
        <v>45613</v>
      </c>
      <c r="S3684">
        <v>2024</v>
      </c>
      <c r="T3684" s="12" t="s">
        <v>4461</v>
      </c>
      <c r="U3684">
        <v>778</v>
      </c>
      <c r="V3684">
        <v>9.2698</v>
      </c>
      <c r="W3684">
        <v>183.61</v>
      </c>
      <c r="X3684">
        <v>0</v>
      </c>
      <c r="Y3684">
        <v>0</v>
      </c>
      <c r="Z3684">
        <v>7211.9</v>
      </c>
      <c r="AA3684">
        <v>7395.51</v>
      </c>
      <c r="AB3684" s="12" t="s">
        <v>3309</v>
      </c>
      <c r="AC3684">
        <v>9.2698</v>
      </c>
      <c r="AD3684">
        <v>1</v>
      </c>
      <c r="AE3684">
        <v>1</v>
      </c>
      <c r="AF3684">
        <v>0</v>
      </c>
      <c r="AG3684">
        <v>7211.9</v>
      </c>
      <c r="AH3684">
        <v>778</v>
      </c>
      <c r="AI3684">
        <v>766</v>
      </c>
      <c r="AJ3684">
        <v>12</v>
      </c>
      <c r="AK3684">
        <v>1</v>
      </c>
      <c r="AL3684">
        <v>1</v>
      </c>
      <c r="AM3684">
        <v>98.46</v>
      </c>
      <c r="AN3684">
        <v>9.6547000000000001</v>
      </c>
      <c r="AO3684">
        <v>111.24</v>
      </c>
      <c r="AP3684" s="13">
        <v>45611</v>
      </c>
      <c r="AQ3684">
        <v>-2</v>
      </c>
      <c r="AR3684">
        <v>1</v>
      </c>
    </row>
    <row r="3685" spans="1:44" x14ac:dyDescent="0.35">
      <c r="A3685" s="12" t="s">
        <v>4604</v>
      </c>
      <c r="B3685" s="12" t="s">
        <v>843</v>
      </c>
      <c r="C3685" s="12" t="s">
        <v>844</v>
      </c>
      <c r="D3685" s="12" t="s">
        <v>175</v>
      </c>
      <c r="E3685" s="12" t="s">
        <v>65</v>
      </c>
      <c r="F3685">
        <v>3</v>
      </c>
      <c r="G3685">
        <v>5</v>
      </c>
      <c r="H3685">
        <v>0</v>
      </c>
      <c r="I3685" s="12" t="s">
        <v>359</v>
      </c>
      <c r="J3685" s="12" t="s">
        <v>360</v>
      </c>
      <c r="K3685" s="12" t="s">
        <v>133</v>
      </c>
      <c r="L3685" s="12" t="s">
        <v>82</v>
      </c>
      <c r="M3685">
        <v>12.65</v>
      </c>
      <c r="N3685" s="12" t="s">
        <v>145</v>
      </c>
      <c r="O3685" s="12" t="s">
        <v>146</v>
      </c>
      <c r="P3685" s="12" t="s">
        <v>109</v>
      </c>
      <c r="Q3685" s="13">
        <v>45588</v>
      </c>
      <c r="R3685" s="13">
        <v>45618</v>
      </c>
      <c r="S3685">
        <v>2024</v>
      </c>
      <c r="T3685" s="12" t="s">
        <v>4461</v>
      </c>
      <c r="U3685">
        <v>81</v>
      </c>
      <c r="V3685">
        <v>251.77279999999999</v>
      </c>
      <c r="W3685">
        <v>338.86</v>
      </c>
      <c r="X3685">
        <v>0</v>
      </c>
      <c r="Y3685">
        <v>0</v>
      </c>
      <c r="Z3685">
        <v>20393.599999999999</v>
      </c>
      <c r="AA3685">
        <v>20732.46</v>
      </c>
      <c r="AB3685" s="12" t="s">
        <v>3324</v>
      </c>
      <c r="AC3685">
        <v>251.77279999999999</v>
      </c>
      <c r="AD3685">
        <v>1</v>
      </c>
      <c r="AE3685">
        <v>1</v>
      </c>
      <c r="AF3685">
        <v>0</v>
      </c>
      <c r="AG3685">
        <v>20393.599999999999</v>
      </c>
      <c r="AH3685">
        <v>81</v>
      </c>
      <c r="AI3685">
        <v>80</v>
      </c>
      <c r="AJ3685">
        <v>1</v>
      </c>
      <c r="AK3685">
        <v>1</v>
      </c>
      <c r="AL3685">
        <v>1</v>
      </c>
      <c r="AM3685">
        <v>98.77</v>
      </c>
      <c r="AN3685">
        <v>259.15570000000002</v>
      </c>
      <c r="AO3685">
        <v>251.77</v>
      </c>
      <c r="AP3685" s="13">
        <v>45617</v>
      </c>
      <c r="AQ3685">
        <v>-1</v>
      </c>
      <c r="AR3685">
        <v>1</v>
      </c>
    </row>
    <row r="3686" spans="1:44" x14ac:dyDescent="0.35">
      <c r="A3686" s="12" t="s">
        <v>4605</v>
      </c>
      <c r="B3686" s="12" t="s">
        <v>848</v>
      </c>
      <c r="C3686" s="12" t="s">
        <v>849</v>
      </c>
      <c r="D3686" s="12" t="s">
        <v>103</v>
      </c>
      <c r="E3686" s="12" t="s">
        <v>65</v>
      </c>
      <c r="F3686">
        <v>2</v>
      </c>
      <c r="G3686">
        <v>4</v>
      </c>
      <c r="H3686">
        <v>0</v>
      </c>
      <c r="I3686" s="12" t="s">
        <v>87</v>
      </c>
      <c r="J3686" s="12" t="s">
        <v>88</v>
      </c>
      <c r="K3686" s="12" t="s">
        <v>89</v>
      </c>
      <c r="L3686" s="12" t="s">
        <v>69</v>
      </c>
      <c r="M3686">
        <v>14.93</v>
      </c>
      <c r="N3686" s="12" t="s">
        <v>145</v>
      </c>
      <c r="O3686" s="12" t="s">
        <v>146</v>
      </c>
      <c r="P3686" s="12" t="s">
        <v>109</v>
      </c>
      <c r="Q3686" s="13">
        <v>45588</v>
      </c>
      <c r="R3686" s="13">
        <v>45623</v>
      </c>
      <c r="S3686">
        <v>2024</v>
      </c>
      <c r="T3686" s="12" t="s">
        <v>4461</v>
      </c>
      <c r="U3686">
        <v>124</v>
      </c>
      <c r="V3686">
        <v>114.05719999999999</v>
      </c>
      <c r="W3686">
        <v>180.58</v>
      </c>
      <c r="X3686">
        <v>0</v>
      </c>
      <c r="Y3686">
        <v>0</v>
      </c>
      <c r="Z3686">
        <v>14143.09</v>
      </c>
      <c r="AA3686">
        <v>14323.67</v>
      </c>
      <c r="AB3686" s="12" t="s">
        <v>3680</v>
      </c>
      <c r="AC3686">
        <v>121.1635</v>
      </c>
      <c r="AD3686">
        <v>1</v>
      </c>
      <c r="AE3686">
        <v>1</v>
      </c>
      <c r="AF3686">
        <v>-881.18</v>
      </c>
      <c r="AG3686">
        <v>15024.27</v>
      </c>
      <c r="AH3686">
        <v>124</v>
      </c>
      <c r="AI3686">
        <v>123</v>
      </c>
      <c r="AJ3686">
        <v>1</v>
      </c>
      <c r="AK3686">
        <v>1</v>
      </c>
      <c r="AL3686">
        <v>1</v>
      </c>
      <c r="AM3686">
        <v>99.19</v>
      </c>
      <c r="AN3686">
        <v>116.4526</v>
      </c>
      <c r="AO3686">
        <v>114.06</v>
      </c>
      <c r="AP3686" s="13">
        <v>45621</v>
      </c>
      <c r="AQ3686">
        <v>-2</v>
      </c>
      <c r="AR3686">
        <v>1</v>
      </c>
    </row>
    <row r="3687" spans="1:44" x14ac:dyDescent="0.35">
      <c r="A3687" s="12" t="s">
        <v>4606</v>
      </c>
      <c r="B3687" s="12" t="s">
        <v>284</v>
      </c>
      <c r="C3687" s="12" t="s">
        <v>285</v>
      </c>
      <c r="D3687" s="12" t="s">
        <v>269</v>
      </c>
      <c r="E3687" s="12" t="s">
        <v>104</v>
      </c>
      <c r="F3687">
        <v>3</v>
      </c>
      <c r="G3687">
        <v>1</v>
      </c>
      <c r="H3687">
        <v>0</v>
      </c>
      <c r="I3687" s="12" t="s">
        <v>199</v>
      </c>
      <c r="J3687" s="12" t="s">
        <v>200</v>
      </c>
      <c r="K3687" s="12" t="s">
        <v>68</v>
      </c>
      <c r="L3687" s="12" t="s">
        <v>96</v>
      </c>
      <c r="M3687">
        <v>9.4700000000000006</v>
      </c>
      <c r="N3687" s="12" t="s">
        <v>135</v>
      </c>
      <c r="O3687" s="12" t="s">
        <v>136</v>
      </c>
      <c r="P3687" s="12" t="s">
        <v>137</v>
      </c>
      <c r="Q3687" s="13">
        <v>45588</v>
      </c>
      <c r="R3687" s="13">
        <v>45615</v>
      </c>
      <c r="S3687">
        <v>2024</v>
      </c>
      <c r="T3687" s="12" t="s">
        <v>4461</v>
      </c>
      <c r="U3687">
        <v>128</v>
      </c>
      <c r="V3687">
        <v>379.9357</v>
      </c>
      <c r="W3687">
        <v>1046.8699999999999</v>
      </c>
      <c r="X3687">
        <v>0</v>
      </c>
      <c r="Y3687">
        <v>0</v>
      </c>
      <c r="Z3687">
        <v>48631.77</v>
      </c>
      <c r="AA3687">
        <v>49678.64</v>
      </c>
      <c r="AB3687" s="12" t="s">
        <v>201</v>
      </c>
      <c r="AD3687">
        <v>0</v>
      </c>
      <c r="AE3687">
        <v>0</v>
      </c>
      <c r="AH3687">
        <v>128</v>
      </c>
      <c r="AI3687">
        <v>127</v>
      </c>
      <c r="AJ3687">
        <v>1</v>
      </c>
      <c r="AK3687">
        <v>1</v>
      </c>
      <c r="AL3687">
        <v>1</v>
      </c>
      <c r="AM3687">
        <v>99.22</v>
      </c>
      <c r="AN3687">
        <v>391.17039999999997</v>
      </c>
      <c r="AO3687">
        <v>379.94</v>
      </c>
      <c r="AP3687" s="13">
        <v>45615</v>
      </c>
      <c r="AQ3687">
        <v>0</v>
      </c>
      <c r="AR3687">
        <v>1</v>
      </c>
    </row>
    <row r="3688" spans="1:44" x14ac:dyDescent="0.35">
      <c r="A3688" s="12" t="s">
        <v>4607</v>
      </c>
      <c r="B3688" s="12" t="s">
        <v>621</v>
      </c>
      <c r="C3688" s="12" t="s">
        <v>622</v>
      </c>
      <c r="D3688" s="12" t="s">
        <v>103</v>
      </c>
      <c r="E3688" s="12" t="s">
        <v>65</v>
      </c>
      <c r="F3688">
        <v>1</v>
      </c>
      <c r="G3688">
        <v>2</v>
      </c>
      <c r="H3688">
        <v>1</v>
      </c>
      <c r="I3688" s="12" t="s">
        <v>486</v>
      </c>
      <c r="J3688" s="12" t="s">
        <v>487</v>
      </c>
      <c r="K3688" s="12" t="s">
        <v>125</v>
      </c>
      <c r="L3688" s="12" t="s">
        <v>69</v>
      </c>
      <c r="M3688">
        <v>36.86</v>
      </c>
      <c r="N3688" s="12" t="s">
        <v>145</v>
      </c>
      <c r="O3688" s="12" t="s">
        <v>146</v>
      </c>
      <c r="P3688" s="12" t="s">
        <v>109</v>
      </c>
      <c r="Q3688" s="13">
        <v>45588</v>
      </c>
      <c r="R3688" s="13">
        <v>45625</v>
      </c>
      <c r="S3688">
        <v>2024</v>
      </c>
      <c r="T3688" s="12" t="s">
        <v>4461</v>
      </c>
      <c r="U3688">
        <v>135</v>
      </c>
      <c r="V3688">
        <v>201.08609999999999</v>
      </c>
      <c r="W3688">
        <v>224.98</v>
      </c>
      <c r="X3688">
        <v>0</v>
      </c>
      <c r="Y3688">
        <v>0</v>
      </c>
      <c r="Z3688">
        <v>27146.62</v>
      </c>
      <c r="AA3688">
        <v>27371.599999999999</v>
      </c>
      <c r="AB3688" s="12" t="s">
        <v>2658</v>
      </c>
      <c r="AC3688">
        <v>201.08609999999999</v>
      </c>
      <c r="AD3688">
        <v>1</v>
      </c>
      <c r="AE3688">
        <v>1</v>
      </c>
      <c r="AF3688">
        <v>0</v>
      </c>
      <c r="AG3688">
        <v>27146.62</v>
      </c>
      <c r="AH3688">
        <v>135</v>
      </c>
      <c r="AI3688">
        <v>135</v>
      </c>
      <c r="AJ3688">
        <v>0</v>
      </c>
      <c r="AK3688">
        <v>1</v>
      </c>
      <c r="AL3688">
        <v>1</v>
      </c>
      <c r="AM3688">
        <v>100</v>
      </c>
      <c r="AN3688">
        <v>202.7526</v>
      </c>
      <c r="AO3688">
        <v>0</v>
      </c>
      <c r="AP3688" s="13">
        <v>45624</v>
      </c>
      <c r="AQ3688">
        <v>-1</v>
      </c>
      <c r="AR3688">
        <v>1</v>
      </c>
    </row>
    <row r="3689" spans="1:44" x14ac:dyDescent="0.35">
      <c r="A3689" s="12" t="s">
        <v>4608</v>
      </c>
      <c r="B3689" s="12" t="s">
        <v>362</v>
      </c>
      <c r="C3689" s="12" t="s">
        <v>363</v>
      </c>
      <c r="D3689" s="12" t="s">
        <v>78</v>
      </c>
      <c r="E3689" s="12" t="s">
        <v>104</v>
      </c>
      <c r="F3689">
        <v>3</v>
      </c>
      <c r="G3689">
        <v>0</v>
      </c>
      <c r="H3689">
        <v>0</v>
      </c>
      <c r="I3689" s="12" t="s">
        <v>157</v>
      </c>
      <c r="J3689" s="12" t="s">
        <v>158</v>
      </c>
      <c r="K3689" s="12" t="s">
        <v>117</v>
      </c>
      <c r="L3689" s="12" t="s">
        <v>96</v>
      </c>
      <c r="M3689">
        <v>4.72</v>
      </c>
      <c r="N3689" s="12" t="s">
        <v>70</v>
      </c>
      <c r="O3689" s="12" t="s">
        <v>71</v>
      </c>
      <c r="P3689" s="12" t="s">
        <v>72</v>
      </c>
      <c r="Q3689" s="13">
        <v>45588</v>
      </c>
      <c r="R3689" s="13">
        <v>45600</v>
      </c>
      <c r="S3689">
        <v>2024</v>
      </c>
      <c r="T3689" s="12" t="s">
        <v>4461</v>
      </c>
      <c r="U3689">
        <v>50</v>
      </c>
      <c r="V3689">
        <v>59.830500000000001</v>
      </c>
      <c r="W3689">
        <v>70.41</v>
      </c>
      <c r="X3689">
        <v>0</v>
      </c>
      <c r="Y3689">
        <v>0</v>
      </c>
      <c r="Z3689">
        <v>2991.53</v>
      </c>
      <c r="AA3689">
        <v>3061.94</v>
      </c>
      <c r="AB3689" s="12" t="s">
        <v>3185</v>
      </c>
      <c r="AC3689">
        <v>59.830500000000001</v>
      </c>
      <c r="AD3689">
        <v>1</v>
      </c>
      <c r="AE3689">
        <v>1</v>
      </c>
      <c r="AF3689">
        <v>0</v>
      </c>
      <c r="AG3689">
        <v>2991.53</v>
      </c>
      <c r="AH3689">
        <v>50</v>
      </c>
      <c r="AI3689">
        <v>49</v>
      </c>
      <c r="AJ3689">
        <v>1</v>
      </c>
      <c r="AK3689">
        <v>1</v>
      </c>
      <c r="AL3689">
        <v>1</v>
      </c>
      <c r="AM3689">
        <v>98</v>
      </c>
      <c r="AN3689">
        <v>62.488500000000002</v>
      </c>
      <c r="AO3689">
        <v>59.83</v>
      </c>
      <c r="AP3689" s="13">
        <v>45597</v>
      </c>
      <c r="AQ3689">
        <v>-3</v>
      </c>
      <c r="AR3689">
        <v>1</v>
      </c>
    </row>
    <row r="3690" spans="1:44" x14ac:dyDescent="0.35">
      <c r="A3690" s="12" t="s">
        <v>4609</v>
      </c>
      <c r="B3690" s="12" t="s">
        <v>494</v>
      </c>
      <c r="C3690" s="12" t="s">
        <v>495</v>
      </c>
      <c r="D3690" s="12" t="s">
        <v>175</v>
      </c>
      <c r="E3690" s="12" t="s">
        <v>65</v>
      </c>
      <c r="F3690">
        <v>2</v>
      </c>
      <c r="G3690">
        <v>3</v>
      </c>
      <c r="H3690">
        <v>0</v>
      </c>
      <c r="I3690" s="12" t="s">
        <v>515</v>
      </c>
      <c r="J3690" s="12" t="s">
        <v>516</v>
      </c>
      <c r="K3690" s="12" t="s">
        <v>68</v>
      </c>
      <c r="L3690" s="12" t="s">
        <v>134</v>
      </c>
      <c r="M3690">
        <v>3.69</v>
      </c>
      <c r="N3690" s="12" t="s">
        <v>145</v>
      </c>
      <c r="O3690" s="12" t="s">
        <v>146</v>
      </c>
      <c r="P3690" s="12" t="s">
        <v>109</v>
      </c>
      <c r="Q3690" s="13">
        <v>45588</v>
      </c>
      <c r="R3690" s="13">
        <v>45624</v>
      </c>
      <c r="S3690">
        <v>2024</v>
      </c>
      <c r="T3690" s="12" t="s">
        <v>4461</v>
      </c>
      <c r="U3690">
        <v>129</v>
      </c>
      <c r="V3690">
        <v>157.60329999999999</v>
      </c>
      <c r="W3690">
        <v>449.65</v>
      </c>
      <c r="X3690">
        <v>637.77</v>
      </c>
      <c r="Y3690">
        <v>1</v>
      </c>
      <c r="Z3690">
        <v>20330.830000000002</v>
      </c>
      <c r="AA3690">
        <v>21418.25</v>
      </c>
      <c r="AB3690" s="12" t="s">
        <v>2807</v>
      </c>
      <c r="AC3690">
        <v>157.60329999999999</v>
      </c>
      <c r="AD3690">
        <v>1</v>
      </c>
      <c r="AE3690">
        <v>1</v>
      </c>
      <c r="AF3690">
        <v>0</v>
      </c>
      <c r="AG3690">
        <v>20330.830000000002</v>
      </c>
      <c r="AH3690">
        <v>129</v>
      </c>
      <c r="AI3690">
        <v>128</v>
      </c>
      <c r="AJ3690">
        <v>1</v>
      </c>
      <c r="AK3690">
        <v>1</v>
      </c>
      <c r="AL3690">
        <v>1</v>
      </c>
      <c r="AM3690">
        <v>99.22</v>
      </c>
      <c r="AN3690">
        <v>167.33</v>
      </c>
      <c r="AO3690">
        <v>157.6</v>
      </c>
      <c r="AP3690" s="13">
        <v>45621</v>
      </c>
      <c r="AQ3690">
        <v>-3</v>
      </c>
      <c r="AR3690">
        <v>1</v>
      </c>
    </row>
    <row r="3691" spans="1:44" x14ac:dyDescent="0.35">
      <c r="A3691" s="12" t="s">
        <v>4610</v>
      </c>
      <c r="B3691" s="12" t="s">
        <v>587</v>
      </c>
      <c r="C3691" s="12" t="s">
        <v>588</v>
      </c>
      <c r="D3691" s="12" t="s">
        <v>122</v>
      </c>
      <c r="E3691" s="12" t="s">
        <v>104</v>
      </c>
      <c r="F3691">
        <v>2</v>
      </c>
      <c r="G3691">
        <v>0</v>
      </c>
      <c r="H3691">
        <v>0</v>
      </c>
      <c r="I3691" s="12" t="s">
        <v>486</v>
      </c>
      <c r="J3691" s="12" t="s">
        <v>487</v>
      </c>
      <c r="K3691" s="12" t="s">
        <v>125</v>
      </c>
      <c r="L3691" s="12" t="s">
        <v>69</v>
      </c>
      <c r="M3691">
        <v>36.86</v>
      </c>
      <c r="N3691" s="12" t="s">
        <v>97</v>
      </c>
      <c r="O3691" s="12" t="s">
        <v>98</v>
      </c>
      <c r="P3691" s="12" t="s">
        <v>72</v>
      </c>
      <c r="Q3691" s="13">
        <v>45588</v>
      </c>
      <c r="R3691" s="13">
        <v>45615</v>
      </c>
      <c r="S3691">
        <v>2024</v>
      </c>
      <c r="T3691" s="12" t="s">
        <v>4461</v>
      </c>
      <c r="U3691">
        <v>1725</v>
      </c>
      <c r="V3691">
        <v>11.9803</v>
      </c>
      <c r="W3691">
        <v>129.33000000000001</v>
      </c>
      <c r="X3691">
        <v>0</v>
      </c>
      <c r="Y3691">
        <v>0</v>
      </c>
      <c r="Z3691">
        <v>20666.02</v>
      </c>
      <c r="AA3691">
        <v>20795.349999999999</v>
      </c>
      <c r="AB3691" s="12" t="s">
        <v>3188</v>
      </c>
      <c r="AC3691">
        <v>11.9803</v>
      </c>
      <c r="AD3691">
        <v>1</v>
      </c>
      <c r="AE3691">
        <v>1</v>
      </c>
      <c r="AF3691">
        <v>0</v>
      </c>
      <c r="AG3691">
        <v>20666.02</v>
      </c>
      <c r="AH3691">
        <v>1725</v>
      </c>
      <c r="AI3691">
        <v>1717</v>
      </c>
      <c r="AJ3691">
        <v>8</v>
      </c>
      <c r="AK3691">
        <v>1</v>
      </c>
      <c r="AL3691">
        <v>1</v>
      </c>
      <c r="AM3691">
        <v>99.54</v>
      </c>
      <c r="AN3691">
        <v>12.1114</v>
      </c>
      <c r="AO3691">
        <v>95.84</v>
      </c>
      <c r="AP3691" s="13">
        <v>45613</v>
      </c>
      <c r="AQ3691">
        <v>-2</v>
      </c>
      <c r="AR3691">
        <v>1</v>
      </c>
    </row>
    <row r="3692" spans="1:44" x14ac:dyDescent="0.35">
      <c r="A3692" s="12" t="s">
        <v>4611</v>
      </c>
      <c r="B3692" s="12" t="s">
        <v>972</v>
      </c>
      <c r="C3692" s="12" t="s">
        <v>973</v>
      </c>
      <c r="D3692" s="12" t="s">
        <v>130</v>
      </c>
      <c r="E3692" s="12" t="s">
        <v>142</v>
      </c>
      <c r="F3692">
        <v>2</v>
      </c>
      <c r="G3692">
        <v>9</v>
      </c>
      <c r="H3692">
        <v>0</v>
      </c>
      <c r="I3692" s="12" t="s">
        <v>676</v>
      </c>
      <c r="J3692" s="12" t="s">
        <v>677</v>
      </c>
      <c r="K3692" s="12" t="s">
        <v>68</v>
      </c>
      <c r="L3692" s="12" t="s">
        <v>96</v>
      </c>
      <c r="M3692">
        <v>3.57</v>
      </c>
      <c r="N3692" s="12" t="s">
        <v>159</v>
      </c>
      <c r="O3692" s="12" t="s">
        <v>160</v>
      </c>
      <c r="P3692" s="12" t="s">
        <v>137</v>
      </c>
      <c r="Q3692" s="13">
        <v>45588</v>
      </c>
      <c r="R3692" s="13">
        <v>45636</v>
      </c>
      <c r="S3692">
        <v>2024</v>
      </c>
      <c r="T3692" s="12" t="s">
        <v>4461</v>
      </c>
      <c r="U3692">
        <v>118</v>
      </c>
      <c r="V3692">
        <v>841.25639999999999</v>
      </c>
      <c r="W3692">
        <v>1506.37</v>
      </c>
      <c r="X3692">
        <v>0</v>
      </c>
      <c r="Y3692">
        <v>0</v>
      </c>
      <c r="Z3692">
        <v>99268.26</v>
      </c>
      <c r="AA3692">
        <v>100774.63</v>
      </c>
      <c r="AB3692" s="12" t="s">
        <v>3546</v>
      </c>
      <c r="AC3692">
        <v>841.25639999999999</v>
      </c>
      <c r="AD3692">
        <v>1</v>
      </c>
      <c r="AE3692">
        <v>1</v>
      </c>
      <c r="AF3692">
        <v>0</v>
      </c>
      <c r="AG3692">
        <v>99268.26</v>
      </c>
      <c r="AH3692">
        <v>118</v>
      </c>
      <c r="AI3692">
        <v>116</v>
      </c>
      <c r="AJ3692">
        <v>2</v>
      </c>
      <c r="AK3692">
        <v>1</v>
      </c>
      <c r="AL3692">
        <v>1</v>
      </c>
      <c r="AM3692">
        <v>98.31</v>
      </c>
      <c r="AN3692">
        <v>868.74680000000001</v>
      </c>
      <c r="AO3692">
        <v>1682.51</v>
      </c>
      <c r="AP3692" s="13">
        <v>45636</v>
      </c>
      <c r="AQ3692">
        <v>0</v>
      </c>
      <c r="AR3692">
        <v>1</v>
      </c>
    </row>
    <row r="3693" spans="1:44" x14ac:dyDescent="0.35">
      <c r="A3693" s="12" t="s">
        <v>4612</v>
      </c>
      <c r="B3693" s="12" t="s">
        <v>792</v>
      </c>
      <c r="C3693" s="12" t="s">
        <v>793</v>
      </c>
      <c r="D3693" s="12" t="s">
        <v>103</v>
      </c>
      <c r="E3693" s="12" t="s">
        <v>65</v>
      </c>
      <c r="F3693">
        <v>2</v>
      </c>
      <c r="G3693">
        <v>3</v>
      </c>
      <c r="H3693">
        <v>0</v>
      </c>
      <c r="I3693" s="12" t="s">
        <v>115</v>
      </c>
      <c r="J3693" s="12" t="s">
        <v>116</v>
      </c>
      <c r="K3693" s="12" t="s">
        <v>117</v>
      </c>
      <c r="L3693" s="12" t="s">
        <v>82</v>
      </c>
      <c r="M3693">
        <v>17.170000000000002</v>
      </c>
      <c r="N3693" s="12" t="s">
        <v>107</v>
      </c>
      <c r="O3693" s="12" t="s">
        <v>108</v>
      </c>
      <c r="P3693" s="12" t="s">
        <v>109</v>
      </c>
      <c r="Q3693" s="13">
        <v>45588</v>
      </c>
      <c r="R3693" s="13">
        <v>45620</v>
      </c>
      <c r="S3693">
        <v>2024</v>
      </c>
      <c r="T3693" s="12" t="s">
        <v>4461</v>
      </c>
      <c r="U3693">
        <v>98</v>
      </c>
      <c r="V3693">
        <v>98.330600000000004</v>
      </c>
      <c r="W3693">
        <v>104.08</v>
      </c>
      <c r="X3693">
        <v>0</v>
      </c>
      <c r="Y3693">
        <v>0</v>
      </c>
      <c r="Z3693">
        <v>9636.4</v>
      </c>
      <c r="AA3693">
        <v>9740.48</v>
      </c>
      <c r="AB3693" s="12" t="s">
        <v>3411</v>
      </c>
      <c r="AC3693">
        <v>98.330600000000004</v>
      </c>
      <c r="AD3693">
        <v>1</v>
      </c>
      <c r="AE3693">
        <v>1</v>
      </c>
      <c r="AF3693">
        <v>0</v>
      </c>
      <c r="AG3693">
        <v>9636.4</v>
      </c>
      <c r="AH3693">
        <v>98</v>
      </c>
      <c r="AI3693">
        <v>98</v>
      </c>
      <c r="AJ3693">
        <v>0</v>
      </c>
      <c r="AK3693">
        <v>1</v>
      </c>
      <c r="AL3693">
        <v>1</v>
      </c>
      <c r="AM3693">
        <v>100</v>
      </c>
      <c r="AN3693">
        <v>99.392600000000002</v>
      </c>
      <c r="AO3693">
        <v>0</v>
      </c>
      <c r="AP3693" s="13">
        <v>45619</v>
      </c>
      <c r="AQ3693">
        <v>-1</v>
      </c>
      <c r="AR3693">
        <v>1</v>
      </c>
    </row>
    <row r="3694" spans="1:44" x14ac:dyDescent="0.35">
      <c r="A3694" s="12" t="s">
        <v>4613</v>
      </c>
      <c r="B3694" s="12" t="s">
        <v>498</v>
      </c>
      <c r="C3694" s="12" t="s">
        <v>499</v>
      </c>
      <c r="D3694" s="12" t="s">
        <v>175</v>
      </c>
      <c r="E3694" s="12" t="s">
        <v>104</v>
      </c>
      <c r="F3694">
        <v>3</v>
      </c>
      <c r="G3694">
        <v>1</v>
      </c>
      <c r="H3694">
        <v>0</v>
      </c>
      <c r="I3694" s="12" t="s">
        <v>676</v>
      </c>
      <c r="J3694" s="12" t="s">
        <v>677</v>
      </c>
      <c r="K3694" s="12" t="s">
        <v>68</v>
      </c>
      <c r="L3694" s="12" t="s">
        <v>96</v>
      </c>
      <c r="M3694">
        <v>3.57</v>
      </c>
      <c r="N3694" s="12" t="s">
        <v>145</v>
      </c>
      <c r="O3694" s="12" t="s">
        <v>146</v>
      </c>
      <c r="P3694" s="12" t="s">
        <v>109</v>
      </c>
      <c r="Q3694" s="13">
        <v>45588</v>
      </c>
      <c r="R3694" s="13">
        <v>45607</v>
      </c>
      <c r="S3694">
        <v>2024</v>
      </c>
      <c r="T3694" s="12" t="s">
        <v>4461</v>
      </c>
      <c r="U3694">
        <v>69</v>
      </c>
      <c r="V3694">
        <v>259.09370000000001</v>
      </c>
      <c r="W3694">
        <v>140.93</v>
      </c>
      <c r="X3694">
        <v>0</v>
      </c>
      <c r="Y3694">
        <v>0</v>
      </c>
      <c r="Z3694">
        <v>17877.47</v>
      </c>
      <c r="AA3694">
        <v>18018.400000000001</v>
      </c>
      <c r="AB3694" s="12" t="s">
        <v>3179</v>
      </c>
      <c r="AC3694">
        <v>259.09370000000001</v>
      </c>
      <c r="AD3694">
        <v>1</v>
      </c>
      <c r="AE3694">
        <v>1</v>
      </c>
      <c r="AF3694">
        <v>0</v>
      </c>
      <c r="AG3694">
        <v>17877.47</v>
      </c>
      <c r="AH3694">
        <v>69</v>
      </c>
      <c r="AI3694">
        <v>69</v>
      </c>
      <c r="AJ3694">
        <v>0</v>
      </c>
      <c r="AK3694">
        <v>1</v>
      </c>
      <c r="AL3694">
        <v>1</v>
      </c>
      <c r="AM3694">
        <v>100</v>
      </c>
      <c r="AN3694">
        <v>261.13619999999997</v>
      </c>
      <c r="AO3694">
        <v>0</v>
      </c>
      <c r="AP3694" s="13">
        <v>45605</v>
      </c>
      <c r="AQ3694">
        <v>-2</v>
      </c>
      <c r="AR3694">
        <v>1</v>
      </c>
    </row>
    <row r="3695" spans="1:44" x14ac:dyDescent="0.35">
      <c r="A3695" s="12" t="s">
        <v>4614</v>
      </c>
      <c r="B3695" s="12" t="s">
        <v>513</v>
      </c>
      <c r="C3695" s="12" t="s">
        <v>514</v>
      </c>
      <c r="D3695" s="12" t="s">
        <v>269</v>
      </c>
      <c r="E3695" s="12" t="s">
        <v>65</v>
      </c>
      <c r="F3695">
        <v>1</v>
      </c>
      <c r="G3695">
        <v>2</v>
      </c>
      <c r="H3695">
        <v>1</v>
      </c>
      <c r="I3695" s="12" t="s">
        <v>515</v>
      </c>
      <c r="J3695" s="12" t="s">
        <v>516</v>
      </c>
      <c r="K3695" s="12" t="s">
        <v>68</v>
      </c>
      <c r="L3695" s="12" t="s">
        <v>134</v>
      </c>
      <c r="M3695">
        <v>3.69</v>
      </c>
      <c r="N3695" s="12" t="s">
        <v>135</v>
      </c>
      <c r="O3695" s="12" t="s">
        <v>136</v>
      </c>
      <c r="P3695" s="12" t="s">
        <v>137</v>
      </c>
      <c r="Q3695" s="13">
        <v>45589</v>
      </c>
      <c r="R3695" s="13">
        <v>45627</v>
      </c>
      <c r="S3695">
        <v>2024</v>
      </c>
      <c r="T3695" s="12" t="s">
        <v>4461</v>
      </c>
      <c r="U3695">
        <v>145</v>
      </c>
      <c r="V3695">
        <v>219.2</v>
      </c>
      <c r="W3695">
        <v>640.15</v>
      </c>
      <c r="X3695">
        <v>0</v>
      </c>
      <c r="Y3695">
        <v>0</v>
      </c>
      <c r="Z3695">
        <v>31784</v>
      </c>
      <c r="AA3695">
        <v>32424.15</v>
      </c>
      <c r="AB3695" s="12" t="s">
        <v>201</v>
      </c>
      <c r="AD3695">
        <v>0</v>
      </c>
      <c r="AE3695">
        <v>0</v>
      </c>
      <c r="AH3695">
        <v>145</v>
      </c>
      <c r="AI3695">
        <v>144</v>
      </c>
      <c r="AJ3695">
        <v>1</v>
      </c>
      <c r="AK3695">
        <v>1</v>
      </c>
      <c r="AL3695">
        <v>1</v>
      </c>
      <c r="AM3695">
        <v>99.31</v>
      </c>
      <c r="AN3695">
        <v>225.1677</v>
      </c>
      <c r="AO3695">
        <v>219.2</v>
      </c>
      <c r="AP3695" s="13">
        <v>45625</v>
      </c>
      <c r="AQ3695">
        <v>-2</v>
      </c>
      <c r="AR3695">
        <v>1</v>
      </c>
    </row>
    <row r="3696" spans="1:44" x14ac:dyDescent="0.35">
      <c r="A3696" s="12" t="s">
        <v>4615</v>
      </c>
      <c r="B3696" s="12" t="s">
        <v>451</v>
      </c>
      <c r="C3696" s="12" t="s">
        <v>452</v>
      </c>
      <c r="D3696" s="12" t="s">
        <v>175</v>
      </c>
      <c r="E3696" s="12" t="s">
        <v>104</v>
      </c>
      <c r="F3696">
        <v>3</v>
      </c>
      <c r="G3696">
        <v>1</v>
      </c>
      <c r="H3696">
        <v>0</v>
      </c>
      <c r="I3696" s="12" t="s">
        <v>176</v>
      </c>
      <c r="J3696" s="12" t="s">
        <v>177</v>
      </c>
      <c r="K3696" s="12" t="s">
        <v>125</v>
      </c>
      <c r="L3696" s="12" t="s">
        <v>134</v>
      </c>
      <c r="M3696">
        <v>1.75</v>
      </c>
      <c r="N3696" s="12" t="s">
        <v>145</v>
      </c>
      <c r="O3696" s="12" t="s">
        <v>146</v>
      </c>
      <c r="P3696" s="12" t="s">
        <v>109</v>
      </c>
      <c r="Q3696" s="13">
        <v>45589</v>
      </c>
      <c r="R3696" s="13">
        <v>45607</v>
      </c>
      <c r="S3696">
        <v>2024</v>
      </c>
      <c r="T3696" s="12" t="s">
        <v>4461</v>
      </c>
      <c r="U3696">
        <v>63</v>
      </c>
      <c r="V3696">
        <v>254.14510000000001</v>
      </c>
      <c r="W3696">
        <v>208.61</v>
      </c>
      <c r="X3696">
        <v>0</v>
      </c>
      <c r="Y3696">
        <v>0</v>
      </c>
      <c r="Z3696">
        <v>16011.14</v>
      </c>
      <c r="AA3696">
        <v>16219.75</v>
      </c>
      <c r="AB3696" s="12" t="s">
        <v>2749</v>
      </c>
      <c r="AC3696">
        <v>254.14510000000001</v>
      </c>
      <c r="AD3696">
        <v>1</v>
      </c>
      <c r="AE3696">
        <v>1</v>
      </c>
      <c r="AF3696">
        <v>0</v>
      </c>
      <c r="AG3696">
        <v>16011.14</v>
      </c>
      <c r="AH3696">
        <v>63</v>
      </c>
      <c r="AI3696">
        <v>63</v>
      </c>
      <c r="AJ3696">
        <v>0</v>
      </c>
      <c r="AK3696">
        <v>1</v>
      </c>
      <c r="AL3696">
        <v>1</v>
      </c>
      <c r="AM3696">
        <v>100</v>
      </c>
      <c r="AN3696">
        <v>257.45639999999997</v>
      </c>
      <c r="AO3696">
        <v>0</v>
      </c>
      <c r="AP3696" s="13">
        <v>45614</v>
      </c>
      <c r="AQ3696">
        <v>7</v>
      </c>
      <c r="AR3696">
        <v>0</v>
      </c>
    </row>
    <row r="3697" spans="1:44" x14ac:dyDescent="0.35">
      <c r="A3697" s="12" t="s">
        <v>4616</v>
      </c>
      <c r="B3697" s="12" t="s">
        <v>823</v>
      </c>
      <c r="C3697" s="12" t="s">
        <v>824</v>
      </c>
      <c r="D3697" s="12" t="s">
        <v>114</v>
      </c>
      <c r="E3697" s="12" t="s">
        <v>142</v>
      </c>
      <c r="F3697">
        <v>1</v>
      </c>
      <c r="G3697">
        <v>8</v>
      </c>
      <c r="H3697">
        <v>1</v>
      </c>
      <c r="I3697" s="12" t="s">
        <v>515</v>
      </c>
      <c r="J3697" s="12" t="s">
        <v>516</v>
      </c>
      <c r="K3697" s="12" t="s">
        <v>68</v>
      </c>
      <c r="L3697" s="12" t="s">
        <v>134</v>
      </c>
      <c r="M3697">
        <v>3.69</v>
      </c>
      <c r="N3697" s="12" t="s">
        <v>70</v>
      </c>
      <c r="O3697" s="12" t="s">
        <v>71</v>
      </c>
      <c r="P3697" s="12" t="s">
        <v>72</v>
      </c>
      <c r="Q3697" s="13">
        <v>45589</v>
      </c>
      <c r="R3697" s="13">
        <v>45634</v>
      </c>
      <c r="S3697">
        <v>2024</v>
      </c>
      <c r="T3697" s="12" t="s">
        <v>4461</v>
      </c>
      <c r="U3697">
        <v>91</v>
      </c>
      <c r="V3697">
        <v>361.71230000000003</v>
      </c>
      <c r="W3697">
        <v>387.44</v>
      </c>
      <c r="X3697">
        <v>0</v>
      </c>
      <c r="Y3697">
        <v>0</v>
      </c>
      <c r="Z3697">
        <v>32915.82</v>
      </c>
      <c r="AA3697">
        <v>33303.26</v>
      </c>
      <c r="AB3697" s="12" t="s">
        <v>3483</v>
      </c>
      <c r="AC3697">
        <v>361.71230000000003</v>
      </c>
      <c r="AD3697">
        <v>1</v>
      </c>
      <c r="AE3697">
        <v>1</v>
      </c>
      <c r="AF3697">
        <v>0</v>
      </c>
      <c r="AG3697">
        <v>32915.82</v>
      </c>
      <c r="AH3697">
        <v>91</v>
      </c>
      <c r="AI3697">
        <v>90</v>
      </c>
      <c r="AJ3697">
        <v>1</v>
      </c>
      <c r="AK3697">
        <v>1</v>
      </c>
      <c r="AL3697">
        <v>1</v>
      </c>
      <c r="AM3697">
        <v>98.9</v>
      </c>
      <c r="AN3697">
        <v>370.03620000000001</v>
      </c>
      <c r="AO3697">
        <v>361.71</v>
      </c>
      <c r="AP3697" s="13">
        <v>45632</v>
      </c>
      <c r="AQ3697">
        <v>-2</v>
      </c>
      <c r="AR3697">
        <v>1</v>
      </c>
    </row>
    <row r="3698" spans="1:44" x14ac:dyDescent="0.35">
      <c r="A3698" s="12" t="s">
        <v>4617</v>
      </c>
      <c r="B3698" s="12" t="s">
        <v>1013</v>
      </c>
      <c r="C3698" s="12" t="s">
        <v>1014</v>
      </c>
      <c r="D3698" s="12" t="s">
        <v>78</v>
      </c>
      <c r="E3698" s="12" t="s">
        <v>65</v>
      </c>
      <c r="F3698">
        <v>2</v>
      </c>
      <c r="G3698">
        <v>3</v>
      </c>
      <c r="H3698">
        <v>0</v>
      </c>
      <c r="I3698" s="12" t="s">
        <v>123</v>
      </c>
      <c r="J3698" s="12" t="s">
        <v>124</v>
      </c>
      <c r="K3698" s="12" t="s">
        <v>125</v>
      </c>
      <c r="L3698" s="12" t="s">
        <v>82</v>
      </c>
      <c r="M3698">
        <v>6.75</v>
      </c>
      <c r="N3698" s="12" t="s">
        <v>97</v>
      </c>
      <c r="O3698" s="12" t="s">
        <v>98</v>
      </c>
      <c r="P3698" s="12" t="s">
        <v>72</v>
      </c>
      <c r="Q3698" s="13">
        <v>45589</v>
      </c>
      <c r="R3698" s="13">
        <v>45625</v>
      </c>
      <c r="S3698">
        <v>2024</v>
      </c>
      <c r="T3698" s="12" t="s">
        <v>4461</v>
      </c>
      <c r="U3698">
        <v>265</v>
      </c>
      <c r="V3698">
        <v>117.8086</v>
      </c>
      <c r="W3698">
        <v>674.35</v>
      </c>
      <c r="X3698">
        <v>0</v>
      </c>
      <c r="Y3698">
        <v>0</v>
      </c>
      <c r="Z3698">
        <v>31219.279999999999</v>
      </c>
      <c r="AA3698">
        <v>31893.63</v>
      </c>
      <c r="AB3698" s="12" t="s">
        <v>3398</v>
      </c>
      <c r="AC3698">
        <v>125.10590000000001</v>
      </c>
      <c r="AD3698">
        <v>1</v>
      </c>
      <c r="AE3698">
        <v>1</v>
      </c>
      <c r="AF3698">
        <v>-1933.78</v>
      </c>
      <c r="AG3698">
        <v>33153.06</v>
      </c>
      <c r="AH3698">
        <v>265</v>
      </c>
      <c r="AI3698">
        <v>262</v>
      </c>
      <c r="AJ3698">
        <v>3</v>
      </c>
      <c r="AK3698">
        <v>1</v>
      </c>
      <c r="AL3698">
        <v>1</v>
      </c>
      <c r="AM3698">
        <v>98.87</v>
      </c>
      <c r="AN3698">
        <v>121.73139999999999</v>
      </c>
      <c r="AO3698">
        <v>353.43</v>
      </c>
      <c r="AP3698" s="13">
        <v>45624</v>
      </c>
      <c r="AQ3698">
        <v>-1</v>
      </c>
      <c r="AR3698">
        <v>1</v>
      </c>
    </row>
    <row r="3699" spans="1:44" x14ac:dyDescent="0.35">
      <c r="A3699" s="12" t="s">
        <v>4618</v>
      </c>
      <c r="B3699" s="12" t="s">
        <v>706</v>
      </c>
      <c r="C3699" s="12" t="s">
        <v>707</v>
      </c>
      <c r="D3699" s="12" t="s">
        <v>130</v>
      </c>
      <c r="E3699" s="12" t="s">
        <v>142</v>
      </c>
      <c r="F3699">
        <v>1</v>
      </c>
      <c r="G3699">
        <v>8</v>
      </c>
      <c r="H3699">
        <v>1</v>
      </c>
      <c r="I3699" s="12" t="s">
        <v>263</v>
      </c>
      <c r="J3699" s="12" t="s">
        <v>264</v>
      </c>
      <c r="K3699" s="12" t="s">
        <v>125</v>
      </c>
      <c r="L3699" s="12" t="s">
        <v>82</v>
      </c>
      <c r="M3699">
        <v>10.210000000000001</v>
      </c>
      <c r="N3699" s="12" t="s">
        <v>159</v>
      </c>
      <c r="O3699" s="12" t="s">
        <v>160</v>
      </c>
      <c r="P3699" s="12" t="s">
        <v>137</v>
      </c>
      <c r="Q3699" s="13">
        <v>45590</v>
      </c>
      <c r="R3699" s="13">
        <v>45640</v>
      </c>
      <c r="S3699">
        <v>2024</v>
      </c>
      <c r="T3699" s="12" t="s">
        <v>4461</v>
      </c>
      <c r="U3699">
        <v>127</v>
      </c>
      <c r="V3699">
        <v>277.214</v>
      </c>
      <c r="W3699">
        <v>376.07</v>
      </c>
      <c r="X3699">
        <v>0</v>
      </c>
      <c r="Y3699">
        <v>0</v>
      </c>
      <c r="Z3699">
        <v>35206.18</v>
      </c>
      <c r="AA3699">
        <v>35582.25</v>
      </c>
      <c r="AB3699" s="12" t="s">
        <v>3434</v>
      </c>
      <c r="AC3699">
        <v>277.214</v>
      </c>
      <c r="AD3699">
        <v>1</v>
      </c>
      <c r="AE3699">
        <v>1</v>
      </c>
      <c r="AF3699">
        <v>0</v>
      </c>
      <c r="AG3699">
        <v>35206.18</v>
      </c>
      <c r="AH3699">
        <v>127</v>
      </c>
      <c r="AI3699">
        <v>125</v>
      </c>
      <c r="AJ3699">
        <v>2</v>
      </c>
      <c r="AK3699">
        <v>1</v>
      </c>
      <c r="AL3699">
        <v>1</v>
      </c>
      <c r="AM3699">
        <v>98.43</v>
      </c>
      <c r="AN3699">
        <v>284.65800000000002</v>
      </c>
      <c r="AO3699">
        <v>554.42999999999995</v>
      </c>
      <c r="AP3699" s="13">
        <v>45638</v>
      </c>
      <c r="AQ3699">
        <v>-2</v>
      </c>
      <c r="AR3699">
        <v>1</v>
      </c>
    </row>
    <row r="3700" spans="1:44" x14ac:dyDescent="0.35">
      <c r="A3700" s="12" t="s">
        <v>4619</v>
      </c>
      <c r="B3700" s="12" t="s">
        <v>437</v>
      </c>
      <c r="C3700" s="12" t="s">
        <v>438</v>
      </c>
      <c r="D3700" s="12" t="s">
        <v>269</v>
      </c>
      <c r="E3700" s="12" t="s">
        <v>65</v>
      </c>
      <c r="F3700">
        <v>2</v>
      </c>
      <c r="G3700">
        <v>4</v>
      </c>
      <c r="H3700">
        <v>0</v>
      </c>
      <c r="I3700" s="12" t="s">
        <v>115</v>
      </c>
      <c r="J3700" s="12" t="s">
        <v>116</v>
      </c>
      <c r="K3700" s="12" t="s">
        <v>117</v>
      </c>
      <c r="L3700" s="12" t="s">
        <v>82</v>
      </c>
      <c r="M3700">
        <v>17.170000000000002</v>
      </c>
      <c r="N3700" s="12" t="s">
        <v>135</v>
      </c>
      <c r="O3700" s="12" t="s">
        <v>136</v>
      </c>
      <c r="P3700" s="12" t="s">
        <v>137</v>
      </c>
      <c r="Q3700" s="13">
        <v>45590</v>
      </c>
      <c r="R3700" s="13">
        <v>45628</v>
      </c>
      <c r="S3700">
        <v>2024</v>
      </c>
      <c r="T3700" s="12" t="s">
        <v>4461</v>
      </c>
      <c r="U3700">
        <v>147</v>
      </c>
      <c r="V3700">
        <v>440.05549999999999</v>
      </c>
      <c r="W3700">
        <v>1522.37</v>
      </c>
      <c r="X3700">
        <v>0</v>
      </c>
      <c r="Y3700">
        <v>0</v>
      </c>
      <c r="Z3700">
        <v>64688.160000000003</v>
      </c>
      <c r="AA3700">
        <v>66210.53</v>
      </c>
      <c r="AB3700" s="12" t="s">
        <v>2670</v>
      </c>
      <c r="AC3700">
        <v>440.05549999999999</v>
      </c>
      <c r="AD3700">
        <v>1</v>
      </c>
      <c r="AE3700">
        <v>1</v>
      </c>
      <c r="AF3700">
        <v>0</v>
      </c>
      <c r="AG3700">
        <v>64688.160000000003</v>
      </c>
      <c r="AH3700">
        <v>147</v>
      </c>
      <c r="AI3700">
        <v>146</v>
      </c>
      <c r="AJ3700">
        <v>1</v>
      </c>
      <c r="AK3700">
        <v>1</v>
      </c>
      <c r="AL3700">
        <v>1</v>
      </c>
      <c r="AM3700">
        <v>99.32</v>
      </c>
      <c r="AN3700">
        <v>453.49680000000001</v>
      </c>
      <c r="AO3700">
        <v>440.06</v>
      </c>
      <c r="AP3700" s="13">
        <v>45628</v>
      </c>
      <c r="AQ3700">
        <v>0</v>
      </c>
      <c r="AR3700">
        <v>1</v>
      </c>
    </row>
    <row r="3701" spans="1:44" x14ac:dyDescent="0.35">
      <c r="A3701" s="12" t="s">
        <v>4620</v>
      </c>
      <c r="B3701" s="12" t="s">
        <v>503</v>
      </c>
      <c r="C3701" s="12" t="s">
        <v>504</v>
      </c>
      <c r="D3701" s="12" t="s">
        <v>103</v>
      </c>
      <c r="E3701" s="12" t="s">
        <v>104</v>
      </c>
      <c r="F3701">
        <v>3</v>
      </c>
      <c r="G3701">
        <v>1</v>
      </c>
      <c r="H3701">
        <v>0</v>
      </c>
      <c r="I3701" s="12" t="s">
        <v>209</v>
      </c>
      <c r="J3701" s="12" t="s">
        <v>210</v>
      </c>
      <c r="K3701" s="12" t="s">
        <v>133</v>
      </c>
      <c r="L3701" s="12" t="s">
        <v>96</v>
      </c>
      <c r="M3701">
        <v>7.82</v>
      </c>
      <c r="N3701" s="12" t="s">
        <v>145</v>
      </c>
      <c r="O3701" s="12" t="s">
        <v>146</v>
      </c>
      <c r="P3701" s="12" t="s">
        <v>109</v>
      </c>
      <c r="Q3701" s="13">
        <v>45590</v>
      </c>
      <c r="R3701" s="13">
        <v>45613</v>
      </c>
      <c r="S3701">
        <v>2024</v>
      </c>
      <c r="T3701" s="12" t="s">
        <v>4461</v>
      </c>
      <c r="U3701">
        <v>99</v>
      </c>
      <c r="V3701">
        <v>156.6559</v>
      </c>
      <c r="W3701">
        <v>302.75</v>
      </c>
      <c r="X3701">
        <v>0</v>
      </c>
      <c r="Y3701">
        <v>0</v>
      </c>
      <c r="Z3701">
        <v>15508.93</v>
      </c>
      <c r="AA3701">
        <v>15811.68</v>
      </c>
      <c r="AB3701" s="12" t="s">
        <v>3083</v>
      </c>
      <c r="AC3701">
        <v>156.6559</v>
      </c>
      <c r="AD3701">
        <v>1</v>
      </c>
      <c r="AE3701">
        <v>1</v>
      </c>
      <c r="AF3701">
        <v>0</v>
      </c>
      <c r="AG3701">
        <v>15508.93</v>
      </c>
      <c r="AH3701">
        <v>99</v>
      </c>
      <c r="AI3701">
        <v>99</v>
      </c>
      <c r="AJ3701">
        <v>0</v>
      </c>
      <c r="AK3701">
        <v>1</v>
      </c>
      <c r="AL3701">
        <v>1</v>
      </c>
      <c r="AM3701">
        <v>100</v>
      </c>
      <c r="AN3701">
        <v>159.714</v>
      </c>
      <c r="AO3701">
        <v>0</v>
      </c>
      <c r="AP3701" s="13">
        <v>45612</v>
      </c>
      <c r="AQ3701">
        <v>-1</v>
      </c>
      <c r="AR3701">
        <v>1</v>
      </c>
    </row>
    <row r="3702" spans="1:44" x14ac:dyDescent="0.35">
      <c r="A3702" s="12" t="s">
        <v>4621</v>
      </c>
      <c r="B3702" s="12" t="s">
        <v>395</v>
      </c>
      <c r="C3702" s="12" t="s">
        <v>396</v>
      </c>
      <c r="D3702" s="12" t="s">
        <v>130</v>
      </c>
      <c r="E3702" s="12" t="s">
        <v>104</v>
      </c>
      <c r="F3702">
        <v>3</v>
      </c>
      <c r="G3702">
        <v>1</v>
      </c>
      <c r="H3702">
        <v>0</v>
      </c>
      <c r="I3702" s="12" t="s">
        <v>341</v>
      </c>
      <c r="J3702" s="12" t="s">
        <v>342</v>
      </c>
      <c r="K3702" s="12" t="s">
        <v>117</v>
      </c>
      <c r="L3702" s="12" t="s">
        <v>82</v>
      </c>
      <c r="M3702">
        <v>18.36</v>
      </c>
      <c r="N3702" s="12" t="s">
        <v>159</v>
      </c>
      <c r="O3702" s="12" t="s">
        <v>160</v>
      </c>
      <c r="P3702" s="12" t="s">
        <v>137</v>
      </c>
      <c r="Q3702" s="13">
        <v>45590</v>
      </c>
      <c r="R3702" s="13">
        <v>45603</v>
      </c>
      <c r="S3702">
        <v>2024</v>
      </c>
      <c r="T3702" s="12" t="s">
        <v>4461</v>
      </c>
      <c r="U3702">
        <v>18</v>
      </c>
      <c r="V3702">
        <v>174.20429999999999</v>
      </c>
      <c r="W3702">
        <v>48.62</v>
      </c>
      <c r="X3702">
        <v>0</v>
      </c>
      <c r="Y3702">
        <v>0</v>
      </c>
      <c r="Z3702">
        <v>3135.68</v>
      </c>
      <c r="AA3702">
        <v>3184.3</v>
      </c>
      <c r="AB3702" s="12" t="s">
        <v>2742</v>
      </c>
      <c r="AC3702">
        <v>174.20429999999999</v>
      </c>
      <c r="AD3702">
        <v>1</v>
      </c>
      <c r="AE3702">
        <v>1</v>
      </c>
      <c r="AF3702">
        <v>0</v>
      </c>
      <c r="AG3702">
        <v>3135.68</v>
      </c>
      <c r="AH3702">
        <v>18</v>
      </c>
      <c r="AI3702">
        <v>18</v>
      </c>
      <c r="AJ3702">
        <v>0</v>
      </c>
      <c r="AK3702">
        <v>1</v>
      </c>
      <c r="AL3702">
        <v>1</v>
      </c>
      <c r="AM3702">
        <v>100</v>
      </c>
      <c r="AN3702">
        <v>176.90539999999999</v>
      </c>
      <c r="AO3702">
        <v>0</v>
      </c>
      <c r="AP3702" s="13">
        <v>45601</v>
      </c>
      <c r="AQ3702">
        <v>-2</v>
      </c>
      <c r="AR3702">
        <v>1</v>
      </c>
    </row>
    <row r="3703" spans="1:44" x14ac:dyDescent="0.35">
      <c r="A3703" s="12" t="s">
        <v>4622</v>
      </c>
      <c r="B3703" s="12" t="s">
        <v>646</v>
      </c>
      <c r="C3703" s="12" t="s">
        <v>647</v>
      </c>
      <c r="D3703" s="12" t="s">
        <v>175</v>
      </c>
      <c r="E3703" s="12" t="s">
        <v>104</v>
      </c>
      <c r="F3703">
        <v>3</v>
      </c>
      <c r="G3703">
        <v>1</v>
      </c>
      <c r="H3703">
        <v>0</v>
      </c>
      <c r="I3703" s="12" t="s">
        <v>227</v>
      </c>
      <c r="J3703" s="12" t="s">
        <v>228</v>
      </c>
      <c r="K3703" s="12" t="s">
        <v>89</v>
      </c>
      <c r="L3703" s="12" t="s">
        <v>96</v>
      </c>
      <c r="M3703">
        <v>9.15</v>
      </c>
      <c r="N3703" s="12" t="s">
        <v>107</v>
      </c>
      <c r="O3703" s="12" t="s">
        <v>108</v>
      </c>
      <c r="P3703" s="12" t="s">
        <v>109</v>
      </c>
      <c r="Q3703" s="13">
        <v>45590</v>
      </c>
      <c r="R3703" s="13">
        <v>45619</v>
      </c>
      <c r="S3703">
        <v>2024</v>
      </c>
      <c r="T3703" s="12" t="s">
        <v>4461</v>
      </c>
      <c r="U3703">
        <v>145</v>
      </c>
      <c r="V3703">
        <v>203.7088</v>
      </c>
      <c r="W3703">
        <v>522.24</v>
      </c>
      <c r="X3703">
        <v>0</v>
      </c>
      <c r="Y3703">
        <v>0</v>
      </c>
      <c r="Z3703">
        <v>29537.78</v>
      </c>
      <c r="AA3703">
        <v>30060.02</v>
      </c>
      <c r="AB3703" s="12" t="s">
        <v>3535</v>
      </c>
      <c r="AC3703">
        <v>203.7088</v>
      </c>
      <c r="AD3703">
        <v>1</v>
      </c>
      <c r="AE3703">
        <v>1</v>
      </c>
      <c r="AF3703">
        <v>0</v>
      </c>
      <c r="AG3703">
        <v>29537.78</v>
      </c>
      <c r="AH3703">
        <v>145</v>
      </c>
      <c r="AI3703">
        <v>143</v>
      </c>
      <c r="AJ3703">
        <v>2</v>
      </c>
      <c r="AK3703">
        <v>1</v>
      </c>
      <c r="AL3703">
        <v>1</v>
      </c>
      <c r="AM3703">
        <v>98.62</v>
      </c>
      <c r="AN3703">
        <v>210.2099</v>
      </c>
      <c r="AO3703">
        <v>407.42</v>
      </c>
      <c r="AP3703" s="13">
        <v>45619</v>
      </c>
      <c r="AQ3703">
        <v>0</v>
      </c>
      <c r="AR3703">
        <v>1</v>
      </c>
    </row>
    <row r="3704" spans="1:44" x14ac:dyDescent="0.35">
      <c r="A3704" s="12" t="s">
        <v>4623</v>
      </c>
      <c r="B3704" s="12" t="s">
        <v>613</v>
      </c>
      <c r="C3704" s="12" t="s">
        <v>614</v>
      </c>
      <c r="D3704" s="12" t="s">
        <v>130</v>
      </c>
      <c r="E3704" s="12" t="s">
        <v>104</v>
      </c>
      <c r="F3704">
        <v>3</v>
      </c>
      <c r="G3704">
        <v>1</v>
      </c>
      <c r="H3704">
        <v>0</v>
      </c>
      <c r="I3704" s="12" t="s">
        <v>105</v>
      </c>
      <c r="J3704" s="12" t="s">
        <v>106</v>
      </c>
      <c r="K3704" s="12" t="s">
        <v>81</v>
      </c>
      <c r="L3704" s="12" t="s">
        <v>96</v>
      </c>
      <c r="M3704">
        <v>5.01</v>
      </c>
      <c r="N3704" s="12" t="s">
        <v>159</v>
      </c>
      <c r="O3704" s="12" t="s">
        <v>160</v>
      </c>
      <c r="P3704" s="12" t="s">
        <v>137</v>
      </c>
      <c r="Q3704" s="13">
        <v>45590</v>
      </c>
      <c r="R3704" s="13">
        <v>45614</v>
      </c>
      <c r="S3704">
        <v>2024</v>
      </c>
      <c r="T3704" s="12" t="s">
        <v>4461</v>
      </c>
      <c r="U3704">
        <v>105</v>
      </c>
      <c r="V3704">
        <v>198.93129999999999</v>
      </c>
      <c r="W3704">
        <v>285.45999999999998</v>
      </c>
      <c r="X3704">
        <v>0</v>
      </c>
      <c r="Y3704">
        <v>0</v>
      </c>
      <c r="Z3704">
        <v>20887.79</v>
      </c>
      <c r="AA3704">
        <v>21173.25</v>
      </c>
      <c r="AB3704" s="12" t="s">
        <v>201</v>
      </c>
      <c r="AD3704">
        <v>0</v>
      </c>
      <c r="AE3704">
        <v>0</v>
      </c>
      <c r="AH3704">
        <v>105</v>
      </c>
      <c r="AI3704">
        <v>104</v>
      </c>
      <c r="AJ3704">
        <v>1</v>
      </c>
      <c r="AK3704">
        <v>1</v>
      </c>
      <c r="AL3704">
        <v>1</v>
      </c>
      <c r="AM3704">
        <v>99.05</v>
      </c>
      <c r="AN3704">
        <v>203.5889</v>
      </c>
      <c r="AO3704">
        <v>198.93</v>
      </c>
      <c r="AP3704" s="13">
        <v>45614</v>
      </c>
      <c r="AQ3704">
        <v>0</v>
      </c>
      <c r="AR3704">
        <v>1</v>
      </c>
    </row>
    <row r="3705" spans="1:44" x14ac:dyDescent="0.35">
      <c r="A3705" s="12" t="s">
        <v>4624</v>
      </c>
      <c r="B3705" s="12" t="s">
        <v>617</v>
      </c>
      <c r="C3705" s="12" t="s">
        <v>618</v>
      </c>
      <c r="D3705" s="12" t="s">
        <v>78</v>
      </c>
      <c r="E3705" s="12" t="s">
        <v>65</v>
      </c>
      <c r="F3705">
        <v>2</v>
      </c>
      <c r="G3705">
        <v>4</v>
      </c>
      <c r="H3705">
        <v>0</v>
      </c>
      <c r="I3705" s="12" t="s">
        <v>209</v>
      </c>
      <c r="J3705" s="12" t="s">
        <v>210</v>
      </c>
      <c r="K3705" s="12" t="s">
        <v>133</v>
      </c>
      <c r="L3705" s="12" t="s">
        <v>96</v>
      </c>
      <c r="M3705">
        <v>7.82</v>
      </c>
      <c r="N3705" s="12" t="s">
        <v>97</v>
      </c>
      <c r="O3705" s="12" t="s">
        <v>98</v>
      </c>
      <c r="P3705" s="12" t="s">
        <v>72</v>
      </c>
      <c r="Q3705" s="13">
        <v>45590</v>
      </c>
      <c r="R3705" s="13">
        <v>45624</v>
      </c>
      <c r="S3705">
        <v>2024</v>
      </c>
      <c r="T3705" s="12" t="s">
        <v>4461</v>
      </c>
      <c r="U3705">
        <v>236</v>
      </c>
      <c r="V3705">
        <v>108.13330000000001</v>
      </c>
      <c r="W3705">
        <v>582.59</v>
      </c>
      <c r="X3705">
        <v>0</v>
      </c>
      <c r="Y3705">
        <v>0</v>
      </c>
      <c r="Z3705">
        <v>25519.46</v>
      </c>
      <c r="AA3705">
        <v>26102.05</v>
      </c>
      <c r="AB3705" s="12" t="s">
        <v>3087</v>
      </c>
      <c r="AC3705">
        <v>108.13330000000001</v>
      </c>
      <c r="AD3705">
        <v>1</v>
      </c>
      <c r="AE3705">
        <v>1</v>
      </c>
      <c r="AF3705">
        <v>0</v>
      </c>
      <c r="AG3705">
        <v>25519.46</v>
      </c>
      <c r="AH3705">
        <v>236</v>
      </c>
      <c r="AI3705">
        <v>232</v>
      </c>
      <c r="AJ3705">
        <v>4</v>
      </c>
      <c r="AK3705">
        <v>1</v>
      </c>
      <c r="AL3705">
        <v>1</v>
      </c>
      <c r="AM3705">
        <v>98.31</v>
      </c>
      <c r="AN3705">
        <v>112.50879999999999</v>
      </c>
      <c r="AO3705">
        <v>432.53</v>
      </c>
      <c r="AP3705" s="13">
        <v>45633</v>
      </c>
      <c r="AQ3705">
        <v>9</v>
      </c>
      <c r="AR3705">
        <v>0</v>
      </c>
    </row>
    <row r="3706" spans="1:44" x14ac:dyDescent="0.35">
      <c r="A3706" s="12" t="s">
        <v>4625</v>
      </c>
      <c r="B3706" s="12" t="s">
        <v>494</v>
      </c>
      <c r="C3706" s="12" t="s">
        <v>495</v>
      </c>
      <c r="D3706" s="12" t="s">
        <v>175</v>
      </c>
      <c r="E3706" s="12" t="s">
        <v>65</v>
      </c>
      <c r="F3706">
        <v>2</v>
      </c>
      <c r="G3706">
        <v>3</v>
      </c>
      <c r="H3706">
        <v>0</v>
      </c>
      <c r="I3706" s="12" t="s">
        <v>515</v>
      </c>
      <c r="J3706" s="12" t="s">
        <v>516</v>
      </c>
      <c r="K3706" s="12" t="s">
        <v>68</v>
      </c>
      <c r="L3706" s="12" t="s">
        <v>134</v>
      </c>
      <c r="M3706">
        <v>3.69</v>
      </c>
      <c r="N3706" s="12" t="s">
        <v>107</v>
      </c>
      <c r="O3706" s="12" t="s">
        <v>108</v>
      </c>
      <c r="P3706" s="12" t="s">
        <v>109</v>
      </c>
      <c r="Q3706" s="13">
        <v>45590</v>
      </c>
      <c r="R3706" s="13">
        <v>45612</v>
      </c>
      <c r="S3706">
        <v>2024</v>
      </c>
      <c r="T3706" s="12" t="s">
        <v>4461</v>
      </c>
      <c r="U3706">
        <v>18</v>
      </c>
      <c r="V3706">
        <v>157.60329999999999</v>
      </c>
      <c r="W3706">
        <v>57.6</v>
      </c>
      <c r="X3706">
        <v>0</v>
      </c>
      <c r="Y3706">
        <v>0</v>
      </c>
      <c r="Z3706">
        <v>2836.86</v>
      </c>
      <c r="AA3706">
        <v>2894.46</v>
      </c>
      <c r="AB3706" s="12" t="s">
        <v>2807</v>
      </c>
      <c r="AC3706">
        <v>157.60329999999999</v>
      </c>
      <c r="AD3706">
        <v>1</v>
      </c>
      <c r="AE3706">
        <v>1</v>
      </c>
      <c r="AF3706">
        <v>0</v>
      </c>
      <c r="AG3706">
        <v>2836.86</v>
      </c>
      <c r="AH3706">
        <v>18</v>
      </c>
      <c r="AI3706">
        <v>18</v>
      </c>
      <c r="AJ3706">
        <v>0</v>
      </c>
      <c r="AK3706">
        <v>1</v>
      </c>
      <c r="AL3706">
        <v>1</v>
      </c>
      <c r="AM3706">
        <v>100</v>
      </c>
      <c r="AN3706">
        <v>160.80330000000001</v>
      </c>
      <c r="AO3706">
        <v>0</v>
      </c>
      <c r="AP3706" s="13">
        <v>45612</v>
      </c>
      <c r="AQ3706">
        <v>0</v>
      </c>
      <c r="AR3706">
        <v>1</v>
      </c>
    </row>
    <row r="3707" spans="1:44" x14ac:dyDescent="0.35">
      <c r="A3707" s="12" t="s">
        <v>4626</v>
      </c>
      <c r="B3707" s="12" t="s">
        <v>509</v>
      </c>
      <c r="C3707" s="12" t="s">
        <v>510</v>
      </c>
      <c r="D3707" s="12" t="s">
        <v>78</v>
      </c>
      <c r="E3707" s="12" t="s">
        <v>142</v>
      </c>
      <c r="F3707">
        <v>3</v>
      </c>
      <c r="G3707">
        <v>11</v>
      </c>
      <c r="H3707">
        <v>0</v>
      </c>
      <c r="I3707" s="12" t="s">
        <v>176</v>
      </c>
      <c r="J3707" s="12" t="s">
        <v>177</v>
      </c>
      <c r="K3707" s="12" t="s">
        <v>125</v>
      </c>
      <c r="L3707" s="12" t="s">
        <v>134</v>
      </c>
      <c r="M3707">
        <v>1.75</v>
      </c>
      <c r="N3707" s="12" t="s">
        <v>97</v>
      </c>
      <c r="O3707" s="12" t="s">
        <v>98</v>
      </c>
      <c r="P3707" s="12" t="s">
        <v>72</v>
      </c>
      <c r="Q3707" s="13">
        <v>45590</v>
      </c>
      <c r="R3707" s="13">
        <v>45633</v>
      </c>
      <c r="S3707">
        <v>2024</v>
      </c>
      <c r="T3707" s="12" t="s">
        <v>4461</v>
      </c>
      <c r="U3707">
        <v>156</v>
      </c>
      <c r="V3707">
        <v>154.41749999999999</v>
      </c>
      <c r="W3707">
        <v>582.24</v>
      </c>
      <c r="X3707">
        <v>0</v>
      </c>
      <c r="Y3707">
        <v>0</v>
      </c>
      <c r="Z3707">
        <v>24089.13</v>
      </c>
      <c r="AA3707">
        <v>24671.37</v>
      </c>
      <c r="AB3707" s="12" t="s">
        <v>201</v>
      </c>
      <c r="AD3707">
        <v>0</v>
      </c>
      <c r="AE3707">
        <v>0</v>
      </c>
      <c r="AH3707">
        <v>156</v>
      </c>
      <c r="AI3707">
        <v>155</v>
      </c>
      <c r="AJ3707">
        <v>1</v>
      </c>
      <c r="AK3707">
        <v>1</v>
      </c>
      <c r="AL3707">
        <v>1</v>
      </c>
      <c r="AM3707">
        <v>99.36</v>
      </c>
      <c r="AN3707">
        <v>159.17009999999999</v>
      </c>
      <c r="AO3707">
        <v>154.41999999999999</v>
      </c>
      <c r="AP3707" s="13">
        <v>45632</v>
      </c>
      <c r="AQ3707">
        <v>-1</v>
      </c>
      <c r="AR3707">
        <v>1</v>
      </c>
    </row>
    <row r="3708" spans="1:44" x14ac:dyDescent="0.35">
      <c r="A3708" s="12" t="s">
        <v>4627</v>
      </c>
      <c r="B3708" s="12" t="s">
        <v>792</v>
      </c>
      <c r="C3708" s="12" t="s">
        <v>793</v>
      </c>
      <c r="D3708" s="12" t="s">
        <v>103</v>
      </c>
      <c r="E3708" s="12" t="s">
        <v>65</v>
      </c>
      <c r="F3708">
        <v>2</v>
      </c>
      <c r="G3708">
        <v>3</v>
      </c>
      <c r="H3708">
        <v>0</v>
      </c>
      <c r="I3708" s="12" t="s">
        <v>359</v>
      </c>
      <c r="J3708" s="12" t="s">
        <v>360</v>
      </c>
      <c r="K3708" s="12" t="s">
        <v>133</v>
      </c>
      <c r="L3708" s="12" t="s">
        <v>82</v>
      </c>
      <c r="M3708">
        <v>12.65</v>
      </c>
      <c r="N3708" s="12" t="s">
        <v>145</v>
      </c>
      <c r="O3708" s="12" t="s">
        <v>146</v>
      </c>
      <c r="P3708" s="12" t="s">
        <v>109</v>
      </c>
      <c r="Q3708" s="13">
        <v>45590</v>
      </c>
      <c r="R3708" s="13">
        <v>45624</v>
      </c>
      <c r="S3708">
        <v>2024</v>
      </c>
      <c r="T3708" s="12" t="s">
        <v>4461</v>
      </c>
      <c r="U3708">
        <v>118</v>
      </c>
      <c r="V3708">
        <v>101.43340000000001</v>
      </c>
      <c r="W3708">
        <v>176.58</v>
      </c>
      <c r="X3708">
        <v>0</v>
      </c>
      <c r="Y3708">
        <v>0</v>
      </c>
      <c r="Z3708">
        <v>11969.14</v>
      </c>
      <c r="AA3708">
        <v>12145.72</v>
      </c>
      <c r="AB3708" s="12" t="s">
        <v>4265</v>
      </c>
      <c r="AC3708">
        <v>98.290800000000004</v>
      </c>
      <c r="AD3708">
        <v>1</v>
      </c>
      <c r="AE3708">
        <v>1</v>
      </c>
      <c r="AF3708">
        <v>370.83</v>
      </c>
      <c r="AG3708">
        <v>11598.31</v>
      </c>
      <c r="AH3708">
        <v>118</v>
      </c>
      <c r="AI3708">
        <v>118</v>
      </c>
      <c r="AJ3708">
        <v>0</v>
      </c>
      <c r="AK3708">
        <v>1</v>
      </c>
      <c r="AL3708">
        <v>1</v>
      </c>
      <c r="AM3708">
        <v>100</v>
      </c>
      <c r="AN3708">
        <v>102.9298</v>
      </c>
      <c r="AO3708">
        <v>0</v>
      </c>
      <c r="AP3708" s="13">
        <v>45624</v>
      </c>
      <c r="AQ3708">
        <v>0</v>
      </c>
      <c r="AR3708">
        <v>1</v>
      </c>
    </row>
    <row r="3709" spans="1:44" x14ac:dyDescent="0.35">
      <c r="A3709" s="12" t="s">
        <v>4628</v>
      </c>
      <c r="B3709" s="12" t="s">
        <v>238</v>
      </c>
      <c r="C3709" s="12" t="s">
        <v>239</v>
      </c>
      <c r="D3709" s="12" t="s">
        <v>122</v>
      </c>
      <c r="E3709" s="12" t="s">
        <v>65</v>
      </c>
      <c r="F3709">
        <v>3</v>
      </c>
      <c r="G3709">
        <v>4</v>
      </c>
      <c r="H3709">
        <v>0</v>
      </c>
      <c r="I3709" s="12" t="s">
        <v>79</v>
      </c>
      <c r="J3709" s="12" t="s">
        <v>80</v>
      </c>
      <c r="K3709" s="12" t="s">
        <v>81</v>
      </c>
      <c r="L3709" s="12" t="s">
        <v>82</v>
      </c>
      <c r="M3709">
        <v>12.07</v>
      </c>
      <c r="N3709" s="12" t="s">
        <v>97</v>
      </c>
      <c r="O3709" s="12" t="s">
        <v>98</v>
      </c>
      <c r="P3709" s="12" t="s">
        <v>72</v>
      </c>
      <c r="Q3709" s="13">
        <v>45590</v>
      </c>
      <c r="R3709" s="13">
        <v>45625</v>
      </c>
      <c r="S3709">
        <v>2024</v>
      </c>
      <c r="T3709" s="12" t="s">
        <v>4461</v>
      </c>
      <c r="U3709">
        <v>1698</v>
      </c>
      <c r="V3709">
        <v>35.6462</v>
      </c>
      <c r="W3709">
        <v>873.69</v>
      </c>
      <c r="X3709">
        <v>0</v>
      </c>
      <c r="Y3709">
        <v>0</v>
      </c>
      <c r="Z3709">
        <v>60527.25</v>
      </c>
      <c r="AA3709">
        <v>61400.94</v>
      </c>
      <c r="AB3709" s="12" t="s">
        <v>2688</v>
      </c>
      <c r="AC3709">
        <v>35.6462</v>
      </c>
      <c r="AD3709">
        <v>1</v>
      </c>
      <c r="AE3709">
        <v>1</v>
      </c>
      <c r="AF3709">
        <v>0</v>
      </c>
      <c r="AG3709">
        <v>60527.25</v>
      </c>
      <c r="AH3709">
        <v>1698</v>
      </c>
      <c r="AI3709">
        <v>1687</v>
      </c>
      <c r="AJ3709">
        <v>11</v>
      </c>
      <c r="AK3709">
        <v>1</v>
      </c>
      <c r="AL3709">
        <v>1</v>
      </c>
      <c r="AM3709">
        <v>99.35</v>
      </c>
      <c r="AN3709">
        <v>36.396500000000003</v>
      </c>
      <c r="AO3709">
        <v>392.11</v>
      </c>
      <c r="AP3709" s="13">
        <v>45622</v>
      </c>
      <c r="AQ3709">
        <v>-3</v>
      </c>
      <c r="AR3709">
        <v>1</v>
      </c>
    </row>
    <row r="3710" spans="1:44" x14ac:dyDescent="0.35">
      <c r="A3710" s="12" t="s">
        <v>4629</v>
      </c>
      <c r="B3710" s="12" t="s">
        <v>602</v>
      </c>
      <c r="C3710" s="12" t="s">
        <v>603</v>
      </c>
      <c r="D3710" s="12" t="s">
        <v>114</v>
      </c>
      <c r="E3710" s="12" t="s">
        <v>142</v>
      </c>
      <c r="F3710">
        <v>2</v>
      </c>
      <c r="G3710">
        <v>10</v>
      </c>
      <c r="H3710">
        <v>0</v>
      </c>
      <c r="I3710" s="12" t="s">
        <v>263</v>
      </c>
      <c r="J3710" s="12" t="s">
        <v>264</v>
      </c>
      <c r="K3710" s="12" t="s">
        <v>125</v>
      </c>
      <c r="L3710" s="12" t="s">
        <v>82</v>
      </c>
      <c r="M3710">
        <v>10.210000000000001</v>
      </c>
      <c r="N3710" s="12" t="s">
        <v>97</v>
      </c>
      <c r="O3710" s="12" t="s">
        <v>98</v>
      </c>
      <c r="P3710" s="12" t="s">
        <v>72</v>
      </c>
      <c r="Q3710" s="13">
        <v>45590</v>
      </c>
      <c r="R3710" s="13">
        <v>45633</v>
      </c>
      <c r="S3710">
        <v>2024</v>
      </c>
      <c r="T3710" s="12" t="s">
        <v>4461</v>
      </c>
      <c r="U3710">
        <v>75</v>
      </c>
      <c r="V3710">
        <v>210.69990000000001</v>
      </c>
      <c r="W3710">
        <v>295.83999999999997</v>
      </c>
      <c r="X3710">
        <v>0</v>
      </c>
      <c r="Y3710">
        <v>0</v>
      </c>
      <c r="Z3710">
        <v>15802.49</v>
      </c>
      <c r="AA3710">
        <v>16098.33</v>
      </c>
      <c r="AB3710" s="12" t="s">
        <v>2790</v>
      </c>
      <c r="AC3710">
        <v>210.69990000000001</v>
      </c>
      <c r="AD3710">
        <v>1</v>
      </c>
      <c r="AE3710">
        <v>1</v>
      </c>
      <c r="AF3710">
        <v>0</v>
      </c>
      <c r="AG3710">
        <v>15802.49</v>
      </c>
      <c r="AH3710">
        <v>75</v>
      </c>
      <c r="AI3710">
        <v>74</v>
      </c>
      <c r="AJ3710">
        <v>1</v>
      </c>
      <c r="AK3710">
        <v>1</v>
      </c>
      <c r="AL3710">
        <v>1</v>
      </c>
      <c r="AM3710">
        <v>98.67</v>
      </c>
      <c r="AN3710">
        <v>217.54499999999999</v>
      </c>
      <c r="AO3710">
        <v>210.7</v>
      </c>
      <c r="AP3710" s="13">
        <v>45632</v>
      </c>
      <c r="AQ3710">
        <v>-1</v>
      </c>
      <c r="AR3710">
        <v>1</v>
      </c>
    </row>
    <row r="3711" spans="1:44" x14ac:dyDescent="0.35">
      <c r="A3711" s="12" t="s">
        <v>4630</v>
      </c>
      <c r="B3711" s="12" t="s">
        <v>404</v>
      </c>
      <c r="C3711" s="12" t="s">
        <v>405</v>
      </c>
      <c r="D3711" s="12" t="s">
        <v>269</v>
      </c>
      <c r="E3711" s="12" t="s">
        <v>65</v>
      </c>
      <c r="F3711">
        <v>3</v>
      </c>
      <c r="G3711">
        <v>5</v>
      </c>
      <c r="H3711">
        <v>0</v>
      </c>
      <c r="I3711" s="12" t="s">
        <v>79</v>
      </c>
      <c r="J3711" s="12" t="s">
        <v>80</v>
      </c>
      <c r="K3711" s="12" t="s">
        <v>81</v>
      </c>
      <c r="L3711" s="12" t="s">
        <v>82</v>
      </c>
      <c r="M3711">
        <v>12.07</v>
      </c>
      <c r="N3711" s="12" t="s">
        <v>135</v>
      </c>
      <c r="O3711" s="12" t="s">
        <v>136</v>
      </c>
      <c r="P3711" s="12" t="s">
        <v>137</v>
      </c>
      <c r="Q3711" s="13">
        <v>45593</v>
      </c>
      <c r="R3711" s="13">
        <v>45627</v>
      </c>
      <c r="S3711">
        <v>2024</v>
      </c>
      <c r="T3711" s="12" t="s">
        <v>4461</v>
      </c>
      <c r="U3711">
        <v>113</v>
      </c>
      <c r="V3711">
        <v>430.2559</v>
      </c>
      <c r="W3711">
        <v>485.72</v>
      </c>
      <c r="X3711">
        <v>0</v>
      </c>
      <c r="Y3711">
        <v>0</v>
      </c>
      <c r="Z3711">
        <v>48618.92</v>
      </c>
      <c r="AA3711">
        <v>49104.639999999999</v>
      </c>
      <c r="AB3711" s="12" t="s">
        <v>2910</v>
      </c>
      <c r="AC3711">
        <v>430.2559</v>
      </c>
      <c r="AD3711">
        <v>1</v>
      </c>
      <c r="AE3711">
        <v>1</v>
      </c>
      <c r="AF3711">
        <v>0</v>
      </c>
      <c r="AG3711">
        <v>48618.92</v>
      </c>
      <c r="AH3711">
        <v>113</v>
      </c>
      <c r="AI3711">
        <v>112</v>
      </c>
      <c r="AJ3711">
        <v>1</v>
      </c>
      <c r="AK3711">
        <v>1</v>
      </c>
      <c r="AL3711">
        <v>1</v>
      </c>
      <c r="AM3711">
        <v>99.12</v>
      </c>
      <c r="AN3711">
        <v>438.43430000000001</v>
      </c>
      <c r="AO3711">
        <v>430.26</v>
      </c>
      <c r="AP3711" s="13">
        <v>45626</v>
      </c>
      <c r="AQ3711">
        <v>-1</v>
      </c>
      <c r="AR3711">
        <v>1</v>
      </c>
    </row>
    <row r="3712" spans="1:44" x14ac:dyDescent="0.35">
      <c r="A3712" s="12" t="s">
        <v>4631</v>
      </c>
      <c r="B3712" s="12" t="s">
        <v>163</v>
      </c>
      <c r="C3712" s="12" t="s">
        <v>164</v>
      </c>
      <c r="D3712" s="12" t="s">
        <v>64</v>
      </c>
      <c r="E3712" s="12" t="s">
        <v>104</v>
      </c>
      <c r="F3712">
        <v>2</v>
      </c>
      <c r="G3712">
        <v>0</v>
      </c>
      <c r="H3712">
        <v>0</v>
      </c>
      <c r="I3712" s="12" t="s">
        <v>79</v>
      </c>
      <c r="J3712" s="12" t="s">
        <v>80</v>
      </c>
      <c r="K3712" s="12" t="s">
        <v>81</v>
      </c>
      <c r="L3712" s="12" t="s">
        <v>82</v>
      </c>
      <c r="M3712">
        <v>12.07</v>
      </c>
      <c r="N3712" s="12" t="s">
        <v>70</v>
      </c>
      <c r="O3712" s="12" t="s">
        <v>71</v>
      </c>
      <c r="P3712" s="12" t="s">
        <v>72</v>
      </c>
      <c r="Q3712" s="13">
        <v>45593</v>
      </c>
      <c r="R3712" s="13">
        <v>45608</v>
      </c>
      <c r="S3712">
        <v>2024</v>
      </c>
      <c r="T3712" s="12" t="s">
        <v>4461</v>
      </c>
      <c r="U3712">
        <v>298</v>
      </c>
      <c r="V3712">
        <v>11.6143</v>
      </c>
      <c r="W3712">
        <v>31.14</v>
      </c>
      <c r="X3712">
        <v>0</v>
      </c>
      <c r="Y3712">
        <v>0</v>
      </c>
      <c r="Z3712">
        <v>3461.06</v>
      </c>
      <c r="AA3712">
        <v>3492.2</v>
      </c>
      <c r="AB3712" s="12" t="s">
        <v>2780</v>
      </c>
      <c r="AC3712">
        <v>11.6143</v>
      </c>
      <c r="AD3712">
        <v>1</v>
      </c>
      <c r="AE3712">
        <v>1</v>
      </c>
      <c r="AF3712">
        <v>0</v>
      </c>
      <c r="AG3712">
        <v>3461.06</v>
      </c>
      <c r="AH3712">
        <v>298</v>
      </c>
      <c r="AI3712">
        <v>295</v>
      </c>
      <c r="AJ3712">
        <v>3</v>
      </c>
      <c r="AK3712">
        <v>1</v>
      </c>
      <c r="AL3712">
        <v>1</v>
      </c>
      <c r="AM3712">
        <v>98.99</v>
      </c>
      <c r="AN3712">
        <v>11.837999999999999</v>
      </c>
      <c r="AO3712">
        <v>34.840000000000003</v>
      </c>
      <c r="AP3712" s="13">
        <v>45605</v>
      </c>
      <c r="AQ3712">
        <v>-3</v>
      </c>
      <c r="AR3712">
        <v>1</v>
      </c>
    </row>
    <row r="3713" spans="1:44" x14ac:dyDescent="0.35">
      <c r="A3713" s="12" t="s">
        <v>4632</v>
      </c>
      <c r="B3713" s="12" t="s">
        <v>1108</v>
      </c>
      <c r="C3713" s="12" t="s">
        <v>1109</v>
      </c>
      <c r="D3713" s="12" t="s">
        <v>103</v>
      </c>
      <c r="E3713" s="12" t="s">
        <v>65</v>
      </c>
      <c r="F3713">
        <v>3</v>
      </c>
      <c r="G3713">
        <v>4</v>
      </c>
      <c r="H3713">
        <v>0</v>
      </c>
      <c r="I3713" s="12" t="s">
        <v>79</v>
      </c>
      <c r="J3713" s="12" t="s">
        <v>80</v>
      </c>
      <c r="K3713" s="12" t="s">
        <v>81</v>
      </c>
      <c r="L3713" s="12" t="s">
        <v>82</v>
      </c>
      <c r="M3713">
        <v>12.07</v>
      </c>
      <c r="N3713" s="12" t="s">
        <v>145</v>
      </c>
      <c r="O3713" s="12" t="s">
        <v>146</v>
      </c>
      <c r="P3713" s="12" t="s">
        <v>109</v>
      </c>
      <c r="Q3713" s="13">
        <v>45593</v>
      </c>
      <c r="R3713" s="13">
        <v>45629</v>
      </c>
      <c r="S3713">
        <v>2024</v>
      </c>
      <c r="T3713" s="12" t="s">
        <v>4461</v>
      </c>
      <c r="U3713">
        <v>130</v>
      </c>
      <c r="V3713">
        <v>85.889600000000002</v>
      </c>
      <c r="W3713">
        <v>123.1</v>
      </c>
      <c r="X3713">
        <v>0</v>
      </c>
      <c r="Y3713">
        <v>0</v>
      </c>
      <c r="Z3713">
        <v>11165.65</v>
      </c>
      <c r="AA3713">
        <v>11288.75</v>
      </c>
      <c r="AB3713" s="12" t="s">
        <v>3269</v>
      </c>
      <c r="AC3713">
        <v>85.889600000000002</v>
      </c>
      <c r="AD3713">
        <v>1</v>
      </c>
      <c r="AE3713">
        <v>1</v>
      </c>
      <c r="AF3713">
        <v>0</v>
      </c>
      <c r="AG3713">
        <v>11165.65</v>
      </c>
      <c r="AH3713">
        <v>130</v>
      </c>
      <c r="AI3713">
        <v>129</v>
      </c>
      <c r="AJ3713">
        <v>1</v>
      </c>
      <c r="AK3713">
        <v>1</v>
      </c>
      <c r="AL3713">
        <v>1</v>
      </c>
      <c r="AM3713">
        <v>99.23</v>
      </c>
      <c r="AN3713">
        <v>87.509699999999995</v>
      </c>
      <c r="AO3713">
        <v>85.89</v>
      </c>
      <c r="AP3713" s="13">
        <v>45627</v>
      </c>
      <c r="AQ3713">
        <v>-2</v>
      </c>
      <c r="AR3713">
        <v>1</v>
      </c>
    </row>
    <row r="3714" spans="1:44" x14ac:dyDescent="0.35">
      <c r="A3714" s="12" t="s">
        <v>4633</v>
      </c>
      <c r="B3714" s="12" t="s">
        <v>112</v>
      </c>
      <c r="C3714" s="12" t="s">
        <v>113</v>
      </c>
      <c r="D3714" s="12" t="s">
        <v>114</v>
      </c>
      <c r="E3714" s="12" t="s">
        <v>104</v>
      </c>
      <c r="F3714">
        <v>3</v>
      </c>
      <c r="G3714">
        <v>1</v>
      </c>
      <c r="H3714">
        <v>0</v>
      </c>
      <c r="I3714" s="12" t="s">
        <v>227</v>
      </c>
      <c r="J3714" s="12" t="s">
        <v>228</v>
      </c>
      <c r="K3714" s="12" t="s">
        <v>89</v>
      </c>
      <c r="L3714" s="12" t="s">
        <v>96</v>
      </c>
      <c r="M3714">
        <v>9.15</v>
      </c>
      <c r="N3714" s="12" t="s">
        <v>70</v>
      </c>
      <c r="O3714" s="12" t="s">
        <v>71</v>
      </c>
      <c r="P3714" s="12" t="s">
        <v>72</v>
      </c>
      <c r="Q3714" s="13">
        <v>45593</v>
      </c>
      <c r="R3714" s="13">
        <v>45620</v>
      </c>
      <c r="S3714">
        <v>2024</v>
      </c>
      <c r="T3714" s="12" t="s">
        <v>4461</v>
      </c>
      <c r="U3714">
        <v>132</v>
      </c>
      <c r="V3714">
        <v>255.786</v>
      </c>
      <c r="W3714">
        <v>724.85</v>
      </c>
      <c r="X3714">
        <v>0</v>
      </c>
      <c r="Y3714">
        <v>0</v>
      </c>
      <c r="Z3714">
        <v>33763.75</v>
      </c>
      <c r="AA3714">
        <v>34488.6</v>
      </c>
      <c r="AB3714" s="12" t="s">
        <v>2839</v>
      </c>
      <c r="AC3714">
        <v>255.786</v>
      </c>
      <c r="AD3714">
        <v>1</v>
      </c>
      <c r="AE3714">
        <v>1</v>
      </c>
      <c r="AF3714">
        <v>0</v>
      </c>
      <c r="AG3714">
        <v>33763.75</v>
      </c>
      <c r="AH3714">
        <v>132</v>
      </c>
      <c r="AI3714">
        <v>131</v>
      </c>
      <c r="AJ3714">
        <v>1</v>
      </c>
      <c r="AK3714">
        <v>1</v>
      </c>
      <c r="AL3714">
        <v>1</v>
      </c>
      <c r="AM3714">
        <v>99.24</v>
      </c>
      <c r="AN3714">
        <v>263.27179999999998</v>
      </c>
      <c r="AO3714">
        <v>255.79</v>
      </c>
      <c r="AP3714" s="13">
        <v>45619</v>
      </c>
      <c r="AQ3714">
        <v>-1</v>
      </c>
      <c r="AR3714">
        <v>1</v>
      </c>
    </row>
    <row r="3715" spans="1:44" x14ac:dyDescent="0.35">
      <c r="A3715" s="12" t="s">
        <v>4634</v>
      </c>
      <c r="B3715" s="12" t="s">
        <v>465</v>
      </c>
      <c r="C3715" s="12" t="s">
        <v>466</v>
      </c>
      <c r="D3715" s="12" t="s">
        <v>78</v>
      </c>
      <c r="E3715" s="12" t="s">
        <v>142</v>
      </c>
      <c r="F3715">
        <v>3</v>
      </c>
      <c r="G3715">
        <v>11</v>
      </c>
      <c r="H3715">
        <v>0</v>
      </c>
      <c r="I3715" s="12" t="s">
        <v>341</v>
      </c>
      <c r="J3715" s="12" t="s">
        <v>342</v>
      </c>
      <c r="K3715" s="12" t="s">
        <v>117</v>
      </c>
      <c r="L3715" s="12" t="s">
        <v>82</v>
      </c>
      <c r="M3715">
        <v>18.36</v>
      </c>
      <c r="N3715" s="12" t="s">
        <v>97</v>
      </c>
      <c r="O3715" s="12" t="s">
        <v>98</v>
      </c>
      <c r="P3715" s="12" t="s">
        <v>72</v>
      </c>
      <c r="Q3715" s="13">
        <v>45593</v>
      </c>
      <c r="R3715" s="13">
        <v>45633</v>
      </c>
      <c r="S3715">
        <v>2024</v>
      </c>
      <c r="T3715" s="12" t="s">
        <v>4461</v>
      </c>
      <c r="U3715">
        <v>120</v>
      </c>
      <c r="V3715">
        <v>108.0436</v>
      </c>
      <c r="W3715">
        <v>237.48</v>
      </c>
      <c r="X3715">
        <v>0</v>
      </c>
      <c r="Y3715">
        <v>0</v>
      </c>
      <c r="Z3715">
        <v>12965.23</v>
      </c>
      <c r="AA3715">
        <v>13202.71</v>
      </c>
      <c r="AB3715" s="12" t="s">
        <v>3051</v>
      </c>
      <c r="AC3715">
        <v>108.0436</v>
      </c>
      <c r="AD3715">
        <v>1</v>
      </c>
      <c r="AE3715">
        <v>1</v>
      </c>
      <c r="AF3715">
        <v>0</v>
      </c>
      <c r="AG3715">
        <v>12965.23</v>
      </c>
      <c r="AH3715">
        <v>120</v>
      </c>
      <c r="AI3715">
        <v>119</v>
      </c>
      <c r="AJ3715">
        <v>1</v>
      </c>
      <c r="AK3715">
        <v>1</v>
      </c>
      <c r="AL3715">
        <v>1</v>
      </c>
      <c r="AM3715">
        <v>99.17</v>
      </c>
      <c r="AN3715">
        <v>110.9472</v>
      </c>
      <c r="AO3715">
        <v>108.04</v>
      </c>
      <c r="AP3715" s="13">
        <v>45630</v>
      </c>
      <c r="AQ3715">
        <v>-3</v>
      </c>
      <c r="AR3715">
        <v>1</v>
      </c>
    </row>
    <row r="3716" spans="1:44" x14ac:dyDescent="0.35">
      <c r="A3716" s="12" t="s">
        <v>4635</v>
      </c>
      <c r="B3716" s="12" t="s">
        <v>249</v>
      </c>
      <c r="C3716" s="12" t="s">
        <v>250</v>
      </c>
      <c r="D3716" s="12" t="s">
        <v>64</v>
      </c>
      <c r="E3716" s="12" t="s">
        <v>65</v>
      </c>
      <c r="F3716">
        <v>2</v>
      </c>
      <c r="G3716">
        <v>3</v>
      </c>
      <c r="H3716">
        <v>0</v>
      </c>
      <c r="I3716" s="12" t="s">
        <v>251</v>
      </c>
      <c r="J3716" s="12" t="s">
        <v>252</v>
      </c>
      <c r="K3716" s="12" t="s">
        <v>133</v>
      </c>
      <c r="L3716" s="12" t="s">
        <v>69</v>
      </c>
      <c r="M3716">
        <v>34.49</v>
      </c>
      <c r="N3716" s="12" t="s">
        <v>70</v>
      </c>
      <c r="O3716" s="12" t="s">
        <v>71</v>
      </c>
      <c r="P3716" s="12" t="s">
        <v>72</v>
      </c>
      <c r="Q3716" s="13">
        <v>45593</v>
      </c>
      <c r="R3716" s="13">
        <v>45622</v>
      </c>
      <c r="S3716">
        <v>2024</v>
      </c>
      <c r="T3716" s="12" t="s">
        <v>4461</v>
      </c>
      <c r="U3716">
        <v>542</v>
      </c>
      <c r="V3716">
        <v>10.292</v>
      </c>
      <c r="W3716">
        <v>76.2</v>
      </c>
      <c r="X3716">
        <v>0</v>
      </c>
      <c r="Y3716">
        <v>0</v>
      </c>
      <c r="Z3716">
        <v>5578.26</v>
      </c>
      <c r="AA3716">
        <v>5654.46</v>
      </c>
      <c r="AB3716" s="12" t="s">
        <v>2747</v>
      </c>
      <c r="AC3716">
        <v>10.292</v>
      </c>
      <c r="AD3716">
        <v>1</v>
      </c>
      <c r="AE3716">
        <v>1</v>
      </c>
      <c r="AF3716">
        <v>0</v>
      </c>
      <c r="AG3716">
        <v>5578.26</v>
      </c>
      <c r="AH3716">
        <v>542</v>
      </c>
      <c r="AI3716">
        <v>538</v>
      </c>
      <c r="AJ3716">
        <v>4</v>
      </c>
      <c r="AK3716">
        <v>1</v>
      </c>
      <c r="AL3716">
        <v>1</v>
      </c>
      <c r="AM3716">
        <v>99.26</v>
      </c>
      <c r="AN3716">
        <v>10.510199999999999</v>
      </c>
      <c r="AO3716">
        <v>41.17</v>
      </c>
      <c r="AP3716" s="13">
        <v>45620</v>
      </c>
      <c r="AQ3716">
        <v>-2</v>
      </c>
      <c r="AR3716">
        <v>1</v>
      </c>
    </row>
    <row r="3717" spans="1:44" x14ac:dyDescent="0.35">
      <c r="A3717" s="12" t="s">
        <v>4636</v>
      </c>
      <c r="B3717" s="12" t="s">
        <v>876</v>
      </c>
      <c r="C3717" s="12" t="s">
        <v>877</v>
      </c>
      <c r="D3717" s="12" t="s">
        <v>269</v>
      </c>
      <c r="E3717" s="12" t="s">
        <v>142</v>
      </c>
      <c r="F3717">
        <v>3</v>
      </c>
      <c r="G3717">
        <v>11</v>
      </c>
      <c r="H3717">
        <v>0</v>
      </c>
      <c r="I3717" s="12" t="s">
        <v>310</v>
      </c>
      <c r="J3717" s="12" t="s">
        <v>311</v>
      </c>
      <c r="K3717" s="12" t="s">
        <v>81</v>
      </c>
      <c r="L3717" s="12" t="s">
        <v>69</v>
      </c>
      <c r="M3717">
        <v>28.3</v>
      </c>
      <c r="N3717" s="12" t="s">
        <v>159</v>
      </c>
      <c r="O3717" s="12" t="s">
        <v>160</v>
      </c>
      <c r="P3717" s="12" t="s">
        <v>137</v>
      </c>
      <c r="Q3717" s="13">
        <v>45593</v>
      </c>
      <c r="R3717" s="13">
        <v>45640</v>
      </c>
      <c r="S3717">
        <v>2024</v>
      </c>
      <c r="T3717" s="12" t="s">
        <v>4461</v>
      </c>
      <c r="U3717">
        <v>108</v>
      </c>
      <c r="V3717">
        <v>199.4896</v>
      </c>
      <c r="W3717">
        <v>199.96</v>
      </c>
      <c r="X3717">
        <v>0</v>
      </c>
      <c r="Y3717">
        <v>0</v>
      </c>
      <c r="Z3717">
        <v>21544.880000000001</v>
      </c>
      <c r="AA3717">
        <v>21744.84</v>
      </c>
      <c r="AB3717" s="12" t="s">
        <v>4212</v>
      </c>
      <c r="AC3717">
        <v>199.4896</v>
      </c>
      <c r="AD3717">
        <v>1</v>
      </c>
      <c r="AE3717">
        <v>1</v>
      </c>
      <c r="AF3717">
        <v>0</v>
      </c>
      <c r="AG3717">
        <v>21544.880000000001</v>
      </c>
      <c r="AH3717">
        <v>108</v>
      </c>
      <c r="AI3717">
        <v>107</v>
      </c>
      <c r="AJ3717">
        <v>1</v>
      </c>
      <c r="AK3717">
        <v>1</v>
      </c>
      <c r="AL3717">
        <v>1</v>
      </c>
      <c r="AM3717">
        <v>99.07</v>
      </c>
      <c r="AN3717">
        <v>203.22280000000001</v>
      </c>
      <c r="AO3717">
        <v>199.49</v>
      </c>
      <c r="AP3717" s="13">
        <v>45639</v>
      </c>
      <c r="AQ3717">
        <v>-1</v>
      </c>
      <c r="AR3717">
        <v>1</v>
      </c>
    </row>
    <row r="3718" spans="1:44" x14ac:dyDescent="0.35">
      <c r="A3718" s="12" t="s">
        <v>4637</v>
      </c>
      <c r="B3718" s="12" t="s">
        <v>255</v>
      </c>
      <c r="C3718" s="12" t="s">
        <v>256</v>
      </c>
      <c r="D3718" s="12" t="s">
        <v>103</v>
      </c>
      <c r="E3718" s="12" t="s">
        <v>65</v>
      </c>
      <c r="F3718">
        <v>2</v>
      </c>
      <c r="G3718">
        <v>4</v>
      </c>
      <c r="H3718">
        <v>0</v>
      </c>
      <c r="I3718" s="12" t="s">
        <v>143</v>
      </c>
      <c r="J3718" s="12" t="s">
        <v>144</v>
      </c>
      <c r="K3718" s="12" t="s">
        <v>133</v>
      </c>
      <c r="L3718" s="12" t="s">
        <v>96</v>
      </c>
      <c r="M3718">
        <v>5.43</v>
      </c>
      <c r="N3718" s="12" t="s">
        <v>107</v>
      </c>
      <c r="O3718" s="12" t="s">
        <v>108</v>
      </c>
      <c r="P3718" s="12" t="s">
        <v>109</v>
      </c>
      <c r="Q3718" s="13">
        <v>45593</v>
      </c>
      <c r="R3718" s="13">
        <v>45631</v>
      </c>
      <c r="S3718">
        <v>2024</v>
      </c>
      <c r="T3718" s="12" t="s">
        <v>4461</v>
      </c>
      <c r="U3718">
        <v>143</v>
      </c>
      <c r="V3718">
        <v>95.073300000000003</v>
      </c>
      <c r="W3718">
        <v>201.24</v>
      </c>
      <c r="X3718">
        <v>0</v>
      </c>
      <c r="Y3718">
        <v>0</v>
      </c>
      <c r="Z3718">
        <v>13595.48</v>
      </c>
      <c r="AA3718">
        <v>13796.72</v>
      </c>
      <c r="AB3718" s="12" t="s">
        <v>2616</v>
      </c>
      <c r="AC3718">
        <v>95.073300000000003</v>
      </c>
      <c r="AD3718">
        <v>1</v>
      </c>
      <c r="AE3718">
        <v>1</v>
      </c>
      <c r="AF3718">
        <v>0</v>
      </c>
      <c r="AG3718">
        <v>13595.48</v>
      </c>
      <c r="AH3718">
        <v>143</v>
      </c>
      <c r="AI3718">
        <v>141</v>
      </c>
      <c r="AJ3718">
        <v>2</v>
      </c>
      <c r="AK3718">
        <v>1</v>
      </c>
      <c r="AL3718">
        <v>1</v>
      </c>
      <c r="AM3718">
        <v>98.6</v>
      </c>
      <c r="AN3718">
        <v>97.849100000000007</v>
      </c>
      <c r="AO3718">
        <v>190.15</v>
      </c>
      <c r="AP3718" s="13">
        <v>45628</v>
      </c>
      <c r="AQ3718">
        <v>-3</v>
      </c>
      <c r="AR3718">
        <v>1</v>
      </c>
    </row>
    <row r="3719" spans="1:44" x14ac:dyDescent="0.35">
      <c r="A3719" s="12" t="s">
        <v>4638</v>
      </c>
      <c r="B3719" s="12" t="s">
        <v>661</v>
      </c>
      <c r="C3719" s="12" t="s">
        <v>662</v>
      </c>
      <c r="D3719" s="12" t="s">
        <v>175</v>
      </c>
      <c r="E3719" s="12" t="s">
        <v>104</v>
      </c>
      <c r="F3719">
        <v>1</v>
      </c>
      <c r="G3719">
        <v>0</v>
      </c>
      <c r="H3719">
        <v>1</v>
      </c>
      <c r="I3719" s="12" t="s">
        <v>183</v>
      </c>
      <c r="J3719" s="12" t="s">
        <v>184</v>
      </c>
      <c r="K3719" s="12" t="s">
        <v>133</v>
      </c>
      <c r="L3719" s="12" t="s">
        <v>82</v>
      </c>
      <c r="M3719">
        <v>8.6199999999999992</v>
      </c>
      <c r="N3719" s="12" t="s">
        <v>107</v>
      </c>
      <c r="O3719" s="12" t="s">
        <v>108</v>
      </c>
      <c r="P3719" s="12" t="s">
        <v>109</v>
      </c>
      <c r="Q3719" s="13">
        <v>45593</v>
      </c>
      <c r="R3719" s="13">
        <v>45622</v>
      </c>
      <c r="S3719">
        <v>2024</v>
      </c>
      <c r="T3719" s="12" t="s">
        <v>4461</v>
      </c>
      <c r="U3719">
        <v>148</v>
      </c>
      <c r="V3719">
        <v>180.0376</v>
      </c>
      <c r="W3719">
        <v>199.56</v>
      </c>
      <c r="X3719">
        <v>0</v>
      </c>
      <c r="Y3719">
        <v>0</v>
      </c>
      <c r="Z3719">
        <v>26645.56</v>
      </c>
      <c r="AA3719">
        <v>26845.119999999999</v>
      </c>
      <c r="AB3719" s="12" t="s">
        <v>2851</v>
      </c>
      <c r="AC3719">
        <v>180.0376</v>
      </c>
      <c r="AD3719">
        <v>1</v>
      </c>
      <c r="AE3719">
        <v>1</v>
      </c>
      <c r="AF3719">
        <v>0</v>
      </c>
      <c r="AG3719">
        <v>26645.56</v>
      </c>
      <c r="AH3719">
        <v>148</v>
      </c>
      <c r="AI3719">
        <v>147</v>
      </c>
      <c r="AJ3719">
        <v>1</v>
      </c>
      <c r="AK3719">
        <v>1</v>
      </c>
      <c r="AL3719">
        <v>1</v>
      </c>
      <c r="AM3719">
        <v>99.32</v>
      </c>
      <c r="AN3719">
        <v>182.6199</v>
      </c>
      <c r="AO3719">
        <v>180.04</v>
      </c>
      <c r="AP3719" s="13">
        <v>45619</v>
      </c>
      <c r="AQ3719">
        <v>-3</v>
      </c>
      <c r="AR3719">
        <v>1</v>
      </c>
    </row>
    <row r="3720" spans="1:44" x14ac:dyDescent="0.35">
      <c r="A3720" s="12" t="s">
        <v>4639</v>
      </c>
      <c r="B3720" s="12" t="s">
        <v>685</v>
      </c>
      <c r="C3720" s="12" t="s">
        <v>686</v>
      </c>
      <c r="D3720" s="12" t="s">
        <v>175</v>
      </c>
      <c r="E3720" s="12" t="s">
        <v>104</v>
      </c>
      <c r="F3720">
        <v>2</v>
      </c>
      <c r="G3720">
        <v>0</v>
      </c>
      <c r="H3720">
        <v>0</v>
      </c>
      <c r="I3720" s="12" t="s">
        <v>243</v>
      </c>
      <c r="J3720" s="12" t="s">
        <v>244</v>
      </c>
      <c r="K3720" s="12" t="s">
        <v>81</v>
      </c>
      <c r="L3720" s="12" t="s">
        <v>82</v>
      </c>
      <c r="M3720">
        <v>9.2200000000000006</v>
      </c>
      <c r="N3720" s="12" t="s">
        <v>107</v>
      </c>
      <c r="O3720" s="12" t="s">
        <v>108</v>
      </c>
      <c r="P3720" s="12" t="s">
        <v>109</v>
      </c>
      <c r="Q3720" s="13">
        <v>45594</v>
      </c>
      <c r="R3720" s="13">
        <v>45612</v>
      </c>
      <c r="S3720">
        <v>2024</v>
      </c>
      <c r="T3720" s="12" t="s">
        <v>4461</v>
      </c>
      <c r="U3720">
        <v>63</v>
      </c>
      <c r="V3720">
        <v>243.87209999999999</v>
      </c>
      <c r="W3720">
        <v>272.01</v>
      </c>
      <c r="X3720">
        <v>0</v>
      </c>
      <c r="Y3720">
        <v>0</v>
      </c>
      <c r="Z3720">
        <v>15363.94</v>
      </c>
      <c r="AA3720">
        <v>15635.95</v>
      </c>
      <c r="AB3720" s="12" t="s">
        <v>201</v>
      </c>
      <c r="AD3720">
        <v>0</v>
      </c>
      <c r="AE3720">
        <v>0</v>
      </c>
      <c r="AH3720">
        <v>63</v>
      </c>
      <c r="AI3720">
        <v>62</v>
      </c>
      <c r="AJ3720">
        <v>1</v>
      </c>
      <c r="AK3720">
        <v>1</v>
      </c>
      <c r="AL3720">
        <v>1</v>
      </c>
      <c r="AM3720">
        <v>98.41</v>
      </c>
      <c r="AN3720">
        <v>252.19280000000001</v>
      </c>
      <c r="AO3720">
        <v>243.87</v>
      </c>
      <c r="AP3720" s="13">
        <v>45612</v>
      </c>
      <c r="AQ3720">
        <v>0</v>
      </c>
      <c r="AR3720">
        <v>1</v>
      </c>
    </row>
    <row r="3721" spans="1:44" x14ac:dyDescent="0.35">
      <c r="A3721" s="12" t="s">
        <v>4640</v>
      </c>
      <c r="B3721" s="12" t="s">
        <v>728</v>
      </c>
      <c r="C3721" s="12" t="s">
        <v>729</v>
      </c>
      <c r="D3721" s="12" t="s">
        <v>269</v>
      </c>
      <c r="E3721" s="12" t="s">
        <v>65</v>
      </c>
      <c r="F3721">
        <v>2</v>
      </c>
      <c r="G3721">
        <v>3</v>
      </c>
      <c r="H3721">
        <v>0</v>
      </c>
      <c r="I3721" s="12" t="s">
        <v>243</v>
      </c>
      <c r="J3721" s="12" t="s">
        <v>244</v>
      </c>
      <c r="K3721" s="12" t="s">
        <v>81</v>
      </c>
      <c r="L3721" s="12" t="s">
        <v>82</v>
      </c>
      <c r="M3721">
        <v>9.2200000000000006</v>
      </c>
      <c r="N3721" s="12" t="s">
        <v>159</v>
      </c>
      <c r="O3721" s="12" t="s">
        <v>160</v>
      </c>
      <c r="P3721" s="12" t="s">
        <v>137</v>
      </c>
      <c r="Q3721" s="13">
        <v>45594</v>
      </c>
      <c r="R3721" s="13">
        <v>45629</v>
      </c>
      <c r="S3721">
        <v>2024</v>
      </c>
      <c r="T3721" s="12" t="s">
        <v>4461</v>
      </c>
      <c r="U3721">
        <v>122</v>
      </c>
      <c r="V3721">
        <v>364.83319999999998</v>
      </c>
      <c r="W3721">
        <v>796.79</v>
      </c>
      <c r="X3721">
        <v>0</v>
      </c>
      <c r="Y3721">
        <v>0</v>
      </c>
      <c r="Z3721">
        <v>44509.65</v>
      </c>
      <c r="AA3721">
        <v>45306.44</v>
      </c>
      <c r="AB3721" s="12" t="s">
        <v>3540</v>
      </c>
      <c r="AC3721">
        <v>364.83319999999998</v>
      </c>
      <c r="AD3721">
        <v>1</v>
      </c>
      <c r="AE3721">
        <v>1</v>
      </c>
      <c r="AF3721">
        <v>0</v>
      </c>
      <c r="AG3721">
        <v>44509.65</v>
      </c>
      <c r="AH3721">
        <v>122</v>
      </c>
      <c r="AI3721">
        <v>121</v>
      </c>
      <c r="AJ3721">
        <v>1</v>
      </c>
      <c r="AK3721">
        <v>1</v>
      </c>
      <c r="AL3721">
        <v>1</v>
      </c>
      <c r="AM3721">
        <v>99.18</v>
      </c>
      <c r="AN3721">
        <v>374.43340000000001</v>
      </c>
      <c r="AO3721">
        <v>364.83</v>
      </c>
      <c r="AP3721" s="13">
        <v>45628</v>
      </c>
      <c r="AQ3721">
        <v>-1</v>
      </c>
      <c r="AR3721">
        <v>1</v>
      </c>
    </row>
    <row r="3722" spans="1:44" x14ac:dyDescent="0.35">
      <c r="A3722" s="12" t="s">
        <v>4641</v>
      </c>
      <c r="B3722" s="12" t="s">
        <v>215</v>
      </c>
      <c r="C3722" s="12" t="s">
        <v>216</v>
      </c>
      <c r="D3722" s="12" t="s">
        <v>122</v>
      </c>
      <c r="E3722" s="12" t="s">
        <v>142</v>
      </c>
      <c r="F3722">
        <v>3</v>
      </c>
      <c r="G3722">
        <v>11</v>
      </c>
      <c r="H3722">
        <v>0</v>
      </c>
      <c r="I3722" s="12" t="s">
        <v>217</v>
      </c>
      <c r="J3722" s="12" t="s">
        <v>218</v>
      </c>
      <c r="K3722" s="12" t="s">
        <v>68</v>
      </c>
      <c r="L3722" s="12" t="s">
        <v>82</v>
      </c>
      <c r="M3722">
        <v>14.24</v>
      </c>
      <c r="N3722" s="12" t="s">
        <v>70</v>
      </c>
      <c r="O3722" s="12" t="s">
        <v>71</v>
      </c>
      <c r="P3722" s="12" t="s">
        <v>72</v>
      </c>
      <c r="Q3722" s="13">
        <v>45594</v>
      </c>
      <c r="R3722" s="13">
        <v>45630</v>
      </c>
      <c r="S3722">
        <v>2024</v>
      </c>
      <c r="T3722" s="12" t="s">
        <v>4461</v>
      </c>
      <c r="U3722">
        <v>315</v>
      </c>
      <c r="V3722">
        <v>14.797000000000001</v>
      </c>
      <c r="W3722">
        <v>63.03</v>
      </c>
      <c r="X3722">
        <v>0</v>
      </c>
      <c r="Y3722">
        <v>0</v>
      </c>
      <c r="Z3722">
        <v>4661.0600000000004</v>
      </c>
      <c r="AA3722">
        <v>4724.09</v>
      </c>
      <c r="AB3722" s="12" t="s">
        <v>2696</v>
      </c>
      <c r="AC3722">
        <v>14.797000000000001</v>
      </c>
      <c r="AD3722">
        <v>1</v>
      </c>
      <c r="AE3722">
        <v>1</v>
      </c>
      <c r="AF3722">
        <v>0</v>
      </c>
      <c r="AG3722">
        <v>4661.0600000000004</v>
      </c>
      <c r="AH3722">
        <v>315</v>
      </c>
      <c r="AI3722">
        <v>313</v>
      </c>
      <c r="AJ3722">
        <v>2</v>
      </c>
      <c r="AK3722">
        <v>1</v>
      </c>
      <c r="AL3722">
        <v>1</v>
      </c>
      <c r="AM3722">
        <v>99.37</v>
      </c>
      <c r="AN3722">
        <v>15.0929</v>
      </c>
      <c r="AO3722">
        <v>29.59</v>
      </c>
      <c r="AP3722" s="13">
        <v>45635</v>
      </c>
      <c r="AQ3722">
        <v>5</v>
      </c>
      <c r="AR3722">
        <v>0</v>
      </c>
    </row>
    <row r="3723" spans="1:44" x14ac:dyDescent="0.35">
      <c r="A3723" s="12" t="s">
        <v>4642</v>
      </c>
      <c r="B3723" s="12" t="s">
        <v>670</v>
      </c>
      <c r="C3723" s="12" t="s">
        <v>671</v>
      </c>
      <c r="D3723" s="12" t="s">
        <v>175</v>
      </c>
      <c r="E3723" s="12" t="s">
        <v>142</v>
      </c>
      <c r="F3723">
        <v>2</v>
      </c>
      <c r="G3723">
        <v>9</v>
      </c>
      <c r="H3723">
        <v>0</v>
      </c>
      <c r="I3723" s="12" t="s">
        <v>233</v>
      </c>
      <c r="J3723" s="12" t="s">
        <v>234</v>
      </c>
      <c r="K3723" s="12" t="s">
        <v>125</v>
      </c>
      <c r="L3723" s="12" t="s">
        <v>96</v>
      </c>
      <c r="M3723">
        <v>3.73</v>
      </c>
      <c r="N3723" s="12" t="s">
        <v>145</v>
      </c>
      <c r="O3723" s="12" t="s">
        <v>146</v>
      </c>
      <c r="P3723" s="12" t="s">
        <v>109</v>
      </c>
      <c r="Q3723" s="13">
        <v>45594</v>
      </c>
      <c r="R3723" s="13">
        <v>45644</v>
      </c>
      <c r="S3723">
        <v>2024</v>
      </c>
      <c r="T3723" s="12" t="s">
        <v>4461</v>
      </c>
      <c r="U3723">
        <v>128</v>
      </c>
      <c r="V3723">
        <v>147.6302</v>
      </c>
      <c r="W3723">
        <v>210.5</v>
      </c>
      <c r="X3723">
        <v>0</v>
      </c>
      <c r="Y3723">
        <v>0</v>
      </c>
      <c r="Z3723">
        <v>18896.669999999998</v>
      </c>
      <c r="AA3723">
        <v>19107.169999999998</v>
      </c>
      <c r="AB3723" s="12" t="s">
        <v>4026</v>
      </c>
      <c r="AC3723">
        <v>147.6302</v>
      </c>
      <c r="AD3723">
        <v>1</v>
      </c>
      <c r="AE3723">
        <v>1</v>
      </c>
      <c r="AF3723">
        <v>0</v>
      </c>
      <c r="AG3723">
        <v>18896.669999999998</v>
      </c>
      <c r="AH3723">
        <v>128</v>
      </c>
      <c r="AI3723">
        <v>126</v>
      </c>
      <c r="AJ3723">
        <v>2</v>
      </c>
      <c r="AK3723">
        <v>1</v>
      </c>
      <c r="AL3723">
        <v>1</v>
      </c>
      <c r="AM3723">
        <v>98.44</v>
      </c>
      <c r="AN3723">
        <v>151.64420000000001</v>
      </c>
      <c r="AO3723">
        <v>295.26</v>
      </c>
      <c r="AP3723" s="13">
        <v>45641</v>
      </c>
      <c r="AQ3723">
        <v>-3</v>
      </c>
      <c r="AR3723">
        <v>1</v>
      </c>
    </row>
    <row r="3724" spans="1:44" x14ac:dyDescent="0.35">
      <c r="A3724" s="12" t="s">
        <v>4643</v>
      </c>
      <c r="B3724" s="12" t="s">
        <v>1433</v>
      </c>
      <c r="C3724" s="12" t="s">
        <v>1434</v>
      </c>
      <c r="D3724" s="12" t="s">
        <v>269</v>
      </c>
      <c r="E3724" s="12" t="s">
        <v>65</v>
      </c>
      <c r="F3724">
        <v>3</v>
      </c>
      <c r="G3724">
        <v>5</v>
      </c>
      <c r="H3724">
        <v>0</v>
      </c>
      <c r="I3724" s="12" t="s">
        <v>223</v>
      </c>
      <c r="J3724" s="12" t="s">
        <v>224</v>
      </c>
      <c r="K3724" s="12" t="s">
        <v>81</v>
      </c>
      <c r="L3724" s="12" t="s">
        <v>134</v>
      </c>
      <c r="M3724">
        <v>2.4900000000000002</v>
      </c>
      <c r="N3724" s="12" t="s">
        <v>159</v>
      </c>
      <c r="O3724" s="12" t="s">
        <v>160</v>
      </c>
      <c r="P3724" s="12" t="s">
        <v>137</v>
      </c>
      <c r="Q3724" s="13">
        <v>45594</v>
      </c>
      <c r="R3724" s="13">
        <v>45628</v>
      </c>
      <c r="S3724">
        <v>2024</v>
      </c>
      <c r="T3724" s="12" t="s">
        <v>4461</v>
      </c>
      <c r="U3724">
        <v>113</v>
      </c>
      <c r="V3724">
        <v>475.73770000000002</v>
      </c>
      <c r="W3724">
        <v>997.27</v>
      </c>
      <c r="X3724">
        <v>0</v>
      </c>
      <c r="Y3724">
        <v>0</v>
      </c>
      <c r="Z3724">
        <v>53758.36</v>
      </c>
      <c r="AA3724">
        <v>54755.63</v>
      </c>
      <c r="AB3724" s="12" t="s">
        <v>201</v>
      </c>
      <c r="AD3724">
        <v>0</v>
      </c>
      <c r="AE3724">
        <v>0</v>
      </c>
      <c r="AH3724">
        <v>113</v>
      </c>
      <c r="AI3724">
        <v>113</v>
      </c>
      <c r="AJ3724">
        <v>0</v>
      </c>
      <c r="AK3724">
        <v>1</v>
      </c>
      <c r="AL3724">
        <v>1</v>
      </c>
      <c r="AM3724">
        <v>100</v>
      </c>
      <c r="AN3724">
        <v>484.56310000000002</v>
      </c>
      <c r="AO3724">
        <v>0</v>
      </c>
      <c r="AP3724" s="13">
        <v>45628</v>
      </c>
      <c r="AQ3724">
        <v>0</v>
      </c>
      <c r="AR3724">
        <v>1</v>
      </c>
    </row>
    <row r="3725" spans="1:44" x14ac:dyDescent="0.35">
      <c r="A3725" s="12" t="s">
        <v>4644</v>
      </c>
      <c r="B3725" s="12" t="s">
        <v>101</v>
      </c>
      <c r="C3725" s="12" t="s">
        <v>102</v>
      </c>
      <c r="D3725" s="12" t="s">
        <v>103</v>
      </c>
      <c r="E3725" s="12" t="s">
        <v>104</v>
      </c>
      <c r="F3725">
        <v>1</v>
      </c>
      <c r="G3725">
        <v>0</v>
      </c>
      <c r="H3725">
        <v>1</v>
      </c>
      <c r="I3725" s="12" t="s">
        <v>105</v>
      </c>
      <c r="J3725" s="12" t="s">
        <v>106</v>
      </c>
      <c r="K3725" s="12" t="s">
        <v>81</v>
      </c>
      <c r="L3725" s="12" t="s">
        <v>96</v>
      </c>
      <c r="M3725">
        <v>5.01</v>
      </c>
      <c r="N3725" s="12" t="s">
        <v>145</v>
      </c>
      <c r="O3725" s="12" t="s">
        <v>146</v>
      </c>
      <c r="P3725" s="12" t="s">
        <v>109</v>
      </c>
      <c r="Q3725" s="13">
        <v>45595</v>
      </c>
      <c r="R3725" s="13">
        <v>45609</v>
      </c>
      <c r="S3725">
        <v>2024</v>
      </c>
      <c r="T3725" s="12" t="s">
        <v>4461</v>
      </c>
      <c r="U3725">
        <v>29</v>
      </c>
      <c r="V3725">
        <v>205.32499999999999</v>
      </c>
      <c r="W3725">
        <v>97.13</v>
      </c>
      <c r="X3725">
        <v>0</v>
      </c>
      <c r="Y3725">
        <v>0</v>
      </c>
      <c r="Z3725">
        <v>5954.43</v>
      </c>
      <c r="AA3725">
        <v>6051.56</v>
      </c>
      <c r="AB3725" s="12" t="s">
        <v>2866</v>
      </c>
      <c r="AC3725">
        <v>205.32499999999999</v>
      </c>
      <c r="AD3725">
        <v>1</v>
      </c>
      <c r="AE3725">
        <v>1</v>
      </c>
      <c r="AF3725">
        <v>0</v>
      </c>
      <c r="AG3725">
        <v>5954.43</v>
      </c>
      <c r="AH3725">
        <v>29</v>
      </c>
      <c r="AI3725">
        <v>29</v>
      </c>
      <c r="AJ3725">
        <v>0</v>
      </c>
      <c r="AK3725">
        <v>1</v>
      </c>
      <c r="AL3725">
        <v>1</v>
      </c>
      <c r="AM3725">
        <v>100</v>
      </c>
      <c r="AN3725">
        <v>208.67429999999999</v>
      </c>
      <c r="AO3725">
        <v>0</v>
      </c>
      <c r="AP3725" s="13">
        <v>45614</v>
      </c>
      <c r="AQ3725">
        <v>5</v>
      </c>
      <c r="AR3725">
        <v>0</v>
      </c>
    </row>
    <row r="3726" spans="1:44" x14ac:dyDescent="0.35">
      <c r="A3726" s="12" t="s">
        <v>4645</v>
      </c>
      <c r="B3726" s="12" t="s">
        <v>766</v>
      </c>
      <c r="C3726" s="12" t="s">
        <v>767</v>
      </c>
      <c r="D3726" s="12" t="s">
        <v>175</v>
      </c>
      <c r="E3726" s="12" t="s">
        <v>65</v>
      </c>
      <c r="F3726">
        <v>3</v>
      </c>
      <c r="G3726">
        <v>5</v>
      </c>
      <c r="H3726">
        <v>0</v>
      </c>
      <c r="I3726" s="12" t="s">
        <v>87</v>
      </c>
      <c r="J3726" s="12" t="s">
        <v>88</v>
      </c>
      <c r="K3726" s="12" t="s">
        <v>89</v>
      </c>
      <c r="L3726" s="12" t="s">
        <v>69</v>
      </c>
      <c r="M3726">
        <v>14.93</v>
      </c>
      <c r="N3726" s="12" t="s">
        <v>145</v>
      </c>
      <c r="O3726" s="12" t="s">
        <v>146</v>
      </c>
      <c r="P3726" s="12" t="s">
        <v>109</v>
      </c>
      <c r="Q3726" s="13">
        <v>45595</v>
      </c>
      <c r="R3726" s="13">
        <v>45618</v>
      </c>
      <c r="S3726">
        <v>2024</v>
      </c>
      <c r="T3726" s="12" t="s">
        <v>4461</v>
      </c>
      <c r="U3726">
        <v>26</v>
      </c>
      <c r="V3726">
        <v>81.825500000000005</v>
      </c>
      <c r="W3726">
        <v>23.16</v>
      </c>
      <c r="X3726">
        <v>0</v>
      </c>
      <c r="Y3726">
        <v>0</v>
      </c>
      <c r="Z3726">
        <v>2127.46</v>
      </c>
      <c r="AA3726">
        <v>2150.62</v>
      </c>
      <c r="AB3726" s="12" t="s">
        <v>3225</v>
      </c>
      <c r="AC3726">
        <v>81.825500000000005</v>
      </c>
      <c r="AD3726">
        <v>1</v>
      </c>
      <c r="AE3726">
        <v>1</v>
      </c>
      <c r="AF3726">
        <v>0</v>
      </c>
      <c r="AG3726">
        <v>2127.46</v>
      </c>
      <c r="AH3726">
        <v>26</v>
      </c>
      <c r="AI3726">
        <v>26</v>
      </c>
      <c r="AJ3726">
        <v>0</v>
      </c>
      <c r="AK3726">
        <v>1</v>
      </c>
      <c r="AL3726">
        <v>1</v>
      </c>
      <c r="AM3726">
        <v>100</v>
      </c>
      <c r="AN3726">
        <v>82.716300000000004</v>
      </c>
      <c r="AO3726">
        <v>0</v>
      </c>
      <c r="AP3726" s="13">
        <v>45615</v>
      </c>
      <c r="AQ3726">
        <v>-3</v>
      </c>
      <c r="AR3726">
        <v>1</v>
      </c>
    </row>
    <row r="3727" spans="1:44" x14ac:dyDescent="0.35">
      <c r="A3727" s="12" t="s">
        <v>4646</v>
      </c>
      <c r="B3727" s="12" t="s">
        <v>843</v>
      </c>
      <c r="C3727" s="12" t="s">
        <v>844</v>
      </c>
      <c r="D3727" s="12" t="s">
        <v>175</v>
      </c>
      <c r="E3727" s="12" t="s">
        <v>65</v>
      </c>
      <c r="F3727">
        <v>3</v>
      </c>
      <c r="G3727">
        <v>5</v>
      </c>
      <c r="H3727">
        <v>0</v>
      </c>
      <c r="I3727" s="12" t="s">
        <v>359</v>
      </c>
      <c r="J3727" s="12" t="s">
        <v>360</v>
      </c>
      <c r="K3727" s="12" t="s">
        <v>133</v>
      </c>
      <c r="L3727" s="12" t="s">
        <v>82</v>
      </c>
      <c r="M3727">
        <v>12.65</v>
      </c>
      <c r="N3727" s="12" t="s">
        <v>145</v>
      </c>
      <c r="O3727" s="12" t="s">
        <v>146</v>
      </c>
      <c r="P3727" s="12" t="s">
        <v>109</v>
      </c>
      <c r="Q3727" s="13">
        <v>45595</v>
      </c>
      <c r="R3727" s="13">
        <v>45619</v>
      </c>
      <c r="S3727">
        <v>2024</v>
      </c>
      <c r="T3727" s="12" t="s">
        <v>4461</v>
      </c>
      <c r="U3727">
        <v>34</v>
      </c>
      <c r="V3727">
        <v>251.77279999999999</v>
      </c>
      <c r="W3727">
        <v>166.32</v>
      </c>
      <c r="X3727">
        <v>0</v>
      </c>
      <c r="Y3727">
        <v>0</v>
      </c>
      <c r="Z3727">
        <v>8560.2800000000007</v>
      </c>
      <c r="AA3727">
        <v>8726.6</v>
      </c>
      <c r="AB3727" s="12" t="s">
        <v>3324</v>
      </c>
      <c r="AC3727">
        <v>251.77279999999999</v>
      </c>
      <c r="AD3727">
        <v>1</v>
      </c>
      <c r="AE3727">
        <v>1</v>
      </c>
      <c r="AF3727">
        <v>0</v>
      </c>
      <c r="AG3727">
        <v>8560.2800000000007</v>
      </c>
      <c r="AH3727">
        <v>34</v>
      </c>
      <c r="AI3727">
        <v>34</v>
      </c>
      <c r="AJ3727">
        <v>0</v>
      </c>
      <c r="AK3727">
        <v>1</v>
      </c>
      <c r="AL3727">
        <v>1</v>
      </c>
      <c r="AM3727">
        <v>100</v>
      </c>
      <c r="AN3727">
        <v>256.66460000000001</v>
      </c>
      <c r="AO3727">
        <v>0</v>
      </c>
      <c r="AP3727" s="13">
        <v>45619</v>
      </c>
      <c r="AQ3727">
        <v>0</v>
      </c>
      <c r="AR3727">
        <v>1</v>
      </c>
    </row>
    <row r="3728" spans="1:44" x14ac:dyDescent="0.35">
      <c r="A3728" s="12" t="s">
        <v>4647</v>
      </c>
      <c r="B3728" s="12" t="s">
        <v>412</v>
      </c>
      <c r="C3728" s="12" t="s">
        <v>413</v>
      </c>
      <c r="D3728" s="12" t="s">
        <v>269</v>
      </c>
      <c r="E3728" s="12" t="s">
        <v>65</v>
      </c>
      <c r="F3728">
        <v>1</v>
      </c>
      <c r="G3728">
        <v>2</v>
      </c>
      <c r="H3728">
        <v>1</v>
      </c>
      <c r="I3728" s="12" t="s">
        <v>233</v>
      </c>
      <c r="J3728" s="12" t="s">
        <v>234</v>
      </c>
      <c r="K3728" s="12" t="s">
        <v>125</v>
      </c>
      <c r="L3728" s="12" t="s">
        <v>96</v>
      </c>
      <c r="M3728">
        <v>3.73</v>
      </c>
      <c r="N3728" s="12" t="s">
        <v>135</v>
      </c>
      <c r="O3728" s="12" t="s">
        <v>136</v>
      </c>
      <c r="P3728" s="12" t="s">
        <v>137</v>
      </c>
      <c r="Q3728" s="13">
        <v>45595</v>
      </c>
      <c r="R3728" s="13">
        <v>45626</v>
      </c>
      <c r="S3728">
        <v>2024</v>
      </c>
      <c r="T3728" s="12" t="s">
        <v>4461</v>
      </c>
      <c r="U3728">
        <v>88</v>
      </c>
      <c r="V3728">
        <v>104.17829999999999</v>
      </c>
      <c r="W3728">
        <v>61.71</v>
      </c>
      <c r="X3728">
        <v>0</v>
      </c>
      <c r="Y3728">
        <v>0</v>
      </c>
      <c r="Z3728">
        <v>9167.69</v>
      </c>
      <c r="AA3728">
        <v>9229.4</v>
      </c>
      <c r="AB3728" s="12" t="s">
        <v>3056</v>
      </c>
      <c r="AC3728">
        <v>104.17829999999999</v>
      </c>
      <c r="AD3728">
        <v>1</v>
      </c>
      <c r="AE3728">
        <v>1</v>
      </c>
      <c r="AF3728">
        <v>0</v>
      </c>
      <c r="AG3728">
        <v>9167.69</v>
      </c>
      <c r="AH3728">
        <v>88</v>
      </c>
      <c r="AI3728">
        <v>87</v>
      </c>
      <c r="AJ3728">
        <v>1</v>
      </c>
      <c r="AK3728">
        <v>1</v>
      </c>
      <c r="AL3728">
        <v>1</v>
      </c>
      <c r="AM3728">
        <v>98.86</v>
      </c>
      <c r="AN3728">
        <v>106.0851</v>
      </c>
      <c r="AO3728">
        <v>104.18</v>
      </c>
      <c r="AP3728" s="13">
        <v>45629</v>
      </c>
      <c r="AQ3728">
        <v>3</v>
      </c>
      <c r="AR3728">
        <v>0</v>
      </c>
    </row>
    <row r="3729" spans="1:44" x14ac:dyDescent="0.35">
      <c r="A3729" s="12" t="s">
        <v>4648</v>
      </c>
      <c r="B3729" s="12" t="s">
        <v>261</v>
      </c>
      <c r="C3729" s="12" t="s">
        <v>262</v>
      </c>
      <c r="D3729" s="12" t="s">
        <v>114</v>
      </c>
      <c r="E3729" s="12" t="s">
        <v>142</v>
      </c>
      <c r="F3729">
        <v>1</v>
      </c>
      <c r="G3729">
        <v>8</v>
      </c>
      <c r="H3729">
        <v>1</v>
      </c>
      <c r="I3729" s="12" t="s">
        <v>263</v>
      </c>
      <c r="J3729" s="12" t="s">
        <v>264</v>
      </c>
      <c r="K3729" s="12" t="s">
        <v>125</v>
      </c>
      <c r="L3729" s="12" t="s">
        <v>82</v>
      </c>
      <c r="M3729">
        <v>10.210000000000001</v>
      </c>
      <c r="N3729" s="12" t="s">
        <v>97</v>
      </c>
      <c r="O3729" s="12" t="s">
        <v>98</v>
      </c>
      <c r="P3729" s="12" t="s">
        <v>72</v>
      </c>
      <c r="Q3729" s="13">
        <v>45595</v>
      </c>
      <c r="R3729" s="13">
        <v>45635</v>
      </c>
      <c r="S3729">
        <v>2024</v>
      </c>
      <c r="T3729" s="12" t="s">
        <v>4461</v>
      </c>
      <c r="U3729">
        <v>55</v>
      </c>
      <c r="V3729">
        <v>137.84569999999999</v>
      </c>
      <c r="W3729">
        <v>75.790000000000006</v>
      </c>
      <c r="X3729">
        <v>0</v>
      </c>
      <c r="Y3729">
        <v>0</v>
      </c>
      <c r="Z3729">
        <v>7581.51</v>
      </c>
      <c r="AA3729">
        <v>7657.3</v>
      </c>
      <c r="AB3729" s="12" t="s">
        <v>2655</v>
      </c>
      <c r="AC3729">
        <v>137.84569999999999</v>
      </c>
      <c r="AD3729">
        <v>1</v>
      </c>
      <c r="AE3729">
        <v>1</v>
      </c>
      <c r="AF3729">
        <v>0</v>
      </c>
      <c r="AG3729">
        <v>7581.51</v>
      </c>
      <c r="AH3729">
        <v>55</v>
      </c>
      <c r="AI3729">
        <v>54</v>
      </c>
      <c r="AJ3729">
        <v>1</v>
      </c>
      <c r="AK3729">
        <v>1</v>
      </c>
      <c r="AL3729">
        <v>1</v>
      </c>
      <c r="AM3729">
        <v>98.18</v>
      </c>
      <c r="AN3729">
        <v>141.80189999999999</v>
      </c>
      <c r="AO3729">
        <v>137.85</v>
      </c>
      <c r="AP3729" s="13">
        <v>45635</v>
      </c>
      <c r="AQ3729">
        <v>0</v>
      </c>
      <c r="AR3729">
        <v>1</v>
      </c>
    </row>
    <row r="3730" spans="1:44" x14ac:dyDescent="0.35">
      <c r="A3730" s="12" t="s">
        <v>4649</v>
      </c>
      <c r="B3730" s="12" t="s">
        <v>1068</v>
      </c>
      <c r="C3730" s="12" t="s">
        <v>1069</v>
      </c>
      <c r="D3730" s="12" t="s">
        <v>122</v>
      </c>
      <c r="E3730" s="12" t="s">
        <v>65</v>
      </c>
      <c r="F3730">
        <v>2</v>
      </c>
      <c r="G3730">
        <v>2</v>
      </c>
      <c r="H3730">
        <v>0</v>
      </c>
      <c r="I3730" s="12" t="s">
        <v>79</v>
      </c>
      <c r="J3730" s="12" t="s">
        <v>80</v>
      </c>
      <c r="K3730" s="12" t="s">
        <v>81</v>
      </c>
      <c r="L3730" s="12" t="s">
        <v>82</v>
      </c>
      <c r="M3730">
        <v>12.07</v>
      </c>
      <c r="N3730" s="12" t="s">
        <v>70</v>
      </c>
      <c r="O3730" s="12" t="s">
        <v>71</v>
      </c>
      <c r="P3730" s="12" t="s">
        <v>72</v>
      </c>
      <c r="Q3730" s="13">
        <v>45595</v>
      </c>
      <c r="R3730" s="13">
        <v>45629</v>
      </c>
      <c r="S3730">
        <v>2024</v>
      </c>
      <c r="T3730" s="12" t="s">
        <v>4461</v>
      </c>
      <c r="U3730">
        <v>1570</v>
      </c>
      <c r="V3730">
        <v>21.277999999999999</v>
      </c>
      <c r="W3730">
        <v>379.95</v>
      </c>
      <c r="X3730">
        <v>0</v>
      </c>
      <c r="Y3730">
        <v>0</v>
      </c>
      <c r="Z3730">
        <v>33406.46</v>
      </c>
      <c r="AA3730">
        <v>33786.410000000003</v>
      </c>
      <c r="AB3730" s="12" t="s">
        <v>3113</v>
      </c>
      <c r="AC3730">
        <v>21.277999999999999</v>
      </c>
      <c r="AD3730">
        <v>1</v>
      </c>
      <c r="AE3730">
        <v>1</v>
      </c>
      <c r="AF3730">
        <v>0</v>
      </c>
      <c r="AG3730">
        <v>33406.46</v>
      </c>
      <c r="AH3730">
        <v>1570</v>
      </c>
      <c r="AI3730">
        <v>1563</v>
      </c>
      <c r="AJ3730">
        <v>7</v>
      </c>
      <c r="AK3730">
        <v>1</v>
      </c>
      <c r="AL3730">
        <v>1</v>
      </c>
      <c r="AM3730">
        <v>99.55</v>
      </c>
      <c r="AN3730">
        <v>21.616399999999999</v>
      </c>
      <c r="AO3730">
        <v>148.94999999999999</v>
      </c>
      <c r="AP3730" s="13">
        <v>45629</v>
      </c>
      <c r="AQ3730">
        <v>0</v>
      </c>
      <c r="AR3730">
        <v>1</v>
      </c>
    </row>
    <row r="3731" spans="1:44" x14ac:dyDescent="0.35">
      <c r="A3731" s="12" t="s">
        <v>4650</v>
      </c>
      <c r="B3731" s="12" t="s">
        <v>876</v>
      </c>
      <c r="C3731" s="12" t="s">
        <v>877</v>
      </c>
      <c r="D3731" s="12" t="s">
        <v>269</v>
      </c>
      <c r="E3731" s="12" t="s">
        <v>142</v>
      </c>
      <c r="F3731">
        <v>3</v>
      </c>
      <c r="G3731">
        <v>11</v>
      </c>
      <c r="H3731">
        <v>0</v>
      </c>
      <c r="I3731" s="12" t="s">
        <v>310</v>
      </c>
      <c r="J3731" s="12" t="s">
        <v>311</v>
      </c>
      <c r="K3731" s="12" t="s">
        <v>81</v>
      </c>
      <c r="L3731" s="12" t="s">
        <v>69</v>
      </c>
      <c r="M3731">
        <v>28.3</v>
      </c>
      <c r="N3731" s="12" t="s">
        <v>159</v>
      </c>
      <c r="O3731" s="12" t="s">
        <v>160</v>
      </c>
      <c r="P3731" s="12" t="s">
        <v>137</v>
      </c>
      <c r="Q3731" s="13">
        <v>45595</v>
      </c>
      <c r="R3731" s="13">
        <v>45639</v>
      </c>
      <c r="S3731">
        <v>2024</v>
      </c>
      <c r="T3731" s="12" t="s">
        <v>4461</v>
      </c>
      <c r="U3731">
        <v>82</v>
      </c>
      <c r="V3731">
        <v>199.4896</v>
      </c>
      <c r="W3731">
        <v>186.27</v>
      </c>
      <c r="X3731">
        <v>0</v>
      </c>
      <c r="Y3731">
        <v>0</v>
      </c>
      <c r="Z3731">
        <v>16358.15</v>
      </c>
      <c r="AA3731">
        <v>16544.419999999998</v>
      </c>
      <c r="AB3731" s="12" t="s">
        <v>4212</v>
      </c>
      <c r="AC3731">
        <v>199.4896</v>
      </c>
      <c r="AD3731">
        <v>1</v>
      </c>
      <c r="AE3731">
        <v>1</v>
      </c>
      <c r="AF3731">
        <v>0</v>
      </c>
      <c r="AG3731">
        <v>16358.15</v>
      </c>
      <c r="AH3731">
        <v>82</v>
      </c>
      <c r="AI3731">
        <v>82</v>
      </c>
      <c r="AJ3731">
        <v>0</v>
      </c>
      <c r="AK3731">
        <v>1</v>
      </c>
      <c r="AL3731">
        <v>1</v>
      </c>
      <c r="AM3731">
        <v>100</v>
      </c>
      <c r="AN3731">
        <v>201.7612</v>
      </c>
      <c r="AO3731">
        <v>0</v>
      </c>
      <c r="AP3731" s="13">
        <v>45646</v>
      </c>
      <c r="AQ3731">
        <v>7</v>
      </c>
      <c r="AR3731">
        <v>0</v>
      </c>
    </row>
    <row r="3732" spans="1:44" x14ac:dyDescent="0.35">
      <c r="A3732" s="12" t="s">
        <v>4651</v>
      </c>
      <c r="B3732" s="12" t="s">
        <v>569</v>
      </c>
      <c r="C3732" s="12" t="s">
        <v>570</v>
      </c>
      <c r="D3732" s="12" t="s">
        <v>114</v>
      </c>
      <c r="E3732" s="12" t="s">
        <v>142</v>
      </c>
      <c r="F3732">
        <v>1</v>
      </c>
      <c r="G3732">
        <v>6</v>
      </c>
      <c r="H3732">
        <v>1</v>
      </c>
      <c r="I3732" s="12" t="s">
        <v>123</v>
      </c>
      <c r="J3732" s="12" t="s">
        <v>124</v>
      </c>
      <c r="K3732" s="12" t="s">
        <v>125</v>
      </c>
      <c r="L3732" s="12" t="s">
        <v>82</v>
      </c>
      <c r="M3732">
        <v>6.75</v>
      </c>
      <c r="N3732" s="12" t="s">
        <v>97</v>
      </c>
      <c r="O3732" s="12" t="s">
        <v>98</v>
      </c>
      <c r="P3732" s="12" t="s">
        <v>72</v>
      </c>
      <c r="Q3732" s="13">
        <v>45595</v>
      </c>
      <c r="R3732" s="13">
        <v>45643</v>
      </c>
      <c r="S3732">
        <v>2024</v>
      </c>
      <c r="T3732" s="12" t="s">
        <v>4461</v>
      </c>
      <c r="U3732">
        <v>113</v>
      </c>
      <c r="V3732">
        <v>349.07319999999999</v>
      </c>
      <c r="W3732">
        <v>669.96</v>
      </c>
      <c r="X3732">
        <v>0</v>
      </c>
      <c r="Y3732">
        <v>0</v>
      </c>
      <c r="Z3732">
        <v>39445.269999999997</v>
      </c>
      <c r="AA3732">
        <v>40115.230000000003</v>
      </c>
      <c r="AB3732" s="12" t="s">
        <v>3205</v>
      </c>
      <c r="AC3732">
        <v>349.07319999999999</v>
      </c>
      <c r="AD3732">
        <v>1</v>
      </c>
      <c r="AE3732">
        <v>1</v>
      </c>
      <c r="AF3732">
        <v>0</v>
      </c>
      <c r="AG3732">
        <v>39445.269999999997</v>
      </c>
      <c r="AH3732">
        <v>113</v>
      </c>
      <c r="AI3732">
        <v>113</v>
      </c>
      <c r="AJ3732">
        <v>0</v>
      </c>
      <c r="AK3732">
        <v>1</v>
      </c>
      <c r="AL3732">
        <v>1</v>
      </c>
      <c r="AM3732">
        <v>100</v>
      </c>
      <c r="AN3732">
        <v>355.00200000000001</v>
      </c>
      <c r="AO3732">
        <v>0</v>
      </c>
      <c r="AP3732" s="13">
        <v>45641</v>
      </c>
      <c r="AQ3732">
        <v>-2</v>
      </c>
      <c r="AR3732">
        <v>1</v>
      </c>
    </row>
    <row r="3733" spans="1:44" x14ac:dyDescent="0.35">
      <c r="A3733" s="12" t="s">
        <v>4652</v>
      </c>
      <c r="B3733" s="12" t="s">
        <v>490</v>
      </c>
      <c r="C3733" s="12" t="s">
        <v>491</v>
      </c>
      <c r="D3733" s="12" t="s">
        <v>130</v>
      </c>
      <c r="E3733" s="12" t="s">
        <v>104</v>
      </c>
      <c r="F3733">
        <v>3</v>
      </c>
      <c r="G3733">
        <v>1</v>
      </c>
      <c r="H3733">
        <v>0</v>
      </c>
      <c r="I3733" s="12" t="s">
        <v>243</v>
      </c>
      <c r="J3733" s="12" t="s">
        <v>244</v>
      </c>
      <c r="K3733" s="12" t="s">
        <v>81</v>
      </c>
      <c r="L3733" s="12" t="s">
        <v>82</v>
      </c>
      <c r="M3733">
        <v>9.2200000000000006</v>
      </c>
      <c r="N3733" s="12" t="s">
        <v>159</v>
      </c>
      <c r="O3733" s="12" t="s">
        <v>160</v>
      </c>
      <c r="P3733" s="12" t="s">
        <v>137</v>
      </c>
      <c r="Q3733" s="13">
        <v>45595</v>
      </c>
      <c r="R3733" s="13">
        <v>45607</v>
      </c>
      <c r="S3733">
        <v>2024</v>
      </c>
      <c r="T3733" s="12" t="s">
        <v>4461</v>
      </c>
      <c r="U3733">
        <v>10</v>
      </c>
      <c r="V3733">
        <v>298.81189999999998</v>
      </c>
      <c r="W3733">
        <v>70.98</v>
      </c>
      <c r="X3733">
        <v>0</v>
      </c>
      <c r="Y3733">
        <v>0</v>
      </c>
      <c r="Z3733">
        <v>2988.12</v>
      </c>
      <c r="AA3733">
        <v>3059.1</v>
      </c>
      <c r="AB3733" s="12" t="s">
        <v>201</v>
      </c>
      <c r="AD3733">
        <v>0</v>
      </c>
      <c r="AE3733">
        <v>0</v>
      </c>
      <c r="AH3733">
        <v>10</v>
      </c>
      <c r="AI3733">
        <v>10</v>
      </c>
      <c r="AJ3733">
        <v>0</v>
      </c>
      <c r="AK3733">
        <v>1</v>
      </c>
      <c r="AL3733">
        <v>1</v>
      </c>
      <c r="AM3733">
        <v>100</v>
      </c>
      <c r="AN3733">
        <v>305.90989999999999</v>
      </c>
      <c r="AO3733">
        <v>0</v>
      </c>
      <c r="AP3733" s="13">
        <v>45606</v>
      </c>
      <c r="AQ3733">
        <v>-1</v>
      </c>
      <c r="AR3733">
        <v>1</v>
      </c>
    </row>
    <row r="3734" spans="1:44" x14ac:dyDescent="0.35">
      <c r="A3734" s="12" t="s">
        <v>4653</v>
      </c>
      <c r="B3734" s="12" t="s">
        <v>855</v>
      </c>
      <c r="C3734" s="12" t="s">
        <v>856</v>
      </c>
      <c r="D3734" s="12" t="s">
        <v>269</v>
      </c>
      <c r="E3734" s="12" t="s">
        <v>65</v>
      </c>
      <c r="F3734">
        <v>3</v>
      </c>
      <c r="G3734">
        <v>5</v>
      </c>
      <c r="H3734">
        <v>0</v>
      </c>
      <c r="I3734" s="12" t="s">
        <v>94</v>
      </c>
      <c r="J3734" s="12" t="s">
        <v>95</v>
      </c>
      <c r="K3734" s="12" t="s">
        <v>81</v>
      </c>
      <c r="L3734" s="12" t="s">
        <v>96</v>
      </c>
      <c r="M3734">
        <v>4.8099999999999996</v>
      </c>
      <c r="N3734" s="12" t="s">
        <v>135</v>
      </c>
      <c r="O3734" s="12" t="s">
        <v>136</v>
      </c>
      <c r="P3734" s="12" t="s">
        <v>137</v>
      </c>
      <c r="Q3734" s="13">
        <v>45595</v>
      </c>
      <c r="R3734" s="13">
        <v>45633</v>
      </c>
      <c r="S3734">
        <v>2024</v>
      </c>
      <c r="T3734" s="12" t="s">
        <v>4461</v>
      </c>
      <c r="U3734">
        <v>144</v>
      </c>
      <c r="V3734">
        <v>492.92410000000001</v>
      </c>
      <c r="W3734">
        <v>1136.6199999999999</v>
      </c>
      <c r="X3734">
        <v>0</v>
      </c>
      <c r="Y3734">
        <v>0</v>
      </c>
      <c r="Z3734">
        <v>70981.070000000007</v>
      </c>
      <c r="AA3734">
        <v>72117.69</v>
      </c>
      <c r="AB3734" s="12" t="s">
        <v>3699</v>
      </c>
      <c r="AC3734">
        <v>479.86860000000001</v>
      </c>
      <c r="AD3734">
        <v>1</v>
      </c>
      <c r="AE3734">
        <v>1</v>
      </c>
      <c r="AF3734">
        <v>1879.99</v>
      </c>
      <c r="AG3734">
        <v>69101.08</v>
      </c>
      <c r="AH3734">
        <v>144</v>
      </c>
      <c r="AI3734">
        <v>144</v>
      </c>
      <c r="AJ3734">
        <v>0</v>
      </c>
      <c r="AK3734">
        <v>1</v>
      </c>
      <c r="AL3734">
        <v>1</v>
      </c>
      <c r="AM3734">
        <v>100</v>
      </c>
      <c r="AN3734">
        <v>500.81729999999999</v>
      </c>
      <c r="AO3734">
        <v>0</v>
      </c>
      <c r="AP3734" s="13">
        <v>45632</v>
      </c>
      <c r="AQ3734">
        <v>-1</v>
      </c>
      <c r="AR3734">
        <v>1</v>
      </c>
    </row>
    <row r="3735" spans="1:44" x14ac:dyDescent="0.35">
      <c r="A3735" s="12" t="s">
        <v>4654</v>
      </c>
      <c r="B3735" s="12" t="s">
        <v>736</v>
      </c>
      <c r="C3735" s="12" t="s">
        <v>737</v>
      </c>
      <c r="D3735" s="12" t="s">
        <v>64</v>
      </c>
      <c r="E3735" s="12" t="s">
        <v>104</v>
      </c>
      <c r="F3735">
        <v>3</v>
      </c>
      <c r="G3735">
        <v>1</v>
      </c>
      <c r="H3735">
        <v>0</v>
      </c>
      <c r="I3735" s="12" t="s">
        <v>94</v>
      </c>
      <c r="J3735" s="12" t="s">
        <v>95</v>
      </c>
      <c r="K3735" s="12" t="s">
        <v>81</v>
      </c>
      <c r="L3735" s="12" t="s">
        <v>96</v>
      </c>
      <c r="M3735">
        <v>4.8099999999999996</v>
      </c>
      <c r="N3735" s="12" t="s">
        <v>97</v>
      </c>
      <c r="O3735" s="12" t="s">
        <v>98</v>
      </c>
      <c r="P3735" s="12" t="s">
        <v>72</v>
      </c>
      <c r="Q3735" s="13">
        <v>45595</v>
      </c>
      <c r="R3735" s="13">
        <v>45607</v>
      </c>
      <c r="S3735">
        <v>2024</v>
      </c>
      <c r="T3735" s="12" t="s">
        <v>4461</v>
      </c>
      <c r="U3735">
        <v>123</v>
      </c>
      <c r="V3735">
        <v>22.894600000000001</v>
      </c>
      <c r="W3735">
        <v>30.07</v>
      </c>
      <c r="X3735">
        <v>0</v>
      </c>
      <c r="Y3735">
        <v>0</v>
      </c>
      <c r="Z3735">
        <v>2816.04</v>
      </c>
      <c r="AA3735">
        <v>2846.11</v>
      </c>
      <c r="AB3735" s="12" t="s">
        <v>3251</v>
      </c>
      <c r="AC3735">
        <v>22.894600000000001</v>
      </c>
      <c r="AD3735">
        <v>1</v>
      </c>
      <c r="AE3735">
        <v>1</v>
      </c>
      <c r="AF3735">
        <v>0</v>
      </c>
      <c r="AG3735">
        <v>2816.04</v>
      </c>
      <c r="AH3735">
        <v>123</v>
      </c>
      <c r="AI3735">
        <v>122</v>
      </c>
      <c r="AJ3735">
        <v>1</v>
      </c>
      <c r="AK3735">
        <v>1</v>
      </c>
      <c r="AL3735">
        <v>1</v>
      </c>
      <c r="AM3735">
        <v>99.19</v>
      </c>
      <c r="AN3735">
        <v>23.328700000000001</v>
      </c>
      <c r="AO3735">
        <v>22.89</v>
      </c>
      <c r="AP3735" s="13">
        <v>45606</v>
      </c>
      <c r="AQ3735">
        <v>-1</v>
      </c>
      <c r="AR3735">
        <v>1</v>
      </c>
    </row>
    <row r="3736" spans="1:44" x14ac:dyDescent="0.35">
      <c r="A3736" s="12" t="s">
        <v>4655</v>
      </c>
      <c r="B3736" s="12" t="s">
        <v>941</v>
      </c>
      <c r="C3736" s="12" t="s">
        <v>942</v>
      </c>
      <c r="D3736" s="12" t="s">
        <v>130</v>
      </c>
      <c r="E3736" s="12" t="s">
        <v>104</v>
      </c>
      <c r="F3736">
        <v>2</v>
      </c>
      <c r="G3736">
        <v>0</v>
      </c>
      <c r="H3736">
        <v>0</v>
      </c>
      <c r="I3736" s="12" t="s">
        <v>131</v>
      </c>
      <c r="J3736" s="12" t="s">
        <v>132</v>
      </c>
      <c r="K3736" s="12" t="s">
        <v>133</v>
      </c>
      <c r="L3736" s="12" t="s">
        <v>134</v>
      </c>
      <c r="M3736">
        <v>1.51</v>
      </c>
      <c r="N3736" s="12" t="s">
        <v>135</v>
      </c>
      <c r="O3736" s="12" t="s">
        <v>136</v>
      </c>
      <c r="P3736" s="12" t="s">
        <v>137</v>
      </c>
      <c r="Q3736" s="13">
        <v>45595</v>
      </c>
      <c r="R3736" s="13">
        <v>45613</v>
      </c>
      <c r="S3736">
        <v>2024</v>
      </c>
      <c r="T3736" s="12" t="s">
        <v>4461</v>
      </c>
      <c r="U3736">
        <v>61</v>
      </c>
      <c r="V3736">
        <v>791.13080000000002</v>
      </c>
      <c r="W3736">
        <v>434.19</v>
      </c>
      <c r="X3736">
        <v>0</v>
      </c>
      <c r="Y3736">
        <v>0</v>
      </c>
      <c r="Z3736">
        <v>48258.98</v>
      </c>
      <c r="AA3736">
        <v>48693.17</v>
      </c>
      <c r="AB3736" s="12" t="s">
        <v>3518</v>
      </c>
      <c r="AC3736">
        <v>839.4819</v>
      </c>
      <c r="AD3736">
        <v>1</v>
      </c>
      <c r="AE3736">
        <v>1</v>
      </c>
      <c r="AF3736">
        <v>-2949.42</v>
      </c>
      <c r="AG3736">
        <v>51208.4</v>
      </c>
      <c r="AH3736">
        <v>61</v>
      </c>
      <c r="AI3736">
        <v>55</v>
      </c>
      <c r="AJ3736">
        <v>6</v>
      </c>
      <c r="AK3736">
        <v>1</v>
      </c>
      <c r="AL3736">
        <v>1</v>
      </c>
      <c r="AM3736">
        <v>90.16</v>
      </c>
      <c r="AN3736">
        <v>885.33029999999997</v>
      </c>
      <c r="AO3736">
        <v>4746.78</v>
      </c>
      <c r="AP3736" s="13">
        <v>45611</v>
      </c>
      <c r="AQ3736">
        <v>-2</v>
      </c>
      <c r="AR3736">
        <v>1</v>
      </c>
    </row>
    <row r="3737" spans="1:44" x14ac:dyDescent="0.35">
      <c r="A3737" s="12" t="s">
        <v>4656</v>
      </c>
      <c r="B3737" s="12" t="s">
        <v>561</v>
      </c>
      <c r="C3737" s="12" t="s">
        <v>562</v>
      </c>
      <c r="D3737" s="12" t="s">
        <v>130</v>
      </c>
      <c r="E3737" s="12" t="s">
        <v>142</v>
      </c>
      <c r="F3737">
        <v>1</v>
      </c>
      <c r="G3737">
        <v>9</v>
      </c>
      <c r="H3737">
        <v>1</v>
      </c>
      <c r="I3737" s="12" t="s">
        <v>223</v>
      </c>
      <c r="J3737" s="12" t="s">
        <v>224</v>
      </c>
      <c r="K3737" s="12" t="s">
        <v>81</v>
      </c>
      <c r="L3737" s="12" t="s">
        <v>134</v>
      </c>
      <c r="M3737">
        <v>2.4900000000000002</v>
      </c>
      <c r="N3737" s="12" t="s">
        <v>159</v>
      </c>
      <c r="O3737" s="12" t="s">
        <v>160</v>
      </c>
      <c r="P3737" s="12" t="s">
        <v>137</v>
      </c>
      <c r="Q3737" s="13">
        <v>45595</v>
      </c>
      <c r="R3737" s="13">
        <v>45644</v>
      </c>
      <c r="S3737">
        <v>2024</v>
      </c>
      <c r="T3737" s="12" t="s">
        <v>4461</v>
      </c>
      <c r="U3737">
        <v>120</v>
      </c>
      <c r="V3737">
        <v>547.19029999999998</v>
      </c>
      <c r="W3737">
        <v>949.36</v>
      </c>
      <c r="X3737">
        <v>0</v>
      </c>
      <c r="Y3737">
        <v>0</v>
      </c>
      <c r="Z3737">
        <v>65662.84</v>
      </c>
      <c r="AA3737">
        <v>66612.2</v>
      </c>
      <c r="AB3737" s="12" t="s">
        <v>201</v>
      </c>
      <c r="AD3737">
        <v>0</v>
      </c>
      <c r="AE3737">
        <v>0</v>
      </c>
      <c r="AH3737">
        <v>120</v>
      </c>
      <c r="AI3737">
        <v>120</v>
      </c>
      <c r="AJ3737">
        <v>0</v>
      </c>
      <c r="AK3737">
        <v>1</v>
      </c>
      <c r="AL3737">
        <v>1</v>
      </c>
      <c r="AM3737">
        <v>100</v>
      </c>
      <c r="AN3737">
        <v>555.10159999999996</v>
      </c>
      <c r="AO3737">
        <v>0</v>
      </c>
      <c r="AP3737" s="13">
        <v>45644</v>
      </c>
      <c r="AQ3737">
        <v>0</v>
      </c>
      <c r="AR3737">
        <v>1</v>
      </c>
    </row>
    <row r="3738" spans="1:44" x14ac:dyDescent="0.35">
      <c r="A3738" s="12" t="s">
        <v>4657</v>
      </c>
      <c r="B3738" s="12" t="s">
        <v>412</v>
      </c>
      <c r="C3738" s="12" t="s">
        <v>413</v>
      </c>
      <c r="D3738" s="12" t="s">
        <v>269</v>
      </c>
      <c r="E3738" s="12" t="s">
        <v>65</v>
      </c>
      <c r="F3738">
        <v>1</v>
      </c>
      <c r="G3738">
        <v>2</v>
      </c>
      <c r="H3738">
        <v>1</v>
      </c>
      <c r="I3738" s="12" t="s">
        <v>233</v>
      </c>
      <c r="J3738" s="12" t="s">
        <v>234</v>
      </c>
      <c r="K3738" s="12" t="s">
        <v>125</v>
      </c>
      <c r="L3738" s="12" t="s">
        <v>96</v>
      </c>
      <c r="M3738">
        <v>3.73</v>
      </c>
      <c r="N3738" s="12" t="s">
        <v>135</v>
      </c>
      <c r="O3738" s="12" t="s">
        <v>136</v>
      </c>
      <c r="P3738" s="12" t="s">
        <v>137</v>
      </c>
      <c r="Q3738" s="13">
        <v>45596</v>
      </c>
      <c r="R3738" s="13">
        <v>45619</v>
      </c>
      <c r="S3738">
        <v>2024</v>
      </c>
      <c r="T3738" s="12" t="s">
        <v>4461</v>
      </c>
      <c r="U3738">
        <v>30</v>
      </c>
      <c r="V3738">
        <v>104.17829999999999</v>
      </c>
      <c r="W3738">
        <v>31.79</v>
      </c>
      <c r="X3738">
        <v>0</v>
      </c>
      <c r="Y3738">
        <v>0</v>
      </c>
      <c r="Z3738">
        <v>3125.35</v>
      </c>
      <c r="AA3738">
        <v>3157.14</v>
      </c>
      <c r="AB3738" s="12" t="s">
        <v>3056</v>
      </c>
      <c r="AC3738">
        <v>104.17829999999999</v>
      </c>
      <c r="AD3738">
        <v>1</v>
      </c>
      <c r="AE3738">
        <v>1</v>
      </c>
      <c r="AF3738">
        <v>0</v>
      </c>
      <c r="AG3738">
        <v>3125.35</v>
      </c>
      <c r="AH3738">
        <v>30</v>
      </c>
      <c r="AI3738">
        <v>30</v>
      </c>
      <c r="AJ3738">
        <v>0</v>
      </c>
      <c r="AK3738">
        <v>1</v>
      </c>
      <c r="AL3738">
        <v>1</v>
      </c>
      <c r="AM3738">
        <v>100</v>
      </c>
      <c r="AN3738">
        <v>105.238</v>
      </c>
      <c r="AO3738">
        <v>0</v>
      </c>
      <c r="AP3738" s="13">
        <v>45619</v>
      </c>
      <c r="AQ3738">
        <v>0</v>
      </c>
      <c r="AR3738">
        <v>1</v>
      </c>
    </row>
    <row r="3739" spans="1:44" x14ac:dyDescent="0.35">
      <c r="A3739" s="12" t="s">
        <v>4658</v>
      </c>
      <c r="B3739" s="12" t="s">
        <v>395</v>
      </c>
      <c r="C3739" s="12" t="s">
        <v>396</v>
      </c>
      <c r="D3739" s="12" t="s">
        <v>130</v>
      </c>
      <c r="E3739" s="12" t="s">
        <v>104</v>
      </c>
      <c r="F3739">
        <v>3</v>
      </c>
      <c r="G3739">
        <v>1</v>
      </c>
      <c r="H3739">
        <v>0</v>
      </c>
      <c r="I3739" s="12" t="s">
        <v>341</v>
      </c>
      <c r="J3739" s="12" t="s">
        <v>342</v>
      </c>
      <c r="K3739" s="12" t="s">
        <v>117</v>
      </c>
      <c r="L3739" s="12" t="s">
        <v>82</v>
      </c>
      <c r="M3739">
        <v>18.36</v>
      </c>
      <c r="N3739" s="12" t="s">
        <v>159</v>
      </c>
      <c r="O3739" s="12" t="s">
        <v>160</v>
      </c>
      <c r="P3739" s="12" t="s">
        <v>137</v>
      </c>
      <c r="Q3739" s="13">
        <v>45596</v>
      </c>
      <c r="R3739" s="13">
        <v>45616</v>
      </c>
      <c r="S3739">
        <v>2024</v>
      </c>
      <c r="T3739" s="12" t="s">
        <v>4461</v>
      </c>
      <c r="U3739">
        <v>74</v>
      </c>
      <c r="V3739">
        <v>174.20429999999999</v>
      </c>
      <c r="W3739">
        <v>325</v>
      </c>
      <c r="X3739">
        <v>0</v>
      </c>
      <c r="Y3739">
        <v>0</v>
      </c>
      <c r="Z3739">
        <v>12891.12</v>
      </c>
      <c r="AA3739">
        <v>13216.12</v>
      </c>
      <c r="AB3739" s="12" t="s">
        <v>2742</v>
      </c>
      <c r="AC3739">
        <v>174.20429999999999</v>
      </c>
      <c r="AD3739">
        <v>1</v>
      </c>
      <c r="AE3739">
        <v>1</v>
      </c>
      <c r="AF3739">
        <v>0</v>
      </c>
      <c r="AG3739">
        <v>12891.12</v>
      </c>
      <c r="AH3739">
        <v>74</v>
      </c>
      <c r="AI3739">
        <v>73</v>
      </c>
      <c r="AJ3739">
        <v>1</v>
      </c>
      <c r="AK3739">
        <v>1</v>
      </c>
      <c r="AL3739">
        <v>1</v>
      </c>
      <c r="AM3739">
        <v>98.65</v>
      </c>
      <c r="AN3739">
        <v>181.0427</v>
      </c>
      <c r="AO3739">
        <v>174.2</v>
      </c>
      <c r="AP3739" s="13">
        <v>45623</v>
      </c>
      <c r="AQ3739">
        <v>7</v>
      </c>
      <c r="AR3739">
        <v>0</v>
      </c>
    </row>
    <row r="3740" spans="1:44" x14ac:dyDescent="0.35">
      <c r="A3740" s="12" t="s">
        <v>4659</v>
      </c>
      <c r="B3740" s="12" t="s">
        <v>284</v>
      </c>
      <c r="C3740" s="12" t="s">
        <v>285</v>
      </c>
      <c r="D3740" s="12" t="s">
        <v>269</v>
      </c>
      <c r="E3740" s="12" t="s">
        <v>104</v>
      </c>
      <c r="F3740">
        <v>3</v>
      </c>
      <c r="G3740">
        <v>1</v>
      </c>
      <c r="H3740">
        <v>0</v>
      </c>
      <c r="I3740" s="12" t="s">
        <v>199</v>
      </c>
      <c r="J3740" s="12" t="s">
        <v>200</v>
      </c>
      <c r="K3740" s="12" t="s">
        <v>68</v>
      </c>
      <c r="L3740" s="12" t="s">
        <v>96</v>
      </c>
      <c r="M3740">
        <v>9.4700000000000006</v>
      </c>
      <c r="N3740" s="12" t="s">
        <v>159</v>
      </c>
      <c r="O3740" s="12" t="s">
        <v>160</v>
      </c>
      <c r="P3740" s="12" t="s">
        <v>137</v>
      </c>
      <c r="Q3740" s="13">
        <v>45596</v>
      </c>
      <c r="R3740" s="13">
        <v>45621</v>
      </c>
      <c r="S3740">
        <v>2024</v>
      </c>
      <c r="T3740" s="12" t="s">
        <v>4461</v>
      </c>
      <c r="U3740">
        <v>116</v>
      </c>
      <c r="V3740">
        <v>405.00810000000001</v>
      </c>
      <c r="W3740">
        <v>336.61</v>
      </c>
      <c r="X3740">
        <v>0</v>
      </c>
      <c r="Y3740">
        <v>0</v>
      </c>
      <c r="Z3740">
        <v>46980.94</v>
      </c>
      <c r="AA3740">
        <v>47317.55</v>
      </c>
      <c r="AB3740" s="12" t="s">
        <v>201</v>
      </c>
      <c r="AD3740">
        <v>0</v>
      </c>
      <c r="AE3740">
        <v>0</v>
      </c>
      <c r="AH3740">
        <v>116</v>
      </c>
      <c r="AI3740">
        <v>115</v>
      </c>
      <c r="AJ3740">
        <v>1</v>
      </c>
      <c r="AK3740">
        <v>1</v>
      </c>
      <c r="AL3740">
        <v>1</v>
      </c>
      <c r="AM3740">
        <v>99.14</v>
      </c>
      <c r="AN3740">
        <v>411.45699999999999</v>
      </c>
      <c r="AO3740">
        <v>405.01</v>
      </c>
      <c r="AP3740" s="13">
        <v>45618</v>
      </c>
      <c r="AQ3740">
        <v>-3</v>
      </c>
      <c r="AR3740">
        <v>1</v>
      </c>
    </row>
    <row r="3741" spans="1:44" x14ac:dyDescent="0.35">
      <c r="A3741" s="12" t="s">
        <v>4660</v>
      </c>
      <c r="B3741" s="12" t="s">
        <v>249</v>
      </c>
      <c r="C3741" s="12" t="s">
        <v>250</v>
      </c>
      <c r="D3741" s="12" t="s">
        <v>64</v>
      </c>
      <c r="E3741" s="12" t="s">
        <v>65</v>
      </c>
      <c r="F3741">
        <v>2</v>
      </c>
      <c r="G3741">
        <v>3</v>
      </c>
      <c r="H3741">
        <v>0</v>
      </c>
      <c r="I3741" s="12" t="s">
        <v>251</v>
      </c>
      <c r="J3741" s="12" t="s">
        <v>252</v>
      </c>
      <c r="K3741" s="12" t="s">
        <v>133</v>
      </c>
      <c r="L3741" s="12" t="s">
        <v>69</v>
      </c>
      <c r="M3741">
        <v>34.49</v>
      </c>
      <c r="N3741" s="12" t="s">
        <v>70</v>
      </c>
      <c r="O3741" s="12" t="s">
        <v>71</v>
      </c>
      <c r="P3741" s="12" t="s">
        <v>72</v>
      </c>
      <c r="Q3741" s="13">
        <v>45596</v>
      </c>
      <c r="R3741" s="13">
        <v>45620</v>
      </c>
      <c r="S3741">
        <v>2024</v>
      </c>
      <c r="T3741" s="12" t="s">
        <v>4461</v>
      </c>
      <c r="U3741">
        <v>256</v>
      </c>
      <c r="V3741">
        <v>10.292</v>
      </c>
      <c r="W3741">
        <v>37.94</v>
      </c>
      <c r="X3741">
        <v>0</v>
      </c>
      <c r="Y3741">
        <v>0</v>
      </c>
      <c r="Z3741">
        <v>2634.75</v>
      </c>
      <c r="AA3741">
        <v>2672.69</v>
      </c>
      <c r="AB3741" s="12" t="s">
        <v>2747</v>
      </c>
      <c r="AC3741">
        <v>10.292</v>
      </c>
      <c r="AD3741">
        <v>1</v>
      </c>
      <c r="AE3741">
        <v>1</v>
      </c>
      <c r="AF3741">
        <v>0</v>
      </c>
      <c r="AG3741">
        <v>2634.75</v>
      </c>
      <c r="AH3741">
        <v>256</v>
      </c>
      <c r="AI3741">
        <v>253</v>
      </c>
      <c r="AJ3741">
        <v>3</v>
      </c>
      <c r="AK3741">
        <v>1</v>
      </c>
      <c r="AL3741">
        <v>1</v>
      </c>
      <c r="AM3741">
        <v>98.83</v>
      </c>
      <c r="AN3741">
        <v>10.564</v>
      </c>
      <c r="AO3741">
        <v>30.88</v>
      </c>
      <c r="AP3741" s="13">
        <v>45619</v>
      </c>
      <c r="AQ3741">
        <v>-1</v>
      </c>
      <c r="AR3741">
        <v>1</v>
      </c>
    </row>
    <row r="3742" spans="1:44" x14ac:dyDescent="0.35">
      <c r="A3742" s="12" t="s">
        <v>4661</v>
      </c>
      <c r="B3742" s="12" t="s">
        <v>140</v>
      </c>
      <c r="C3742" s="12" t="s">
        <v>141</v>
      </c>
      <c r="D3742" s="12" t="s">
        <v>103</v>
      </c>
      <c r="E3742" s="12" t="s">
        <v>142</v>
      </c>
      <c r="F3742">
        <v>1</v>
      </c>
      <c r="G3742">
        <v>7</v>
      </c>
      <c r="H3742">
        <v>1</v>
      </c>
      <c r="I3742" s="12" t="s">
        <v>143</v>
      </c>
      <c r="J3742" s="12" t="s">
        <v>144</v>
      </c>
      <c r="K3742" s="12" t="s">
        <v>133</v>
      </c>
      <c r="L3742" s="12" t="s">
        <v>96</v>
      </c>
      <c r="M3742">
        <v>5.43</v>
      </c>
      <c r="N3742" s="12" t="s">
        <v>107</v>
      </c>
      <c r="O3742" s="12" t="s">
        <v>108</v>
      </c>
      <c r="P3742" s="12" t="s">
        <v>109</v>
      </c>
      <c r="Q3742" s="13">
        <v>45596</v>
      </c>
      <c r="R3742" s="13">
        <v>45638</v>
      </c>
      <c r="S3742">
        <v>2024</v>
      </c>
      <c r="T3742" s="12" t="s">
        <v>4461</v>
      </c>
      <c r="U3742">
        <v>70</v>
      </c>
      <c r="V3742">
        <v>198.95339999999999</v>
      </c>
      <c r="W3742">
        <v>162.41999999999999</v>
      </c>
      <c r="X3742">
        <v>0</v>
      </c>
      <c r="Y3742">
        <v>0</v>
      </c>
      <c r="Z3742">
        <v>13926.74</v>
      </c>
      <c r="AA3742">
        <v>14089.16</v>
      </c>
      <c r="AB3742" s="12" t="s">
        <v>2815</v>
      </c>
      <c r="AC3742">
        <v>211.35810000000001</v>
      </c>
      <c r="AD3742">
        <v>1</v>
      </c>
      <c r="AE3742">
        <v>1</v>
      </c>
      <c r="AF3742">
        <v>-868.33</v>
      </c>
      <c r="AG3742">
        <v>14795.07</v>
      </c>
      <c r="AH3742">
        <v>70</v>
      </c>
      <c r="AI3742">
        <v>69</v>
      </c>
      <c r="AJ3742">
        <v>1</v>
      </c>
      <c r="AK3742">
        <v>1</v>
      </c>
      <c r="AL3742">
        <v>1</v>
      </c>
      <c r="AM3742">
        <v>98.57</v>
      </c>
      <c r="AN3742">
        <v>204.19069999999999</v>
      </c>
      <c r="AO3742">
        <v>198.95</v>
      </c>
      <c r="AP3742" s="13">
        <v>45634</v>
      </c>
      <c r="AQ3742">
        <v>-4</v>
      </c>
      <c r="AR3742">
        <v>1</v>
      </c>
    </row>
    <row r="3743" spans="1:44" x14ac:dyDescent="0.35">
      <c r="A3743" s="12" t="s">
        <v>4662</v>
      </c>
      <c r="B3743" s="12" t="s">
        <v>640</v>
      </c>
      <c r="C3743" s="12" t="s">
        <v>641</v>
      </c>
      <c r="D3743" s="12" t="s">
        <v>130</v>
      </c>
      <c r="E3743" s="12" t="s">
        <v>104</v>
      </c>
      <c r="F3743">
        <v>3</v>
      </c>
      <c r="G3743">
        <v>0</v>
      </c>
      <c r="H3743">
        <v>0</v>
      </c>
      <c r="I3743" s="12" t="s">
        <v>209</v>
      </c>
      <c r="J3743" s="12" t="s">
        <v>210</v>
      </c>
      <c r="K3743" s="12" t="s">
        <v>133</v>
      </c>
      <c r="L3743" s="12" t="s">
        <v>96</v>
      </c>
      <c r="M3743">
        <v>7.82</v>
      </c>
      <c r="N3743" s="12" t="s">
        <v>135</v>
      </c>
      <c r="O3743" s="12" t="s">
        <v>136</v>
      </c>
      <c r="P3743" s="12" t="s">
        <v>137</v>
      </c>
      <c r="Q3743" s="13">
        <v>45596</v>
      </c>
      <c r="R3743" s="13">
        <v>45612</v>
      </c>
      <c r="S3743">
        <v>2024</v>
      </c>
      <c r="T3743" s="12" t="s">
        <v>4461</v>
      </c>
      <c r="U3743">
        <v>42</v>
      </c>
      <c r="V3743">
        <v>977.20889999999997</v>
      </c>
      <c r="W3743">
        <v>1014.35</v>
      </c>
      <c r="X3743">
        <v>0</v>
      </c>
      <c r="Y3743">
        <v>0</v>
      </c>
      <c r="Z3743">
        <v>41042.769999999997</v>
      </c>
      <c r="AA3743">
        <v>42057.120000000003</v>
      </c>
      <c r="AB3743" s="12" t="s">
        <v>3211</v>
      </c>
      <c r="AC3743">
        <v>977.20889999999997</v>
      </c>
      <c r="AD3743">
        <v>1</v>
      </c>
      <c r="AE3743">
        <v>1</v>
      </c>
      <c r="AF3743">
        <v>0</v>
      </c>
      <c r="AG3743">
        <v>41042.769999999997</v>
      </c>
      <c r="AH3743">
        <v>42</v>
      </c>
      <c r="AI3743">
        <v>41</v>
      </c>
      <c r="AJ3743">
        <v>1</v>
      </c>
      <c r="AK3743">
        <v>1</v>
      </c>
      <c r="AL3743">
        <v>1</v>
      </c>
      <c r="AM3743">
        <v>97.62</v>
      </c>
      <c r="AN3743">
        <v>1025.7835</v>
      </c>
      <c r="AO3743">
        <v>977.21</v>
      </c>
      <c r="AP3743" s="13">
        <v>45610</v>
      </c>
      <c r="AQ3743">
        <v>-2</v>
      </c>
      <c r="AR3743">
        <v>1</v>
      </c>
    </row>
    <row r="3744" spans="1:44" x14ac:dyDescent="0.35">
      <c r="A3744" s="12" t="s">
        <v>4663</v>
      </c>
      <c r="B3744" s="12" t="s">
        <v>972</v>
      </c>
      <c r="C3744" s="12" t="s">
        <v>973</v>
      </c>
      <c r="D3744" s="12" t="s">
        <v>130</v>
      </c>
      <c r="E3744" s="12" t="s">
        <v>142</v>
      </c>
      <c r="F3744">
        <v>2</v>
      </c>
      <c r="G3744">
        <v>9</v>
      </c>
      <c r="H3744">
        <v>0</v>
      </c>
      <c r="I3744" s="12" t="s">
        <v>676</v>
      </c>
      <c r="J3744" s="12" t="s">
        <v>677</v>
      </c>
      <c r="K3744" s="12" t="s">
        <v>68</v>
      </c>
      <c r="L3744" s="12" t="s">
        <v>96</v>
      </c>
      <c r="M3744">
        <v>3.57</v>
      </c>
      <c r="N3744" s="12" t="s">
        <v>159</v>
      </c>
      <c r="O3744" s="12" t="s">
        <v>160</v>
      </c>
      <c r="P3744" s="12" t="s">
        <v>137</v>
      </c>
      <c r="Q3744" s="13">
        <v>45596</v>
      </c>
      <c r="R3744" s="13">
        <v>45634</v>
      </c>
      <c r="S3744">
        <v>2024</v>
      </c>
      <c r="T3744" s="12" t="s">
        <v>4461</v>
      </c>
      <c r="U3744">
        <v>37</v>
      </c>
      <c r="V3744">
        <v>875.6318</v>
      </c>
      <c r="W3744">
        <v>338.07</v>
      </c>
      <c r="X3744">
        <v>0</v>
      </c>
      <c r="Y3744">
        <v>0</v>
      </c>
      <c r="Z3744">
        <v>32398.38</v>
      </c>
      <c r="AA3744">
        <v>32736.45</v>
      </c>
      <c r="AB3744" s="12" t="s">
        <v>3546</v>
      </c>
      <c r="AC3744">
        <v>841.25639999999999</v>
      </c>
      <c r="AD3744">
        <v>1</v>
      </c>
      <c r="AE3744">
        <v>1</v>
      </c>
      <c r="AF3744">
        <v>1271.8900000000001</v>
      </c>
      <c r="AG3744">
        <v>31126.49</v>
      </c>
      <c r="AH3744">
        <v>37</v>
      </c>
      <c r="AI3744">
        <v>37</v>
      </c>
      <c r="AJ3744">
        <v>0</v>
      </c>
      <c r="AK3744">
        <v>1</v>
      </c>
      <c r="AL3744">
        <v>1</v>
      </c>
      <c r="AM3744">
        <v>100</v>
      </c>
      <c r="AN3744">
        <v>884.76880000000006</v>
      </c>
      <c r="AO3744">
        <v>0</v>
      </c>
      <c r="AP3744" s="13">
        <v>45632</v>
      </c>
      <c r="AQ3744">
        <v>-2</v>
      </c>
      <c r="AR3744">
        <v>1</v>
      </c>
    </row>
    <row r="3745" spans="1:44" x14ac:dyDescent="0.35">
      <c r="A3745" s="12" t="s">
        <v>4664</v>
      </c>
      <c r="B3745" s="12" t="s">
        <v>802</v>
      </c>
      <c r="C3745" s="12" t="s">
        <v>803</v>
      </c>
      <c r="D3745" s="12" t="s">
        <v>114</v>
      </c>
      <c r="E3745" s="12" t="s">
        <v>65</v>
      </c>
      <c r="F3745">
        <v>3</v>
      </c>
      <c r="G3745">
        <v>5</v>
      </c>
      <c r="H3745">
        <v>0</v>
      </c>
      <c r="I3745" s="12" t="s">
        <v>105</v>
      </c>
      <c r="J3745" s="12" t="s">
        <v>106</v>
      </c>
      <c r="K3745" s="12" t="s">
        <v>81</v>
      </c>
      <c r="L3745" s="12" t="s">
        <v>96</v>
      </c>
      <c r="M3745">
        <v>5.01</v>
      </c>
      <c r="N3745" s="12" t="s">
        <v>97</v>
      </c>
      <c r="O3745" s="12" t="s">
        <v>98</v>
      </c>
      <c r="P3745" s="12" t="s">
        <v>72</v>
      </c>
      <c r="Q3745" s="13">
        <v>45597</v>
      </c>
      <c r="R3745" s="13">
        <v>45627</v>
      </c>
      <c r="S3745">
        <v>2024</v>
      </c>
      <c r="T3745" s="12" t="s">
        <v>4665</v>
      </c>
      <c r="U3745">
        <v>84</v>
      </c>
      <c r="V3745">
        <v>376.48779999999999</v>
      </c>
      <c r="W3745">
        <v>211.94</v>
      </c>
      <c r="X3745">
        <v>0</v>
      </c>
      <c r="Y3745">
        <v>0</v>
      </c>
      <c r="Z3745">
        <v>31624.98</v>
      </c>
      <c r="AA3745">
        <v>31836.92</v>
      </c>
      <c r="AB3745" s="12" t="s">
        <v>201</v>
      </c>
      <c r="AD3745">
        <v>0</v>
      </c>
      <c r="AE3745">
        <v>0</v>
      </c>
      <c r="AH3745">
        <v>84</v>
      </c>
      <c r="AI3745">
        <v>83</v>
      </c>
      <c r="AJ3745">
        <v>1</v>
      </c>
      <c r="AK3745">
        <v>1</v>
      </c>
      <c r="AL3745">
        <v>1</v>
      </c>
      <c r="AM3745">
        <v>98.81</v>
      </c>
      <c r="AN3745">
        <v>383.57729999999998</v>
      </c>
      <c r="AO3745">
        <v>376.49</v>
      </c>
      <c r="AP3745" s="13">
        <v>45624</v>
      </c>
      <c r="AQ3745">
        <v>-3</v>
      </c>
      <c r="AR3745">
        <v>1</v>
      </c>
    </row>
    <row r="3746" spans="1:44" x14ac:dyDescent="0.35">
      <c r="A3746" s="12" t="s">
        <v>4666</v>
      </c>
      <c r="B3746" s="12" t="s">
        <v>609</v>
      </c>
      <c r="C3746" s="12" t="s">
        <v>610</v>
      </c>
      <c r="D3746" s="12" t="s">
        <v>64</v>
      </c>
      <c r="E3746" s="12" t="s">
        <v>104</v>
      </c>
      <c r="F3746">
        <v>1</v>
      </c>
      <c r="G3746">
        <v>0</v>
      </c>
      <c r="H3746">
        <v>1</v>
      </c>
      <c r="I3746" s="12" t="s">
        <v>227</v>
      </c>
      <c r="J3746" s="12" t="s">
        <v>228</v>
      </c>
      <c r="K3746" s="12" t="s">
        <v>89</v>
      </c>
      <c r="L3746" s="12" t="s">
        <v>96</v>
      </c>
      <c r="M3746">
        <v>9.15</v>
      </c>
      <c r="N3746" s="12" t="s">
        <v>97</v>
      </c>
      <c r="O3746" s="12" t="s">
        <v>98</v>
      </c>
      <c r="P3746" s="12" t="s">
        <v>72</v>
      </c>
      <c r="Q3746" s="13">
        <v>45597</v>
      </c>
      <c r="R3746" s="13">
        <v>45622</v>
      </c>
      <c r="S3746">
        <v>2024</v>
      </c>
      <c r="T3746" s="12" t="s">
        <v>4665</v>
      </c>
      <c r="U3746">
        <v>772</v>
      </c>
      <c r="V3746">
        <v>19.5001</v>
      </c>
      <c r="W3746">
        <v>97.55</v>
      </c>
      <c r="X3746">
        <v>0</v>
      </c>
      <c r="Y3746">
        <v>0</v>
      </c>
      <c r="Z3746">
        <v>15054.08</v>
      </c>
      <c r="AA3746">
        <v>15151.63</v>
      </c>
      <c r="AB3746" s="12" t="s">
        <v>3349</v>
      </c>
      <c r="AC3746">
        <v>20.698799999999999</v>
      </c>
      <c r="AD3746">
        <v>1</v>
      </c>
      <c r="AE3746">
        <v>1</v>
      </c>
      <c r="AF3746">
        <v>-925.4</v>
      </c>
      <c r="AG3746">
        <v>15979.47</v>
      </c>
      <c r="AH3746">
        <v>772</v>
      </c>
      <c r="AI3746">
        <v>768</v>
      </c>
      <c r="AJ3746">
        <v>4</v>
      </c>
      <c r="AK3746">
        <v>1</v>
      </c>
      <c r="AL3746">
        <v>1</v>
      </c>
      <c r="AM3746">
        <v>99.48</v>
      </c>
      <c r="AN3746">
        <v>19.7287</v>
      </c>
      <c r="AO3746">
        <v>78</v>
      </c>
      <c r="AP3746" s="13">
        <v>45621</v>
      </c>
      <c r="AQ3746">
        <v>-1</v>
      </c>
      <c r="AR3746">
        <v>1</v>
      </c>
    </row>
    <row r="3747" spans="1:44" x14ac:dyDescent="0.35">
      <c r="A3747" s="12" t="s">
        <v>4667</v>
      </c>
      <c r="B3747" s="12" t="s">
        <v>167</v>
      </c>
      <c r="C3747" s="12" t="s">
        <v>168</v>
      </c>
      <c r="D3747" s="12" t="s">
        <v>64</v>
      </c>
      <c r="E3747" s="12" t="s">
        <v>104</v>
      </c>
      <c r="F3747">
        <v>3</v>
      </c>
      <c r="G3747">
        <v>1</v>
      </c>
      <c r="H3747">
        <v>0</v>
      </c>
      <c r="I3747" s="12" t="s">
        <v>169</v>
      </c>
      <c r="J3747" s="12" t="s">
        <v>170</v>
      </c>
      <c r="K3747" s="12" t="s">
        <v>89</v>
      </c>
      <c r="L3747" s="12" t="s">
        <v>134</v>
      </c>
      <c r="M3747">
        <v>1.37</v>
      </c>
      <c r="N3747" s="12" t="s">
        <v>70</v>
      </c>
      <c r="O3747" s="12" t="s">
        <v>71</v>
      </c>
      <c r="P3747" s="12" t="s">
        <v>72</v>
      </c>
      <c r="Q3747" s="13">
        <v>45597</v>
      </c>
      <c r="R3747" s="13">
        <v>45609</v>
      </c>
      <c r="S3747">
        <v>2024</v>
      </c>
      <c r="T3747" s="12" t="s">
        <v>4665</v>
      </c>
      <c r="U3747">
        <v>121</v>
      </c>
      <c r="V3747">
        <v>26.559100000000001</v>
      </c>
      <c r="W3747">
        <v>56.99</v>
      </c>
      <c r="X3747">
        <v>0</v>
      </c>
      <c r="Y3747">
        <v>0</v>
      </c>
      <c r="Z3747">
        <v>3213.65</v>
      </c>
      <c r="AA3747">
        <v>3270.64</v>
      </c>
      <c r="AB3747" s="12" t="s">
        <v>2885</v>
      </c>
      <c r="AC3747">
        <v>26.559100000000001</v>
      </c>
      <c r="AD3747">
        <v>1</v>
      </c>
      <c r="AE3747">
        <v>1</v>
      </c>
      <c r="AF3747">
        <v>0</v>
      </c>
      <c r="AG3747">
        <v>3213.65</v>
      </c>
      <c r="AH3747">
        <v>121</v>
      </c>
      <c r="AI3747">
        <v>121</v>
      </c>
      <c r="AJ3747">
        <v>0</v>
      </c>
      <c r="AK3747">
        <v>1</v>
      </c>
      <c r="AL3747">
        <v>1</v>
      </c>
      <c r="AM3747">
        <v>100</v>
      </c>
      <c r="AN3747">
        <v>27.030100000000001</v>
      </c>
      <c r="AO3747">
        <v>0</v>
      </c>
      <c r="AP3747" s="13">
        <v>45607</v>
      </c>
      <c r="AQ3747">
        <v>-2</v>
      </c>
      <c r="AR3747">
        <v>1</v>
      </c>
    </row>
    <row r="3748" spans="1:44" x14ac:dyDescent="0.35">
      <c r="A3748" s="12" t="s">
        <v>4668</v>
      </c>
      <c r="B3748" s="12" t="s">
        <v>1666</v>
      </c>
      <c r="C3748" s="12" t="s">
        <v>1667</v>
      </c>
      <c r="D3748" s="12" t="s">
        <v>78</v>
      </c>
      <c r="E3748" s="12" t="s">
        <v>65</v>
      </c>
      <c r="F3748">
        <v>2</v>
      </c>
      <c r="G3748">
        <v>3</v>
      </c>
      <c r="H3748">
        <v>0</v>
      </c>
      <c r="I3748" s="12" t="s">
        <v>310</v>
      </c>
      <c r="J3748" s="12" t="s">
        <v>311</v>
      </c>
      <c r="K3748" s="12" t="s">
        <v>81</v>
      </c>
      <c r="L3748" s="12" t="s">
        <v>69</v>
      </c>
      <c r="M3748">
        <v>28.3</v>
      </c>
      <c r="N3748" s="12" t="s">
        <v>70</v>
      </c>
      <c r="O3748" s="12" t="s">
        <v>71</v>
      </c>
      <c r="P3748" s="12" t="s">
        <v>72</v>
      </c>
      <c r="Q3748" s="13">
        <v>45597</v>
      </c>
      <c r="R3748" s="13">
        <v>45631</v>
      </c>
      <c r="S3748">
        <v>2024</v>
      </c>
      <c r="T3748" s="12" t="s">
        <v>4665</v>
      </c>
      <c r="U3748">
        <v>237</v>
      </c>
      <c r="V3748">
        <v>73.412099999999995</v>
      </c>
      <c r="W3748">
        <v>360.54</v>
      </c>
      <c r="X3748">
        <v>550.76</v>
      </c>
      <c r="Y3748">
        <v>1</v>
      </c>
      <c r="Z3748">
        <v>17398.669999999998</v>
      </c>
      <c r="AA3748">
        <v>18309.97</v>
      </c>
      <c r="AB3748" s="12" t="s">
        <v>3090</v>
      </c>
      <c r="AC3748">
        <v>73.412099999999995</v>
      </c>
      <c r="AD3748">
        <v>1</v>
      </c>
      <c r="AE3748">
        <v>1</v>
      </c>
      <c r="AF3748">
        <v>0</v>
      </c>
      <c r="AG3748">
        <v>17398.669999999998</v>
      </c>
      <c r="AH3748">
        <v>237</v>
      </c>
      <c r="AI3748">
        <v>232</v>
      </c>
      <c r="AJ3748">
        <v>5</v>
      </c>
      <c r="AK3748">
        <v>1</v>
      </c>
      <c r="AL3748">
        <v>1</v>
      </c>
      <c r="AM3748">
        <v>97.89</v>
      </c>
      <c r="AN3748">
        <v>78.922300000000007</v>
      </c>
      <c r="AO3748">
        <v>367.06</v>
      </c>
      <c r="AP3748" s="13">
        <v>45629</v>
      </c>
      <c r="AQ3748">
        <v>-2</v>
      </c>
      <c r="AR3748">
        <v>1</v>
      </c>
    </row>
    <row r="3749" spans="1:44" x14ac:dyDescent="0.35">
      <c r="A3749" s="12" t="s">
        <v>4669</v>
      </c>
      <c r="B3749" s="12" t="s">
        <v>823</v>
      </c>
      <c r="C3749" s="12" t="s">
        <v>824</v>
      </c>
      <c r="D3749" s="12" t="s">
        <v>114</v>
      </c>
      <c r="E3749" s="12" t="s">
        <v>142</v>
      </c>
      <c r="F3749">
        <v>1</v>
      </c>
      <c r="G3749">
        <v>8</v>
      </c>
      <c r="H3749">
        <v>1</v>
      </c>
      <c r="I3749" s="12" t="s">
        <v>515</v>
      </c>
      <c r="J3749" s="12" t="s">
        <v>516</v>
      </c>
      <c r="K3749" s="12" t="s">
        <v>68</v>
      </c>
      <c r="L3749" s="12" t="s">
        <v>134</v>
      </c>
      <c r="M3749">
        <v>3.69</v>
      </c>
      <c r="N3749" s="12" t="s">
        <v>70</v>
      </c>
      <c r="O3749" s="12" t="s">
        <v>71</v>
      </c>
      <c r="P3749" s="12" t="s">
        <v>72</v>
      </c>
      <c r="Q3749" s="13">
        <v>45597</v>
      </c>
      <c r="R3749" s="13">
        <v>45640</v>
      </c>
      <c r="S3749">
        <v>2024</v>
      </c>
      <c r="T3749" s="12" t="s">
        <v>4665</v>
      </c>
      <c r="U3749">
        <v>78</v>
      </c>
      <c r="V3749">
        <v>375.82</v>
      </c>
      <c r="W3749">
        <v>581.24</v>
      </c>
      <c r="X3749">
        <v>0</v>
      </c>
      <c r="Y3749">
        <v>0</v>
      </c>
      <c r="Z3749">
        <v>29313.96</v>
      </c>
      <c r="AA3749">
        <v>29895.200000000001</v>
      </c>
      <c r="AB3749" s="12" t="s">
        <v>3483</v>
      </c>
      <c r="AC3749">
        <v>361.71230000000003</v>
      </c>
      <c r="AD3749">
        <v>1</v>
      </c>
      <c r="AE3749">
        <v>1</v>
      </c>
      <c r="AF3749">
        <v>1100.4000000000001</v>
      </c>
      <c r="AG3749">
        <v>28213.56</v>
      </c>
      <c r="AH3749">
        <v>78</v>
      </c>
      <c r="AI3749">
        <v>77</v>
      </c>
      <c r="AJ3749">
        <v>1</v>
      </c>
      <c r="AK3749">
        <v>1</v>
      </c>
      <c r="AL3749">
        <v>1</v>
      </c>
      <c r="AM3749">
        <v>98.72</v>
      </c>
      <c r="AN3749">
        <v>388.24939999999998</v>
      </c>
      <c r="AO3749">
        <v>375.82</v>
      </c>
      <c r="AP3749" s="13">
        <v>45646</v>
      </c>
      <c r="AQ3749">
        <v>6</v>
      </c>
      <c r="AR3749">
        <v>0</v>
      </c>
    </row>
    <row r="3750" spans="1:44" x14ac:dyDescent="0.35">
      <c r="A3750" s="12" t="s">
        <v>4670</v>
      </c>
      <c r="B3750" s="12" t="s">
        <v>827</v>
      </c>
      <c r="C3750" s="12" t="s">
        <v>828</v>
      </c>
      <c r="D3750" s="12" t="s">
        <v>175</v>
      </c>
      <c r="E3750" s="12" t="s">
        <v>104</v>
      </c>
      <c r="F3750">
        <v>2</v>
      </c>
      <c r="G3750">
        <v>0</v>
      </c>
      <c r="H3750">
        <v>0</v>
      </c>
      <c r="I3750" s="12" t="s">
        <v>183</v>
      </c>
      <c r="J3750" s="12" t="s">
        <v>184</v>
      </c>
      <c r="K3750" s="12" t="s">
        <v>133</v>
      </c>
      <c r="L3750" s="12" t="s">
        <v>82</v>
      </c>
      <c r="M3750">
        <v>8.6199999999999992</v>
      </c>
      <c r="N3750" s="12" t="s">
        <v>145</v>
      </c>
      <c r="O3750" s="12" t="s">
        <v>146</v>
      </c>
      <c r="P3750" s="12" t="s">
        <v>109</v>
      </c>
      <c r="Q3750" s="13">
        <v>45597</v>
      </c>
      <c r="R3750" s="13">
        <v>45612</v>
      </c>
      <c r="S3750">
        <v>2024</v>
      </c>
      <c r="T3750" s="12" t="s">
        <v>4665</v>
      </c>
      <c r="U3750">
        <v>34</v>
      </c>
      <c r="V3750">
        <v>101.62560000000001</v>
      </c>
      <c r="W3750">
        <v>73.61</v>
      </c>
      <c r="X3750">
        <v>0</v>
      </c>
      <c r="Y3750">
        <v>0</v>
      </c>
      <c r="Z3750">
        <v>3455.27</v>
      </c>
      <c r="AA3750">
        <v>3528.88</v>
      </c>
      <c r="AB3750" s="12" t="s">
        <v>3394</v>
      </c>
      <c r="AC3750">
        <v>101.62560000000001</v>
      </c>
      <c r="AD3750">
        <v>1</v>
      </c>
      <c r="AE3750">
        <v>1</v>
      </c>
      <c r="AF3750">
        <v>0</v>
      </c>
      <c r="AG3750">
        <v>3455.27</v>
      </c>
      <c r="AH3750">
        <v>34</v>
      </c>
      <c r="AI3750">
        <v>34</v>
      </c>
      <c r="AJ3750">
        <v>0</v>
      </c>
      <c r="AK3750">
        <v>1</v>
      </c>
      <c r="AL3750">
        <v>1</v>
      </c>
      <c r="AM3750">
        <v>100</v>
      </c>
      <c r="AN3750">
        <v>103.7906</v>
      </c>
      <c r="AO3750">
        <v>0</v>
      </c>
      <c r="AP3750" s="13">
        <v>45610</v>
      </c>
      <c r="AQ3750">
        <v>-2</v>
      </c>
      <c r="AR3750">
        <v>1</v>
      </c>
    </row>
    <row r="3751" spans="1:44" x14ac:dyDescent="0.35">
      <c r="A3751" s="12" t="s">
        <v>4671</v>
      </c>
      <c r="B3751" s="12" t="s">
        <v>231</v>
      </c>
      <c r="C3751" s="12" t="s">
        <v>232</v>
      </c>
      <c r="D3751" s="12" t="s">
        <v>130</v>
      </c>
      <c r="E3751" s="12" t="s">
        <v>65</v>
      </c>
      <c r="F3751">
        <v>1</v>
      </c>
      <c r="G3751">
        <v>2</v>
      </c>
      <c r="H3751">
        <v>1</v>
      </c>
      <c r="I3751" s="12" t="s">
        <v>233</v>
      </c>
      <c r="J3751" s="12" t="s">
        <v>234</v>
      </c>
      <c r="K3751" s="12" t="s">
        <v>125</v>
      </c>
      <c r="L3751" s="12" t="s">
        <v>96</v>
      </c>
      <c r="M3751">
        <v>3.73</v>
      </c>
      <c r="N3751" s="12" t="s">
        <v>135</v>
      </c>
      <c r="O3751" s="12" t="s">
        <v>136</v>
      </c>
      <c r="P3751" s="12" t="s">
        <v>137</v>
      </c>
      <c r="Q3751" s="13">
        <v>45597</v>
      </c>
      <c r="R3751" s="13">
        <v>45635</v>
      </c>
      <c r="S3751">
        <v>2024</v>
      </c>
      <c r="T3751" s="12" t="s">
        <v>4665</v>
      </c>
      <c r="U3751">
        <v>144</v>
      </c>
      <c r="V3751">
        <v>438.4042</v>
      </c>
      <c r="W3751">
        <v>457.28</v>
      </c>
      <c r="X3751">
        <v>0</v>
      </c>
      <c r="Y3751">
        <v>0</v>
      </c>
      <c r="Z3751">
        <v>63130.2</v>
      </c>
      <c r="AA3751">
        <v>63587.48</v>
      </c>
      <c r="AB3751" s="12" t="s">
        <v>201</v>
      </c>
      <c r="AD3751">
        <v>0</v>
      </c>
      <c r="AE3751">
        <v>0</v>
      </c>
      <c r="AH3751">
        <v>144</v>
      </c>
      <c r="AI3751">
        <v>142</v>
      </c>
      <c r="AJ3751">
        <v>2</v>
      </c>
      <c r="AK3751">
        <v>1</v>
      </c>
      <c r="AL3751">
        <v>1</v>
      </c>
      <c r="AM3751">
        <v>98.61</v>
      </c>
      <c r="AN3751">
        <v>447.79919999999998</v>
      </c>
      <c r="AO3751">
        <v>876.81</v>
      </c>
      <c r="AP3751" s="13">
        <v>45635</v>
      </c>
      <c r="AQ3751">
        <v>0</v>
      </c>
      <c r="AR3751">
        <v>1</v>
      </c>
    </row>
    <row r="3752" spans="1:44" x14ac:dyDescent="0.35">
      <c r="A3752" s="12" t="s">
        <v>4672</v>
      </c>
      <c r="B3752" s="12" t="s">
        <v>215</v>
      </c>
      <c r="C3752" s="12" t="s">
        <v>216</v>
      </c>
      <c r="D3752" s="12" t="s">
        <v>122</v>
      </c>
      <c r="E3752" s="12" t="s">
        <v>142</v>
      </c>
      <c r="F3752">
        <v>3</v>
      </c>
      <c r="G3752">
        <v>11</v>
      </c>
      <c r="H3752">
        <v>0</v>
      </c>
      <c r="I3752" s="12" t="s">
        <v>217</v>
      </c>
      <c r="J3752" s="12" t="s">
        <v>218</v>
      </c>
      <c r="K3752" s="12" t="s">
        <v>68</v>
      </c>
      <c r="L3752" s="12" t="s">
        <v>82</v>
      </c>
      <c r="M3752">
        <v>14.24</v>
      </c>
      <c r="N3752" s="12" t="s">
        <v>70</v>
      </c>
      <c r="O3752" s="12" t="s">
        <v>71</v>
      </c>
      <c r="P3752" s="12" t="s">
        <v>72</v>
      </c>
      <c r="Q3752" s="13">
        <v>45597</v>
      </c>
      <c r="R3752" s="13">
        <v>45632</v>
      </c>
      <c r="S3752">
        <v>2024</v>
      </c>
      <c r="T3752" s="12" t="s">
        <v>4665</v>
      </c>
      <c r="U3752">
        <v>288</v>
      </c>
      <c r="V3752">
        <v>14.797000000000001</v>
      </c>
      <c r="W3752">
        <v>91.88</v>
      </c>
      <c r="X3752">
        <v>133.56</v>
      </c>
      <c r="Y3752">
        <v>1</v>
      </c>
      <c r="Z3752">
        <v>4261.54</v>
      </c>
      <c r="AA3752">
        <v>4486.9799999999996</v>
      </c>
      <c r="AB3752" s="12" t="s">
        <v>2696</v>
      </c>
      <c r="AC3752">
        <v>14.797000000000001</v>
      </c>
      <c r="AD3752">
        <v>1</v>
      </c>
      <c r="AE3752">
        <v>1</v>
      </c>
      <c r="AF3752">
        <v>0</v>
      </c>
      <c r="AG3752">
        <v>4261.54</v>
      </c>
      <c r="AH3752">
        <v>288</v>
      </c>
      <c r="AI3752">
        <v>287</v>
      </c>
      <c r="AJ3752">
        <v>1</v>
      </c>
      <c r="AK3752">
        <v>1</v>
      </c>
      <c r="AL3752">
        <v>1</v>
      </c>
      <c r="AM3752">
        <v>99.65</v>
      </c>
      <c r="AN3752">
        <v>15.6341</v>
      </c>
      <c r="AO3752">
        <v>14.8</v>
      </c>
      <c r="AP3752" s="13">
        <v>45631</v>
      </c>
      <c r="AQ3752">
        <v>-1</v>
      </c>
      <c r="AR3752">
        <v>1</v>
      </c>
    </row>
    <row r="3753" spans="1:44" x14ac:dyDescent="0.35">
      <c r="A3753" s="12" t="s">
        <v>4673</v>
      </c>
      <c r="B3753" s="12" t="s">
        <v>674</v>
      </c>
      <c r="C3753" s="12" t="s">
        <v>675</v>
      </c>
      <c r="D3753" s="12" t="s">
        <v>269</v>
      </c>
      <c r="E3753" s="12" t="s">
        <v>142</v>
      </c>
      <c r="F3753">
        <v>1</v>
      </c>
      <c r="G3753">
        <v>7</v>
      </c>
      <c r="H3753">
        <v>1</v>
      </c>
      <c r="I3753" s="12" t="s">
        <v>676</v>
      </c>
      <c r="J3753" s="12" t="s">
        <v>677</v>
      </c>
      <c r="K3753" s="12" t="s">
        <v>68</v>
      </c>
      <c r="L3753" s="12" t="s">
        <v>96</v>
      </c>
      <c r="M3753">
        <v>3.57</v>
      </c>
      <c r="N3753" s="12" t="s">
        <v>135</v>
      </c>
      <c r="O3753" s="12" t="s">
        <v>136</v>
      </c>
      <c r="P3753" s="12" t="s">
        <v>137</v>
      </c>
      <c r="Q3753" s="13">
        <v>45600</v>
      </c>
      <c r="R3753" s="13">
        <v>45640</v>
      </c>
      <c r="S3753">
        <v>2024</v>
      </c>
      <c r="T3753" s="12" t="s">
        <v>4665</v>
      </c>
      <c r="U3753">
        <v>56</v>
      </c>
      <c r="V3753">
        <v>380.04590000000002</v>
      </c>
      <c r="W3753">
        <v>219.83</v>
      </c>
      <c r="X3753">
        <v>0</v>
      </c>
      <c r="Y3753">
        <v>0</v>
      </c>
      <c r="Z3753">
        <v>21282.57</v>
      </c>
      <c r="AA3753">
        <v>21502.400000000001</v>
      </c>
      <c r="AB3753" s="12" t="s">
        <v>201</v>
      </c>
      <c r="AD3753">
        <v>0</v>
      </c>
      <c r="AE3753">
        <v>0</v>
      </c>
      <c r="AH3753">
        <v>56</v>
      </c>
      <c r="AI3753">
        <v>56</v>
      </c>
      <c r="AJ3753">
        <v>0</v>
      </c>
      <c r="AK3753">
        <v>1</v>
      </c>
      <c r="AL3753">
        <v>1</v>
      </c>
      <c r="AM3753">
        <v>100</v>
      </c>
      <c r="AN3753">
        <v>383.97140000000002</v>
      </c>
      <c r="AO3753">
        <v>0</v>
      </c>
      <c r="AP3753" s="13">
        <v>45640</v>
      </c>
      <c r="AQ3753">
        <v>0</v>
      </c>
      <c r="AR3753">
        <v>1</v>
      </c>
    </row>
    <row r="3754" spans="1:44" x14ac:dyDescent="0.35">
      <c r="A3754" s="12" t="s">
        <v>4674</v>
      </c>
      <c r="B3754" s="12" t="s">
        <v>680</v>
      </c>
      <c r="C3754" s="12" t="s">
        <v>681</v>
      </c>
      <c r="D3754" s="12" t="s">
        <v>122</v>
      </c>
      <c r="E3754" s="12" t="s">
        <v>104</v>
      </c>
      <c r="F3754">
        <v>3</v>
      </c>
      <c r="G3754">
        <v>1</v>
      </c>
      <c r="H3754">
        <v>0</v>
      </c>
      <c r="I3754" s="12" t="s">
        <v>227</v>
      </c>
      <c r="J3754" s="12" t="s">
        <v>228</v>
      </c>
      <c r="K3754" s="12" t="s">
        <v>89</v>
      </c>
      <c r="L3754" s="12" t="s">
        <v>96</v>
      </c>
      <c r="M3754">
        <v>9.15</v>
      </c>
      <c r="N3754" s="12" t="s">
        <v>70</v>
      </c>
      <c r="O3754" s="12" t="s">
        <v>71</v>
      </c>
      <c r="P3754" s="12" t="s">
        <v>72</v>
      </c>
      <c r="Q3754" s="13">
        <v>45600</v>
      </c>
      <c r="R3754" s="13">
        <v>45617</v>
      </c>
      <c r="S3754">
        <v>2024</v>
      </c>
      <c r="T3754" s="12" t="s">
        <v>4665</v>
      </c>
      <c r="U3754">
        <v>725</v>
      </c>
      <c r="V3754">
        <v>25.2102</v>
      </c>
      <c r="W3754">
        <v>122.23</v>
      </c>
      <c r="X3754">
        <v>0</v>
      </c>
      <c r="Y3754">
        <v>0</v>
      </c>
      <c r="Z3754">
        <v>18277.400000000001</v>
      </c>
      <c r="AA3754">
        <v>18399.63</v>
      </c>
      <c r="AB3754" s="12" t="s">
        <v>201</v>
      </c>
      <c r="AD3754">
        <v>0</v>
      </c>
      <c r="AE3754">
        <v>0</v>
      </c>
      <c r="AH3754">
        <v>725</v>
      </c>
      <c r="AI3754">
        <v>723</v>
      </c>
      <c r="AJ3754">
        <v>2</v>
      </c>
      <c r="AK3754">
        <v>1</v>
      </c>
      <c r="AL3754">
        <v>1</v>
      </c>
      <c r="AM3754">
        <v>99.72</v>
      </c>
      <c r="AN3754">
        <v>25.449000000000002</v>
      </c>
      <c r="AO3754">
        <v>50.42</v>
      </c>
      <c r="AP3754" s="13">
        <v>45616</v>
      </c>
      <c r="AQ3754">
        <v>-1</v>
      </c>
      <c r="AR3754">
        <v>1</v>
      </c>
    </row>
    <row r="3755" spans="1:44" x14ac:dyDescent="0.35">
      <c r="A3755" s="12" t="s">
        <v>4675</v>
      </c>
      <c r="B3755" s="12" t="s">
        <v>555</v>
      </c>
      <c r="C3755" s="12" t="s">
        <v>556</v>
      </c>
      <c r="D3755" s="12" t="s">
        <v>114</v>
      </c>
      <c r="E3755" s="12" t="s">
        <v>142</v>
      </c>
      <c r="F3755">
        <v>1</v>
      </c>
      <c r="G3755">
        <v>6</v>
      </c>
      <c r="H3755">
        <v>1</v>
      </c>
      <c r="I3755" s="12" t="s">
        <v>151</v>
      </c>
      <c r="J3755" s="12" t="s">
        <v>152</v>
      </c>
      <c r="K3755" s="12" t="s">
        <v>125</v>
      </c>
      <c r="L3755" s="12" t="s">
        <v>69</v>
      </c>
      <c r="M3755">
        <v>36.479999999999997</v>
      </c>
      <c r="N3755" s="12" t="s">
        <v>97</v>
      </c>
      <c r="O3755" s="12" t="s">
        <v>98</v>
      </c>
      <c r="P3755" s="12" t="s">
        <v>72</v>
      </c>
      <c r="Q3755" s="13">
        <v>45600</v>
      </c>
      <c r="R3755" s="13">
        <v>45644</v>
      </c>
      <c r="S3755">
        <v>2024</v>
      </c>
      <c r="T3755" s="12" t="s">
        <v>4665</v>
      </c>
      <c r="U3755">
        <v>81</v>
      </c>
      <c r="V3755">
        <v>278.31920000000002</v>
      </c>
      <c r="W3755">
        <v>341.27</v>
      </c>
      <c r="X3755">
        <v>0</v>
      </c>
      <c r="Y3755">
        <v>0</v>
      </c>
      <c r="Z3755">
        <v>22543.86</v>
      </c>
      <c r="AA3755">
        <v>22885.13</v>
      </c>
      <c r="AB3755" s="12" t="s">
        <v>2922</v>
      </c>
      <c r="AC3755">
        <v>278.31920000000002</v>
      </c>
      <c r="AD3755">
        <v>1</v>
      </c>
      <c r="AE3755">
        <v>1</v>
      </c>
      <c r="AF3755">
        <v>0</v>
      </c>
      <c r="AG3755">
        <v>22543.86</v>
      </c>
      <c r="AH3755">
        <v>81</v>
      </c>
      <c r="AI3755">
        <v>80</v>
      </c>
      <c r="AJ3755">
        <v>1</v>
      </c>
      <c r="AK3755">
        <v>1</v>
      </c>
      <c r="AL3755">
        <v>1</v>
      </c>
      <c r="AM3755">
        <v>98.77</v>
      </c>
      <c r="AN3755">
        <v>286.0641</v>
      </c>
      <c r="AO3755">
        <v>278.32</v>
      </c>
      <c r="AP3755" s="13">
        <v>45647</v>
      </c>
      <c r="AQ3755">
        <v>3</v>
      </c>
      <c r="AR3755">
        <v>0</v>
      </c>
    </row>
    <row r="3756" spans="1:44" x14ac:dyDescent="0.35">
      <c r="A3756" s="12" t="s">
        <v>4676</v>
      </c>
      <c r="B3756" s="12" t="s">
        <v>241</v>
      </c>
      <c r="C3756" s="12" t="s">
        <v>242</v>
      </c>
      <c r="D3756" s="12" t="s">
        <v>103</v>
      </c>
      <c r="E3756" s="12" t="s">
        <v>142</v>
      </c>
      <c r="F3756">
        <v>3</v>
      </c>
      <c r="G3756">
        <v>11</v>
      </c>
      <c r="H3756">
        <v>0</v>
      </c>
      <c r="I3756" s="12" t="s">
        <v>157</v>
      </c>
      <c r="J3756" s="12" t="s">
        <v>158</v>
      </c>
      <c r="K3756" s="12" t="s">
        <v>117</v>
      </c>
      <c r="L3756" s="12" t="s">
        <v>96</v>
      </c>
      <c r="M3756">
        <v>4.72</v>
      </c>
      <c r="N3756" s="12" t="s">
        <v>145</v>
      </c>
      <c r="O3756" s="12" t="s">
        <v>146</v>
      </c>
      <c r="P3756" s="12" t="s">
        <v>109</v>
      </c>
      <c r="Q3756" s="13">
        <v>45600</v>
      </c>
      <c r="R3756" s="13">
        <v>45635</v>
      </c>
      <c r="S3756">
        <v>2024</v>
      </c>
      <c r="T3756" s="12" t="s">
        <v>4665</v>
      </c>
      <c r="U3756">
        <v>11</v>
      </c>
      <c r="V3756">
        <v>163.56630000000001</v>
      </c>
      <c r="W3756">
        <v>42.99</v>
      </c>
      <c r="X3756">
        <v>0</v>
      </c>
      <c r="Y3756">
        <v>0</v>
      </c>
      <c r="Z3756">
        <v>1799.23</v>
      </c>
      <c r="AA3756">
        <v>1842.22</v>
      </c>
      <c r="AB3756" s="12" t="s">
        <v>3444</v>
      </c>
      <c r="AC3756">
        <v>163.56630000000001</v>
      </c>
      <c r="AD3756">
        <v>1</v>
      </c>
      <c r="AE3756">
        <v>1</v>
      </c>
      <c r="AF3756">
        <v>0</v>
      </c>
      <c r="AG3756">
        <v>1799.23</v>
      </c>
      <c r="AH3756">
        <v>11</v>
      </c>
      <c r="AI3756">
        <v>11</v>
      </c>
      <c r="AJ3756">
        <v>0</v>
      </c>
      <c r="AK3756">
        <v>1</v>
      </c>
      <c r="AL3756">
        <v>1</v>
      </c>
      <c r="AM3756">
        <v>100</v>
      </c>
      <c r="AN3756">
        <v>167.47450000000001</v>
      </c>
      <c r="AO3756">
        <v>0</v>
      </c>
      <c r="AP3756" s="13">
        <v>45632</v>
      </c>
      <c r="AQ3756">
        <v>-3</v>
      </c>
      <c r="AR3756">
        <v>1</v>
      </c>
    </row>
    <row r="3757" spans="1:44" x14ac:dyDescent="0.35">
      <c r="A3757" s="12" t="s">
        <v>4677</v>
      </c>
      <c r="B3757" s="12" t="s">
        <v>740</v>
      </c>
      <c r="C3757" s="12" t="s">
        <v>741</v>
      </c>
      <c r="D3757" s="12" t="s">
        <v>64</v>
      </c>
      <c r="E3757" s="12" t="s">
        <v>104</v>
      </c>
      <c r="F3757">
        <v>2</v>
      </c>
      <c r="G3757">
        <v>0</v>
      </c>
      <c r="H3757">
        <v>0</v>
      </c>
      <c r="I3757" s="12" t="s">
        <v>151</v>
      </c>
      <c r="J3757" s="12" t="s">
        <v>152</v>
      </c>
      <c r="K3757" s="12" t="s">
        <v>125</v>
      </c>
      <c r="L3757" s="12" t="s">
        <v>69</v>
      </c>
      <c r="M3757">
        <v>36.479999999999997</v>
      </c>
      <c r="N3757" s="12" t="s">
        <v>97</v>
      </c>
      <c r="O3757" s="12" t="s">
        <v>98</v>
      </c>
      <c r="P3757" s="12" t="s">
        <v>72</v>
      </c>
      <c r="Q3757" s="13">
        <v>45600</v>
      </c>
      <c r="R3757" s="13">
        <v>45627</v>
      </c>
      <c r="S3757">
        <v>2024</v>
      </c>
      <c r="T3757" s="12" t="s">
        <v>4665</v>
      </c>
      <c r="U3757">
        <v>894</v>
      </c>
      <c r="V3757">
        <v>39.821100000000001</v>
      </c>
      <c r="W3757">
        <v>850.97</v>
      </c>
      <c r="X3757">
        <v>0</v>
      </c>
      <c r="Y3757">
        <v>0</v>
      </c>
      <c r="Z3757">
        <v>35600.06</v>
      </c>
      <c r="AA3757">
        <v>36451.03</v>
      </c>
      <c r="AB3757" s="12" t="s">
        <v>3064</v>
      </c>
      <c r="AC3757">
        <v>39.821100000000001</v>
      </c>
      <c r="AD3757">
        <v>1</v>
      </c>
      <c r="AE3757">
        <v>1</v>
      </c>
      <c r="AF3757">
        <v>0</v>
      </c>
      <c r="AG3757">
        <v>35600.06</v>
      </c>
      <c r="AH3757">
        <v>894</v>
      </c>
      <c r="AI3757">
        <v>891</v>
      </c>
      <c r="AJ3757">
        <v>3</v>
      </c>
      <c r="AK3757">
        <v>1</v>
      </c>
      <c r="AL3757">
        <v>1</v>
      </c>
      <c r="AM3757">
        <v>99.66</v>
      </c>
      <c r="AN3757">
        <v>40.910299999999999</v>
      </c>
      <c r="AO3757">
        <v>119.46</v>
      </c>
      <c r="AP3757" s="13">
        <v>45626</v>
      </c>
      <c r="AQ3757">
        <v>-1</v>
      </c>
      <c r="AR3757">
        <v>1</v>
      </c>
    </row>
    <row r="3758" spans="1:44" x14ac:dyDescent="0.35">
      <c r="A3758" s="12" t="s">
        <v>4678</v>
      </c>
      <c r="B3758" s="12" t="s">
        <v>902</v>
      </c>
      <c r="C3758" s="12" t="s">
        <v>903</v>
      </c>
      <c r="D3758" s="12" t="s">
        <v>122</v>
      </c>
      <c r="E3758" s="12" t="s">
        <v>142</v>
      </c>
      <c r="F3758">
        <v>1</v>
      </c>
      <c r="G3758">
        <v>6</v>
      </c>
      <c r="H3758">
        <v>1</v>
      </c>
      <c r="I3758" s="12" t="s">
        <v>105</v>
      </c>
      <c r="J3758" s="12" t="s">
        <v>106</v>
      </c>
      <c r="K3758" s="12" t="s">
        <v>81</v>
      </c>
      <c r="L3758" s="12" t="s">
        <v>96</v>
      </c>
      <c r="M3758">
        <v>5.01</v>
      </c>
      <c r="N3758" s="12" t="s">
        <v>70</v>
      </c>
      <c r="O3758" s="12" t="s">
        <v>71</v>
      </c>
      <c r="P3758" s="12" t="s">
        <v>72</v>
      </c>
      <c r="Q3758" s="13">
        <v>45600</v>
      </c>
      <c r="R3758" s="13">
        <v>45648</v>
      </c>
      <c r="S3758">
        <v>2024</v>
      </c>
      <c r="T3758" s="12" t="s">
        <v>4665</v>
      </c>
      <c r="U3758">
        <v>1552</v>
      </c>
      <c r="V3758">
        <v>41.6892</v>
      </c>
      <c r="W3758">
        <v>715.18</v>
      </c>
      <c r="X3758">
        <v>0</v>
      </c>
      <c r="Y3758">
        <v>0</v>
      </c>
      <c r="Z3758">
        <v>64701.64</v>
      </c>
      <c r="AA3758">
        <v>65416.82</v>
      </c>
      <c r="AB3758" s="12" t="s">
        <v>3284</v>
      </c>
      <c r="AC3758">
        <v>41.6892</v>
      </c>
      <c r="AD3758">
        <v>1</v>
      </c>
      <c r="AE3758">
        <v>1</v>
      </c>
      <c r="AF3758">
        <v>0</v>
      </c>
      <c r="AG3758">
        <v>64701.64</v>
      </c>
      <c r="AH3758">
        <v>1552</v>
      </c>
      <c r="AI3758">
        <v>1549</v>
      </c>
      <c r="AJ3758">
        <v>3</v>
      </c>
      <c r="AK3758">
        <v>1</v>
      </c>
      <c r="AL3758">
        <v>1</v>
      </c>
      <c r="AM3758">
        <v>99.81</v>
      </c>
      <c r="AN3758">
        <v>42.2316</v>
      </c>
      <c r="AO3758">
        <v>125.07</v>
      </c>
      <c r="AP3758" s="13">
        <v>45657</v>
      </c>
      <c r="AQ3758">
        <v>9</v>
      </c>
      <c r="AR3758">
        <v>0</v>
      </c>
    </row>
    <row r="3759" spans="1:44" x14ac:dyDescent="0.35">
      <c r="A3759" s="12" t="s">
        <v>4679</v>
      </c>
      <c r="B3759" s="12" t="s">
        <v>437</v>
      </c>
      <c r="C3759" s="12" t="s">
        <v>438</v>
      </c>
      <c r="D3759" s="12" t="s">
        <v>269</v>
      </c>
      <c r="E3759" s="12" t="s">
        <v>65</v>
      </c>
      <c r="F3759">
        <v>2</v>
      </c>
      <c r="G3759">
        <v>4</v>
      </c>
      <c r="H3759">
        <v>0</v>
      </c>
      <c r="I3759" s="12" t="s">
        <v>115</v>
      </c>
      <c r="J3759" s="12" t="s">
        <v>116</v>
      </c>
      <c r="K3759" s="12" t="s">
        <v>117</v>
      </c>
      <c r="L3759" s="12" t="s">
        <v>82</v>
      </c>
      <c r="M3759">
        <v>17.170000000000002</v>
      </c>
      <c r="N3759" s="12" t="s">
        <v>159</v>
      </c>
      <c r="O3759" s="12" t="s">
        <v>160</v>
      </c>
      <c r="P3759" s="12" t="s">
        <v>137</v>
      </c>
      <c r="Q3759" s="13">
        <v>45601</v>
      </c>
      <c r="R3759" s="13">
        <v>45622</v>
      </c>
      <c r="S3759">
        <v>2024</v>
      </c>
      <c r="T3759" s="12" t="s">
        <v>4665</v>
      </c>
      <c r="U3759">
        <v>11</v>
      </c>
      <c r="V3759">
        <v>440.05549999999999</v>
      </c>
      <c r="W3759">
        <v>92.83</v>
      </c>
      <c r="X3759">
        <v>0</v>
      </c>
      <c r="Y3759">
        <v>0</v>
      </c>
      <c r="Z3759">
        <v>4840.6099999999997</v>
      </c>
      <c r="AA3759">
        <v>4933.4399999999996</v>
      </c>
      <c r="AB3759" s="12" t="s">
        <v>2670</v>
      </c>
      <c r="AC3759">
        <v>440.05549999999999</v>
      </c>
      <c r="AD3759">
        <v>1</v>
      </c>
      <c r="AE3759">
        <v>1</v>
      </c>
      <c r="AF3759">
        <v>0</v>
      </c>
      <c r="AG3759">
        <v>4840.6099999999997</v>
      </c>
      <c r="AH3759">
        <v>11</v>
      </c>
      <c r="AI3759">
        <v>11</v>
      </c>
      <c r="AJ3759">
        <v>0</v>
      </c>
      <c r="AK3759">
        <v>1</v>
      </c>
      <c r="AL3759">
        <v>1</v>
      </c>
      <c r="AM3759">
        <v>100</v>
      </c>
      <c r="AN3759">
        <v>448.49459999999999</v>
      </c>
      <c r="AO3759">
        <v>0</v>
      </c>
      <c r="AP3759" s="13">
        <v>45622</v>
      </c>
      <c r="AQ3759">
        <v>0</v>
      </c>
      <c r="AR3759">
        <v>1</v>
      </c>
    </row>
    <row r="3760" spans="1:44" x14ac:dyDescent="0.35">
      <c r="A3760" s="12" t="s">
        <v>4680</v>
      </c>
      <c r="B3760" s="12" t="s">
        <v>62</v>
      </c>
      <c r="C3760" s="12" t="s">
        <v>63</v>
      </c>
      <c r="D3760" s="12" t="s">
        <v>64</v>
      </c>
      <c r="E3760" s="12" t="s">
        <v>65</v>
      </c>
      <c r="F3760">
        <v>1</v>
      </c>
      <c r="G3760">
        <v>2</v>
      </c>
      <c r="H3760">
        <v>1</v>
      </c>
      <c r="I3760" s="12" t="s">
        <v>66</v>
      </c>
      <c r="J3760" s="12" t="s">
        <v>67</v>
      </c>
      <c r="K3760" s="12" t="s">
        <v>68</v>
      </c>
      <c r="L3760" s="12" t="s">
        <v>69</v>
      </c>
      <c r="M3760">
        <v>17.66</v>
      </c>
      <c r="N3760" s="12" t="s">
        <v>70</v>
      </c>
      <c r="O3760" s="12" t="s">
        <v>71</v>
      </c>
      <c r="P3760" s="12" t="s">
        <v>72</v>
      </c>
      <c r="Q3760" s="13">
        <v>45601</v>
      </c>
      <c r="R3760" s="13">
        <v>45624</v>
      </c>
      <c r="S3760">
        <v>2024</v>
      </c>
      <c r="T3760" s="12" t="s">
        <v>4665</v>
      </c>
      <c r="U3760">
        <v>241</v>
      </c>
      <c r="V3760">
        <v>25.914999999999999</v>
      </c>
      <c r="W3760">
        <v>79.930000000000007</v>
      </c>
      <c r="X3760">
        <v>0</v>
      </c>
      <c r="Y3760">
        <v>0</v>
      </c>
      <c r="Z3760">
        <v>6245.52</v>
      </c>
      <c r="AA3760">
        <v>6325.45</v>
      </c>
      <c r="AB3760" s="12" t="s">
        <v>201</v>
      </c>
      <c r="AD3760">
        <v>0</v>
      </c>
      <c r="AE3760">
        <v>0</v>
      </c>
      <c r="AH3760">
        <v>241</v>
      </c>
      <c r="AI3760">
        <v>238</v>
      </c>
      <c r="AJ3760">
        <v>3</v>
      </c>
      <c r="AK3760">
        <v>1</v>
      </c>
      <c r="AL3760">
        <v>1</v>
      </c>
      <c r="AM3760">
        <v>98.76</v>
      </c>
      <c r="AN3760">
        <v>26.577500000000001</v>
      </c>
      <c r="AO3760">
        <v>77.75</v>
      </c>
      <c r="AP3760" s="13">
        <v>45620</v>
      </c>
      <c r="AQ3760">
        <v>-4</v>
      </c>
      <c r="AR3760">
        <v>1</v>
      </c>
    </row>
    <row r="3761" spans="1:44" x14ac:dyDescent="0.35">
      <c r="A3761" s="12" t="s">
        <v>4681</v>
      </c>
      <c r="B3761" s="12" t="s">
        <v>128</v>
      </c>
      <c r="C3761" s="12" t="s">
        <v>129</v>
      </c>
      <c r="D3761" s="12" t="s">
        <v>130</v>
      </c>
      <c r="E3761" s="12" t="s">
        <v>65</v>
      </c>
      <c r="F3761">
        <v>3</v>
      </c>
      <c r="G3761">
        <v>5</v>
      </c>
      <c r="H3761">
        <v>0</v>
      </c>
      <c r="I3761" s="12" t="s">
        <v>131</v>
      </c>
      <c r="J3761" s="12" t="s">
        <v>132</v>
      </c>
      <c r="K3761" s="12" t="s">
        <v>133</v>
      </c>
      <c r="L3761" s="12" t="s">
        <v>134</v>
      </c>
      <c r="M3761">
        <v>1.51</v>
      </c>
      <c r="N3761" s="12" t="s">
        <v>135</v>
      </c>
      <c r="O3761" s="12" t="s">
        <v>136</v>
      </c>
      <c r="P3761" s="12" t="s">
        <v>137</v>
      </c>
      <c r="Q3761" s="13">
        <v>45601</v>
      </c>
      <c r="R3761" s="13">
        <v>45622</v>
      </c>
      <c r="S3761">
        <v>2024</v>
      </c>
      <c r="T3761" s="12" t="s">
        <v>4665</v>
      </c>
      <c r="U3761">
        <v>15</v>
      </c>
      <c r="V3761">
        <v>396.07490000000001</v>
      </c>
      <c r="W3761">
        <v>50.25</v>
      </c>
      <c r="X3761">
        <v>0</v>
      </c>
      <c r="Y3761">
        <v>0</v>
      </c>
      <c r="Z3761">
        <v>5941.12</v>
      </c>
      <c r="AA3761">
        <v>5991.37</v>
      </c>
      <c r="AB3761" s="12" t="s">
        <v>201</v>
      </c>
      <c r="AD3761">
        <v>0</v>
      </c>
      <c r="AE3761">
        <v>0</v>
      </c>
      <c r="AH3761">
        <v>15</v>
      </c>
      <c r="AI3761">
        <v>14</v>
      </c>
      <c r="AJ3761">
        <v>1</v>
      </c>
      <c r="AK3761">
        <v>1</v>
      </c>
      <c r="AL3761">
        <v>1</v>
      </c>
      <c r="AM3761">
        <v>93.33</v>
      </c>
      <c r="AN3761">
        <v>427.95530000000002</v>
      </c>
      <c r="AO3761">
        <v>396.07</v>
      </c>
      <c r="AP3761" s="13">
        <v>45623</v>
      </c>
      <c r="AQ3761">
        <v>1</v>
      </c>
      <c r="AR3761">
        <v>0</v>
      </c>
    </row>
    <row r="3762" spans="1:44" x14ac:dyDescent="0.35">
      <c r="A3762" s="12" t="s">
        <v>4682</v>
      </c>
      <c r="B3762" s="12" t="s">
        <v>640</v>
      </c>
      <c r="C3762" s="12" t="s">
        <v>641</v>
      </c>
      <c r="D3762" s="12" t="s">
        <v>130</v>
      </c>
      <c r="E3762" s="12" t="s">
        <v>104</v>
      </c>
      <c r="F3762">
        <v>3</v>
      </c>
      <c r="G3762">
        <v>0</v>
      </c>
      <c r="H3762">
        <v>0</v>
      </c>
      <c r="I3762" s="12" t="s">
        <v>123</v>
      </c>
      <c r="J3762" s="12" t="s">
        <v>124</v>
      </c>
      <c r="K3762" s="12" t="s">
        <v>125</v>
      </c>
      <c r="L3762" s="12" t="s">
        <v>82</v>
      </c>
      <c r="M3762">
        <v>6.75</v>
      </c>
      <c r="N3762" s="12" t="s">
        <v>159</v>
      </c>
      <c r="O3762" s="12" t="s">
        <v>160</v>
      </c>
      <c r="P3762" s="12" t="s">
        <v>137</v>
      </c>
      <c r="Q3762" s="13">
        <v>45601</v>
      </c>
      <c r="R3762" s="13">
        <v>45628</v>
      </c>
      <c r="S3762">
        <v>2024</v>
      </c>
      <c r="T3762" s="12" t="s">
        <v>4665</v>
      </c>
      <c r="U3762">
        <v>127</v>
      </c>
      <c r="V3762">
        <v>922.57889999999998</v>
      </c>
      <c r="W3762">
        <v>1580.56</v>
      </c>
      <c r="X3762">
        <v>0</v>
      </c>
      <c r="Y3762">
        <v>0</v>
      </c>
      <c r="Z3762">
        <v>117167.52</v>
      </c>
      <c r="AA3762">
        <v>118748.08</v>
      </c>
      <c r="AB3762" s="12" t="s">
        <v>3887</v>
      </c>
      <c r="AC3762">
        <v>922.57889999999998</v>
      </c>
      <c r="AD3762">
        <v>1</v>
      </c>
      <c r="AE3762">
        <v>1</v>
      </c>
      <c r="AF3762">
        <v>0</v>
      </c>
      <c r="AG3762">
        <v>117167.52</v>
      </c>
      <c r="AH3762">
        <v>127</v>
      </c>
      <c r="AI3762">
        <v>125</v>
      </c>
      <c r="AJ3762">
        <v>2</v>
      </c>
      <c r="AK3762">
        <v>1</v>
      </c>
      <c r="AL3762">
        <v>1</v>
      </c>
      <c r="AM3762">
        <v>98.43</v>
      </c>
      <c r="AN3762">
        <v>949.9846</v>
      </c>
      <c r="AO3762">
        <v>1845.16</v>
      </c>
      <c r="AP3762" s="13">
        <v>45626</v>
      </c>
      <c r="AQ3762">
        <v>-2</v>
      </c>
      <c r="AR3762">
        <v>1</v>
      </c>
    </row>
    <row r="3763" spans="1:44" x14ac:dyDescent="0.35">
      <c r="A3763" s="12" t="s">
        <v>4683</v>
      </c>
      <c r="B3763" s="12" t="s">
        <v>712</v>
      </c>
      <c r="C3763" s="12" t="s">
        <v>713</v>
      </c>
      <c r="D3763" s="12" t="s">
        <v>103</v>
      </c>
      <c r="E3763" s="12" t="s">
        <v>104</v>
      </c>
      <c r="F3763">
        <v>2</v>
      </c>
      <c r="G3763">
        <v>0</v>
      </c>
      <c r="H3763">
        <v>0</v>
      </c>
      <c r="I3763" s="12" t="s">
        <v>199</v>
      </c>
      <c r="J3763" s="12" t="s">
        <v>200</v>
      </c>
      <c r="K3763" s="12" t="s">
        <v>68</v>
      </c>
      <c r="L3763" s="12" t="s">
        <v>96</v>
      </c>
      <c r="M3763">
        <v>9.4700000000000006</v>
      </c>
      <c r="N3763" s="12" t="s">
        <v>107</v>
      </c>
      <c r="O3763" s="12" t="s">
        <v>108</v>
      </c>
      <c r="P3763" s="12" t="s">
        <v>109</v>
      </c>
      <c r="Q3763" s="13">
        <v>45601</v>
      </c>
      <c r="R3763" s="13">
        <v>45622</v>
      </c>
      <c r="S3763">
        <v>2024</v>
      </c>
      <c r="T3763" s="12" t="s">
        <v>4665</v>
      </c>
      <c r="U3763">
        <v>82</v>
      </c>
      <c r="V3763">
        <v>211.73990000000001</v>
      </c>
      <c r="W3763">
        <v>140.02000000000001</v>
      </c>
      <c r="X3763">
        <v>0</v>
      </c>
      <c r="Y3763">
        <v>0</v>
      </c>
      <c r="Z3763">
        <v>17362.669999999998</v>
      </c>
      <c r="AA3763">
        <v>17502.689999999999</v>
      </c>
      <c r="AB3763" s="12" t="s">
        <v>201</v>
      </c>
      <c r="AD3763">
        <v>0</v>
      </c>
      <c r="AE3763">
        <v>0</v>
      </c>
      <c r="AH3763">
        <v>82</v>
      </c>
      <c r="AI3763">
        <v>81</v>
      </c>
      <c r="AJ3763">
        <v>1</v>
      </c>
      <c r="AK3763">
        <v>1</v>
      </c>
      <c r="AL3763">
        <v>1</v>
      </c>
      <c r="AM3763">
        <v>98.78</v>
      </c>
      <c r="AN3763">
        <v>216.08260000000001</v>
      </c>
      <c r="AO3763">
        <v>211.74</v>
      </c>
      <c r="AP3763" s="13">
        <v>45619</v>
      </c>
      <c r="AQ3763">
        <v>-3</v>
      </c>
      <c r="AR3763">
        <v>1</v>
      </c>
    </row>
    <row r="3764" spans="1:44" x14ac:dyDescent="0.35">
      <c r="A3764" s="12" t="s">
        <v>4684</v>
      </c>
      <c r="B3764" s="12" t="s">
        <v>433</v>
      </c>
      <c r="C3764" s="12" t="s">
        <v>434</v>
      </c>
      <c r="D3764" s="12" t="s">
        <v>78</v>
      </c>
      <c r="E3764" s="12" t="s">
        <v>65</v>
      </c>
      <c r="F3764">
        <v>2</v>
      </c>
      <c r="G3764">
        <v>4</v>
      </c>
      <c r="H3764">
        <v>0</v>
      </c>
      <c r="I3764" s="12" t="s">
        <v>243</v>
      </c>
      <c r="J3764" s="12" t="s">
        <v>244</v>
      </c>
      <c r="K3764" s="12" t="s">
        <v>81</v>
      </c>
      <c r="L3764" s="12" t="s">
        <v>82</v>
      </c>
      <c r="M3764">
        <v>9.2200000000000006</v>
      </c>
      <c r="N3764" s="12" t="s">
        <v>97</v>
      </c>
      <c r="O3764" s="12" t="s">
        <v>98</v>
      </c>
      <c r="P3764" s="12" t="s">
        <v>72</v>
      </c>
      <c r="Q3764" s="13">
        <v>45601</v>
      </c>
      <c r="R3764" s="13">
        <v>45635</v>
      </c>
      <c r="S3764">
        <v>2024</v>
      </c>
      <c r="T3764" s="12" t="s">
        <v>4665</v>
      </c>
      <c r="U3764">
        <v>237</v>
      </c>
      <c r="V3764">
        <v>72.334800000000001</v>
      </c>
      <c r="W3764">
        <v>243.28</v>
      </c>
      <c r="X3764">
        <v>0</v>
      </c>
      <c r="Y3764">
        <v>0</v>
      </c>
      <c r="Z3764">
        <v>17143.349999999999</v>
      </c>
      <c r="AA3764">
        <v>17386.63</v>
      </c>
      <c r="AB3764" s="12" t="s">
        <v>3109</v>
      </c>
      <c r="AC3764">
        <v>72.334800000000001</v>
      </c>
      <c r="AD3764">
        <v>1</v>
      </c>
      <c r="AE3764">
        <v>1</v>
      </c>
      <c r="AF3764">
        <v>0</v>
      </c>
      <c r="AG3764">
        <v>17143.349999999999</v>
      </c>
      <c r="AH3764">
        <v>237</v>
      </c>
      <c r="AI3764">
        <v>236</v>
      </c>
      <c r="AJ3764">
        <v>1</v>
      </c>
      <c r="AK3764">
        <v>1</v>
      </c>
      <c r="AL3764">
        <v>1</v>
      </c>
      <c r="AM3764">
        <v>99.58</v>
      </c>
      <c r="AN3764">
        <v>73.672200000000004</v>
      </c>
      <c r="AO3764">
        <v>72.33</v>
      </c>
      <c r="AP3764" s="13">
        <v>45632</v>
      </c>
      <c r="AQ3764">
        <v>-3</v>
      </c>
      <c r="AR3764">
        <v>1</v>
      </c>
    </row>
    <row r="3765" spans="1:44" x14ac:dyDescent="0.35">
      <c r="A3765" s="12" t="s">
        <v>4685</v>
      </c>
      <c r="B3765" s="12" t="s">
        <v>327</v>
      </c>
      <c r="C3765" s="12" t="s">
        <v>328</v>
      </c>
      <c r="D3765" s="12" t="s">
        <v>130</v>
      </c>
      <c r="E3765" s="12" t="s">
        <v>104</v>
      </c>
      <c r="F3765">
        <v>2</v>
      </c>
      <c r="G3765">
        <v>0</v>
      </c>
      <c r="H3765">
        <v>0</v>
      </c>
      <c r="I3765" s="12" t="s">
        <v>94</v>
      </c>
      <c r="J3765" s="12" t="s">
        <v>95</v>
      </c>
      <c r="K3765" s="12" t="s">
        <v>81</v>
      </c>
      <c r="L3765" s="12" t="s">
        <v>96</v>
      </c>
      <c r="M3765">
        <v>4.8099999999999996</v>
      </c>
      <c r="N3765" s="12" t="s">
        <v>135</v>
      </c>
      <c r="O3765" s="12" t="s">
        <v>136</v>
      </c>
      <c r="P3765" s="12" t="s">
        <v>137</v>
      </c>
      <c r="Q3765" s="13">
        <v>45602</v>
      </c>
      <c r="R3765" s="13">
        <v>45617</v>
      </c>
      <c r="S3765">
        <v>2024</v>
      </c>
      <c r="T3765" s="12" t="s">
        <v>4665</v>
      </c>
      <c r="U3765">
        <v>33</v>
      </c>
      <c r="V3765">
        <v>697.23929999999996</v>
      </c>
      <c r="W3765">
        <v>244.65</v>
      </c>
      <c r="X3765">
        <v>0</v>
      </c>
      <c r="Y3765">
        <v>0</v>
      </c>
      <c r="Z3765">
        <v>23008.9</v>
      </c>
      <c r="AA3765">
        <v>23253.55</v>
      </c>
      <c r="AB3765" s="12" t="s">
        <v>3016</v>
      </c>
      <c r="AC3765">
        <v>697.23929999999996</v>
      </c>
      <c r="AD3765">
        <v>1</v>
      </c>
      <c r="AE3765">
        <v>1</v>
      </c>
      <c r="AF3765">
        <v>0</v>
      </c>
      <c r="AG3765">
        <v>23008.9</v>
      </c>
      <c r="AH3765">
        <v>33</v>
      </c>
      <c r="AI3765">
        <v>33</v>
      </c>
      <c r="AJ3765">
        <v>0</v>
      </c>
      <c r="AK3765">
        <v>1</v>
      </c>
      <c r="AL3765">
        <v>1</v>
      </c>
      <c r="AM3765">
        <v>100</v>
      </c>
      <c r="AN3765">
        <v>704.65290000000005</v>
      </c>
      <c r="AO3765">
        <v>0</v>
      </c>
      <c r="AP3765" s="13">
        <v>45617</v>
      </c>
      <c r="AQ3765">
        <v>0</v>
      </c>
      <c r="AR3765">
        <v>1</v>
      </c>
    </row>
    <row r="3766" spans="1:44" x14ac:dyDescent="0.35">
      <c r="A3766" s="12" t="s">
        <v>4686</v>
      </c>
      <c r="B3766" s="12" t="s">
        <v>630</v>
      </c>
      <c r="C3766" s="12" t="s">
        <v>631</v>
      </c>
      <c r="D3766" s="12" t="s">
        <v>130</v>
      </c>
      <c r="E3766" s="12" t="s">
        <v>65</v>
      </c>
      <c r="F3766">
        <v>1</v>
      </c>
      <c r="G3766">
        <v>2</v>
      </c>
      <c r="H3766">
        <v>1</v>
      </c>
      <c r="I3766" s="12" t="s">
        <v>335</v>
      </c>
      <c r="J3766" s="12" t="s">
        <v>336</v>
      </c>
      <c r="K3766" s="12" t="s">
        <v>89</v>
      </c>
      <c r="L3766" s="12" t="s">
        <v>82</v>
      </c>
      <c r="M3766">
        <v>16</v>
      </c>
      <c r="N3766" s="12" t="s">
        <v>159</v>
      </c>
      <c r="O3766" s="12" t="s">
        <v>160</v>
      </c>
      <c r="P3766" s="12" t="s">
        <v>137</v>
      </c>
      <c r="Q3766" s="13">
        <v>45602</v>
      </c>
      <c r="R3766" s="13">
        <v>45632</v>
      </c>
      <c r="S3766">
        <v>2024</v>
      </c>
      <c r="T3766" s="12" t="s">
        <v>4665</v>
      </c>
      <c r="U3766">
        <v>87</v>
      </c>
      <c r="V3766">
        <v>446.36720000000003</v>
      </c>
      <c r="W3766">
        <v>894.06</v>
      </c>
      <c r="X3766">
        <v>0</v>
      </c>
      <c r="Y3766">
        <v>0</v>
      </c>
      <c r="Z3766">
        <v>38833.949999999997</v>
      </c>
      <c r="AA3766">
        <v>39728.01</v>
      </c>
      <c r="AB3766" s="12" t="s">
        <v>2944</v>
      </c>
      <c r="AC3766">
        <v>446.36720000000003</v>
      </c>
      <c r="AD3766">
        <v>1</v>
      </c>
      <c r="AE3766">
        <v>1</v>
      </c>
      <c r="AF3766">
        <v>0</v>
      </c>
      <c r="AG3766">
        <v>38833.949999999997</v>
      </c>
      <c r="AH3766">
        <v>87</v>
      </c>
      <c r="AI3766">
        <v>87</v>
      </c>
      <c r="AJ3766">
        <v>0</v>
      </c>
      <c r="AK3766">
        <v>1</v>
      </c>
      <c r="AL3766">
        <v>1</v>
      </c>
      <c r="AM3766">
        <v>100</v>
      </c>
      <c r="AN3766">
        <v>456.6438</v>
      </c>
      <c r="AO3766">
        <v>0</v>
      </c>
      <c r="AP3766" s="13">
        <v>45632</v>
      </c>
      <c r="AQ3766">
        <v>0</v>
      </c>
      <c r="AR3766">
        <v>1</v>
      </c>
    </row>
    <row r="3767" spans="1:44" x14ac:dyDescent="0.35">
      <c r="A3767" s="12" t="s">
        <v>4687</v>
      </c>
      <c r="B3767" s="12" t="s">
        <v>472</v>
      </c>
      <c r="C3767" s="12" t="s">
        <v>473</v>
      </c>
      <c r="D3767" s="12" t="s">
        <v>122</v>
      </c>
      <c r="E3767" s="12" t="s">
        <v>142</v>
      </c>
      <c r="F3767">
        <v>2</v>
      </c>
      <c r="G3767">
        <v>9</v>
      </c>
      <c r="H3767">
        <v>0</v>
      </c>
      <c r="I3767" s="12" t="s">
        <v>209</v>
      </c>
      <c r="J3767" s="12" t="s">
        <v>210</v>
      </c>
      <c r="K3767" s="12" t="s">
        <v>133</v>
      </c>
      <c r="L3767" s="12" t="s">
        <v>96</v>
      </c>
      <c r="M3767">
        <v>7.82</v>
      </c>
      <c r="N3767" s="12" t="s">
        <v>97</v>
      </c>
      <c r="O3767" s="12" t="s">
        <v>98</v>
      </c>
      <c r="P3767" s="12" t="s">
        <v>72</v>
      </c>
      <c r="Q3767" s="13">
        <v>45602</v>
      </c>
      <c r="R3767" s="13">
        <v>45651</v>
      </c>
      <c r="S3767">
        <v>2024</v>
      </c>
      <c r="T3767" s="12" t="s">
        <v>4665</v>
      </c>
      <c r="U3767">
        <v>1678</v>
      </c>
      <c r="V3767">
        <v>46.789099999999998</v>
      </c>
      <c r="W3767">
        <v>1660.84</v>
      </c>
      <c r="X3767">
        <v>0</v>
      </c>
      <c r="Y3767">
        <v>0</v>
      </c>
      <c r="Z3767">
        <v>78512.11</v>
      </c>
      <c r="AA3767">
        <v>80172.95</v>
      </c>
      <c r="AB3767" s="12" t="s">
        <v>2966</v>
      </c>
      <c r="AC3767">
        <v>46.789099999999998</v>
      </c>
      <c r="AD3767">
        <v>1</v>
      </c>
      <c r="AE3767">
        <v>1</v>
      </c>
      <c r="AF3767">
        <v>0</v>
      </c>
      <c r="AG3767">
        <v>78512.11</v>
      </c>
      <c r="AH3767">
        <v>1678</v>
      </c>
      <c r="AI3767">
        <v>1660</v>
      </c>
      <c r="AJ3767">
        <v>18</v>
      </c>
      <c r="AK3767">
        <v>1</v>
      </c>
      <c r="AL3767">
        <v>1</v>
      </c>
      <c r="AM3767">
        <v>98.93</v>
      </c>
      <c r="AN3767">
        <v>48.296999999999997</v>
      </c>
      <c r="AO3767">
        <v>842.2</v>
      </c>
      <c r="AP3767" s="13">
        <v>45647</v>
      </c>
      <c r="AQ3767">
        <v>-4</v>
      </c>
      <c r="AR3767">
        <v>1</v>
      </c>
    </row>
    <row r="3768" spans="1:44" x14ac:dyDescent="0.35">
      <c r="A3768" s="12" t="s">
        <v>4688</v>
      </c>
      <c r="B3768" s="12" t="s">
        <v>378</v>
      </c>
      <c r="C3768" s="12" t="s">
        <v>379</v>
      </c>
      <c r="D3768" s="12" t="s">
        <v>64</v>
      </c>
      <c r="E3768" s="12" t="s">
        <v>104</v>
      </c>
      <c r="F3768">
        <v>3</v>
      </c>
      <c r="G3768">
        <v>1</v>
      </c>
      <c r="H3768">
        <v>0</v>
      </c>
      <c r="I3768" s="12" t="s">
        <v>380</v>
      </c>
      <c r="J3768" s="12" t="s">
        <v>381</v>
      </c>
      <c r="K3768" s="12" t="s">
        <v>89</v>
      </c>
      <c r="L3768" s="12" t="s">
        <v>96</v>
      </c>
      <c r="M3768">
        <v>10.210000000000001</v>
      </c>
      <c r="N3768" s="12" t="s">
        <v>70</v>
      </c>
      <c r="O3768" s="12" t="s">
        <v>71</v>
      </c>
      <c r="P3768" s="12" t="s">
        <v>72</v>
      </c>
      <c r="Q3768" s="13">
        <v>45602</v>
      </c>
      <c r="R3768" s="13">
        <v>45631</v>
      </c>
      <c r="S3768">
        <v>2024</v>
      </c>
      <c r="T3768" s="12" t="s">
        <v>4665</v>
      </c>
      <c r="U3768">
        <v>997</v>
      </c>
      <c r="V3768">
        <v>15.734999999999999</v>
      </c>
      <c r="W3768">
        <v>364.46</v>
      </c>
      <c r="X3768">
        <v>0</v>
      </c>
      <c r="Y3768">
        <v>0</v>
      </c>
      <c r="Z3768">
        <v>15687.8</v>
      </c>
      <c r="AA3768">
        <v>16052.26</v>
      </c>
      <c r="AB3768" s="12" t="s">
        <v>2847</v>
      </c>
      <c r="AC3768">
        <v>15.734999999999999</v>
      </c>
      <c r="AD3768">
        <v>1</v>
      </c>
      <c r="AE3768">
        <v>1</v>
      </c>
      <c r="AF3768">
        <v>0</v>
      </c>
      <c r="AG3768">
        <v>15687.8</v>
      </c>
      <c r="AH3768">
        <v>997</v>
      </c>
      <c r="AI3768">
        <v>988</v>
      </c>
      <c r="AJ3768">
        <v>9</v>
      </c>
      <c r="AK3768">
        <v>1</v>
      </c>
      <c r="AL3768">
        <v>1</v>
      </c>
      <c r="AM3768">
        <v>99.1</v>
      </c>
      <c r="AN3768">
        <v>16.247199999999999</v>
      </c>
      <c r="AO3768">
        <v>141.62</v>
      </c>
      <c r="AP3768" s="13">
        <v>45628</v>
      </c>
      <c r="AQ3768">
        <v>-3</v>
      </c>
      <c r="AR3768">
        <v>1</v>
      </c>
    </row>
    <row r="3769" spans="1:44" x14ac:dyDescent="0.35">
      <c r="A3769" s="12" t="s">
        <v>4689</v>
      </c>
      <c r="B3769" s="12" t="s">
        <v>207</v>
      </c>
      <c r="C3769" s="12" t="s">
        <v>208</v>
      </c>
      <c r="D3769" s="12" t="s">
        <v>78</v>
      </c>
      <c r="E3769" s="12" t="s">
        <v>65</v>
      </c>
      <c r="F3769">
        <v>2</v>
      </c>
      <c r="G3769">
        <v>3</v>
      </c>
      <c r="H3769">
        <v>0</v>
      </c>
      <c r="I3769" s="12" t="s">
        <v>209</v>
      </c>
      <c r="J3769" s="12" t="s">
        <v>210</v>
      </c>
      <c r="K3769" s="12" t="s">
        <v>133</v>
      </c>
      <c r="L3769" s="12" t="s">
        <v>96</v>
      </c>
      <c r="M3769">
        <v>7.82</v>
      </c>
      <c r="N3769" s="12" t="s">
        <v>97</v>
      </c>
      <c r="O3769" s="12" t="s">
        <v>98</v>
      </c>
      <c r="P3769" s="12" t="s">
        <v>72</v>
      </c>
      <c r="Q3769" s="13">
        <v>45602</v>
      </c>
      <c r="R3769" s="13">
        <v>45634</v>
      </c>
      <c r="S3769">
        <v>2024</v>
      </c>
      <c r="T3769" s="12" t="s">
        <v>4665</v>
      </c>
      <c r="U3769">
        <v>203</v>
      </c>
      <c r="V3769">
        <v>148.61590000000001</v>
      </c>
      <c r="W3769">
        <v>719.36</v>
      </c>
      <c r="X3769">
        <v>0</v>
      </c>
      <c r="Y3769">
        <v>0</v>
      </c>
      <c r="Z3769">
        <v>30169.03</v>
      </c>
      <c r="AA3769">
        <v>30888.39</v>
      </c>
      <c r="AB3769" s="12" t="s">
        <v>2832</v>
      </c>
      <c r="AC3769">
        <v>148.61590000000001</v>
      </c>
      <c r="AD3769">
        <v>1</v>
      </c>
      <c r="AE3769">
        <v>1</v>
      </c>
      <c r="AF3769">
        <v>0</v>
      </c>
      <c r="AG3769">
        <v>30169.03</v>
      </c>
      <c r="AH3769">
        <v>203</v>
      </c>
      <c r="AI3769">
        <v>201</v>
      </c>
      <c r="AJ3769">
        <v>2</v>
      </c>
      <c r="AK3769">
        <v>1</v>
      </c>
      <c r="AL3769">
        <v>1</v>
      </c>
      <c r="AM3769">
        <v>99.01</v>
      </c>
      <c r="AN3769">
        <v>153.67359999999999</v>
      </c>
      <c r="AO3769">
        <v>297.23</v>
      </c>
      <c r="AP3769" s="13">
        <v>45631</v>
      </c>
      <c r="AQ3769">
        <v>-3</v>
      </c>
      <c r="AR3769">
        <v>1</v>
      </c>
    </row>
    <row r="3770" spans="1:44" x14ac:dyDescent="0.35">
      <c r="A3770" s="12" t="s">
        <v>4690</v>
      </c>
      <c r="B3770" s="12" t="s">
        <v>661</v>
      </c>
      <c r="C3770" s="12" t="s">
        <v>662</v>
      </c>
      <c r="D3770" s="12" t="s">
        <v>175</v>
      </c>
      <c r="E3770" s="12" t="s">
        <v>104</v>
      </c>
      <c r="F3770">
        <v>1</v>
      </c>
      <c r="G3770">
        <v>0</v>
      </c>
      <c r="H3770">
        <v>1</v>
      </c>
      <c r="I3770" s="12" t="s">
        <v>183</v>
      </c>
      <c r="J3770" s="12" t="s">
        <v>184</v>
      </c>
      <c r="K3770" s="12" t="s">
        <v>133</v>
      </c>
      <c r="L3770" s="12" t="s">
        <v>82</v>
      </c>
      <c r="M3770">
        <v>8.6199999999999992</v>
      </c>
      <c r="N3770" s="12" t="s">
        <v>145</v>
      </c>
      <c r="O3770" s="12" t="s">
        <v>146</v>
      </c>
      <c r="P3770" s="12" t="s">
        <v>109</v>
      </c>
      <c r="Q3770" s="13">
        <v>45602</v>
      </c>
      <c r="R3770" s="13">
        <v>45619</v>
      </c>
      <c r="S3770">
        <v>2024</v>
      </c>
      <c r="T3770" s="12" t="s">
        <v>4665</v>
      </c>
      <c r="U3770">
        <v>56</v>
      </c>
      <c r="V3770">
        <v>187.94300000000001</v>
      </c>
      <c r="W3770">
        <v>226.52</v>
      </c>
      <c r="X3770">
        <v>325.47000000000003</v>
      </c>
      <c r="Y3770">
        <v>1</v>
      </c>
      <c r="Z3770">
        <v>10524.81</v>
      </c>
      <c r="AA3770">
        <v>11076.8</v>
      </c>
      <c r="AB3770" s="12" t="s">
        <v>2851</v>
      </c>
      <c r="AC3770">
        <v>180.0376</v>
      </c>
      <c r="AD3770">
        <v>1</v>
      </c>
      <c r="AE3770">
        <v>1</v>
      </c>
      <c r="AF3770">
        <v>442.7</v>
      </c>
      <c r="AG3770">
        <v>10082.11</v>
      </c>
      <c r="AH3770">
        <v>56</v>
      </c>
      <c r="AI3770">
        <v>55</v>
      </c>
      <c r="AJ3770">
        <v>1</v>
      </c>
      <c r="AK3770">
        <v>1</v>
      </c>
      <c r="AL3770">
        <v>1</v>
      </c>
      <c r="AM3770">
        <v>98.21</v>
      </c>
      <c r="AN3770">
        <v>201.3963</v>
      </c>
      <c r="AO3770">
        <v>187.94</v>
      </c>
      <c r="AP3770" s="13">
        <v>45618</v>
      </c>
      <c r="AQ3770">
        <v>-1</v>
      </c>
      <c r="AR3770">
        <v>1</v>
      </c>
    </row>
    <row r="3771" spans="1:44" x14ac:dyDescent="0.35">
      <c r="A3771" s="12" t="s">
        <v>4691</v>
      </c>
      <c r="B3771" s="12" t="s">
        <v>640</v>
      </c>
      <c r="C3771" s="12" t="s">
        <v>641</v>
      </c>
      <c r="D3771" s="12" t="s">
        <v>130</v>
      </c>
      <c r="E3771" s="12" t="s">
        <v>104</v>
      </c>
      <c r="F3771">
        <v>3</v>
      </c>
      <c r="G3771">
        <v>0</v>
      </c>
      <c r="H3771">
        <v>0</v>
      </c>
      <c r="I3771" s="12" t="s">
        <v>209</v>
      </c>
      <c r="J3771" s="12" t="s">
        <v>210</v>
      </c>
      <c r="K3771" s="12" t="s">
        <v>133</v>
      </c>
      <c r="L3771" s="12" t="s">
        <v>96</v>
      </c>
      <c r="M3771">
        <v>7.82</v>
      </c>
      <c r="N3771" s="12" t="s">
        <v>135</v>
      </c>
      <c r="O3771" s="12" t="s">
        <v>136</v>
      </c>
      <c r="P3771" s="12" t="s">
        <v>137</v>
      </c>
      <c r="Q3771" s="13">
        <v>45602</v>
      </c>
      <c r="R3771" s="13">
        <v>45614</v>
      </c>
      <c r="S3771">
        <v>2024</v>
      </c>
      <c r="T3771" s="12" t="s">
        <v>4665</v>
      </c>
      <c r="U3771">
        <v>13</v>
      </c>
      <c r="V3771">
        <v>1023.6022</v>
      </c>
      <c r="W3771">
        <v>343.24</v>
      </c>
      <c r="X3771">
        <v>0</v>
      </c>
      <c r="Y3771">
        <v>0</v>
      </c>
      <c r="Z3771">
        <v>13306.83</v>
      </c>
      <c r="AA3771">
        <v>13650.07</v>
      </c>
      <c r="AB3771" s="12" t="s">
        <v>3211</v>
      </c>
      <c r="AC3771">
        <v>977.20889999999997</v>
      </c>
      <c r="AD3771">
        <v>1</v>
      </c>
      <c r="AE3771">
        <v>1</v>
      </c>
      <c r="AF3771">
        <v>603.11</v>
      </c>
      <c r="AG3771">
        <v>12703.72</v>
      </c>
      <c r="AH3771">
        <v>13</v>
      </c>
      <c r="AI3771">
        <v>13</v>
      </c>
      <c r="AJ3771">
        <v>0</v>
      </c>
      <c r="AK3771">
        <v>1</v>
      </c>
      <c r="AL3771">
        <v>1</v>
      </c>
      <c r="AM3771">
        <v>100</v>
      </c>
      <c r="AN3771">
        <v>1050.0053</v>
      </c>
      <c r="AO3771">
        <v>0</v>
      </c>
      <c r="AP3771" s="13">
        <v>45614</v>
      </c>
      <c r="AQ3771">
        <v>0</v>
      </c>
      <c r="AR3771">
        <v>1</v>
      </c>
    </row>
    <row r="3772" spans="1:44" x14ac:dyDescent="0.35">
      <c r="A3772" s="12" t="s">
        <v>4692</v>
      </c>
      <c r="B3772" s="12" t="s">
        <v>428</v>
      </c>
      <c r="C3772" s="12" t="s">
        <v>429</v>
      </c>
      <c r="D3772" s="12" t="s">
        <v>64</v>
      </c>
      <c r="E3772" s="12" t="s">
        <v>65</v>
      </c>
      <c r="F3772">
        <v>3</v>
      </c>
      <c r="G3772">
        <v>4</v>
      </c>
      <c r="H3772">
        <v>0</v>
      </c>
      <c r="I3772" s="12" t="s">
        <v>380</v>
      </c>
      <c r="J3772" s="12" t="s">
        <v>381</v>
      </c>
      <c r="K3772" s="12" t="s">
        <v>89</v>
      </c>
      <c r="L3772" s="12" t="s">
        <v>96</v>
      </c>
      <c r="M3772">
        <v>10.210000000000001</v>
      </c>
      <c r="N3772" s="12" t="s">
        <v>70</v>
      </c>
      <c r="O3772" s="12" t="s">
        <v>71</v>
      </c>
      <c r="P3772" s="12" t="s">
        <v>72</v>
      </c>
      <c r="Q3772" s="13">
        <v>45602</v>
      </c>
      <c r="R3772" s="13">
        <v>45639</v>
      </c>
      <c r="S3772">
        <v>2024</v>
      </c>
      <c r="T3772" s="12" t="s">
        <v>4665</v>
      </c>
      <c r="U3772">
        <v>936</v>
      </c>
      <c r="V3772">
        <v>13.9192</v>
      </c>
      <c r="W3772">
        <v>326.85000000000002</v>
      </c>
      <c r="X3772">
        <v>0</v>
      </c>
      <c r="Y3772">
        <v>0</v>
      </c>
      <c r="Z3772">
        <v>13028.37</v>
      </c>
      <c r="AA3772">
        <v>13355.22</v>
      </c>
      <c r="AB3772" s="12" t="s">
        <v>2959</v>
      </c>
      <c r="AC3772">
        <v>13.9192</v>
      </c>
      <c r="AD3772">
        <v>1</v>
      </c>
      <c r="AE3772">
        <v>1</v>
      </c>
      <c r="AF3772">
        <v>0</v>
      </c>
      <c r="AG3772">
        <v>13028.37</v>
      </c>
      <c r="AH3772">
        <v>936</v>
      </c>
      <c r="AI3772">
        <v>926</v>
      </c>
      <c r="AJ3772">
        <v>10</v>
      </c>
      <c r="AK3772">
        <v>1</v>
      </c>
      <c r="AL3772">
        <v>1</v>
      </c>
      <c r="AM3772">
        <v>98.93</v>
      </c>
      <c r="AN3772">
        <v>14.422499999999999</v>
      </c>
      <c r="AO3772">
        <v>139.19</v>
      </c>
      <c r="AP3772" s="13">
        <v>45638</v>
      </c>
      <c r="AQ3772">
        <v>-1</v>
      </c>
      <c r="AR3772">
        <v>1</v>
      </c>
    </row>
    <row r="3773" spans="1:44" x14ac:dyDescent="0.35">
      <c r="A3773" s="12" t="s">
        <v>4693</v>
      </c>
      <c r="B3773" s="12" t="s">
        <v>1433</v>
      </c>
      <c r="C3773" s="12" t="s">
        <v>1434</v>
      </c>
      <c r="D3773" s="12" t="s">
        <v>269</v>
      </c>
      <c r="E3773" s="12" t="s">
        <v>65</v>
      </c>
      <c r="F3773">
        <v>3</v>
      </c>
      <c r="G3773">
        <v>5</v>
      </c>
      <c r="H3773">
        <v>0</v>
      </c>
      <c r="I3773" s="12" t="s">
        <v>87</v>
      </c>
      <c r="J3773" s="12" t="s">
        <v>88</v>
      </c>
      <c r="K3773" s="12" t="s">
        <v>89</v>
      </c>
      <c r="L3773" s="12" t="s">
        <v>69</v>
      </c>
      <c r="M3773">
        <v>14.93</v>
      </c>
      <c r="N3773" s="12" t="s">
        <v>159</v>
      </c>
      <c r="O3773" s="12" t="s">
        <v>160</v>
      </c>
      <c r="P3773" s="12" t="s">
        <v>137</v>
      </c>
      <c r="Q3773" s="13">
        <v>45602</v>
      </c>
      <c r="R3773" s="13">
        <v>45625</v>
      </c>
      <c r="S3773">
        <v>2024</v>
      </c>
      <c r="T3773" s="12" t="s">
        <v>4665</v>
      </c>
      <c r="U3773">
        <v>26</v>
      </c>
      <c r="V3773">
        <v>496.7294</v>
      </c>
      <c r="W3773">
        <v>209.14</v>
      </c>
      <c r="X3773">
        <v>0</v>
      </c>
      <c r="Y3773">
        <v>0</v>
      </c>
      <c r="Z3773">
        <v>12914.96</v>
      </c>
      <c r="AA3773">
        <v>13124.1</v>
      </c>
      <c r="AB3773" s="12" t="s">
        <v>201</v>
      </c>
      <c r="AD3773">
        <v>0</v>
      </c>
      <c r="AE3773">
        <v>0</v>
      </c>
      <c r="AH3773">
        <v>26</v>
      </c>
      <c r="AI3773">
        <v>26</v>
      </c>
      <c r="AJ3773">
        <v>0</v>
      </c>
      <c r="AK3773">
        <v>1</v>
      </c>
      <c r="AL3773">
        <v>1</v>
      </c>
      <c r="AM3773">
        <v>100</v>
      </c>
      <c r="AN3773">
        <v>504.77319999999997</v>
      </c>
      <c r="AO3773">
        <v>0</v>
      </c>
      <c r="AP3773" s="13">
        <v>45625</v>
      </c>
      <c r="AQ3773">
        <v>0</v>
      </c>
      <c r="AR3773">
        <v>1</v>
      </c>
    </row>
    <row r="3774" spans="1:44" x14ac:dyDescent="0.35">
      <c r="A3774" s="12" t="s">
        <v>4694</v>
      </c>
      <c r="B3774" s="12" t="s">
        <v>149</v>
      </c>
      <c r="C3774" s="12" t="s">
        <v>150</v>
      </c>
      <c r="D3774" s="12" t="s">
        <v>78</v>
      </c>
      <c r="E3774" s="12" t="s">
        <v>65</v>
      </c>
      <c r="F3774">
        <v>2</v>
      </c>
      <c r="G3774">
        <v>2</v>
      </c>
      <c r="H3774">
        <v>0</v>
      </c>
      <c r="I3774" s="12" t="s">
        <v>151</v>
      </c>
      <c r="J3774" s="12" t="s">
        <v>152</v>
      </c>
      <c r="K3774" s="12" t="s">
        <v>125</v>
      </c>
      <c r="L3774" s="12" t="s">
        <v>69</v>
      </c>
      <c r="M3774">
        <v>36.479999999999997</v>
      </c>
      <c r="N3774" s="12" t="s">
        <v>70</v>
      </c>
      <c r="O3774" s="12" t="s">
        <v>71</v>
      </c>
      <c r="P3774" s="12" t="s">
        <v>72</v>
      </c>
      <c r="Q3774" s="13">
        <v>45603</v>
      </c>
      <c r="R3774" s="13">
        <v>45628</v>
      </c>
      <c r="S3774">
        <v>2024</v>
      </c>
      <c r="T3774" s="12" t="s">
        <v>4665</v>
      </c>
      <c r="U3774">
        <v>107</v>
      </c>
      <c r="V3774">
        <v>70.838700000000003</v>
      </c>
      <c r="W3774">
        <v>190.86</v>
      </c>
      <c r="X3774">
        <v>0</v>
      </c>
      <c r="Y3774">
        <v>0</v>
      </c>
      <c r="Z3774">
        <v>7579.74</v>
      </c>
      <c r="AA3774">
        <v>7770.6</v>
      </c>
      <c r="AB3774" s="12" t="s">
        <v>2546</v>
      </c>
      <c r="AC3774">
        <v>70.838700000000003</v>
      </c>
      <c r="AD3774">
        <v>1</v>
      </c>
      <c r="AE3774">
        <v>1</v>
      </c>
      <c r="AF3774">
        <v>0</v>
      </c>
      <c r="AG3774">
        <v>7579.74</v>
      </c>
      <c r="AH3774">
        <v>107</v>
      </c>
      <c r="AI3774">
        <v>105</v>
      </c>
      <c r="AJ3774">
        <v>2</v>
      </c>
      <c r="AK3774">
        <v>1</v>
      </c>
      <c r="AL3774">
        <v>1</v>
      </c>
      <c r="AM3774">
        <v>98.13</v>
      </c>
      <c r="AN3774">
        <v>74.005700000000004</v>
      </c>
      <c r="AO3774">
        <v>141.68</v>
      </c>
      <c r="AP3774" s="13">
        <v>45630</v>
      </c>
      <c r="AQ3774">
        <v>2</v>
      </c>
      <c r="AR3774">
        <v>0</v>
      </c>
    </row>
    <row r="3775" spans="1:44" x14ac:dyDescent="0.35">
      <c r="A3775" s="12" t="s">
        <v>4695</v>
      </c>
      <c r="B3775" s="12" t="s">
        <v>537</v>
      </c>
      <c r="C3775" s="12" t="s">
        <v>538</v>
      </c>
      <c r="D3775" s="12" t="s">
        <v>103</v>
      </c>
      <c r="E3775" s="12" t="s">
        <v>104</v>
      </c>
      <c r="F3775">
        <v>3</v>
      </c>
      <c r="G3775">
        <v>0</v>
      </c>
      <c r="H3775">
        <v>0</v>
      </c>
      <c r="I3775" s="12" t="s">
        <v>143</v>
      </c>
      <c r="J3775" s="12" t="s">
        <v>144</v>
      </c>
      <c r="K3775" s="12" t="s">
        <v>133</v>
      </c>
      <c r="L3775" s="12" t="s">
        <v>96</v>
      </c>
      <c r="M3775">
        <v>5.43</v>
      </c>
      <c r="N3775" s="12" t="s">
        <v>145</v>
      </c>
      <c r="O3775" s="12" t="s">
        <v>146</v>
      </c>
      <c r="P3775" s="12" t="s">
        <v>109</v>
      </c>
      <c r="Q3775" s="13">
        <v>45603</v>
      </c>
      <c r="R3775" s="13">
        <v>45617</v>
      </c>
      <c r="S3775">
        <v>2024</v>
      </c>
      <c r="T3775" s="12" t="s">
        <v>4665</v>
      </c>
      <c r="U3775">
        <v>27</v>
      </c>
      <c r="V3775">
        <v>240.59469999999999</v>
      </c>
      <c r="W3775">
        <v>132.11000000000001</v>
      </c>
      <c r="X3775">
        <v>0</v>
      </c>
      <c r="Y3775">
        <v>0</v>
      </c>
      <c r="Z3775">
        <v>6496.06</v>
      </c>
      <c r="AA3775">
        <v>6628.17</v>
      </c>
      <c r="AB3775" s="12" t="s">
        <v>3321</v>
      </c>
      <c r="AC3775">
        <v>240.59469999999999</v>
      </c>
      <c r="AD3775">
        <v>1</v>
      </c>
      <c r="AE3775">
        <v>1</v>
      </c>
      <c r="AF3775">
        <v>0</v>
      </c>
      <c r="AG3775">
        <v>6496.06</v>
      </c>
      <c r="AH3775">
        <v>27</v>
      </c>
      <c r="AI3775">
        <v>27</v>
      </c>
      <c r="AJ3775">
        <v>0</v>
      </c>
      <c r="AK3775">
        <v>1</v>
      </c>
      <c r="AL3775">
        <v>1</v>
      </c>
      <c r="AM3775">
        <v>100</v>
      </c>
      <c r="AN3775">
        <v>245.48769999999999</v>
      </c>
      <c r="AO3775">
        <v>0</v>
      </c>
      <c r="AP3775" s="13">
        <v>45615</v>
      </c>
      <c r="AQ3775">
        <v>-2</v>
      </c>
      <c r="AR3775">
        <v>1</v>
      </c>
    </row>
    <row r="3776" spans="1:44" x14ac:dyDescent="0.35">
      <c r="A3776" s="12" t="s">
        <v>4696</v>
      </c>
      <c r="B3776" s="12" t="s">
        <v>630</v>
      </c>
      <c r="C3776" s="12" t="s">
        <v>631</v>
      </c>
      <c r="D3776" s="12" t="s">
        <v>130</v>
      </c>
      <c r="E3776" s="12" t="s">
        <v>65</v>
      </c>
      <c r="F3776">
        <v>1</v>
      </c>
      <c r="G3776">
        <v>2</v>
      </c>
      <c r="H3776">
        <v>1</v>
      </c>
      <c r="I3776" s="12" t="s">
        <v>335</v>
      </c>
      <c r="J3776" s="12" t="s">
        <v>336</v>
      </c>
      <c r="K3776" s="12" t="s">
        <v>89</v>
      </c>
      <c r="L3776" s="12" t="s">
        <v>82</v>
      </c>
      <c r="M3776">
        <v>16</v>
      </c>
      <c r="N3776" s="12" t="s">
        <v>135</v>
      </c>
      <c r="O3776" s="12" t="s">
        <v>136</v>
      </c>
      <c r="P3776" s="12" t="s">
        <v>137</v>
      </c>
      <c r="Q3776" s="13">
        <v>45603</v>
      </c>
      <c r="R3776" s="13">
        <v>45628</v>
      </c>
      <c r="S3776">
        <v>2024</v>
      </c>
      <c r="T3776" s="12" t="s">
        <v>4665</v>
      </c>
      <c r="U3776">
        <v>41</v>
      </c>
      <c r="V3776">
        <v>446.36720000000003</v>
      </c>
      <c r="W3776">
        <v>166.3</v>
      </c>
      <c r="X3776">
        <v>0</v>
      </c>
      <c r="Y3776">
        <v>0</v>
      </c>
      <c r="Z3776">
        <v>18301.060000000001</v>
      </c>
      <c r="AA3776">
        <v>18467.36</v>
      </c>
      <c r="AB3776" s="12" t="s">
        <v>2944</v>
      </c>
      <c r="AC3776">
        <v>446.36720000000003</v>
      </c>
      <c r="AD3776">
        <v>1</v>
      </c>
      <c r="AE3776">
        <v>1</v>
      </c>
      <c r="AF3776">
        <v>0</v>
      </c>
      <c r="AG3776">
        <v>18301.060000000001</v>
      </c>
      <c r="AH3776">
        <v>41</v>
      </c>
      <c r="AI3776">
        <v>41</v>
      </c>
      <c r="AJ3776">
        <v>0</v>
      </c>
      <c r="AK3776">
        <v>1</v>
      </c>
      <c r="AL3776">
        <v>1</v>
      </c>
      <c r="AM3776">
        <v>100</v>
      </c>
      <c r="AN3776">
        <v>450.42329999999998</v>
      </c>
      <c r="AO3776">
        <v>0</v>
      </c>
      <c r="AP3776" s="13">
        <v>45625</v>
      </c>
      <c r="AQ3776">
        <v>-3</v>
      </c>
      <c r="AR3776">
        <v>1</v>
      </c>
    </row>
    <row r="3777" spans="1:44" x14ac:dyDescent="0.35">
      <c r="A3777" s="12" t="s">
        <v>4697</v>
      </c>
      <c r="B3777" s="12" t="s">
        <v>284</v>
      </c>
      <c r="C3777" s="12" t="s">
        <v>285</v>
      </c>
      <c r="D3777" s="12" t="s">
        <v>269</v>
      </c>
      <c r="E3777" s="12" t="s">
        <v>104</v>
      </c>
      <c r="F3777">
        <v>3</v>
      </c>
      <c r="G3777">
        <v>1</v>
      </c>
      <c r="H3777">
        <v>0</v>
      </c>
      <c r="I3777" s="12" t="s">
        <v>199</v>
      </c>
      <c r="J3777" s="12" t="s">
        <v>200</v>
      </c>
      <c r="K3777" s="12" t="s">
        <v>68</v>
      </c>
      <c r="L3777" s="12" t="s">
        <v>96</v>
      </c>
      <c r="M3777">
        <v>9.4700000000000006</v>
      </c>
      <c r="N3777" s="12" t="s">
        <v>159</v>
      </c>
      <c r="O3777" s="12" t="s">
        <v>160</v>
      </c>
      <c r="P3777" s="12" t="s">
        <v>137</v>
      </c>
      <c r="Q3777" s="13">
        <v>45603</v>
      </c>
      <c r="R3777" s="13">
        <v>45621</v>
      </c>
      <c r="S3777">
        <v>2024</v>
      </c>
      <c r="T3777" s="12" t="s">
        <v>4665</v>
      </c>
      <c r="U3777">
        <v>60</v>
      </c>
      <c r="V3777">
        <v>373.03500000000003</v>
      </c>
      <c r="W3777">
        <v>337.35</v>
      </c>
      <c r="X3777">
        <v>0</v>
      </c>
      <c r="Y3777">
        <v>0</v>
      </c>
      <c r="Z3777">
        <v>22382.1</v>
      </c>
      <c r="AA3777">
        <v>22719.45</v>
      </c>
      <c r="AB3777" s="12" t="s">
        <v>201</v>
      </c>
      <c r="AD3777">
        <v>0</v>
      </c>
      <c r="AE3777">
        <v>0</v>
      </c>
      <c r="AH3777">
        <v>60</v>
      </c>
      <c r="AI3777">
        <v>59</v>
      </c>
      <c r="AJ3777">
        <v>1</v>
      </c>
      <c r="AK3777">
        <v>1</v>
      </c>
      <c r="AL3777">
        <v>1</v>
      </c>
      <c r="AM3777">
        <v>98.33</v>
      </c>
      <c r="AN3777">
        <v>385.0754</v>
      </c>
      <c r="AO3777">
        <v>373.04</v>
      </c>
      <c r="AP3777" s="13">
        <v>45620</v>
      </c>
      <c r="AQ3777">
        <v>-1</v>
      </c>
      <c r="AR3777">
        <v>1</v>
      </c>
    </row>
    <row r="3778" spans="1:44" x14ac:dyDescent="0.35">
      <c r="A3778" s="12" t="s">
        <v>4698</v>
      </c>
      <c r="B3778" s="12" t="s">
        <v>451</v>
      </c>
      <c r="C3778" s="12" t="s">
        <v>452</v>
      </c>
      <c r="D3778" s="12" t="s">
        <v>175</v>
      </c>
      <c r="E3778" s="12" t="s">
        <v>104</v>
      </c>
      <c r="F3778">
        <v>3</v>
      </c>
      <c r="G3778">
        <v>1</v>
      </c>
      <c r="H3778">
        <v>0</v>
      </c>
      <c r="I3778" s="12" t="s">
        <v>359</v>
      </c>
      <c r="J3778" s="12" t="s">
        <v>360</v>
      </c>
      <c r="K3778" s="12" t="s">
        <v>133</v>
      </c>
      <c r="L3778" s="12" t="s">
        <v>82</v>
      </c>
      <c r="M3778">
        <v>12.65</v>
      </c>
      <c r="N3778" s="12" t="s">
        <v>107</v>
      </c>
      <c r="O3778" s="12" t="s">
        <v>108</v>
      </c>
      <c r="P3778" s="12" t="s">
        <v>109</v>
      </c>
      <c r="Q3778" s="13">
        <v>45603</v>
      </c>
      <c r="R3778" s="13">
        <v>45625</v>
      </c>
      <c r="S3778">
        <v>2024</v>
      </c>
      <c r="T3778" s="12" t="s">
        <v>4665</v>
      </c>
      <c r="U3778">
        <v>95</v>
      </c>
      <c r="V3778">
        <v>234.84710000000001</v>
      </c>
      <c r="W3778">
        <v>258.02999999999997</v>
      </c>
      <c r="X3778">
        <v>0</v>
      </c>
      <c r="Y3778">
        <v>0</v>
      </c>
      <c r="Z3778">
        <v>22310.47</v>
      </c>
      <c r="AA3778">
        <v>22568.5</v>
      </c>
      <c r="AB3778" s="12" t="s">
        <v>2947</v>
      </c>
      <c r="AC3778">
        <v>234.84710000000001</v>
      </c>
      <c r="AD3778">
        <v>1</v>
      </c>
      <c r="AE3778">
        <v>1</v>
      </c>
      <c r="AF3778">
        <v>0</v>
      </c>
      <c r="AG3778">
        <v>22310.47</v>
      </c>
      <c r="AH3778">
        <v>95</v>
      </c>
      <c r="AI3778">
        <v>94</v>
      </c>
      <c r="AJ3778">
        <v>1</v>
      </c>
      <c r="AK3778">
        <v>1</v>
      </c>
      <c r="AL3778">
        <v>1</v>
      </c>
      <c r="AM3778">
        <v>98.95</v>
      </c>
      <c r="AN3778">
        <v>240.09049999999999</v>
      </c>
      <c r="AO3778">
        <v>234.85</v>
      </c>
      <c r="AP3778" s="13">
        <v>45624</v>
      </c>
      <c r="AQ3778">
        <v>-1</v>
      </c>
      <c r="AR3778">
        <v>1</v>
      </c>
    </row>
    <row r="3779" spans="1:44" x14ac:dyDescent="0.35">
      <c r="A3779" s="12" t="s">
        <v>4699</v>
      </c>
      <c r="B3779" s="12" t="s">
        <v>207</v>
      </c>
      <c r="C3779" s="12" t="s">
        <v>208</v>
      </c>
      <c r="D3779" s="12" t="s">
        <v>78</v>
      </c>
      <c r="E3779" s="12" t="s">
        <v>65</v>
      </c>
      <c r="F3779">
        <v>2</v>
      </c>
      <c r="G3779">
        <v>3</v>
      </c>
      <c r="H3779">
        <v>0</v>
      </c>
      <c r="I3779" s="12" t="s">
        <v>209</v>
      </c>
      <c r="J3779" s="12" t="s">
        <v>210</v>
      </c>
      <c r="K3779" s="12" t="s">
        <v>133</v>
      </c>
      <c r="L3779" s="12" t="s">
        <v>96</v>
      </c>
      <c r="M3779">
        <v>7.82</v>
      </c>
      <c r="N3779" s="12" t="s">
        <v>70</v>
      </c>
      <c r="O3779" s="12" t="s">
        <v>71</v>
      </c>
      <c r="P3779" s="12" t="s">
        <v>72</v>
      </c>
      <c r="Q3779" s="13">
        <v>45603</v>
      </c>
      <c r="R3779" s="13">
        <v>45637</v>
      </c>
      <c r="S3779">
        <v>2024</v>
      </c>
      <c r="T3779" s="12" t="s">
        <v>4665</v>
      </c>
      <c r="U3779">
        <v>229</v>
      </c>
      <c r="V3779">
        <v>148.61590000000001</v>
      </c>
      <c r="W3779">
        <v>513.4</v>
      </c>
      <c r="X3779">
        <v>0</v>
      </c>
      <c r="Y3779">
        <v>0</v>
      </c>
      <c r="Z3779">
        <v>34033.040000000001</v>
      </c>
      <c r="AA3779">
        <v>34546.44</v>
      </c>
      <c r="AB3779" s="12" t="s">
        <v>2832</v>
      </c>
      <c r="AC3779">
        <v>148.61590000000001</v>
      </c>
      <c r="AD3779">
        <v>1</v>
      </c>
      <c r="AE3779">
        <v>1</v>
      </c>
      <c r="AF3779">
        <v>0</v>
      </c>
      <c r="AG3779">
        <v>34033.040000000001</v>
      </c>
      <c r="AH3779">
        <v>229</v>
      </c>
      <c r="AI3779">
        <v>226</v>
      </c>
      <c r="AJ3779">
        <v>3</v>
      </c>
      <c r="AK3779">
        <v>1</v>
      </c>
      <c r="AL3779">
        <v>1</v>
      </c>
      <c r="AM3779">
        <v>98.69</v>
      </c>
      <c r="AN3779">
        <v>152.8604</v>
      </c>
      <c r="AO3779">
        <v>445.85</v>
      </c>
      <c r="AP3779" s="13">
        <v>45636</v>
      </c>
      <c r="AQ3779">
        <v>-1</v>
      </c>
      <c r="AR3779">
        <v>1</v>
      </c>
    </row>
    <row r="3780" spans="1:44" x14ac:dyDescent="0.35">
      <c r="A3780" s="12" t="s">
        <v>4700</v>
      </c>
      <c r="B3780" s="12" t="s">
        <v>924</v>
      </c>
      <c r="C3780" s="12" t="s">
        <v>925</v>
      </c>
      <c r="D3780" s="12" t="s">
        <v>103</v>
      </c>
      <c r="E3780" s="12" t="s">
        <v>104</v>
      </c>
      <c r="F3780">
        <v>2</v>
      </c>
      <c r="G3780">
        <v>0</v>
      </c>
      <c r="H3780">
        <v>0</v>
      </c>
      <c r="I3780" s="12" t="s">
        <v>335</v>
      </c>
      <c r="J3780" s="12" t="s">
        <v>336</v>
      </c>
      <c r="K3780" s="12" t="s">
        <v>89</v>
      </c>
      <c r="L3780" s="12" t="s">
        <v>82</v>
      </c>
      <c r="M3780">
        <v>16</v>
      </c>
      <c r="N3780" s="12" t="s">
        <v>107</v>
      </c>
      <c r="O3780" s="12" t="s">
        <v>108</v>
      </c>
      <c r="P3780" s="12" t="s">
        <v>109</v>
      </c>
      <c r="Q3780" s="13">
        <v>45603</v>
      </c>
      <c r="R3780" s="13">
        <v>45615</v>
      </c>
      <c r="S3780">
        <v>2024</v>
      </c>
      <c r="T3780" s="12" t="s">
        <v>4665</v>
      </c>
      <c r="U3780">
        <v>13</v>
      </c>
      <c r="V3780">
        <v>174.29640000000001</v>
      </c>
      <c r="W3780">
        <v>40.049999999999997</v>
      </c>
      <c r="X3780">
        <v>0</v>
      </c>
      <c r="Y3780">
        <v>0</v>
      </c>
      <c r="Z3780">
        <v>2265.85</v>
      </c>
      <c r="AA3780">
        <v>2305.9</v>
      </c>
      <c r="AB3780" s="12" t="s">
        <v>201</v>
      </c>
      <c r="AD3780">
        <v>0</v>
      </c>
      <c r="AE3780">
        <v>0</v>
      </c>
      <c r="AH3780">
        <v>13</v>
      </c>
      <c r="AI3780">
        <v>13</v>
      </c>
      <c r="AJ3780">
        <v>0</v>
      </c>
      <c r="AK3780">
        <v>1</v>
      </c>
      <c r="AL3780">
        <v>1</v>
      </c>
      <c r="AM3780">
        <v>100</v>
      </c>
      <c r="AN3780">
        <v>177.37719999999999</v>
      </c>
      <c r="AO3780">
        <v>0</v>
      </c>
      <c r="AP3780" s="13">
        <v>45615</v>
      </c>
      <c r="AQ3780">
        <v>0</v>
      </c>
      <c r="AR3780">
        <v>1</v>
      </c>
    </row>
    <row r="3781" spans="1:44" x14ac:dyDescent="0.35">
      <c r="A3781" s="12" t="s">
        <v>4701</v>
      </c>
      <c r="B3781" s="12" t="s">
        <v>437</v>
      </c>
      <c r="C3781" s="12" t="s">
        <v>438</v>
      </c>
      <c r="D3781" s="12" t="s">
        <v>269</v>
      </c>
      <c r="E3781" s="12" t="s">
        <v>65</v>
      </c>
      <c r="F3781">
        <v>2</v>
      </c>
      <c r="G3781">
        <v>4</v>
      </c>
      <c r="H3781">
        <v>0</v>
      </c>
      <c r="I3781" s="12" t="s">
        <v>183</v>
      </c>
      <c r="J3781" s="12" t="s">
        <v>184</v>
      </c>
      <c r="K3781" s="12" t="s">
        <v>133</v>
      </c>
      <c r="L3781" s="12" t="s">
        <v>82</v>
      </c>
      <c r="M3781">
        <v>8.6199999999999992</v>
      </c>
      <c r="N3781" s="12" t="s">
        <v>159</v>
      </c>
      <c r="O3781" s="12" t="s">
        <v>160</v>
      </c>
      <c r="P3781" s="12" t="s">
        <v>137</v>
      </c>
      <c r="Q3781" s="13">
        <v>45604</v>
      </c>
      <c r="R3781" s="13">
        <v>45629</v>
      </c>
      <c r="S3781">
        <v>2024</v>
      </c>
      <c r="T3781" s="12" t="s">
        <v>4665</v>
      </c>
      <c r="U3781">
        <v>44</v>
      </c>
      <c r="V3781">
        <v>430.72949999999997</v>
      </c>
      <c r="W3781">
        <v>251.02</v>
      </c>
      <c r="X3781">
        <v>0</v>
      </c>
      <c r="Y3781">
        <v>0</v>
      </c>
      <c r="Z3781">
        <v>18952.099999999999</v>
      </c>
      <c r="AA3781">
        <v>19203.12</v>
      </c>
      <c r="AB3781" s="12" t="s">
        <v>3513</v>
      </c>
      <c r="AC3781">
        <v>430.72949999999997</v>
      </c>
      <c r="AD3781">
        <v>1</v>
      </c>
      <c r="AE3781">
        <v>1</v>
      </c>
      <c r="AF3781">
        <v>0</v>
      </c>
      <c r="AG3781">
        <v>18952.099999999999</v>
      </c>
      <c r="AH3781">
        <v>44</v>
      </c>
      <c r="AI3781">
        <v>44</v>
      </c>
      <c r="AJ3781">
        <v>0</v>
      </c>
      <c r="AK3781">
        <v>1</v>
      </c>
      <c r="AL3781">
        <v>1</v>
      </c>
      <c r="AM3781">
        <v>100</v>
      </c>
      <c r="AN3781">
        <v>436.43450000000001</v>
      </c>
      <c r="AO3781">
        <v>0</v>
      </c>
      <c r="AP3781" s="13">
        <v>45629</v>
      </c>
      <c r="AQ3781">
        <v>0</v>
      </c>
      <c r="AR3781">
        <v>1</v>
      </c>
    </row>
    <row r="3782" spans="1:44" x14ac:dyDescent="0.35">
      <c r="A3782" s="12" t="s">
        <v>4702</v>
      </c>
      <c r="B3782" s="12" t="s">
        <v>843</v>
      </c>
      <c r="C3782" s="12" t="s">
        <v>844</v>
      </c>
      <c r="D3782" s="12" t="s">
        <v>175</v>
      </c>
      <c r="E3782" s="12" t="s">
        <v>65</v>
      </c>
      <c r="F3782">
        <v>3</v>
      </c>
      <c r="G3782">
        <v>5</v>
      </c>
      <c r="H3782">
        <v>0</v>
      </c>
      <c r="I3782" s="12" t="s">
        <v>676</v>
      </c>
      <c r="J3782" s="12" t="s">
        <v>677</v>
      </c>
      <c r="K3782" s="12" t="s">
        <v>68</v>
      </c>
      <c r="L3782" s="12" t="s">
        <v>96</v>
      </c>
      <c r="M3782">
        <v>3.57</v>
      </c>
      <c r="N3782" s="12" t="s">
        <v>145</v>
      </c>
      <c r="O3782" s="12" t="s">
        <v>146</v>
      </c>
      <c r="P3782" s="12" t="s">
        <v>109</v>
      </c>
      <c r="Q3782" s="13">
        <v>45604</v>
      </c>
      <c r="R3782" s="13">
        <v>45636</v>
      </c>
      <c r="S3782">
        <v>2024</v>
      </c>
      <c r="T3782" s="12" t="s">
        <v>4665</v>
      </c>
      <c r="U3782">
        <v>96</v>
      </c>
      <c r="V3782">
        <v>268.48039999999997</v>
      </c>
      <c r="W3782">
        <v>409.76</v>
      </c>
      <c r="X3782">
        <v>0</v>
      </c>
      <c r="Y3782">
        <v>0</v>
      </c>
      <c r="Z3782">
        <v>25774.12</v>
      </c>
      <c r="AA3782">
        <v>26183.88</v>
      </c>
      <c r="AB3782" s="12" t="s">
        <v>201</v>
      </c>
      <c r="AD3782">
        <v>0</v>
      </c>
      <c r="AE3782">
        <v>0</v>
      </c>
      <c r="AH3782">
        <v>96</v>
      </c>
      <c r="AI3782">
        <v>95</v>
      </c>
      <c r="AJ3782">
        <v>1</v>
      </c>
      <c r="AK3782">
        <v>1</v>
      </c>
      <c r="AL3782">
        <v>1</v>
      </c>
      <c r="AM3782">
        <v>98.96</v>
      </c>
      <c r="AN3782">
        <v>275.6198</v>
      </c>
      <c r="AO3782">
        <v>268.48</v>
      </c>
      <c r="AP3782" s="13">
        <v>45643</v>
      </c>
      <c r="AQ3782">
        <v>7</v>
      </c>
      <c r="AR3782">
        <v>0</v>
      </c>
    </row>
    <row r="3783" spans="1:44" x14ac:dyDescent="0.35">
      <c r="A3783" s="12" t="s">
        <v>4703</v>
      </c>
      <c r="B3783" s="12" t="s">
        <v>395</v>
      </c>
      <c r="C3783" s="12" t="s">
        <v>396</v>
      </c>
      <c r="D3783" s="12" t="s">
        <v>130</v>
      </c>
      <c r="E3783" s="12" t="s">
        <v>104</v>
      </c>
      <c r="F3783">
        <v>3</v>
      </c>
      <c r="G3783">
        <v>1</v>
      </c>
      <c r="H3783">
        <v>0</v>
      </c>
      <c r="I3783" s="12" t="s">
        <v>341</v>
      </c>
      <c r="J3783" s="12" t="s">
        <v>342</v>
      </c>
      <c r="K3783" s="12" t="s">
        <v>117</v>
      </c>
      <c r="L3783" s="12" t="s">
        <v>82</v>
      </c>
      <c r="M3783">
        <v>18.36</v>
      </c>
      <c r="N3783" s="12" t="s">
        <v>135</v>
      </c>
      <c r="O3783" s="12" t="s">
        <v>136</v>
      </c>
      <c r="P3783" s="12" t="s">
        <v>137</v>
      </c>
      <c r="Q3783" s="13">
        <v>45604</v>
      </c>
      <c r="R3783" s="13">
        <v>45626</v>
      </c>
      <c r="S3783">
        <v>2024</v>
      </c>
      <c r="T3783" s="12" t="s">
        <v>4665</v>
      </c>
      <c r="U3783">
        <v>93</v>
      </c>
      <c r="V3783">
        <v>174.20429999999999</v>
      </c>
      <c r="W3783">
        <v>373.56</v>
      </c>
      <c r="X3783">
        <v>0</v>
      </c>
      <c r="Y3783">
        <v>0</v>
      </c>
      <c r="Z3783">
        <v>16201</v>
      </c>
      <c r="AA3783">
        <v>16574.560000000001</v>
      </c>
      <c r="AB3783" s="12" t="s">
        <v>2742</v>
      </c>
      <c r="AC3783">
        <v>174.20429999999999</v>
      </c>
      <c r="AD3783">
        <v>1</v>
      </c>
      <c r="AE3783">
        <v>1</v>
      </c>
      <c r="AF3783">
        <v>0</v>
      </c>
      <c r="AG3783">
        <v>16201</v>
      </c>
      <c r="AH3783">
        <v>93</v>
      </c>
      <c r="AI3783">
        <v>92</v>
      </c>
      <c r="AJ3783">
        <v>1</v>
      </c>
      <c r="AK3783">
        <v>1</v>
      </c>
      <c r="AL3783">
        <v>1</v>
      </c>
      <c r="AM3783">
        <v>98.92</v>
      </c>
      <c r="AN3783">
        <v>180.1583</v>
      </c>
      <c r="AO3783">
        <v>174.2</v>
      </c>
      <c r="AP3783" s="13">
        <v>45624</v>
      </c>
      <c r="AQ3783">
        <v>-2</v>
      </c>
      <c r="AR3783">
        <v>1</v>
      </c>
    </row>
    <row r="3784" spans="1:44" x14ac:dyDescent="0.35">
      <c r="A3784" s="12" t="s">
        <v>4704</v>
      </c>
      <c r="B3784" s="12" t="s">
        <v>848</v>
      </c>
      <c r="C3784" s="12" t="s">
        <v>849</v>
      </c>
      <c r="D3784" s="12" t="s">
        <v>103</v>
      </c>
      <c r="E3784" s="12" t="s">
        <v>65</v>
      </c>
      <c r="F3784">
        <v>2</v>
      </c>
      <c r="G3784">
        <v>4</v>
      </c>
      <c r="H3784">
        <v>0</v>
      </c>
      <c r="I3784" s="12" t="s">
        <v>87</v>
      </c>
      <c r="J3784" s="12" t="s">
        <v>88</v>
      </c>
      <c r="K3784" s="12" t="s">
        <v>89</v>
      </c>
      <c r="L3784" s="12" t="s">
        <v>69</v>
      </c>
      <c r="M3784">
        <v>14.93</v>
      </c>
      <c r="N3784" s="12" t="s">
        <v>107</v>
      </c>
      <c r="O3784" s="12" t="s">
        <v>108</v>
      </c>
      <c r="P3784" s="12" t="s">
        <v>109</v>
      </c>
      <c r="Q3784" s="13">
        <v>45604</v>
      </c>
      <c r="R3784" s="13">
        <v>45628</v>
      </c>
      <c r="S3784">
        <v>2024</v>
      </c>
      <c r="T3784" s="12" t="s">
        <v>4665</v>
      </c>
      <c r="U3784">
        <v>33</v>
      </c>
      <c r="V3784">
        <v>121.1635</v>
      </c>
      <c r="W3784">
        <v>67.900000000000006</v>
      </c>
      <c r="X3784">
        <v>0</v>
      </c>
      <c r="Y3784">
        <v>0</v>
      </c>
      <c r="Z3784">
        <v>3998.4</v>
      </c>
      <c r="AA3784">
        <v>4066.3</v>
      </c>
      <c r="AB3784" s="12" t="s">
        <v>3680</v>
      </c>
      <c r="AC3784">
        <v>121.1635</v>
      </c>
      <c r="AD3784">
        <v>1</v>
      </c>
      <c r="AE3784">
        <v>1</v>
      </c>
      <c r="AF3784">
        <v>0</v>
      </c>
      <c r="AG3784">
        <v>3998.4</v>
      </c>
      <c r="AH3784">
        <v>33</v>
      </c>
      <c r="AI3784">
        <v>33</v>
      </c>
      <c r="AJ3784">
        <v>0</v>
      </c>
      <c r="AK3784">
        <v>1</v>
      </c>
      <c r="AL3784">
        <v>1</v>
      </c>
      <c r="AM3784">
        <v>100</v>
      </c>
      <c r="AN3784">
        <v>123.22110000000001</v>
      </c>
      <c r="AO3784">
        <v>0</v>
      </c>
      <c r="AP3784" s="13">
        <v>45627</v>
      </c>
      <c r="AQ3784">
        <v>-1</v>
      </c>
      <c r="AR3784">
        <v>1</v>
      </c>
    </row>
    <row r="3785" spans="1:44" x14ac:dyDescent="0.35">
      <c r="A3785" s="12" t="s">
        <v>4705</v>
      </c>
      <c r="B3785" s="12" t="s">
        <v>598</v>
      </c>
      <c r="C3785" s="12" t="s">
        <v>599</v>
      </c>
      <c r="D3785" s="12" t="s">
        <v>269</v>
      </c>
      <c r="E3785" s="12" t="s">
        <v>65</v>
      </c>
      <c r="F3785">
        <v>1</v>
      </c>
      <c r="G3785">
        <v>2</v>
      </c>
      <c r="H3785">
        <v>1</v>
      </c>
      <c r="I3785" s="12" t="s">
        <v>176</v>
      </c>
      <c r="J3785" s="12" t="s">
        <v>177</v>
      </c>
      <c r="K3785" s="12" t="s">
        <v>125</v>
      </c>
      <c r="L3785" s="12" t="s">
        <v>134</v>
      </c>
      <c r="M3785">
        <v>1.75</v>
      </c>
      <c r="N3785" s="12" t="s">
        <v>135</v>
      </c>
      <c r="O3785" s="12" t="s">
        <v>136</v>
      </c>
      <c r="P3785" s="12" t="s">
        <v>137</v>
      </c>
      <c r="Q3785" s="13">
        <v>45604</v>
      </c>
      <c r="R3785" s="13">
        <v>45628</v>
      </c>
      <c r="S3785">
        <v>2024</v>
      </c>
      <c r="T3785" s="12" t="s">
        <v>4665</v>
      </c>
      <c r="U3785">
        <v>39</v>
      </c>
      <c r="V3785">
        <v>454.53089999999997</v>
      </c>
      <c r="W3785">
        <v>148.91999999999999</v>
      </c>
      <c r="X3785">
        <v>0</v>
      </c>
      <c r="Y3785">
        <v>0</v>
      </c>
      <c r="Z3785">
        <v>17726.71</v>
      </c>
      <c r="AA3785">
        <v>17875.63</v>
      </c>
      <c r="AB3785" s="12" t="s">
        <v>3102</v>
      </c>
      <c r="AC3785">
        <v>454.53089999999997</v>
      </c>
      <c r="AD3785">
        <v>1</v>
      </c>
      <c r="AE3785">
        <v>1</v>
      </c>
      <c r="AF3785">
        <v>0</v>
      </c>
      <c r="AG3785">
        <v>17726.71</v>
      </c>
      <c r="AH3785">
        <v>39</v>
      </c>
      <c r="AI3785">
        <v>39</v>
      </c>
      <c r="AJ3785">
        <v>0</v>
      </c>
      <c r="AK3785">
        <v>1</v>
      </c>
      <c r="AL3785">
        <v>1</v>
      </c>
      <c r="AM3785">
        <v>100</v>
      </c>
      <c r="AN3785">
        <v>458.3494</v>
      </c>
      <c r="AO3785">
        <v>0</v>
      </c>
      <c r="AP3785" s="13">
        <v>45628</v>
      </c>
      <c r="AQ3785">
        <v>0</v>
      </c>
      <c r="AR3785">
        <v>1</v>
      </c>
    </row>
    <row r="3786" spans="1:44" x14ac:dyDescent="0.35">
      <c r="A3786" s="12" t="s">
        <v>4706</v>
      </c>
      <c r="B3786" s="12" t="s">
        <v>876</v>
      </c>
      <c r="C3786" s="12" t="s">
        <v>877</v>
      </c>
      <c r="D3786" s="12" t="s">
        <v>269</v>
      </c>
      <c r="E3786" s="12" t="s">
        <v>142</v>
      </c>
      <c r="F3786">
        <v>3</v>
      </c>
      <c r="G3786">
        <v>11</v>
      </c>
      <c r="H3786">
        <v>0</v>
      </c>
      <c r="I3786" s="12" t="s">
        <v>515</v>
      </c>
      <c r="J3786" s="12" t="s">
        <v>516</v>
      </c>
      <c r="K3786" s="12" t="s">
        <v>68</v>
      </c>
      <c r="L3786" s="12" t="s">
        <v>134</v>
      </c>
      <c r="M3786">
        <v>3.69</v>
      </c>
      <c r="N3786" s="12" t="s">
        <v>135</v>
      </c>
      <c r="O3786" s="12" t="s">
        <v>136</v>
      </c>
      <c r="P3786" s="12" t="s">
        <v>137</v>
      </c>
      <c r="Q3786" s="13">
        <v>45604</v>
      </c>
      <c r="R3786" s="13">
        <v>45656</v>
      </c>
      <c r="S3786">
        <v>2024</v>
      </c>
      <c r="T3786" s="12" t="s">
        <v>4665</v>
      </c>
      <c r="U3786">
        <v>149</v>
      </c>
      <c r="V3786">
        <v>191.71029999999999</v>
      </c>
      <c r="W3786">
        <v>388.33</v>
      </c>
      <c r="X3786">
        <v>0</v>
      </c>
      <c r="Y3786">
        <v>0</v>
      </c>
      <c r="Z3786">
        <v>28564.83</v>
      </c>
      <c r="AA3786">
        <v>28953.16</v>
      </c>
      <c r="AB3786" s="12" t="s">
        <v>3591</v>
      </c>
      <c r="AC3786">
        <v>191.71029999999999</v>
      </c>
      <c r="AD3786">
        <v>1</v>
      </c>
      <c r="AE3786">
        <v>1</v>
      </c>
      <c r="AF3786">
        <v>0</v>
      </c>
      <c r="AG3786">
        <v>28564.83</v>
      </c>
      <c r="AH3786">
        <v>149</v>
      </c>
      <c r="AI3786">
        <v>147</v>
      </c>
      <c r="AJ3786">
        <v>2</v>
      </c>
      <c r="AK3786">
        <v>1</v>
      </c>
      <c r="AL3786">
        <v>1</v>
      </c>
      <c r="AM3786">
        <v>98.66</v>
      </c>
      <c r="AN3786">
        <v>196.96029999999999</v>
      </c>
      <c r="AO3786">
        <v>383.42</v>
      </c>
      <c r="AP3786" s="13">
        <v>45656</v>
      </c>
      <c r="AQ3786">
        <v>0</v>
      </c>
      <c r="AR3786">
        <v>1</v>
      </c>
    </row>
    <row r="3787" spans="1:44" x14ac:dyDescent="0.35">
      <c r="A3787" s="12" t="s">
        <v>4707</v>
      </c>
      <c r="B3787" s="12" t="s">
        <v>155</v>
      </c>
      <c r="C3787" s="12" t="s">
        <v>156</v>
      </c>
      <c r="D3787" s="12" t="s">
        <v>130</v>
      </c>
      <c r="E3787" s="12" t="s">
        <v>104</v>
      </c>
      <c r="F3787">
        <v>3</v>
      </c>
      <c r="G3787">
        <v>1</v>
      </c>
      <c r="H3787">
        <v>0</v>
      </c>
      <c r="I3787" s="12" t="s">
        <v>157</v>
      </c>
      <c r="J3787" s="12" t="s">
        <v>158</v>
      </c>
      <c r="K3787" s="12" t="s">
        <v>117</v>
      </c>
      <c r="L3787" s="12" t="s">
        <v>96</v>
      </c>
      <c r="M3787">
        <v>4.72</v>
      </c>
      <c r="N3787" s="12" t="s">
        <v>135</v>
      </c>
      <c r="O3787" s="12" t="s">
        <v>136</v>
      </c>
      <c r="P3787" s="12" t="s">
        <v>137</v>
      </c>
      <c r="Q3787" s="13">
        <v>45604</v>
      </c>
      <c r="R3787" s="13">
        <v>45630</v>
      </c>
      <c r="S3787">
        <v>2024</v>
      </c>
      <c r="T3787" s="12" t="s">
        <v>4665</v>
      </c>
      <c r="U3787">
        <v>125</v>
      </c>
      <c r="V3787">
        <v>197.22630000000001</v>
      </c>
      <c r="W3787">
        <v>631.44000000000005</v>
      </c>
      <c r="X3787">
        <v>0</v>
      </c>
      <c r="Y3787">
        <v>0</v>
      </c>
      <c r="Z3787">
        <v>24653.29</v>
      </c>
      <c r="AA3787">
        <v>25284.73</v>
      </c>
      <c r="AB3787" s="12" t="s">
        <v>201</v>
      </c>
      <c r="AD3787">
        <v>0</v>
      </c>
      <c r="AE3787">
        <v>0</v>
      </c>
      <c r="AH3787">
        <v>125</v>
      </c>
      <c r="AI3787">
        <v>124</v>
      </c>
      <c r="AJ3787">
        <v>1</v>
      </c>
      <c r="AK3787">
        <v>1</v>
      </c>
      <c r="AL3787">
        <v>1</v>
      </c>
      <c r="AM3787">
        <v>99.2</v>
      </c>
      <c r="AN3787">
        <v>203.9091</v>
      </c>
      <c r="AO3787">
        <v>197.23</v>
      </c>
      <c r="AP3787" s="13">
        <v>45627</v>
      </c>
      <c r="AQ3787">
        <v>-3</v>
      </c>
      <c r="AR3787">
        <v>1</v>
      </c>
    </row>
    <row r="3788" spans="1:44" x14ac:dyDescent="0.35">
      <c r="A3788" s="12" t="s">
        <v>4708</v>
      </c>
      <c r="B3788" s="12" t="s">
        <v>494</v>
      </c>
      <c r="C3788" s="12" t="s">
        <v>495</v>
      </c>
      <c r="D3788" s="12" t="s">
        <v>175</v>
      </c>
      <c r="E3788" s="12" t="s">
        <v>65</v>
      </c>
      <c r="F3788">
        <v>2</v>
      </c>
      <c r="G3788">
        <v>3</v>
      </c>
      <c r="H3788">
        <v>0</v>
      </c>
      <c r="I3788" s="12" t="s">
        <v>515</v>
      </c>
      <c r="J3788" s="12" t="s">
        <v>516</v>
      </c>
      <c r="K3788" s="12" t="s">
        <v>68</v>
      </c>
      <c r="L3788" s="12" t="s">
        <v>134</v>
      </c>
      <c r="M3788">
        <v>3.69</v>
      </c>
      <c r="N3788" s="12" t="s">
        <v>107</v>
      </c>
      <c r="O3788" s="12" t="s">
        <v>108</v>
      </c>
      <c r="P3788" s="12" t="s">
        <v>109</v>
      </c>
      <c r="Q3788" s="13">
        <v>45604</v>
      </c>
      <c r="R3788" s="13">
        <v>45637</v>
      </c>
      <c r="S3788">
        <v>2024</v>
      </c>
      <c r="T3788" s="12" t="s">
        <v>4665</v>
      </c>
      <c r="U3788">
        <v>107</v>
      </c>
      <c r="V3788">
        <v>157.60329999999999</v>
      </c>
      <c r="W3788">
        <v>326.92</v>
      </c>
      <c r="X3788">
        <v>0</v>
      </c>
      <c r="Y3788">
        <v>0</v>
      </c>
      <c r="Z3788">
        <v>16863.55</v>
      </c>
      <c r="AA3788">
        <v>17190.47</v>
      </c>
      <c r="AB3788" s="12" t="s">
        <v>2807</v>
      </c>
      <c r="AC3788">
        <v>157.60329999999999</v>
      </c>
      <c r="AD3788">
        <v>1</v>
      </c>
      <c r="AE3788">
        <v>1</v>
      </c>
      <c r="AF3788">
        <v>0</v>
      </c>
      <c r="AG3788">
        <v>16863.55</v>
      </c>
      <c r="AH3788">
        <v>107</v>
      </c>
      <c r="AI3788">
        <v>107</v>
      </c>
      <c r="AJ3788">
        <v>0</v>
      </c>
      <c r="AK3788">
        <v>1</v>
      </c>
      <c r="AL3788">
        <v>1</v>
      </c>
      <c r="AM3788">
        <v>100</v>
      </c>
      <c r="AN3788">
        <v>160.65860000000001</v>
      </c>
      <c r="AO3788">
        <v>0</v>
      </c>
      <c r="AP3788" s="13">
        <v>45636</v>
      </c>
      <c r="AQ3788">
        <v>-1</v>
      </c>
      <c r="AR3788">
        <v>1</v>
      </c>
    </row>
    <row r="3789" spans="1:44" x14ac:dyDescent="0.35">
      <c r="A3789" s="12" t="s">
        <v>4709</v>
      </c>
      <c r="B3789" s="12" t="s">
        <v>221</v>
      </c>
      <c r="C3789" s="12" t="s">
        <v>222</v>
      </c>
      <c r="D3789" s="12" t="s">
        <v>114</v>
      </c>
      <c r="E3789" s="12" t="s">
        <v>142</v>
      </c>
      <c r="F3789">
        <v>3</v>
      </c>
      <c r="G3789">
        <v>11</v>
      </c>
      <c r="H3789">
        <v>0</v>
      </c>
      <c r="I3789" s="12" t="s">
        <v>105</v>
      </c>
      <c r="J3789" s="12" t="s">
        <v>106</v>
      </c>
      <c r="K3789" s="12" t="s">
        <v>81</v>
      </c>
      <c r="L3789" s="12" t="s">
        <v>96</v>
      </c>
      <c r="M3789">
        <v>5.01</v>
      </c>
      <c r="N3789" s="12" t="s">
        <v>97</v>
      </c>
      <c r="O3789" s="12" t="s">
        <v>98</v>
      </c>
      <c r="P3789" s="12" t="s">
        <v>72</v>
      </c>
      <c r="Q3789" s="13">
        <v>45604</v>
      </c>
      <c r="R3789" s="13">
        <v>45639</v>
      </c>
      <c r="S3789">
        <v>2024</v>
      </c>
      <c r="T3789" s="12" t="s">
        <v>4665</v>
      </c>
      <c r="U3789">
        <v>14</v>
      </c>
      <c r="V3789">
        <v>239.12260000000001</v>
      </c>
      <c r="W3789">
        <v>70.17</v>
      </c>
      <c r="X3789">
        <v>0</v>
      </c>
      <c r="Y3789">
        <v>0</v>
      </c>
      <c r="Z3789">
        <v>3347.72</v>
      </c>
      <c r="AA3789">
        <v>3417.89</v>
      </c>
      <c r="AB3789" s="12" t="s">
        <v>2818</v>
      </c>
      <c r="AC3789">
        <v>239.12260000000001</v>
      </c>
      <c r="AD3789">
        <v>1</v>
      </c>
      <c r="AE3789">
        <v>1</v>
      </c>
      <c r="AF3789">
        <v>0</v>
      </c>
      <c r="AG3789">
        <v>3347.72</v>
      </c>
      <c r="AH3789">
        <v>14</v>
      </c>
      <c r="AI3789">
        <v>14</v>
      </c>
      <c r="AJ3789">
        <v>0</v>
      </c>
      <c r="AK3789">
        <v>1</v>
      </c>
      <c r="AL3789">
        <v>1</v>
      </c>
      <c r="AM3789">
        <v>100</v>
      </c>
      <c r="AN3789">
        <v>244.13470000000001</v>
      </c>
      <c r="AO3789">
        <v>0</v>
      </c>
      <c r="AP3789" s="13">
        <v>45636</v>
      </c>
      <c r="AQ3789">
        <v>-3</v>
      </c>
      <c r="AR3789">
        <v>1</v>
      </c>
    </row>
    <row r="3790" spans="1:44" x14ac:dyDescent="0.35">
      <c r="A3790" s="12" t="s">
        <v>4710</v>
      </c>
      <c r="B3790" s="12" t="s">
        <v>509</v>
      </c>
      <c r="C3790" s="12" t="s">
        <v>510</v>
      </c>
      <c r="D3790" s="12" t="s">
        <v>78</v>
      </c>
      <c r="E3790" s="12" t="s">
        <v>142</v>
      </c>
      <c r="F3790">
        <v>3</v>
      </c>
      <c r="G3790">
        <v>11</v>
      </c>
      <c r="H3790">
        <v>0</v>
      </c>
      <c r="I3790" s="12" t="s">
        <v>176</v>
      </c>
      <c r="J3790" s="12" t="s">
        <v>177</v>
      </c>
      <c r="K3790" s="12" t="s">
        <v>125</v>
      </c>
      <c r="L3790" s="12" t="s">
        <v>134</v>
      </c>
      <c r="M3790">
        <v>1.75</v>
      </c>
      <c r="N3790" s="12" t="s">
        <v>70</v>
      </c>
      <c r="O3790" s="12" t="s">
        <v>71</v>
      </c>
      <c r="P3790" s="12" t="s">
        <v>72</v>
      </c>
      <c r="Q3790" s="13">
        <v>45604</v>
      </c>
      <c r="R3790" s="13">
        <v>45651</v>
      </c>
      <c r="S3790">
        <v>2024</v>
      </c>
      <c r="T3790" s="12" t="s">
        <v>4665</v>
      </c>
      <c r="U3790">
        <v>222</v>
      </c>
      <c r="V3790">
        <v>137.78739999999999</v>
      </c>
      <c r="W3790">
        <v>642.19000000000005</v>
      </c>
      <c r="X3790">
        <v>0</v>
      </c>
      <c r="Y3790">
        <v>0</v>
      </c>
      <c r="Z3790">
        <v>30588.799999999999</v>
      </c>
      <c r="AA3790">
        <v>31230.99</v>
      </c>
      <c r="AB3790" s="12" t="s">
        <v>201</v>
      </c>
      <c r="AD3790">
        <v>0</v>
      </c>
      <c r="AE3790">
        <v>0</v>
      </c>
      <c r="AH3790">
        <v>222</v>
      </c>
      <c r="AI3790">
        <v>218</v>
      </c>
      <c r="AJ3790">
        <v>4</v>
      </c>
      <c r="AK3790">
        <v>1</v>
      </c>
      <c r="AL3790">
        <v>1</v>
      </c>
      <c r="AM3790">
        <v>98.2</v>
      </c>
      <c r="AN3790">
        <v>143.26140000000001</v>
      </c>
      <c r="AO3790">
        <v>551.15</v>
      </c>
      <c r="AP3790" s="13">
        <v>45649</v>
      </c>
      <c r="AQ3790">
        <v>-2</v>
      </c>
      <c r="AR3790">
        <v>1</v>
      </c>
    </row>
    <row r="3791" spans="1:44" x14ac:dyDescent="0.35">
      <c r="A3791" s="12" t="s">
        <v>4711</v>
      </c>
      <c r="B3791" s="12" t="s">
        <v>1054</v>
      </c>
      <c r="C3791" s="12" t="s">
        <v>1055</v>
      </c>
      <c r="D3791" s="12" t="s">
        <v>122</v>
      </c>
      <c r="E3791" s="12" t="s">
        <v>65</v>
      </c>
      <c r="F3791">
        <v>1</v>
      </c>
      <c r="G3791">
        <v>2</v>
      </c>
      <c r="H3791">
        <v>1</v>
      </c>
      <c r="I3791" s="12" t="s">
        <v>176</v>
      </c>
      <c r="J3791" s="12" t="s">
        <v>177</v>
      </c>
      <c r="K3791" s="12" t="s">
        <v>125</v>
      </c>
      <c r="L3791" s="12" t="s">
        <v>134</v>
      </c>
      <c r="M3791">
        <v>1.75</v>
      </c>
      <c r="N3791" s="12" t="s">
        <v>97</v>
      </c>
      <c r="O3791" s="12" t="s">
        <v>98</v>
      </c>
      <c r="P3791" s="12" t="s">
        <v>72</v>
      </c>
      <c r="Q3791" s="13">
        <v>45607</v>
      </c>
      <c r="R3791" s="13">
        <v>45638</v>
      </c>
      <c r="S3791">
        <v>2024</v>
      </c>
      <c r="T3791" s="12" t="s">
        <v>4665</v>
      </c>
      <c r="U3791">
        <v>1250</v>
      </c>
      <c r="V3791">
        <v>45.850499999999997</v>
      </c>
      <c r="W3791">
        <v>1154.47</v>
      </c>
      <c r="X3791">
        <v>0</v>
      </c>
      <c r="Y3791">
        <v>0</v>
      </c>
      <c r="Z3791">
        <v>57313.13</v>
      </c>
      <c r="AA3791">
        <v>58467.6</v>
      </c>
      <c r="AB3791" s="12" t="s">
        <v>3227</v>
      </c>
      <c r="AC3791">
        <v>45.850499999999997</v>
      </c>
      <c r="AD3791">
        <v>1</v>
      </c>
      <c r="AE3791">
        <v>1</v>
      </c>
      <c r="AF3791">
        <v>0</v>
      </c>
      <c r="AG3791">
        <v>57313.13</v>
      </c>
      <c r="AH3791">
        <v>1250</v>
      </c>
      <c r="AI3791">
        <v>1235</v>
      </c>
      <c r="AJ3791">
        <v>15</v>
      </c>
      <c r="AK3791">
        <v>1</v>
      </c>
      <c r="AL3791">
        <v>1</v>
      </c>
      <c r="AM3791">
        <v>98.8</v>
      </c>
      <c r="AN3791">
        <v>47.342199999999998</v>
      </c>
      <c r="AO3791">
        <v>687.76</v>
      </c>
      <c r="AP3791" s="13">
        <v>45637</v>
      </c>
      <c r="AQ3791">
        <v>-1</v>
      </c>
      <c r="AR3791">
        <v>1</v>
      </c>
    </row>
    <row r="3792" spans="1:44" x14ac:dyDescent="0.35">
      <c r="A3792" s="12" t="s">
        <v>4712</v>
      </c>
      <c r="B3792" s="12" t="s">
        <v>609</v>
      </c>
      <c r="C3792" s="12" t="s">
        <v>610</v>
      </c>
      <c r="D3792" s="12" t="s">
        <v>64</v>
      </c>
      <c r="E3792" s="12" t="s">
        <v>104</v>
      </c>
      <c r="F3792">
        <v>1</v>
      </c>
      <c r="G3792">
        <v>0</v>
      </c>
      <c r="H3792">
        <v>1</v>
      </c>
      <c r="I3792" s="12" t="s">
        <v>227</v>
      </c>
      <c r="J3792" s="12" t="s">
        <v>228</v>
      </c>
      <c r="K3792" s="12" t="s">
        <v>89</v>
      </c>
      <c r="L3792" s="12" t="s">
        <v>96</v>
      </c>
      <c r="M3792">
        <v>9.15</v>
      </c>
      <c r="N3792" s="12" t="s">
        <v>97</v>
      </c>
      <c r="O3792" s="12" t="s">
        <v>98</v>
      </c>
      <c r="P3792" s="12" t="s">
        <v>72</v>
      </c>
      <c r="Q3792" s="13">
        <v>45607</v>
      </c>
      <c r="R3792" s="13">
        <v>45631</v>
      </c>
      <c r="S3792">
        <v>2024</v>
      </c>
      <c r="T3792" s="12" t="s">
        <v>4665</v>
      </c>
      <c r="U3792">
        <v>727</v>
      </c>
      <c r="V3792">
        <v>21.3855</v>
      </c>
      <c r="W3792">
        <v>126.25</v>
      </c>
      <c r="X3792">
        <v>0</v>
      </c>
      <c r="Y3792">
        <v>0</v>
      </c>
      <c r="Z3792">
        <v>15547.26</v>
      </c>
      <c r="AA3792">
        <v>15673.51</v>
      </c>
      <c r="AB3792" s="12" t="s">
        <v>3349</v>
      </c>
      <c r="AC3792">
        <v>20.698799999999999</v>
      </c>
      <c r="AD3792">
        <v>1</v>
      </c>
      <c r="AE3792">
        <v>1</v>
      </c>
      <c r="AF3792">
        <v>499.23</v>
      </c>
      <c r="AG3792">
        <v>15048.03</v>
      </c>
      <c r="AH3792">
        <v>727</v>
      </c>
      <c r="AI3792">
        <v>718</v>
      </c>
      <c r="AJ3792">
        <v>9</v>
      </c>
      <c r="AK3792">
        <v>1</v>
      </c>
      <c r="AL3792">
        <v>1</v>
      </c>
      <c r="AM3792">
        <v>98.76</v>
      </c>
      <c r="AN3792">
        <v>21.8294</v>
      </c>
      <c r="AO3792">
        <v>192.47</v>
      </c>
      <c r="AP3792" s="13">
        <v>45640</v>
      </c>
      <c r="AQ3792">
        <v>9</v>
      </c>
      <c r="AR3792">
        <v>0</v>
      </c>
    </row>
    <row r="3793" spans="1:44" x14ac:dyDescent="0.35">
      <c r="A3793" s="12" t="s">
        <v>4713</v>
      </c>
      <c r="B3793" s="12" t="s">
        <v>395</v>
      </c>
      <c r="C3793" s="12" t="s">
        <v>396</v>
      </c>
      <c r="D3793" s="12" t="s">
        <v>130</v>
      </c>
      <c r="E3793" s="12" t="s">
        <v>104</v>
      </c>
      <c r="F3793">
        <v>3</v>
      </c>
      <c r="G3793">
        <v>1</v>
      </c>
      <c r="H3793">
        <v>0</v>
      </c>
      <c r="I3793" s="12" t="s">
        <v>341</v>
      </c>
      <c r="J3793" s="12" t="s">
        <v>342</v>
      </c>
      <c r="K3793" s="12" t="s">
        <v>117</v>
      </c>
      <c r="L3793" s="12" t="s">
        <v>82</v>
      </c>
      <c r="M3793">
        <v>18.36</v>
      </c>
      <c r="N3793" s="12" t="s">
        <v>159</v>
      </c>
      <c r="O3793" s="12" t="s">
        <v>160</v>
      </c>
      <c r="P3793" s="12" t="s">
        <v>137</v>
      </c>
      <c r="Q3793" s="13">
        <v>45607</v>
      </c>
      <c r="R3793" s="13">
        <v>45631</v>
      </c>
      <c r="S3793">
        <v>2024</v>
      </c>
      <c r="T3793" s="12" t="s">
        <v>4665</v>
      </c>
      <c r="U3793">
        <v>106</v>
      </c>
      <c r="V3793">
        <v>164.20240000000001</v>
      </c>
      <c r="W3793">
        <v>146.94</v>
      </c>
      <c r="X3793">
        <v>0</v>
      </c>
      <c r="Y3793">
        <v>0</v>
      </c>
      <c r="Z3793">
        <v>17405.45</v>
      </c>
      <c r="AA3793">
        <v>17552.39</v>
      </c>
      <c r="AB3793" s="12" t="s">
        <v>2742</v>
      </c>
      <c r="AC3793">
        <v>174.20429999999999</v>
      </c>
      <c r="AD3793">
        <v>1</v>
      </c>
      <c r="AE3793">
        <v>1</v>
      </c>
      <c r="AF3793">
        <v>-1060.2</v>
      </c>
      <c r="AG3793">
        <v>18465.66</v>
      </c>
      <c r="AH3793">
        <v>106</v>
      </c>
      <c r="AI3793">
        <v>105</v>
      </c>
      <c r="AJ3793">
        <v>1</v>
      </c>
      <c r="AK3793">
        <v>1</v>
      </c>
      <c r="AL3793">
        <v>1</v>
      </c>
      <c r="AM3793">
        <v>99.06</v>
      </c>
      <c r="AN3793">
        <v>167.16569999999999</v>
      </c>
      <c r="AO3793">
        <v>164.2</v>
      </c>
      <c r="AP3793" s="13">
        <v>45631</v>
      </c>
      <c r="AQ3793">
        <v>0</v>
      </c>
      <c r="AR3793">
        <v>1</v>
      </c>
    </row>
    <row r="3794" spans="1:44" x14ac:dyDescent="0.35">
      <c r="A3794" s="12" t="s">
        <v>4714</v>
      </c>
      <c r="B3794" s="12" t="s">
        <v>284</v>
      </c>
      <c r="C3794" s="12" t="s">
        <v>285</v>
      </c>
      <c r="D3794" s="12" t="s">
        <v>269</v>
      </c>
      <c r="E3794" s="12" t="s">
        <v>104</v>
      </c>
      <c r="F3794">
        <v>3</v>
      </c>
      <c r="G3794">
        <v>1</v>
      </c>
      <c r="H3794">
        <v>0</v>
      </c>
      <c r="I3794" s="12" t="s">
        <v>169</v>
      </c>
      <c r="J3794" s="12" t="s">
        <v>170</v>
      </c>
      <c r="K3794" s="12" t="s">
        <v>89</v>
      </c>
      <c r="L3794" s="12" t="s">
        <v>134</v>
      </c>
      <c r="M3794">
        <v>1.37</v>
      </c>
      <c r="N3794" s="12" t="s">
        <v>159</v>
      </c>
      <c r="O3794" s="12" t="s">
        <v>160</v>
      </c>
      <c r="P3794" s="12" t="s">
        <v>137</v>
      </c>
      <c r="Q3794" s="13">
        <v>45607</v>
      </c>
      <c r="R3794" s="13">
        <v>45631</v>
      </c>
      <c r="S3794">
        <v>2024</v>
      </c>
      <c r="T3794" s="12" t="s">
        <v>4665</v>
      </c>
      <c r="U3794">
        <v>105</v>
      </c>
      <c r="V3794">
        <v>417.68970000000002</v>
      </c>
      <c r="W3794">
        <v>698.22</v>
      </c>
      <c r="X3794">
        <v>0</v>
      </c>
      <c r="Y3794">
        <v>0</v>
      </c>
      <c r="Z3794">
        <v>43857.42</v>
      </c>
      <c r="AA3794">
        <v>44555.64</v>
      </c>
      <c r="AB3794" s="12" t="s">
        <v>201</v>
      </c>
      <c r="AD3794">
        <v>0</v>
      </c>
      <c r="AE3794">
        <v>0</v>
      </c>
      <c r="AH3794">
        <v>105</v>
      </c>
      <c r="AI3794">
        <v>104</v>
      </c>
      <c r="AJ3794">
        <v>1</v>
      </c>
      <c r="AK3794">
        <v>1</v>
      </c>
      <c r="AL3794">
        <v>1</v>
      </c>
      <c r="AM3794">
        <v>99.05</v>
      </c>
      <c r="AN3794">
        <v>428.4196</v>
      </c>
      <c r="AO3794">
        <v>417.69</v>
      </c>
      <c r="AP3794" s="13">
        <v>45629</v>
      </c>
      <c r="AQ3794">
        <v>-2</v>
      </c>
      <c r="AR3794">
        <v>1</v>
      </c>
    </row>
    <row r="3795" spans="1:44" x14ac:dyDescent="0.35">
      <c r="A3795" s="12" t="s">
        <v>4715</v>
      </c>
      <c r="B3795" s="12" t="s">
        <v>827</v>
      </c>
      <c r="C3795" s="12" t="s">
        <v>828</v>
      </c>
      <c r="D3795" s="12" t="s">
        <v>175</v>
      </c>
      <c r="E3795" s="12" t="s">
        <v>104</v>
      </c>
      <c r="F3795">
        <v>2</v>
      </c>
      <c r="G3795">
        <v>0</v>
      </c>
      <c r="H3795">
        <v>0</v>
      </c>
      <c r="I3795" s="12" t="s">
        <v>310</v>
      </c>
      <c r="J3795" s="12" t="s">
        <v>311</v>
      </c>
      <c r="K3795" s="12" t="s">
        <v>81</v>
      </c>
      <c r="L3795" s="12" t="s">
        <v>69</v>
      </c>
      <c r="M3795">
        <v>28.3</v>
      </c>
      <c r="N3795" s="12" t="s">
        <v>145</v>
      </c>
      <c r="O3795" s="12" t="s">
        <v>146</v>
      </c>
      <c r="P3795" s="12" t="s">
        <v>109</v>
      </c>
      <c r="Q3795" s="13">
        <v>45607</v>
      </c>
      <c r="R3795" s="13">
        <v>45622</v>
      </c>
      <c r="S3795">
        <v>2024</v>
      </c>
      <c r="T3795" s="12" t="s">
        <v>4665</v>
      </c>
      <c r="U3795">
        <v>33</v>
      </c>
      <c r="V3795">
        <v>104.9198</v>
      </c>
      <c r="W3795">
        <v>62.04</v>
      </c>
      <c r="X3795">
        <v>0</v>
      </c>
      <c r="Y3795">
        <v>0</v>
      </c>
      <c r="Z3795">
        <v>3462.35</v>
      </c>
      <c r="AA3795">
        <v>3524.39</v>
      </c>
      <c r="AB3795" s="12" t="s">
        <v>4192</v>
      </c>
      <c r="AC3795">
        <v>104.9198</v>
      </c>
      <c r="AD3795">
        <v>1</v>
      </c>
      <c r="AE3795">
        <v>1</v>
      </c>
      <c r="AF3795">
        <v>0</v>
      </c>
      <c r="AG3795">
        <v>3462.35</v>
      </c>
      <c r="AH3795">
        <v>33</v>
      </c>
      <c r="AI3795">
        <v>33</v>
      </c>
      <c r="AJ3795">
        <v>0</v>
      </c>
      <c r="AK3795">
        <v>1</v>
      </c>
      <c r="AL3795">
        <v>1</v>
      </c>
      <c r="AM3795">
        <v>100</v>
      </c>
      <c r="AN3795">
        <v>106.7998</v>
      </c>
      <c r="AO3795">
        <v>0</v>
      </c>
      <c r="AP3795" s="13">
        <v>45628</v>
      </c>
      <c r="AQ3795">
        <v>6</v>
      </c>
      <c r="AR3795">
        <v>0</v>
      </c>
    </row>
    <row r="3796" spans="1:44" x14ac:dyDescent="0.35">
      <c r="A3796" s="12" t="s">
        <v>4716</v>
      </c>
      <c r="B3796" s="12" t="s">
        <v>231</v>
      </c>
      <c r="C3796" s="12" t="s">
        <v>232</v>
      </c>
      <c r="D3796" s="12" t="s">
        <v>130</v>
      </c>
      <c r="E3796" s="12" t="s">
        <v>65</v>
      </c>
      <c r="F3796">
        <v>1</v>
      </c>
      <c r="G3796">
        <v>2</v>
      </c>
      <c r="H3796">
        <v>1</v>
      </c>
      <c r="I3796" s="12" t="s">
        <v>233</v>
      </c>
      <c r="J3796" s="12" t="s">
        <v>234</v>
      </c>
      <c r="K3796" s="12" t="s">
        <v>125</v>
      </c>
      <c r="L3796" s="12" t="s">
        <v>96</v>
      </c>
      <c r="M3796">
        <v>3.73</v>
      </c>
      <c r="N3796" s="12" t="s">
        <v>135</v>
      </c>
      <c r="O3796" s="12" t="s">
        <v>136</v>
      </c>
      <c r="P3796" s="12" t="s">
        <v>137</v>
      </c>
      <c r="Q3796" s="13">
        <v>45607</v>
      </c>
      <c r="R3796" s="13">
        <v>45633</v>
      </c>
      <c r="S3796">
        <v>2024</v>
      </c>
      <c r="T3796" s="12" t="s">
        <v>4665</v>
      </c>
      <c r="U3796">
        <v>50</v>
      </c>
      <c r="V3796">
        <v>431.90800000000002</v>
      </c>
      <c r="W3796">
        <v>178.7</v>
      </c>
      <c r="X3796">
        <v>0</v>
      </c>
      <c r="Y3796">
        <v>0</v>
      </c>
      <c r="Z3796">
        <v>21595.4</v>
      </c>
      <c r="AA3796">
        <v>21774.1</v>
      </c>
      <c r="AB3796" s="12" t="s">
        <v>201</v>
      </c>
      <c r="AD3796">
        <v>0</v>
      </c>
      <c r="AE3796">
        <v>0</v>
      </c>
      <c r="AH3796">
        <v>50</v>
      </c>
      <c r="AI3796">
        <v>49</v>
      </c>
      <c r="AJ3796">
        <v>1</v>
      </c>
      <c r="AK3796">
        <v>1</v>
      </c>
      <c r="AL3796">
        <v>1</v>
      </c>
      <c r="AM3796">
        <v>98</v>
      </c>
      <c r="AN3796">
        <v>444.36939999999998</v>
      </c>
      <c r="AO3796">
        <v>431.91</v>
      </c>
      <c r="AP3796" s="13">
        <v>45630</v>
      </c>
      <c r="AQ3796">
        <v>-3</v>
      </c>
      <c r="AR3796">
        <v>1</v>
      </c>
    </row>
    <row r="3797" spans="1:44" x14ac:dyDescent="0.35">
      <c r="A3797" s="12" t="s">
        <v>4717</v>
      </c>
      <c r="B3797" s="12" t="s">
        <v>957</v>
      </c>
      <c r="C3797" s="12" t="s">
        <v>958</v>
      </c>
      <c r="D3797" s="12" t="s">
        <v>103</v>
      </c>
      <c r="E3797" s="12" t="s">
        <v>142</v>
      </c>
      <c r="F3797">
        <v>1</v>
      </c>
      <c r="G3797">
        <v>7</v>
      </c>
      <c r="H3797">
        <v>1</v>
      </c>
      <c r="I3797" s="12" t="s">
        <v>183</v>
      </c>
      <c r="J3797" s="12" t="s">
        <v>184</v>
      </c>
      <c r="K3797" s="12" t="s">
        <v>133</v>
      </c>
      <c r="L3797" s="12" t="s">
        <v>82</v>
      </c>
      <c r="M3797">
        <v>8.6199999999999992</v>
      </c>
      <c r="N3797" s="12" t="s">
        <v>107</v>
      </c>
      <c r="O3797" s="12" t="s">
        <v>108</v>
      </c>
      <c r="P3797" s="12" t="s">
        <v>109</v>
      </c>
      <c r="Q3797" s="13">
        <v>45607</v>
      </c>
      <c r="R3797" s="13">
        <v>45648</v>
      </c>
      <c r="S3797">
        <v>2024</v>
      </c>
      <c r="T3797" s="12" t="s">
        <v>4665</v>
      </c>
      <c r="U3797">
        <v>59</v>
      </c>
      <c r="V3797">
        <v>193.65539999999999</v>
      </c>
      <c r="W3797">
        <v>271.60000000000002</v>
      </c>
      <c r="X3797">
        <v>0</v>
      </c>
      <c r="Y3797">
        <v>0</v>
      </c>
      <c r="Z3797">
        <v>11425.67</v>
      </c>
      <c r="AA3797">
        <v>11697.27</v>
      </c>
      <c r="AB3797" s="12" t="s">
        <v>3249</v>
      </c>
      <c r="AC3797">
        <v>193.65539999999999</v>
      </c>
      <c r="AD3797">
        <v>1</v>
      </c>
      <c r="AE3797">
        <v>1</v>
      </c>
      <c r="AF3797">
        <v>0</v>
      </c>
      <c r="AG3797">
        <v>11425.67</v>
      </c>
      <c r="AH3797">
        <v>59</v>
      </c>
      <c r="AI3797">
        <v>59</v>
      </c>
      <c r="AJ3797">
        <v>0</v>
      </c>
      <c r="AK3797">
        <v>1</v>
      </c>
      <c r="AL3797">
        <v>1</v>
      </c>
      <c r="AM3797">
        <v>100</v>
      </c>
      <c r="AN3797">
        <v>198.25880000000001</v>
      </c>
      <c r="AO3797">
        <v>0</v>
      </c>
      <c r="AP3797" s="13">
        <v>45645</v>
      </c>
      <c r="AQ3797">
        <v>-3</v>
      </c>
      <c r="AR3797">
        <v>1</v>
      </c>
    </row>
    <row r="3798" spans="1:44" x14ac:dyDescent="0.35">
      <c r="A3798" s="12" t="s">
        <v>4718</v>
      </c>
      <c r="B3798" s="12" t="s">
        <v>140</v>
      </c>
      <c r="C3798" s="12" t="s">
        <v>141</v>
      </c>
      <c r="D3798" s="12" t="s">
        <v>103</v>
      </c>
      <c r="E3798" s="12" t="s">
        <v>142</v>
      </c>
      <c r="F3798">
        <v>1</v>
      </c>
      <c r="G3798">
        <v>7</v>
      </c>
      <c r="H3798">
        <v>1</v>
      </c>
      <c r="I3798" s="12" t="s">
        <v>143</v>
      </c>
      <c r="J3798" s="12" t="s">
        <v>144</v>
      </c>
      <c r="K3798" s="12" t="s">
        <v>133</v>
      </c>
      <c r="L3798" s="12" t="s">
        <v>96</v>
      </c>
      <c r="M3798">
        <v>5.43</v>
      </c>
      <c r="N3798" s="12" t="s">
        <v>145</v>
      </c>
      <c r="O3798" s="12" t="s">
        <v>146</v>
      </c>
      <c r="P3798" s="12" t="s">
        <v>109</v>
      </c>
      <c r="Q3798" s="13">
        <v>45607</v>
      </c>
      <c r="R3798" s="13">
        <v>45656</v>
      </c>
      <c r="S3798">
        <v>2024</v>
      </c>
      <c r="T3798" s="12" t="s">
        <v>4665</v>
      </c>
      <c r="U3798">
        <v>123</v>
      </c>
      <c r="V3798">
        <v>211.35810000000001</v>
      </c>
      <c r="W3798">
        <v>195.51</v>
      </c>
      <c r="X3798">
        <v>0</v>
      </c>
      <c r="Y3798">
        <v>0</v>
      </c>
      <c r="Z3798">
        <v>25997.05</v>
      </c>
      <c r="AA3798">
        <v>26192.560000000001</v>
      </c>
      <c r="AB3798" s="12" t="s">
        <v>2815</v>
      </c>
      <c r="AC3798">
        <v>211.35810000000001</v>
      </c>
      <c r="AD3798">
        <v>1</v>
      </c>
      <c r="AE3798">
        <v>1</v>
      </c>
      <c r="AF3798">
        <v>0</v>
      </c>
      <c r="AG3798">
        <v>25997.05</v>
      </c>
      <c r="AH3798">
        <v>123</v>
      </c>
      <c r="AI3798">
        <v>122</v>
      </c>
      <c r="AJ3798">
        <v>1</v>
      </c>
      <c r="AK3798">
        <v>1</v>
      </c>
      <c r="AL3798">
        <v>1</v>
      </c>
      <c r="AM3798">
        <v>99.19</v>
      </c>
      <c r="AN3798">
        <v>214.69309999999999</v>
      </c>
      <c r="AO3798">
        <v>211.36</v>
      </c>
      <c r="AP3798" s="13">
        <v>45653</v>
      </c>
      <c r="AQ3798">
        <v>-3</v>
      </c>
      <c r="AR3798">
        <v>1</v>
      </c>
    </row>
    <row r="3799" spans="1:44" x14ac:dyDescent="0.35">
      <c r="A3799" s="12" t="s">
        <v>4719</v>
      </c>
      <c r="B3799" s="12" t="s">
        <v>706</v>
      </c>
      <c r="C3799" s="12" t="s">
        <v>707</v>
      </c>
      <c r="D3799" s="12" t="s">
        <v>130</v>
      </c>
      <c r="E3799" s="12" t="s">
        <v>142</v>
      </c>
      <c r="F3799">
        <v>1</v>
      </c>
      <c r="G3799">
        <v>8</v>
      </c>
      <c r="H3799">
        <v>1</v>
      </c>
      <c r="I3799" s="12" t="s">
        <v>263</v>
      </c>
      <c r="J3799" s="12" t="s">
        <v>264</v>
      </c>
      <c r="K3799" s="12" t="s">
        <v>125</v>
      </c>
      <c r="L3799" s="12" t="s">
        <v>82</v>
      </c>
      <c r="M3799">
        <v>10.210000000000001</v>
      </c>
      <c r="N3799" s="12" t="s">
        <v>159</v>
      </c>
      <c r="O3799" s="12" t="s">
        <v>160</v>
      </c>
      <c r="P3799" s="12" t="s">
        <v>137</v>
      </c>
      <c r="Q3799" s="13">
        <v>45608</v>
      </c>
      <c r="R3799" s="13">
        <v>45658</v>
      </c>
      <c r="S3799">
        <v>2024</v>
      </c>
      <c r="T3799" s="12" t="s">
        <v>4665</v>
      </c>
      <c r="U3799">
        <v>126</v>
      </c>
      <c r="V3799">
        <v>277.214</v>
      </c>
      <c r="W3799">
        <v>259.77</v>
      </c>
      <c r="X3799">
        <v>0</v>
      </c>
      <c r="Y3799">
        <v>0</v>
      </c>
      <c r="Z3799">
        <v>34928.959999999999</v>
      </c>
      <c r="AA3799">
        <v>35188.730000000003</v>
      </c>
      <c r="AB3799" s="12" t="s">
        <v>3434</v>
      </c>
      <c r="AC3799">
        <v>277.214</v>
      </c>
      <c r="AD3799">
        <v>1</v>
      </c>
      <c r="AE3799">
        <v>1</v>
      </c>
      <c r="AF3799">
        <v>0</v>
      </c>
      <c r="AG3799">
        <v>34928.959999999999</v>
      </c>
      <c r="AH3799">
        <v>126</v>
      </c>
      <c r="AI3799">
        <v>125</v>
      </c>
      <c r="AJ3799">
        <v>1</v>
      </c>
      <c r="AK3799">
        <v>1</v>
      </c>
      <c r="AL3799">
        <v>1</v>
      </c>
      <c r="AM3799">
        <v>99.21</v>
      </c>
      <c r="AN3799">
        <v>281.50990000000002</v>
      </c>
      <c r="AO3799">
        <v>277.20999999999998</v>
      </c>
      <c r="AP3799" s="13">
        <v>45657</v>
      </c>
      <c r="AQ3799">
        <v>-1</v>
      </c>
      <c r="AR3799">
        <v>1</v>
      </c>
    </row>
    <row r="3800" spans="1:44" x14ac:dyDescent="0.35">
      <c r="A3800" s="12" t="s">
        <v>4720</v>
      </c>
      <c r="B3800" s="12" t="s">
        <v>1108</v>
      </c>
      <c r="C3800" s="12" t="s">
        <v>1109</v>
      </c>
      <c r="D3800" s="12" t="s">
        <v>103</v>
      </c>
      <c r="E3800" s="12" t="s">
        <v>65</v>
      </c>
      <c r="F3800">
        <v>3</v>
      </c>
      <c r="G3800">
        <v>4</v>
      </c>
      <c r="H3800">
        <v>0</v>
      </c>
      <c r="I3800" s="12" t="s">
        <v>176</v>
      </c>
      <c r="J3800" s="12" t="s">
        <v>177</v>
      </c>
      <c r="K3800" s="12" t="s">
        <v>125</v>
      </c>
      <c r="L3800" s="12" t="s">
        <v>134</v>
      </c>
      <c r="M3800">
        <v>1.75</v>
      </c>
      <c r="N3800" s="12" t="s">
        <v>145</v>
      </c>
      <c r="O3800" s="12" t="s">
        <v>146</v>
      </c>
      <c r="P3800" s="12" t="s">
        <v>109</v>
      </c>
      <c r="Q3800" s="13">
        <v>45608</v>
      </c>
      <c r="R3800" s="13">
        <v>45646</v>
      </c>
      <c r="S3800">
        <v>2024</v>
      </c>
      <c r="T3800" s="12" t="s">
        <v>4665</v>
      </c>
      <c r="U3800">
        <v>144</v>
      </c>
      <c r="V3800">
        <v>90.001999999999995</v>
      </c>
      <c r="W3800">
        <v>192.39</v>
      </c>
      <c r="X3800">
        <v>0</v>
      </c>
      <c r="Y3800">
        <v>0</v>
      </c>
      <c r="Z3800">
        <v>12960.29</v>
      </c>
      <c r="AA3800">
        <v>13152.68</v>
      </c>
      <c r="AB3800" s="12" t="s">
        <v>201</v>
      </c>
      <c r="AD3800">
        <v>0</v>
      </c>
      <c r="AE3800">
        <v>0</v>
      </c>
      <c r="AH3800">
        <v>144</v>
      </c>
      <c r="AI3800">
        <v>142</v>
      </c>
      <c r="AJ3800">
        <v>2</v>
      </c>
      <c r="AK3800">
        <v>1</v>
      </c>
      <c r="AL3800">
        <v>1</v>
      </c>
      <c r="AM3800">
        <v>98.61</v>
      </c>
      <c r="AN3800">
        <v>92.624499999999998</v>
      </c>
      <c r="AO3800">
        <v>180</v>
      </c>
      <c r="AP3800" s="13">
        <v>45644</v>
      </c>
      <c r="AQ3800">
        <v>-2</v>
      </c>
      <c r="AR3800">
        <v>1</v>
      </c>
    </row>
    <row r="3801" spans="1:44" x14ac:dyDescent="0.35">
      <c r="A3801" s="12" t="s">
        <v>4721</v>
      </c>
      <c r="B3801" s="12" t="s">
        <v>112</v>
      </c>
      <c r="C3801" s="12" t="s">
        <v>113</v>
      </c>
      <c r="D3801" s="12" t="s">
        <v>114</v>
      </c>
      <c r="E3801" s="12" t="s">
        <v>104</v>
      </c>
      <c r="F3801">
        <v>3</v>
      </c>
      <c r="G3801">
        <v>1</v>
      </c>
      <c r="H3801">
        <v>0</v>
      </c>
      <c r="I3801" s="12" t="s">
        <v>227</v>
      </c>
      <c r="J3801" s="12" t="s">
        <v>228</v>
      </c>
      <c r="K3801" s="12" t="s">
        <v>89</v>
      </c>
      <c r="L3801" s="12" t="s">
        <v>96</v>
      </c>
      <c r="M3801">
        <v>9.15</v>
      </c>
      <c r="N3801" s="12" t="s">
        <v>97</v>
      </c>
      <c r="O3801" s="12" t="s">
        <v>98</v>
      </c>
      <c r="P3801" s="12" t="s">
        <v>72</v>
      </c>
      <c r="Q3801" s="13">
        <v>45608</v>
      </c>
      <c r="R3801" s="13">
        <v>45634</v>
      </c>
      <c r="S3801">
        <v>2024</v>
      </c>
      <c r="T3801" s="12" t="s">
        <v>4665</v>
      </c>
      <c r="U3801">
        <v>119</v>
      </c>
      <c r="V3801">
        <v>255.786</v>
      </c>
      <c r="W3801">
        <v>349.08</v>
      </c>
      <c r="X3801">
        <v>0</v>
      </c>
      <c r="Y3801">
        <v>0</v>
      </c>
      <c r="Z3801">
        <v>30438.53</v>
      </c>
      <c r="AA3801">
        <v>30787.61</v>
      </c>
      <c r="AB3801" s="12" t="s">
        <v>2839</v>
      </c>
      <c r="AC3801">
        <v>255.786</v>
      </c>
      <c r="AD3801">
        <v>1</v>
      </c>
      <c r="AE3801">
        <v>1</v>
      </c>
      <c r="AF3801">
        <v>0</v>
      </c>
      <c r="AG3801">
        <v>30438.53</v>
      </c>
      <c r="AH3801">
        <v>119</v>
      </c>
      <c r="AI3801">
        <v>116</v>
      </c>
      <c r="AJ3801">
        <v>3</v>
      </c>
      <c r="AK3801">
        <v>1</v>
      </c>
      <c r="AL3801">
        <v>1</v>
      </c>
      <c r="AM3801">
        <v>97.48</v>
      </c>
      <c r="AN3801">
        <v>265.41050000000001</v>
      </c>
      <c r="AO3801">
        <v>767.36</v>
      </c>
      <c r="AP3801" s="13">
        <v>45631</v>
      </c>
      <c r="AQ3801">
        <v>-3</v>
      </c>
      <c r="AR3801">
        <v>1</v>
      </c>
    </row>
    <row r="3802" spans="1:44" x14ac:dyDescent="0.35">
      <c r="A3802" s="12" t="s">
        <v>4722</v>
      </c>
      <c r="B3802" s="12" t="s">
        <v>747</v>
      </c>
      <c r="C3802" s="12" t="s">
        <v>748</v>
      </c>
      <c r="D3802" s="12" t="s">
        <v>114</v>
      </c>
      <c r="E3802" s="12" t="s">
        <v>104</v>
      </c>
      <c r="F3802">
        <v>2</v>
      </c>
      <c r="G3802">
        <v>0</v>
      </c>
      <c r="H3802">
        <v>0</v>
      </c>
      <c r="I3802" s="12" t="s">
        <v>380</v>
      </c>
      <c r="J3802" s="12" t="s">
        <v>381</v>
      </c>
      <c r="K3802" s="12" t="s">
        <v>89</v>
      </c>
      <c r="L3802" s="12" t="s">
        <v>96</v>
      </c>
      <c r="M3802">
        <v>10.210000000000001</v>
      </c>
      <c r="N3802" s="12" t="s">
        <v>70</v>
      </c>
      <c r="O3802" s="12" t="s">
        <v>71</v>
      </c>
      <c r="P3802" s="12" t="s">
        <v>72</v>
      </c>
      <c r="Q3802" s="13">
        <v>45608</v>
      </c>
      <c r="R3802" s="13">
        <v>45630</v>
      </c>
      <c r="S3802">
        <v>2024</v>
      </c>
      <c r="T3802" s="12" t="s">
        <v>4665</v>
      </c>
      <c r="U3802">
        <v>92</v>
      </c>
      <c r="V3802">
        <v>242.0575</v>
      </c>
      <c r="W3802">
        <v>272.22000000000003</v>
      </c>
      <c r="X3802">
        <v>0</v>
      </c>
      <c r="Y3802">
        <v>0</v>
      </c>
      <c r="Z3802">
        <v>22269.29</v>
      </c>
      <c r="AA3802">
        <v>22541.51</v>
      </c>
      <c r="AB3802" s="12" t="s">
        <v>3072</v>
      </c>
      <c r="AC3802">
        <v>242.0575</v>
      </c>
      <c r="AD3802">
        <v>1</v>
      </c>
      <c r="AE3802">
        <v>1</v>
      </c>
      <c r="AF3802">
        <v>0</v>
      </c>
      <c r="AG3802">
        <v>22269.29</v>
      </c>
      <c r="AH3802">
        <v>92</v>
      </c>
      <c r="AI3802">
        <v>91</v>
      </c>
      <c r="AJ3802">
        <v>1</v>
      </c>
      <c r="AK3802">
        <v>1</v>
      </c>
      <c r="AL3802">
        <v>1</v>
      </c>
      <c r="AM3802">
        <v>98.91</v>
      </c>
      <c r="AN3802">
        <v>247.7089</v>
      </c>
      <c r="AO3802">
        <v>242.06</v>
      </c>
      <c r="AP3802" s="13">
        <v>45636</v>
      </c>
      <c r="AQ3802">
        <v>6</v>
      </c>
      <c r="AR3802">
        <v>0</v>
      </c>
    </row>
    <row r="3803" spans="1:44" x14ac:dyDescent="0.35">
      <c r="A3803" s="12" t="s">
        <v>4723</v>
      </c>
      <c r="B3803" s="12" t="s">
        <v>378</v>
      </c>
      <c r="C3803" s="12" t="s">
        <v>379</v>
      </c>
      <c r="D3803" s="12" t="s">
        <v>64</v>
      </c>
      <c r="E3803" s="12" t="s">
        <v>104</v>
      </c>
      <c r="F3803">
        <v>3</v>
      </c>
      <c r="G3803">
        <v>1</v>
      </c>
      <c r="H3803">
        <v>0</v>
      </c>
      <c r="I3803" s="12" t="s">
        <v>380</v>
      </c>
      <c r="J3803" s="12" t="s">
        <v>381</v>
      </c>
      <c r="K3803" s="12" t="s">
        <v>89</v>
      </c>
      <c r="L3803" s="12" t="s">
        <v>96</v>
      </c>
      <c r="M3803">
        <v>10.210000000000001</v>
      </c>
      <c r="N3803" s="12" t="s">
        <v>70</v>
      </c>
      <c r="O3803" s="12" t="s">
        <v>71</v>
      </c>
      <c r="P3803" s="12" t="s">
        <v>72</v>
      </c>
      <c r="Q3803" s="13">
        <v>45608</v>
      </c>
      <c r="R3803" s="13">
        <v>45622</v>
      </c>
      <c r="S3803">
        <v>2024</v>
      </c>
      <c r="T3803" s="12" t="s">
        <v>4665</v>
      </c>
      <c r="U3803">
        <v>243</v>
      </c>
      <c r="V3803">
        <v>15.734999999999999</v>
      </c>
      <c r="W3803">
        <v>61.79</v>
      </c>
      <c r="X3803">
        <v>0</v>
      </c>
      <c r="Y3803">
        <v>0</v>
      </c>
      <c r="Z3803">
        <v>3823.61</v>
      </c>
      <c r="AA3803">
        <v>3885.4</v>
      </c>
      <c r="AB3803" s="12" t="s">
        <v>2847</v>
      </c>
      <c r="AC3803">
        <v>15.734999999999999</v>
      </c>
      <c r="AD3803">
        <v>1</v>
      </c>
      <c r="AE3803">
        <v>1</v>
      </c>
      <c r="AF3803">
        <v>0</v>
      </c>
      <c r="AG3803">
        <v>3823.61</v>
      </c>
      <c r="AH3803">
        <v>243</v>
      </c>
      <c r="AI3803">
        <v>242</v>
      </c>
      <c r="AJ3803">
        <v>1</v>
      </c>
      <c r="AK3803">
        <v>1</v>
      </c>
      <c r="AL3803">
        <v>1</v>
      </c>
      <c r="AM3803">
        <v>99.59</v>
      </c>
      <c r="AN3803">
        <v>16.055399999999999</v>
      </c>
      <c r="AO3803">
        <v>15.74</v>
      </c>
      <c r="AP3803" s="13">
        <v>45620</v>
      </c>
      <c r="AQ3803">
        <v>-2</v>
      </c>
      <c r="AR3803">
        <v>1</v>
      </c>
    </row>
    <row r="3804" spans="1:44" x14ac:dyDescent="0.35">
      <c r="A3804" s="12" t="s">
        <v>4724</v>
      </c>
      <c r="B3804" s="12" t="s">
        <v>173</v>
      </c>
      <c r="C3804" s="12" t="s">
        <v>174</v>
      </c>
      <c r="D3804" s="12" t="s">
        <v>175</v>
      </c>
      <c r="E3804" s="12" t="s">
        <v>104</v>
      </c>
      <c r="F3804">
        <v>3</v>
      </c>
      <c r="G3804">
        <v>1</v>
      </c>
      <c r="H3804">
        <v>0</v>
      </c>
      <c r="I3804" s="12" t="s">
        <v>227</v>
      </c>
      <c r="J3804" s="12" t="s">
        <v>228</v>
      </c>
      <c r="K3804" s="12" t="s">
        <v>89</v>
      </c>
      <c r="L3804" s="12" t="s">
        <v>96</v>
      </c>
      <c r="M3804">
        <v>9.15</v>
      </c>
      <c r="N3804" s="12" t="s">
        <v>145</v>
      </c>
      <c r="O3804" s="12" t="s">
        <v>146</v>
      </c>
      <c r="P3804" s="12" t="s">
        <v>109</v>
      </c>
      <c r="Q3804" s="13">
        <v>45608</v>
      </c>
      <c r="R3804" s="13">
        <v>45627</v>
      </c>
      <c r="S3804">
        <v>2024</v>
      </c>
      <c r="T3804" s="12" t="s">
        <v>4665</v>
      </c>
      <c r="U3804">
        <v>67</v>
      </c>
      <c r="V3804">
        <v>79.944699999999997</v>
      </c>
      <c r="W3804">
        <v>109.33</v>
      </c>
      <c r="X3804">
        <v>0</v>
      </c>
      <c r="Y3804">
        <v>0</v>
      </c>
      <c r="Z3804">
        <v>5356.29</v>
      </c>
      <c r="AA3804">
        <v>5465.62</v>
      </c>
      <c r="AB3804" s="12" t="s">
        <v>3662</v>
      </c>
      <c r="AC3804">
        <v>79.944699999999997</v>
      </c>
      <c r="AD3804">
        <v>1</v>
      </c>
      <c r="AE3804">
        <v>1</v>
      </c>
      <c r="AF3804">
        <v>0</v>
      </c>
      <c r="AG3804">
        <v>5356.29</v>
      </c>
      <c r="AH3804">
        <v>67</v>
      </c>
      <c r="AI3804">
        <v>67</v>
      </c>
      <c r="AJ3804">
        <v>0</v>
      </c>
      <c r="AK3804">
        <v>1</v>
      </c>
      <c r="AL3804">
        <v>1</v>
      </c>
      <c r="AM3804">
        <v>100</v>
      </c>
      <c r="AN3804">
        <v>81.576499999999996</v>
      </c>
      <c r="AO3804">
        <v>0</v>
      </c>
      <c r="AP3804" s="13">
        <v>45624</v>
      </c>
      <c r="AQ3804">
        <v>-3</v>
      </c>
      <c r="AR3804">
        <v>1</v>
      </c>
    </row>
    <row r="3805" spans="1:44" x14ac:dyDescent="0.35">
      <c r="A3805" s="12" t="s">
        <v>4725</v>
      </c>
      <c r="B3805" s="12" t="s">
        <v>827</v>
      </c>
      <c r="C3805" s="12" t="s">
        <v>828</v>
      </c>
      <c r="D3805" s="12" t="s">
        <v>175</v>
      </c>
      <c r="E3805" s="12" t="s">
        <v>104</v>
      </c>
      <c r="F3805">
        <v>2</v>
      </c>
      <c r="G3805">
        <v>0</v>
      </c>
      <c r="H3805">
        <v>0</v>
      </c>
      <c r="I3805" s="12" t="s">
        <v>183</v>
      </c>
      <c r="J3805" s="12" t="s">
        <v>184</v>
      </c>
      <c r="K3805" s="12" t="s">
        <v>133</v>
      </c>
      <c r="L3805" s="12" t="s">
        <v>82</v>
      </c>
      <c r="M3805">
        <v>8.6199999999999992</v>
      </c>
      <c r="N3805" s="12" t="s">
        <v>145</v>
      </c>
      <c r="O3805" s="12" t="s">
        <v>146</v>
      </c>
      <c r="P3805" s="12" t="s">
        <v>109</v>
      </c>
      <c r="Q3805" s="13">
        <v>45608</v>
      </c>
      <c r="R3805" s="13">
        <v>45637</v>
      </c>
      <c r="S3805">
        <v>2024</v>
      </c>
      <c r="T3805" s="12" t="s">
        <v>4665</v>
      </c>
      <c r="U3805">
        <v>143</v>
      </c>
      <c r="V3805">
        <v>101.62560000000001</v>
      </c>
      <c r="W3805">
        <v>262.8</v>
      </c>
      <c r="X3805">
        <v>0</v>
      </c>
      <c r="Y3805">
        <v>0</v>
      </c>
      <c r="Z3805">
        <v>14532.46</v>
      </c>
      <c r="AA3805">
        <v>14795.26</v>
      </c>
      <c r="AB3805" s="12" t="s">
        <v>3394</v>
      </c>
      <c r="AC3805">
        <v>101.62560000000001</v>
      </c>
      <c r="AD3805">
        <v>1</v>
      </c>
      <c r="AE3805">
        <v>1</v>
      </c>
      <c r="AF3805">
        <v>0</v>
      </c>
      <c r="AG3805">
        <v>14532.46</v>
      </c>
      <c r="AH3805">
        <v>143</v>
      </c>
      <c r="AI3805">
        <v>142</v>
      </c>
      <c r="AJ3805">
        <v>1</v>
      </c>
      <c r="AK3805">
        <v>1</v>
      </c>
      <c r="AL3805">
        <v>1</v>
      </c>
      <c r="AM3805">
        <v>99.3</v>
      </c>
      <c r="AN3805">
        <v>104.19199999999999</v>
      </c>
      <c r="AO3805">
        <v>101.63</v>
      </c>
      <c r="AP3805" s="13">
        <v>45636</v>
      </c>
      <c r="AQ3805">
        <v>-1</v>
      </c>
      <c r="AR3805">
        <v>1</v>
      </c>
    </row>
    <row r="3806" spans="1:44" x14ac:dyDescent="0.35">
      <c r="A3806" s="12" t="s">
        <v>4726</v>
      </c>
      <c r="B3806" s="12" t="s">
        <v>957</v>
      </c>
      <c r="C3806" s="12" t="s">
        <v>958</v>
      </c>
      <c r="D3806" s="12" t="s">
        <v>103</v>
      </c>
      <c r="E3806" s="12" t="s">
        <v>142</v>
      </c>
      <c r="F3806">
        <v>1</v>
      </c>
      <c r="G3806">
        <v>7</v>
      </c>
      <c r="H3806">
        <v>1</v>
      </c>
      <c r="I3806" s="12" t="s">
        <v>183</v>
      </c>
      <c r="J3806" s="12" t="s">
        <v>184</v>
      </c>
      <c r="K3806" s="12" t="s">
        <v>133</v>
      </c>
      <c r="L3806" s="12" t="s">
        <v>82</v>
      </c>
      <c r="M3806">
        <v>8.6199999999999992</v>
      </c>
      <c r="N3806" s="12" t="s">
        <v>107</v>
      </c>
      <c r="O3806" s="12" t="s">
        <v>108</v>
      </c>
      <c r="P3806" s="12" t="s">
        <v>109</v>
      </c>
      <c r="Q3806" s="13">
        <v>45608</v>
      </c>
      <c r="R3806" s="13">
        <v>45654</v>
      </c>
      <c r="S3806">
        <v>2024</v>
      </c>
      <c r="T3806" s="12" t="s">
        <v>4665</v>
      </c>
      <c r="U3806">
        <v>100</v>
      </c>
      <c r="V3806">
        <v>193.65539999999999</v>
      </c>
      <c r="W3806">
        <v>496.37</v>
      </c>
      <c r="X3806">
        <v>0</v>
      </c>
      <c r="Y3806">
        <v>0</v>
      </c>
      <c r="Z3806">
        <v>19365.54</v>
      </c>
      <c r="AA3806">
        <v>19861.91</v>
      </c>
      <c r="AB3806" s="12" t="s">
        <v>3249</v>
      </c>
      <c r="AC3806">
        <v>193.65539999999999</v>
      </c>
      <c r="AD3806">
        <v>1</v>
      </c>
      <c r="AE3806">
        <v>1</v>
      </c>
      <c r="AF3806">
        <v>0</v>
      </c>
      <c r="AG3806">
        <v>19365.54</v>
      </c>
      <c r="AH3806">
        <v>100</v>
      </c>
      <c r="AI3806">
        <v>99</v>
      </c>
      <c r="AJ3806">
        <v>1</v>
      </c>
      <c r="AK3806">
        <v>1</v>
      </c>
      <c r="AL3806">
        <v>1</v>
      </c>
      <c r="AM3806">
        <v>99</v>
      </c>
      <c r="AN3806">
        <v>200.62540000000001</v>
      </c>
      <c r="AO3806">
        <v>193.66</v>
      </c>
      <c r="AP3806" s="13">
        <v>45651</v>
      </c>
      <c r="AQ3806">
        <v>-3</v>
      </c>
      <c r="AR3806">
        <v>1</v>
      </c>
    </row>
    <row r="3807" spans="1:44" x14ac:dyDescent="0.35">
      <c r="A3807" s="12" t="s">
        <v>4727</v>
      </c>
      <c r="B3807" s="12" t="s">
        <v>924</v>
      </c>
      <c r="C3807" s="12" t="s">
        <v>925</v>
      </c>
      <c r="D3807" s="12" t="s">
        <v>103</v>
      </c>
      <c r="E3807" s="12" t="s">
        <v>104</v>
      </c>
      <c r="F3807">
        <v>2</v>
      </c>
      <c r="G3807">
        <v>0</v>
      </c>
      <c r="H3807">
        <v>0</v>
      </c>
      <c r="I3807" s="12" t="s">
        <v>335</v>
      </c>
      <c r="J3807" s="12" t="s">
        <v>336</v>
      </c>
      <c r="K3807" s="12" t="s">
        <v>89</v>
      </c>
      <c r="L3807" s="12" t="s">
        <v>82</v>
      </c>
      <c r="M3807">
        <v>16</v>
      </c>
      <c r="N3807" s="12" t="s">
        <v>145</v>
      </c>
      <c r="O3807" s="12" t="s">
        <v>146</v>
      </c>
      <c r="P3807" s="12" t="s">
        <v>109</v>
      </c>
      <c r="Q3807" s="13">
        <v>45608</v>
      </c>
      <c r="R3807" s="13">
        <v>45630</v>
      </c>
      <c r="S3807">
        <v>2024</v>
      </c>
      <c r="T3807" s="12" t="s">
        <v>4665</v>
      </c>
      <c r="U3807">
        <v>92</v>
      </c>
      <c r="V3807">
        <v>177.69149999999999</v>
      </c>
      <c r="W3807">
        <v>98.7</v>
      </c>
      <c r="X3807">
        <v>0</v>
      </c>
      <c r="Y3807">
        <v>0</v>
      </c>
      <c r="Z3807">
        <v>16347.62</v>
      </c>
      <c r="AA3807">
        <v>16446.32</v>
      </c>
      <c r="AB3807" s="12" t="s">
        <v>201</v>
      </c>
      <c r="AD3807">
        <v>0</v>
      </c>
      <c r="AE3807">
        <v>0</v>
      </c>
      <c r="AH3807">
        <v>92</v>
      </c>
      <c r="AI3807">
        <v>91</v>
      </c>
      <c r="AJ3807">
        <v>1</v>
      </c>
      <c r="AK3807">
        <v>1</v>
      </c>
      <c r="AL3807">
        <v>1</v>
      </c>
      <c r="AM3807">
        <v>98.91</v>
      </c>
      <c r="AN3807">
        <v>180.72880000000001</v>
      </c>
      <c r="AO3807">
        <v>177.69</v>
      </c>
      <c r="AP3807" s="13">
        <v>45640</v>
      </c>
      <c r="AQ3807">
        <v>10</v>
      </c>
      <c r="AR3807">
        <v>0</v>
      </c>
    </row>
    <row r="3808" spans="1:44" x14ac:dyDescent="0.35">
      <c r="A3808" s="12" t="s">
        <v>4728</v>
      </c>
      <c r="B3808" s="12" t="s">
        <v>1042</v>
      </c>
      <c r="C3808" s="12" t="s">
        <v>1043</v>
      </c>
      <c r="D3808" s="12" t="s">
        <v>269</v>
      </c>
      <c r="E3808" s="12" t="s">
        <v>104</v>
      </c>
      <c r="F3808">
        <v>2</v>
      </c>
      <c r="G3808">
        <v>0</v>
      </c>
      <c r="H3808">
        <v>0</v>
      </c>
      <c r="I3808" s="12" t="s">
        <v>143</v>
      </c>
      <c r="J3808" s="12" t="s">
        <v>144</v>
      </c>
      <c r="K3808" s="12" t="s">
        <v>133</v>
      </c>
      <c r="L3808" s="12" t="s">
        <v>96</v>
      </c>
      <c r="M3808">
        <v>5.43</v>
      </c>
      <c r="N3808" s="12" t="s">
        <v>135</v>
      </c>
      <c r="O3808" s="12" t="s">
        <v>136</v>
      </c>
      <c r="P3808" s="12" t="s">
        <v>137</v>
      </c>
      <c r="Q3808" s="13">
        <v>45608</v>
      </c>
      <c r="R3808" s="13">
        <v>45623</v>
      </c>
      <c r="S3808">
        <v>2024</v>
      </c>
      <c r="T3808" s="12" t="s">
        <v>4665</v>
      </c>
      <c r="U3808">
        <v>40</v>
      </c>
      <c r="V3808">
        <v>282.86169999999998</v>
      </c>
      <c r="W3808">
        <v>169.42</v>
      </c>
      <c r="X3808">
        <v>0</v>
      </c>
      <c r="Y3808">
        <v>0</v>
      </c>
      <c r="Z3808">
        <v>11314.47</v>
      </c>
      <c r="AA3808">
        <v>11483.89</v>
      </c>
      <c r="AB3808" s="12" t="s">
        <v>3788</v>
      </c>
      <c r="AC3808">
        <v>282.86169999999998</v>
      </c>
      <c r="AD3808">
        <v>1</v>
      </c>
      <c r="AE3808">
        <v>1</v>
      </c>
      <c r="AF3808">
        <v>0</v>
      </c>
      <c r="AG3808">
        <v>11314.47</v>
      </c>
      <c r="AH3808">
        <v>40</v>
      </c>
      <c r="AI3808">
        <v>40</v>
      </c>
      <c r="AJ3808">
        <v>0</v>
      </c>
      <c r="AK3808">
        <v>1</v>
      </c>
      <c r="AL3808">
        <v>1</v>
      </c>
      <c r="AM3808">
        <v>100</v>
      </c>
      <c r="AN3808">
        <v>287.09719999999999</v>
      </c>
      <c r="AO3808">
        <v>0</v>
      </c>
      <c r="AP3808" s="13">
        <v>45620</v>
      </c>
      <c r="AQ3808">
        <v>-3</v>
      </c>
      <c r="AR3808">
        <v>1</v>
      </c>
    </row>
    <row r="3809" spans="1:44" x14ac:dyDescent="0.35">
      <c r="A3809" s="12" t="s">
        <v>4729</v>
      </c>
      <c r="B3809" s="12" t="s">
        <v>509</v>
      </c>
      <c r="C3809" s="12" t="s">
        <v>510</v>
      </c>
      <c r="D3809" s="12" t="s">
        <v>78</v>
      </c>
      <c r="E3809" s="12" t="s">
        <v>142</v>
      </c>
      <c r="F3809">
        <v>3</v>
      </c>
      <c r="G3809">
        <v>11</v>
      </c>
      <c r="H3809">
        <v>0</v>
      </c>
      <c r="I3809" s="12" t="s">
        <v>275</v>
      </c>
      <c r="J3809" s="12" t="s">
        <v>276</v>
      </c>
      <c r="K3809" s="12" t="s">
        <v>89</v>
      </c>
      <c r="L3809" s="12" t="s">
        <v>82</v>
      </c>
      <c r="M3809">
        <v>14.26</v>
      </c>
      <c r="N3809" s="12" t="s">
        <v>97</v>
      </c>
      <c r="O3809" s="12" t="s">
        <v>98</v>
      </c>
      <c r="P3809" s="12" t="s">
        <v>72</v>
      </c>
      <c r="Q3809" s="13">
        <v>45608</v>
      </c>
      <c r="R3809" s="13">
        <v>45653</v>
      </c>
      <c r="S3809">
        <v>2024</v>
      </c>
      <c r="T3809" s="12" t="s">
        <v>4665</v>
      </c>
      <c r="U3809">
        <v>189</v>
      </c>
      <c r="V3809">
        <v>136.8672</v>
      </c>
      <c r="W3809">
        <v>479.1</v>
      </c>
      <c r="X3809">
        <v>0</v>
      </c>
      <c r="Y3809">
        <v>0</v>
      </c>
      <c r="Z3809">
        <v>25867.9</v>
      </c>
      <c r="AA3809">
        <v>26347</v>
      </c>
      <c r="AB3809" s="12" t="s">
        <v>3286</v>
      </c>
      <c r="AC3809">
        <v>136.8672</v>
      </c>
      <c r="AD3809">
        <v>1</v>
      </c>
      <c r="AE3809">
        <v>1</v>
      </c>
      <c r="AF3809">
        <v>0</v>
      </c>
      <c r="AG3809">
        <v>25867.9</v>
      </c>
      <c r="AH3809">
        <v>189</v>
      </c>
      <c r="AI3809">
        <v>186</v>
      </c>
      <c r="AJ3809">
        <v>3</v>
      </c>
      <c r="AK3809">
        <v>1</v>
      </c>
      <c r="AL3809">
        <v>1</v>
      </c>
      <c r="AM3809">
        <v>98.41</v>
      </c>
      <c r="AN3809">
        <v>141.65049999999999</v>
      </c>
      <c r="AO3809">
        <v>410.6</v>
      </c>
      <c r="AP3809" s="13">
        <v>45653</v>
      </c>
      <c r="AQ3809">
        <v>0</v>
      </c>
      <c r="AR3809">
        <v>1</v>
      </c>
    </row>
    <row r="3810" spans="1:44" x14ac:dyDescent="0.35">
      <c r="A3810" s="12" t="s">
        <v>4730</v>
      </c>
      <c r="B3810" s="12" t="s">
        <v>238</v>
      </c>
      <c r="C3810" s="12" t="s">
        <v>239</v>
      </c>
      <c r="D3810" s="12" t="s">
        <v>122</v>
      </c>
      <c r="E3810" s="12" t="s">
        <v>65</v>
      </c>
      <c r="F3810">
        <v>3</v>
      </c>
      <c r="G3810">
        <v>4</v>
      </c>
      <c r="H3810">
        <v>0</v>
      </c>
      <c r="I3810" s="12" t="s">
        <v>143</v>
      </c>
      <c r="J3810" s="12" t="s">
        <v>144</v>
      </c>
      <c r="K3810" s="12" t="s">
        <v>133</v>
      </c>
      <c r="L3810" s="12" t="s">
        <v>96</v>
      </c>
      <c r="M3810">
        <v>5.43</v>
      </c>
      <c r="N3810" s="12" t="s">
        <v>97</v>
      </c>
      <c r="O3810" s="12" t="s">
        <v>98</v>
      </c>
      <c r="P3810" s="12" t="s">
        <v>72</v>
      </c>
      <c r="Q3810" s="13">
        <v>45608</v>
      </c>
      <c r="R3810" s="13">
        <v>45638</v>
      </c>
      <c r="S3810">
        <v>2024</v>
      </c>
      <c r="T3810" s="12" t="s">
        <v>4665</v>
      </c>
      <c r="U3810">
        <v>1190</v>
      </c>
      <c r="V3810">
        <v>40.537999999999997</v>
      </c>
      <c r="W3810">
        <v>630.32000000000005</v>
      </c>
      <c r="X3810">
        <v>0</v>
      </c>
      <c r="Y3810">
        <v>0</v>
      </c>
      <c r="Z3810">
        <v>48240.22</v>
      </c>
      <c r="AA3810">
        <v>48870.54</v>
      </c>
      <c r="AB3810" s="12" t="s">
        <v>201</v>
      </c>
      <c r="AD3810">
        <v>0</v>
      </c>
      <c r="AE3810">
        <v>0</v>
      </c>
      <c r="AH3810">
        <v>1190</v>
      </c>
      <c r="AI3810">
        <v>1183</v>
      </c>
      <c r="AJ3810">
        <v>7</v>
      </c>
      <c r="AK3810">
        <v>1</v>
      </c>
      <c r="AL3810">
        <v>1</v>
      </c>
      <c r="AM3810">
        <v>99.41</v>
      </c>
      <c r="AN3810">
        <v>41.310699999999997</v>
      </c>
      <c r="AO3810">
        <v>283.77</v>
      </c>
      <c r="AP3810" s="13">
        <v>45635</v>
      </c>
      <c r="AQ3810">
        <v>-3</v>
      </c>
      <c r="AR3810">
        <v>1</v>
      </c>
    </row>
    <row r="3811" spans="1:44" x14ac:dyDescent="0.35">
      <c r="A3811" s="12" t="s">
        <v>4731</v>
      </c>
      <c r="B3811" s="12" t="s">
        <v>827</v>
      </c>
      <c r="C3811" s="12" t="s">
        <v>828</v>
      </c>
      <c r="D3811" s="12" t="s">
        <v>175</v>
      </c>
      <c r="E3811" s="12" t="s">
        <v>104</v>
      </c>
      <c r="F3811">
        <v>2</v>
      </c>
      <c r="G3811">
        <v>0</v>
      </c>
      <c r="H3811">
        <v>0</v>
      </c>
      <c r="I3811" s="12" t="s">
        <v>183</v>
      </c>
      <c r="J3811" s="12" t="s">
        <v>184</v>
      </c>
      <c r="K3811" s="12" t="s">
        <v>133</v>
      </c>
      <c r="L3811" s="12" t="s">
        <v>82</v>
      </c>
      <c r="M3811">
        <v>8.6199999999999992</v>
      </c>
      <c r="N3811" s="12" t="s">
        <v>145</v>
      </c>
      <c r="O3811" s="12" t="s">
        <v>146</v>
      </c>
      <c r="P3811" s="12" t="s">
        <v>109</v>
      </c>
      <c r="Q3811" s="13">
        <v>45608</v>
      </c>
      <c r="R3811" s="13">
        <v>45637</v>
      </c>
      <c r="S3811">
        <v>2024</v>
      </c>
      <c r="T3811" s="12" t="s">
        <v>4665</v>
      </c>
      <c r="U3811">
        <v>143</v>
      </c>
      <c r="V3811">
        <v>101.62560000000001</v>
      </c>
      <c r="W3811">
        <v>262.8</v>
      </c>
      <c r="X3811">
        <v>0</v>
      </c>
      <c r="Y3811">
        <v>0</v>
      </c>
      <c r="Z3811">
        <v>14532.46</v>
      </c>
      <c r="AA3811">
        <v>14795.26</v>
      </c>
      <c r="AB3811" s="12" t="s">
        <v>3394</v>
      </c>
      <c r="AC3811">
        <v>101.62560000000001</v>
      </c>
      <c r="AD3811">
        <v>1</v>
      </c>
      <c r="AE3811">
        <v>1</v>
      </c>
      <c r="AF3811">
        <v>0</v>
      </c>
      <c r="AG3811">
        <v>14532.46</v>
      </c>
      <c r="AK3811">
        <v>0</v>
      </c>
      <c r="AL3811">
        <v>0</v>
      </c>
      <c r="AO3811">
        <v>0</v>
      </c>
      <c r="AP3811" s="13"/>
    </row>
    <row r="3812" spans="1:44" x14ac:dyDescent="0.35">
      <c r="A3812" s="12" t="s">
        <v>4732</v>
      </c>
      <c r="B3812" s="12" t="s">
        <v>503</v>
      </c>
      <c r="C3812" s="12" t="s">
        <v>504</v>
      </c>
      <c r="D3812" s="12" t="s">
        <v>103</v>
      </c>
      <c r="E3812" s="12" t="s">
        <v>104</v>
      </c>
      <c r="F3812">
        <v>3</v>
      </c>
      <c r="G3812">
        <v>1</v>
      </c>
      <c r="H3812">
        <v>0</v>
      </c>
      <c r="I3812" s="12" t="s">
        <v>209</v>
      </c>
      <c r="J3812" s="12" t="s">
        <v>210</v>
      </c>
      <c r="K3812" s="12" t="s">
        <v>133</v>
      </c>
      <c r="L3812" s="12" t="s">
        <v>96</v>
      </c>
      <c r="M3812">
        <v>7.82</v>
      </c>
      <c r="N3812" s="12" t="s">
        <v>107</v>
      </c>
      <c r="O3812" s="12" t="s">
        <v>108</v>
      </c>
      <c r="P3812" s="12" t="s">
        <v>109</v>
      </c>
      <c r="Q3812" s="13">
        <v>45609</v>
      </c>
      <c r="R3812" s="13">
        <v>45628</v>
      </c>
      <c r="S3812">
        <v>2024</v>
      </c>
      <c r="T3812" s="12" t="s">
        <v>4665</v>
      </c>
      <c r="U3812">
        <v>66</v>
      </c>
      <c r="V3812">
        <v>156.6559</v>
      </c>
      <c r="W3812">
        <v>144.34</v>
      </c>
      <c r="X3812">
        <v>0</v>
      </c>
      <c r="Y3812">
        <v>0</v>
      </c>
      <c r="Z3812">
        <v>10339.290000000001</v>
      </c>
      <c r="AA3812">
        <v>10483.629999999999</v>
      </c>
      <c r="AB3812" s="12" t="s">
        <v>3083</v>
      </c>
      <c r="AC3812">
        <v>156.6559</v>
      </c>
      <c r="AD3812">
        <v>1</v>
      </c>
      <c r="AE3812">
        <v>1</v>
      </c>
      <c r="AF3812">
        <v>0</v>
      </c>
      <c r="AG3812">
        <v>10339.290000000001</v>
      </c>
      <c r="AH3812">
        <v>66</v>
      </c>
      <c r="AI3812">
        <v>65</v>
      </c>
      <c r="AJ3812">
        <v>1</v>
      </c>
      <c r="AK3812">
        <v>1</v>
      </c>
      <c r="AL3812">
        <v>1</v>
      </c>
      <c r="AM3812">
        <v>98.48</v>
      </c>
      <c r="AN3812">
        <v>161.28659999999999</v>
      </c>
      <c r="AO3812">
        <v>156.66</v>
      </c>
      <c r="AP3812" s="13">
        <v>45637</v>
      </c>
      <c r="AQ3812">
        <v>9</v>
      </c>
      <c r="AR3812">
        <v>0</v>
      </c>
    </row>
    <row r="3813" spans="1:44" x14ac:dyDescent="0.35">
      <c r="A3813" s="12" t="s">
        <v>4733</v>
      </c>
      <c r="B3813" s="12" t="s">
        <v>62</v>
      </c>
      <c r="C3813" s="12" t="s">
        <v>63</v>
      </c>
      <c r="D3813" s="12" t="s">
        <v>64</v>
      </c>
      <c r="E3813" s="12" t="s">
        <v>65</v>
      </c>
      <c r="F3813">
        <v>1</v>
      </c>
      <c r="G3813">
        <v>2</v>
      </c>
      <c r="H3813">
        <v>1</v>
      </c>
      <c r="I3813" s="12" t="s">
        <v>66</v>
      </c>
      <c r="J3813" s="12" t="s">
        <v>67</v>
      </c>
      <c r="K3813" s="12" t="s">
        <v>68</v>
      </c>
      <c r="L3813" s="12" t="s">
        <v>69</v>
      </c>
      <c r="M3813">
        <v>17.66</v>
      </c>
      <c r="N3813" s="12" t="s">
        <v>97</v>
      </c>
      <c r="O3813" s="12" t="s">
        <v>98</v>
      </c>
      <c r="P3813" s="12" t="s">
        <v>72</v>
      </c>
      <c r="Q3813" s="13">
        <v>45609</v>
      </c>
      <c r="R3813" s="13">
        <v>45643</v>
      </c>
      <c r="S3813">
        <v>2024</v>
      </c>
      <c r="T3813" s="12" t="s">
        <v>4665</v>
      </c>
      <c r="U3813">
        <v>751</v>
      </c>
      <c r="V3813">
        <v>26.394100000000002</v>
      </c>
      <c r="W3813">
        <v>357.69</v>
      </c>
      <c r="X3813">
        <v>0</v>
      </c>
      <c r="Y3813">
        <v>0</v>
      </c>
      <c r="Z3813">
        <v>19821.97</v>
      </c>
      <c r="AA3813">
        <v>20179.66</v>
      </c>
      <c r="AB3813" s="12" t="s">
        <v>201</v>
      </c>
      <c r="AD3813">
        <v>0</v>
      </c>
      <c r="AE3813">
        <v>0</v>
      </c>
      <c r="AH3813">
        <v>751</v>
      </c>
      <c r="AI3813">
        <v>742</v>
      </c>
      <c r="AJ3813">
        <v>9</v>
      </c>
      <c r="AK3813">
        <v>1</v>
      </c>
      <c r="AL3813">
        <v>1</v>
      </c>
      <c r="AM3813">
        <v>98.8</v>
      </c>
      <c r="AN3813">
        <v>27.196300000000001</v>
      </c>
      <c r="AO3813">
        <v>237.55</v>
      </c>
      <c r="AP3813" s="13">
        <v>45647</v>
      </c>
      <c r="AQ3813">
        <v>4</v>
      </c>
      <c r="AR3813">
        <v>0</v>
      </c>
    </row>
    <row r="3814" spans="1:44" x14ac:dyDescent="0.35">
      <c r="A3814" s="12" t="s">
        <v>4734</v>
      </c>
      <c r="B3814" s="12" t="s">
        <v>477</v>
      </c>
      <c r="C3814" s="12" t="s">
        <v>478</v>
      </c>
      <c r="D3814" s="12" t="s">
        <v>130</v>
      </c>
      <c r="E3814" s="12" t="s">
        <v>104</v>
      </c>
      <c r="F3814">
        <v>3</v>
      </c>
      <c r="G3814">
        <v>1</v>
      </c>
      <c r="H3814">
        <v>0</v>
      </c>
      <c r="I3814" s="12" t="s">
        <v>515</v>
      </c>
      <c r="J3814" s="12" t="s">
        <v>516</v>
      </c>
      <c r="K3814" s="12" t="s">
        <v>68</v>
      </c>
      <c r="L3814" s="12" t="s">
        <v>134</v>
      </c>
      <c r="M3814">
        <v>3.69</v>
      </c>
      <c r="N3814" s="12" t="s">
        <v>159</v>
      </c>
      <c r="O3814" s="12" t="s">
        <v>160</v>
      </c>
      <c r="P3814" s="12" t="s">
        <v>137</v>
      </c>
      <c r="Q3814" s="13">
        <v>45609</v>
      </c>
      <c r="R3814" s="13">
        <v>45633</v>
      </c>
      <c r="S3814">
        <v>2024</v>
      </c>
      <c r="T3814" s="12" t="s">
        <v>4665</v>
      </c>
      <c r="U3814">
        <v>105</v>
      </c>
      <c r="V3814">
        <v>715.42190000000005</v>
      </c>
      <c r="W3814">
        <v>1016.41</v>
      </c>
      <c r="X3814">
        <v>0</v>
      </c>
      <c r="Y3814">
        <v>0</v>
      </c>
      <c r="Z3814">
        <v>75119.3</v>
      </c>
      <c r="AA3814">
        <v>76135.710000000006</v>
      </c>
      <c r="AB3814" s="12" t="s">
        <v>3183</v>
      </c>
      <c r="AC3814">
        <v>715.42190000000005</v>
      </c>
      <c r="AD3814">
        <v>1</v>
      </c>
      <c r="AE3814">
        <v>1</v>
      </c>
      <c r="AF3814">
        <v>0</v>
      </c>
      <c r="AG3814">
        <v>75119.3</v>
      </c>
      <c r="AH3814">
        <v>105</v>
      </c>
      <c r="AI3814">
        <v>104</v>
      </c>
      <c r="AJ3814">
        <v>1</v>
      </c>
      <c r="AK3814">
        <v>1</v>
      </c>
      <c r="AL3814">
        <v>1</v>
      </c>
      <c r="AM3814">
        <v>99.05</v>
      </c>
      <c r="AN3814">
        <v>732.07410000000004</v>
      </c>
      <c r="AO3814">
        <v>715.42</v>
      </c>
      <c r="AP3814" s="13">
        <v>45637</v>
      </c>
      <c r="AQ3814">
        <v>4</v>
      </c>
      <c r="AR3814">
        <v>0</v>
      </c>
    </row>
    <row r="3815" spans="1:44" x14ac:dyDescent="0.35">
      <c r="A3815" s="12" t="s">
        <v>4735</v>
      </c>
      <c r="B3815" s="12" t="s">
        <v>92</v>
      </c>
      <c r="C3815" s="12" t="s">
        <v>93</v>
      </c>
      <c r="D3815" s="12" t="s">
        <v>64</v>
      </c>
      <c r="E3815" s="12" t="s">
        <v>65</v>
      </c>
      <c r="F3815">
        <v>3</v>
      </c>
      <c r="G3815">
        <v>5</v>
      </c>
      <c r="H3815">
        <v>0</v>
      </c>
      <c r="I3815" s="12" t="s">
        <v>94</v>
      </c>
      <c r="J3815" s="12" t="s">
        <v>95</v>
      </c>
      <c r="K3815" s="12" t="s">
        <v>81</v>
      </c>
      <c r="L3815" s="12" t="s">
        <v>96</v>
      </c>
      <c r="M3815">
        <v>4.8099999999999996</v>
      </c>
      <c r="N3815" s="12" t="s">
        <v>70</v>
      </c>
      <c r="O3815" s="12" t="s">
        <v>71</v>
      </c>
      <c r="P3815" s="12" t="s">
        <v>72</v>
      </c>
      <c r="Q3815" s="13">
        <v>45609</v>
      </c>
      <c r="R3815" s="13">
        <v>45631</v>
      </c>
      <c r="S3815">
        <v>2024</v>
      </c>
      <c r="T3815" s="12" t="s">
        <v>4665</v>
      </c>
      <c r="U3815">
        <v>163</v>
      </c>
      <c r="V3815">
        <v>23.8764</v>
      </c>
      <c r="W3815">
        <v>99.41</v>
      </c>
      <c r="X3815">
        <v>0</v>
      </c>
      <c r="Y3815">
        <v>0</v>
      </c>
      <c r="Z3815">
        <v>3891.85</v>
      </c>
      <c r="AA3815">
        <v>3991.26</v>
      </c>
      <c r="AB3815" s="12" t="s">
        <v>2802</v>
      </c>
      <c r="AC3815">
        <v>23.8764</v>
      </c>
      <c r="AD3815">
        <v>1</v>
      </c>
      <c r="AE3815">
        <v>1</v>
      </c>
      <c r="AF3815">
        <v>0</v>
      </c>
      <c r="AG3815">
        <v>3891.85</v>
      </c>
      <c r="AH3815">
        <v>163</v>
      </c>
      <c r="AI3815">
        <v>162</v>
      </c>
      <c r="AJ3815">
        <v>1</v>
      </c>
      <c r="AK3815">
        <v>1</v>
      </c>
      <c r="AL3815">
        <v>1</v>
      </c>
      <c r="AM3815">
        <v>99.39</v>
      </c>
      <c r="AN3815">
        <v>24.6374</v>
      </c>
      <c r="AO3815">
        <v>23.88</v>
      </c>
      <c r="AP3815" s="13">
        <v>45630</v>
      </c>
      <c r="AQ3815">
        <v>-1</v>
      </c>
      <c r="AR3815">
        <v>1</v>
      </c>
    </row>
    <row r="3816" spans="1:44" x14ac:dyDescent="0.35">
      <c r="A3816" s="12" t="s">
        <v>4736</v>
      </c>
      <c r="B3816" s="12" t="s">
        <v>957</v>
      </c>
      <c r="C3816" s="12" t="s">
        <v>958</v>
      </c>
      <c r="D3816" s="12" t="s">
        <v>103</v>
      </c>
      <c r="E3816" s="12" t="s">
        <v>142</v>
      </c>
      <c r="F3816">
        <v>1</v>
      </c>
      <c r="G3816">
        <v>7</v>
      </c>
      <c r="H3816">
        <v>1</v>
      </c>
      <c r="I3816" s="12" t="s">
        <v>183</v>
      </c>
      <c r="J3816" s="12" t="s">
        <v>184</v>
      </c>
      <c r="K3816" s="12" t="s">
        <v>133</v>
      </c>
      <c r="L3816" s="12" t="s">
        <v>82</v>
      </c>
      <c r="M3816">
        <v>8.6199999999999992</v>
      </c>
      <c r="N3816" s="12" t="s">
        <v>107</v>
      </c>
      <c r="O3816" s="12" t="s">
        <v>108</v>
      </c>
      <c r="P3816" s="12" t="s">
        <v>109</v>
      </c>
      <c r="Q3816" s="13">
        <v>45609</v>
      </c>
      <c r="R3816" s="13">
        <v>45658</v>
      </c>
      <c r="S3816">
        <v>2024</v>
      </c>
      <c r="T3816" s="12" t="s">
        <v>4665</v>
      </c>
      <c r="U3816">
        <v>125</v>
      </c>
      <c r="V3816">
        <v>193.65539999999999</v>
      </c>
      <c r="W3816">
        <v>481.64</v>
      </c>
      <c r="X3816">
        <v>0</v>
      </c>
      <c r="Y3816">
        <v>0</v>
      </c>
      <c r="Z3816">
        <v>24206.93</v>
      </c>
      <c r="AA3816">
        <v>24688.57</v>
      </c>
      <c r="AB3816" s="12" t="s">
        <v>3249</v>
      </c>
      <c r="AC3816">
        <v>193.65539999999999</v>
      </c>
      <c r="AD3816">
        <v>1</v>
      </c>
      <c r="AE3816">
        <v>1</v>
      </c>
      <c r="AF3816">
        <v>0</v>
      </c>
      <c r="AG3816">
        <v>24206.93</v>
      </c>
      <c r="AH3816">
        <v>125</v>
      </c>
      <c r="AI3816">
        <v>124</v>
      </c>
      <c r="AJ3816">
        <v>1</v>
      </c>
      <c r="AK3816">
        <v>1</v>
      </c>
      <c r="AL3816">
        <v>1</v>
      </c>
      <c r="AM3816">
        <v>99.2</v>
      </c>
      <c r="AN3816">
        <v>199.10130000000001</v>
      </c>
      <c r="AO3816">
        <v>193.66</v>
      </c>
      <c r="AP3816" s="13">
        <v>45658</v>
      </c>
      <c r="AQ3816">
        <v>0</v>
      </c>
      <c r="AR3816">
        <v>1</v>
      </c>
    </row>
    <row r="3817" spans="1:44" x14ac:dyDescent="0.35">
      <c r="A3817" s="12" t="s">
        <v>4737</v>
      </c>
      <c r="B3817" s="12" t="s">
        <v>472</v>
      </c>
      <c r="C3817" s="12" t="s">
        <v>473</v>
      </c>
      <c r="D3817" s="12" t="s">
        <v>122</v>
      </c>
      <c r="E3817" s="12" t="s">
        <v>142</v>
      </c>
      <c r="F3817">
        <v>2</v>
      </c>
      <c r="G3817">
        <v>9</v>
      </c>
      <c r="H3817">
        <v>0</v>
      </c>
      <c r="I3817" s="12" t="s">
        <v>209</v>
      </c>
      <c r="J3817" s="12" t="s">
        <v>210</v>
      </c>
      <c r="K3817" s="12" t="s">
        <v>133</v>
      </c>
      <c r="L3817" s="12" t="s">
        <v>96</v>
      </c>
      <c r="M3817">
        <v>7.82</v>
      </c>
      <c r="N3817" s="12" t="s">
        <v>97</v>
      </c>
      <c r="O3817" s="12" t="s">
        <v>98</v>
      </c>
      <c r="P3817" s="12" t="s">
        <v>72</v>
      </c>
      <c r="Q3817" s="13">
        <v>45610</v>
      </c>
      <c r="R3817" s="13">
        <v>45653</v>
      </c>
      <c r="S3817">
        <v>2024</v>
      </c>
      <c r="T3817" s="12" t="s">
        <v>4665</v>
      </c>
      <c r="U3817">
        <v>1073</v>
      </c>
      <c r="V3817">
        <v>46.789099999999998</v>
      </c>
      <c r="W3817">
        <v>733.28</v>
      </c>
      <c r="X3817">
        <v>0</v>
      </c>
      <c r="Y3817">
        <v>0</v>
      </c>
      <c r="Z3817">
        <v>50204.7</v>
      </c>
      <c r="AA3817">
        <v>50937.98</v>
      </c>
      <c r="AB3817" s="12" t="s">
        <v>2966</v>
      </c>
      <c r="AC3817">
        <v>46.789099999999998</v>
      </c>
      <c r="AD3817">
        <v>1</v>
      </c>
      <c r="AE3817">
        <v>1</v>
      </c>
      <c r="AF3817">
        <v>0</v>
      </c>
      <c r="AG3817">
        <v>50204.7</v>
      </c>
      <c r="AH3817">
        <v>1073</v>
      </c>
      <c r="AI3817">
        <v>1065</v>
      </c>
      <c r="AJ3817">
        <v>8</v>
      </c>
      <c r="AK3817">
        <v>1</v>
      </c>
      <c r="AL3817">
        <v>1</v>
      </c>
      <c r="AM3817">
        <v>99.25</v>
      </c>
      <c r="AN3817">
        <v>47.829099999999997</v>
      </c>
      <c r="AO3817">
        <v>374.31</v>
      </c>
      <c r="AP3817" s="13">
        <v>45653</v>
      </c>
      <c r="AQ3817">
        <v>0</v>
      </c>
      <c r="AR3817">
        <v>1</v>
      </c>
    </row>
    <row r="3818" spans="1:44" x14ac:dyDescent="0.35">
      <c r="A3818" s="12" t="s">
        <v>4738</v>
      </c>
      <c r="B3818" s="12" t="s">
        <v>848</v>
      </c>
      <c r="C3818" s="12" t="s">
        <v>849</v>
      </c>
      <c r="D3818" s="12" t="s">
        <v>103</v>
      </c>
      <c r="E3818" s="12" t="s">
        <v>65</v>
      </c>
      <c r="F3818">
        <v>2</v>
      </c>
      <c r="G3818">
        <v>4</v>
      </c>
      <c r="H3818">
        <v>0</v>
      </c>
      <c r="I3818" s="12" t="s">
        <v>87</v>
      </c>
      <c r="J3818" s="12" t="s">
        <v>88</v>
      </c>
      <c r="K3818" s="12" t="s">
        <v>89</v>
      </c>
      <c r="L3818" s="12" t="s">
        <v>69</v>
      </c>
      <c r="M3818">
        <v>14.93</v>
      </c>
      <c r="N3818" s="12" t="s">
        <v>107</v>
      </c>
      <c r="O3818" s="12" t="s">
        <v>108</v>
      </c>
      <c r="P3818" s="12" t="s">
        <v>109</v>
      </c>
      <c r="Q3818" s="13">
        <v>45610</v>
      </c>
      <c r="R3818" s="13">
        <v>45638</v>
      </c>
      <c r="S3818">
        <v>2024</v>
      </c>
      <c r="T3818" s="12" t="s">
        <v>4665</v>
      </c>
      <c r="U3818">
        <v>69</v>
      </c>
      <c r="V3818">
        <v>121.1635</v>
      </c>
      <c r="W3818">
        <v>201.76</v>
      </c>
      <c r="X3818">
        <v>0</v>
      </c>
      <c r="Y3818">
        <v>0</v>
      </c>
      <c r="Z3818">
        <v>8360.2800000000007</v>
      </c>
      <c r="AA3818">
        <v>8562.0400000000009</v>
      </c>
      <c r="AB3818" s="12" t="s">
        <v>3680</v>
      </c>
      <c r="AC3818">
        <v>121.1635</v>
      </c>
      <c r="AD3818">
        <v>1</v>
      </c>
      <c r="AE3818">
        <v>1</v>
      </c>
      <c r="AF3818">
        <v>0</v>
      </c>
      <c r="AG3818">
        <v>8360.2800000000007</v>
      </c>
      <c r="AH3818">
        <v>69</v>
      </c>
      <c r="AI3818">
        <v>69</v>
      </c>
      <c r="AJ3818">
        <v>0</v>
      </c>
      <c r="AK3818">
        <v>1</v>
      </c>
      <c r="AL3818">
        <v>1</v>
      </c>
      <c r="AM3818">
        <v>100</v>
      </c>
      <c r="AN3818">
        <v>124.08759999999999</v>
      </c>
      <c r="AO3818">
        <v>0</v>
      </c>
      <c r="AP3818" s="13">
        <v>45638</v>
      </c>
      <c r="AQ3818">
        <v>0</v>
      </c>
      <c r="AR3818">
        <v>1</v>
      </c>
    </row>
    <row r="3819" spans="1:44" x14ac:dyDescent="0.35">
      <c r="A3819" s="12" t="s">
        <v>4739</v>
      </c>
      <c r="B3819" s="12" t="s">
        <v>408</v>
      </c>
      <c r="C3819" s="12" t="s">
        <v>409</v>
      </c>
      <c r="D3819" s="12" t="s">
        <v>130</v>
      </c>
      <c r="E3819" s="12" t="s">
        <v>65</v>
      </c>
      <c r="F3819">
        <v>3</v>
      </c>
      <c r="G3819">
        <v>5</v>
      </c>
      <c r="H3819">
        <v>0</v>
      </c>
      <c r="I3819" s="12" t="s">
        <v>105</v>
      </c>
      <c r="J3819" s="12" t="s">
        <v>106</v>
      </c>
      <c r="K3819" s="12" t="s">
        <v>81</v>
      </c>
      <c r="L3819" s="12" t="s">
        <v>96</v>
      </c>
      <c r="M3819">
        <v>5.01</v>
      </c>
      <c r="N3819" s="12" t="s">
        <v>135</v>
      </c>
      <c r="O3819" s="12" t="s">
        <v>136</v>
      </c>
      <c r="P3819" s="12" t="s">
        <v>137</v>
      </c>
      <c r="Q3819" s="13">
        <v>45610</v>
      </c>
      <c r="R3819" s="13">
        <v>45640</v>
      </c>
      <c r="S3819">
        <v>2024</v>
      </c>
      <c r="T3819" s="12" t="s">
        <v>4665</v>
      </c>
      <c r="U3819">
        <v>86</v>
      </c>
      <c r="V3819">
        <v>746.87909999999999</v>
      </c>
      <c r="W3819">
        <v>1235.28</v>
      </c>
      <c r="X3819">
        <v>0</v>
      </c>
      <c r="Y3819">
        <v>0</v>
      </c>
      <c r="Z3819">
        <v>64231.6</v>
      </c>
      <c r="AA3819">
        <v>65466.879999999997</v>
      </c>
      <c r="AB3819" s="12" t="s">
        <v>3038</v>
      </c>
      <c r="AC3819">
        <v>746.87909999999999</v>
      </c>
      <c r="AD3819">
        <v>1</v>
      </c>
      <c r="AE3819">
        <v>1</v>
      </c>
      <c r="AF3819">
        <v>0</v>
      </c>
      <c r="AG3819">
        <v>64231.6</v>
      </c>
      <c r="AH3819">
        <v>86</v>
      </c>
      <c r="AI3819">
        <v>85</v>
      </c>
      <c r="AJ3819">
        <v>1</v>
      </c>
      <c r="AK3819">
        <v>1</v>
      </c>
      <c r="AL3819">
        <v>1</v>
      </c>
      <c r="AM3819">
        <v>98.84</v>
      </c>
      <c r="AN3819">
        <v>770.19860000000006</v>
      </c>
      <c r="AO3819">
        <v>746.88</v>
      </c>
      <c r="AP3819" s="13">
        <v>45638</v>
      </c>
      <c r="AQ3819">
        <v>-2</v>
      </c>
      <c r="AR3819">
        <v>1</v>
      </c>
    </row>
    <row r="3820" spans="1:44" x14ac:dyDescent="0.35">
      <c r="A3820" s="12" t="s">
        <v>4740</v>
      </c>
      <c r="B3820" s="12" t="s">
        <v>289</v>
      </c>
      <c r="C3820" s="12" t="s">
        <v>290</v>
      </c>
      <c r="D3820" s="12" t="s">
        <v>175</v>
      </c>
      <c r="E3820" s="12" t="s">
        <v>104</v>
      </c>
      <c r="F3820">
        <v>3</v>
      </c>
      <c r="G3820">
        <v>1</v>
      </c>
      <c r="H3820">
        <v>0</v>
      </c>
      <c r="I3820" s="12" t="s">
        <v>359</v>
      </c>
      <c r="J3820" s="12" t="s">
        <v>360</v>
      </c>
      <c r="K3820" s="12" t="s">
        <v>133</v>
      </c>
      <c r="L3820" s="12" t="s">
        <v>82</v>
      </c>
      <c r="M3820">
        <v>12.65</v>
      </c>
      <c r="N3820" s="12" t="s">
        <v>145</v>
      </c>
      <c r="O3820" s="12" t="s">
        <v>146</v>
      </c>
      <c r="P3820" s="12" t="s">
        <v>109</v>
      </c>
      <c r="Q3820" s="13">
        <v>45610</v>
      </c>
      <c r="R3820" s="13">
        <v>45636</v>
      </c>
      <c r="S3820">
        <v>2024</v>
      </c>
      <c r="T3820" s="12" t="s">
        <v>4665</v>
      </c>
      <c r="U3820">
        <v>122</v>
      </c>
      <c r="V3820">
        <v>190.43559999999999</v>
      </c>
      <c r="W3820">
        <v>499.42</v>
      </c>
      <c r="X3820">
        <v>0</v>
      </c>
      <c r="Y3820">
        <v>0</v>
      </c>
      <c r="Z3820">
        <v>23233.14</v>
      </c>
      <c r="AA3820">
        <v>23732.560000000001</v>
      </c>
      <c r="AB3820" s="12" t="s">
        <v>2723</v>
      </c>
      <c r="AC3820">
        <v>190.43559999999999</v>
      </c>
      <c r="AD3820">
        <v>1</v>
      </c>
      <c r="AE3820">
        <v>1</v>
      </c>
      <c r="AF3820">
        <v>0</v>
      </c>
      <c r="AG3820">
        <v>23233.14</v>
      </c>
      <c r="AH3820">
        <v>122</v>
      </c>
      <c r="AI3820">
        <v>120</v>
      </c>
      <c r="AJ3820">
        <v>2</v>
      </c>
      <c r="AK3820">
        <v>1</v>
      </c>
      <c r="AL3820">
        <v>1</v>
      </c>
      <c r="AM3820">
        <v>98.36</v>
      </c>
      <c r="AN3820">
        <v>197.7714</v>
      </c>
      <c r="AO3820">
        <v>380.87</v>
      </c>
      <c r="AP3820" s="13">
        <v>45636</v>
      </c>
      <c r="AQ3820">
        <v>0</v>
      </c>
      <c r="AR3820">
        <v>1</v>
      </c>
    </row>
    <row r="3821" spans="1:44" x14ac:dyDescent="0.35">
      <c r="A3821" s="12" t="s">
        <v>4741</v>
      </c>
      <c r="B3821" s="12" t="s">
        <v>532</v>
      </c>
      <c r="C3821" s="12" t="s">
        <v>533</v>
      </c>
      <c r="D3821" s="12" t="s">
        <v>114</v>
      </c>
      <c r="E3821" s="12" t="s">
        <v>65</v>
      </c>
      <c r="F3821">
        <v>2</v>
      </c>
      <c r="G3821">
        <v>3</v>
      </c>
      <c r="H3821">
        <v>0</v>
      </c>
      <c r="I3821" s="12" t="s">
        <v>105</v>
      </c>
      <c r="J3821" s="12" t="s">
        <v>106</v>
      </c>
      <c r="K3821" s="12" t="s">
        <v>81</v>
      </c>
      <c r="L3821" s="12" t="s">
        <v>96</v>
      </c>
      <c r="M3821">
        <v>5.01</v>
      </c>
      <c r="N3821" s="12" t="s">
        <v>97</v>
      </c>
      <c r="O3821" s="12" t="s">
        <v>98</v>
      </c>
      <c r="P3821" s="12" t="s">
        <v>72</v>
      </c>
      <c r="Q3821" s="13">
        <v>45610</v>
      </c>
      <c r="R3821" s="13">
        <v>45648</v>
      </c>
      <c r="S3821">
        <v>2024</v>
      </c>
      <c r="T3821" s="12" t="s">
        <v>4665</v>
      </c>
      <c r="U3821">
        <v>144</v>
      </c>
      <c r="V3821">
        <v>249.9546</v>
      </c>
      <c r="W3821">
        <v>923.81</v>
      </c>
      <c r="X3821">
        <v>0</v>
      </c>
      <c r="Y3821">
        <v>0</v>
      </c>
      <c r="Z3821">
        <v>35993.46</v>
      </c>
      <c r="AA3821">
        <v>36917.269999999997</v>
      </c>
      <c r="AB3821" s="12" t="s">
        <v>3041</v>
      </c>
      <c r="AC3821">
        <v>249.9546</v>
      </c>
      <c r="AD3821">
        <v>1</v>
      </c>
      <c r="AE3821">
        <v>1</v>
      </c>
      <c r="AF3821">
        <v>0</v>
      </c>
      <c r="AG3821">
        <v>35993.46</v>
      </c>
      <c r="AH3821">
        <v>144</v>
      </c>
      <c r="AI3821">
        <v>141</v>
      </c>
      <c r="AJ3821">
        <v>3</v>
      </c>
      <c r="AK3821">
        <v>1</v>
      </c>
      <c r="AL3821">
        <v>1</v>
      </c>
      <c r="AM3821">
        <v>97.92</v>
      </c>
      <c r="AN3821">
        <v>261.82459999999998</v>
      </c>
      <c r="AO3821">
        <v>749.86</v>
      </c>
      <c r="AP3821" s="13">
        <v>45646</v>
      </c>
      <c r="AQ3821">
        <v>-2</v>
      </c>
      <c r="AR3821">
        <v>1</v>
      </c>
    </row>
    <row r="3822" spans="1:44" x14ac:dyDescent="0.35">
      <c r="A3822" s="12" t="s">
        <v>4742</v>
      </c>
      <c r="B3822" s="12" t="s">
        <v>924</v>
      </c>
      <c r="C3822" s="12" t="s">
        <v>925</v>
      </c>
      <c r="D3822" s="12" t="s">
        <v>103</v>
      </c>
      <c r="E3822" s="12" t="s">
        <v>104</v>
      </c>
      <c r="F3822">
        <v>2</v>
      </c>
      <c r="G3822">
        <v>0</v>
      </c>
      <c r="H3822">
        <v>0</v>
      </c>
      <c r="I3822" s="12" t="s">
        <v>335</v>
      </c>
      <c r="J3822" s="12" t="s">
        <v>336</v>
      </c>
      <c r="K3822" s="12" t="s">
        <v>89</v>
      </c>
      <c r="L3822" s="12" t="s">
        <v>82</v>
      </c>
      <c r="M3822">
        <v>16</v>
      </c>
      <c r="N3822" s="12" t="s">
        <v>107</v>
      </c>
      <c r="O3822" s="12" t="s">
        <v>108</v>
      </c>
      <c r="P3822" s="12" t="s">
        <v>109</v>
      </c>
      <c r="Q3822" s="13">
        <v>45610</v>
      </c>
      <c r="R3822" s="13">
        <v>45635</v>
      </c>
      <c r="S3822">
        <v>2024</v>
      </c>
      <c r="T3822" s="12" t="s">
        <v>4665</v>
      </c>
      <c r="U3822">
        <v>112</v>
      </c>
      <c r="V3822">
        <v>174.92080000000001</v>
      </c>
      <c r="W3822">
        <v>302.73</v>
      </c>
      <c r="X3822">
        <v>0</v>
      </c>
      <c r="Y3822">
        <v>0</v>
      </c>
      <c r="Z3822">
        <v>19591.13</v>
      </c>
      <c r="AA3822">
        <v>19893.86</v>
      </c>
      <c r="AB3822" s="12" t="s">
        <v>201</v>
      </c>
      <c r="AD3822">
        <v>0</v>
      </c>
      <c r="AE3822">
        <v>0</v>
      </c>
      <c r="AH3822">
        <v>112</v>
      </c>
      <c r="AI3822">
        <v>112</v>
      </c>
      <c r="AJ3822">
        <v>0</v>
      </c>
      <c r="AK3822">
        <v>1</v>
      </c>
      <c r="AL3822">
        <v>1</v>
      </c>
      <c r="AM3822">
        <v>100</v>
      </c>
      <c r="AN3822">
        <v>177.62370000000001</v>
      </c>
      <c r="AO3822">
        <v>0</v>
      </c>
      <c r="AP3822" s="13">
        <v>45632</v>
      </c>
      <c r="AQ3822">
        <v>-3</v>
      </c>
      <c r="AR3822">
        <v>1</v>
      </c>
    </row>
    <row r="3823" spans="1:44" x14ac:dyDescent="0.35">
      <c r="A3823" s="12" t="s">
        <v>4743</v>
      </c>
      <c r="B3823" s="12" t="s">
        <v>587</v>
      </c>
      <c r="C3823" s="12" t="s">
        <v>588</v>
      </c>
      <c r="D3823" s="12" t="s">
        <v>122</v>
      </c>
      <c r="E3823" s="12" t="s">
        <v>104</v>
      </c>
      <c r="F3823">
        <v>2</v>
      </c>
      <c r="G3823">
        <v>0</v>
      </c>
      <c r="H3823">
        <v>0</v>
      </c>
      <c r="I3823" s="12" t="s">
        <v>486</v>
      </c>
      <c r="J3823" s="12" t="s">
        <v>487</v>
      </c>
      <c r="K3823" s="12" t="s">
        <v>125</v>
      </c>
      <c r="L3823" s="12" t="s">
        <v>69</v>
      </c>
      <c r="M3823">
        <v>36.86</v>
      </c>
      <c r="N3823" s="12" t="s">
        <v>70</v>
      </c>
      <c r="O3823" s="12" t="s">
        <v>71</v>
      </c>
      <c r="P3823" s="12" t="s">
        <v>72</v>
      </c>
      <c r="Q3823" s="13">
        <v>45610</v>
      </c>
      <c r="R3823" s="13">
        <v>45639</v>
      </c>
      <c r="S3823">
        <v>2024</v>
      </c>
      <c r="T3823" s="12" t="s">
        <v>4665</v>
      </c>
      <c r="U3823">
        <v>1948</v>
      </c>
      <c r="V3823">
        <v>11.9803</v>
      </c>
      <c r="W3823">
        <v>333.5</v>
      </c>
      <c r="X3823">
        <v>0</v>
      </c>
      <c r="Y3823">
        <v>0</v>
      </c>
      <c r="Z3823">
        <v>23337.62</v>
      </c>
      <c r="AA3823">
        <v>23671.119999999999</v>
      </c>
      <c r="AB3823" s="12" t="s">
        <v>3188</v>
      </c>
      <c r="AC3823">
        <v>11.9803</v>
      </c>
      <c r="AD3823">
        <v>1</v>
      </c>
      <c r="AE3823">
        <v>1</v>
      </c>
      <c r="AF3823">
        <v>0</v>
      </c>
      <c r="AG3823">
        <v>23337.62</v>
      </c>
      <c r="AH3823">
        <v>1948</v>
      </c>
      <c r="AI3823">
        <v>1937</v>
      </c>
      <c r="AJ3823">
        <v>11</v>
      </c>
      <c r="AK3823">
        <v>1</v>
      </c>
      <c r="AL3823">
        <v>1</v>
      </c>
      <c r="AM3823">
        <v>99.44</v>
      </c>
      <c r="AN3823">
        <v>12.220499999999999</v>
      </c>
      <c r="AO3823">
        <v>131.78</v>
      </c>
      <c r="AP3823" s="13">
        <v>45638</v>
      </c>
      <c r="AQ3823">
        <v>-1</v>
      </c>
      <c r="AR3823">
        <v>1</v>
      </c>
    </row>
    <row r="3824" spans="1:44" x14ac:dyDescent="0.35">
      <c r="A3824" s="12" t="s">
        <v>4744</v>
      </c>
      <c r="B3824" s="12" t="s">
        <v>587</v>
      </c>
      <c r="C3824" s="12" t="s">
        <v>588</v>
      </c>
      <c r="D3824" s="12" t="s">
        <v>122</v>
      </c>
      <c r="E3824" s="12" t="s">
        <v>104</v>
      </c>
      <c r="F3824">
        <v>2</v>
      </c>
      <c r="G3824">
        <v>0</v>
      </c>
      <c r="H3824">
        <v>0</v>
      </c>
      <c r="I3824" s="12" t="s">
        <v>486</v>
      </c>
      <c r="J3824" s="12" t="s">
        <v>487</v>
      </c>
      <c r="K3824" s="12" t="s">
        <v>125</v>
      </c>
      <c r="L3824" s="12" t="s">
        <v>69</v>
      </c>
      <c r="M3824">
        <v>36.86</v>
      </c>
      <c r="N3824" s="12" t="s">
        <v>70</v>
      </c>
      <c r="O3824" s="12" t="s">
        <v>71</v>
      </c>
      <c r="P3824" s="12" t="s">
        <v>72</v>
      </c>
      <c r="Q3824" s="13">
        <v>45610</v>
      </c>
      <c r="R3824" s="13">
        <v>45631</v>
      </c>
      <c r="S3824">
        <v>2024</v>
      </c>
      <c r="T3824" s="12" t="s">
        <v>4665</v>
      </c>
      <c r="U3824">
        <v>1113</v>
      </c>
      <c r="V3824">
        <v>11.9803</v>
      </c>
      <c r="W3824">
        <v>245.25</v>
      </c>
      <c r="X3824">
        <v>0</v>
      </c>
      <c r="Y3824">
        <v>0</v>
      </c>
      <c r="Z3824">
        <v>13334.07</v>
      </c>
      <c r="AA3824">
        <v>13579.32</v>
      </c>
      <c r="AB3824" s="12" t="s">
        <v>3188</v>
      </c>
      <c r="AC3824">
        <v>11.9803</v>
      </c>
      <c r="AD3824">
        <v>1</v>
      </c>
      <c r="AE3824">
        <v>1</v>
      </c>
      <c r="AF3824">
        <v>0</v>
      </c>
      <c r="AG3824">
        <v>13334.07</v>
      </c>
      <c r="AH3824">
        <v>1113</v>
      </c>
      <c r="AI3824">
        <v>1109</v>
      </c>
      <c r="AJ3824">
        <v>4</v>
      </c>
      <c r="AK3824">
        <v>1</v>
      </c>
      <c r="AL3824">
        <v>1</v>
      </c>
      <c r="AM3824">
        <v>99.64</v>
      </c>
      <c r="AN3824">
        <v>12.2447</v>
      </c>
      <c r="AO3824">
        <v>47.92</v>
      </c>
      <c r="AP3824" s="13">
        <v>45629</v>
      </c>
      <c r="AQ3824">
        <v>-2</v>
      </c>
      <c r="AR3824">
        <v>1</v>
      </c>
    </row>
    <row r="3825" spans="1:44" x14ac:dyDescent="0.35">
      <c r="A3825" s="12" t="s">
        <v>4745</v>
      </c>
      <c r="B3825" s="12" t="s">
        <v>85</v>
      </c>
      <c r="C3825" s="12" t="s">
        <v>86</v>
      </c>
      <c r="D3825" s="12" t="s">
        <v>78</v>
      </c>
      <c r="E3825" s="12" t="s">
        <v>65</v>
      </c>
      <c r="F3825">
        <v>3</v>
      </c>
      <c r="G3825">
        <v>5</v>
      </c>
      <c r="H3825">
        <v>0</v>
      </c>
      <c r="I3825" s="12" t="s">
        <v>87</v>
      </c>
      <c r="J3825" s="12" t="s">
        <v>88</v>
      </c>
      <c r="K3825" s="12" t="s">
        <v>89</v>
      </c>
      <c r="L3825" s="12" t="s">
        <v>69</v>
      </c>
      <c r="M3825">
        <v>14.93</v>
      </c>
      <c r="N3825" s="12" t="s">
        <v>70</v>
      </c>
      <c r="O3825" s="12" t="s">
        <v>71</v>
      </c>
      <c r="P3825" s="12" t="s">
        <v>72</v>
      </c>
      <c r="Q3825" s="13">
        <v>45610</v>
      </c>
      <c r="R3825" s="13">
        <v>45647</v>
      </c>
      <c r="S3825">
        <v>2024</v>
      </c>
      <c r="T3825" s="12" t="s">
        <v>4665</v>
      </c>
      <c r="U3825">
        <v>272</v>
      </c>
      <c r="V3825">
        <v>139.59649999999999</v>
      </c>
      <c r="W3825">
        <v>341.72</v>
      </c>
      <c r="X3825">
        <v>0</v>
      </c>
      <c r="Y3825">
        <v>0</v>
      </c>
      <c r="Z3825">
        <v>37970.25</v>
      </c>
      <c r="AA3825">
        <v>38311.97</v>
      </c>
      <c r="AB3825" s="12" t="s">
        <v>2621</v>
      </c>
      <c r="AC3825">
        <v>139.59649999999999</v>
      </c>
      <c r="AD3825">
        <v>1</v>
      </c>
      <c r="AE3825">
        <v>1</v>
      </c>
      <c r="AF3825">
        <v>0</v>
      </c>
      <c r="AG3825">
        <v>37970.25</v>
      </c>
      <c r="AH3825">
        <v>272</v>
      </c>
      <c r="AI3825">
        <v>267</v>
      </c>
      <c r="AJ3825">
        <v>5</v>
      </c>
      <c r="AK3825">
        <v>1</v>
      </c>
      <c r="AL3825">
        <v>1</v>
      </c>
      <c r="AM3825">
        <v>98.16</v>
      </c>
      <c r="AN3825">
        <v>143.4905</v>
      </c>
      <c r="AO3825">
        <v>697.98</v>
      </c>
      <c r="AP3825" s="13">
        <v>45646</v>
      </c>
      <c r="AQ3825">
        <v>-1</v>
      </c>
      <c r="AR3825">
        <v>1</v>
      </c>
    </row>
    <row r="3826" spans="1:44" x14ac:dyDescent="0.35">
      <c r="A3826" s="12" t="s">
        <v>4746</v>
      </c>
      <c r="B3826" s="12" t="s">
        <v>317</v>
      </c>
      <c r="C3826" s="12" t="s">
        <v>318</v>
      </c>
      <c r="D3826" s="12" t="s">
        <v>64</v>
      </c>
      <c r="E3826" s="12" t="s">
        <v>104</v>
      </c>
      <c r="F3826">
        <v>2</v>
      </c>
      <c r="G3826">
        <v>0</v>
      </c>
      <c r="H3826">
        <v>0</v>
      </c>
      <c r="I3826" s="12" t="s">
        <v>183</v>
      </c>
      <c r="J3826" s="12" t="s">
        <v>184</v>
      </c>
      <c r="K3826" s="12" t="s">
        <v>133</v>
      </c>
      <c r="L3826" s="12" t="s">
        <v>82</v>
      </c>
      <c r="M3826">
        <v>8.6199999999999992</v>
      </c>
      <c r="N3826" s="12" t="s">
        <v>97</v>
      </c>
      <c r="O3826" s="12" t="s">
        <v>98</v>
      </c>
      <c r="P3826" s="12" t="s">
        <v>72</v>
      </c>
      <c r="Q3826" s="13">
        <v>45611</v>
      </c>
      <c r="R3826" s="13">
        <v>45633</v>
      </c>
      <c r="S3826">
        <v>2024</v>
      </c>
      <c r="T3826" s="12" t="s">
        <v>4665</v>
      </c>
      <c r="U3826">
        <v>614</v>
      </c>
      <c r="V3826">
        <v>15.7963</v>
      </c>
      <c r="W3826">
        <v>222.95</v>
      </c>
      <c r="X3826">
        <v>0</v>
      </c>
      <c r="Y3826">
        <v>0</v>
      </c>
      <c r="Z3826">
        <v>9698.93</v>
      </c>
      <c r="AA3826">
        <v>9921.8799999999992</v>
      </c>
      <c r="AB3826" s="12" t="s">
        <v>3035</v>
      </c>
      <c r="AC3826">
        <v>15.7963</v>
      </c>
      <c r="AD3826">
        <v>1</v>
      </c>
      <c r="AE3826">
        <v>1</v>
      </c>
      <c r="AF3826">
        <v>0</v>
      </c>
      <c r="AG3826">
        <v>9698.93</v>
      </c>
      <c r="AH3826">
        <v>614</v>
      </c>
      <c r="AI3826">
        <v>605</v>
      </c>
      <c r="AJ3826">
        <v>9</v>
      </c>
      <c r="AK3826">
        <v>1</v>
      </c>
      <c r="AL3826">
        <v>1</v>
      </c>
      <c r="AM3826">
        <v>98.53</v>
      </c>
      <c r="AN3826">
        <v>16.399799999999999</v>
      </c>
      <c r="AO3826">
        <v>142.16999999999999</v>
      </c>
      <c r="AP3826" s="13">
        <v>45631</v>
      </c>
      <c r="AQ3826">
        <v>-2</v>
      </c>
      <c r="AR3826">
        <v>1</v>
      </c>
    </row>
    <row r="3827" spans="1:44" x14ac:dyDescent="0.35">
      <c r="A3827" s="12" t="s">
        <v>4747</v>
      </c>
      <c r="B3827" s="12" t="s">
        <v>347</v>
      </c>
      <c r="C3827" s="12" t="s">
        <v>348</v>
      </c>
      <c r="D3827" s="12" t="s">
        <v>78</v>
      </c>
      <c r="E3827" s="12" t="s">
        <v>104</v>
      </c>
      <c r="F3827">
        <v>3</v>
      </c>
      <c r="G3827">
        <v>1</v>
      </c>
      <c r="H3827">
        <v>0</v>
      </c>
      <c r="I3827" s="12" t="s">
        <v>105</v>
      </c>
      <c r="J3827" s="12" t="s">
        <v>106</v>
      </c>
      <c r="K3827" s="12" t="s">
        <v>81</v>
      </c>
      <c r="L3827" s="12" t="s">
        <v>96</v>
      </c>
      <c r="M3827">
        <v>5.01</v>
      </c>
      <c r="N3827" s="12" t="s">
        <v>70</v>
      </c>
      <c r="O3827" s="12" t="s">
        <v>71</v>
      </c>
      <c r="P3827" s="12" t="s">
        <v>72</v>
      </c>
      <c r="Q3827" s="13">
        <v>45611</v>
      </c>
      <c r="R3827" s="13">
        <v>45623</v>
      </c>
      <c r="S3827">
        <v>2024</v>
      </c>
      <c r="T3827" s="12" t="s">
        <v>4665</v>
      </c>
      <c r="U3827">
        <v>42</v>
      </c>
      <c r="V3827">
        <v>100.28740000000001</v>
      </c>
      <c r="W3827">
        <v>62.18</v>
      </c>
      <c r="X3827">
        <v>0</v>
      </c>
      <c r="Y3827">
        <v>0</v>
      </c>
      <c r="Z3827">
        <v>4212.07</v>
      </c>
      <c r="AA3827">
        <v>4274.25</v>
      </c>
      <c r="AB3827" s="12" t="s">
        <v>2996</v>
      </c>
      <c r="AC3827">
        <v>100.28740000000001</v>
      </c>
      <c r="AD3827">
        <v>1</v>
      </c>
      <c r="AE3827">
        <v>1</v>
      </c>
      <c r="AF3827">
        <v>0</v>
      </c>
      <c r="AG3827">
        <v>4212.07</v>
      </c>
      <c r="AH3827">
        <v>42</v>
      </c>
      <c r="AI3827">
        <v>41</v>
      </c>
      <c r="AJ3827">
        <v>1</v>
      </c>
      <c r="AK3827">
        <v>1</v>
      </c>
      <c r="AL3827">
        <v>1</v>
      </c>
      <c r="AM3827">
        <v>97.62</v>
      </c>
      <c r="AN3827">
        <v>104.25</v>
      </c>
      <c r="AO3827">
        <v>100.29</v>
      </c>
      <c r="AP3827" s="13">
        <v>45632</v>
      </c>
      <c r="AQ3827">
        <v>9</v>
      </c>
      <c r="AR3827">
        <v>0</v>
      </c>
    </row>
    <row r="3828" spans="1:44" x14ac:dyDescent="0.35">
      <c r="A3828" s="12" t="s">
        <v>4748</v>
      </c>
      <c r="B3828" s="12" t="s">
        <v>465</v>
      </c>
      <c r="C3828" s="12" t="s">
        <v>466</v>
      </c>
      <c r="D3828" s="12" t="s">
        <v>78</v>
      </c>
      <c r="E3828" s="12" t="s">
        <v>142</v>
      </c>
      <c r="F3828">
        <v>3</v>
      </c>
      <c r="G3828">
        <v>11</v>
      </c>
      <c r="H3828">
        <v>0</v>
      </c>
      <c r="I3828" s="12" t="s">
        <v>195</v>
      </c>
      <c r="J3828" s="12" t="s">
        <v>196</v>
      </c>
      <c r="K3828" s="12" t="s">
        <v>117</v>
      </c>
      <c r="L3828" s="12" t="s">
        <v>134</v>
      </c>
      <c r="M3828">
        <v>4.7699999999999996</v>
      </c>
      <c r="N3828" s="12" t="s">
        <v>70</v>
      </c>
      <c r="O3828" s="12" t="s">
        <v>71</v>
      </c>
      <c r="P3828" s="12" t="s">
        <v>72</v>
      </c>
      <c r="Q3828" s="13">
        <v>45611</v>
      </c>
      <c r="R3828" s="13">
        <v>45663</v>
      </c>
      <c r="S3828">
        <v>2024</v>
      </c>
      <c r="T3828" s="12" t="s">
        <v>4665</v>
      </c>
      <c r="U3828">
        <v>298</v>
      </c>
      <c r="V3828">
        <v>107.81189999999999</v>
      </c>
      <c r="W3828">
        <v>454.37</v>
      </c>
      <c r="X3828">
        <v>0</v>
      </c>
      <c r="Y3828">
        <v>0</v>
      </c>
      <c r="Z3828">
        <v>32127.95</v>
      </c>
      <c r="AA3828">
        <v>32582.32</v>
      </c>
      <c r="AB3828" s="12" t="s">
        <v>3058</v>
      </c>
      <c r="AC3828">
        <v>107.81189999999999</v>
      </c>
      <c r="AD3828">
        <v>1</v>
      </c>
      <c r="AE3828">
        <v>1</v>
      </c>
      <c r="AF3828">
        <v>0</v>
      </c>
      <c r="AG3828">
        <v>32127.95</v>
      </c>
      <c r="AH3828">
        <v>298</v>
      </c>
      <c r="AI3828">
        <v>293</v>
      </c>
      <c r="AJ3828">
        <v>5</v>
      </c>
      <c r="AK3828">
        <v>1</v>
      </c>
      <c r="AL3828">
        <v>1</v>
      </c>
      <c r="AM3828">
        <v>98.32</v>
      </c>
      <c r="AN3828">
        <v>111.2024</v>
      </c>
      <c r="AO3828">
        <v>539.05999999999995</v>
      </c>
      <c r="AP3828" s="13">
        <v>45663</v>
      </c>
      <c r="AQ3828">
        <v>0</v>
      </c>
      <c r="AR3828">
        <v>1</v>
      </c>
    </row>
    <row r="3829" spans="1:44" x14ac:dyDescent="0.35">
      <c r="A3829" s="12" t="s">
        <v>4749</v>
      </c>
      <c r="B3829" s="12" t="s">
        <v>555</v>
      </c>
      <c r="C3829" s="12" t="s">
        <v>556</v>
      </c>
      <c r="D3829" s="12" t="s">
        <v>114</v>
      </c>
      <c r="E3829" s="12" t="s">
        <v>142</v>
      </c>
      <c r="F3829">
        <v>1</v>
      </c>
      <c r="G3829">
        <v>6</v>
      </c>
      <c r="H3829">
        <v>1</v>
      </c>
      <c r="I3829" s="12" t="s">
        <v>151</v>
      </c>
      <c r="J3829" s="12" t="s">
        <v>152</v>
      </c>
      <c r="K3829" s="12" t="s">
        <v>125</v>
      </c>
      <c r="L3829" s="12" t="s">
        <v>69</v>
      </c>
      <c r="M3829">
        <v>36.479999999999997</v>
      </c>
      <c r="N3829" s="12" t="s">
        <v>70</v>
      </c>
      <c r="O3829" s="12" t="s">
        <v>71</v>
      </c>
      <c r="P3829" s="12" t="s">
        <v>72</v>
      </c>
      <c r="Q3829" s="13">
        <v>45611</v>
      </c>
      <c r="R3829" s="13">
        <v>45655</v>
      </c>
      <c r="S3829">
        <v>2024</v>
      </c>
      <c r="T3829" s="12" t="s">
        <v>4665</v>
      </c>
      <c r="U3829">
        <v>84</v>
      </c>
      <c r="V3829">
        <v>278.31920000000002</v>
      </c>
      <c r="W3829">
        <v>483.49</v>
      </c>
      <c r="X3829">
        <v>0</v>
      </c>
      <c r="Y3829">
        <v>0</v>
      </c>
      <c r="Z3829">
        <v>23378.81</v>
      </c>
      <c r="AA3829">
        <v>23862.3</v>
      </c>
      <c r="AB3829" s="12" t="s">
        <v>2922</v>
      </c>
      <c r="AC3829">
        <v>278.31920000000002</v>
      </c>
      <c r="AD3829">
        <v>1</v>
      </c>
      <c r="AE3829">
        <v>1</v>
      </c>
      <c r="AF3829">
        <v>0</v>
      </c>
      <c r="AG3829">
        <v>23378.81</v>
      </c>
      <c r="AH3829">
        <v>84</v>
      </c>
      <c r="AI3829">
        <v>82</v>
      </c>
      <c r="AJ3829">
        <v>2</v>
      </c>
      <c r="AK3829">
        <v>1</v>
      </c>
      <c r="AL3829">
        <v>1</v>
      </c>
      <c r="AM3829">
        <v>97.62</v>
      </c>
      <c r="AN3829">
        <v>291.00369999999998</v>
      </c>
      <c r="AO3829">
        <v>556.64</v>
      </c>
      <c r="AP3829" s="13">
        <v>45653</v>
      </c>
      <c r="AQ3829">
        <v>-2</v>
      </c>
      <c r="AR3829">
        <v>1</v>
      </c>
    </row>
    <row r="3830" spans="1:44" x14ac:dyDescent="0.35">
      <c r="A3830" s="12" t="s">
        <v>4750</v>
      </c>
      <c r="B3830" s="12" t="s">
        <v>755</v>
      </c>
      <c r="C3830" s="12" t="s">
        <v>756</v>
      </c>
      <c r="D3830" s="12" t="s">
        <v>78</v>
      </c>
      <c r="E3830" s="12" t="s">
        <v>65</v>
      </c>
      <c r="F3830">
        <v>2</v>
      </c>
      <c r="G3830">
        <v>2</v>
      </c>
      <c r="H3830">
        <v>0</v>
      </c>
      <c r="I3830" s="12" t="s">
        <v>359</v>
      </c>
      <c r="J3830" s="12" t="s">
        <v>360</v>
      </c>
      <c r="K3830" s="12" t="s">
        <v>133</v>
      </c>
      <c r="L3830" s="12" t="s">
        <v>82</v>
      </c>
      <c r="M3830">
        <v>12.65</v>
      </c>
      <c r="N3830" s="12" t="s">
        <v>70</v>
      </c>
      <c r="O3830" s="12" t="s">
        <v>71</v>
      </c>
      <c r="P3830" s="12" t="s">
        <v>72</v>
      </c>
      <c r="Q3830" s="13">
        <v>45611</v>
      </c>
      <c r="R3830" s="13">
        <v>45641</v>
      </c>
      <c r="S3830">
        <v>2024</v>
      </c>
      <c r="T3830" s="12" t="s">
        <v>4665</v>
      </c>
      <c r="U3830">
        <v>175</v>
      </c>
      <c r="V3830">
        <v>43.122799999999998</v>
      </c>
      <c r="W3830">
        <v>71.14</v>
      </c>
      <c r="X3830">
        <v>0</v>
      </c>
      <c r="Y3830">
        <v>0</v>
      </c>
      <c r="Z3830">
        <v>7546.49</v>
      </c>
      <c r="AA3830">
        <v>7617.63</v>
      </c>
      <c r="AB3830" s="12" t="s">
        <v>3414</v>
      </c>
      <c r="AC3830">
        <v>43.122799999999998</v>
      </c>
      <c r="AD3830">
        <v>1</v>
      </c>
      <c r="AE3830">
        <v>1</v>
      </c>
      <c r="AF3830">
        <v>0</v>
      </c>
      <c r="AG3830">
        <v>7546.49</v>
      </c>
      <c r="AH3830">
        <v>175</v>
      </c>
      <c r="AI3830">
        <v>174</v>
      </c>
      <c r="AJ3830">
        <v>1</v>
      </c>
      <c r="AK3830">
        <v>1</v>
      </c>
      <c r="AL3830">
        <v>1</v>
      </c>
      <c r="AM3830">
        <v>99.43</v>
      </c>
      <c r="AN3830">
        <v>43.779499999999999</v>
      </c>
      <c r="AO3830">
        <v>43.12</v>
      </c>
      <c r="AP3830" s="13">
        <v>45638</v>
      </c>
      <c r="AQ3830">
        <v>-3</v>
      </c>
      <c r="AR3830">
        <v>1</v>
      </c>
    </row>
    <row r="3831" spans="1:44" x14ac:dyDescent="0.35">
      <c r="A3831" s="12" t="s">
        <v>4751</v>
      </c>
      <c r="B3831" s="12" t="s">
        <v>990</v>
      </c>
      <c r="C3831" s="12" t="s">
        <v>991</v>
      </c>
      <c r="D3831" s="12" t="s">
        <v>122</v>
      </c>
      <c r="E3831" s="12" t="s">
        <v>142</v>
      </c>
      <c r="F3831">
        <v>1</v>
      </c>
      <c r="G3831">
        <v>6</v>
      </c>
      <c r="H3831">
        <v>1</v>
      </c>
      <c r="I3831" s="12" t="s">
        <v>217</v>
      </c>
      <c r="J3831" s="12" t="s">
        <v>218</v>
      </c>
      <c r="K3831" s="12" t="s">
        <v>68</v>
      </c>
      <c r="L3831" s="12" t="s">
        <v>82</v>
      </c>
      <c r="M3831">
        <v>14.24</v>
      </c>
      <c r="N3831" s="12" t="s">
        <v>97</v>
      </c>
      <c r="O3831" s="12" t="s">
        <v>98</v>
      </c>
      <c r="P3831" s="12" t="s">
        <v>72</v>
      </c>
      <c r="Q3831" s="13">
        <v>45611</v>
      </c>
      <c r="R3831" s="13">
        <v>45647</v>
      </c>
      <c r="S3831">
        <v>2024</v>
      </c>
      <c r="T3831" s="12" t="s">
        <v>4665</v>
      </c>
      <c r="U3831">
        <v>347</v>
      </c>
      <c r="V3831">
        <v>33.6252</v>
      </c>
      <c r="W3831">
        <v>293.52999999999997</v>
      </c>
      <c r="X3831">
        <v>0</v>
      </c>
      <c r="Y3831">
        <v>0</v>
      </c>
      <c r="Z3831">
        <v>11667.94</v>
      </c>
      <c r="AA3831">
        <v>11961.47</v>
      </c>
      <c r="AB3831" s="12" t="s">
        <v>3368</v>
      </c>
      <c r="AC3831">
        <v>33.6252</v>
      </c>
      <c r="AD3831">
        <v>1</v>
      </c>
      <c r="AE3831">
        <v>1</v>
      </c>
      <c r="AF3831">
        <v>0</v>
      </c>
      <c r="AG3831">
        <v>11667.94</v>
      </c>
      <c r="AH3831">
        <v>347</v>
      </c>
      <c r="AI3831">
        <v>344</v>
      </c>
      <c r="AJ3831">
        <v>3</v>
      </c>
      <c r="AK3831">
        <v>1</v>
      </c>
      <c r="AL3831">
        <v>1</v>
      </c>
      <c r="AM3831">
        <v>99.14</v>
      </c>
      <c r="AN3831">
        <v>34.771700000000003</v>
      </c>
      <c r="AO3831">
        <v>100.88</v>
      </c>
      <c r="AP3831" s="13">
        <v>45646</v>
      </c>
      <c r="AQ3831">
        <v>-1</v>
      </c>
      <c r="AR3831">
        <v>1</v>
      </c>
    </row>
    <row r="3832" spans="1:44" x14ac:dyDescent="0.35">
      <c r="A3832" s="12" t="s">
        <v>4752</v>
      </c>
      <c r="B3832" s="12" t="s">
        <v>809</v>
      </c>
      <c r="C3832" s="12" t="s">
        <v>810</v>
      </c>
      <c r="D3832" s="12" t="s">
        <v>114</v>
      </c>
      <c r="E3832" s="12" t="s">
        <v>65</v>
      </c>
      <c r="F3832">
        <v>3</v>
      </c>
      <c r="G3832">
        <v>5</v>
      </c>
      <c r="H3832">
        <v>0</v>
      </c>
      <c r="I3832" s="12" t="s">
        <v>811</v>
      </c>
      <c r="J3832" s="12" t="s">
        <v>812</v>
      </c>
      <c r="K3832" s="12" t="s">
        <v>117</v>
      </c>
      <c r="L3832" s="12" t="s">
        <v>69</v>
      </c>
      <c r="M3832">
        <v>26.4</v>
      </c>
      <c r="N3832" s="12" t="s">
        <v>97</v>
      </c>
      <c r="O3832" s="12" t="s">
        <v>98</v>
      </c>
      <c r="P3832" s="12" t="s">
        <v>72</v>
      </c>
      <c r="Q3832" s="13">
        <v>45611</v>
      </c>
      <c r="R3832" s="13">
        <v>45632</v>
      </c>
      <c r="S3832">
        <v>2024</v>
      </c>
      <c r="T3832" s="12" t="s">
        <v>4665</v>
      </c>
      <c r="U3832">
        <v>13</v>
      </c>
      <c r="V3832">
        <v>300.7131</v>
      </c>
      <c r="W3832">
        <v>71.319999999999993</v>
      </c>
      <c r="X3832">
        <v>0</v>
      </c>
      <c r="Y3832">
        <v>0</v>
      </c>
      <c r="Z3832">
        <v>3909.27</v>
      </c>
      <c r="AA3832">
        <v>3980.59</v>
      </c>
      <c r="AB3832" s="12" t="s">
        <v>3176</v>
      </c>
      <c r="AC3832">
        <v>319.41250000000002</v>
      </c>
      <c r="AD3832">
        <v>1</v>
      </c>
      <c r="AE3832">
        <v>1</v>
      </c>
      <c r="AF3832">
        <v>-243.09</v>
      </c>
      <c r="AG3832">
        <v>4152.3599999999997</v>
      </c>
      <c r="AH3832">
        <v>13</v>
      </c>
      <c r="AI3832">
        <v>13</v>
      </c>
      <c r="AJ3832">
        <v>0</v>
      </c>
      <c r="AK3832">
        <v>1</v>
      </c>
      <c r="AL3832">
        <v>1</v>
      </c>
      <c r="AM3832">
        <v>100</v>
      </c>
      <c r="AN3832">
        <v>306.19929999999999</v>
      </c>
      <c r="AO3832">
        <v>0</v>
      </c>
      <c r="AP3832" s="13">
        <v>45630</v>
      </c>
      <c r="AQ3832">
        <v>-2</v>
      </c>
      <c r="AR3832">
        <v>1</v>
      </c>
    </row>
    <row r="3833" spans="1:44" x14ac:dyDescent="0.35">
      <c r="A3833" s="12" t="s">
        <v>4753</v>
      </c>
      <c r="B3833" s="12" t="s">
        <v>773</v>
      </c>
      <c r="C3833" s="12" t="s">
        <v>774</v>
      </c>
      <c r="D3833" s="12" t="s">
        <v>64</v>
      </c>
      <c r="E3833" s="12" t="s">
        <v>142</v>
      </c>
      <c r="F3833">
        <v>1</v>
      </c>
      <c r="G3833">
        <v>7</v>
      </c>
      <c r="H3833">
        <v>1</v>
      </c>
      <c r="I3833" s="12" t="s">
        <v>251</v>
      </c>
      <c r="J3833" s="12" t="s">
        <v>252</v>
      </c>
      <c r="K3833" s="12" t="s">
        <v>133</v>
      </c>
      <c r="L3833" s="12" t="s">
        <v>69</v>
      </c>
      <c r="M3833">
        <v>34.49</v>
      </c>
      <c r="N3833" s="12" t="s">
        <v>70</v>
      </c>
      <c r="O3833" s="12" t="s">
        <v>71</v>
      </c>
      <c r="P3833" s="12" t="s">
        <v>72</v>
      </c>
      <c r="Q3833" s="13">
        <v>45611</v>
      </c>
      <c r="R3833" s="13">
        <v>45650</v>
      </c>
      <c r="S3833">
        <v>2024</v>
      </c>
      <c r="T3833" s="12" t="s">
        <v>4665</v>
      </c>
      <c r="U3833">
        <v>317</v>
      </c>
      <c r="V3833">
        <v>10.022600000000001</v>
      </c>
      <c r="W3833">
        <v>57.35</v>
      </c>
      <c r="X3833">
        <v>0</v>
      </c>
      <c r="Y3833">
        <v>0</v>
      </c>
      <c r="Z3833">
        <v>3177.16</v>
      </c>
      <c r="AA3833">
        <v>3234.51</v>
      </c>
      <c r="AB3833" s="12" t="s">
        <v>3354</v>
      </c>
      <c r="AC3833">
        <v>10.022600000000001</v>
      </c>
      <c r="AD3833">
        <v>1</v>
      </c>
      <c r="AE3833">
        <v>1</v>
      </c>
      <c r="AF3833">
        <v>0</v>
      </c>
      <c r="AG3833">
        <v>3177.16</v>
      </c>
      <c r="AH3833">
        <v>317</v>
      </c>
      <c r="AI3833">
        <v>314</v>
      </c>
      <c r="AJ3833">
        <v>3</v>
      </c>
      <c r="AK3833">
        <v>1</v>
      </c>
      <c r="AL3833">
        <v>1</v>
      </c>
      <c r="AM3833">
        <v>99.05</v>
      </c>
      <c r="AN3833">
        <v>10.301</v>
      </c>
      <c r="AO3833">
        <v>30.07</v>
      </c>
      <c r="AP3833" s="13">
        <v>45647</v>
      </c>
      <c r="AQ3833">
        <v>-3</v>
      </c>
      <c r="AR3833">
        <v>1</v>
      </c>
    </row>
    <row r="3834" spans="1:44" x14ac:dyDescent="0.35">
      <c r="A3834" s="12" t="s">
        <v>4754</v>
      </c>
      <c r="B3834" s="12" t="s">
        <v>827</v>
      </c>
      <c r="C3834" s="12" t="s">
        <v>828</v>
      </c>
      <c r="D3834" s="12" t="s">
        <v>175</v>
      </c>
      <c r="E3834" s="12" t="s">
        <v>104</v>
      </c>
      <c r="F3834">
        <v>2</v>
      </c>
      <c r="G3834">
        <v>0</v>
      </c>
      <c r="H3834">
        <v>0</v>
      </c>
      <c r="I3834" s="12" t="s">
        <v>183</v>
      </c>
      <c r="J3834" s="12" t="s">
        <v>184</v>
      </c>
      <c r="K3834" s="12" t="s">
        <v>133</v>
      </c>
      <c r="L3834" s="12" t="s">
        <v>82</v>
      </c>
      <c r="M3834">
        <v>8.6199999999999992</v>
      </c>
      <c r="N3834" s="12" t="s">
        <v>107</v>
      </c>
      <c r="O3834" s="12" t="s">
        <v>108</v>
      </c>
      <c r="P3834" s="12" t="s">
        <v>109</v>
      </c>
      <c r="Q3834" s="13">
        <v>45611</v>
      </c>
      <c r="R3834" s="13">
        <v>45633</v>
      </c>
      <c r="S3834">
        <v>2024</v>
      </c>
      <c r="T3834" s="12" t="s">
        <v>4665</v>
      </c>
      <c r="U3834">
        <v>95</v>
      </c>
      <c r="V3834">
        <v>101.62560000000001</v>
      </c>
      <c r="W3834">
        <v>193.15</v>
      </c>
      <c r="X3834">
        <v>0</v>
      </c>
      <c r="Y3834">
        <v>0</v>
      </c>
      <c r="Z3834">
        <v>9654.43</v>
      </c>
      <c r="AA3834">
        <v>9847.58</v>
      </c>
      <c r="AB3834" s="12" t="s">
        <v>3394</v>
      </c>
      <c r="AC3834">
        <v>101.62560000000001</v>
      </c>
      <c r="AD3834">
        <v>1</v>
      </c>
      <c r="AE3834">
        <v>1</v>
      </c>
      <c r="AF3834">
        <v>0</v>
      </c>
      <c r="AG3834">
        <v>9654.43</v>
      </c>
      <c r="AH3834">
        <v>95</v>
      </c>
      <c r="AI3834">
        <v>95</v>
      </c>
      <c r="AJ3834">
        <v>0</v>
      </c>
      <c r="AK3834">
        <v>1</v>
      </c>
      <c r="AL3834">
        <v>1</v>
      </c>
      <c r="AM3834">
        <v>100</v>
      </c>
      <c r="AN3834">
        <v>103.6588</v>
      </c>
      <c r="AO3834">
        <v>0</v>
      </c>
      <c r="AP3834" s="13">
        <v>45633</v>
      </c>
      <c r="AQ3834">
        <v>0</v>
      </c>
      <c r="AR3834">
        <v>1</v>
      </c>
    </row>
    <row r="3835" spans="1:44" x14ac:dyDescent="0.35">
      <c r="A3835" s="12" t="s">
        <v>4755</v>
      </c>
      <c r="B3835" s="12" t="s">
        <v>362</v>
      </c>
      <c r="C3835" s="12" t="s">
        <v>363</v>
      </c>
      <c r="D3835" s="12" t="s">
        <v>78</v>
      </c>
      <c r="E3835" s="12" t="s">
        <v>104</v>
      </c>
      <c r="F3835">
        <v>3</v>
      </c>
      <c r="G3835">
        <v>0</v>
      </c>
      <c r="H3835">
        <v>0</v>
      </c>
      <c r="I3835" s="12" t="s">
        <v>105</v>
      </c>
      <c r="J3835" s="12" t="s">
        <v>106</v>
      </c>
      <c r="K3835" s="12" t="s">
        <v>81</v>
      </c>
      <c r="L3835" s="12" t="s">
        <v>96</v>
      </c>
      <c r="M3835">
        <v>5.01</v>
      </c>
      <c r="N3835" s="12" t="s">
        <v>97</v>
      </c>
      <c r="O3835" s="12" t="s">
        <v>98</v>
      </c>
      <c r="P3835" s="12" t="s">
        <v>72</v>
      </c>
      <c r="Q3835" s="13">
        <v>45611</v>
      </c>
      <c r="R3835" s="13">
        <v>45624</v>
      </c>
      <c r="S3835">
        <v>2024</v>
      </c>
      <c r="T3835" s="12" t="s">
        <v>4665</v>
      </c>
      <c r="U3835">
        <v>63</v>
      </c>
      <c r="V3835">
        <v>59.761699999999998</v>
      </c>
      <c r="W3835">
        <v>68.39</v>
      </c>
      <c r="X3835">
        <v>0</v>
      </c>
      <c r="Y3835">
        <v>0</v>
      </c>
      <c r="Z3835">
        <v>3764.99</v>
      </c>
      <c r="AA3835">
        <v>3833.38</v>
      </c>
      <c r="AB3835" s="12" t="s">
        <v>3906</v>
      </c>
      <c r="AC3835">
        <v>59.761699999999998</v>
      </c>
      <c r="AD3835">
        <v>1</v>
      </c>
      <c r="AE3835">
        <v>1</v>
      </c>
      <c r="AF3835">
        <v>0</v>
      </c>
      <c r="AG3835">
        <v>3764.99</v>
      </c>
      <c r="AH3835">
        <v>63</v>
      </c>
      <c r="AI3835">
        <v>62</v>
      </c>
      <c r="AJ3835">
        <v>1</v>
      </c>
      <c r="AK3835">
        <v>1</v>
      </c>
      <c r="AL3835">
        <v>1</v>
      </c>
      <c r="AM3835">
        <v>98.41</v>
      </c>
      <c r="AN3835">
        <v>61.828699999999998</v>
      </c>
      <c r="AO3835">
        <v>59.76</v>
      </c>
      <c r="AP3835" s="13">
        <v>45624</v>
      </c>
      <c r="AQ3835">
        <v>0</v>
      </c>
      <c r="AR3835">
        <v>1</v>
      </c>
    </row>
    <row r="3836" spans="1:44" x14ac:dyDescent="0.35">
      <c r="A3836" s="12" t="s">
        <v>4756</v>
      </c>
      <c r="B3836" s="12" t="s">
        <v>640</v>
      </c>
      <c r="C3836" s="12" t="s">
        <v>641</v>
      </c>
      <c r="D3836" s="12" t="s">
        <v>130</v>
      </c>
      <c r="E3836" s="12" t="s">
        <v>104</v>
      </c>
      <c r="F3836">
        <v>3</v>
      </c>
      <c r="G3836">
        <v>0</v>
      </c>
      <c r="H3836">
        <v>0</v>
      </c>
      <c r="I3836" s="12" t="s">
        <v>811</v>
      </c>
      <c r="J3836" s="12" t="s">
        <v>812</v>
      </c>
      <c r="K3836" s="12" t="s">
        <v>117</v>
      </c>
      <c r="L3836" s="12" t="s">
        <v>69</v>
      </c>
      <c r="M3836">
        <v>26.4</v>
      </c>
      <c r="N3836" s="12" t="s">
        <v>159</v>
      </c>
      <c r="O3836" s="12" t="s">
        <v>160</v>
      </c>
      <c r="P3836" s="12" t="s">
        <v>137</v>
      </c>
      <c r="Q3836" s="13">
        <v>45611</v>
      </c>
      <c r="R3836" s="13">
        <v>45639</v>
      </c>
      <c r="S3836">
        <v>2024</v>
      </c>
      <c r="T3836" s="12" t="s">
        <v>4665</v>
      </c>
      <c r="U3836">
        <v>138</v>
      </c>
      <c r="V3836">
        <v>1041.4037000000001</v>
      </c>
      <c r="W3836">
        <v>3467.28</v>
      </c>
      <c r="X3836">
        <v>0</v>
      </c>
      <c r="Y3836">
        <v>0</v>
      </c>
      <c r="Z3836">
        <v>143713.71</v>
      </c>
      <c r="AA3836">
        <v>147180.99</v>
      </c>
      <c r="AB3836" s="12" t="s">
        <v>201</v>
      </c>
      <c r="AD3836">
        <v>0</v>
      </c>
      <c r="AE3836">
        <v>0</v>
      </c>
      <c r="AH3836">
        <v>138</v>
      </c>
      <c r="AI3836">
        <v>136</v>
      </c>
      <c r="AJ3836">
        <v>2</v>
      </c>
      <c r="AK3836">
        <v>1</v>
      </c>
      <c r="AL3836">
        <v>1</v>
      </c>
      <c r="AM3836">
        <v>98.55</v>
      </c>
      <c r="AN3836">
        <v>1082.2131999999999</v>
      </c>
      <c r="AO3836">
        <v>2082.81</v>
      </c>
      <c r="AP3836" s="13">
        <v>45648</v>
      </c>
      <c r="AQ3836">
        <v>9</v>
      </c>
      <c r="AR3836">
        <v>0</v>
      </c>
    </row>
    <row r="3837" spans="1:44" x14ac:dyDescent="0.35">
      <c r="A3837" s="12" t="s">
        <v>4757</v>
      </c>
      <c r="B3837" s="12" t="s">
        <v>221</v>
      </c>
      <c r="C3837" s="12" t="s">
        <v>222</v>
      </c>
      <c r="D3837" s="12" t="s">
        <v>114</v>
      </c>
      <c r="E3837" s="12" t="s">
        <v>142</v>
      </c>
      <c r="F3837">
        <v>3</v>
      </c>
      <c r="G3837">
        <v>11</v>
      </c>
      <c r="H3837">
        <v>0</v>
      </c>
      <c r="I3837" s="12" t="s">
        <v>105</v>
      </c>
      <c r="J3837" s="12" t="s">
        <v>106</v>
      </c>
      <c r="K3837" s="12" t="s">
        <v>81</v>
      </c>
      <c r="L3837" s="12" t="s">
        <v>96</v>
      </c>
      <c r="M3837">
        <v>5.01</v>
      </c>
      <c r="N3837" s="12" t="s">
        <v>70</v>
      </c>
      <c r="O3837" s="12" t="s">
        <v>71</v>
      </c>
      <c r="P3837" s="12" t="s">
        <v>72</v>
      </c>
      <c r="Q3837" s="13">
        <v>45611</v>
      </c>
      <c r="R3837" s="13">
        <v>45659</v>
      </c>
      <c r="S3837">
        <v>2024</v>
      </c>
      <c r="T3837" s="12" t="s">
        <v>4665</v>
      </c>
      <c r="U3837">
        <v>116</v>
      </c>
      <c r="V3837">
        <v>239.12260000000001</v>
      </c>
      <c r="W3837">
        <v>571.91</v>
      </c>
      <c r="X3837">
        <v>0</v>
      </c>
      <c r="Y3837">
        <v>0</v>
      </c>
      <c r="Z3837">
        <v>27738.22</v>
      </c>
      <c r="AA3837">
        <v>28310.13</v>
      </c>
      <c r="AB3837" s="12" t="s">
        <v>2818</v>
      </c>
      <c r="AC3837">
        <v>239.12260000000001</v>
      </c>
      <c r="AD3837">
        <v>1</v>
      </c>
      <c r="AE3837">
        <v>1</v>
      </c>
      <c r="AF3837">
        <v>0</v>
      </c>
      <c r="AG3837">
        <v>27738.22</v>
      </c>
      <c r="AH3837">
        <v>116</v>
      </c>
      <c r="AI3837">
        <v>113</v>
      </c>
      <c r="AJ3837">
        <v>3</v>
      </c>
      <c r="AK3837">
        <v>1</v>
      </c>
      <c r="AL3837">
        <v>1</v>
      </c>
      <c r="AM3837">
        <v>97.41</v>
      </c>
      <c r="AN3837">
        <v>250.53210000000001</v>
      </c>
      <c r="AO3837">
        <v>717.37</v>
      </c>
      <c r="AP3837" s="13">
        <v>45659</v>
      </c>
      <c r="AQ3837">
        <v>0</v>
      </c>
      <c r="AR3837">
        <v>1</v>
      </c>
    </row>
    <row r="3838" spans="1:44" x14ac:dyDescent="0.35">
      <c r="A3838" s="12" t="s">
        <v>4758</v>
      </c>
      <c r="B3838" s="12" t="s">
        <v>433</v>
      </c>
      <c r="C3838" s="12" t="s">
        <v>434</v>
      </c>
      <c r="D3838" s="12" t="s">
        <v>78</v>
      </c>
      <c r="E3838" s="12" t="s">
        <v>65</v>
      </c>
      <c r="F3838">
        <v>2</v>
      </c>
      <c r="G3838">
        <v>4</v>
      </c>
      <c r="H3838">
        <v>0</v>
      </c>
      <c r="I3838" s="12" t="s">
        <v>243</v>
      </c>
      <c r="J3838" s="12" t="s">
        <v>244</v>
      </c>
      <c r="K3838" s="12" t="s">
        <v>81</v>
      </c>
      <c r="L3838" s="12" t="s">
        <v>82</v>
      </c>
      <c r="M3838">
        <v>9.2200000000000006</v>
      </c>
      <c r="N3838" s="12" t="s">
        <v>97</v>
      </c>
      <c r="O3838" s="12" t="s">
        <v>98</v>
      </c>
      <c r="P3838" s="12" t="s">
        <v>72</v>
      </c>
      <c r="Q3838" s="13">
        <v>45611</v>
      </c>
      <c r="R3838" s="13">
        <v>45645</v>
      </c>
      <c r="S3838">
        <v>2024</v>
      </c>
      <c r="T3838" s="12" t="s">
        <v>4665</v>
      </c>
      <c r="U3838">
        <v>240</v>
      </c>
      <c r="V3838">
        <v>72.334800000000001</v>
      </c>
      <c r="W3838">
        <v>212.81</v>
      </c>
      <c r="X3838">
        <v>0</v>
      </c>
      <c r="Y3838">
        <v>0</v>
      </c>
      <c r="Z3838">
        <v>17360.349999999999</v>
      </c>
      <c r="AA3838">
        <v>17573.16</v>
      </c>
      <c r="AB3838" s="12" t="s">
        <v>3109</v>
      </c>
      <c r="AC3838">
        <v>72.334800000000001</v>
      </c>
      <c r="AD3838">
        <v>1</v>
      </c>
      <c r="AE3838">
        <v>1</v>
      </c>
      <c r="AF3838">
        <v>0</v>
      </c>
      <c r="AG3838">
        <v>17360.349999999999</v>
      </c>
      <c r="AH3838">
        <v>240</v>
      </c>
      <c r="AI3838">
        <v>238</v>
      </c>
      <c r="AJ3838">
        <v>2</v>
      </c>
      <c r="AK3838">
        <v>1</v>
      </c>
      <c r="AL3838">
        <v>1</v>
      </c>
      <c r="AM3838">
        <v>99.17</v>
      </c>
      <c r="AN3838">
        <v>73.836799999999997</v>
      </c>
      <c r="AO3838">
        <v>144.66999999999999</v>
      </c>
      <c r="AP3838" s="13">
        <v>45642</v>
      </c>
      <c r="AQ3838">
        <v>-3</v>
      </c>
      <c r="AR3838">
        <v>1</v>
      </c>
    </row>
    <row r="3839" spans="1:44" x14ac:dyDescent="0.35">
      <c r="A3839" s="12" t="s">
        <v>4759</v>
      </c>
      <c r="B3839" s="12" t="s">
        <v>62</v>
      </c>
      <c r="C3839" s="12" t="s">
        <v>63</v>
      </c>
      <c r="D3839" s="12" t="s">
        <v>64</v>
      </c>
      <c r="E3839" s="12" t="s">
        <v>65</v>
      </c>
      <c r="F3839">
        <v>1</v>
      </c>
      <c r="G3839">
        <v>2</v>
      </c>
      <c r="H3839">
        <v>1</v>
      </c>
      <c r="I3839" s="12" t="s">
        <v>66</v>
      </c>
      <c r="J3839" s="12" t="s">
        <v>67</v>
      </c>
      <c r="K3839" s="12" t="s">
        <v>68</v>
      </c>
      <c r="L3839" s="12" t="s">
        <v>69</v>
      </c>
      <c r="M3839">
        <v>17.66</v>
      </c>
      <c r="N3839" s="12" t="s">
        <v>97</v>
      </c>
      <c r="O3839" s="12" t="s">
        <v>98</v>
      </c>
      <c r="P3839" s="12" t="s">
        <v>72</v>
      </c>
      <c r="Q3839" s="13">
        <v>45614</v>
      </c>
      <c r="R3839" s="13">
        <v>45644</v>
      </c>
      <c r="S3839">
        <v>2024</v>
      </c>
      <c r="T3839" s="12" t="s">
        <v>4665</v>
      </c>
      <c r="U3839">
        <v>566</v>
      </c>
      <c r="V3839">
        <v>24.060400000000001</v>
      </c>
      <c r="W3839">
        <v>146.58000000000001</v>
      </c>
      <c r="X3839">
        <v>0</v>
      </c>
      <c r="Y3839">
        <v>0</v>
      </c>
      <c r="Z3839">
        <v>13618.19</v>
      </c>
      <c r="AA3839">
        <v>13764.77</v>
      </c>
      <c r="AB3839" s="12" t="s">
        <v>201</v>
      </c>
      <c r="AD3839">
        <v>0</v>
      </c>
      <c r="AE3839">
        <v>0</v>
      </c>
      <c r="AH3839">
        <v>566</v>
      </c>
      <c r="AI3839">
        <v>563</v>
      </c>
      <c r="AJ3839">
        <v>3</v>
      </c>
      <c r="AK3839">
        <v>1</v>
      </c>
      <c r="AL3839">
        <v>1</v>
      </c>
      <c r="AM3839">
        <v>99.47</v>
      </c>
      <c r="AN3839">
        <v>24.449000000000002</v>
      </c>
      <c r="AO3839">
        <v>72.180000000000007</v>
      </c>
      <c r="AP3839" s="13">
        <v>45649</v>
      </c>
      <c r="AQ3839">
        <v>5</v>
      </c>
      <c r="AR3839">
        <v>0</v>
      </c>
    </row>
    <row r="3840" spans="1:44" x14ac:dyDescent="0.35">
      <c r="A3840" s="12" t="s">
        <v>4760</v>
      </c>
      <c r="B3840" s="12" t="s">
        <v>909</v>
      </c>
      <c r="C3840" s="12" t="s">
        <v>910</v>
      </c>
      <c r="D3840" s="12" t="s">
        <v>269</v>
      </c>
      <c r="E3840" s="12" t="s">
        <v>65</v>
      </c>
      <c r="F3840">
        <v>3</v>
      </c>
      <c r="G3840">
        <v>4</v>
      </c>
      <c r="H3840">
        <v>0</v>
      </c>
      <c r="I3840" s="12" t="s">
        <v>199</v>
      </c>
      <c r="J3840" s="12" t="s">
        <v>200</v>
      </c>
      <c r="K3840" s="12" t="s">
        <v>68</v>
      </c>
      <c r="L3840" s="12" t="s">
        <v>96</v>
      </c>
      <c r="M3840">
        <v>9.4700000000000006</v>
      </c>
      <c r="N3840" s="12" t="s">
        <v>135</v>
      </c>
      <c r="O3840" s="12" t="s">
        <v>136</v>
      </c>
      <c r="P3840" s="12" t="s">
        <v>137</v>
      </c>
      <c r="Q3840" s="13">
        <v>45614</v>
      </c>
      <c r="R3840" s="13">
        <v>45648</v>
      </c>
      <c r="S3840">
        <v>2024</v>
      </c>
      <c r="T3840" s="12" t="s">
        <v>4665</v>
      </c>
      <c r="U3840">
        <v>111</v>
      </c>
      <c r="V3840">
        <v>105.6481</v>
      </c>
      <c r="W3840">
        <v>273.82</v>
      </c>
      <c r="X3840">
        <v>0</v>
      </c>
      <c r="Y3840">
        <v>0</v>
      </c>
      <c r="Z3840">
        <v>11726.94</v>
      </c>
      <c r="AA3840">
        <v>12000.76</v>
      </c>
      <c r="AB3840" s="12" t="s">
        <v>3479</v>
      </c>
      <c r="AC3840">
        <v>105.6481</v>
      </c>
      <c r="AD3840">
        <v>1</v>
      </c>
      <c r="AE3840">
        <v>1</v>
      </c>
      <c r="AF3840">
        <v>0</v>
      </c>
      <c r="AG3840">
        <v>11726.94</v>
      </c>
      <c r="AH3840">
        <v>111</v>
      </c>
      <c r="AI3840">
        <v>109</v>
      </c>
      <c r="AJ3840">
        <v>2</v>
      </c>
      <c r="AK3840">
        <v>1</v>
      </c>
      <c r="AL3840">
        <v>1</v>
      </c>
      <c r="AM3840">
        <v>98.2</v>
      </c>
      <c r="AN3840">
        <v>110.09869999999999</v>
      </c>
      <c r="AO3840">
        <v>211.3</v>
      </c>
      <c r="AP3840" s="13">
        <v>45645</v>
      </c>
      <c r="AQ3840">
        <v>-3</v>
      </c>
      <c r="AR3840">
        <v>1</v>
      </c>
    </row>
    <row r="3841" spans="1:44" x14ac:dyDescent="0.35">
      <c r="A3841" s="12" t="s">
        <v>4761</v>
      </c>
      <c r="B3841" s="12" t="s">
        <v>1068</v>
      </c>
      <c r="C3841" s="12" t="s">
        <v>1069</v>
      </c>
      <c r="D3841" s="12" t="s">
        <v>122</v>
      </c>
      <c r="E3841" s="12" t="s">
        <v>65</v>
      </c>
      <c r="F3841">
        <v>2</v>
      </c>
      <c r="G3841">
        <v>2</v>
      </c>
      <c r="H3841">
        <v>0</v>
      </c>
      <c r="I3841" s="12" t="s">
        <v>79</v>
      </c>
      <c r="J3841" s="12" t="s">
        <v>80</v>
      </c>
      <c r="K3841" s="12" t="s">
        <v>81</v>
      </c>
      <c r="L3841" s="12" t="s">
        <v>82</v>
      </c>
      <c r="M3841">
        <v>12.07</v>
      </c>
      <c r="N3841" s="12" t="s">
        <v>70</v>
      </c>
      <c r="O3841" s="12" t="s">
        <v>71</v>
      </c>
      <c r="P3841" s="12" t="s">
        <v>72</v>
      </c>
      <c r="Q3841" s="13">
        <v>45614</v>
      </c>
      <c r="R3841" s="13">
        <v>45646</v>
      </c>
      <c r="S3841">
        <v>2024</v>
      </c>
      <c r="T3841" s="12" t="s">
        <v>4665</v>
      </c>
      <c r="U3841">
        <v>1330</v>
      </c>
      <c r="V3841">
        <v>21.277999999999999</v>
      </c>
      <c r="W3841">
        <v>230.92</v>
      </c>
      <c r="X3841">
        <v>0</v>
      </c>
      <c r="Y3841">
        <v>0</v>
      </c>
      <c r="Z3841">
        <v>28299.74</v>
      </c>
      <c r="AA3841">
        <v>28530.66</v>
      </c>
      <c r="AB3841" s="12" t="s">
        <v>3113</v>
      </c>
      <c r="AC3841">
        <v>21.277999999999999</v>
      </c>
      <c r="AD3841">
        <v>1</v>
      </c>
      <c r="AE3841">
        <v>1</v>
      </c>
      <c r="AF3841">
        <v>0</v>
      </c>
      <c r="AG3841">
        <v>28299.74</v>
      </c>
      <c r="AH3841">
        <v>1330</v>
      </c>
      <c r="AI3841">
        <v>1319</v>
      </c>
      <c r="AJ3841">
        <v>11</v>
      </c>
      <c r="AK3841">
        <v>1</v>
      </c>
      <c r="AL3841">
        <v>1</v>
      </c>
      <c r="AM3841">
        <v>99.17</v>
      </c>
      <c r="AN3841">
        <v>21.630500000000001</v>
      </c>
      <c r="AO3841">
        <v>234.06</v>
      </c>
      <c r="AP3841" s="13">
        <v>45644</v>
      </c>
      <c r="AQ3841">
        <v>-2</v>
      </c>
      <c r="AR3841">
        <v>1</v>
      </c>
    </row>
    <row r="3842" spans="1:44" x14ac:dyDescent="0.35">
      <c r="A3842" s="12" t="s">
        <v>4762</v>
      </c>
      <c r="B3842" s="12" t="s">
        <v>249</v>
      </c>
      <c r="C3842" s="12" t="s">
        <v>250</v>
      </c>
      <c r="D3842" s="12" t="s">
        <v>64</v>
      </c>
      <c r="E3842" s="12" t="s">
        <v>65</v>
      </c>
      <c r="F3842">
        <v>2</v>
      </c>
      <c r="G3842">
        <v>3</v>
      </c>
      <c r="H3842">
        <v>0</v>
      </c>
      <c r="I3842" s="12" t="s">
        <v>251</v>
      </c>
      <c r="J3842" s="12" t="s">
        <v>252</v>
      </c>
      <c r="K3842" s="12" t="s">
        <v>133</v>
      </c>
      <c r="L3842" s="12" t="s">
        <v>69</v>
      </c>
      <c r="M3842">
        <v>34.49</v>
      </c>
      <c r="N3842" s="12" t="s">
        <v>70</v>
      </c>
      <c r="O3842" s="12" t="s">
        <v>71</v>
      </c>
      <c r="P3842" s="12" t="s">
        <v>72</v>
      </c>
      <c r="Q3842" s="13">
        <v>45614</v>
      </c>
      <c r="R3842" s="13">
        <v>45641</v>
      </c>
      <c r="S3842">
        <v>2024</v>
      </c>
      <c r="T3842" s="12" t="s">
        <v>4665</v>
      </c>
      <c r="U3842">
        <v>410</v>
      </c>
      <c r="V3842">
        <v>10.292</v>
      </c>
      <c r="W3842">
        <v>55.22</v>
      </c>
      <c r="X3842">
        <v>0</v>
      </c>
      <c r="Y3842">
        <v>0</v>
      </c>
      <c r="Z3842">
        <v>4219.72</v>
      </c>
      <c r="AA3842">
        <v>4274.9399999999996</v>
      </c>
      <c r="AB3842" s="12" t="s">
        <v>2747</v>
      </c>
      <c r="AC3842">
        <v>10.292</v>
      </c>
      <c r="AD3842">
        <v>1</v>
      </c>
      <c r="AE3842">
        <v>1</v>
      </c>
      <c r="AF3842">
        <v>0</v>
      </c>
      <c r="AG3842">
        <v>4219.72</v>
      </c>
      <c r="AH3842">
        <v>410</v>
      </c>
      <c r="AI3842">
        <v>404</v>
      </c>
      <c r="AJ3842">
        <v>6</v>
      </c>
      <c r="AK3842">
        <v>1</v>
      </c>
      <c r="AL3842">
        <v>1</v>
      </c>
      <c r="AM3842">
        <v>98.54</v>
      </c>
      <c r="AN3842">
        <v>10.5815</v>
      </c>
      <c r="AO3842">
        <v>61.75</v>
      </c>
      <c r="AP3842" s="13">
        <v>45641</v>
      </c>
      <c r="AQ3842">
        <v>0</v>
      </c>
      <c r="AR3842">
        <v>1</v>
      </c>
    </row>
    <row r="3843" spans="1:44" x14ac:dyDescent="0.35">
      <c r="A3843" s="12" t="s">
        <v>4763</v>
      </c>
      <c r="B3843" s="12" t="s">
        <v>458</v>
      </c>
      <c r="C3843" s="12" t="s">
        <v>459</v>
      </c>
      <c r="D3843" s="12" t="s">
        <v>64</v>
      </c>
      <c r="E3843" s="12" t="s">
        <v>104</v>
      </c>
      <c r="F3843">
        <v>2</v>
      </c>
      <c r="G3843">
        <v>0</v>
      </c>
      <c r="H3843">
        <v>0</v>
      </c>
      <c r="I3843" s="12" t="s">
        <v>143</v>
      </c>
      <c r="J3843" s="12" t="s">
        <v>144</v>
      </c>
      <c r="K3843" s="12" t="s">
        <v>133</v>
      </c>
      <c r="L3843" s="12" t="s">
        <v>96</v>
      </c>
      <c r="M3843">
        <v>5.43</v>
      </c>
      <c r="N3843" s="12" t="s">
        <v>97</v>
      </c>
      <c r="O3843" s="12" t="s">
        <v>98</v>
      </c>
      <c r="P3843" s="12" t="s">
        <v>72</v>
      </c>
      <c r="Q3843" s="13">
        <v>45614</v>
      </c>
      <c r="R3843" s="13">
        <v>45638</v>
      </c>
      <c r="S3843">
        <v>2024</v>
      </c>
      <c r="T3843" s="12" t="s">
        <v>4665</v>
      </c>
      <c r="U3843">
        <v>720</v>
      </c>
      <c r="V3843">
        <v>24.0579</v>
      </c>
      <c r="W3843">
        <v>137.46</v>
      </c>
      <c r="X3843">
        <v>0</v>
      </c>
      <c r="Y3843">
        <v>0</v>
      </c>
      <c r="Z3843">
        <v>17321.689999999999</v>
      </c>
      <c r="AA3843">
        <v>17459.150000000001</v>
      </c>
      <c r="AB3843" s="12" t="s">
        <v>3542</v>
      </c>
      <c r="AC3843">
        <v>24.0579</v>
      </c>
      <c r="AD3843">
        <v>1</v>
      </c>
      <c r="AE3843">
        <v>1</v>
      </c>
      <c r="AF3843">
        <v>0</v>
      </c>
      <c r="AG3843">
        <v>17321.689999999999</v>
      </c>
      <c r="AH3843">
        <v>720</v>
      </c>
      <c r="AI3843">
        <v>711</v>
      </c>
      <c r="AJ3843">
        <v>9</v>
      </c>
      <c r="AK3843">
        <v>1</v>
      </c>
      <c r="AL3843">
        <v>1</v>
      </c>
      <c r="AM3843">
        <v>98.75</v>
      </c>
      <c r="AN3843">
        <v>24.555800000000001</v>
      </c>
      <c r="AO3843">
        <v>216.52</v>
      </c>
      <c r="AP3843" s="13">
        <v>45635</v>
      </c>
      <c r="AQ3843">
        <v>-3</v>
      </c>
      <c r="AR3843">
        <v>1</v>
      </c>
    </row>
    <row r="3844" spans="1:44" x14ac:dyDescent="0.35">
      <c r="A3844" s="12" t="s">
        <v>4764</v>
      </c>
      <c r="B3844" s="12" t="s">
        <v>891</v>
      </c>
      <c r="C3844" s="12" t="s">
        <v>892</v>
      </c>
      <c r="D3844" s="12" t="s">
        <v>122</v>
      </c>
      <c r="E3844" s="12" t="s">
        <v>65</v>
      </c>
      <c r="F3844">
        <v>3</v>
      </c>
      <c r="G3844">
        <v>5</v>
      </c>
      <c r="H3844">
        <v>0</v>
      </c>
      <c r="I3844" s="12" t="s">
        <v>169</v>
      </c>
      <c r="J3844" s="12" t="s">
        <v>170</v>
      </c>
      <c r="K3844" s="12" t="s">
        <v>89</v>
      </c>
      <c r="L3844" s="12" t="s">
        <v>134</v>
      </c>
      <c r="M3844">
        <v>1.37</v>
      </c>
      <c r="N3844" s="12" t="s">
        <v>97</v>
      </c>
      <c r="O3844" s="12" t="s">
        <v>98</v>
      </c>
      <c r="P3844" s="12" t="s">
        <v>72</v>
      </c>
      <c r="Q3844" s="13">
        <v>45615</v>
      </c>
      <c r="R3844" s="13">
        <v>45648</v>
      </c>
      <c r="S3844">
        <v>2024</v>
      </c>
      <c r="T3844" s="12" t="s">
        <v>4665</v>
      </c>
      <c r="U3844">
        <v>1423</v>
      </c>
      <c r="V3844">
        <v>35.659300000000002</v>
      </c>
      <c r="W3844">
        <v>331.87</v>
      </c>
      <c r="X3844">
        <v>0</v>
      </c>
      <c r="Y3844">
        <v>0</v>
      </c>
      <c r="Z3844">
        <v>50743.18</v>
      </c>
      <c r="AA3844">
        <v>51075.05</v>
      </c>
      <c r="AB3844" s="12" t="s">
        <v>3822</v>
      </c>
      <c r="AC3844">
        <v>37.903399999999998</v>
      </c>
      <c r="AD3844">
        <v>1</v>
      </c>
      <c r="AE3844">
        <v>1</v>
      </c>
      <c r="AF3844">
        <v>-3193.35</v>
      </c>
      <c r="AG3844">
        <v>53936.54</v>
      </c>
      <c r="AH3844">
        <v>1423</v>
      </c>
      <c r="AI3844">
        <v>1419</v>
      </c>
      <c r="AJ3844">
        <v>4</v>
      </c>
      <c r="AK3844">
        <v>1</v>
      </c>
      <c r="AL3844">
        <v>1</v>
      </c>
      <c r="AM3844">
        <v>99.72</v>
      </c>
      <c r="AN3844">
        <v>35.993699999999997</v>
      </c>
      <c r="AO3844">
        <v>142.63999999999999</v>
      </c>
      <c r="AP3844" s="13">
        <v>45645</v>
      </c>
      <c r="AQ3844">
        <v>-3</v>
      </c>
      <c r="AR3844">
        <v>1</v>
      </c>
    </row>
    <row r="3845" spans="1:44" x14ac:dyDescent="0.35">
      <c r="A3845" s="12" t="s">
        <v>4765</v>
      </c>
      <c r="B3845" s="12" t="s">
        <v>163</v>
      </c>
      <c r="C3845" s="12" t="s">
        <v>164</v>
      </c>
      <c r="D3845" s="12" t="s">
        <v>64</v>
      </c>
      <c r="E3845" s="12" t="s">
        <v>104</v>
      </c>
      <c r="F3845">
        <v>2</v>
      </c>
      <c r="G3845">
        <v>0</v>
      </c>
      <c r="H3845">
        <v>0</v>
      </c>
      <c r="I3845" s="12" t="s">
        <v>79</v>
      </c>
      <c r="J3845" s="12" t="s">
        <v>80</v>
      </c>
      <c r="K3845" s="12" t="s">
        <v>81</v>
      </c>
      <c r="L3845" s="12" t="s">
        <v>82</v>
      </c>
      <c r="M3845">
        <v>12.07</v>
      </c>
      <c r="N3845" s="12" t="s">
        <v>97</v>
      </c>
      <c r="O3845" s="12" t="s">
        <v>98</v>
      </c>
      <c r="P3845" s="12" t="s">
        <v>72</v>
      </c>
      <c r="Q3845" s="13">
        <v>45615</v>
      </c>
      <c r="R3845" s="13">
        <v>45631</v>
      </c>
      <c r="S3845">
        <v>2024</v>
      </c>
      <c r="T3845" s="12" t="s">
        <v>4665</v>
      </c>
      <c r="U3845">
        <v>333</v>
      </c>
      <c r="V3845">
        <v>11.6143</v>
      </c>
      <c r="W3845">
        <v>24.73</v>
      </c>
      <c r="X3845">
        <v>0</v>
      </c>
      <c r="Y3845">
        <v>0</v>
      </c>
      <c r="Z3845">
        <v>3867.56</v>
      </c>
      <c r="AA3845">
        <v>3892.29</v>
      </c>
      <c r="AB3845" s="12" t="s">
        <v>2780</v>
      </c>
      <c r="AC3845">
        <v>11.6143</v>
      </c>
      <c r="AD3845">
        <v>1</v>
      </c>
      <c r="AE3845">
        <v>1</v>
      </c>
      <c r="AF3845">
        <v>0</v>
      </c>
      <c r="AG3845">
        <v>3867.56</v>
      </c>
      <c r="AH3845">
        <v>333</v>
      </c>
      <c r="AI3845">
        <v>328</v>
      </c>
      <c r="AJ3845">
        <v>5</v>
      </c>
      <c r="AK3845">
        <v>1</v>
      </c>
      <c r="AL3845">
        <v>1</v>
      </c>
      <c r="AM3845">
        <v>98.5</v>
      </c>
      <c r="AN3845">
        <v>11.8667</v>
      </c>
      <c r="AO3845">
        <v>58.07</v>
      </c>
      <c r="AP3845" s="13">
        <v>45628</v>
      </c>
      <c r="AQ3845">
        <v>-3</v>
      </c>
      <c r="AR3845">
        <v>1</v>
      </c>
    </row>
    <row r="3846" spans="1:44" x14ac:dyDescent="0.35">
      <c r="A3846" s="12" t="s">
        <v>4766</v>
      </c>
      <c r="B3846" s="12" t="s">
        <v>112</v>
      </c>
      <c r="C3846" s="12" t="s">
        <v>113</v>
      </c>
      <c r="D3846" s="12" t="s">
        <v>114</v>
      </c>
      <c r="E3846" s="12" t="s">
        <v>104</v>
      </c>
      <c r="F3846">
        <v>3</v>
      </c>
      <c r="G3846">
        <v>1</v>
      </c>
      <c r="H3846">
        <v>0</v>
      </c>
      <c r="I3846" s="12" t="s">
        <v>227</v>
      </c>
      <c r="J3846" s="12" t="s">
        <v>228</v>
      </c>
      <c r="K3846" s="12" t="s">
        <v>89</v>
      </c>
      <c r="L3846" s="12" t="s">
        <v>96</v>
      </c>
      <c r="M3846">
        <v>9.15</v>
      </c>
      <c r="N3846" s="12" t="s">
        <v>70</v>
      </c>
      <c r="O3846" s="12" t="s">
        <v>71</v>
      </c>
      <c r="P3846" s="12" t="s">
        <v>72</v>
      </c>
      <c r="Q3846" s="13">
        <v>45615</v>
      </c>
      <c r="R3846" s="13">
        <v>45634</v>
      </c>
      <c r="S3846">
        <v>2024</v>
      </c>
      <c r="T3846" s="12" t="s">
        <v>4665</v>
      </c>
      <c r="U3846">
        <v>66</v>
      </c>
      <c r="V3846">
        <v>255.786</v>
      </c>
      <c r="W3846">
        <v>298.99</v>
      </c>
      <c r="X3846">
        <v>0</v>
      </c>
      <c r="Y3846">
        <v>0</v>
      </c>
      <c r="Z3846">
        <v>16881.88</v>
      </c>
      <c r="AA3846">
        <v>17180.87</v>
      </c>
      <c r="AB3846" s="12" t="s">
        <v>2839</v>
      </c>
      <c r="AC3846">
        <v>255.786</v>
      </c>
      <c r="AD3846">
        <v>1</v>
      </c>
      <c r="AE3846">
        <v>1</v>
      </c>
      <c r="AF3846">
        <v>0</v>
      </c>
      <c r="AG3846">
        <v>16881.88</v>
      </c>
      <c r="AH3846">
        <v>66</v>
      </c>
      <c r="AI3846">
        <v>65</v>
      </c>
      <c r="AJ3846">
        <v>1</v>
      </c>
      <c r="AK3846">
        <v>1</v>
      </c>
      <c r="AL3846">
        <v>1</v>
      </c>
      <c r="AM3846">
        <v>98.48</v>
      </c>
      <c r="AN3846">
        <v>264.32100000000003</v>
      </c>
      <c r="AO3846">
        <v>255.79</v>
      </c>
      <c r="AP3846" s="13">
        <v>45644</v>
      </c>
      <c r="AQ3846">
        <v>10</v>
      </c>
      <c r="AR3846">
        <v>0</v>
      </c>
    </row>
    <row r="3847" spans="1:44" x14ac:dyDescent="0.35">
      <c r="A3847" s="12" t="s">
        <v>4767</v>
      </c>
      <c r="B3847" s="12" t="s">
        <v>555</v>
      </c>
      <c r="C3847" s="12" t="s">
        <v>556</v>
      </c>
      <c r="D3847" s="12" t="s">
        <v>114</v>
      </c>
      <c r="E3847" s="12" t="s">
        <v>142</v>
      </c>
      <c r="F3847">
        <v>1</v>
      </c>
      <c r="G3847">
        <v>6</v>
      </c>
      <c r="H3847">
        <v>1</v>
      </c>
      <c r="I3847" s="12" t="s">
        <v>151</v>
      </c>
      <c r="J3847" s="12" t="s">
        <v>152</v>
      </c>
      <c r="K3847" s="12" t="s">
        <v>125</v>
      </c>
      <c r="L3847" s="12" t="s">
        <v>69</v>
      </c>
      <c r="M3847">
        <v>36.479999999999997</v>
      </c>
      <c r="N3847" s="12" t="s">
        <v>70</v>
      </c>
      <c r="O3847" s="12" t="s">
        <v>71</v>
      </c>
      <c r="P3847" s="12" t="s">
        <v>72</v>
      </c>
      <c r="Q3847" s="13">
        <v>45615</v>
      </c>
      <c r="R3847" s="13">
        <v>45655</v>
      </c>
      <c r="S3847">
        <v>2024</v>
      </c>
      <c r="T3847" s="12" t="s">
        <v>4665</v>
      </c>
      <c r="U3847">
        <v>54</v>
      </c>
      <c r="V3847">
        <v>278.31920000000002</v>
      </c>
      <c r="W3847">
        <v>209.26</v>
      </c>
      <c r="X3847">
        <v>0</v>
      </c>
      <c r="Y3847">
        <v>0</v>
      </c>
      <c r="Z3847">
        <v>15029.24</v>
      </c>
      <c r="AA3847">
        <v>15238.5</v>
      </c>
      <c r="AB3847" s="12" t="s">
        <v>2922</v>
      </c>
      <c r="AC3847">
        <v>278.31920000000002</v>
      </c>
      <c r="AD3847">
        <v>1</v>
      </c>
      <c r="AE3847">
        <v>1</v>
      </c>
      <c r="AF3847">
        <v>0</v>
      </c>
      <c r="AG3847">
        <v>15029.24</v>
      </c>
      <c r="AH3847">
        <v>54</v>
      </c>
      <c r="AI3847">
        <v>53</v>
      </c>
      <c r="AJ3847">
        <v>1</v>
      </c>
      <c r="AK3847">
        <v>1</v>
      </c>
      <c r="AL3847">
        <v>1</v>
      </c>
      <c r="AM3847">
        <v>98.15</v>
      </c>
      <c r="AN3847">
        <v>287.5188</v>
      </c>
      <c r="AO3847">
        <v>278.32</v>
      </c>
      <c r="AP3847" s="13">
        <v>45652</v>
      </c>
      <c r="AQ3847">
        <v>-3</v>
      </c>
      <c r="AR3847">
        <v>1</v>
      </c>
    </row>
    <row r="3848" spans="1:44" x14ac:dyDescent="0.35">
      <c r="A3848" s="12" t="s">
        <v>4768</v>
      </c>
      <c r="B3848" s="12" t="s">
        <v>273</v>
      </c>
      <c r="C3848" s="12" t="s">
        <v>274</v>
      </c>
      <c r="D3848" s="12" t="s">
        <v>175</v>
      </c>
      <c r="E3848" s="12" t="s">
        <v>104</v>
      </c>
      <c r="F3848">
        <v>3</v>
      </c>
      <c r="G3848">
        <v>1</v>
      </c>
      <c r="H3848">
        <v>0</v>
      </c>
      <c r="I3848" s="12" t="s">
        <v>341</v>
      </c>
      <c r="J3848" s="12" t="s">
        <v>342</v>
      </c>
      <c r="K3848" s="12" t="s">
        <v>117</v>
      </c>
      <c r="L3848" s="12" t="s">
        <v>82</v>
      </c>
      <c r="M3848">
        <v>18.36</v>
      </c>
      <c r="N3848" s="12" t="s">
        <v>145</v>
      </c>
      <c r="O3848" s="12" t="s">
        <v>146</v>
      </c>
      <c r="P3848" s="12" t="s">
        <v>109</v>
      </c>
      <c r="Q3848" s="13">
        <v>45615</v>
      </c>
      <c r="R3848" s="13">
        <v>45642</v>
      </c>
      <c r="S3848">
        <v>2024</v>
      </c>
      <c r="T3848" s="12" t="s">
        <v>4665</v>
      </c>
      <c r="U3848">
        <v>127</v>
      </c>
      <c r="V3848">
        <v>104.82599999999999</v>
      </c>
      <c r="W3848">
        <v>153.65</v>
      </c>
      <c r="X3848">
        <v>0</v>
      </c>
      <c r="Y3848">
        <v>0</v>
      </c>
      <c r="Z3848">
        <v>13312.9</v>
      </c>
      <c r="AA3848">
        <v>13466.55</v>
      </c>
      <c r="AB3848" s="12" t="s">
        <v>3194</v>
      </c>
      <c r="AC3848">
        <v>104.82599999999999</v>
      </c>
      <c r="AD3848">
        <v>1</v>
      </c>
      <c r="AE3848">
        <v>1</v>
      </c>
      <c r="AF3848">
        <v>0</v>
      </c>
      <c r="AG3848">
        <v>13312.9</v>
      </c>
      <c r="AH3848">
        <v>127</v>
      </c>
      <c r="AI3848">
        <v>125</v>
      </c>
      <c r="AJ3848">
        <v>2</v>
      </c>
      <c r="AK3848">
        <v>1</v>
      </c>
      <c r="AL3848">
        <v>1</v>
      </c>
      <c r="AM3848">
        <v>98.43</v>
      </c>
      <c r="AN3848">
        <v>107.7324</v>
      </c>
      <c r="AO3848">
        <v>209.65</v>
      </c>
      <c r="AP3848" s="13">
        <v>45652</v>
      </c>
      <c r="AQ3848">
        <v>10</v>
      </c>
      <c r="AR3848">
        <v>0</v>
      </c>
    </row>
    <row r="3849" spans="1:44" x14ac:dyDescent="0.35">
      <c r="A3849" s="12" t="s">
        <v>4769</v>
      </c>
      <c r="B3849" s="12" t="s">
        <v>155</v>
      </c>
      <c r="C3849" s="12" t="s">
        <v>156</v>
      </c>
      <c r="D3849" s="12" t="s">
        <v>130</v>
      </c>
      <c r="E3849" s="12" t="s">
        <v>104</v>
      </c>
      <c r="F3849">
        <v>3</v>
      </c>
      <c r="G3849">
        <v>1</v>
      </c>
      <c r="H3849">
        <v>0</v>
      </c>
      <c r="I3849" s="12" t="s">
        <v>131</v>
      </c>
      <c r="J3849" s="12" t="s">
        <v>132</v>
      </c>
      <c r="K3849" s="12" t="s">
        <v>133</v>
      </c>
      <c r="L3849" s="12" t="s">
        <v>134</v>
      </c>
      <c r="M3849">
        <v>1.51</v>
      </c>
      <c r="N3849" s="12" t="s">
        <v>159</v>
      </c>
      <c r="O3849" s="12" t="s">
        <v>160</v>
      </c>
      <c r="P3849" s="12" t="s">
        <v>137</v>
      </c>
      <c r="Q3849" s="13">
        <v>45615</v>
      </c>
      <c r="R3849" s="13">
        <v>45644</v>
      </c>
      <c r="S3849">
        <v>2024</v>
      </c>
      <c r="T3849" s="12" t="s">
        <v>4665</v>
      </c>
      <c r="U3849">
        <v>144</v>
      </c>
      <c r="V3849">
        <v>174.95269999999999</v>
      </c>
      <c r="W3849">
        <v>424.94</v>
      </c>
      <c r="X3849">
        <v>0</v>
      </c>
      <c r="Y3849">
        <v>0</v>
      </c>
      <c r="Z3849">
        <v>25193.19</v>
      </c>
      <c r="AA3849">
        <v>25618.13</v>
      </c>
      <c r="AB3849" s="12" t="s">
        <v>3509</v>
      </c>
      <c r="AC3849">
        <v>174.95269999999999</v>
      </c>
      <c r="AD3849">
        <v>1</v>
      </c>
      <c r="AE3849">
        <v>1</v>
      </c>
      <c r="AF3849">
        <v>0</v>
      </c>
      <c r="AG3849">
        <v>25193.19</v>
      </c>
      <c r="AH3849">
        <v>144</v>
      </c>
      <c r="AI3849">
        <v>135</v>
      </c>
      <c r="AJ3849">
        <v>9</v>
      </c>
      <c r="AK3849">
        <v>1</v>
      </c>
      <c r="AL3849">
        <v>1</v>
      </c>
      <c r="AM3849">
        <v>93.75</v>
      </c>
      <c r="AN3849">
        <v>189.76390000000001</v>
      </c>
      <c r="AO3849">
        <v>1574.57</v>
      </c>
      <c r="AP3849" s="13">
        <v>45642</v>
      </c>
      <c r="AQ3849">
        <v>-2</v>
      </c>
      <c r="AR3849">
        <v>1</v>
      </c>
    </row>
    <row r="3850" spans="1:44" x14ac:dyDescent="0.35">
      <c r="A3850" s="12" t="s">
        <v>4770</v>
      </c>
      <c r="B3850" s="12" t="s">
        <v>140</v>
      </c>
      <c r="C3850" s="12" t="s">
        <v>141</v>
      </c>
      <c r="D3850" s="12" t="s">
        <v>103</v>
      </c>
      <c r="E3850" s="12" t="s">
        <v>142</v>
      </c>
      <c r="F3850">
        <v>1</v>
      </c>
      <c r="G3850">
        <v>7</v>
      </c>
      <c r="H3850">
        <v>1</v>
      </c>
      <c r="I3850" s="12" t="s">
        <v>143</v>
      </c>
      <c r="J3850" s="12" t="s">
        <v>144</v>
      </c>
      <c r="K3850" s="12" t="s">
        <v>133</v>
      </c>
      <c r="L3850" s="12" t="s">
        <v>96</v>
      </c>
      <c r="M3850">
        <v>5.43</v>
      </c>
      <c r="N3850" s="12" t="s">
        <v>107</v>
      </c>
      <c r="O3850" s="12" t="s">
        <v>108</v>
      </c>
      <c r="P3850" s="12" t="s">
        <v>109</v>
      </c>
      <c r="Q3850" s="13">
        <v>45615</v>
      </c>
      <c r="R3850" s="13">
        <v>45657</v>
      </c>
      <c r="S3850">
        <v>2024</v>
      </c>
      <c r="T3850" s="12" t="s">
        <v>4665</v>
      </c>
      <c r="U3850">
        <v>71</v>
      </c>
      <c r="V3850">
        <v>211.35810000000001</v>
      </c>
      <c r="W3850">
        <v>269.64</v>
      </c>
      <c r="X3850">
        <v>0</v>
      </c>
      <c r="Y3850">
        <v>0</v>
      </c>
      <c r="Z3850">
        <v>15006.43</v>
      </c>
      <c r="AA3850">
        <v>15276.07</v>
      </c>
      <c r="AB3850" s="12" t="s">
        <v>2815</v>
      </c>
      <c r="AC3850">
        <v>211.35810000000001</v>
      </c>
      <c r="AD3850">
        <v>1</v>
      </c>
      <c r="AE3850">
        <v>1</v>
      </c>
      <c r="AF3850">
        <v>0</v>
      </c>
      <c r="AG3850">
        <v>15006.43</v>
      </c>
      <c r="AH3850">
        <v>71</v>
      </c>
      <c r="AI3850">
        <v>70</v>
      </c>
      <c r="AJ3850">
        <v>1</v>
      </c>
      <c r="AK3850">
        <v>1</v>
      </c>
      <c r="AL3850">
        <v>1</v>
      </c>
      <c r="AM3850">
        <v>98.59</v>
      </c>
      <c r="AN3850">
        <v>218.2295</v>
      </c>
      <c r="AO3850">
        <v>211.36</v>
      </c>
      <c r="AP3850" s="13">
        <v>45657</v>
      </c>
      <c r="AQ3850">
        <v>0</v>
      </c>
      <c r="AR3850">
        <v>1</v>
      </c>
    </row>
    <row r="3851" spans="1:44" x14ac:dyDescent="0.35">
      <c r="A3851" s="12" t="s">
        <v>4771</v>
      </c>
      <c r="B3851" s="12" t="s">
        <v>736</v>
      </c>
      <c r="C3851" s="12" t="s">
        <v>737</v>
      </c>
      <c r="D3851" s="12" t="s">
        <v>64</v>
      </c>
      <c r="E3851" s="12" t="s">
        <v>104</v>
      </c>
      <c r="F3851">
        <v>3</v>
      </c>
      <c r="G3851">
        <v>1</v>
      </c>
      <c r="H3851">
        <v>0</v>
      </c>
      <c r="I3851" s="12" t="s">
        <v>94</v>
      </c>
      <c r="J3851" s="12" t="s">
        <v>95</v>
      </c>
      <c r="K3851" s="12" t="s">
        <v>81</v>
      </c>
      <c r="L3851" s="12" t="s">
        <v>96</v>
      </c>
      <c r="M3851">
        <v>4.8099999999999996</v>
      </c>
      <c r="N3851" s="12" t="s">
        <v>97</v>
      </c>
      <c r="O3851" s="12" t="s">
        <v>98</v>
      </c>
      <c r="P3851" s="12" t="s">
        <v>72</v>
      </c>
      <c r="Q3851" s="13">
        <v>45615</v>
      </c>
      <c r="R3851" s="13">
        <v>45629</v>
      </c>
      <c r="S3851">
        <v>2024</v>
      </c>
      <c r="T3851" s="12" t="s">
        <v>4665</v>
      </c>
      <c r="U3851">
        <v>243</v>
      </c>
      <c r="V3851">
        <v>22.894600000000001</v>
      </c>
      <c r="W3851">
        <v>42.51</v>
      </c>
      <c r="X3851">
        <v>0</v>
      </c>
      <c r="Y3851">
        <v>0</v>
      </c>
      <c r="Z3851">
        <v>5563.39</v>
      </c>
      <c r="AA3851">
        <v>5605.9</v>
      </c>
      <c r="AB3851" s="12" t="s">
        <v>3251</v>
      </c>
      <c r="AC3851">
        <v>22.894600000000001</v>
      </c>
      <c r="AD3851">
        <v>1</v>
      </c>
      <c r="AE3851">
        <v>1</v>
      </c>
      <c r="AF3851">
        <v>0</v>
      </c>
      <c r="AG3851">
        <v>5563.39</v>
      </c>
      <c r="AH3851">
        <v>243</v>
      </c>
      <c r="AI3851">
        <v>240</v>
      </c>
      <c r="AJ3851">
        <v>3</v>
      </c>
      <c r="AK3851">
        <v>1</v>
      </c>
      <c r="AL3851">
        <v>1</v>
      </c>
      <c r="AM3851">
        <v>98.77</v>
      </c>
      <c r="AN3851">
        <v>23.357900000000001</v>
      </c>
      <c r="AO3851">
        <v>68.680000000000007</v>
      </c>
      <c r="AP3851" s="13">
        <v>45628</v>
      </c>
      <c r="AQ3851">
        <v>-1</v>
      </c>
      <c r="AR3851">
        <v>1</v>
      </c>
    </row>
    <row r="3852" spans="1:44" x14ac:dyDescent="0.35">
      <c r="A3852" s="12" t="s">
        <v>4772</v>
      </c>
      <c r="B3852" s="12" t="s">
        <v>494</v>
      </c>
      <c r="C3852" s="12" t="s">
        <v>495</v>
      </c>
      <c r="D3852" s="12" t="s">
        <v>175</v>
      </c>
      <c r="E3852" s="12" t="s">
        <v>65</v>
      </c>
      <c r="F3852">
        <v>2</v>
      </c>
      <c r="G3852">
        <v>3</v>
      </c>
      <c r="H3852">
        <v>0</v>
      </c>
      <c r="I3852" s="12" t="s">
        <v>515</v>
      </c>
      <c r="J3852" s="12" t="s">
        <v>516</v>
      </c>
      <c r="K3852" s="12" t="s">
        <v>68</v>
      </c>
      <c r="L3852" s="12" t="s">
        <v>134</v>
      </c>
      <c r="M3852">
        <v>3.69</v>
      </c>
      <c r="N3852" s="12" t="s">
        <v>107</v>
      </c>
      <c r="O3852" s="12" t="s">
        <v>108</v>
      </c>
      <c r="P3852" s="12" t="s">
        <v>109</v>
      </c>
      <c r="Q3852" s="13">
        <v>45615</v>
      </c>
      <c r="R3852" s="13">
        <v>45649</v>
      </c>
      <c r="S3852">
        <v>2024</v>
      </c>
      <c r="T3852" s="12" t="s">
        <v>4665</v>
      </c>
      <c r="U3852">
        <v>114</v>
      </c>
      <c r="V3852">
        <v>157.60329999999999</v>
      </c>
      <c r="W3852">
        <v>382.97</v>
      </c>
      <c r="X3852">
        <v>0</v>
      </c>
      <c r="Y3852">
        <v>0</v>
      </c>
      <c r="Z3852">
        <v>17966.78</v>
      </c>
      <c r="AA3852">
        <v>18349.75</v>
      </c>
      <c r="AB3852" s="12" t="s">
        <v>2807</v>
      </c>
      <c r="AC3852">
        <v>157.60329999999999</v>
      </c>
      <c r="AD3852">
        <v>1</v>
      </c>
      <c r="AE3852">
        <v>1</v>
      </c>
      <c r="AF3852">
        <v>0</v>
      </c>
      <c r="AG3852">
        <v>17966.78</v>
      </c>
      <c r="AH3852">
        <v>114</v>
      </c>
      <c r="AI3852">
        <v>112</v>
      </c>
      <c r="AJ3852">
        <v>2</v>
      </c>
      <c r="AK3852">
        <v>1</v>
      </c>
      <c r="AL3852">
        <v>1</v>
      </c>
      <c r="AM3852">
        <v>98.25</v>
      </c>
      <c r="AN3852">
        <v>163.83699999999999</v>
      </c>
      <c r="AO3852">
        <v>315.20999999999998</v>
      </c>
      <c r="AP3852" s="13">
        <v>45652</v>
      </c>
      <c r="AQ3852">
        <v>3</v>
      </c>
      <c r="AR3852">
        <v>0</v>
      </c>
    </row>
    <row r="3853" spans="1:44" x14ac:dyDescent="0.35">
      <c r="A3853" s="12" t="s">
        <v>4773</v>
      </c>
      <c r="B3853" s="12" t="s">
        <v>972</v>
      </c>
      <c r="C3853" s="12" t="s">
        <v>973</v>
      </c>
      <c r="D3853" s="12" t="s">
        <v>130</v>
      </c>
      <c r="E3853" s="12" t="s">
        <v>142</v>
      </c>
      <c r="F3853">
        <v>2</v>
      </c>
      <c r="G3853">
        <v>9</v>
      </c>
      <c r="H3853">
        <v>0</v>
      </c>
      <c r="I3853" s="12" t="s">
        <v>676</v>
      </c>
      <c r="J3853" s="12" t="s">
        <v>677</v>
      </c>
      <c r="K3853" s="12" t="s">
        <v>68</v>
      </c>
      <c r="L3853" s="12" t="s">
        <v>96</v>
      </c>
      <c r="M3853">
        <v>3.57</v>
      </c>
      <c r="N3853" s="12" t="s">
        <v>159</v>
      </c>
      <c r="O3853" s="12" t="s">
        <v>160</v>
      </c>
      <c r="P3853" s="12" t="s">
        <v>137</v>
      </c>
      <c r="Q3853" s="13">
        <v>45615</v>
      </c>
      <c r="R3853" s="13">
        <v>45650</v>
      </c>
      <c r="S3853">
        <v>2024</v>
      </c>
      <c r="T3853" s="12" t="s">
        <v>4665</v>
      </c>
      <c r="U3853">
        <v>10</v>
      </c>
      <c r="V3853">
        <v>841.25639999999999</v>
      </c>
      <c r="W3853">
        <v>158.88999999999999</v>
      </c>
      <c r="X3853">
        <v>0</v>
      </c>
      <c r="Y3853">
        <v>0</v>
      </c>
      <c r="Z3853">
        <v>8412.56</v>
      </c>
      <c r="AA3853">
        <v>8571.4500000000007</v>
      </c>
      <c r="AB3853" s="12" t="s">
        <v>3546</v>
      </c>
      <c r="AC3853">
        <v>841.25639999999999</v>
      </c>
      <c r="AD3853">
        <v>1</v>
      </c>
      <c r="AE3853">
        <v>1</v>
      </c>
      <c r="AF3853">
        <v>0</v>
      </c>
      <c r="AG3853">
        <v>8412.56</v>
      </c>
      <c r="AH3853">
        <v>10</v>
      </c>
      <c r="AI3853">
        <v>10</v>
      </c>
      <c r="AJ3853">
        <v>0</v>
      </c>
      <c r="AK3853">
        <v>1</v>
      </c>
      <c r="AL3853">
        <v>1</v>
      </c>
      <c r="AM3853">
        <v>100</v>
      </c>
      <c r="AN3853">
        <v>857.1454</v>
      </c>
      <c r="AO3853">
        <v>0</v>
      </c>
      <c r="AP3853" s="13">
        <v>45649</v>
      </c>
      <c r="AQ3853">
        <v>-1</v>
      </c>
      <c r="AR3853">
        <v>1</v>
      </c>
    </row>
    <row r="3854" spans="1:44" x14ac:dyDescent="0.35">
      <c r="A3854" s="12" t="s">
        <v>4774</v>
      </c>
      <c r="B3854" s="12" t="s">
        <v>837</v>
      </c>
      <c r="C3854" s="12" t="s">
        <v>838</v>
      </c>
      <c r="D3854" s="12" t="s">
        <v>114</v>
      </c>
      <c r="E3854" s="12" t="s">
        <v>104</v>
      </c>
      <c r="F3854">
        <v>2</v>
      </c>
      <c r="G3854">
        <v>0</v>
      </c>
      <c r="H3854">
        <v>0</v>
      </c>
      <c r="I3854" s="12" t="s">
        <v>199</v>
      </c>
      <c r="J3854" s="12" t="s">
        <v>200</v>
      </c>
      <c r="K3854" s="12" t="s">
        <v>68</v>
      </c>
      <c r="L3854" s="12" t="s">
        <v>96</v>
      </c>
      <c r="M3854">
        <v>9.4700000000000006</v>
      </c>
      <c r="N3854" s="12" t="s">
        <v>97</v>
      </c>
      <c r="O3854" s="12" t="s">
        <v>98</v>
      </c>
      <c r="P3854" s="12" t="s">
        <v>72</v>
      </c>
      <c r="Q3854" s="13">
        <v>45616</v>
      </c>
      <c r="R3854" s="13">
        <v>45638</v>
      </c>
      <c r="S3854">
        <v>2024</v>
      </c>
      <c r="T3854" s="12" t="s">
        <v>4665</v>
      </c>
      <c r="U3854">
        <v>92</v>
      </c>
      <c r="V3854">
        <v>64.822699999999998</v>
      </c>
      <c r="W3854">
        <v>49</v>
      </c>
      <c r="X3854">
        <v>0</v>
      </c>
      <c r="Y3854">
        <v>0</v>
      </c>
      <c r="Z3854">
        <v>5963.69</v>
      </c>
      <c r="AA3854">
        <v>6012.69</v>
      </c>
      <c r="AB3854" s="12" t="s">
        <v>3432</v>
      </c>
      <c r="AC3854">
        <v>68.916300000000007</v>
      </c>
      <c r="AD3854">
        <v>1</v>
      </c>
      <c r="AE3854">
        <v>1</v>
      </c>
      <c r="AF3854">
        <v>-376.61</v>
      </c>
      <c r="AG3854">
        <v>6340.3</v>
      </c>
      <c r="AH3854">
        <v>92</v>
      </c>
      <c r="AI3854">
        <v>91</v>
      </c>
      <c r="AJ3854">
        <v>1</v>
      </c>
      <c r="AK3854">
        <v>1</v>
      </c>
      <c r="AL3854">
        <v>1</v>
      </c>
      <c r="AM3854">
        <v>98.91</v>
      </c>
      <c r="AN3854">
        <v>66.073499999999996</v>
      </c>
      <c r="AO3854">
        <v>64.819999999999993</v>
      </c>
      <c r="AP3854" s="13">
        <v>45634</v>
      </c>
      <c r="AQ3854">
        <v>-4</v>
      </c>
      <c r="AR3854">
        <v>1</v>
      </c>
    </row>
    <row r="3855" spans="1:44" x14ac:dyDescent="0.35">
      <c r="A3855" s="12" t="s">
        <v>4775</v>
      </c>
      <c r="B3855" s="12" t="s">
        <v>548</v>
      </c>
      <c r="C3855" s="12" t="s">
        <v>549</v>
      </c>
      <c r="D3855" s="12" t="s">
        <v>78</v>
      </c>
      <c r="E3855" s="12" t="s">
        <v>104</v>
      </c>
      <c r="F3855">
        <v>3</v>
      </c>
      <c r="G3855">
        <v>1</v>
      </c>
      <c r="H3855">
        <v>0</v>
      </c>
      <c r="I3855" s="12" t="s">
        <v>223</v>
      </c>
      <c r="J3855" s="12" t="s">
        <v>224</v>
      </c>
      <c r="K3855" s="12" t="s">
        <v>81</v>
      </c>
      <c r="L3855" s="12" t="s">
        <v>134</v>
      </c>
      <c r="M3855">
        <v>2.4900000000000002</v>
      </c>
      <c r="N3855" s="12" t="s">
        <v>70</v>
      </c>
      <c r="O3855" s="12" t="s">
        <v>71</v>
      </c>
      <c r="P3855" s="12" t="s">
        <v>72</v>
      </c>
      <c r="Q3855" s="13">
        <v>45616</v>
      </c>
      <c r="R3855" s="13">
        <v>45630</v>
      </c>
      <c r="S3855">
        <v>2024</v>
      </c>
      <c r="T3855" s="12" t="s">
        <v>4665</v>
      </c>
      <c r="U3855">
        <v>72</v>
      </c>
      <c r="V3855">
        <v>59.346200000000003</v>
      </c>
      <c r="W3855">
        <v>53.84</v>
      </c>
      <c r="X3855">
        <v>0</v>
      </c>
      <c r="Y3855">
        <v>0</v>
      </c>
      <c r="Z3855">
        <v>4272.93</v>
      </c>
      <c r="AA3855">
        <v>4326.7700000000004</v>
      </c>
      <c r="AB3855" s="12" t="s">
        <v>3127</v>
      </c>
      <c r="AC3855">
        <v>59.346200000000003</v>
      </c>
      <c r="AD3855">
        <v>1</v>
      </c>
      <c r="AE3855">
        <v>1</v>
      </c>
      <c r="AF3855">
        <v>0</v>
      </c>
      <c r="AG3855">
        <v>4272.93</v>
      </c>
      <c r="AH3855">
        <v>72</v>
      </c>
      <c r="AI3855">
        <v>71</v>
      </c>
      <c r="AJ3855">
        <v>1</v>
      </c>
      <c r="AK3855">
        <v>1</v>
      </c>
      <c r="AL3855">
        <v>1</v>
      </c>
      <c r="AM3855">
        <v>98.61</v>
      </c>
      <c r="AN3855">
        <v>60.940399999999997</v>
      </c>
      <c r="AO3855">
        <v>59.35</v>
      </c>
      <c r="AP3855" s="13">
        <v>45636</v>
      </c>
      <c r="AQ3855">
        <v>6</v>
      </c>
      <c r="AR3855">
        <v>0</v>
      </c>
    </row>
    <row r="3856" spans="1:44" x14ac:dyDescent="0.35">
      <c r="A3856" s="12" t="s">
        <v>4776</v>
      </c>
      <c r="B3856" s="12" t="s">
        <v>1068</v>
      </c>
      <c r="C3856" s="12" t="s">
        <v>1069</v>
      </c>
      <c r="D3856" s="12" t="s">
        <v>122</v>
      </c>
      <c r="E3856" s="12" t="s">
        <v>65</v>
      </c>
      <c r="F3856">
        <v>2</v>
      </c>
      <c r="G3856">
        <v>2</v>
      </c>
      <c r="H3856">
        <v>0</v>
      </c>
      <c r="I3856" s="12" t="s">
        <v>79</v>
      </c>
      <c r="J3856" s="12" t="s">
        <v>80</v>
      </c>
      <c r="K3856" s="12" t="s">
        <v>81</v>
      </c>
      <c r="L3856" s="12" t="s">
        <v>82</v>
      </c>
      <c r="M3856">
        <v>12.07</v>
      </c>
      <c r="N3856" s="12" t="s">
        <v>70</v>
      </c>
      <c r="O3856" s="12" t="s">
        <v>71</v>
      </c>
      <c r="P3856" s="12" t="s">
        <v>72</v>
      </c>
      <c r="Q3856" s="13">
        <v>45616</v>
      </c>
      <c r="R3856" s="13">
        <v>45654</v>
      </c>
      <c r="S3856">
        <v>2024</v>
      </c>
      <c r="T3856" s="12" t="s">
        <v>4665</v>
      </c>
      <c r="U3856">
        <v>1947</v>
      </c>
      <c r="V3856">
        <v>21.277999999999999</v>
      </c>
      <c r="W3856">
        <v>491.23</v>
      </c>
      <c r="X3856">
        <v>0</v>
      </c>
      <c r="Y3856">
        <v>0</v>
      </c>
      <c r="Z3856">
        <v>41428.269999999997</v>
      </c>
      <c r="AA3856">
        <v>41919.5</v>
      </c>
      <c r="AB3856" s="12" t="s">
        <v>3113</v>
      </c>
      <c r="AC3856">
        <v>21.277999999999999</v>
      </c>
      <c r="AD3856">
        <v>1</v>
      </c>
      <c r="AE3856">
        <v>1</v>
      </c>
      <c r="AF3856">
        <v>0</v>
      </c>
      <c r="AG3856">
        <v>41428.269999999997</v>
      </c>
      <c r="AH3856">
        <v>1947</v>
      </c>
      <c r="AI3856">
        <v>1928</v>
      </c>
      <c r="AJ3856">
        <v>19</v>
      </c>
      <c r="AK3856">
        <v>1</v>
      </c>
      <c r="AL3856">
        <v>1</v>
      </c>
      <c r="AM3856">
        <v>99.02</v>
      </c>
      <c r="AN3856">
        <v>21.7425</v>
      </c>
      <c r="AO3856">
        <v>404.28</v>
      </c>
      <c r="AP3856" s="13">
        <v>45654</v>
      </c>
      <c r="AQ3856">
        <v>0</v>
      </c>
      <c r="AR3856">
        <v>1</v>
      </c>
    </row>
    <row r="3857" spans="1:44" x14ac:dyDescent="0.35">
      <c r="A3857" s="12" t="s">
        <v>4777</v>
      </c>
      <c r="B3857" s="12" t="s">
        <v>736</v>
      </c>
      <c r="C3857" s="12" t="s">
        <v>737</v>
      </c>
      <c r="D3857" s="12" t="s">
        <v>64</v>
      </c>
      <c r="E3857" s="12" t="s">
        <v>104</v>
      </c>
      <c r="F3857">
        <v>3</v>
      </c>
      <c r="G3857">
        <v>1</v>
      </c>
      <c r="H3857">
        <v>0</v>
      </c>
      <c r="I3857" s="12" t="s">
        <v>94</v>
      </c>
      <c r="J3857" s="12" t="s">
        <v>95</v>
      </c>
      <c r="K3857" s="12" t="s">
        <v>81</v>
      </c>
      <c r="L3857" s="12" t="s">
        <v>96</v>
      </c>
      <c r="M3857">
        <v>4.8099999999999996</v>
      </c>
      <c r="N3857" s="12" t="s">
        <v>70</v>
      </c>
      <c r="O3857" s="12" t="s">
        <v>71</v>
      </c>
      <c r="P3857" s="12" t="s">
        <v>72</v>
      </c>
      <c r="Q3857" s="13">
        <v>45616</v>
      </c>
      <c r="R3857" s="13">
        <v>45628</v>
      </c>
      <c r="S3857">
        <v>2024</v>
      </c>
      <c r="T3857" s="12" t="s">
        <v>4665</v>
      </c>
      <c r="U3857">
        <v>128</v>
      </c>
      <c r="V3857">
        <v>22.894600000000001</v>
      </c>
      <c r="W3857">
        <v>18.96</v>
      </c>
      <c r="X3857">
        <v>0</v>
      </c>
      <c r="Y3857">
        <v>0</v>
      </c>
      <c r="Z3857">
        <v>2930.51</v>
      </c>
      <c r="AA3857">
        <v>2949.47</v>
      </c>
      <c r="AB3857" s="12" t="s">
        <v>3251</v>
      </c>
      <c r="AC3857">
        <v>22.894600000000001</v>
      </c>
      <c r="AD3857">
        <v>1</v>
      </c>
      <c r="AE3857">
        <v>1</v>
      </c>
      <c r="AF3857">
        <v>0</v>
      </c>
      <c r="AG3857">
        <v>2930.51</v>
      </c>
      <c r="AH3857">
        <v>128</v>
      </c>
      <c r="AI3857">
        <v>127</v>
      </c>
      <c r="AJ3857">
        <v>1</v>
      </c>
      <c r="AK3857">
        <v>1</v>
      </c>
      <c r="AL3857">
        <v>1</v>
      </c>
      <c r="AM3857">
        <v>99.22</v>
      </c>
      <c r="AN3857">
        <v>23.2242</v>
      </c>
      <c r="AO3857">
        <v>22.89</v>
      </c>
      <c r="AP3857" s="13">
        <v>45636</v>
      </c>
      <c r="AQ3857">
        <v>8</v>
      </c>
      <c r="AR3857">
        <v>0</v>
      </c>
    </row>
    <row r="3858" spans="1:44" x14ac:dyDescent="0.35">
      <c r="A3858" s="12" t="s">
        <v>4778</v>
      </c>
      <c r="B3858" s="12" t="s">
        <v>787</v>
      </c>
      <c r="C3858" s="12" t="s">
        <v>788</v>
      </c>
      <c r="D3858" s="12" t="s">
        <v>269</v>
      </c>
      <c r="E3858" s="12" t="s">
        <v>65</v>
      </c>
      <c r="F3858">
        <v>2</v>
      </c>
      <c r="G3858">
        <v>3</v>
      </c>
      <c r="H3858">
        <v>0</v>
      </c>
      <c r="I3858" s="12" t="s">
        <v>143</v>
      </c>
      <c r="J3858" s="12" t="s">
        <v>144</v>
      </c>
      <c r="K3858" s="12" t="s">
        <v>133</v>
      </c>
      <c r="L3858" s="12" t="s">
        <v>96</v>
      </c>
      <c r="M3858">
        <v>5.43</v>
      </c>
      <c r="N3858" s="12" t="s">
        <v>135</v>
      </c>
      <c r="O3858" s="12" t="s">
        <v>136</v>
      </c>
      <c r="P3858" s="12" t="s">
        <v>137</v>
      </c>
      <c r="Q3858" s="13">
        <v>45616</v>
      </c>
      <c r="R3858" s="13">
        <v>45644</v>
      </c>
      <c r="S3858">
        <v>2024</v>
      </c>
      <c r="T3858" s="12" t="s">
        <v>4665</v>
      </c>
      <c r="U3858">
        <v>70</v>
      </c>
      <c r="V3858">
        <v>342.88099999999997</v>
      </c>
      <c r="W3858">
        <v>598.66</v>
      </c>
      <c r="X3858">
        <v>0</v>
      </c>
      <c r="Y3858">
        <v>0</v>
      </c>
      <c r="Z3858">
        <v>24001.67</v>
      </c>
      <c r="AA3858">
        <v>24600.33</v>
      </c>
      <c r="AB3858" s="12" t="s">
        <v>3813</v>
      </c>
      <c r="AC3858">
        <v>342.88099999999997</v>
      </c>
      <c r="AD3858">
        <v>1</v>
      </c>
      <c r="AE3858">
        <v>1</v>
      </c>
      <c r="AF3858">
        <v>0</v>
      </c>
      <c r="AG3858">
        <v>24001.67</v>
      </c>
      <c r="AH3858">
        <v>70</v>
      </c>
      <c r="AI3858">
        <v>69</v>
      </c>
      <c r="AJ3858">
        <v>1</v>
      </c>
      <c r="AK3858">
        <v>1</v>
      </c>
      <c r="AL3858">
        <v>1</v>
      </c>
      <c r="AM3858">
        <v>98.57</v>
      </c>
      <c r="AN3858">
        <v>356.5265</v>
      </c>
      <c r="AO3858">
        <v>342.88</v>
      </c>
      <c r="AP3858" s="13">
        <v>45652</v>
      </c>
      <c r="AQ3858">
        <v>8</v>
      </c>
      <c r="AR3858">
        <v>0</v>
      </c>
    </row>
    <row r="3859" spans="1:44" x14ac:dyDescent="0.35">
      <c r="A3859" s="12" t="s">
        <v>4779</v>
      </c>
      <c r="B3859" s="12" t="s">
        <v>1433</v>
      </c>
      <c r="C3859" s="12" t="s">
        <v>1434</v>
      </c>
      <c r="D3859" s="12" t="s">
        <v>269</v>
      </c>
      <c r="E3859" s="12" t="s">
        <v>65</v>
      </c>
      <c r="F3859">
        <v>3</v>
      </c>
      <c r="G3859">
        <v>5</v>
      </c>
      <c r="H3859">
        <v>0</v>
      </c>
      <c r="I3859" s="12" t="s">
        <v>223</v>
      </c>
      <c r="J3859" s="12" t="s">
        <v>224</v>
      </c>
      <c r="K3859" s="12" t="s">
        <v>81</v>
      </c>
      <c r="L3859" s="12" t="s">
        <v>134</v>
      </c>
      <c r="M3859">
        <v>2.4900000000000002</v>
      </c>
      <c r="N3859" s="12" t="s">
        <v>159</v>
      </c>
      <c r="O3859" s="12" t="s">
        <v>160</v>
      </c>
      <c r="P3859" s="12" t="s">
        <v>137</v>
      </c>
      <c r="Q3859" s="13">
        <v>45616</v>
      </c>
      <c r="R3859" s="13">
        <v>45653</v>
      </c>
      <c r="S3859">
        <v>2024</v>
      </c>
      <c r="T3859" s="12" t="s">
        <v>4665</v>
      </c>
      <c r="U3859">
        <v>140</v>
      </c>
      <c r="V3859">
        <v>484.43360000000001</v>
      </c>
      <c r="W3859">
        <v>1541.37</v>
      </c>
      <c r="X3859">
        <v>0</v>
      </c>
      <c r="Y3859">
        <v>0</v>
      </c>
      <c r="Z3859">
        <v>67820.7</v>
      </c>
      <c r="AA3859">
        <v>69362.070000000007</v>
      </c>
      <c r="AB3859" s="12" t="s">
        <v>201</v>
      </c>
      <c r="AD3859">
        <v>0</v>
      </c>
      <c r="AE3859">
        <v>0</v>
      </c>
      <c r="AH3859">
        <v>140</v>
      </c>
      <c r="AI3859">
        <v>140</v>
      </c>
      <c r="AJ3859">
        <v>0</v>
      </c>
      <c r="AK3859">
        <v>1</v>
      </c>
      <c r="AL3859">
        <v>1</v>
      </c>
      <c r="AM3859">
        <v>100</v>
      </c>
      <c r="AN3859">
        <v>495.4434</v>
      </c>
      <c r="AO3859">
        <v>0</v>
      </c>
      <c r="AP3859" s="13">
        <v>45651</v>
      </c>
      <c r="AQ3859">
        <v>-2</v>
      </c>
      <c r="AR3859">
        <v>1</v>
      </c>
    </row>
    <row r="3860" spans="1:44" x14ac:dyDescent="0.35">
      <c r="A3860" s="12" t="s">
        <v>4780</v>
      </c>
      <c r="B3860" s="12" t="s">
        <v>802</v>
      </c>
      <c r="C3860" s="12" t="s">
        <v>803</v>
      </c>
      <c r="D3860" s="12" t="s">
        <v>114</v>
      </c>
      <c r="E3860" s="12" t="s">
        <v>65</v>
      </c>
      <c r="F3860">
        <v>3</v>
      </c>
      <c r="G3860">
        <v>5</v>
      </c>
      <c r="H3860">
        <v>0</v>
      </c>
      <c r="I3860" s="12" t="s">
        <v>87</v>
      </c>
      <c r="J3860" s="12" t="s">
        <v>88</v>
      </c>
      <c r="K3860" s="12" t="s">
        <v>89</v>
      </c>
      <c r="L3860" s="12" t="s">
        <v>69</v>
      </c>
      <c r="M3860">
        <v>14.93</v>
      </c>
      <c r="N3860" s="12" t="s">
        <v>97</v>
      </c>
      <c r="O3860" s="12" t="s">
        <v>98</v>
      </c>
      <c r="P3860" s="12" t="s">
        <v>72</v>
      </c>
      <c r="Q3860" s="13">
        <v>45617</v>
      </c>
      <c r="R3860" s="13">
        <v>45640</v>
      </c>
      <c r="S3860">
        <v>2024</v>
      </c>
      <c r="T3860" s="12" t="s">
        <v>4665</v>
      </c>
      <c r="U3860">
        <v>27</v>
      </c>
      <c r="V3860">
        <v>359.245</v>
      </c>
      <c r="W3860">
        <v>179.21</v>
      </c>
      <c r="X3860">
        <v>0</v>
      </c>
      <c r="Y3860">
        <v>0</v>
      </c>
      <c r="Z3860">
        <v>9699.6200000000008</v>
      </c>
      <c r="AA3860">
        <v>9878.83</v>
      </c>
      <c r="AB3860" s="12" t="s">
        <v>4137</v>
      </c>
      <c r="AC3860">
        <v>340.10039999999998</v>
      </c>
      <c r="AD3860">
        <v>1</v>
      </c>
      <c r="AE3860">
        <v>1</v>
      </c>
      <c r="AF3860">
        <v>516.9</v>
      </c>
      <c r="AG3860">
        <v>9182.7099999999991</v>
      </c>
      <c r="AH3860">
        <v>27</v>
      </c>
      <c r="AI3860">
        <v>27</v>
      </c>
      <c r="AJ3860">
        <v>0</v>
      </c>
      <c r="AK3860">
        <v>1</v>
      </c>
      <c r="AL3860">
        <v>1</v>
      </c>
      <c r="AM3860">
        <v>100</v>
      </c>
      <c r="AN3860">
        <v>365.88240000000002</v>
      </c>
      <c r="AO3860">
        <v>0</v>
      </c>
      <c r="AP3860" s="13">
        <v>45650</v>
      </c>
      <c r="AQ3860">
        <v>10</v>
      </c>
      <c r="AR3860">
        <v>0</v>
      </c>
    </row>
    <row r="3861" spans="1:44" x14ac:dyDescent="0.35">
      <c r="A3861" s="12" t="s">
        <v>4781</v>
      </c>
      <c r="B3861" s="12" t="s">
        <v>766</v>
      </c>
      <c r="C3861" s="12" t="s">
        <v>767</v>
      </c>
      <c r="D3861" s="12" t="s">
        <v>175</v>
      </c>
      <c r="E3861" s="12" t="s">
        <v>65</v>
      </c>
      <c r="F3861">
        <v>3</v>
      </c>
      <c r="G3861">
        <v>5</v>
      </c>
      <c r="H3861">
        <v>0</v>
      </c>
      <c r="I3861" s="12" t="s">
        <v>87</v>
      </c>
      <c r="J3861" s="12" t="s">
        <v>88</v>
      </c>
      <c r="K3861" s="12" t="s">
        <v>89</v>
      </c>
      <c r="L3861" s="12" t="s">
        <v>69</v>
      </c>
      <c r="M3861">
        <v>14.93</v>
      </c>
      <c r="N3861" s="12" t="s">
        <v>107</v>
      </c>
      <c r="O3861" s="12" t="s">
        <v>108</v>
      </c>
      <c r="P3861" s="12" t="s">
        <v>109</v>
      </c>
      <c r="Q3861" s="13">
        <v>45617</v>
      </c>
      <c r="R3861" s="13">
        <v>45651</v>
      </c>
      <c r="S3861">
        <v>2024</v>
      </c>
      <c r="T3861" s="12" t="s">
        <v>4665</v>
      </c>
      <c r="U3861">
        <v>113</v>
      </c>
      <c r="V3861">
        <v>81.825500000000005</v>
      </c>
      <c r="W3861">
        <v>171.26</v>
      </c>
      <c r="X3861">
        <v>0</v>
      </c>
      <c r="Y3861">
        <v>0</v>
      </c>
      <c r="Z3861">
        <v>9246.2800000000007</v>
      </c>
      <c r="AA3861">
        <v>9417.5400000000009</v>
      </c>
      <c r="AB3861" s="12" t="s">
        <v>3225</v>
      </c>
      <c r="AC3861">
        <v>81.825500000000005</v>
      </c>
      <c r="AD3861">
        <v>1</v>
      </c>
      <c r="AE3861">
        <v>1</v>
      </c>
      <c r="AF3861">
        <v>0</v>
      </c>
      <c r="AG3861">
        <v>9246.2800000000007</v>
      </c>
      <c r="AH3861">
        <v>113</v>
      </c>
      <c r="AI3861">
        <v>112</v>
      </c>
      <c r="AJ3861">
        <v>1</v>
      </c>
      <c r="AK3861">
        <v>1</v>
      </c>
      <c r="AL3861">
        <v>1</v>
      </c>
      <c r="AM3861">
        <v>99.12</v>
      </c>
      <c r="AN3861">
        <v>84.0852</v>
      </c>
      <c r="AO3861">
        <v>81.83</v>
      </c>
      <c r="AP3861" s="13">
        <v>45651</v>
      </c>
      <c r="AQ3861">
        <v>0</v>
      </c>
      <c r="AR3861">
        <v>1</v>
      </c>
    </row>
    <row r="3862" spans="1:44" x14ac:dyDescent="0.35">
      <c r="A3862" s="12" t="s">
        <v>4782</v>
      </c>
      <c r="B3862" s="12" t="s">
        <v>120</v>
      </c>
      <c r="C3862" s="12" t="s">
        <v>121</v>
      </c>
      <c r="D3862" s="12" t="s">
        <v>122</v>
      </c>
      <c r="E3862" s="12" t="s">
        <v>65</v>
      </c>
      <c r="F3862">
        <v>3</v>
      </c>
      <c r="G3862">
        <v>4</v>
      </c>
      <c r="H3862">
        <v>0</v>
      </c>
      <c r="I3862" s="12" t="s">
        <v>123</v>
      </c>
      <c r="J3862" s="12" t="s">
        <v>124</v>
      </c>
      <c r="K3862" s="12" t="s">
        <v>125</v>
      </c>
      <c r="L3862" s="12" t="s">
        <v>82</v>
      </c>
      <c r="M3862">
        <v>6.75</v>
      </c>
      <c r="N3862" s="12" t="s">
        <v>70</v>
      </c>
      <c r="O3862" s="12" t="s">
        <v>71</v>
      </c>
      <c r="P3862" s="12" t="s">
        <v>72</v>
      </c>
      <c r="Q3862" s="13">
        <v>45617</v>
      </c>
      <c r="R3862" s="13">
        <v>45654</v>
      </c>
      <c r="S3862">
        <v>2024</v>
      </c>
      <c r="T3862" s="12" t="s">
        <v>4665</v>
      </c>
      <c r="U3862">
        <v>1838</v>
      </c>
      <c r="V3862">
        <v>53.214500000000001</v>
      </c>
      <c r="W3862">
        <v>941.39</v>
      </c>
      <c r="X3862">
        <v>0</v>
      </c>
      <c r="Y3862">
        <v>0</v>
      </c>
      <c r="Z3862">
        <v>97808.25</v>
      </c>
      <c r="AA3862">
        <v>98749.64</v>
      </c>
      <c r="AB3862" s="12" t="s">
        <v>2728</v>
      </c>
      <c r="AC3862">
        <v>53.214500000000001</v>
      </c>
      <c r="AD3862">
        <v>1</v>
      </c>
      <c r="AE3862">
        <v>1</v>
      </c>
      <c r="AF3862">
        <v>0</v>
      </c>
      <c r="AG3862">
        <v>97808.25</v>
      </c>
      <c r="AH3862">
        <v>1838</v>
      </c>
      <c r="AI3862">
        <v>1819</v>
      </c>
      <c r="AJ3862">
        <v>19</v>
      </c>
      <c r="AK3862">
        <v>1</v>
      </c>
      <c r="AL3862">
        <v>1</v>
      </c>
      <c r="AM3862">
        <v>98.97</v>
      </c>
      <c r="AN3862">
        <v>54.2879</v>
      </c>
      <c r="AO3862">
        <v>1011.08</v>
      </c>
      <c r="AP3862" s="13">
        <v>45654</v>
      </c>
      <c r="AQ3862">
        <v>0</v>
      </c>
      <c r="AR3862">
        <v>1</v>
      </c>
    </row>
    <row r="3863" spans="1:44" x14ac:dyDescent="0.35">
      <c r="A3863" s="12" t="s">
        <v>4783</v>
      </c>
      <c r="B3863" s="12" t="s">
        <v>587</v>
      </c>
      <c r="C3863" s="12" t="s">
        <v>588</v>
      </c>
      <c r="D3863" s="12" t="s">
        <v>122</v>
      </c>
      <c r="E3863" s="12" t="s">
        <v>104</v>
      </c>
      <c r="F3863">
        <v>2</v>
      </c>
      <c r="G3863">
        <v>0</v>
      </c>
      <c r="H3863">
        <v>0</v>
      </c>
      <c r="I3863" s="12" t="s">
        <v>94</v>
      </c>
      <c r="J3863" s="12" t="s">
        <v>95</v>
      </c>
      <c r="K3863" s="12" t="s">
        <v>81</v>
      </c>
      <c r="L3863" s="12" t="s">
        <v>96</v>
      </c>
      <c r="M3863">
        <v>4.8099999999999996</v>
      </c>
      <c r="N3863" s="12" t="s">
        <v>97</v>
      </c>
      <c r="O3863" s="12" t="s">
        <v>98</v>
      </c>
      <c r="P3863" s="12" t="s">
        <v>72</v>
      </c>
      <c r="Q3863" s="13">
        <v>45617</v>
      </c>
      <c r="R3863" s="13">
        <v>45632</v>
      </c>
      <c r="S3863">
        <v>2024</v>
      </c>
      <c r="T3863" s="12" t="s">
        <v>4665</v>
      </c>
      <c r="U3863">
        <v>543</v>
      </c>
      <c r="V3863">
        <v>12.5105</v>
      </c>
      <c r="W3863">
        <v>108.76</v>
      </c>
      <c r="X3863">
        <v>0</v>
      </c>
      <c r="Y3863">
        <v>0</v>
      </c>
      <c r="Z3863">
        <v>6793.2</v>
      </c>
      <c r="AA3863">
        <v>6901.96</v>
      </c>
      <c r="AB3863" s="12" t="s">
        <v>3105</v>
      </c>
      <c r="AC3863">
        <v>12.5105</v>
      </c>
      <c r="AD3863">
        <v>1</v>
      </c>
      <c r="AE3863">
        <v>1</v>
      </c>
      <c r="AF3863">
        <v>0</v>
      </c>
      <c r="AG3863">
        <v>6793.2</v>
      </c>
      <c r="AH3863">
        <v>543</v>
      </c>
      <c r="AI3863">
        <v>540</v>
      </c>
      <c r="AJ3863">
        <v>3</v>
      </c>
      <c r="AK3863">
        <v>1</v>
      </c>
      <c r="AL3863">
        <v>1</v>
      </c>
      <c r="AM3863">
        <v>99.45</v>
      </c>
      <c r="AN3863">
        <v>12.7814</v>
      </c>
      <c r="AO3863">
        <v>37.53</v>
      </c>
      <c r="AP3863" s="13">
        <v>45629</v>
      </c>
      <c r="AQ3863">
        <v>-3</v>
      </c>
      <c r="AR3863">
        <v>1</v>
      </c>
    </row>
    <row r="3864" spans="1:44" x14ac:dyDescent="0.35">
      <c r="A3864" s="12" t="s">
        <v>4784</v>
      </c>
      <c r="B3864" s="12" t="s">
        <v>587</v>
      </c>
      <c r="C3864" s="12" t="s">
        <v>588</v>
      </c>
      <c r="D3864" s="12" t="s">
        <v>122</v>
      </c>
      <c r="E3864" s="12" t="s">
        <v>104</v>
      </c>
      <c r="F3864">
        <v>2</v>
      </c>
      <c r="G3864">
        <v>0</v>
      </c>
      <c r="H3864">
        <v>0</v>
      </c>
      <c r="I3864" s="12" t="s">
        <v>94</v>
      </c>
      <c r="J3864" s="12" t="s">
        <v>95</v>
      </c>
      <c r="K3864" s="12" t="s">
        <v>81</v>
      </c>
      <c r="L3864" s="12" t="s">
        <v>96</v>
      </c>
      <c r="M3864">
        <v>4.8099999999999996</v>
      </c>
      <c r="N3864" s="12" t="s">
        <v>97</v>
      </c>
      <c r="O3864" s="12" t="s">
        <v>98</v>
      </c>
      <c r="P3864" s="12" t="s">
        <v>72</v>
      </c>
      <c r="Q3864" s="13">
        <v>45617</v>
      </c>
      <c r="R3864" s="13">
        <v>45636</v>
      </c>
      <c r="S3864">
        <v>2024</v>
      </c>
      <c r="T3864" s="12" t="s">
        <v>4665</v>
      </c>
      <c r="U3864">
        <v>972</v>
      </c>
      <c r="V3864">
        <v>12.5105</v>
      </c>
      <c r="W3864">
        <v>299.98</v>
      </c>
      <c r="X3864">
        <v>0</v>
      </c>
      <c r="Y3864">
        <v>0</v>
      </c>
      <c r="Z3864">
        <v>12160.21</v>
      </c>
      <c r="AA3864">
        <v>12460.19</v>
      </c>
      <c r="AB3864" s="12" t="s">
        <v>3105</v>
      </c>
      <c r="AC3864">
        <v>12.5105</v>
      </c>
      <c r="AD3864">
        <v>1</v>
      </c>
      <c r="AE3864">
        <v>1</v>
      </c>
      <c r="AF3864">
        <v>0</v>
      </c>
      <c r="AG3864">
        <v>12160.21</v>
      </c>
      <c r="AH3864">
        <v>972</v>
      </c>
      <c r="AI3864">
        <v>966</v>
      </c>
      <c r="AJ3864">
        <v>6</v>
      </c>
      <c r="AK3864">
        <v>1</v>
      </c>
      <c r="AL3864">
        <v>1</v>
      </c>
      <c r="AM3864">
        <v>99.38</v>
      </c>
      <c r="AN3864">
        <v>12.8987</v>
      </c>
      <c r="AO3864">
        <v>75.06</v>
      </c>
      <c r="AP3864" s="13">
        <v>45646</v>
      </c>
      <c r="AQ3864">
        <v>10</v>
      </c>
      <c r="AR3864">
        <v>0</v>
      </c>
    </row>
    <row r="3865" spans="1:44" x14ac:dyDescent="0.35">
      <c r="A3865" s="12" t="s">
        <v>4785</v>
      </c>
      <c r="B3865" s="12" t="s">
        <v>680</v>
      </c>
      <c r="C3865" s="12" t="s">
        <v>681</v>
      </c>
      <c r="D3865" s="12" t="s">
        <v>122</v>
      </c>
      <c r="E3865" s="12" t="s">
        <v>104</v>
      </c>
      <c r="F3865">
        <v>3</v>
      </c>
      <c r="G3865">
        <v>1</v>
      </c>
      <c r="H3865">
        <v>0</v>
      </c>
      <c r="I3865" s="12" t="s">
        <v>233</v>
      </c>
      <c r="J3865" s="12" t="s">
        <v>234</v>
      </c>
      <c r="K3865" s="12" t="s">
        <v>125</v>
      </c>
      <c r="L3865" s="12" t="s">
        <v>96</v>
      </c>
      <c r="M3865">
        <v>3.73</v>
      </c>
      <c r="N3865" s="12" t="s">
        <v>97</v>
      </c>
      <c r="O3865" s="12" t="s">
        <v>98</v>
      </c>
      <c r="P3865" s="12" t="s">
        <v>72</v>
      </c>
      <c r="Q3865" s="13">
        <v>45618</v>
      </c>
      <c r="R3865" s="13">
        <v>45638</v>
      </c>
      <c r="S3865">
        <v>2024</v>
      </c>
      <c r="T3865" s="12" t="s">
        <v>4665</v>
      </c>
      <c r="U3865">
        <v>1078</v>
      </c>
      <c r="V3865">
        <v>22.826499999999999</v>
      </c>
      <c r="W3865">
        <v>508.48</v>
      </c>
      <c r="X3865">
        <v>0</v>
      </c>
      <c r="Y3865">
        <v>0</v>
      </c>
      <c r="Z3865">
        <v>24606.97</v>
      </c>
      <c r="AA3865">
        <v>25115.45</v>
      </c>
      <c r="AB3865" s="12" t="s">
        <v>201</v>
      </c>
      <c r="AD3865">
        <v>0</v>
      </c>
      <c r="AE3865">
        <v>0</v>
      </c>
      <c r="AH3865">
        <v>1078</v>
      </c>
      <c r="AI3865">
        <v>1075</v>
      </c>
      <c r="AJ3865">
        <v>3</v>
      </c>
      <c r="AK3865">
        <v>1</v>
      </c>
      <c r="AL3865">
        <v>1</v>
      </c>
      <c r="AM3865">
        <v>99.72</v>
      </c>
      <c r="AN3865">
        <v>23.363199999999999</v>
      </c>
      <c r="AO3865">
        <v>68.48</v>
      </c>
      <c r="AP3865" s="13">
        <v>45639</v>
      </c>
      <c r="AQ3865">
        <v>1</v>
      </c>
      <c r="AR3865">
        <v>0</v>
      </c>
    </row>
    <row r="3866" spans="1:44" x14ac:dyDescent="0.35">
      <c r="A3866" s="12" t="s">
        <v>4786</v>
      </c>
      <c r="B3866" s="12" t="s">
        <v>327</v>
      </c>
      <c r="C3866" s="12" t="s">
        <v>328</v>
      </c>
      <c r="D3866" s="12" t="s">
        <v>130</v>
      </c>
      <c r="E3866" s="12" t="s">
        <v>104</v>
      </c>
      <c r="F3866">
        <v>2</v>
      </c>
      <c r="G3866">
        <v>0</v>
      </c>
      <c r="H3866">
        <v>0</v>
      </c>
      <c r="I3866" s="12" t="s">
        <v>94</v>
      </c>
      <c r="J3866" s="12" t="s">
        <v>95</v>
      </c>
      <c r="K3866" s="12" t="s">
        <v>81</v>
      </c>
      <c r="L3866" s="12" t="s">
        <v>96</v>
      </c>
      <c r="M3866">
        <v>4.8099999999999996</v>
      </c>
      <c r="N3866" s="12" t="s">
        <v>159</v>
      </c>
      <c r="O3866" s="12" t="s">
        <v>160</v>
      </c>
      <c r="P3866" s="12" t="s">
        <v>137</v>
      </c>
      <c r="Q3866" s="13">
        <v>45618</v>
      </c>
      <c r="R3866" s="13">
        <v>45637</v>
      </c>
      <c r="S3866">
        <v>2024</v>
      </c>
      <c r="T3866" s="12" t="s">
        <v>4665</v>
      </c>
      <c r="U3866">
        <v>68</v>
      </c>
      <c r="V3866">
        <v>697.23929999999996</v>
      </c>
      <c r="W3866">
        <v>328.74</v>
      </c>
      <c r="X3866">
        <v>0</v>
      </c>
      <c r="Y3866">
        <v>0</v>
      </c>
      <c r="Z3866">
        <v>47412.27</v>
      </c>
      <c r="AA3866">
        <v>47741.01</v>
      </c>
      <c r="AB3866" s="12" t="s">
        <v>3016</v>
      </c>
      <c r="AC3866">
        <v>697.23929999999996</v>
      </c>
      <c r="AD3866">
        <v>1</v>
      </c>
      <c r="AE3866">
        <v>1</v>
      </c>
      <c r="AF3866">
        <v>0</v>
      </c>
      <c r="AG3866">
        <v>47412.27</v>
      </c>
      <c r="AH3866">
        <v>68</v>
      </c>
      <c r="AI3866">
        <v>67</v>
      </c>
      <c r="AJ3866">
        <v>1</v>
      </c>
      <c r="AK3866">
        <v>1</v>
      </c>
      <c r="AL3866">
        <v>1</v>
      </c>
      <c r="AM3866">
        <v>98.53</v>
      </c>
      <c r="AN3866">
        <v>712.55240000000003</v>
      </c>
      <c r="AO3866">
        <v>697.24</v>
      </c>
      <c r="AP3866" s="13">
        <v>45634</v>
      </c>
      <c r="AQ3866">
        <v>-3</v>
      </c>
      <c r="AR3866">
        <v>1</v>
      </c>
    </row>
    <row r="3867" spans="1:44" x14ac:dyDescent="0.35">
      <c r="A3867" s="12" t="s">
        <v>4787</v>
      </c>
      <c r="B3867" s="12" t="s">
        <v>76</v>
      </c>
      <c r="C3867" s="12" t="s">
        <v>77</v>
      </c>
      <c r="D3867" s="12" t="s">
        <v>78</v>
      </c>
      <c r="E3867" s="12" t="s">
        <v>65</v>
      </c>
      <c r="F3867">
        <v>2</v>
      </c>
      <c r="G3867">
        <v>4</v>
      </c>
      <c r="H3867">
        <v>0</v>
      </c>
      <c r="I3867" s="12" t="s">
        <v>79</v>
      </c>
      <c r="J3867" s="12" t="s">
        <v>80</v>
      </c>
      <c r="K3867" s="12" t="s">
        <v>81</v>
      </c>
      <c r="L3867" s="12" t="s">
        <v>82</v>
      </c>
      <c r="M3867">
        <v>12.07</v>
      </c>
      <c r="N3867" s="12" t="s">
        <v>97</v>
      </c>
      <c r="O3867" s="12" t="s">
        <v>98</v>
      </c>
      <c r="P3867" s="12" t="s">
        <v>72</v>
      </c>
      <c r="Q3867" s="13">
        <v>45618</v>
      </c>
      <c r="R3867" s="13">
        <v>45649</v>
      </c>
      <c r="S3867">
        <v>2024</v>
      </c>
      <c r="T3867" s="12" t="s">
        <v>4665</v>
      </c>
      <c r="U3867">
        <v>198</v>
      </c>
      <c r="V3867">
        <v>45.034100000000002</v>
      </c>
      <c r="W3867">
        <v>215.4</v>
      </c>
      <c r="X3867">
        <v>0</v>
      </c>
      <c r="Y3867">
        <v>0</v>
      </c>
      <c r="Z3867">
        <v>8916.75</v>
      </c>
      <c r="AA3867">
        <v>9132.15</v>
      </c>
      <c r="AB3867" s="12" t="s">
        <v>2672</v>
      </c>
      <c r="AC3867">
        <v>45.034100000000002</v>
      </c>
      <c r="AD3867">
        <v>1</v>
      </c>
      <c r="AE3867">
        <v>1</v>
      </c>
      <c r="AF3867">
        <v>0</v>
      </c>
      <c r="AG3867">
        <v>8916.75</v>
      </c>
      <c r="AH3867">
        <v>198</v>
      </c>
      <c r="AI3867">
        <v>197</v>
      </c>
      <c r="AJ3867">
        <v>1</v>
      </c>
      <c r="AK3867">
        <v>1</v>
      </c>
      <c r="AL3867">
        <v>1</v>
      </c>
      <c r="AM3867">
        <v>99.49</v>
      </c>
      <c r="AN3867">
        <v>46.356099999999998</v>
      </c>
      <c r="AO3867">
        <v>45.03</v>
      </c>
      <c r="AP3867" s="13">
        <v>45657</v>
      </c>
      <c r="AQ3867">
        <v>8</v>
      </c>
      <c r="AR3867">
        <v>0</v>
      </c>
    </row>
    <row r="3868" spans="1:44" x14ac:dyDescent="0.35">
      <c r="A3868" s="12" t="s">
        <v>4788</v>
      </c>
      <c r="B3868" s="12" t="s">
        <v>284</v>
      </c>
      <c r="C3868" s="12" t="s">
        <v>285</v>
      </c>
      <c r="D3868" s="12" t="s">
        <v>269</v>
      </c>
      <c r="E3868" s="12" t="s">
        <v>104</v>
      </c>
      <c r="F3868">
        <v>3</v>
      </c>
      <c r="G3868">
        <v>1</v>
      </c>
      <c r="H3868">
        <v>0</v>
      </c>
      <c r="I3868" s="12" t="s">
        <v>199</v>
      </c>
      <c r="J3868" s="12" t="s">
        <v>200</v>
      </c>
      <c r="K3868" s="12" t="s">
        <v>68</v>
      </c>
      <c r="L3868" s="12" t="s">
        <v>96</v>
      </c>
      <c r="M3868">
        <v>9.4700000000000006</v>
      </c>
      <c r="N3868" s="12" t="s">
        <v>159</v>
      </c>
      <c r="O3868" s="12" t="s">
        <v>160</v>
      </c>
      <c r="P3868" s="12" t="s">
        <v>137</v>
      </c>
      <c r="Q3868" s="13">
        <v>45618</v>
      </c>
      <c r="R3868" s="13">
        <v>45645</v>
      </c>
      <c r="S3868">
        <v>2024</v>
      </c>
      <c r="T3868" s="12" t="s">
        <v>4665</v>
      </c>
      <c r="U3868">
        <v>133</v>
      </c>
      <c r="V3868">
        <v>391.32470000000001</v>
      </c>
      <c r="W3868">
        <v>1035.95</v>
      </c>
      <c r="X3868">
        <v>0</v>
      </c>
      <c r="Y3868">
        <v>0</v>
      </c>
      <c r="Z3868">
        <v>52046.19</v>
      </c>
      <c r="AA3868">
        <v>53082.14</v>
      </c>
      <c r="AB3868" s="12" t="s">
        <v>201</v>
      </c>
      <c r="AD3868">
        <v>0</v>
      </c>
      <c r="AE3868">
        <v>0</v>
      </c>
      <c r="AH3868">
        <v>133</v>
      </c>
      <c r="AI3868">
        <v>131</v>
      </c>
      <c r="AJ3868">
        <v>2</v>
      </c>
      <c r="AK3868">
        <v>1</v>
      </c>
      <c r="AL3868">
        <v>1</v>
      </c>
      <c r="AM3868">
        <v>98.5</v>
      </c>
      <c r="AN3868">
        <v>405.20710000000003</v>
      </c>
      <c r="AO3868">
        <v>782.65</v>
      </c>
      <c r="AP3868" s="13">
        <v>45642</v>
      </c>
      <c r="AQ3868">
        <v>-3</v>
      </c>
      <c r="AR3868">
        <v>1</v>
      </c>
    </row>
    <row r="3869" spans="1:44" x14ac:dyDescent="0.35">
      <c r="A3869" s="12" t="s">
        <v>4789</v>
      </c>
      <c r="B3869" s="12" t="s">
        <v>876</v>
      </c>
      <c r="C3869" s="12" t="s">
        <v>877</v>
      </c>
      <c r="D3869" s="12" t="s">
        <v>269</v>
      </c>
      <c r="E3869" s="12" t="s">
        <v>142</v>
      </c>
      <c r="F3869">
        <v>3</v>
      </c>
      <c r="G3869">
        <v>11</v>
      </c>
      <c r="H3869">
        <v>0</v>
      </c>
      <c r="I3869" s="12" t="s">
        <v>515</v>
      </c>
      <c r="J3869" s="12" t="s">
        <v>516</v>
      </c>
      <c r="K3869" s="12" t="s">
        <v>68</v>
      </c>
      <c r="L3869" s="12" t="s">
        <v>134</v>
      </c>
      <c r="M3869">
        <v>3.69</v>
      </c>
      <c r="N3869" s="12" t="s">
        <v>159</v>
      </c>
      <c r="O3869" s="12" t="s">
        <v>160</v>
      </c>
      <c r="P3869" s="12" t="s">
        <v>137</v>
      </c>
      <c r="Q3869" s="13">
        <v>45618</v>
      </c>
      <c r="R3869" s="13">
        <v>45665</v>
      </c>
      <c r="S3869">
        <v>2024</v>
      </c>
      <c r="T3869" s="12" t="s">
        <v>4665</v>
      </c>
      <c r="U3869">
        <v>109</v>
      </c>
      <c r="V3869">
        <v>191.71029999999999</v>
      </c>
      <c r="W3869">
        <v>277.51</v>
      </c>
      <c r="X3869">
        <v>0</v>
      </c>
      <c r="Y3869">
        <v>0</v>
      </c>
      <c r="Z3869">
        <v>20896.419999999998</v>
      </c>
      <c r="AA3869">
        <v>21173.93</v>
      </c>
      <c r="AB3869" s="12" t="s">
        <v>3591</v>
      </c>
      <c r="AC3869">
        <v>191.71029999999999</v>
      </c>
      <c r="AD3869">
        <v>1</v>
      </c>
      <c r="AE3869">
        <v>1</v>
      </c>
      <c r="AF3869">
        <v>0</v>
      </c>
      <c r="AG3869">
        <v>20896.419999999998</v>
      </c>
      <c r="AH3869">
        <v>109</v>
      </c>
      <c r="AI3869">
        <v>108</v>
      </c>
      <c r="AJ3869">
        <v>1</v>
      </c>
      <c r="AK3869">
        <v>1</v>
      </c>
      <c r="AL3869">
        <v>1</v>
      </c>
      <c r="AM3869">
        <v>99.08</v>
      </c>
      <c r="AN3869">
        <v>196.0549</v>
      </c>
      <c r="AO3869">
        <v>191.71</v>
      </c>
      <c r="AP3869" s="13">
        <v>45665</v>
      </c>
      <c r="AQ3869">
        <v>0</v>
      </c>
      <c r="AR3869">
        <v>1</v>
      </c>
    </row>
    <row r="3870" spans="1:44" x14ac:dyDescent="0.35">
      <c r="A3870" s="12" t="s">
        <v>4790</v>
      </c>
      <c r="B3870" s="12" t="s">
        <v>855</v>
      </c>
      <c r="C3870" s="12" t="s">
        <v>856</v>
      </c>
      <c r="D3870" s="12" t="s">
        <v>269</v>
      </c>
      <c r="E3870" s="12" t="s">
        <v>65</v>
      </c>
      <c r="F3870">
        <v>3</v>
      </c>
      <c r="G3870">
        <v>5</v>
      </c>
      <c r="H3870">
        <v>0</v>
      </c>
      <c r="I3870" s="12" t="s">
        <v>94</v>
      </c>
      <c r="J3870" s="12" t="s">
        <v>95</v>
      </c>
      <c r="K3870" s="12" t="s">
        <v>81</v>
      </c>
      <c r="L3870" s="12" t="s">
        <v>96</v>
      </c>
      <c r="M3870">
        <v>4.8099999999999996</v>
      </c>
      <c r="N3870" s="12" t="s">
        <v>135</v>
      </c>
      <c r="O3870" s="12" t="s">
        <v>136</v>
      </c>
      <c r="P3870" s="12" t="s">
        <v>137</v>
      </c>
      <c r="Q3870" s="13">
        <v>45618</v>
      </c>
      <c r="R3870" s="13">
        <v>45641</v>
      </c>
      <c r="S3870">
        <v>2024</v>
      </c>
      <c r="T3870" s="12" t="s">
        <v>4665</v>
      </c>
      <c r="U3870">
        <v>29</v>
      </c>
      <c r="V3870">
        <v>479.86860000000001</v>
      </c>
      <c r="W3870">
        <v>360.83</v>
      </c>
      <c r="X3870">
        <v>0</v>
      </c>
      <c r="Y3870">
        <v>0</v>
      </c>
      <c r="Z3870">
        <v>13916.19</v>
      </c>
      <c r="AA3870">
        <v>14277.02</v>
      </c>
      <c r="AB3870" s="12" t="s">
        <v>3699</v>
      </c>
      <c r="AC3870">
        <v>479.86860000000001</v>
      </c>
      <c r="AD3870">
        <v>1</v>
      </c>
      <c r="AE3870">
        <v>1</v>
      </c>
      <c r="AF3870">
        <v>0</v>
      </c>
      <c r="AG3870">
        <v>13916.19</v>
      </c>
      <c r="AH3870">
        <v>29</v>
      </c>
      <c r="AI3870">
        <v>29</v>
      </c>
      <c r="AJ3870">
        <v>0</v>
      </c>
      <c r="AK3870">
        <v>1</v>
      </c>
      <c r="AL3870">
        <v>1</v>
      </c>
      <c r="AM3870">
        <v>100</v>
      </c>
      <c r="AN3870">
        <v>492.31099999999998</v>
      </c>
      <c r="AO3870">
        <v>0</v>
      </c>
      <c r="AP3870" s="13">
        <v>45644</v>
      </c>
      <c r="AQ3870">
        <v>3</v>
      </c>
      <c r="AR3870">
        <v>0</v>
      </c>
    </row>
    <row r="3871" spans="1:44" x14ac:dyDescent="0.35">
      <c r="A3871" s="12" t="s">
        <v>4791</v>
      </c>
      <c r="B3871" s="12" t="s">
        <v>193</v>
      </c>
      <c r="C3871" s="12" t="s">
        <v>194</v>
      </c>
      <c r="D3871" s="12" t="s">
        <v>114</v>
      </c>
      <c r="E3871" s="12" t="s">
        <v>65</v>
      </c>
      <c r="F3871">
        <v>3</v>
      </c>
      <c r="G3871">
        <v>4</v>
      </c>
      <c r="H3871">
        <v>0</v>
      </c>
      <c r="I3871" s="12" t="s">
        <v>199</v>
      </c>
      <c r="J3871" s="12" t="s">
        <v>200</v>
      </c>
      <c r="K3871" s="12" t="s">
        <v>68</v>
      </c>
      <c r="L3871" s="12" t="s">
        <v>96</v>
      </c>
      <c r="M3871">
        <v>9.4700000000000006</v>
      </c>
      <c r="N3871" s="12" t="s">
        <v>97</v>
      </c>
      <c r="O3871" s="12" t="s">
        <v>98</v>
      </c>
      <c r="P3871" s="12" t="s">
        <v>72</v>
      </c>
      <c r="Q3871" s="13">
        <v>45618</v>
      </c>
      <c r="R3871" s="13">
        <v>45650</v>
      </c>
      <c r="S3871">
        <v>2024</v>
      </c>
      <c r="T3871" s="12" t="s">
        <v>4665</v>
      </c>
      <c r="U3871">
        <v>98</v>
      </c>
      <c r="V3871">
        <v>123.4622</v>
      </c>
      <c r="W3871">
        <v>297.95</v>
      </c>
      <c r="X3871">
        <v>0</v>
      </c>
      <c r="Y3871">
        <v>0</v>
      </c>
      <c r="Z3871">
        <v>12099.3</v>
      </c>
      <c r="AA3871">
        <v>12397.25</v>
      </c>
      <c r="AB3871" s="12" t="s">
        <v>201</v>
      </c>
      <c r="AD3871">
        <v>0</v>
      </c>
      <c r="AE3871">
        <v>0</v>
      </c>
      <c r="AH3871">
        <v>98</v>
      </c>
      <c r="AI3871">
        <v>97</v>
      </c>
      <c r="AJ3871">
        <v>1</v>
      </c>
      <c r="AK3871">
        <v>1</v>
      </c>
      <c r="AL3871">
        <v>1</v>
      </c>
      <c r="AM3871">
        <v>98.98</v>
      </c>
      <c r="AN3871">
        <v>127.80670000000001</v>
      </c>
      <c r="AO3871">
        <v>123.46</v>
      </c>
      <c r="AP3871" s="13">
        <v>45648</v>
      </c>
      <c r="AQ3871">
        <v>-2</v>
      </c>
      <c r="AR3871">
        <v>1</v>
      </c>
    </row>
    <row r="3872" spans="1:44" x14ac:dyDescent="0.35">
      <c r="A3872" s="12" t="s">
        <v>4792</v>
      </c>
      <c r="B3872" s="12" t="s">
        <v>941</v>
      </c>
      <c r="C3872" s="12" t="s">
        <v>942</v>
      </c>
      <c r="D3872" s="12" t="s">
        <v>130</v>
      </c>
      <c r="E3872" s="12" t="s">
        <v>104</v>
      </c>
      <c r="F3872">
        <v>2</v>
      </c>
      <c r="G3872">
        <v>0</v>
      </c>
      <c r="H3872">
        <v>0</v>
      </c>
      <c r="I3872" s="12" t="s">
        <v>151</v>
      </c>
      <c r="J3872" s="12" t="s">
        <v>152</v>
      </c>
      <c r="K3872" s="12" t="s">
        <v>125</v>
      </c>
      <c r="L3872" s="12" t="s">
        <v>69</v>
      </c>
      <c r="M3872">
        <v>36.479999999999997</v>
      </c>
      <c r="N3872" s="12" t="s">
        <v>159</v>
      </c>
      <c r="O3872" s="12" t="s">
        <v>160</v>
      </c>
      <c r="P3872" s="12" t="s">
        <v>137</v>
      </c>
      <c r="Q3872" s="13">
        <v>45618</v>
      </c>
      <c r="R3872" s="13">
        <v>45635</v>
      </c>
      <c r="S3872">
        <v>2024</v>
      </c>
      <c r="T3872" s="12" t="s">
        <v>4665</v>
      </c>
      <c r="U3872">
        <v>49</v>
      </c>
      <c r="V3872">
        <v>954.04200000000003</v>
      </c>
      <c r="W3872">
        <v>866.39</v>
      </c>
      <c r="X3872">
        <v>0</v>
      </c>
      <c r="Y3872">
        <v>0</v>
      </c>
      <c r="Z3872">
        <v>46748.06</v>
      </c>
      <c r="AA3872">
        <v>47614.45</v>
      </c>
      <c r="AB3872" s="12" t="s">
        <v>4232</v>
      </c>
      <c r="AC3872">
        <v>954.04200000000003</v>
      </c>
      <c r="AD3872">
        <v>1</v>
      </c>
      <c r="AE3872">
        <v>1</v>
      </c>
      <c r="AF3872">
        <v>0</v>
      </c>
      <c r="AG3872">
        <v>46748.06</v>
      </c>
      <c r="AH3872">
        <v>49</v>
      </c>
      <c r="AI3872">
        <v>48</v>
      </c>
      <c r="AJ3872">
        <v>1</v>
      </c>
      <c r="AK3872">
        <v>1</v>
      </c>
      <c r="AL3872">
        <v>1</v>
      </c>
      <c r="AM3872">
        <v>97.96</v>
      </c>
      <c r="AN3872">
        <v>991.96770000000004</v>
      </c>
      <c r="AO3872">
        <v>954.04</v>
      </c>
      <c r="AP3872" s="13">
        <v>45633</v>
      </c>
      <c r="AQ3872">
        <v>-2</v>
      </c>
      <c r="AR3872">
        <v>1</v>
      </c>
    </row>
    <row r="3873" spans="1:44" x14ac:dyDescent="0.35">
      <c r="A3873" s="12" t="s">
        <v>4793</v>
      </c>
      <c r="B3873" s="12" t="s">
        <v>941</v>
      </c>
      <c r="C3873" s="12" t="s">
        <v>942</v>
      </c>
      <c r="D3873" s="12" t="s">
        <v>130</v>
      </c>
      <c r="E3873" s="12" t="s">
        <v>104</v>
      </c>
      <c r="F3873">
        <v>2</v>
      </c>
      <c r="G3873">
        <v>0</v>
      </c>
      <c r="H3873">
        <v>0</v>
      </c>
      <c r="I3873" s="12" t="s">
        <v>131</v>
      </c>
      <c r="J3873" s="12" t="s">
        <v>132</v>
      </c>
      <c r="K3873" s="12" t="s">
        <v>133</v>
      </c>
      <c r="L3873" s="12" t="s">
        <v>134</v>
      </c>
      <c r="M3873">
        <v>1.51</v>
      </c>
      <c r="N3873" s="12" t="s">
        <v>159</v>
      </c>
      <c r="O3873" s="12" t="s">
        <v>160</v>
      </c>
      <c r="P3873" s="12" t="s">
        <v>137</v>
      </c>
      <c r="Q3873" s="13">
        <v>45618</v>
      </c>
      <c r="R3873" s="13">
        <v>45633</v>
      </c>
      <c r="S3873">
        <v>2024</v>
      </c>
      <c r="T3873" s="12" t="s">
        <v>4665</v>
      </c>
      <c r="U3873">
        <v>36</v>
      </c>
      <c r="V3873">
        <v>839.4819</v>
      </c>
      <c r="W3873">
        <v>385.98</v>
      </c>
      <c r="X3873">
        <v>0</v>
      </c>
      <c r="Y3873">
        <v>0</v>
      </c>
      <c r="Z3873">
        <v>30221.35</v>
      </c>
      <c r="AA3873">
        <v>30607.33</v>
      </c>
      <c r="AB3873" s="12" t="s">
        <v>3518</v>
      </c>
      <c r="AC3873">
        <v>839.4819</v>
      </c>
      <c r="AD3873">
        <v>1</v>
      </c>
      <c r="AE3873">
        <v>1</v>
      </c>
      <c r="AF3873">
        <v>0</v>
      </c>
      <c r="AG3873">
        <v>30221.35</v>
      </c>
      <c r="AH3873">
        <v>36</v>
      </c>
      <c r="AI3873">
        <v>33</v>
      </c>
      <c r="AJ3873">
        <v>3</v>
      </c>
      <c r="AK3873">
        <v>1</v>
      </c>
      <c r="AL3873">
        <v>1</v>
      </c>
      <c r="AM3873">
        <v>91.67</v>
      </c>
      <c r="AN3873">
        <v>927.49480000000005</v>
      </c>
      <c r="AO3873">
        <v>2518.4499999999998</v>
      </c>
      <c r="AP3873" s="13">
        <v>45631</v>
      </c>
      <c r="AQ3873">
        <v>-2</v>
      </c>
      <c r="AR3873">
        <v>1</v>
      </c>
    </row>
    <row r="3874" spans="1:44" x14ac:dyDescent="0.35">
      <c r="A3874" s="12" t="s">
        <v>4794</v>
      </c>
      <c r="B3874" s="12" t="s">
        <v>85</v>
      </c>
      <c r="C3874" s="12" t="s">
        <v>86</v>
      </c>
      <c r="D3874" s="12" t="s">
        <v>78</v>
      </c>
      <c r="E3874" s="12" t="s">
        <v>65</v>
      </c>
      <c r="F3874">
        <v>3</v>
      </c>
      <c r="G3874">
        <v>5</v>
      </c>
      <c r="H3874">
        <v>0</v>
      </c>
      <c r="I3874" s="12" t="s">
        <v>87</v>
      </c>
      <c r="J3874" s="12" t="s">
        <v>88</v>
      </c>
      <c r="K3874" s="12" t="s">
        <v>89</v>
      </c>
      <c r="L3874" s="12" t="s">
        <v>69</v>
      </c>
      <c r="M3874">
        <v>14.93</v>
      </c>
      <c r="N3874" s="12" t="s">
        <v>97</v>
      </c>
      <c r="O3874" s="12" t="s">
        <v>98</v>
      </c>
      <c r="P3874" s="12" t="s">
        <v>72</v>
      </c>
      <c r="Q3874" s="13">
        <v>45618</v>
      </c>
      <c r="R3874" s="13">
        <v>45648</v>
      </c>
      <c r="S3874">
        <v>2024</v>
      </c>
      <c r="T3874" s="12" t="s">
        <v>4665</v>
      </c>
      <c r="U3874">
        <v>177</v>
      </c>
      <c r="V3874">
        <v>139.59649999999999</v>
      </c>
      <c r="W3874">
        <v>420.51</v>
      </c>
      <c r="X3874">
        <v>0</v>
      </c>
      <c r="Y3874">
        <v>0</v>
      </c>
      <c r="Z3874">
        <v>24708.58</v>
      </c>
      <c r="AA3874">
        <v>25129.09</v>
      </c>
      <c r="AB3874" s="12" t="s">
        <v>2621</v>
      </c>
      <c r="AC3874">
        <v>139.59649999999999</v>
      </c>
      <c r="AD3874">
        <v>1</v>
      </c>
      <c r="AE3874">
        <v>1</v>
      </c>
      <c r="AF3874">
        <v>0</v>
      </c>
      <c r="AG3874">
        <v>24708.58</v>
      </c>
      <c r="AH3874">
        <v>177</v>
      </c>
      <c r="AI3874">
        <v>173</v>
      </c>
      <c r="AJ3874">
        <v>4</v>
      </c>
      <c r="AK3874">
        <v>1</v>
      </c>
      <c r="AL3874">
        <v>1</v>
      </c>
      <c r="AM3874">
        <v>97.74</v>
      </c>
      <c r="AN3874">
        <v>145.25489999999999</v>
      </c>
      <c r="AO3874">
        <v>558.39</v>
      </c>
      <c r="AP3874" s="13">
        <v>45648</v>
      </c>
      <c r="AQ3874">
        <v>0</v>
      </c>
      <c r="AR3874">
        <v>1</v>
      </c>
    </row>
    <row r="3875" spans="1:44" x14ac:dyDescent="0.35">
      <c r="A3875" s="12" t="s">
        <v>4795</v>
      </c>
      <c r="B3875" s="12" t="s">
        <v>972</v>
      </c>
      <c r="C3875" s="12" t="s">
        <v>973</v>
      </c>
      <c r="D3875" s="12" t="s">
        <v>130</v>
      </c>
      <c r="E3875" s="12" t="s">
        <v>142</v>
      </c>
      <c r="F3875">
        <v>2</v>
      </c>
      <c r="G3875">
        <v>9</v>
      </c>
      <c r="H3875">
        <v>0</v>
      </c>
      <c r="I3875" s="12" t="s">
        <v>66</v>
      </c>
      <c r="J3875" s="12" t="s">
        <v>67</v>
      </c>
      <c r="K3875" s="12" t="s">
        <v>68</v>
      </c>
      <c r="L3875" s="12" t="s">
        <v>69</v>
      </c>
      <c r="M3875">
        <v>17.66</v>
      </c>
      <c r="N3875" s="12" t="s">
        <v>159</v>
      </c>
      <c r="O3875" s="12" t="s">
        <v>160</v>
      </c>
      <c r="P3875" s="12" t="s">
        <v>137</v>
      </c>
      <c r="Q3875" s="13">
        <v>45618</v>
      </c>
      <c r="R3875" s="13">
        <v>45667</v>
      </c>
      <c r="S3875">
        <v>2024</v>
      </c>
      <c r="T3875" s="12" t="s">
        <v>4665</v>
      </c>
      <c r="U3875">
        <v>122</v>
      </c>
      <c r="V3875">
        <v>766.21900000000005</v>
      </c>
      <c r="W3875">
        <v>1839.31</v>
      </c>
      <c r="X3875">
        <v>0</v>
      </c>
      <c r="Y3875">
        <v>0</v>
      </c>
      <c r="Z3875">
        <v>93478.720000000001</v>
      </c>
      <c r="AA3875">
        <v>95318.03</v>
      </c>
      <c r="AB3875" s="12" t="s">
        <v>4195</v>
      </c>
      <c r="AC3875">
        <v>813.05380000000002</v>
      </c>
      <c r="AD3875">
        <v>1</v>
      </c>
      <c r="AE3875">
        <v>1</v>
      </c>
      <c r="AF3875">
        <v>-5713.85</v>
      </c>
      <c r="AG3875">
        <v>99192.56</v>
      </c>
      <c r="AH3875">
        <v>122</v>
      </c>
      <c r="AI3875">
        <v>120</v>
      </c>
      <c r="AJ3875">
        <v>2</v>
      </c>
      <c r="AK3875">
        <v>1</v>
      </c>
      <c r="AL3875">
        <v>1</v>
      </c>
      <c r="AM3875">
        <v>98.36</v>
      </c>
      <c r="AN3875">
        <v>794.31690000000003</v>
      </c>
      <c r="AO3875">
        <v>1532.44</v>
      </c>
      <c r="AP3875" s="13">
        <v>45675</v>
      </c>
      <c r="AQ3875">
        <v>8</v>
      </c>
      <c r="AR3875">
        <v>0</v>
      </c>
    </row>
    <row r="3876" spans="1:44" x14ac:dyDescent="0.35">
      <c r="A3876" s="12" t="s">
        <v>4796</v>
      </c>
      <c r="B3876" s="12" t="s">
        <v>447</v>
      </c>
      <c r="C3876" s="12" t="s">
        <v>448</v>
      </c>
      <c r="D3876" s="12" t="s">
        <v>269</v>
      </c>
      <c r="E3876" s="12" t="s">
        <v>65</v>
      </c>
      <c r="F3876">
        <v>2</v>
      </c>
      <c r="G3876">
        <v>2</v>
      </c>
      <c r="H3876">
        <v>0</v>
      </c>
      <c r="I3876" s="12" t="s">
        <v>94</v>
      </c>
      <c r="J3876" s="12" t="s">
        <v>95</v>
      </c>
      <c r="K3876" s="12" t="s">
        <v>81</v>
      </c>
      <c r="L3876" s="12" t="s">
        <v>96</v>
      </c>
      <c r="M3876">
        <v>4.8099999999999996</v>
      </c>
      <c r="N3876" s="12" t="s">
        <v>135</v>
      </c>
      <c r="O3876" s="12" t="s">
        <v>136</v>
      </c>
      <c r="P3876" s="12" t="s">
        <v>137</v>
      </c>
      <c r="Q3876" s="13">
        <v>45618</v>
      </c>
      <c r="R3876" s="13">
        <v>45640</v>
      </c>
      <c r="S3876">
        <v>2024</v>
      </c>
      <c r="T3876" s="12" t="s">
        <v>4665</v>
      </c>
      <c r="U3876">
        <v>21</v>
      </c>
      <c r="V3876">
        <v>377.76080000000002</v>
      </c>
      <c r="W3876">
        <v>94.98</v>
      </c>
      <c r="X3876">
        <v>0</v>
      </c>
      <c r="Y3876">
        <v>0</v>
      </c>
      <c r="Z3876">
        <v>7932.98</v>
      </c>
      <c r="AA3876">
        <v>8027.96</v>
      </c>
      <c r="AB3876" s="12" t="s">
        <v>3078</v>
      </c>
      <c r="AC3876">
        <v>377.76080000000002</v>
      </c>
      <c r="AD3876">
        <v>1</v>
      </c>
      <c r="AE3876">
        <v>1</v>
      </c>
      <c r="AF3876">
        <v>0</v>
      </c>
      <c r="AG3876">
        <v>7932.98</v>
      </c>
      <c r="AH3876">
        <v>21</v>
      </c>
      <c r="AI3876">
        <v>21</v>
      </c>
      <c r="AJ3876">
        <v>0</v>
      </c>
      <c r="AK3876">
        <v>1</v>
      </c>
      <c r="AL3876">
        <v>1</v>
      </c>
      <c r="AM3876">
        <v>100</v>
      </c>
      <c r="AN3876">
        <v>382.28370000000001</v>
      </c>
      <c r="AO3876">
        <v>0</v>
      </c>
      <c r="AP3876" s="13">
        <v>45637</v>
      </c>
      <c r="AQ3876">
        <v>-3</v>
      </c>
      <c r="AR3876">
        <v>1</v>
      </c>
    </row>
    <row r="3877" spans="1:44" x14ac:dyDescent="0.35">
      <c r="A3877" s="12" t="s">
        <v>4797</v>
      </c>
      <c r="B3877" s="12" t="s">
        <v>498</v>
      </c>
      <c r="C3877" s="12" t="s">
        <v>499</v>
      </c>
      <c r="D3877" s="12" t="s">
        <v>175</v>
      </c>
      <c r="E3877" s="12" t="s">
        <v>104</v>
      </c>
      <c r="F3877">
        <v>3</v>
      </c>
      <c r="G3877">
        <v>1</v>
      </c>
      <c r="H3877">
        <v>0</v>
      </c>
      <c r="I3877" s="12" t="s">
        <v>233</v>
      </c>
      <c r="J3877" s="12" t="s">
        <v>234</v>
      </c>
      <c r="K3877" s="12" t="s">
        <v>125</v>
      </c>
      <c r="L3877" s="12" t="s">
        <v>96</v>
      </c>
      <c r="M3877">
        <v>3.73</v>
      </c>
      <c r="N3877" s="12" t="s">
        <v>145</v>
      </c>
      <c r="O3877" s="12" t="s">
        <v>146</v>
      </c>
      <c r="P3877" s="12" t="s">
        <v>109</v>
      </c>
      <c r="Q3877" s="13">
        <v>45618</v>
      </c>
      <c r="R3877" s="13">
        <v>45637</v>
      </c>
      <c r="S3877">
        <v>2024</v>
      </c>
      <c r="T3877" s="12" t="s">
        <v>4665</v>
      </c>
      <c r="U3877">
        <v>71</v>
      </c>
      <c r="V3877">
        <v>268.74209999999999</v>
      </c>
      <c r="W3877">
        <v>245.23</v>
      </c>
      <c r="X3877">
        <v>0</v>
      </c>
      <c r="Y3877">
        <v>0</v>
      </c>
      <c r="Z3877">
        <v>19080.689999999999</v>
      </c>
      <c r="AA3877">
        <v>19325.919999999998</v>
      </c>
      <c r="AB3877" s="12" t="s">
        <v>3032</v>
      </c>
      <c r="AC3877">
        <v>268.74209999999999</v>
      </c>
      <c r="AD3877">
        <v>1</v>
      </c>
      <c r="AE3877">
        <v>1</v>
      </c>
      <c r="AF3877">
        <v>0</v>
      </c>
      <c r="AG3877">
        <v>19080.689999999999</v>
      </c>
      <c r="AH3877">
        <v>71</v>
      </c>
      <c r="AI3877">
        <v>71</v>
      </c>
      <c r="AJ3877">
        <v>0</v>
      </c>
      <c r="AK3877">
        <v>1</v>
      </c>
      <c r="AL3877">
        <v>1</v>
      </c>
      <c r="AM3877">
        <v>100</v>
      </c>
      <c r="AN3877">
        <v>272.19600000000003</v>
      </c>
      <c r="AO3877">
        <v>0</v>
      </c>
      <c r="AP3877" s="13">
        <v>45634</v>
      </c>
      <c r="AQ3877">
        <v>-3</v>
      </c>
      <c r="AR3877">
        <v>1</v>
      </c>
    </row>
    <row r="3878" spans="1:44" x14ac:dyDescent="0.35">
      <c r="A3878" s="12" t="s">
        <v>4798</v>
      </c>
      <c r="B3878" s="12" t="s">
        <v>404</v>
      </c>
      <c r="C3878" s="12" t="s">
        <v>405</v>
      </c>
      <c r="D3878" s="12" t="s">
        <v>269</v>
      </c>
      <c r="E3878" s="12" t="s">
        <v>65</v>
      </c>
      <c r="F3878">
        <v>3</v>
      </c>
      <c r="G3878">
        <v>5</v>
      </c>
      <c r="H3878">
        <v>0</v>
      </c>
      <c r="I3878" s="12" t="s">
        <v>94</v>
      </c>
      <c r="J3878" s="12" t="s">
        <v>95</v>
      </c>
      <c r="K3878" s="12" t="s">
        <v>81</v>
      </c>
      <c r="L3878" s="12" t="s">
        <v>96</v>
      </c>
      <c r="M3878">
        <v>4.8099999999999996</v>
      </c>
      <c r="N3878" s="12" t="s">
        <v>159</v>
      </c>
      <c r="O3878" s="12" t="s">
        <v>160</v>
      </c>
      <c r="P3878" s="12" t="s">
        <v>137</v>
      </c>
      <c r="Q3878" s="13">
        <v>45621</v>
      </c>
      <c r="R3878" s="13">
        <v>45657</v>
      </c>
      <c r="S3878">
        <v>2024</v>
      </c>
      <c r="T3878" s="12" t="s">
        <v>4665</v>
      </c>
      <c r="U3878">
        <v>128</v>
      </c>
      <c r="V3878">
        <v>504.4821</v>
      </c>
      <c r="W3878">
        <v>1370.19</v>
      </c>
      <c r="X3878">
        <v>0</v>
      </c>
      <c r="Y3878">
        <v>0</v>
      </c>
      <c r="Z3878">
        <v>64573.71</v>
      </c>
      <c r="AA3878">
        <v>65943.899999999994</v>
      </c>
      <c r="AB3878" s="12" t="s">
        <v>201</v>
      </c>
      <c r="AD3878">
        <v>0</v>
      </c>
      <c r="AE3878">
        <v>0</v>
      </c>
      <c r="AH3878">
        <v>128</v>
      </c>
      <c r="AI3878">
        <v>127</v>
      </c>
      <c r="AJ3878">
        <v>1</v>
      </c>
      <c r="AK3878">
        <v>1</v>
      </c>
      <c r="AL3878">
        <v>1</v>
      </c>
      <c r="AM3878">
        <v>99.22</v>
      </c>
      <c r="AN3878">
        <v>519.24329999999998</v>
      </c>
      <c r="AO3878">
        <v>504.48</v>
      </c>
      <c r="AP3878" s="13">
        <v>45654</v>
      </c>
      <c r="AQ3878">
        <v>-3</v>
      </c>
      <c r="AR3878">
        <v>1</v>
      </c>
    </row>
    <row r="3879" spans="1:44" x14ac:dyDescent="0.35">
      <c r="A3879" s="12" t="s">
        <v>4799</v>
      </c>
      <c r="B3879" s="12" t="s">
        <v>76</v>
      </c>
      <c r="C3879" s="12" t="s">
        <v>77</v>
      </c>
      <c r="D3879" s="12" t="s">
        <v>78</v>
      </c>
      <c r="E3879" s="12" t="s">
        <v>65</v>
      </c>
      <c r="F3879">
        <v>2</v>
      </c>
      <c r="G3879">
        <v>4</v>
      </c>
      <c r="H3879">
        <v>0</v>
      </c>
      <c r="I3879" s="12" t="s">
        <v>79</v>
      </c>
      <c r="J3879" s="12" t="s">
        <v>80</v>
      </c>
      <c r="K3879" s="12" t="s">
        <v>81</v>
      </c>
      <c r="L3879" s="12" t="s">
        <v>82</v>
      </c>
      <c r="M3879">
        <v>12.07</v>
      </c>
      <c r="N3879" s="12" t="s">
        <v>70</v>
      </c>
      <c r="O3879" s="12" t="s">
        <v>71</v>
      </c>
      <c r="P3879" s="12" t="s">
        <v>72</v>
      </c>
      <c r="Q3879" s="13">
        <v>45621</v>
      </c>
      <c r="R3879" s="13">
        <v>45643</v>
      </c>
      <c r="S3879">
        <v>2024</v>
      </c>
      <c r="T3879" s="12" t="s">
        <v>4665</v>
      </c>
      <c r="U3879">
        <v>56</v>
      </c>
      <c r="V3879">
        <v>45.034100000000002</v>
      </c>
      <c r="W3879">
        <v>36.47</v>
      </c>
      <c r="X3879">
        <v>0</v>
      </c>
      <c r="Y3879">
        <v>0</v>
      </c>
      <c r="Z3879">
        <v>2521.91</v>
      </c>
      <c r="AA3879">
        <v>2558.38</v>
      </c>
      <c r="AB3879" s="12" t="s">
        <v>2672</v>
      </c>
      <c r="AC3879">
        <v>45.034100000000002</v>
      </c>
      <c r="AD3879">
        <v>1</v>
      </c>
      <c r="AE3879">
        <v>1</v>
      </c>
      <c r="AF3879">
        <v>0</v>
      </c>
      <c r="AG3879">
        <v>2521.91</v>
      </c>
      <c r="AH3879">
        <v>56</v>
      </c>
      <c r="AI3879">
        <v>55</v>
      </c>
      <c r="AJ3879">
        <v>1</v>
      </c>
      <c r="AK3879">
        <v>1</v>
      </c>
      <c r="AL3879">
        <v>1</v>
      </c>
      <c r="AM3879">
        <v>98.21</v>
      </c>
      <c r="AN3879">
        <v>46.515999999999998</v>
      </c>
      <c r="AO3879">
        <v>45.03</v>
      </c>
      <c r="AP3879" s="13">
        <v>45641</v>
      </c>
      <c r="AQ3879">
        <v>-2</v>
      </c>
      <c r="AR3879">
        <v>1</v>
      </c>
    </row>
    <row r="3880" spans="1:44" x14ac:dyDescent="0.35">
      <c r="A3880" s="12" t="s">
        <v>4800</v>
      </c>
      <c r="B3880" s="12" t="s">
        <v>408</v>
      </c>
      <c r="C3880" s="12" t="s">
        <v>409</v>
      </c>
      <c r="D3880" s="12" t="s">
        <v>130</v>
      </c>
      <c r="E3880" s="12" t="s">
        <v>65</v>
      </c>
      <c r="F3880">
        <v>3</v>
      </c>
      <c r="G3880">
        <v>5</v>
      </c>
      <c r="H3880">
        <v>0</v>
      </c>
      <c r="I3880" s="12" t="s">
        <v>105</v>
      </c>
      <c r="J3880" s="12" t="s">
        <v>106</v>
      </c>
      <c r="K3880" s="12" t="s">
        <v>81</v>
      </c>
      <c r="L3880" s="12" t="s">
        <v>96</v>
      </c>
      <c r="M3880">
        <v>5.01</v>
      </c>
      <c r="N3880" s="12" t="s">
        <v>135</v>
      </c>
      <c r="O3880" s="12" t="s">
        <v>136</v>
      </c>
      <c r="P3880" s="12" t="s">
        <v>137</v>
      </c>
      <c r="Q3880" s="13">
        <v>45621</v>
      </c>
      <c r="R3880" s="13">
        <v>45656</v>
      </c>
      <c r="S3880">
        <v>2024</v>
      </c>
      <c r="T3880" s="12" t="s">
        <v>4665</v>
      </c>
      <c r="U3880">
        <v>123</v>
      </c>
      <c r="V3880">
        <v>746.87909999999999</v>
      </c>
      <c r="W3880">
        <v>633.77</v>
      </c>
      <c r="X3880">
        <v>0</v>
      </c>
      <c r="Y3880">
        <v>0</v>
      </c>
      <c r="Z3880">
        <v>91866.13</v>
      </c>
      <c r="AA3880">
        <v>92499.9</v>
      </c>
      <c r="AB3880" s="12" t="s">
        <v>3038</v>
      </c>
      <c r="AC3880">
        <v>746.87909999999999</v>
      </c>
      <c r="AD3880">
        <v>1</v>
      </c>
      <c r="AE3880">
        <v>1</v>
      </c>
      <c r="AF3880">
        <v>0</v>
      </c>
      <c r="AG3880">
        <v>91866.13</v>
      </c>
      <c r="AH3880">
        <v>123</v>
      </c>
      <c r="AI3880">
        <v>122</v>
      </c>
      <c r="AJ3880">
        <v>1</v>
      </c>
      <c r="AK3880">
        <v>1</v>
      </c>
      <c r="AL3880">
        <v>1</v>
      </c>
      <c r="AM3880">
        <v>99.19</v>
      </c>
      <c r="AN3880">
        <v>758.19590000000005</v>
      </c>
      <c r="AO3880">
        <v>746.88</v>
      </c>
      <c r="AP3880" s="13">
        <v>45656</v>
      </c>
      <c r="AQ3880">
        <v>0</v>
      </c>
      <c r="AR3880">
        <v>1</v>
      </c>
    </row>
    <row r="3881" spans="1:44" x14ac:dyDescent="0.35">
      <c r="A3881" s="12" t="s">
        <v>4801</v>
      </c>
      <c r="B3881" s="12" t="s">
        <v>617</v>
      </c>
      <c r="C3881" s="12" t="s">
        <v>618</v>
      </c>
      <c r="D3881" s="12" t="s">
        <v>78</v>
      </c>
      <c r="E3881" s="12" t="s">
        <v>65</v>
      </c>
      <c r="F3881">
        <v>2</v>
      </c>
      <c r="G3881">
        <v>4</v>
      </c>
      <c r="H3881">
        <v>0</v>
      </c>
      <c r="I3881" s="12" t="s">
        <v>341</v>
      </c>
      <c r="J3881" s="12" t="s">
        <v>342</v>
      </c>
      <c r="K3881" s="12" t="s">
        <v>117</v>
      </c>
      <c r="L3881" s="12" t="s">
        <v>82</v>
      </c>
      <c r="M3881">
        <v>18.36</v>
      </c>
      <c r="N3881" s="12" t="s">
        <v>70</v>
      </c>
      <c r="O3881" s="12" t="s">
        <v>71</v>
      </c>
      <c r="P3881" s="12" t="s">
        <v>72</v>
      </c>
      <c r="Q3881" s="13">
        <v>45621</v>
      </c>
      <c r="R3881" s="13">
        <v>45644</v>
      </c>
      <c r="S3881">
        <v>2024</v>
      </c>
      <c r="T3881" s="12" t="s">
        <v>4665</v>
      </c>
      <c r="U3881">
        <v>71</v>
      </c>
      <c r="V3881">
        <v>102.4909</v>
      </c>
      <c r="W3881">
        <v>155.69999999999999</v>
      </c>
      <c r="X3881">
        <v>0</v>
      </c>
      <c r="Y3881">
        <v>0</v>
      </c>
      <c r="Z3881">
        <v>7276.85</v>
      </c>
      <c r="AA3881">
        <v>7432.55</v>
      </c>
      <c r="AB3881" s="12" t="s">
        <v>3217</v>
      </c>
      <c r="AC3881">
        <v>102.4909</v>
      </c>
      <c r="AD3881">
        <v>1</v>
      </c>
      <c r="AE3881">
        <v>1</v>
      </c>
      <c r="AF3881">
        <v>0</v>
      </c>
      <c r="AG3881">
        <v>7276.85</v>
      </c>
      <c r="AH3881">
        <v>71</v>
      </c>
      <c r="AI3881">
        <v>70</v>
      </c>
      <c r="AJ3881">
        <v>1</v>
      </c>
      <c r="AK3881">
        <v>1</v>
      </c>
      <c r="AL3881">
        <v>1</v>
      </c>
      <c r="AM3881">
        <v>98.59</v>
      </c>
      <c r="AN3881">
        <v>106.1793</v>
      </c>
      <c r="AO3881">
        <v>102.49</v>
      </c>
      <c r="AP3881" s="13">
        <v>45642</v>
      </c>
      <c r="AQ3881">
        <v>-2</v>
      </c>
      <c r="AR3881">
        <v>1</v>
      </c>
    </row>
    <row r="3882" spans="1:44" x14ac:dyDescent="0.35">
      <c r="A3882" s="12" t="s">
        <v>4802</v>
      </c>
      <c r="B3882" s="12" t="s">
        <v>1666</v>
      </c>
      <c r="C3882" s="12" t="s">
        <v>1667</v>
      </c>
      <c r="D3882" s="12" t="s">
        <v>78</v>
      </c>
      <c r="E3882" s="12" t="s">
        <v>65</v>
      </c>
      <c r="F3882">
        <v>2</v>
      </c>
      <c r="G3882">
        <v>3</v>
      </c>
      <c r="H3882">
        <v>0</v>
      </c>
      <c r="I3882" s="12" t="s">
        <v>310</v>
      </c>
      <c r="J3882" s="12" t="s">
        <v>311</v>
      </c>
      <c r="K3882" s="12" t="s">
        <v>81</v>
      </c>
      <c r="L3882" s="12" t="s">
        <v>69</v>
      </c>
      <c r="M3882">
        <v>28.3</v>
      </c>
      <c r="N3882" s="12" t="s">
        <v>70</v>
      </c>
      <c r="O3882" s="12" t="s">
        <v>71</v>
      </c>
      <c r="P3882" s="12" t="s">
        <v>72</v>
      </c>
      <c r="Q3882" s="13">
        <v>45621</v>
      </c>
      <c r="R3882" s="13">
        <v>45658</v>
      </c>
      <c r="S3882">
        <v>2024</v>
      </c>
      <c r="T3882" s="12" t="s">
        <v>4665</v>
      </c>
      <c r="U3882">
        <v>275</v>
      </c>
      <c r="V3882">
        <v>73.412099999999995</v>
      </c>
      <c r="W3882">
        <v>310.18</v>
      </c>
      <c r="X3882">
        <v>0</v>
      </c>
      <c r="Y3882">
        <v>0</v>
      </c>
      <c r="Z3882">
        <v>20188.330000000002</v>
      </c>
      <c r="AA3882">
        <v>20498.509999999998</v>
      </c>
      <c r="AB3882" s="12" t="s">
        <v>3090</v>
      </c>
      <c r="AC3882">
        <v>73.412099999999995</v>
      </c>
      <c r="AD3882">
        <v>1</v>
      </c>
      <c r="AE3882">
        <v>1</v>
      </c>
      <c r="AF3882">
        <v>0</v>
      </c>
      <c r="AG3882">
        <v>20188.330000000002</v>
      </c>
      <c r="AH3882">
        <v>275</v>
      </c>
      <c r="AI3882">
        <v>270</v>
      </c>
      <c r="AJ3882">
        <v>5</v>
      </c>
      <c r="AK3882">
        <v>1</v>
      </c>
      <c r="AL3882">
        <v>1</v>
      </c>
      <c r="AM3882">
        <v>98.18</v>
      </c>
      <c r="AN3882">
        <v>75.920400000000001</v>
      </c>
      <c r="AO3882">
        <v>367.06</v>
      </c>
      <c r="AP3882" s="13">
        <v>45657</v>
      </c>
      <c r="AQ3882">
        <v>-1</v>
      </c>
      <c r="AR3882">
        <v>1</v>
      </c>
    </row>
    <row r="3883" spans="1:44" x14ac:dyDescent="0.35">
      <c r="A3883" s="12" t="s">
        <v>4803</v>
      </c>
      <c r="B3883" s="12" t="s">
        <v>1134</v>
      </c>
      <c r="C3883" s="12" t="s">
        <v>1135</v>
      </c>
      <c r="D3883" s="12" t="s">
        <v>269</v>
      </c>
      <c r="E3883" s="12" t="s">
        <v>104</v>
      </c>
      <c r="F3883">
        <v>2</v>
      </c>
      <c r="G3883">
        <v>0</v>
      </c>
      <c r="H3883">
        <v>0</v>
      </c>
      <c r="I3883" s="12" t="s">
        <v>335</v>
      </c>
      <c r="J3883" s="12" t="s">
        <v>336</v>
      </c>
      <c r="K3883" s="12" t="s">
        <v>89</v>
      </c>
      <c r="L3883" s="12" t="s">
        <v>82</v>
      </c>
      <c r="M3883">
        <v>16</v>
      </c>
      <c r="N3883" s="12" t="s">
        <v>159</v>
      </c>
      <c r="O3883" s="12" t="s">
        <v>160</v>
      </c>
      <c r="P3883" s="12" t="s">
        <v>137</v>
      </c>
      <c r="Q3883" s="13">
        <v>45621</v>
      </c>
      <c r="R3883" s="13">
        <v>45637</v>
      </c>
      <c r="S3883">
        <v>2024</v>
      </c>
      <c r="T3883" s="12" t="s">
        <v>4665</v>
      </c>
      <c r="U3883">
        <v>47</v>
      </c>
      <c r="V3883">
        <v>104.307</v>
      </c>
      <c r="W3883">
        <v>41.94</v>
      </c>
      <c r="X3883">
        <v>0</v>
      </c>
      <c r="Y3883">
        <v>0</v>
      </c>
      <c r="Z3883">
        <v>4902.43</v>
      </c>
      <c r="AA3883">
        <v>4944.37</v>
      </c>
      <c r="AB3883" s="12" t="s">
        <v>3885</v>
      </c>
      <c r="AC3883">
        <v>104.307</v>
      </c>
      <c r="AD3883">
        <v>1</v>
      </c>
      <c r="AE3883">
        <v>1</v>
      </c>
      <c r="AF3883">
        <v>0</v>
      </c>
      <c r="AG3883">
        <v>4902.43</v>
      </c>
      <c r="AH3883">
        <v>47</v>
      </c>
      <c r="AI3883">
        <v>47</v>
      </c>
      <c r="AJ3883">
        <v>0</v>
      </c>
      <c r="AK3883">
        <v>1</v>
      </c>
      <c r="AL3883">
        <v>1</v>
      </c>
      <c r="AM3883">
        <v>100</v>
      </c>
      <c r="AN3883">
        <v>105.19929999999999</v>
      </c>
      <c r="AO3883">
        <v>0</v>
      </c>
      <c r="AP3883" s="13">
        <v>45634</v>
      </c>
      <c r="AQ3883">
        <v>-3</v>
      </c>
      <c r="AR3883">
        <v>1</v>
      </c>
    </row>
    <row r="3884" spans="1:44" x14ac:dyDescent="0.35">
      <c r="A3884" s="12" t="s">
        <v>4804</v>
      </c>
      <c r="B3884" s="12" t="s">
        <v>537</v>
      </c>
      <c r="C3884" s="12" t="s">
        <v>538</v>
      </c>
      <c r="D3884" s="12" t="s">
        <v>103</v>
      </c>
      <c r="E3884" s="12" t="s">
        <v>104</v>
      </c>
      <c r="F3884">
        <v>3</v>
      </c>
      <c r="G3884">
        <v>0</v>
      </c>
      <c r="H3884">
        <v>0</v>
      </c>
      <c r="I3884" s="12" t="s">
        <v>380</v>
      </c>
      <c r="J3884" s="12" t="s">
        <v>381</v>
      </c>
      <c r="K3884" s="12" t="s">
        <v>89</v>
      </c>
      <c r="L3884" s="12" t="s">
        <v>96</v>
      </c>
      <c r="M3884">
        <v>10.210000000000001</v>
      </c>
      <c r="N3884" s="12" t="s">
        <v>145</v>
      </c>
      <c r="O3884" s="12" t="s">
        <v>146</v>
      </c>
      <c r="P3884" s="12" t="s">
        <v>109</v>
      </c>
      <c r="Q3884" s="13">
        <v>45622</v>
      </c>
      <c r="R3884" s="13">
        <v>45651</v>
      </c>
      <c r="S3884">
        <v>2024</v>
      </c>
      <c r="T3884" s="12" t="s">
        <v>4665</v>
      </c>
      <c r="U3884">
        <v>144</v>
      </c>
      <c r="V3884">
        <v>242.5198</v>
      </c>
      <c r="W3884">
        <v>788.24</v>
      </c>
      <c r="X3884">
        <v>0</v>
      </c>
      <c r="Y3884">
        <v>0</v>
      </c>
      <c r="Z3884">
        <v>34922.85</v>
      </c>
      <c r="AA3884">
        <v>35711.089999999997</v>
      </c>
      <c r="AB3884" s="12" t="s">
        <v>3095</v>
      </c>
      <c r="AC3884">
        <v>242.5198</v>
      </c>
      <c r="AD3884">
        <v>1</v>
      </c>
      <c r="AE3884">
        <v>1</v>
      </c>
      <c r="AF3884">
        <v>0</v>
      </c>
      <c r="AG3884">
        <v>34922.85</v>
      </c>
      <c r="AH3884">
        <v>144</v>
      </c>
      <c r="AI3884">
        <v>144</v>
      </c>
      <c r="AJ3884">
        <v>0</v>
      </c>
      <c r="AK3884">
        <v>1</v>
      </c>
      <c r="AL3884">
        <v>1</v>
      </c>
      <c r="AM3884">
        <v>100</v>
      </c>
      <c r="AN3884">
        <v>247.99369999999999</v>
      </c>
      <c r="AO3884">
        <v>0</v>
      </c>
      <c r="AP3884" s="13">
        <v>45650</v>
      </c>
      <c r="AQ3884">
        <v>-1</v>
      </c>
      <c r="AR3884">
        <v>1</v>
      </c>
    </row>
    <row r="3885" spans="1:44" x14ac:dyDescent="0.35">
      <c r="A3885" s="12" t="s">
        <v>4805</v>
      </c>
      <c r="B3885" s="12" t="s">
        <v>548</v>
      </c>
      <c r="C3885" s="12" t="s">
        <v>549</v>
      </c>
      <c r="D3885" s="12" t="s">
        <v>78</v>
      </c>
      <c r="E3885" s="12" t="s">
        <v>104</v>
      </c>
      <c r="F3885">
        <v>3</v>
      </c>
      <c r="G3885">
        <v>1</v>
      </c>
      <c r="H3885">
        <v>0</v>
      </c>
      <c r="I3885" s="12" t="s">
        <v>223</v>
      </c>
      <c r="J3885" s="12" t="s">
        <v>224</v>
      </c>
      <c r="K3885" s="12" t="s">
        <v>81</v>
      </c>
      <c r="L3885" s="12" t="s">
        <v>134</v>
      </c>
      <c r="M3885">
        <v>2.4900000000000002</v>
      </c>
      <c r="N3885" s="12" t="s">
        <v>70</v>
      </c>
      <c r="O3885" s="12" t="s">
        <v>71</v>
      </c>
      <c r="P3885" s="12" t="s">
        <v>72</v>
      </c>
      <c r="Q3885" s="13">
        <v>45622</v>
      </c>
      <c r="R3885" s="13">
        <v>45636</v>
      </c>
      <c r="S3885">
        <v>2024</v>
      </c>
      <c r="T3885" s="12" t="s">
        <v>4665</v>
      </c>
      <c r="U3885">
        <v>73</v>
      </c>
      <c r="V3885">
        <v>59.346200000000003</v>
      </c>
      <c r="W3885">
        <v>83.87</v>
      </c>
      <c r="X3885">
        <v>0</v>
      </c>
      <c r="Y3885">
        <v>0</v>
      </c>
      <c r="Z3885">
        <v>4332.2700000000004</v>
      </c>
      <c r="AA3885">
        <v>4416.1400000000003</v>
      </c>
      <c r="AB3885" s="12" t="s">
        <v>3127</v>
      </c>
      <c r="AC3885">
        <v>59.346200000000003</v>
      </c>
      <c r="AD3885">
        <v>1</v>
      </c>
      <c r="AE3885">
        <v>1</v>
      </c>
      <c r="AF3885">
        <v>0</v>
      </c>
      <c r="AG3885">
        <v>4332.2700000000004</v>
      </c>
      <c r="AH3885">
        <v>73</v>
      </c>
      <c r="AI3885">
        <v>71</v>
      </c>
      <c r="AJ3885">
        <v>2</v>
      </c>
      <c r="AK3885">
        <v>1</v>
      </c>
      <c r="AL3885">
        <v>1</v>
      </c>
      <c r="AM3885">
        <v>97.26</v>
      </c>
      <c r="AN3885">
        <v>62.199199999999998</v>
      </c>
      <c r="AO3885">
        <v>118.69</v>
      </c>
      <c r="AP3885" s="13">
        <v>45636</v>
      </c>
      <c r="AQ3885">
        <v>0</v>
      </c>
      <c r="AR3885">
        <v>1</v>
      </c>
    </row>
    <row r="3886" spans="1:44" x14ac:dyDescent="0.35">
      <c r="A3886" s="12" t="s">
        <v>4806</v>
      </c>
      <c r="B3886" s="12" t="s">
        <v>555</v>
      </c>
      <c r="C3886" s="12" t="s">
        <v>556</v>
      </c>
      <c r="D3886" s="12" t="s">
        <v>114</v>
      </c>
      <c r="E3886" s="12" t="s">
        <v>142</v>
      </c>
      <c r="F3886">
        <v>1</v>
      </c>
      <c r="G3886">
        <v>6</v>
      </c>
      <c r="H3886">
        <v>1</v>
      </c>
      <c r="I3886" s="12" t="s">
        <v>151</v>
      </c>
      <c r="J3886" s="12" t="s">
        <v>152</v>
      </c>
      <c r="K3886" s="12" t="s">
        <v>125</v>
      </c>
      <c r="L3886" s="12" t="s">
        <v>69</v>
      </c>
      <c r="M3886">
        <v>36.479999999999997</v>
      </c>
      <c r="N3886" s="12" t="s">
        <v>70</v>
      </c>
      <c r="O3886" s="12" t="s">
        <v>71</v>
      </c>
      <c r="P3886" s="12" t="s">
        <v>72</v>
      </c>
      <c r="Q3886" s="13">
        <v>45622</v>
      </c>
      <c r="R3886" s="13">
        <v>45671</v>
      </c>
      <c r="S3886">
        <v>2024</v>
      </c>
      <c r="T3886" s="12" t="s">
        <v>4665</v>
      </c>
      <c r="U3886">
        <v>122</v>
      </c>
      <c r="V3886">
        <v>278.31920000000002</v>
      </c>
      <c r="W3886">
        <v>434.73</v>
      </c>
      <c r="X3886">
        <v>0</v>
      </c>
      <c r="Y3886">
        <v>0</v>
      </c>
      <c r="Z3886">
        <v>33954.94</v>
      </c>
      <c r="AA3886">
        <v>34389.67</v>
      </c>
      <c r="AB3886" s="12" t="s">
        <v>2922</v>
      </c>
      <c r="AC3886">
        <v>278.31920000000002</v>
      </c>
      <c r="AD3886">
        <v>1</v>
      </c>
      <c r="AE3886">
        <v>1</v>
      </c>
      <c r="AF3886">
        <v>0</v>
      </c>
      <c r="AG3886">
        <v>33954.94</v>
      </c>
      <c r="AH3886">
        <v>122</v>
      </c>
      <c r="AI3886">
        <v>119</v>
      </c>
      <c r="AJ3886">
        <v>3</v>
      </c>
      <c r="AK3886">
        <v>1</v>
      </c>
      <c r="AL3886">
        <v>1</v>
      </c>
      <c r="AM3886">
        <v>97.54</v>
      </c>
      <c r="AN3886">
        <v>288.98880000000003</v>
      </c>
      <c r="AO3886">
        <v>834.96</v>
      </c>
      <c r="AP3886" s="13">
        <v>45673</v>
      </c>
      <c r="AQ3886">
        <v>2</v>
      </c>
      <c r="AR3886">
        <v>0</v>
      </c>
    </row>
    <row r="3887" spans="1:44" x14ac:dyDescent="0.35">
      <c r="A3887" s="12" t="s">
        <v>4807</v>
      </c>
      <c r="B3887" s="12" t="s">
        <v>442</v>
      </c>
      <c r="C3887" s="12" t="s">
        <v>443</v>
      </c>
      <c r="D3887" s="12" t="s">
        <v>130</v>
      </c>
      <c r="E3887" s="12" t="s">
        <v>65</v>
      </c>
      <c r="F3887">
        <v>3</v>
      </c>
      <c r="G3887">
        <v>4</v>
      </c>
      <c r="H3887">
        <v>0</v>
      </c>
      <c r="I3887" s="12" t="s">
        <v>251</v>
      </c>
      <c r="J3887" s="12" t="s">
        <v>252</v>
      </c>
      <c r="K3887" s="12" t="s">
        <v>133</v>
      </c>
      <c r="L3887" s="12" t="s">
        <v>69</v>
      </c>
      <c r="M3887">
        <v>34.49</v>
      </c>
      <c r="N3887" s="12" t="s">
        <v>135</v>
      </c>
      <c r="O3887" s="12" t="s">
        <v>136</v>
      </c>
      <c r="P3887" s="12" t="s">
        <v>137</v>
      </c>
      <c r="Q3887" s="13">
        <v>45622</v>
      </c>
      <c r="R3887" s="13">
        <v>45650</v>
      </c>
      <c r="S3887">
        <v>2024</v>
      </c>
      <c r="T3887" s="12" t="s">
        <v>4665</v>
      </c>
      <c r="U3887">
        <v>66</v>
      </c>
      <c r="V3887">
        <v>560.57730000000004</v>
      </c>
      <c r="W3887">
        <v>596.64</v>
      </c>
      <c r="X3887">
        <v>1111.51</v>
      </c>
      <c r="Y3887">
        <v>1</v>
      </c>
      <c r="Z3887">
        <v>36998.1</v>
      </c>
      <c r="AA3887">
        <v>38706.25</v>
      </c>
      <c r="AB3887" s="12" t="s">
        <v>3116</v>
      </c>
      <c r="AC3887">
        <v>560.57730000000004</v>
      </c>
      <c r="AD3887">
        <v>1</v>
      </c>
      <c r="AE3887">
        <v>1</v>
      </c>
      <c r="AF3887">
        <v>0</v>
      </c>
      <c r="AG3887">
        <v>36998.1</v>
      </c>
      <c r="AH3887">
        <v>66</v>
      </c>
      <c r="AI3887">
        <v>65</v>
      </c>
      <c r="AJ3887">
        <v>1</v>
      </c>
      <c r="AK3887">
        <v>1</v>
      </c>
      <c r="AL3887">
        <v>1</v>
      </c>
      <c r="AM3887">
        <v>98.48</v>
      </c>
      <c r="AN3887">
        <v>595.48080000000004</v>
      </c>
      <c r="AO3887">
        <v>560.58000000000004</v>
      </c>
      <c r="AP3887" s="13">
        <v>45648</v>
      </c>
      <c r="AQ3887">
        <v>-2</v>
      </c>
      <c r="AR3887">
        <v>1</v>
      </c>
    </row>
    <row r="3888" spans="1:44" x14ac:dyDescent="0.35">
      <c r="A3888" s="12" t="s">
        <v>4808</v>
      </c>
      <c r="B3888" s="12" t="s">
        <v>120</v>
      </c>
      <c r="C3888" s="12" t="s">
        <v>121</v>
      </c>
      <c r="D3888" s="12" t="s">
        <v>122</v>
      </c>
      <c r="E3888" s="12" t="s">
        <v>65</v>
      </c>
      <c r="F3888">
        <v>3</v>
      </c>
      <c r="G3888">
        <v>4</v>
      </c>
      <c r="H3888">
        <v>0</v>
      </c>
      <c r="I3888" s="12" t="s">
        <v>79</v>
      </c>
      <c r="J3888" s="12" t="s">
        <v>80</v>
      </c>
      <c r="K3888" s="12" t="s">
        <v>81</v>
      </c>
      <c r="L3888" s="12" t="s">
        <v>82</v>
      </c>
      <c r="M3888">
        <v>12.07</v>
      </c>
      <c r="N3888" s="12" t="s">
        <v>97</v>
      </c>
      <c r="O3888" s="12" t="s">
        <v>98</v>
      </c>
      <c r="P3888" s="12" t="s">
        <v>72</v>
      </c>
      <c r="Q3888" s="13">
        <v>45622</v>
      </c>
      <c r="R3888" s="13">
        <v>45645</v>
      </c>
      <c r="S3888">
        <v>2024</v>
      </c>
      <c r="T3888" s="12" t="s">
        <v>4665</v>
      </c>
      <c r="U3888">
        <v>466</v>
      </c>
      <c r="V3888">
        <v>53.257199999999997</v>
      </c>
      <c r="W3888">
        <v>428.24</v>
      </c>
      <c r="X3888">
        <v>0</v>
      </c>
      <c r="Y3888">
        <v>0</v>
      </c>
      <c r="Z3888">
        <v>24817.86</v>
      </c>
      <c r="AA3888">
        <v>25246.1</v>
      </c>
      <c r="AB3888" s="12" t="s">
        <v>4809</v>
      </c>
      <c r="AC3888">
        <v>53.257199999999997</v>
      </c>
      <c r="AD3888">
        <v>1</v>
      </c>
      <c r="AE3888">
        <v>1</v>
      </c>
      <c r="AF3888">
        <v>0</v>
      </c>
      <c r="AG3888">
        <v>24817.86</v>
      </c>
      <c r="AH3888">
        <v>466</v>
      </c>
      <c r="AI3888">
        <v>464</v>
      </c>
      <c r="AJ3888">
        <v>2</v>
      </c>
      <c r="AK3888">
        <v>1</v>
      </c>
      <c r="AL3888">
        <v>1</v>
      </c>
      <c r="AM3888">
        <v>99.57</v>
      </c>
      <c r="AN3888">
        <v>54.409700000000001</v>
      </c>
      <c r="AO3888">
        <v>106.51</v>
      </c>
      <c r="AP3888" s="13">
        <v>45643</v>
      </c>
      <c r="AQ3888">
        <v>-2</v>
      </c>
      <c r="AR3888">
        <v>1</v>
      </c>
    </row>
    <row r="3889" spans="1:44" x14ac:dyDescent="0.35">
      <c r="A3889" s="12" t="s">
        <v>4810</v>
      </c>
      <c r="B3889" s="12" t="s">
        <v>657</v>
      </c>
      <c r="C3889" s="12" t="s">
        <v>658</v>
      </c>
      <c r="D3889" s="12" t="s">
        <v>175</v>
      </c>
      <c r="E3889" s="12" t="s">
        <v>65</v>
      </c>
      <c r="F3889">
        <v>1</v>
      </c>
      <c r="G3889">
        <v>2</v>
      </c>
      <c r="H3889">
        <v>1</v>
      </c>
      <c r="I3889" s="12" t="s">
        <v>183</v>
      </c>
      <c r="J3889" s="12" t="s">
        <v>184</v>
      </c>
      <c r="K3889" s="12" t="s">
        <v>133</v>
      </c>
      <c r="L3889" s="12" t="s">
        <v>82</v>
      </c>
      <c r="M3889">
        <v>8.6199999999999992</v>
      </c>
      <c r="N3889" s="12" t="s">
        <v>145</v>
      </c>
      <c r="O3889" s="12" t="s">
        <v>146</v>
      </c>
      <c r="P3889" s="12" t="s">
        <v>109</v>
      </c>
      <c r="Q3889" s="13">
        <v>45622</v>
      </c>
      <c r="R3889" s="13">
        <v>45645</v>
      </c>
      <c r="S3889">
        <v>2024</v>
      </c>
      <c r="T3889" s="12" t="s">
        <v>4665</v>
      </c>
      <c r="U3889">
        <v>26</v>
      </c>
      <c r="V3889">
        <v>149.10310000000001</v>
      </c>
      <c r="W3889">
        <v>26.34</v>
      </c>
      <c r="X3889">
        <v>0</v>
      </c>
      <c r="Y3889">
        <v>0</v>
      </c>
      <c r="Z3889">
        <v>3876.68</v>
      </c>
      <c r="AA3889">
        <v>3903.02</v>
      </c>
      <c r="AB3889" s="12" t="s">
        <v>3525</v>
      </c>
      <c r="AC3889">
        <v>149.10310000000001</v>
      </c>
      <c r="AD3889">
        <v>1</v>
      </c>
      <c r="AE3889">
        <v>1</v>
      </c>
      <c r="AF3889">
        <v>0</v>
      </c>
      <c r="AG3889">
        <v>3876.68</v>
      </c>
      <c r="AH3889">
        <v>26</v>
      </c>
      <c r="AI3889">
        <v>26</v>
      </c>
      <c r="AJ3889">
        <v>0</v>
      </c>
      <c r="AK3889">
        <v>1</v>
      </c>
      <c r="AL3889">
        <v>1</v>
      </c>
      <c r="AM3889">
        <v>100</v>
      </c>
      <c r="AN3889">
        <v>150.11619999999999</v>
      </c>
      <c r="AO3889">
        <v>0</v>
      </c>
      <c r="AP3889" s="13">
        <v>45644</v>
      </c>
      <c r="AQ3889">
        <v>-1</v>
      </c>
      <c r="AR3889">
        <v>1</v>
      </c>
    </row>
    <row r="3890" spans="1:44" x14ac:dyDescent="0.35">
      <c r="A3890" s="12" t="s">
        <v>4811</v>
      </c>
      <c r="B3890" s="12" t="s">
        <v>255</v>
      </c>
      <c r="C3890" s="12" t="s">
        <v>256</v>
      </c>
      <c r="D3890" s="12" t="s">
        <v>103</v>
      </c>
      <c r="E3890" s="12" t="s">
        <v>65</v>
      </c>
      <c r="F3890">
        <v>2</v>
      </c>
      <c r="G3890">
        <v>4</v>
      </c>
      <c r="H3890">
        <v>0</v>
      </c>
      <c r="I3890" s="12" t="s">
        <v>143</v>
      </c>
      <c r="J3890" s="12" t="s">
        <v>144</v>
      </c>
      <c r="K3890" s="12" t="s">
        <v>133</v>
      </c>
      <c r="L3890" s="12" t="s">
        <v>96</v>
      </c>
      <c r="M3890">
        <v>5.43</v>
      </c>
      <c r="N3890" s="12" t="s">
        <v>107</v>
      </c>
      <c r="O3890" s="12" t="s">
        <v>108</v>
      </c>
      <c r="P3890" s="12" t="s">
        <v>109</v>
      </c>
      <c r="Q3890" s="13">
        <v>45622</v>
      </c>
      <c r="R3890" s="13">
        <v>45650</v>
      </c>
      <c r="S3890">
        <v>2024</v>
      </c>
      <c r="T3890" s="12" t="s">
        <v>4665</v>
      </c>
      <c r="U3890">
        <v>65</v>
      </c>
      <c r="V3890">
        <v>95.073300000000003</v>
      </c>
      <c r="W3890">
        <v>58.27</v>
      </c>
      <c r="X3890">
        <v>0</v>
      </c>
      <c r="Y3890">
        <v>0</v>
      </c>
      <c r="Z3890">
        <v>6179.76</v>
      </c>
      <c r="AA3890">
        <v>6238.03</v>
      </c>
      <c r="AB3890" s="12" t="s">
        <v>2616</v>
      </c>
      <c r="AC3890">
        <v>95.073300000000003</v>
      </c>
      <c r="AD3890">
        <v>1</v>
      </c>
      <c r="AE3890">
        <v>1</v>
      </c>
      <c r="AF3890">
        <v>0</v>
      </c>
      <c r="AG3890">
        <v>6179.76</v>
      </c>
      <c r="AH3890">
        <v>65</v>
      </c>
      <c r="AI3890">
        <v>64</v>
      </c>
      <c r="AJ3890">
        <v>1</v>
      </c>
      <c r="AK3890">
        <v>1</v>
      </c>
      <c r="AL3890">
        <v>1</v>
      </c>
      <c r="AM3890">
        <v>98.46</v>
      </c>
      <c r="AN3890">
        <v>97.469300000000004</v>
      </c>
      <c r="AO3890">
        <v>95.07</v>
      </c>
      <c r="AP3890" s="13">
        <v>45647</v>
      </c>
      <c r="AQ3890">
        <v>-3</v>
      </c>
      <c r="AR3890">
        <v>1</v>
      </c>
    </row>
    <row r="3891" spans="1:44" x14ac:dyDescent="0.35">
      <c r="A3891" s="12" t="s">
        <v>4812</v>
      </c>
      <c r="B3891" s="12" t="s">
        <v>255</v>
      </c>
      <c r="C3891" s="12" t="s">
        <v>256</v>
      </c>
      <c r="D3891" s="12" t="s">
        <v>103</v>
      </c>
      <c r="E3891" s="12" t="s">
        <v>65</v>
      </c>
      <c r="F3891">
        <v>2</v>
      </c>
      <c r="G3891">
        <v>4</v>
      </c>
      <c r="H3891">
        <v>0</v>
      </c>
      <c r="I3891" s="12" t="s">
        <v>251</v>
      </c>
      <c r="J3891" s="12" t="s">
        <v>252</v>
      </c>
      <c r="K3891" s="12" t="s">
        <v>133</v>
      </c>
      <c r="L3891" s="12" t="s">
        <v>69</v>
      </c>
      <c r="M3891">
        <v>34.49</v>
      </c>
      <c r="N3891" s="12" t="s">
        <v>145</v>
      </c>
      <c r="O3891" s="12" t="s">
        <v>146</v>
      </c>
      <c r="P3891" s="12" t="s">
        <v>109</v>
      </c>
      <c r="Q3891" s="13">
        <v>45622</v>
      </c>
      <c r="R3891" s="13">
        <v>45644</v>
      </c>
      <c r="S3891">
        <v>2024</v>
      </c>
      <c r="T3891" s="12" t="s">
        <v>4665</v>
      </c>
      <c r="U3891">
        <v>22</v>
      </c>
      <c r="V3891">
        <v>94.280900000000003</v>
      </c>
      <c r="W3891">
        <v>39.450000000000003</v>
      </c>
      <c r="X3891">
        <v>0</v>
      </c>
      <c r="Y3891">
        <v>0</v>
      </c>
      <c r="Z3891">
        <v>2074.1799999999998</v>
      </c>
      <c r="AA3891">
        <v>2113.63</v>
      </c>
      <c r="AB3891" s="12" t="s">
        <v>3720</v>
      </c>
      <c r="AC3891">
        <v>94.280900000000003</v>
      </c>
      <c r="AD3891">
        <v>1</v>
      </c>
      <c r="AE3891">
        <v>1</v>
      </c>
      <c r="AF3891">
        <v>0</v>
      </c>
      <c r="AG3891">
        <v>2074.1799999999998</v>
      </c>
      <c r="AH3891">
        <v>22</v>
      </c>
      <c r="AI3891">
        <v>22</v>
      </c>
      <c r="AJ3891">
        <v>0</v>
      </c>
      <c r="AK3891">
        <v>1</v>
      </c>
      <c r="AL3891">
        <v>1</v>
      </c>
      <c r="AM3891">
        <v>100</v>
      </c>
      <c r="AN3891">
        <v>96.074100000000001</v>
      </c>
      <c r="AO3891">
        <v>0</v>
      </c>
      <c r="AP3891" s="13">
        <v>45649</v>
      </c>
      <c r="AQ3891">
        <v>5</v>
      </c>
      <c r="AR3891">
        <v>0</v>
      </c>
    </row>
    <row r="3892" spans="1:44" x14ac:dyDescent="0.35">
      <c r="A3892" s="12" t="s">
        <v>4813</v>
      </c>
      <c r="B3892" s="12" t="s">
        <v>1166</v>
      </c>
      <c r="C3892" s="12" t="s">
        <v>1167</v>
      </c>
      <c r="D3892" s="12" t="s">
        <v>175</v>
      </c>
      <c r="E3892" s="12" t="s">
        <v>65</v>
      </c>
      <c r="F3892">
        <v>3</v>
      </c>
      <c r="G3892">
        <v>5</v>
      </c>
      <c r="H3892">
        <v>0</v>
      </c>
      <c r="I3892" s="12" t="s">
        <v>143</v>
      </c>
      <c r="J3892" s="12" t="s">
        <v>144</v>
      </c>
      <c r="K3892" s="12" t="s">
        <v>133</v>
      </c>
      <c r="L3892" s="12" t="s">
        <v>96</v>
      </c>
      <c r="M3892">
        <v>5.43</v>
      </c>
      <c r="N3892" s="12" t="s">
        <v>107</v>
      </c>
      <c r="O3892" s="12" t="s">
        <v>108</v>
      </c>
      <c r="P3892" s="12" t="s">
        <v>109</v>
      </c>
      <c r="Q3892" s="13">
        <v>45622</v>
      </c>
      <c r="R3892" s="13">
        <v>45653</v>
      </c>
      <c r="S3892">
        <v>2024</v>
      </c>
      <c r="T3892" s="12" t="s">
        <v>4665</v>
      </c>
      <c r="U3892">
        <v>88</v>
      </c>
      <c r="V3892">
        <v>242.2901</v>
      </c>
      <c r="W3892">
        <v>153.9</v>
      </c>
      <c r="X3892">
        <v>687.71</v>
      </c>
      <c r="Y3892">
        <v>1</v>
      </c>
      <c r="Z3892">
        <v>21321.53</v>
      </c>
      <c r="AA3892">
        <v>22163.14</v>
      </c>
      <c r="AB3892" s="12" t="s">
        <v>201</v>
      </c>
      <c r="AD3892">
        <v>0</v>
      </c>
      <c r="AE3892">
        <v>0</v>
      </c>
      <c r="AH3892">
        <v>88</v>
      </c>
      <c r="AI3892">
        <v>88</v>
      </c>
      <c r="AJ3892">
        <v>0</v>
      </c>
      <c r="AK3892">
        <v>1</v>
      </c>
      <c r="AL3892">
        <v>1</v>
      </c>
      <c r="AM3892">
        <v>100</v>
      </c>
      <c r="AN3892">
        <v>251.85390000000001</v>
      </c>
      <c r="AO3892">
        <v>0</v>
      </c>
      <c r="AP3892" s="13">
        <v>45653</v>
      </c>
      <c r="AQ3892">
        <v>0</v>
      </c>
      <c r="AR3892">
        <v>1</v>
      </c>
    </row>
    <row r="3893" spans="1:44" x14ac:dyDescent="0.35">
      <c r="A3893" s="12" t="s">
        <v>4814</v>
      </c>
      <c r="B3893" s="12" t="s">
        <v>941</v>
      </c>
      <c r="C3893" s="12" t="s">
        <v>942</v>
      </c>
      <c r="D3893" s="12" t="s">
        <v>130</v>
      </c>
      <c r="E3893" s="12" t="s">
        <v>104</v>
      </c>
      <c r="F3893">
        <v>2</v>
      </c>
      <c r="G3893">
        <v>0</v>
      </c>
      <c r="H3893">
        <v>0</v>
      </c>
      <c r="I3893" s="12" t="s">
        <v>151</v>
      </c>
      <c r="J3893" s="12" t="s">
        <v>152</v>
      </c>
      <c r="K3893" s="12" t="s">
        <v>125</v>
      </c>
      <c r="L3893" s="12" t="s">
        <v>69</v>
      </c>
      <c r="M3893">
        <v>36.479999999999997</v>
      </c>
      <c r="N3893" s="12" t="s">
        <v>159</v>
      </c>
      <c r="O3893" s="12" t="s">
        <v>160</v>
      </c>
      <c r="P3893" s="12" t="s">
        <v>137</v>
      </c>
      <c r="Q3893" s="13">
        <v>45622</v>
      </c>
      <c r="R3893" s="13">
        <v>45650</v>
      </c>
      <c r="S3893">
        <v>2024</v>
      </c>
      <c r="T3893" s="12" t="s">
        <v>4665</v>
      </c>
      <c r="U3893">
        <v>134</v>
      </c>
      <c r="V3893">
        <v>954.04200000000003</v>
      </c>
      <c r="W3893">
        <v>2755.69</v>
      </c>
      <c r="X3893">
        <v>0</v>
      </c>
      <c r="Y3893">
        <v>0</v>
      </c>
      <c r="Z3893">
        <v>127841.63</v>
      </c>
      <c r="AA3893">
        <v>130597.32</v>
      </c>
      <c r="AB3893" s="12" t="s">
        <v>4232</v>
      </c>
      <c r="AC3893">
        <v>954.04200000000003</v>
      </c>
      <c r="AD3893">
        <v>1</v>
      </c>
      <c r="AE3893">
        <v>1</v>
      </c>
      <c r="AF3893">
        <v>0</v>
      </c>
      <c r="AG3893">
        <v>127841.63</v>
      </c>
      <c r="AH3893">
        <v>134</v>
      </c>
      <c r="AI3893">
        <v>134</v>
      </c>
      <c r="AJ3893">
        <v>0</v>
      </c>
      <c r="AK3893">
        <v>1</v>
      </c>
      <c r="AL3893">
        <v>1</v>
      </c>
      <c r="AM3893">
        <v>100</v>
      </c>
      <c r="AN3893">
        <v>974.6069</v>
      </c>
      <c r="AO3893">
        <v>0</v>
      </c>
      <c r="AP3893" s="13">
        <v>45648</v>
      </c>
      <c r="AQ3893">
        <v>-2</v>
      </c>
      <c r="AR3893">
        <v>1</v>
      </c>
    </row>
    <row r="3894" spans="1:44" x14ac:dyDescent="0.35">
      <c r="A3894" s="12" t="s">
        <v>4815</v>
      </c>
      <c r="B3894" s="12" t="s">
        <v>602</v>
      </c>
      <c r="C3894" s="12" t="s">
        <v>603</v>
      </c>
      <c r="D3894" s="12" t="s">
        <v>114</v>
      </c>
      <c r="E3894" s="12" t="s">
        <v>142</v>
      </c>
      <c r="F3894">
        <v>2</v>
      </c>
      <c r="G3894">
        <v>10</v>
      </c>
      <c r="H3894">
        <v>0</v>
      </c>
      <c r="I3894" s="12" t="s">
        <v>263</v>
      </c>
      <c r="J3894" s="12" t="s">
        <v>264</v>
      </c>
      <c r="K3894" s="12" t="s">
        <v>125</v>
      </c>
      <c r="L3894" s="12" t="s">
        <v>82</v>
      </c>
      <c r="M3894">
        <v>10.210000000000001</v>
      </c>
      <c r="N3894" s="12" t="s">
        <v>97</v>
      </c>
      <c r="O3894" s="12" t="s">
        <v>98</v>
      </c>
      <c r="P3894" s="12" t="s">
        <v>72</v>
      </c>
      <c r="Q3894" s="13">
        <v>45622</v>
      </c>
      <c r="R3894" s="13">
        <v>45660</v>
      </c>
      <c r="S3894">
        <v>2024</v>
      </c>
      <c r="T3894" s="12" t="s">
        <v>4665</v>
      </c>
      <c r="U3894">
        <v>38</v>
      </c>
      <c r="V3894">
        <v>210.69990000000001</v>
      </c>
      <c r="W3894">
        <v>186.78</v>
      </c>
      <c r="X3894">
        <v>0</v>
      </c>
      <c r="Y3894">
        <v>0</v>
      </c>
      <c r="Z3894">
        <v>8006.6</v>
      </c>
      <c r="AA3894">
        <v>8193.3799999999992</v>
      </c>
      <c r="AB3894" s="12" t="s">
        <v>2790</v>
      </c>
      <c r="AC3894">
        <v>210.69990000000001</v>
      </c>
      <c r="AD3894">
        <v>1</v>
      </c>
      <c r="AE3894">
        <v>1</v>
      </c>
      <c r="AF3894">
        <v>0</v>
      </c>
      <c r="AG3894">
        <v>8006.6</v>
      </c>
      <c r="AH3894">
        <v>38</v>
      </c>
      <c r="AI3894">
        <v>37</v>
      </c>
      <c r="AJ3894">
        <v>1</v>
      </c>
      <c r="AK3894">
        <v>1</v>
      </c>
      <c r="AL3894">
        <v>1</v>
      </c>
      <c r="AM3894">
        <v>97.37</v>
      </c>
      <c r="AN3894">
        <v>221.4426</v>
      </c>
      <c r="AO3894">
        <v>210.7</v>
      </c>
      <c r="AP3894" s="13">
        <v>45656</v>
      </c>
      <c r="AQ3894">
        <v>-4</v>
      </c>
      <c r="AR3894">
        <v>1</v>
      </c>
    </row>
    <row r="3895" spans="1:44" x14ac:dyDescent="0.35">
      <c r="A3895" s="12" t="s">
        <v>4816</v>
      </c>
      <c r="B3895" s="12" t="s">
        <v>284</v>
      </c>
      <c r="C3895" s="12" t="s">
        <v>285</v>
      </c>
      <c r="D3895" s="12" t="s">
        <v>269</v>
      </c>
      <c r="E3895" s="12" t="s">
        <v>104</v>
      </c>
      <c r="F3895">
        <v>3</v>
      </c>
      <c r="G3895">
        <v>1</v>
      </c>
      <c r="H3895">
        <v>0</v>
      </c>
      <c r="I3895" s="12" t="s">
        <v>199</v>
      </c>
      <c r="J3895" s="12" t="s">
        <v>200</v>
      </c>
      <c r="K3895" s="12" t="s">
        <v>68</v>
      </c>
      <c r="L3895" s="12" t="s">
        <v>96</v>
      </c>
      <c r="M3895">
        <v>9.4700000000000006</v>
      </c>
      <c r="N3895" s="12" t="s">
        <v>135</v>
      </c>
      <c r="O3895" s="12" t="s">
        <v>136</v>
      </c>
      <c r="P3895" s="12" t="s">
        <v>137</v>
      </c>
      <c r="Q3895" s="13">
        <v>45623</v>
      </c>
      <c r="R3895" s="13">
        <v>45640</v>
      </c>
      <c r="S3895">
        <v>2024</v>
      </c>
      <c r="T3895" s="12" t="s">
        <v>4665</v>
      </c>
      <c r="U3895">
        <v>53</v>
      </c>
      <c r="V3895">
        <v>367.99900000000002</v>
      </c>
      <c r="W3895">
        <v>333.24</v>
      </c>
      <c r="X3895">
        <v>0</v>
      </c>
      <c r="Y3895">
        <v>0</v>
      </c>
      <c r="Z3895">
        <v>19503.95</v>
      </c>
      <c r="AA3895">
        <v>19837.189999999999</v>
      </c>
      <c r="AB3895" s="12" t="s">
        <v>201</v>
      </c>
      <c r="AD3895">
        <v>0</v>
      </c>
      <c r="AE3895">
        <v>0</v>
      </c>
      <c r="AH3895">
        <v>53</v>
      </c>
      <c r="AI3895">
        <v>53</v>
      </c>
      <c r="AJ3895">
        <v>0</v>
      </c>
      <c r="AK3895">
        <v>1</v>
      </c>
      <c r="AL3895">
        <v>1</v>
      </c>
      <c r="AM3895">
        <v>100</v>
      </c>
      <c r="AN3895">
        <v>374.28649999999999</v>
      </c>
      <c r="AO3895">
        <v>0</v>
      </c>
      <c r="AP3895" s="13">
        <v>45639</v>
      </c>
      <c r="AQ3895">
        <v>-1</v>
      </c>
      <c r="AR3895">
        <v>1</v>
      </c>
    </row>
    <row r="3896" spans="1:44" x14ac:dyDescent="0.35">
      <c r="A3896" s="12" t="s">
        <v>4817</v>
      </c>
      <c r="B3896" s="12" t="s">
        <v>308</v>
      </c>
      <c r="C3896" s="12" t="s">
        <v>309</v>
      </c>
      <c r="D3896" s="12" t="s">
        <v>122</v>
      </c>
      <c r="E3896" s="12" t="s">
        <v>142</v>
      </c>
      <c r="F3896">
        <v>1</v>
      </c>
      <c r="G3896">
        <v>6</v>
      </c>
      <c r="H3896">
        <v>1</v>
      </c>
      <c r="I3896" s="12" t="s">
        <v>310</v>
      </c>
      <c r="J3896" s="12" t="s">
        <v>311</v>
      </c>
      <c r="K3896" s="12" t="s">
        <v>81</v>
      </c>
      <c r="L3896" s="12" t="s">
        <v>69</v>
      </c>
      <c r="M3896">
        <v>28.3</v>
      </c>
      <c r="N3896" s="12" t="s">
        <v>70</v>
      </c>
      <c r="O3896" s="12" t="s">
        <v>71</v>
      </c>
      <c r="P3896" s="12" t="s">
        <v>72</v>
      </c>
      <c r="Q3896" s="13">
        <v>45623</v>
      </c>
      <c r="R3896" s="13">
        <v>45671</v>
      </c>
      <c r="S3896">
        <v>2024</v>
      </c>
      <c r="T3896" s="12" t="s">
        <v>4665</v>
      </c>
      <c r="U3896">
        <v>1527</v>
      </c>
      <c r="V3896">
        <v>58.086399999999998</v>
      </c>
      <c r="W3896">
        <v>1919.06</v>
      </c>
      <c r="X3896">
        <v>0</v>
      </c>
      <c r="Y3896">
        <v>0</v>
      </c>
      <c r="Z3896">
        <v>88697.93</v>
      </c>
      <c r="AA3896">
        <v>90616.99</v>
      </c>
      <c r="AB3896" s="12" t="s">
        <v>2726</v>
      </c>
      <c r="AC3896">
        <v>58.086399999999998</v>
      </c>
      <c r="AD3896">
        <v>1</v>
      </c>
      <c r="AE3896">
        <v>1</v>
      </c>
      <c r="AF3896">
        <v>0</v>
      </c>
      <c r="AG3896">
        <v>88697.93</v>
      </c>
      <c r="AH3896">
        <v>1527</v>
      </c>
      <c r="AI3896">
        <v>1518</v>
      </c>
      <c r="AJ3896">
        <v>9</v>
      </c>
      <c r="AK3896">
        <v>1</v>
      </c>
      <c r="AL3896">
        <v>1</v>
      </c>
      <c r="AM3896">
        <v>99.41</v>
      </c>
      <c r="AN3896">
        <v>59.695</v>
      </c>
      <c r="AO3896">
        <v>522.78</v>
      </c>
      <c r="AP3896" s="13">
        <v>45669</v>
      </c>
      <c r="AQ3896">
        <v>-2</v>
      </c>
      <c r="AR3896">
        <v>1</v>
      </c>
    </row>
    <row r="3897" spans="1:44" x14ac:dyDescent="0.35">
      <c r="A3897" s="12" t="s">
        <v>4818</v>
      </c>
      <c r="B3897" s="12" t="s">
        <v>617</v>
      </c>
      <c r="C3897" s="12" t="s">
        <v>618</v>
      </c>
      <c r="D3897" s="12" t="s">
        <v>78</v>
      </c>
      <c r="E3897" s="12" t="s">
        <v>65</v>
      </c>
      <c r="F3897">
        <v>2</v>
      </c>
      <c r="G3897">
        <v>4</v>
      </c>
      <c r="H3897">
        <v>0</v>
      </c>
      <c r="I3897" s="12" t="s">
        <v>341</v>
      </c>
      <c r="J3897" s="12" t="s">
        <v>342</v>
      </c>
      <c r="K3897" s="12" t="s">
        <v>117</v>
      </c>
      <c r="L3897" s="12" t="s">
        <v>82</v>
      </c>
      <c r="M3897">
        <v>18.36</v>
      </c>
      <c r="N3897" s="12" t="s">
        <v>70</v>
      </c>
      <c r="O3897" s="12" t="s">
        <v>71</v>
      </c>
      <c r="P3897" s="12" t="s">
        <v>72</v>
      </c>
      <c r="Q3897" s="13">
        <v>45623</v>
      </c>
      <c r="R3897" s="13">
        <v>45660</v>
      </c>
      <c r="S3897">
        <v>2024</v>
      </c>
      <c r="T3897" s="12" t="s">
        <v>4665</v>
      </c>
      <c r="U3897">
        <v>273</v>
      </c>
      <c r="V3897">
        <v>102.4909</v>
      </c>
      <c r="W3897">
        <v>602.02</v>
      </c>
      <c r="X3897">
        <v>0</v>
      </c>
      <c r="Y3897">
        <v>0</v>
      </c>
      <c r="Z3897">
        <v>27980.02</v>
      </c>
      <c r="AA3897">
        <v>28582.04</v>
      </c>
      <c r="AB3897" s="12" t="s">
        <v>3217</v>
      </c>
      <c r="AC3897">
        <v>102.4909</v>
      </c>
      <c r="AD3897">
        <v>1</v>
      </c>
      <c r="AE3897">
        <v>1</v>
      </c>
      <c r="AF3897">
        <v>0</v>
      </c>
      <c r="AG3897">
        <v>27980.02</v>
      </c>
      <c r="AH3897">
        <v>273</v>
      </c>
      <c r="AI3897">
        <v>270</v>
      </c>
      <c r="AJ3897">
        <v>3</v>
      </c>
      <c r="AK3897">
        <v>1</v>
      </c>
      <c r="AL3897">
        <v>1</v>
      </c>
      <c r="AM3897">
        <v>98.9</v>
      </c>
      <c r="AN3897">
        <v>105.85939999999999</v>
      </c>
      <c r="AO3897">
        <v>307.47000000000003</v>
      </c>
      <c r="AP3897" s="13">
        <v>45660</v>
      </c>
      <c r="AQ3897">
        <v>0</v>
      </c>
      <c r="AR3897">
        <v>1</v>
      </c>
    </row>
    <row r="3898" spans="1:44" x14ac:dyDescent="0.35">
      <c r="A3898" s="12" t="s">
        <v>4819</v>
      </c>
      <c r="B3898" s="12" t="s">
        <v>255</v>
      </c>
      <c r="C3898" s="12" t="s">
        <v>256</v>
      </c>
      <c r="D3898" s="12" t="s">
        <v>103</v>
      </c>
      <c r="E3898" s="12" t="s">
        <v>65</v>
      </c>
      <c r="F3898">
        <v>2</v>
      </c>
      <c r="G3898">
        <v>4</v>
      </c>
      <c r="H3898">
        <v>0</v>
      </c>
      <c r="I3898" s="12" t="s">
        <v>143</v>
      </c>
      <c r="J3898" s="12" t="s">
        <v>144</v>
      </c>
      <c r="K3898" s="12" t="s">
        <v>133</v>
      </c>
      <c r="L3898" s="12" t="s">
        <v>96</v>
      </c>
      <c r="M3898">
        <v>5.43</v>
      </c>
      <c r="N3898" s="12" t="s">
        <v>145</v>
      </c>
      <c r="O3898" s="12" t="s">
        <v>146</v>
      </c>
      <c r="P3898" s="12" t="s">
        <v>109</v>
      </c>
      <c r="Q3898" s="13">
        <v>45623</v>
      </c>
      <c r="R3898" s="13">
        <v>45661</v>
      </c>
      <c r="S3898">
        <v>2024</v>
      </c>
      <c r="T3898" s="12" t="s">
        <v>4665</v>
      </c>
      <c r="U3898">
        <v>149</v>
      </c>
      <c r="V3898">
        <v>95.073300000000003</v>
      </c>
      <c r="W3898">
        <v>244.77</v>
      </c>
      <c r="X3898">
        <v>0</v>
      </c>
      <c r="Y3898">
        <v>0</v>
      </c>
      <c r="Z3898">
        <v>14165.92</v>
      </c>
      <c r="AA3898">
        <v>14410.69</v>
      </c>
      <c r="AB3898" s="12" t="s">
        <v>2616</v>
      </c>
      <c r="AC3898">
        <v>95.073300000000003</v>
      </c>
      <c r="AD3898">
        <v>1</v>
      </c>
      <c r="AE3898">
        <v>1</v>
      </c>
      <c r="AF3898">
        <v>0</v>
      </c>
      <c r="AG3898">
        <v>14165.92</v>
      </c>
      <c r="AH3898">
        <v>149</v>
      </c>
      <c r="AI3898">
        <v>147</v>
      </c>
      <c r="AJ3898">
        <v>2</v>
      </c>
      <c r="AK3898">
        <v>1</v>
      </c>
      <c r="AL3898">
        <v>1</v>
      </c>
      <c r="AM3898">
        <v>98.66</v>
      </c>
      <c r="AN3898">
        <v>98.031899999999993</v>
      </c>
      <c r="AO3898">
        <v>190.15</v>
      </c>
      <c r="AP3898" s="13">
        <v>45658</v>
      </c>
      <c r="AQ3898">
        <v>-3</v>
      </c>
      <c r="AR3898">
        <v>1</v>
      </c>
    </row>
    <row r="3899" spans="1:44" x14ac:dyDescent="0.35">
      <c r="A3899" s="12" t="s">
        <v>4820</v>
      </c>
      <c r="B3899" s="12" t="s">
        <v>231</v>
      </c>
      <c r="C3899" s="12" t="s">
        <v>232</v>
      </c>
      <c r="D3899" s="12" t="s">
        <v>130</v>
      </c>
      <c r="E3899" s="12" t="s">
        <v>65</v>
      </c>
      <c r="F3899">
        <v>1</v>
      </c>
      <c r="G3899">
        <v>2</v>
      </c>
      <c r="H3899">
        <v>1</v>
      </c>
      <c r="I3899" s="12" t="s">
        <v>233</v>
      </c>
      <c r="J3899" s="12" t="s">
        <v>234</v>
      </c>
      <c r="K3899" s="12" t="s">
        <v>125</v>
      </c>
      <c r="L3899" s="12" t="s">
        <v>96</v>
      </c>
      <c r="M3899">
        <v>3.73</v>
      </c>
      <c r="N3899" s="12" t="s">
        <v>159</v>
      </c>
      <c r="O3899" s="12" t="s">
        <v>160</v>
      </c>
      <c r="P3899" s="12" t="s">
        <v>137</v>
      </c>
      <c r="Q3899" s="13">
        <v>45623</v>
      </c>
      <c r="R3899" s="13">
        <v>45660</v>
      </c>
      <c r="S3899">
        <v>2024</v>
      </c>
      <c r="T3899" s="12" t="s">
        <v>4665</v>
      </c>
      <c r="U3899">
        <v>141</v>
      </c>
      <c r="V3899">
        <v>451.98759999999999</v>
      </c>
      <c r="W3899">
        <v>1321.48</v>
      </c>
      <c r="X3899">
        <v>0</v>
      </c>
      <c r="Y3899">
        <v>0</v>
      </c>
      <c r="Z3899">
        <v>63730.25</v>
      </c>
      <c r="AA3899">
        <v>65051.73</v>
      </c>
      <c r="AB3899" s="12" t="s">
        <v>201</v>
      </c>
      <c r="AD3899">
        <v>0</v>
      </c>
      <c r="AE3899">
        <v>0</v>
      </c>
      <c r="AH3899">
        <v>141</v>
      </c>
      <c r="AI3899">
        <v>141</v>
      </c>
      <c r="AJ3899">
        <v>0</v>
      </c>
      <c r="AK3899">
        <v>1</v>
      </c>
      <c r="AL3899">
        <v>1</v>
      </c>
      <c r="AM3899">
        <v>100</v>
      </c>
      <c r="AN3899">
        <v>461.35980000000001</v>
      </c>
      <c r="AO3899">
        <v>0</v>
      </c>
      <c r="AP3899" s="13">
        <v>45658</v>
      </c>
      <c r="AQ3899">
        <v>-2</v>
      </c>
      <c r="AR3899">
        <v>1</v>
      </c>
    </row>
    <row r="3900" spans="1:44" x14ac:dyDescent="0.35">
      <c r="A3900" s="12" t="s">
        <v>4821</v>
      </c>
      <c r="B3900" s="12" t="s">
        <v>532</v>
      </c>
      <c r="C3900" s="12" t="s">
        <v>533</v>
      </c>
      <c r="D3900" s="12" t="s">
        <v>114</v>
      </c>
      <c r="E3900" s="12" t="s">
        <v>65</v>
      </c>
      <c r="F3900">
        <v>2</v>
      </c>
      <c r="G3900">
        <v>3</v>
      </c>
      <c r="H3900">
        <v>0</v>
      </c>
      <c r="I3900" s="12" t="s">
        <v>105</v>
      </c>
      <c r="J3900" s="12" t="s">
        <v>106</v>
      </c>
      <c r="K3900" s="12" t="s">
        <v>81</v>
      </c>
      <c r="L3900" s="12" t="s">
        <v>96</v>
      </c>
      <c r="M3900">
        <v>5.01</v>
      </c>
      <c r="N3900" s="12" t="s">
        <v>97</v>
      </c>
      <c r="O3900" s="12" t="s">
        <v>98</v>
      </c>
      <c r="P3900" s="12" t="s">
        <v>72</v>
      </c>
      <c r="Q3900" s="13">
        <v>45623</v>
      </c>
      <c r="R3900" s="13">
        <v>45651</v>
      </c>
      <c r="S3900">
        <v>2024</v>
      </c>
      <c r="T3900" s="12" t="s">
        <v>4665</v>
      </c>
      <c r="U3900">
        <v>67</v>
      </c>
      <c r="V3900">
        <v>235.65270000000001</v>
      </c>
      <c r="W3900">
        <v>197.16</v>
      </c>
      <c r="X3900">
        <v>0</v>
      </c>
      <c r="Y3900">
        <v>0</v>
      </c>
      <c r="Z3900">
        <v>15788.73</v>
      </c>
      <c r="AA3900">
        <v>15985.89</v>
      </c>
      <c r="AB3900" s="12" t="s">
        <v>3041</v>
      </c>
      <c r="AC3900">
        <v>249.9546</v>
      </c>
      <c r="AD3900">
        <v>1</v>
      </c>
      <c r="AE3900">
        <v>1</v>
      </c>
      <c r="AF3900">
        <v>-958.23</v>
      </c>
      <c r="AG3900">
        <v>16746.96</v>
      </c>
      <c r="AH3900">
        <v>67</v>
      </c>
      <c r="AI3900">
        <v>66</v>
      </c>
      <c r="AJ3900">
        <v>1</v>
      </c>
      <c r="AK3900">
        <v>1</v>
      </c>
      <c r="AL3900">
        <v>1</v>
      </c>
      <c r="AM3900">
        <v>98.51</v>
      </c>
      <c r="AN3900">
        <v>242.2105</v>
      </c>
      <c r="AO3900">
        <v>235.65</v>
      </c>
      <c r="AP3900" s="13">
        <v>45651</v>
      </c>
      <c r="AQ3900">
        <v>0</v>
      </c>
      <c r="AR3900">
        <v>1</v>
      </c>
    </row>
    <row r="3901" spans="1:44" x14ac:dyDescent="0.35">
      <c r="A3901" s="12" t="s">
        <v>4822</v>
      </c>
      <c r="B3901" s="12" t="s">
        <v>293</v>
      </c>
      <c r="C3901" s="12" t="s">
        <v>294</v>
      </c>
      <c r="D3901" s="12" t="s">
        <v>114</v>
      </c>
      <c r="E3901" s="12" t="s">
        <v>142</v>
      </c>
      <c r="F3901">
        <v>1</v>
      </c>
      <c r="G3901">
        <v>6</v>
      </c>
      <c r="H3901">
        <v>1</v>
      </c>
      <c r="I3901" s="12" t="s">
        <v>195</v>
      </c>
      <c r="J3901" s="12" t="s">
        <v>196</v>
      </c>
      <c r="K3901" s="12" t="s">
        <v>117</v>
      </c>
      <c r="L3901" s="12" t="s">
        <v>134</v>
      </c>
      <c r="M3901">
        <v>4.7699999999999996</v>
      </c>
      <c r="N3901" s="12" t="s">
        <v>70</v>
      </c>
      <c r="O3901" s="12" t="s">
        <v>71</v>
      </c>
      <c r="P3901" s="12" t="s">
        <v>72</v>
      </c>
      <c r="Q3901" s="13">
        <v>45623</v>
      </c>
      <c r="R3901" s="13">
        <v>45668</v>
      </c>
      <c r="S3901">
        <v>2024</v>
      </c>
      <c r="T3901" s="12" t="s">
        <v>4665</v>
      </c>
      <c r="U3901">
        <v>91</v>
      </c>
      <c r="V3901">
        <v>202.91499999999999</v>
      </c>
      <c r="W3901">
        <v>324.35000000000002</v>
      </c>
      <c r="X3901">
        <v>0</v>
      </c>
      <c r="Y3901">
        <v>0</v>
      </c>
      <c r="Z3901">
        <v>18465.27</v>
      </c>
      <c r="AA3901">
        <v>18789.62</v>
      </c>
      <c r="AB3901" s="12" t="s">
        <v>2837</v>
      </c>
      <c r="AC3901">
        <v>202.91499999999999</v>
      </c>
      <c r="AD3901">
        <v>1</v>
      </c>
      <c r="AE3901">
        <v>1</v>
      </c>
      <c r="AF3901">
        <v>0</v>
      </c>
      <c r="AG3901">
        <v>18465.27</v>
      </c>
      <c r="AH3901">
        <v>91</v>
      </c>
      <c r="AI3901">
        <v>90</v>
      </c>
      <c r="AJ3901">
        <v>1</v>
      </c>
      <c r="AK3901">
        <v>1</v>
      </c>
      <c r="AL3901">
        <v>1</v>
      </c>
      <c r="AM3901">
        <v>98.9</v>
      </c>
      <c r="AN3901">
        <v>208.77350000000001</v>
      </c>
      <c r="AO3901">
        <v>202.92</v>
      </c>
      <c r="AP3901" s="13">
        <v>45665</v>
      </c>
      <c r="AQ3901">
        <v>-3</v>
      </c>
      <c r="AR3901">
        <v>1</v>
      </c>
    </row>
    <row r="3902" spans="1:44" x14ac:dyDescent="0.35">
      <c r="A3902" s="12" t="s">
        <v>4823</v>
      </c>
      <c r="B3902" s="12" t="s">
        <v>1054</v>
      </c>
      <c r="C3902" s="12" t="s">
        <v>1055</v>
      </c>
      <c r="D3902" s="12" t="s">
        <v>122</v>
      </c>
      <c r="E3902" s="12" t="s">
        <v>65</v>
      </c>
      <c r="F3902">
        <v>1</v>
      </c>
      <c r="G3902">
        <v>2</v>
      </c>
      <c r="H3902">
        <v>1</v>
      </c>
      <c r="I3902" s="12" t="s">
        <v>176</v>
      </c>
      <c r="J3902" s="12" t="s">
        <v>177</v>
      </c>
      <c r="K3902" s="12" t="s">
        <v>125</v>
      </c>
      <c r="L3902" s="12" t="s">
        <v>134</v>
      </c>
      <c r="M3902">
        <v>1.75</v>
      </c>
      <c r="N3902" s="12" t="s">
        <v>70</v>
      </c>
      <c r="O3902" s="12" t="s">
        <v>71</v>
      </c>
      <c r="P3902" s="12" t="s">
        <v>72</v>
      </c>
      <c r="Q3902" s="13">
        <v>45624</v>
      </c>
      <c r="R3902" s="13">
        <v>45653</v>
      </c>
      <c r="S3902">
        <v>2024</v>
      </c>
      <c r="T3902" s="12" t="s">
        <v>4665</v>
      </c>
      <c r="U3902">
        <v>1069</v>
      </c>
      <c r="V3902">
        <v>45.850499999999997</v>
      </c>
      <c r="W3902">
        <v>788.59</v>
      </c>
      <c r="X3902">
        <v>0</v>
      </c>
      <c r="Y3902">
        <v>0</v>
      </c>
      <c r="Z3902">
        <v>49014.18</v>
      </c>
      <c r="AA3902">
        <v>49802.77</v>
      </c>
      <c r="AB3902" s="12" t="s">
        <v>3227</v>
      </c>
      <c r="AC3902">
        <v>45.850499999999997</v>
      </c>
      <c r="AD3902">
        <v>1</v>
      </c>
      <c r="AE3902">
        <v>1</v>
      </c>
      <c r="AF3902">
        <v>0</v>
      </c>
      <c r="AG3902">
        <v>49014.18</v>
      </c>
      <c r="AH3902">
        <v>1069</v>
      </c>
      <c r="AI3902">
        <v>1066</v>
      </c>
      <c r="AJ3902">
        <v>3</v>
      </c>
      <c r="AK3902">
        <v>1</v>
      </c>
      <c r="AL3902">
        <v>1</v>
      </c>
      <c r="AM3902">
        <v>99.72</v>
      </c>
      <c r="AN3902">
        <v>46.719299999999997</v>
      </c>
      <c r="AO3902">
        <v>137.55000000000001</v>
      </c>
      <c r="AP3902" s="13">
        <v>45650</v>
      </c>
      <c r="AQ3902">
        <v>-3</v>
      </c>
      <c r="AR3902">
        <v>1</v>
      </c>
    </row>
    <row r="3903" spans="1:44" x14ac:dyDescent="0.35">
      <c r="A3903" s="12" t="s">
        <v>4824</v>
      </c>
      <c r="B3903" s="12" t="s">
        <v>308</v>
      </c>
      <c r="C3903" s="12" t="s">
        <v>309</v>
      </c>
      <c r="D3903" s="12" t="s">
        <v>122</v>
      </c>
      <c r="E3903" s="12" t="s">
        <v>142</v>
      </c>
      <c r="F3903">
        <v>1</v>
      </c>
      <c r="G3903">
        <v>6</v>
      </c>
      <c r="H3903">
        <v>1</v>
      </c>
      <c r="I3903" s="12" t="s">
        <v>310</v>
      </c>
      <c r="J3903" s="12" t="s">
        <v>311</v>
      </c>
      <c r="K3903" s="12" t="s">
        <v>81</v>
      </c>
      <c r="L3903" s="12" t="s">
        <v>69</v>
      </c>
      <c r="M3903">
        <v>28.3</v>
      </c>
      <c r="N3903" s="12" t="s">
        <v>97</v>
      </c>
      <c r="O3903" s="12" t="s">
        <v>98</v>
      </c>
      <c r="P3903" s="12" t="s">
        <v>72</v>
      </c>
      <c r="Q3903" s="13">
        <v>45624</v>
      </c>
      <c r="R3903" s="13">
        <v>45659</v>
      </c>
      <c r="S3903">
        <v>2024</v>
      </c>
      <c r="T3903" s="12" t="s">
        <v>4665</v>
      </c>
      <c r="U3903">
        <v>222</v>
      </c>
      <c r="V3903">
        <v>58.086399999999998</v>
      </c>
      <c r="W3903">
        <v>118.77</v>
      </c>
      <c r="X3903">
        <v>0</v>
      </c>
      <c r="Y3903">
        <v>0</v>
      </c>
      <c r="Z3903">
        <v>12895.18</v>
      </c>
      <c r="AA3903">
        <v>13013.95</v>
      </c>
      <c r="AB3903" s="12" t="s">
        <v>2726</v>
      </c>
      <c r="AC3903">
        <v>58.086399999999998</v>
      </c>
      <c r="AD3903">
        <v>1</v>
      </c>
      <c r="AE3903">
        <v>1</v>
      </c>
      <c r="AF3903">
        <v>0</v>
      </c>
      <c r="AG3903">
        <v>12895.18</v>
      </c>
      <c r="AH3903">
        <v>222</v>
      </c>
      <c r="AI3903">
        <v>220</v>
      </c>
      <c r="AJ3903">
        <v>2</v>
      </c>
      <c r="AK3903">
        <v>1</v>
      </c>
      <c r="AL3903">
        <v>1</v>
      </c>
      <c r="AM3903">
        <v>99.1</v>
      </c>
      <c r="AN3903">
        <v>59.154299999999999</v>
      </c>
      <c r="AO3903">
        <v>116.17</v>
      </c>
      <c r="AP3903" s="13">
        <v>45657</v>
      </c>
      <c r="AQ3903">
        <v>-2</v>
      </c>
      <c r="AR3903">
        <v>1</v>
      </c>
    </row>
    <row r="3904" spans="1:44" x14ac:dyDescent="0.35">
      <c r="A3904" s="12" t="s">
        <v>4825</v>
      </c>
      <c r="B3904" s="12" t="s">
        <v>399</v>
      </c>
      <c r="C3904" s="12" t="s">
        <v>400</v>
      </c>
      <c r="D3904" s="12" t="s">
        <v>114</v>
      </c>
      <c r="E3904" s="12" t="s">
        <v>65</v>
      </c>
      <c r="F3904">
        <v>1</v>
      </c>
      <c r="G3904">
        <v>2</v>
      </c>
      <c r="H3904">
        <v>1</v>
      </c>
      <c r="I3904" s="12" t="s">
        <v>151</v>
      </c>
      <c r="J3904" s="12" t="s">
        <v>152</v>
      </c>
      <c r="K3904" s="12" t="s">
        <v>125</v>
      </c>
      <c r="L3904" s="12" t="s">
        <v>69</v>
      </c>
      <c r="M3904">
        <v>36.479999999999997</v>
      </c>
      <c r="N3904" s="12" t="s">
        <v>97</v>
      </c>
      <c r="O3904" s="12" t="s">
        <v>98</v>
      </c>
      <c r="P3904" s="12" t="s">
        <v>72</v>
      </c>
      <c r="Q3904" s="13">
        <v>45624</v>
      </c>
      <c r="R3904" s="13">
        <v>45660</v>
      </c>
      <c r="S3904">
        <v>2024</v>
      </c>
      <c r="T3904" s="12" t="s">
        <v>4665</v>
      </c>
      <c r="U3904">
        <v>131</v>
      </c>
      <c r="V3904">
        <v>292.26440000000002</v>
      </c>
      <c r="W3904">
        <v>428.41</v>
      </c>
      <c r="X3904">
        <v>0</v>
      </c>
      <c r="Y3904">
        <v>0</v>
      </c>
      <c r="Z3904">
        <v>38286.639999999999</v>
      </c>
      <c r="AA3904">
        <v>38715.050000000003</v>
      </c>
      <c r="AB3904" s="12" t="s">
        <v>3009</v>
      </c>
      <c r="AC3904">
        <v>292.26440000000002</v>
      </c>
      <c r="AD3904">
        <v>1</v>
      </c>
      <c r="AE3904">
        <v>1</v>
      </c>
      <c r="AF3904">
        <v>0</v>
      </c>
      <c r="AG3904">
        <v>38286.639999999999</v>
      </c>
      <c r="AH3904">
        <v>131</v>
      </c>
      <c r="AI3904">
        <v>130</v>
      </c>
      <c r="AJ3904">
        <v>1</v>
      </c>
      <c r="AK3904">
        <v>1</v>
      </c>
      <c r="AL3904">
        <v>1</v>
      </c>
      <c r="AM3904">
        <v>99.24</v>
      </c>
      <c r="AN3904">
        <v>297.80799999999999</v>
      </c>
      <c r="AO3904">
        <v>292.26</v>
      </c>
      <c r="AP3904" s="13">
        <v>45658</v>
      </c>
      <c r="AQ3904">
        <v>-2</v>
      </c>
      <c r="AR3904">
        <v>1</v>
      </c>
    </row>
    <row r="3905" spans="1:44" x14ac:dyDescent="0.35">
      <c r="A3905" s="12" t="s">
        <v>4826</v>
      </c>
      <c r="B3905" s="12" t="s">
        <v>728</v>
      </c>
      <c r="C3905" s="12" t="s">
        <v>729</v>
      </c>
      <c r="D3905" s="12" t="s">
        <v>269</v>
      </c>
      <c r="E3905" s="12" t="s">
        <v>65</v>
      </c>
      <c r="F3905">
        <v>2</v>
      </c>
      <c r="G3905">
        <v>3</v>
      </c>
      <c r="H3905">
        <v>0</v>
      </c>
      <c r="I3905" s="12" t="s">
        <v>243</v>
      </c>
      <c r="J3905" s="12" t="s">
        <v>244</v>
      </c>
      <c r="K3905" s="12" t="s">
        <v>81</v>
      </c>
      <c r="L3905" s="12" t="s">
        <v>82</v>
      </c>
      <c r="M3905">
        <v>9.2200000000000006</v>
      </c>
      <c r="N3905" s="12" t="s">
        <v>159</v>
      </c>
      <c r="O3905" s="12" t="s">
        <v>160</v>
      </c>
      <c r="P3905" s="12" t="s">
        <v>137</v>
      </c>
      <c r="Q3905" s="13">
        <v>45624</v>
      </c>
      <c r="R3905" s="13">
        <v>45646</v>
      </c>
      <c r="S3905">
        <v>2024</v>
      </c>
      <c r="T3905" s="12" t="s">
        <v>4665</v>
      </c>
      <c r="U3905">
        <v>19</v>
      </c>
      <c r="V3905">
        <v>379.47669999999999</v>
      </c>
      <c r="W3905">
        <v>61.11</v>
      </c>
      <c r="X3905">
        <v>0</v>
      </c>
      <c r="Y3905">
        <v>0</v>
      </c>
      <c r="Z3905">
        <v>7210.06</v>
      </c>
      <c r="AA3905">
        <v>7271.17</v>
      </c>
      <c r="AB3905" s="12" t="s">
        <v>3540</v>
      </c>
      <c r="AC3905">
        <v>364.83319999999998</v>
      </c>
      <c r="AD3905">
        <v>1</v>
      </c>
      <c r="AE3905">
        <v>1</v>
      </c>
      <c r="AF3905">
        <v>278.23</v>
      </c>
      <c r="AG3905">
        <v>6931.83</v>
      </c>
      <c r="AH3905">
        <v>19</v>
      </c>
      <c r="AI3905">
        <v>19</v>
      </c>
      <c r="AJ3905">
        <v>0</v>
      </c>
      <c r="AK3905">
        <v>1</v>
      </c>
      <c r="AL3905">
        <v>1</v>
      </c>
      <c r="AM3905">
        <v>100</v>
      </c>
      <c r="AN3905">
        <v>382.69299999999998</v>
      </c>
      <c r="AO3905">
        <v>0</v>
      </c>
      <c r="AP3905" s="13">
        <v>45645</v>
      </c>
      <c r="AQ3905">
        <v>-1</v>
      </c>
      <c r="AR3905">
        <v>1</v>
      </c>
    </row>
    <row r="3906" spans="1:44" x14ac:dyDescent="0.35">
      <c r="A3906" s="12" t="s">
        <v>4827</v>
      </c>
      <c r="B3906" s="12" t="s">
        <v>587</v>
      </c>
      <c r="C3906" s="12" t="s">
        <v>588</v>
      </c>
      <c r="D3906" s="12" t="s">
        <v>122</v>
      </c>
      <c r="E3906" s="12" t="s">
        <v>104</v>
      </c>
      <c r="F3906">
        <v>2</v>
      </c>
      <c r="G3906">
        <v>0</v>
      </c>
      <c r="H3906">
        <v>0</v>
      </c>
      <c r="I3906" s="12" t="s">
        <v>486</v>
      </c>
      <c r="J3906" s="12" t="s">
        <v>487</v>
      </c>
      <c r="K3906" s="12" t="s">
        <v>125</v>
      </c>
      <c r="L3906" s="12" t="s">
        <v>69</v>
      </c>
      <c r="M3906">
        <v>36.86</v>
      </c>
      <c r="N3906" s="12" t="s">
        <v>70</v>
      </c>
      <c r="O3906" s="12" t="s">
        <v>71</v>
      </c>
      <c r="P3906" s="12" t="s">
        <v>72</v>
      </c>
      <c r="Q3906" s="13">
        <v>45624</v>
      </c>
      <c r="R3906" s="13">
        <v>45641</v>
      </c>
      <c r="S3906">
        <v>2024</v>
      </c>
      <c r="T3906" s="12" t="s">
        <v>4665</v>
      </c>
      <c r="U3906">
        <v>721</v>
      </c>
      <c r="V3906">
        <v>11.9803</v>
      </c>
      <c r="W3906">
        <v>57.53</v>
      </c>
      <c r="X3906">
        <v>0</v>
      </c>
      <c r="Y3906">
        <v>0</v>
      </c>
      <c r="Z3906">
        <v>8637.7999999999993</v>
      </c>
      <c r="AA3906">
        <v>8695.33</v>
      </c>
      <c r="AB3906" s="12" t="s">
        <v>3188</v>
      </c>
      <c r="AC3906">
        <v>11.9803</v>
      </c>
      <c r="AD3906">
        <v>1</v>
      </c>
      <c r="AE3906">
        <v>1</v>
      </c>
      <c r="AF3906">
        <v>0</v>
      </c>
      <c r="AG3906">
        <v>8637.7999999999993</v>
      </c>
      <c r="AH3906">
        <v>721</v>
      </c>
      <c r="AI3906">
        <v>712</v>
      </c>
      <c r="AJ3906">
        <v>9</v>
      </c>
      <c r="AK3906">
        <v>1</v>
      </c>
      <c r="AL3906">
        <v>1</v>
      </c>
      <c r="AM3906">
        <v>98.75</v>
      </c>
      <c r="AN3906">
        <v>12.2125</v>
      </c>
      <c r="AO3906">
        <v>107.82</v>
      </c>
      <c r="AP3906" s="13">
        <v>45645</v>
      </c>
      <c r="AQ3906">
        <v>4</v>
      </c>
      <c r="AR3906">
        <v>0</v>
      </c>
    </row>
    <row r="3907" spans="1:44" x14ac:dyDescent="0.35">
      <c r="A3907" s="12" t="s">
        <v>4828</v>
      </c>
      <c r="B3907" s="12" t="s">
        <v>221</v>
      </c>
      <c r="C3907" s="12" t="s">
        <v>222</v>
      </c>
      <c r="D3907" s="12" t="s">
        <v>114</v>
      </c>
      <c r="E3907" s="12" t="s">
        <v>142</v>
      </c>
      <c r="F3907">
        <v>3</v>
      </c>
      <c r="G3907">
        <v>11</v>
      </c>
      <c r="H3907">
        <v>0</v>
      </c>
      <c r="I3907" s="12" t="s">
        <v>105</v>
      </c>
      <c r="J3907" s="12" t="s">
        <v>106</v>
      </c>
      <c r="K3907" s="12" t="s">
        <v>81</v>
      </c>
      <c r="L3907" s="12" t="s">
        <v>96</v>
      </c>
      <c r="M3907">
        <v>5.01</v>
      </c>
      <c r="N3907" s="12" t="s">
        <v>97</v>
      </c>
      <c r="O3907" s="12" t="s">
        <v>98</v>
      </c>
      <c r="P3907" s="12" t="s">
        <v>72</v>
      </c>
      <c r="Q3907" s="13">
        <v>45624</v>
      </c>
      <c r="R3907" s="13">
        <v>45669</v>
      </c>
      <c r="S3907">
        <v>2024</v>
      </c>
      <c r="T3907" s="12" t="s">
        <v>4665</v>
      </c>
      <c r="U3907">
        <v>88</v>
      </c>
      <c r="V3907">
        <v>239.12260000000001</v>
      </c>
      <c r="W3907">
        <v>160.5</v>
      </c>
      <c r="X3907">
        <v>0</v>
      </c>
      <c r="Y3907">
        <v>0</v>
      </c>
      <c r="Z3907">
        <v>21042.79</v>
      </c>
      <c r="AA3907">
        <v>21203.29</v>
      </c>
      <c r="AB3907" s="12" t="s">
        <v>2818</v>
      </c>
      <c r="AC3907">
        <v>239.12260000000001</v>
      </c>
      <c r="AD3907">
        <v>1</v>
      </c>
      <c r="AE3907">
        <v>1</v>
      </c>
      <c r="AF3907">
        <v>0</v>
      </c>
      <c r="AG3907">
        <v>21042.79</v>
      </c>
      <c r="AH3907">
        <v>88</v>
      </c>
      <c r="AI3907">
        <v>87</v>
      </c>
      <c r="AJ3907">
        <v>1</v>
      </c>
      <c r="AK3907">
        <v>1</v>
      </c>
      <c r="AL3907">
        <v>1</v>
      </c>
      <c r="AM3907">
        <v>98.86</v>
      </c>
      <c r="AN3907">
        <v>243.71600000000001</v>
      </c>
      <c r="AO3907">
        <v>239.12</v>
      </c>
      <c r="AP3907" s="13">
        <v>45669</v>
      </c>
      <c r="AQ3907">
        <v>0</v>
      </c>
      <c r="AR3907">
        <v>1</v>
      </c>
    </row>
    <row r="3908" spans="1:44" x14ac:dyDescent="0.35">
      <c r="A3908" s="12" t="s">
        <v>4829</v>
      </c>
      <c r="B3908" s="12" t="s">
        <v>293</v>
      </c>
      <c r="C3908" s="12" t="s">
        <v>294</v>
      </c>
      <c r="D3908" s="12" t="s">
        <v>114</v>
      </c>
      <c r="E3908" s="12" t="s">
        <v>142</v>
      </c>
      <c r="F3908">
        <v>1</v>
      </c>
      <c r="G3908">
        <v>6</v>
      </c>
      <c r="H3908">
        <v>1</v>
      </c>
      <c r="I3908" s="12" t="s">
        <v>195</v>
      </c>
      <c r="J3908" s="12" t="s">
        <v>196</v>
      </c>
      <c r="K3908" s="12" t="s">
        <v>117</v>
      </c>
      <c r="L3908" s="12" t="s">
        <v>134</v>
      </c>
      <c r="M3908">
        <v>4.7699999999999996</v>
      </c>
      <c r="N3908" s="12" t="s">
        <v>70</v>
      </c>
      <c r="O3908" s="12" t="s">
        <v>71</v>
      </c>
      <c r="P3908" s="12" t="s">
        <v>72</v>
      </c>
      <c r="Q3908" s="13">
        <v>45624</v>
      </c>
      <c r="R3908" s="13">
        <v>45664</v>
      </c>
      <c r="S3908">
        <v>2024</v>
      </c>
      <c r="T3908" s="12" t="s">
        <v>4665</v>
      </c>
      <c r="U3908">
        <v>53</v>
      </c>
      <c r="V3908">
        <v>202.91499999999999</v>
      </c>
      <c r="W3908">
        <v>144.34</v>
      </c>
      <c r="X3908">
        <v>0</v>
      </c>
      <c r="Y3908">
        <v>0</v>
      </c>
      <c r="Z3908">
        <v>10754.5</v>
      </c>
      <c r="AA3908">
        <v>10898.84</v>
      </c>
      <c r="AB3908" s="12" t="s">
        <v>2837</v>
      </c>
      <c r="AC3908">
        <v>202.91499999999999</v>
      </c>
      <c r="AD3908">
        <v>1</v>
      </c>
      <c r="AE3908">
        <v>1</v>
      </c>
      <c r="AF3908">
        <v>0</v>
      </c>
      <c r="AG3908">
        <v>10754.5</v>
      </c>
      <c r="AH3908">
        <v>53</v>
      </c>
      <c r="AI3908">
        <v>52</v>
      </c>
      <c r="AJ3908">
        <v>1</v>
      </c>
      <c r="AK3908">
        <v>1</v>
      </c>
      <c r="AL3908">
        <v>1</v>
      </c>
      <c r="AM3908">
        <v>98.11</v>
      </c>
      <c r="AN3908">
        <v>209.59299999999999</v>
      </c>
      <c r="AO3908">
        <v>202.92</v>
      </c>
      <c r="AP3908" s="13">
        <v>45662</v>
      </c>
      <c r="AQ3908">
        <v>-2</v>
      </c>
      <c r="AR3908">
        <v>1</v>
      </c>
    </row>
    <row r="3909" spans="1:44" x14ac:dyDescent="0.35">
      <c r="A3909" s="12" t="s">
        <v>4830</v>
      </c>
      <c r="B3909" s="12" t="s">
        <v>837</v>
      </c>
      <c r="C3909" s="12" t="s">
        <v>838</v>
      </c>
      <c r="D3909" s="12" t="s">
        <v>114</v>
      </c>
      <c r="E3909" s="12" t="s">
        <v>104</v>
      </c>
      <c r="F3909">
        <v>2</v>
      </c>
      <c r="G3909">
        <v>0</v>
      </c>
      <c r="H3909">
        <v>0</v>
      </c>
      <c r="I3909" s="12" t="s">
        <v>199</v>
      </c>
      <c r="J3909" s="12" t="s">
        <v>200</v>
      </c>
      <c r="K3909" s="12" t="s">
        <v>68</v>
      </c>
      <c r="L3909" s="12" t="s">
        <v>96</v>
      </c>
      <c r="M3909">
        <v>9.4700000000000006</v>
      </c>
      <c r="N3909" s="12" t="s">
        <v>70</v>
      </c>
      <c r="O3909" s="12" t="s">
        <v>71</v>
      </c>
      <c r="P3909" s="12" t="s">
        <v>72</v>
      </c>
      <c r="Q3909" s="13">
        <v>45625</v>
      </c>
      <c r="R3909" s="13">
        <v>45650</v>
      </c>
      <c r="S3909">
        <v>2024</v>
      </c>
      <c r="T3909" s="12" t="s">
        <v>4665</v>
      </c>
      <c r="U3909">
        <v>114</v>
      </c>
      <c r="V3909">
        <v>70.625600000000006</v>
      </c>
      <c r="W3909">
        <v>139.26</v>
      </c>
      <c r="X3909">
        <v>0</v>
      </c>
      <c r="Y3909">
        <v>0</v>
      </c>
      <c r="Z3909">
        <v>8051.32</v>
      </c>
      <c r="AA3909">
        <v>8190.58</v>
      </c>
      <c r="AB3909" s="12" t="s">
        <v>3432</v>
      </c>
      <c r="AC3909">
        <v>68.916300000000007</v>
      </c>
      <c r="AD3909">
        <v>1</v>
      </c>
      <c r="AE3909">
        <v>1</v>
      </c>
      <c r="AF3909">
        <v>194.86</v>
      </c>
      <c r="AG3909">
        <v>7856.46</v>
      </c>
      <c r="AH3909">
        <v>114</v>
      </c>
      <c r="AI3909">
        <v>112</v>
      </c>
      <c r="AJ3909">
        <v>2</v>
      </c>
      <c r="AK3909">
        <v>1</v>
      </c>
      <c r="AL3909">
        <v>1</v>
      </c>
      <c r="AM3909">
        <v>98.25</v>
      </c>
      <c r="AN3909">
        <v>73.130200000000002</v>
      </c>
      <c r="AO3909">
        <v>141.25</v>
      </c>
      <c r="AP3909" s="13">
        <v>45648</v>
      </c>
      <c r="AQ3909">
        <v>-2</v>
      </c>
      <c r="AR3909">
        <v>1</v>
      </c>
    </row>
    <row r="3910" spans="1:44" x14ac:dyDescent="0.35">
      <c r="A3910" s="12" t="s">
        <v>4831</v>
      </c>
      <c r="B3910" s="12" t="s">
        <v>565</v>
      </c>
      <c r="C3910" s="12" t="s">
        <v>566</v>
      </c>
      <c r="D3910" s="12" t="s">
        <v>122</v>
      </c>
      <c r="E3910" s="12" t="s">
        <v>104</v>
      </c>
      <c r="F3910">
        <v>3</v>
      </c>
      <c r="G3910">
        <v>1</v>
      </c>
      <c r="H3910">
        <v>0</v>
      </c>
      <c r="I3910" s="12" t="s">
        <v>87</v>
      </c>
      <c r="J3910" s="12" t="s">
        <v>88</v>
      </c>
      <c r="K3910" s="12" t="s">
        <v>89</v>
      </c>
      <c r="L3910" s="12" t="s">
        <v>69</v>
      </c>
      <c r="M3910">
        <v>14.93</v>
      </c>
      <c r="N3910" s="12" t="s">
        <v>70</v>
      </c>
      <c r="O3910" s="12" t="s">
        <v>71</v>
      </c>
      <c r="P3910" s="12" t="s">
        <v>72</v>
      </c>
      <c r="Q3910" s="13">
        <v>45625</v>
      </c>
      <c r="R3910" s="13">
        <v>45646</v>
      </c>
      <c r="S3910">
        <v>2024</v>
      </c>
      <c r="T3910" s="12" t="s">
        <v>4665</v>
      </c>
      <c r="U3910">
        <v>1136</v>
      </c>
      <c r="V3910">
        <v>34.7179</v>
      </c>
      <c r="W3910">
        <v>1023.52</v>
      </c>
      <c r="X3910">
        <v>0</v>
      </c>
      <c r="Y3910">
        <v>0</v>
      </c>
      <c r="Z3910">
        <v>39439.53</v>
      </c>
      <c r="AA3910">
        <v>40463.050000000003</v>
      </c>
      <c r="AB3910" s="12" t="s">
        <v>3238</v>
      </c>
      <c r="AC3910">
        <v>34.7179</v>
      </c>
      <c r="AD3910">
        <v>1</v>
      </c>
      <c r="AE3910">
        <v>1</v>
      </c>
      <c r="AF3910">
        <v>0</v>
      </c>
      <c r="AG3910">
        <v>39439.53</v>
      </c>
      <c r="AH3910">
        <v>1136</v>
      </c>
      <c r="AI3910">
        <v>1129</v>
      </c>
      <c r="AJ3910">
        <v>7</v>
      </c>
      <c r="AK3910">
        <v>1</v>
      </c>
      <c r="AL3910">
        <v>1</v>
      </c>
      <c r="AM3910">
        <v>99.38</v>
      </c>
      <c r="AN3910">
        <v>35.839700000000001</v>
      </c>
      <c r="AO3910">
        <v>243.03</v>
      </c>
      <c r="AP3910" s="13">
        <v>45644</v>
      </c>
      <c r="AQ3910">
        <v>-2</v>
      </c>
      <c r="AR3910">
        <v>1</v>
      </c>
    </row>
    <row r="3911" spans="1:44" x14ac:dyDescent="0.35">
      <c r="A3911" s="12" t="s">
        <v>4832</v>
      </c>
      <c r="B3911" s="12" t="s">
        <v>1034</v>
      </c>
      <c r="C3911" s="12" t="s">
        <v>1035</v>
      </c>
      <c r="D3911" s="12" t="s">
        <v>64</v>
      </c>
      <c r="E3911" s="12" t="s">
        <v>104</v>
      </c>
      <c r="F3911">
        <v>2</v>
      </c>
      <c r="G3911">
        <v>0</v>
      </c>
      <c r="H3911">
        <v>0</v>
      </c>
      <c r="I3911" s="12" t="s">
        <v>676</v>
      </c>
      <c r="J3911" s="12" t="s">
        <v>677</v>
      </c>
      <c r="K3911" s="12" t="s">
        <v>68</v>
      </c>
      <c r="L3911" s="12" t="s">
        <v>96</v>
      </c>
      <c r="M3911">
        <v>3.57</v>
      </c>
      <c r="N3911" s="12" t="s">
        <v>97</v>
      </c>
      <c r="O3911" s="12" t="s">
        <v>98</v>
      </c>
      <c r="P3911" s="12" t="s">
        <v>72</v>
      </c>
      <c r="Q3911" s="13">
        <v>45625</v>
      </c>
      <c r="R3911" s="13">
        <v>45646</v>
      </c>
      <c r="S3911">
        <v>2024</v>
      </c>
      <c r="T3911" s="12" t="s">
        <v>4665</v>
      </c>
      <c r="U3911">
        <v>566</v>
      </c>
      <c r="V3911">
        <v>9.9720999999999993</v>
      </c>
      <c r="W3911">
        <v>91.9</v>
      </c>
      <c r="X3911">
        <v>0</v>
      </c>
      <c r="Y3911">
        <v>0</v>
      </c>
      <c r="Z3911">
        <v>5644.21</v>
      </c>
      <c r="AA3911">
        <v>5736.11</v>
      </c>
      <c r="AB3911" s="12" t="s">
        <v>3523</v>
      </c>
      <c r="AC3911">
        <v>9.9720999999999993</v>
      </c>
      <c r="AD3911">
        <v>1</v>
      </c>
      <c r="AE3911">
        <v>1</v>
      </c>
      <c r="AF3911">
        <v>0</v>
      </c>
      <c r="AG3911">
        <v>5644.21</v>
      </c>
      <c r="AH3911">
        <v>566</v>
      </c>
      <c r="AI3911">
        <v>560</v>
      </c>
      <c r="AJ3911">
        <v>6</v>
      </c>
      <c r="AK3911">
        <v>1</v>
      </c>
      <c r="AL3911">
        <v>1</v>
      </c>
      <c r="AM3911">
        <v>98.94</v>
      </c>
      <c r="AN3911">
        <v>10.2431</v>
      </c>
      <c r="AO3911">
        <v>59.83</v>
      </c>
      <c r="AP3911" s="13">
        <v>45646</v>
      </c>
      <c r="AQ3911">
        <v>0</v>
      </c>
      <c r="AR3911">
        <v>1</v>
      </c>
    </row>
    <row r="3912" spans="1:44" x14ac:dyDescent="0.35">
      <c r="A3912" s="12" t="s">
        <v>4833</v>
      </c>
      <c r="B3912" s="12" t="s">
        <v>848</v>
      </c>
      <c r="C3912" s="12" t="s">
        <v>849</v>
      </c>
      <c r="D3912" s="12" t="s">
        <v>103</v>
      </c>
      <c r="E3912" s="12" t="s">
        <v>65</v>
      </c>
      <c r="F3912">
        <v>2</v>
      </c>
      <c r="G3912">
        <v>4</v>
      </c>
      <c r="H3912">
        <v>0</v>
      </c>
      <c r="I3912" s="12" t="s">
        <v>169</v>
      </c>
      <c r="J3912" s="12" t="s">
        <v>170</v>
      </c>
      <c r="K3912" s="12" t="s">
        <v>89</v>
      </c>
      <c r="L3912" s="12" t="s">
        <v>134</v>
      </c>
      <c r="M3912">
        <v>1.37</v>
      </c>
      <c r="N3912" s="12" t="s">
        <v>145</v>
      </c>
      <c r="O3912" s="12" t="s">
        <v>146</v>
      </c>
      <c r="P3912" s="12" t="s">
        <v>109</v>
      </c>
      <c r="Q3912" s="13">
        <v>45625</v>
      </c>
      <c r="R3912" s="13">
        <v>45650</v>
      </c>
      <c r="S3912">
        <v>2024</v>
      </c>
      <c r="T3912" s="12" t="s">
        <v>4665</v>
      </c>
      <c r="U3912">
        <v>46</v>
      </c>
      <c r="V3912">
        <v>121.1896</v>
      </c>
      <c r="W3912">
        <v>36.840000000000003</v>
      </c>
      <c r="X3912">
        <v>0</v>
      </c>
      <c r="Y3912">
        <v>0</v>
      </c>
      <c r="Z3912">
        <v>5574.72</v>
      </c>
      <c r="AA3912">
        <v>5611.56</v>
      </c>
      <c r="AB3912" s="12" t="s">
        <v>4834</v>
      </c>
      <c r="AC3912">
        <v>121.1896</v>
      </c>
      <c r="AD3912">
        <v>1</v>
      </c>
      <c r="AE3912">
        <v>1</v>
      </c>
      <c r="AF3912">
        <v>0</v>
      </c>
      <c r="AG3912">
        <v>5574.72</v>
      </c>
      <c r="AH3912">
        <v>46</v>
      </c>
      <c r="AI3912">
        <v>46</v>
      </c>
      <c r="AJ3912">
        <v>0</v>
      </c>
      <c r="AK3912">
        <v>1</v>
      </c>
      <c r="AL3912">
        <v>1</v>
      </c>
      <c r="AM3912">
        <v>100</v>
      </c>
      <c r="AN3912">
        <v>121.9905</v>
      </c>
      <c r="AO3912">
        <v>0</v>
      </c>
      <c r="AP3912" s="13">
        <v>45655</v>
      </c>
      <c r="AQ3912">
        <v>5</v>
      </c>
      <c r="AR3912">
        <v>0</v>
      </c>
    </row>
    <row r="3913" spans="1:44" x14ac:dyDescent="0.35">
      <c r="A3913" s="12" t="s">
        <v>4835</v>
      </c>
      <c r="B3913" s="12" t="s">
        <v>350</v>
      </c>
      <c r="C3913" s="12" t="s">
        <v>351</v>
      </c>
      <c r="D3913" s="12" t="s">
        <v>64</v>
      </c>
      <c r="E3913" s="12" t="s">
        <v>104</v>
      </c>
      <c r="F3913">
        <v>3</v>
      </c>
      <c r="G3913">
        <v>1</v>
      </c>
      <c r="H3913">
        <v>0</v>
      </c>
      <c r="I3913" s="12" t="s">
        <v>486</v>
      </c>
      <c r="J3913" s="12" t="s">
        <v>487</v>
      </c>
      <c r="K3913" s="12" t="s">
        <v>125</v>
      </c>
      <c r="L3913" s="12" t="s">
        <v>69</v>
      </c>
      <c r="M3913">
        <v>36.86</v>
      </c>
      <c r="N3913" s="12" t="s">
        <v>97</v>
      </c>
      <c r="O3913" s="12" t="s">
        <v>98</v>
      </c>
      <c r="P3913" s="12" t="s">
        <v>72</v>
      </c>
      <c r="Q3913" s="13">
        <v>45625</v>
      </c>
      <c r="R3913" s="13">
        <v>45652</v>
      </c>
      <c r="S3913">
        <v>2024</v>
      </c>
      <c r="T3913" s="12" t="s">
        <v>4665</v>
      </c>
      <c r="U3913">
        <v>852</v>
      </c>
      <c r="V3913">
        <v>8.4832000000000001</v>
      </c>
      <c r="W3913">
        <v>84.61</v>
      </c>
      <c r="X3913">
        <v>0</v>
      </c>
      <c r="Y3913">
        <v>0</v>
      </c>
      <c r="Z3913">
        <v>7227.69</v>
      </c>
      <c r="AA3913">
        <v>7312.3</v>
      </c>
      <c r="AB3913" s="12" t="s">
        <v>2933</v>
      </c>
      <c r="AC3913">
        <v>8.4832000000000001</v>
      </c>
      <c r="AD3913">
        <v>1</v>
      </c>
      <c r="AE3913">
        <v>1</v>
      </c>
      <c r="AF3913">
        <v>0</v>
      </c>
      <c r="AG3913">
        <v>7227.69</v>
      </c>
      <c r="AH3913">
        <v>852</v>
      </c>
      <c r="AI3913">
        <v>844</v>
      </c>
      <c r="AJ3913">
        <v>8</v>
      </c>
      <c r="AK3913">
        <v>1</v>
      </c>
      <c r="AL3913">
        <v>1</v>
      </c>
      <c r="AM3913">
        <v>99.06</v>
      </c>
      <c r="AN3913">
        <v>8.6638999999999999</v>
      </c>
      <c r="AO3913">
        <v>67.87</v>
      </c>
      <c r="AP3913" s="13">
        <v>45649</v>
      </c>
      <c r="AQ3913">
        <v>-3</v>
      </c>
      <c r="AR3913">
        <v>1</v>
      </c>
    </row>
    <row r="3914" spans="1:44" x14ac:dyDescent="0.35">
      <c r="A3914" s="12" t="s">
        <v>4836</v>
      </c>
      <c r="B3914" s="12" t="s">
        <v>241</v>
      </c>
      <c r="C3914" s="12" t="s">
        <v>242</v>
      </c>
      <c r="D3914" s="12" t="s">
        <v>103</v>
      </c>
      <c r="E3914" s="12" t="s">
        <v>142</v>
      </c>
      <c r="F3914">
        <v>3</v>
      </c>
      <c r="G3914">
        <v>11</v>
      </c>
      <c r="H3914">
        <v>0</v>
      </c>
      <c r="I3914" s="12" t="s">
        <v>243</v>
      </c>
      <c r="J3914" s="12" t="s">
        <v>244</v>
      </c>
      <c r="K3914" s="12" t="s">
        <v>81</v>
      </c>
      <c r="L3914" s="12" t="s">
        <v>82</v>
      </c>
      <c r="M3914">
        <v>9.2200000000000006</v>
      </c>
      <c r="N3914" s="12" t="s">
        <v>107</v>
      </c>
      <c r="O3914" s="12" t="s">
        <v>108</v>
      </c>
      <c r="P3914" s="12" t="s">
        <v>109</v>
      </c>
      <c r="Q3914" s="13">
        <v>45625</v>
      </c>
      <c r="R3914" s="13">
        <v>45676</v>
      </c>
      <c r="S3914">
        <v>2024</v>
      </c>
      <c r="T3914" s="12" t="s">
        <v>4665</v>
      </c>
      <c r="U3914">
        <v>139</v>
      </c>
      <c r="V3914">
        <v>188.13319999999999</v>
      </c>
      <c r="W3914">
        <v>195.29</v>
      </c>
      <c r="X3914">
        <v>0</v>
      </c>
      <c r="Y3914">
        <v>0</v>
      </c>
      <c r="Z3914">
        <v>26150.51</v>
      </c>
      <c r="AA3914">
        <v>26345.8</v>
      </c>
      <c r="AB3914" s="12" t="s">
        <v>201</v>
      </c>
      <c r="AD3914">
        <v>0</v>
      </c>
      <c r="AE3914">
        <v>0</v>
      </c>
      <c r="AH3914">
        <v>139</v>
      </c>
      <c r="AI3914">
        <v>138</v>
      </c>
      <c r="AJ3914">
        <v>1</v>
      </c>
      <c r="AK3914">
        <v>1</v>
      </c>
      <c r="AL3914">
        <v>1</v>
      </c>
      <c r="AM3914">
        <v>99.28</v>
      </c>
      <c r="AN3914">
        <v>190.91159999999999</v>
      </c>
      <c r="AO3914">
        <v>188.13</v>
      </c>
      <c r="AP3914" s="13">
        <v>45676</v>
      </c>
      <c r="AQ3914">
        <v>0</v>
      </c>
      <c r="AR3914">
        <v>1</v>
      </c>
    </row>
    <row r="3915" spans="1:44" x14ac:dyDescent="0.35">
      <c r="A3915" s="12" t="s">
        <v>4837</v>
      </c>
      <c r="B3915" s="12" t="s">
        <v>357</v>
      </c>
      <c r="C3915" s="12" t="s">
        <v>358</v>
      </c>
      <c r="D3915" s="12" t="s">
        <v>103</v>
      </c>
      <c r="E3915" s="12" t="s">
        <v>104</v>
      </c>
      <c r="F3915">
        <v>3</v>
      </c>
      <c r="G3915">
        <v>1</v>
      </c>
      <c r="H3915">
        <v>0</v>
      </c>
      <c r="I3915" s="12" t="s">
        <v>105</v>
      </c>
      <c r="J3915" s="12" t="s">
        <v>106</v>
      </c>
      <c r="K3915" s="12" t="s">
        <v>81</v>
      </c>
      <c r="L3915" s="12" t="s">
        <v>96</v>
      </c>
      <c r="M3915">
        <v>5.01</v>
      </c>
      <c r="N3915" s="12" t="s">
        <v>145</v>
      </c>
      <c r="O3915" s="12" t="s">
        <v>146</v>
      </c>
      <c r="P3915" s="12" t="s">
        <v>109</v>
      </c>
      <c r="Q3915" s="13">
        <v>45625</v>
      </c>
      <c r="R3915" s="13">
        <v>45652</v>
      </c>
      <c r="S3915">
        <v>2024</v>
      </c>
      <c r="T3915" s="12" t="s">
        <v>4665</v>
      </c>
      <c r="U3915">
        <v>130</v>
      </c>
      <c r="V3915">
        <v>106.6647</v>
      </c>
      <c r="W3915">
        <v>236.9</v>
      </c>
      <c r="X3915">
        <v>0</v>
      </c>
      <c r="Y3915">
        <v>0</v>
      </c>
      <c r="Z3915">
        <v>13866.41</v>
      </c>
      <c r="AA3915">
        <v>14103.31</v>
      </c>
      <c r="AB3915" s="12" t="s">
        <v>2591</v>
      </c>
      <c r="AC3915">
        <v>106.6647</v>
      </c>
      <c r="AD3915">
        <v>1</v>
      </c>
      <c r="AE3915">
        <v>1</v>
      </c>
      <c r="AF3915">
        <v>0</v>
      </c>
      <c r="AG3915">
        <v>13866.41</v>
      </c>
      <c r="AH3915">
        <v>130</v>
      </c>
      <c r="AI3915">
        <v>129</v>
      </c>
      <c r="AJ3915">
        <v>1</v>
      </c>
      <c r="AK3915">
        <v>1</v>
      </c>
      <c r="AL3915">
        <v>1</v>
      </c>
      <c r="AM3915">
        <v>99.23</v>
      </c>
      <c r="AN3915">
        <v>109.328</v>
      </c>
      <c r="AO3915">
        <v>106.66</v>
      </c>
      <c r="AP3915" s="13">
        <v>45649</v>
      </c>
      <c r="AQ3915">
        <v>-3</v>
      </c>
      <c r="AR3915">
        <v>1</v>
      </c>
    </row>
    <row r="3916" spans="1:44" x14ac:dyDescent="0.35">
      <c r="A3916" s="12" t="s">
        <v>4838</v>
      </c>
      <c r="B3916" s="12" t="s">
        <v>670</v>
      </c>
      <c r="C3916" s="12" t="s">
        <v>671</v>
      </c>
      <c r="D3916" s="12" t="s">
        <v>175</v>
      </c>
      <c r="E3916" s="12" t="s">
        <v>142</v>
      </c>
      <c r="F3916">
        <v>2</v>
      </c>
      <c r="G3916">
        <v>9</v>
      </c>
      <c r="H3916">
        <v>0</v>
      </c>
      <c r="I3916" s="12" t="s">
        <v>105</v>
      </c>
      <c r="J3916" s="12" t="s">
        <v>106</v>
      </c>
      <c r="K3916" s="12" t="s">
        <v>81</v>
      </c>
      <c r="L3916" s="12" t="s">
        <v>96</v>
      </c>
      <c r="M3916">
        <v>5.01</v>
      </c>
      <c r="N3916" s="12" t="s">
        <v>107</v>
      </c>
      <c r="O3916" s="12" t="s">
        <v>108</v>
      </c>
      <c r="P3916" s="12" t="s">
        <v>109</v>
      </c>
      <c r="Q3916" s="13">
        <v>45625</v>
      </c>
      <c r="R3916" s="13">
        <v>45663</v>
      </c>
      <c r="S3916">
        <v>2024</v>
      </c>
      <c r="T3916" s="12" t="s">
        <v>4665</v>
      </c>
      <c r="U3916">
        <v>36</v>
      </c>
      <c r="V3916">
        <v>147.4665</v>
      </c>
      <c r="W3916">
        <v>124.67</v>
      </c>
      <c r="X3916">
        <v>0</v>
      </c>
      <c r="Y3916">
        <v>0</v>
      </c>
      <c r="Z3916">
        <v>5308.79</v>
      </c>
      <c r="AA3916">
        <v>5433.46</v>
      </c>
      <c r="AB3916" s="12" t="s">
        <v>3277</v>
      </c>
      <c r="AC3916">
        <v>147.4665</v>
      </c>
      <c r="AD3916">
        <v>1</v>
      </c>
      <c r="AE3916">
        <v>1</v>
      </c>
      <c r="AF3916">
        <v>0</v>
      </c>
      <c r="AG3916">
        <v>5308.79</v>
      </c>
      <c r="AH3916">
        <v>36</v>
      </c>
      <c r="AI3916">
        <v>35</v>
      </c>
      <c r="AJ3916">
        <v>1</v>
      </c>
      <c r="AK3916">
        <v>1</v>
      </c>
      <c r="AL3916">
        <v>1</v>
      </c>
      <c r="AM3916">
        <v>97.22</v>
      </c>
      <c r="AN3916">
        <v>155.24180000000001</v>
      </c>
      <c r="AO3916">
        <v>147.47</v>
      </c>
      <c r="AP3916" s="13">
        <v>45664</v>
      </c>
      <c r="AQ3916">
        <v>1</v>
      </c>
      <c r="AR3916">
        <v>0</v>
      </c>
    </row>
    <row r="3917" spans="1:44" x14ac:dyDescent="0.35">
      <c r="A3917" s="12" t="s">
        <v>4839</v>
      </c>
      <c r="B3917" s="12" t="s">
        <v>902</v>
      </c>
      <c r="C3917" s="12" t="s">
        <v>903</v>
      </c>
      <c r="D3917" s="12" t="s">
        <v>122</v>
      </c>
      <c r="E3917" s="12" t="s">
        <v>142</v>
      </c>
      <c r="F3917">
        <v>1</v>
      </c>
      <c r="G3917">
        <v>6</v>
      </c>
      <c r="H3917">
        <v>1</v>
      </c>
      <c r="I3917" s="12" t="s">
        <v>105</v>
      </c>
      <c r="J3917" s="12" t="s">
        <v>106</v>
      </c>
      <c r="K3917" s="12" t="s">
        <v>81</v>
      </c>
      <c r="L3917" s="12" t="s">
        <v>96</v>
      </c>
      <c r="M3917">
        <v>5.01</v>
      </c>
      <c r="N3917" s="12" t="s">
        <v>70</v>
      </c>
      <c r="O3917" s="12" t="s">
        <v>71</v>
      </c>
      <c r="P3917" s="12" t="s">
        <v>72</v>
      </c>
      <c r="Q3917" s="13">
        <v>45625</v>
      </c>
      <c r="R3917" s="13">
        <v>45665</v>
      </c>
      <c r="S3917">
        <v>2024</v>
      </c>
      <c r="T3917" s="12" t="s">
        <v>4665</v>
      </c>
      <c r="U3917">
        <v>750</v>
      </c>
      <c r="V3917">
        <v>42.928800000000003</v>
      </c>
      <c r="W3917">
        <v>445.94</v>
      </c>
      <c r="X3917">
        <v>0</v>
      </c>
      <c r="Y3917">
        <v>0</v>
      </c>
      <c r="Z3917">
        <v>32196.6</v>
      </c>
      <c r="AA3917">
        <v>32642.54</v>
      </c>
      <c r="AB3917" s="12" t="s">
        <v>3284</v>
      </c>
      <c r="AC3917">
        <v>41.6892</v>
      </c>
      <c r="AD3917">
        <v>1</v>
      </c>
      <c r="AE3917">
        <v>1</v>
      </c>
      <c r="AF3917">
        <v>929.7</v>
      </c>
      <c r="AG3917">
        <v>31266.9</v>
      </c>
      <c r="AH3917">
        <v>750</v>
      </c>
      <c r="AI3917">
        <v>743</v>
      </c>
      <c r="AJ3917">
        <v>7</v>
      </c>
      <c r="AK3917">
        <v>1</v>
      </c>
      <c r="AL3917">
        <v>1</v>
      </c>
      <c r="AM3917">
        <v>99.07</v>
      </c>
      <c r="AN3917">
        <v>43.933399999999999</v>
      </c>
      <c r="AO3917">
        <v>300.5</v>
      </c>
      <c r="AP3917" s="13">
        <v>45675</v>
      </c>
      <c r="AQ3917">
        <v>10</v>
      </c>
      <c r="AR3917">
        <v>0</v>
      </c>
    </row>
    <row r="3918" spans="1:44" x14ac:dyDescent="0.35">
      <c r="A3918" s="12" t="s">
        <v>4840</v>
      </c>
      <c r="B3918" s="12" t="s">
        <v>548</v>
      </c>
      <c r="C3918" s="12" t="s">
        <v>549</v>
      </c>
      <c r="D3918" s="12" t="s">
        <v>78</v>
      </c>
      <c r="E3918" s="12" t="s">
        <v>104</v>
      </c>
      <c r="F3918">
        <v>3</v>
      </c>
      <c r="G3918">
        <v>1</v>
      </c>
      <c r="H3918">
        <v>0</v>
      </c>
      <c r="I3918" s="12" t="s">
        <v>199</v>
      </c>
      <c r="J3918" s="12" t="s">
        <v>200</v>
      </c>
      <c r="K3918" s="12" t="s">
        <v>68</v>
      </c>
      <c r="L3918" s="12" t="s">
        <v>96</v>
      </c>
      <c r="M3918">
        <v>9.4700000000000006</v>
      </c>
      <c r="N3918" s="12" t="s">
        <v>97</v>
      </c>
      <c r="O3918" s="12" t="s">
        <v>98</v>
      </c>
      <c r="P3918" s="12" t="s">
        <v>72</v>
      </c>
      <c r="Q3918" s="13">
        <v>45628</v>
      </c>
      <c r="R3918" s="13">
        <v>45648</v>
      </c>
      <c r="S3918">
        <v>2024</v>
      </c>
      <c r="T3918" s="12" t="s">
        <v>4841</v>
      </c>
      <c r="U3918">
        <v>164</v>
      </c>
      <c r="V3918">
        <v>61.503500000000003</v>
      </c>
      <c r="W3918">
        <v>248.59</v>
      </c>
      <c r="X3918">
        <v>0</v>
      </c>
      <c r="Y3918">
        <v>0</v>
      </c>
      <c r="Z3918">
        <v>10086.57</v>
      </c>
      <c r="AA3918">
        <v>10335.16</v>
      </c>
      <c r="AB3918" s="12" t="s">
        <v>3564</v>
      </c>
      <c r="AC3918">
        <v>59.1252</v>
      </c>
      <c r="AD3918">
        <v>1</v>
      </c>
      <c r="AE3918">
        <v>1</v>
      </c>
      <c r="AF3918">
        <v>390.04</v>
      </c>
      <c r="AG3918">
        <v>9696.5300000000007</v>
      </c>
      <c r="AH3918">
        <v>164</v>
      </c>
      <c r="AI3918">
        <v>161</v>
      </c>
      <c r="AJ3918">
        <v>3</v>
      </c>
      <c r="AK3918">
        <v>1</v>
      </c>
      <c r="AL3918">
        <v>1</v>
      </c>
      <c r="AM3918">
        <v>98.17</v>
      </c>
      <c r="AN3918">
        <v>64.193600000000004</v>
      </c>
      <c r="AO3918">
        <v>184.51</v>
      </c>
      <c r="AP3918" s="13">
        <v>45647</v>
      </c>
      <c r="AQ3918">
        <v>-1</v>
      </c>
      <c r="AR3918">
        <v>1</v>
      </c>
    </row>
    <row r="3919" spans="1:44" x14ac:dyDescent="0.35">
      <c r="A3919" s="12" t="s">
        <v>4842</v>
      </c>
      <c r="B3919" s="12" t="s">
        <v>694</v>
      </c>
      <c r="C3919" s="12" t="s">
        <v>695</v>
      </c>
      <c r="D3919" s="12" t="s">
        <v>103</v>
      </c>
      <c r="E3919" s="12" t="s">
        <v>65</v>
      </c>
      <c r="F3919">
        <v>2</v>
      </c>
      <c r="G3919">
        <v>3</v>
      </c>
      <c r="H3919">
        <v>0</v>
      </c>
      <c r="I3919" s="12" t="s">
        <v>263</v>
      </c>
      <c r="J3919" s="12" t="s">
        <v>264</v>
      </c>
      <c r="K3919" s="12" t="s">
        <v>125</v>
      </c>
      <c r="L3919" s="12" t="s">
        <v>82</v>
      </c>
      <c r="M3919">
        <v>10.210000000000001</v>
      </c>
      <c r="N3919" s="12" t="s">
        <v>107</v>
      </c>
      <c r="O3919" s="12" t="s">
        <v>108</v>
      </c>
      <c r="P3919" s="12" t="s">
        <v>109</v>
      </c>
      <c r="Q3919" s="13">
        <v>45628</v>
      </c>
      <c r="R3919" s="13">
        <v>45652</v>
      </c>
      <c r="S3919">
        <v>2024</v>
      </c>
      <c r="T3919" s="12" t="s">
        <v>4841</v>
      </c>
      <c r="U3919">
        <v>34</v>
      </c>
      <c r="V3919">
        <v>220.40559999999999</v>
      </c>
      <c r="W3919">
        <v>82.23</v>
      </c>
      <c r="X3919">
        <v>0</v>
      </c>
      <c r="Y3919">
        <v>0</v>
      </c>
      <c r="Z3919">
        <v>7493.79</v>
      </c>
      <c r="AA3919">
        <v>7576.02</v>
      </c>
      <c r="AB3919" s="12" t="s">
        <v>3377</v>
      </c>
      <c r="AC3919">
        <v>211.1463</v>
      </c>
      <c r="AD3919">
        <v>1</v>
      </c>
      <c r="AE3919">
        <v>1</v>
      </c>
      <c r="AF3919">
        <v>314.82</v>
      </c>
      <c r="AG3919">
        <v>7178.97</v>
      </c>
      <c r="AH3919">
        <v>34</v>
      </c>
      <c r="AI3919">
        <v>34</v>
      </c>
      <c r="AJ3919">
        <v>0</v>
      </c>
      <c r="AK3919">
        <v>1</v>
      </c>
      <c r="AL3919">
        <v>1</v>
      </c>
      <c r="AM3919">
        <v>100</v>
      </c>
      <c r="AN3919">
        <v>222.82409999999999</v>
      </c>
      <c r="AO3919">
        <v>0</v>
      </c>
      <c r="AP3919" s="13">
        <v>45649</v>
      </c>
      <c r="AQ3919">
        <v>-3</v>
      </c>
      <c r="AR3919">
        <v>1</v>
      </c>
    </row>
    <row r="3920" spans="1:44" x14ac:dyDescent="0.35">
      <c r="A3920" s="12" t="s">
        <v>4843</v>
      </c>
      <c r="B3920" s="12" t="s">
        <v>155</v>
      </c>
      <c r="C3920" s="12" t="s">
        <v>156</v>
      </c>
      <c r="D3920" s="12" t="s">
        <v>130</v>
      </c>
      <c r="E3920" s="12" t="s">
        <v>104</v>
      </c>
      <c r="F3920">
        <v>3</v>
      </c>
      <c r="G3920">
        <v>1</v>
      </c>
      <c r="H3920">
        <v>0</v>
      </c>
      <c r="I3920" s="12" t="s">
        <v>157</v>
      </c>
      <c r="J3920" s="12" t="s">
        <v>158</v>
      </c>
      <c r="K3920" s="12" t="s">
        <v>117</v>
      </c>
      <c r="L3920" s="12" t="s">
        <v>96</v>
      </c>
      <c r="M3920">
        <v>4.72</v>
      </c>
      <c r="N3920" s="12" t="s">
        <v>135</v>
      </c>
      <c r="O3920" s="12" t="s">
        <v>136</v>
      </c>
      <c r="P3920" s="12" t="s">
        <v>137</v>
      </c>
      <c r="Q3920" s="13">
        <v>45628</v>
      </c>
      <c r="R3920" s="13">
        <v>45647</v>
      </c>
      <c r="S3920">
        <v>2024</v>
      </c>
      <c r="T3920" s="12" t="s">
        <v>4841</v>
      </c>
      <c r="U3920">
        <v>66</v>
      </c>
      <c r="V3920">
        <v>188.0616</v>
      </c>
      <c r="W3920">
        <v>171.11</v>
      </c>
      <c r="X3920">
        <v>390.49</v>
      </c>
      <c r="Y3920">
        <v>1</v>
      </c>
      <c r="Z3920">
        <v>12412.07</v>
      </c>
      <c r="AA3920">
        <v>12973.67</v>
      </c>
      <c r="AB3920" s="12" t="s">
        <v>201</v>
      </c>
      <c r="AD3920">
        <v>0</v>
      </c>
      <c r="AE3920">
        <v>0</v>
      </c>
      <c r="AH3920">
        <v>66</v>
      </c>
      <c r="AI3920">
        <v>65</v>
      </c>
      <c r="AJ3920">
        <v>1</v>
      </c>
      <c r="AK3920">
        <v>1</v>
      </c>
      <c r="AL3920">
        <v>1</v>
      </c>
      <c r="AM3920">
        <v>98.48</v>
      </c>
      <c r="AN3920">
        <v>199.5949</v>
      </c>
      <c r="AO3920">
        <v>188.06</v>
      </c>
      <c r="AP3920" s="13">
        <v>45646</v>
      </c>
      <c r="AQ3920">
        <v>-1</v>
      </c>
      <c r="AR3920">
        <v>1</v>
      </c>
    </row>
    <row r="3921" spans="1:44" x14ac:dyDescent="0.35">
      <c r="A3921" s="12" t="s">
        <v>4844</v>
      </c>
      <c r="B3921" s="12" t="s">
        <v>207</v>
      </c>
      <c r="C3921" s="12" t="s">
        <v>208</v>
      </c>
      <c r="D3921" s="12" t="s">
        <v>78</v>
      </c>
      <c r="E3921" s="12" t="s">
        <v>65</v>
      </c>
      <c r="F3921">
        <v>2</v>
      </c>
      <c r="G3921">
        <v>3</v>
      </c>
      <c r="H3921">
        <v>0</v>
      </c>
      <c r="I3921" s="12" t="s">
        <v>209</v>
      </c>
      <c r="J3921" s="12" t="s">
        <v>210</v>
      </c>
      <c r="K3921" s="12" t="s">
        <v>133</v>
      </c>
      <c r="L3921" s="12" t="s">
        <v>96</v>
      </c>
      <c r="M3921">
        <v>7.82</v>
      </c>
      <c r="N3921" s="12" t="s">
        <v>70</v>
      </c>
      <c r="O3921" s="12" t="s">
        <v>71</v>
      </c>
      <c r="P3921" s="12" t="s">
        <v>72</v>
      </c>
      <c r="Q3921" s="13">
        <v>45628</v>
      </c>
      <c r="R3921" s="13">
        <v>45664</v>
      </c>
      <c r="S3921">
        <v>2024</v>
      </c>
      <c r="T3921" s="12" t="s">
        <v>4841</v>
      </c>
      <c r="U3921">
        <v>257</v>
      </c>
      <c r="V3921">
        <v>148.61590000000001</v>
      </c>
      <c r="W3921">
        <v>937.1</v>
      </c>
      <c r="X3921">
        <v>0</v>
      </c>
      <c r="Y3921">
        <v>0</v>
      </c>
      <c r="Z3921">
        <v>38194.29</v>
      </c>
      <c r="AA3921">
        <v>39131.39</v>
      </c>
      <c r="AB3921" s="12" t="s">
        <v>2832</v>
      </c>
      <c r="AC3921">
        <v>148.61590000000001</v>
      </c>
      <c r="AD3921">
        <v>1</v>
      </c>
      <c r="AE3921">
        <v>1</v>
      </c>
      <c r="AF3921">
        <v>0</v>
      </c>
      <c r="AG3921">
        <v>38194.29</v>
      </c>
      <c r="AH3921">
        <v>257</v>
      </c>
      <c r="AI3921">
        <v>251</v>
      </c>
      <c r="AJ3921">
        <v>6</v>
      </c>
      <c r="AK3921">
        <v>1</v>
      </c>
      <c r="AL3921">
        <v>1</v>
      </c>
      <c r="AM3921">
        <v>97.67</v>
      </c>
      <c r="AN3921">
        <v>155.90190000000001</v>
      </c>
      <c r="AO3921">
        <v>891.7</v>
      </c>
      <c r="AP3921" s="13">
        <v>45664</v>
      </c>
      <c r="AQ3921">
        <v>0</v>
      </c>
      <c r="AR3921">
        <v>1</v>
      </c>
    </row>
    <row r="3922" spans="1:44" x14ac:dyDescent="0.35">
      <c r="A3922" s="12" t="s">
        <v>4845</v>
      </c>
      <c r="B3922" s="12" t="s">
        <v>454</v>
      </c>
      <c r="C3922" s="12" t="s">
        <v>455</v>
      </c>
      <c r="D3922" s="12" t="s">
        <v>122</v>
      </c>
      <c r="E3922" s="12" t="s">
        <v>104</v>
      </c>
      <c r="F3922">
        <v>3</v>
      </c>
      <c r="G3922">
        <v>1</v>
      </c>
      <c r="H3922">
        <v>0</v>
      </c>
      <c r="I3922" s="12" t="s">
        <v>243</v>
      </c>
      <c r="J3922" s="12" t="s">
        <v>244</v>
      </c>
      <c r="K3922" s="12" t="s">
        <v>81</v>
      </c>
      <c r="L3922" s="12" t="s">
        <v>82</v>
      </c>
      <c r="M3922">
        <v>9.2200000000000006</v>
      </c>
      <c r="N3922" s="12" t="s">
        <v>97</v>
      </c>
      <c r="O3922" s="12" t="s">
        <v>98</v>
      </c>
      <c r="P3922" s="12" t="s">
        <v>72</v>
      </c>
      <c r="Q3922" s="13">
        <v>45628</v>
      </c>
      <c r="R3922" s="13">
        <v>45646</v>
      </c>
      <c r="S3922">
        <v>2024</v>
      </c>
      <c r="T3922" s="12" t="s">
        <v>4841</v>
      </c>
      <c r="U3922">
        <v>849</v>
      </c>
      <c r="V3922">
        <v>20.9206</v>
      </c>
      <c r="W3922">
        <v>437.63</v>
      </c>
      <c r="X3922">
        <v>0</v>
      </c>
      <c r="Y3922">
        <v>0</v>
      </c>
      <c r="Z3922">
        <v>17761.59</v>
      </c>
      <c r="AA3922">
        <v>18199.22</v>
      </c>
      <c r="AB3922" s="12" t="s">
        <v>2767</v>
      </c>
      <c r="AC3922">
        <v>20.9206</v>
      </c>
      <c r="AD3922">
        <v>1</v>
      </c>
      <c r="AE3922">
        <v>1</v>
      </c>
      <c r="AF3922">
        <v>0</v>
      </c>
      <c r="AG3922">
        <v>17761.59</v>
      </c>
      <c r="AH3922">
        <v>849</v>
      </c>
      <c r="AI3922">
        <v>839</v>
      </c>
      <c r="AJ3922">
        <v>10</v>
      </c>
      <c r="AK3922">
        <v>1</v>
      </c>
      <c r="AL3922">
        <v>1</v>
      </c>
      <c r="AM3922">
        <v>98.82</v>
      </c>
      <c r="AN3922">
        <v>21.691600000000001</v>
      </c>
      <c r="AO3922">
        <v>209.21</v>
      </c>
      <c r="AP3922" s="13">
        <v>45652</v>
      </c>
      <c r="AQ3922">
        <v>6</v>
      </c>
      <c r="AR3922">
        <v>0</v>
      </c>
    </row>
    <row r="3923" spans="1:44" x14ac:dyDescent="0.35">
      <c r="A3923" s="12" t="s">
        <v>4846</v>
      </c>
      <c r="B3923" s="12" t="s">
        <v>740</v>
      </c>
      <c r="C3923" s="12" t="s">
        <v>741</v>
      </c>
      <c r="D3923" s="12" t="s">
        <v>64</v>
      </c>
      <c r="E3923" s="12" t="s">
        <v>104</v>
      </c>
      <c r="F3923">
        <v>2</v>
      </c>
      <c r="G3923">
        <v>0</v>
      </c>
      <c r="H3923">
        <v>0</v>
      </c>
      <c r="I3923" s="12" t="s">
        <v>183</v>
      </c>
      <c r="J3923" s="12" t="s">
        <v>184</v>
      </c>
      <c r="K3923" s="12" t="s">
        <v>133</v>
      </c>
      <c r="L3923" s="12" t="s">
        <v>82</v>
      </c>
      <c r="M3923">
        <v>8.6199999999999992</v>
      </c>
      <c r="N3923" s="12" t="s">
        <v>70</v>
      </c>
      <c r="O3923" s="12" t="s">
        <v>71</v>
      </c>
      <c r="P3923" s="12" t="s">
        <v>72</v>
      </c>
      <c r="Q3923" s="13">
        <v>45628</v>
      </c>
      <c r="R3923" s="13">
        <v>45650</v>
      </c>
      <c r="S3923">
        <v>2024</v>
      </c>
      <c r="T3923" s="12" t="s">
        <v>4841</v>
      </c>
      <c r="U3923">
        <v>643</v>
      </c>
      <c r="V3923">
        <v>41.1708</v>
      </c>
      <c r="W3923">
        <v>341.77</v>
      </c>
      <c r="X3923">
        <v>0</v>
      </c>
      <c r="Y3923">
        <v>0</v>
      </c>
      <c r="Z3923">
        <v>26472.82</v>
      </c>
      <c r="AA3923">
        <v>26814.59</v>
      </c>
      <c r="AB3923" s="12" t="s">
        <v>3134</v>
      </c>
      <c r="AC3923">
        <v>41.1708</v>
      </c>
      <c r="AD3923">
        <v>1</v>
      </c>
      <c r="AE3923">
        <v>1</v>
      </c>
      <c r="AF3923">
        <v>0</v>
      </c>
      <c r="AG3923">
        <v>26472.82</v>
      </c>
      <c r="AH3923">
        <v>643</v>
      </c>
      <c r="AI3923">
        <v>639</v>
      </c>
      <c r="AJ3923">
        <v>4</v>
      </c>
      <c r="AK3923">
        <v>1</v>
      </c>
      <c r="AL3923">
        <v>1</v>
      </c>
      <c r="AM3923">
        <v>99.38</v>
      </c>
      <c r="AN3923">
        <v>41.9634</v>
      </c>
      <c r="AO3923">
        <v>164.68</v>
      </c>
      <c r="AP3923" s="13">
        <v>45656</v>
      </c>
      <c r="AQ3923">
        <v>6</v>
      </c>
      <c r="AR3923">
        <v>0</v>
      </c>
    </row>
    <row r="3924" spans="1:44" x14ac:dyDescent="0.35">
      <c r="A3924" s="12" t="s">
        <v>4847</v>
      </c>
      <c r="B3924" s="12" t="s">
        <v>640</v>
      </c>
      <c r="C3924" s="12" t="s">
        <v>641</v>
      </c>
      <c r="D3924" s="12" t="s">
        <v>130</v>
      </c>
      <c r="E3924" s="12" t="s">
        <v>104</v>
      </c>
      <c r="F3924">
        <v>3</v>
      </c>
      <c r="G3924">
        <v>0</v>
      </c>
      <c r="H3924">
        <v>0</v>
      </c>
      <c r="I3924" s="12" t="s">
        <v>123</v>
      </c>
      <c r="J3924" s="12" t="s">
        <v>124</v>
      </c>
      <c r="K3924" s="12" t="s">
        <v>125</v>
      </c>
      <c r="L3924" s="12" t="s">
        <v>82</v>
      </c>
      <c r="M3924">
        <v>6.75</v>
      </c>
      <c r="N3924" s="12" t="s">
        <v>159</v>
      </c>
      <c r="O3924" s="12" t="s">
        <v>160</v>
      </c>
      <c r="P3924" s="12" t="s">
        <v>137</v>
      </c>
      <c r="Q3924" s="13">
        <v>45628</v>
      </c>
      <c r="R3924" s="13">
        <v>45642</v>
      </c>
      <c r="S3924">
        <v>2024</v>
      </c>
      <c r="T3924" s="12" t="s">
        <v>4841</v>
      </c>
      <c r="U3924">
        <v>31</v>
      </c>
      <c r="V3924">
        <v>922.57889999999998</v>
      </c>
      <c r="W3924">
        <v>383.12</v>
      </c>
      <c r="X3924">
        <v>926.78</v>
      </c>
      <c r="Y3924">
        <v>1</v>
      </c>
      <c r="Z3924">
        <v>28599.95</v>
      </c>
      <c r="AA3924">
        <v>29909.85</v>
      </c>
      <c r="AB3924" s="12" t="s">
        <v>3887</v>
      </c>
      <c r="AC3924">
        <v>922.57889999999998</v>
      </c>
      <c r="AD3924">
        <v>1</v>
      </c>
      <c r="AE3924">
        <v>1</v>
      </c>
      <c r="AF3924">
        <v>0</v>
      </c>
      <c r="AG3924">
        <v>28599.95</v>
      </c>
      <c r="AH3924">
        <v>31</v>
      </c>
      <c r="AI3924">
        <v>31</v>
      </c>
      <c r="AJ3924">
        <v>0</v>
      </c>
      <c r="AK3924">
        <v>1</v>
      </c>
      <c r="AL3924">
        <v>1</v>
      </c>
      <c r="AM3924">
        <v>100</v>
      </c>
      <c r="AN3924">
        <v>964.83370000000002</v>
      </c>
      <c r="AO3924">
        <v>0</v>
      </c>
      <c r="AP3924" s="13">
        <v>45644</v>
      </c>
      <c r="AQ3924">
        <v>2</v>
      </c>
      <c r="AR3924">
        <v>0</v>
      </c>
    </row>
    <row r="3925" spans="1:44" x14ac:dyDescent="0.35">
      <c r="A3925" s="12" t="s">
        <v>4848</v>
      </c>
      <c r="B3925" s="12" t="s">
        <v>85</v>
      </c>
      <c r="C3925" s="12" t="s">
        <v>86</v>
      </c>
      <c r="D3925" s="12" t="s">
        <v>78</v>
      </c>
      <c r="E3925" s="12" t="s">
        <v>65</v>
      </c>
      <c r="F3925">
        <v>3</v>
      </c>
      <c r="G3925">
        <v>5</v>
      </c>
      <c r="H3925">
        <v>0</v>
      </c>
      <c r="I3925" s="12" t="s">
        <v>87</v>
      </c>
      <c r="J3925" s="12" t="s">
        <v>88</v>
      </c>
      <c r="K3925" s="12" t="s">
        <v>89</v>
      </c>
      <c r="L3925" s="12" t="s">
        <v>69</v>
      </c>
      <c r="M3925">
        <v>14.93</v>
      </c>
      <c r="N3925" s="12" t="s">
        <v>70</v>
      </c>
      <c r="O3925" s="12" t="s">
        <v>71</v>
      </c>
      <c r="P3925" s="12" t="s">
        <v>72</v>
      </c>
      <c r="Q3925" s="13">
        <v>45628</v>
      </c>
      <c r="R3925" s="13">
        <v>45649</v>
      </c>
      <c r="S3925">
        <v>2024</v>
      </c>
      <c r="T3925" s="12" t="s">
        <v>4841</v>
      </c>
      <c r="U3925">
        <v>44</v>
      </c>
      <c r="V3925">
        <v>139.59649999999999</v>
      </c>
      <c r="W3925">
        <v>74.489999999999995</v>
      </c>
      <c r="X3925">
        <v>0</v>
      </c>
      <c r="Y3925">
        <v>0</v>
      </c>
      <c r="Z3925">
        <v>6142.25</v>
      </c>
      <c r="AA3925">
        <v>6216.74</v>
      </c>
      <c r="AB3925" s="12" t="s">
        <v>2621</v>
      </c>
      <c r="AC3925">
        <v>139.59649999999999</v>
      </c>
      <c r="AD3925">
        <v>1</v>
      </c>
      <c r="AE3925">
        <v>1</v>
      </c>
      <c r="AF3925">
        <v>0</v>
      </c>
      <c r="AG3925">
        <v>6142.25</v>
      </c>
      <c r="AH3925">
        <v>44</v>
      </c>
      <c r="AI3925">
        <v>43</v>
      </c>
      <c r="AJ3925">
        <v>1</v>
      </c>
      <c r="AK3925">
        <v>1</v>
      </c>
      <c r="AL3925">
        <v>1</v>
      </c>
      <c r="AM3925">
        <v>97.73</v>
      </c>
      <c r="AN3925">
        <v>144.5753</v>
      </c>
      <c r="AO3925">
        <v>139.6</v>
      </c>
      <c r="AP3925" s="13">
        <v>45645</v>
      </c>
      <c r="AQ3925">
        <v>-4</v>
      </c>
      <c r="AR3925">
        <v>1</v>
      </c>
    </row>
    <row r="3926" spans="1:44" x14ac:dyDescent="0.35">
      <c r="A3926" s="12" t="s">
        <v>4849</v>
      </c>
      <c r="B3926" s="12" t="s">
        <v>163</v>
      </c>
      <c r="C3926" s="12" t="s">
        <v>164</v>
      </c>
      <c r="D3926" s="12" t="s">
        <v>64</v>
      </c>
      <c r="E3926" s="12" t="s">
        <v>104</v>
      </c>
      <c r="F3926">
        <v>2</v>
      </c>
      <c r="G3926">
        <v>0</v>
      </c>
      <c r="H3926">
        <v>0</v>
      </c>
      <c r="I3926" s="12" t="s">
        <v>183</v>
      </c>
      <c r="J3926" s="12" t="s">
        <v>184</v>
      </c>
      <c r="K3926" s="12" t="s">
        <v>133</v>
      </c>
      <c r="L3926" s="12" t="s">
        <v>82</v>
      </c>
      <c r="M3926">
        <v>8.6199999999999992</v>
      </c>
      <c r="N3926" s="12" t="s">
        <v>97</v>
      </c>
      <c r="O3926" s="12" t="s">
        <v>98</v>
      </c>
      <c r="P3926" s="12" t="s">
        <v>72</v>
      </c>
      <c r="Q3926" s="13">
        <v>45629</v>
      </c>
      <c r="R3926" s="13">
        <v>45649</v>
      </c>
      <c r="S3926">
        <v>2024</v>
      </c>
      <c r="T3926" s="12" t="s">
        <v>4841</v>
      </c>
      <c r="U3926">
        <v>515</v>
      </c>
      <c r="V3926">
        <v>12.460800000000001</v>
      </c>
      <c r="W3926">
        <v>57.15</v>
      </c>
      <c r="X3926">
        <v>0</v>
      </c>
      <c r="Y3926">
        <v>0</v>
      </c>
      <c r="Z3926">
        <v>6417.31</v>
      </c>
      <c r="AA3926">
        <v>6474.46</v>
      </c>
      <c r="AB3926" s="12" t="s">
        <v>4850</v>
      </c>
      <c r="AC3926">
        <v>12.460800000000001</v>
      </c>
      <c r="AD3926">
        <v>1</v>
      </c>
      <c r="AE3926">
        <v>1</v>
      </c>
      <c r="AF3926">
        <v>0</v>
      </c>
      <c r="AG3926">
        <v>6417.31</v>
      </c>
      <c r="AH3926">
        <v>515</v>
      </c>
      <c r="AI3926">
        <v>507</v>
      </c>
      <c r="AJ3926">
        <v>8</v>
      </c>
      <c r="AK3926">
        <v>1</v>
      </c>
      <c r="AL3926">
        <v>1</v>
      </c>
      <c r="AM3926">
        <v>98.45</v>
      </c>
      <c r="AN3926">
        <v>12.770099999999999</v>
      </c>
      <c r="AO3926">
        <v>99.69</v>
      </c>
      <c r="AP3926" s="13">
        <v>45648</v>
      </c>
      <c r="AQ3926">
        <v>-1</v>
      </c>
      <c r="AR3926">
        <v>1</v>
      </c>
    </row>
    <row r="3927" spans="1:44" x14ac:dyDescent="0.35">
      <c r="A3927" s="12" t="s">
        <v>4851</v>
      </c>
      <c r="B3927" s="12" t="s">
        <v>437</v>
      </c>
      <c r="C3927" s="12" t="s">
        <v>438</v>
      </c>
      <c r="D3927" s="12" t="s">
        <v>269</v>
      </c>
      <c r="E3927" s="12" t="s">
        <v>65</v>
      </c>
      <c r="F3927">
        <v>2</v>
      </c>
      <c r="G3927">
        <v>4</v>
      </c>
      <c r="H3927">
        <v>0</v>
      </c>
      <c r="I3927" s="12" t="s">
        <v>115</v>
      </c>
      <c r="J3927" s="12" t="s">
        <v>116</v>
      </c>
      <c r="K3927" s="12" t="s">
        <v>117</v>
      </c>
      <c r="L3927" s="12" t="s">
        <v>82</v>
      </c>
      <c r="M3927">
        <v>17.170000000000002</v>
      </c>
      <c r="N3927" s="12" t="s">
        <v>135</v>
      </c>
      <c r="O3927" s="12" t="s">
        <v>136</v>
      </c>
      <c r="P3927" s="12" t="s">
        <v>137</v>
      </c>
      <c r="Q3927" s="13">
        <v>45629</v>
      </c>
      <c r="R3927" s="13">
        <v>45659</v>
      </c>
      <c r="S3927">
        <v>2024</v>
      </c>
      <c r="T3927" s="12" t="s">
        <v>4841</v>
      </c>
      <c r="U3927">
        <v>81</v>
      </c>
      <c r="V3927">
        <v>440.05549999999999</v>
      </c>
      <c r="W3927">
        <v>925.57</v>
      </c>
      <c r="X3927">
        <v>0</v>
      </c>
      <c r="Y3927">
        <v>0</v>
      </c>
      <c r="Z3927">
        <v>35644.5</v>
      </c>
      <c r="AA3927">
        <v>36570.07</v>
      </c>
      <c r="AB3927" s="12" t="s">
        <v>2670</v>
      </c>
      <c r="AC3927">
        <v>440.05549999999999</v>
      </c>
      <c r="AD3927">
        <v>1</v>
      </c>
      <c r="AE3927">
        <v>1</v>
      </c>
      <c r="AF3927">
        <v>0</v>
      </c>
      <c r="AG3927">
        <v>35644.5</v>
      </c>
      <c r="AH3927">
        <v>81</v>
      </c>
      <c r="AI3927">
        <v>80</v>
      </c>
      <c r="AJ3927">
        <v>1</v>
      </c>
      <c r="AK3927">
        <v>1</v>
      </c>
      <c r="AL3927">
        <v>1</v>
      </c>
      <c r="AM3927">
        <v>98.77</v>
      </c>
      <c r="AN3927">
        <v>457.12580000000003</v>
      </c>
      <c r="AO3927">
        <v>440.06</v>
      </c>
      <c r="AP3927" s="13">
        <v>45658</v>
      </c>
      <c r="AQ3927">
        <v>-1</v>
      </c>
      <c r="AR3927">
        <v>1</v>
      </c>
    </row>
    <row r="3928" spans="1:44" x14ac:dyDescent="0.35">
      <c r="A3928" s="12" t="s">
        <v>4852</v>
      </c>
      <c r="B3928" s="12" t="s">
        <v>399</v>
      </c>
      <c r="C3928" s="12" t="s">
        <v>400</v>
      </c>
      <c r="D3928" s="12" t="s">
        <v>114</v>
      </c>
      <c r="E3928" s="12" t="s">
        <v>65</v>
      </c>
      <c r="F3928">
        <v>1</v>
      </c>
      <c r="G3928">
        <v>2</v>
      </c>
      <c r="H3928">
        <v>1</v>
      </c>
      <c r="I3928" s="12" t="s">
        <v>151</v>
      </c>
      <c r="J3928" s="12" t="s">
        <v>152</v>
      </c>
      <c r="K3928" s="12" t="s">
        <v>125</v>
      </c>
      <c r="L3928" s="12" t="s">
        <v>69</v>
      </c>
      <c r="M3928">
        <v>36.479999999999997</v>
      </c>
      <c r="N3928" s="12" t="s">
        <v>97</v>
      </c>
      <c r="O3928" s="12" t="s">
        <v>98</v>
      </c>
      <c r="P3928" s="12" t="s">
        <v>72</v>
      </c>
      <c r="Q3928" s="13">
        <v>45629</v>
      </c>
      <c r="R3928" s="13">
        <v>45662</v>
      </c>
      <c r="S3928">
        <v>2024</v>
      </c>
      <c r="T3928" s="12" t="s">
        <v>4841</v>
      </c>
      <c r="U3928">
        <v>107</v>
      </c>
      <c r="V3928">
        <v>292.26440000000002</v>
      </c>
      <c r="W3928">
        <v>280.39999999999998</v>
      </c>
      <c r="X3928">
        <v>0</v>
      </c>
      <c r="Y3928">
        <v>0</v>
      </c>
      <c r="Z3928">
        <v>31272.29</v>
      </c>
      <c r="AA3928">
        <v>31552.69</v>
      </c>
      <c r="AB3928" s="12" t="s">
        <v>3009</v>
      </c>
      <c r="AC3928">
        <v>292.26440000000002</v>
      </c>
      <c r="AD3928">
        <v>1</v>
      </c>
      <c r="AE3928">
        <v>1</v>
      </c>
      <c r="AF3928">
        <v>0</v>
      </c>
      <c r="AG3928">
        <v>31272.29</v>
      </c>
      <c r="AH3928">
        <v>107</v>
      </c>
      <c r="AI3928">
        <v>106</v>
      </c>
      <c r="AJ3928">
        <v>1</v>
      </c>
      <c r="AK3928">
        <v>1</v>
      </c>
      <c r="AL3928">
        <v>1</v>
      </c>
      <c r="AM3928">
        <v>99.07</v>
      </c>
      <c r="AN3928">
        <v>297.6669</v>
      </c>
      <c r="AO3928">
        <v>292.26</v>
      </c>
      <c r="AP3928" s="13">
        <v>45662</v>
      </c>
      <c r="AQ3928">
        <v>0</v>
      </c>
      <c r="AR3928">
        <v>1</v>
      </c>
    </row>
    <row r="3929" spans="1:44" x14ac:dyDescent="0.35">
      <c r="A3929" s="12" t="s">
        <v>4853</v>
      </c>
      <c r="B3929" s="12" t="s">
        <v>465</v>
      </c>
      <c r="C3929" s="12" t="s">
        <v>466</v>
      </c>
      <c r="D3929" s="12" t="s">
        <v>78</v>
      </c>
      <c r="E3929" s="12" t="s">
        <v>142</v>
      </c>
      <c r="F3929">
        <v>3</v>
      </c>
      <c r="G3929">
        <v>11</v>
      </c>
      <c r="H3929">
        <v>0</v>
      </c>
      <c r="I3929" s="12" t="s">
        <v>195</v>
      </c>
      <c r="J3929" s="12" t="s">
        <v>196</v>
      </c>
      <c r="K3929" s="12" t="s">
        <v>117</v>
      </c>
      <c r="L3929" s="12" t="s">
        <v>134</v>
      </c>
      <c r="M3929">
        <v>4.7699999999999996</v>
      </c>
      <c r="N3929" s="12" t="s">
        <v>70</v>
      </c>
      <c r="O3929" s="12" t="s">
        <v>71</v>
      </c>
      <c r="P3929" s="12" t="s">
        <v>72</v>
      </c>
      <c r="Q3929" s="13">
        <v>45629</v>
      </c>
      <c r="R3929" s="13">
        <v>45670</v>
      </c>
      <c r="S3929">
        <v>2024</v>
      </c>
      <c r="T3929" s="12" t="s">
        <v>4841</v>
      </c>
      <c r="U3929">
        <v>131</v>
      </c>
      <c r="V3929">
        <v>107.81189999999999</v>
      </c>
      <c r="W3929">
        <v>220.76</v>
      </c>
      <c r="X3929">
        <v>0</v>
      </c>
      <c r="Y3929">
        <v>0</v>
      </c>
      <c r="Z3929">
        <v>14123.36</v>
      </c>
      <c r="AA3929">
        <v>14344.12</v>
      </c>
      <c r="AB3929" s="12" t="s">
        <v>3058</v>
      </c>
      <c r="AC3929">
        <v>107.81189999999999</v>
      </c>
      <c r="AD3929">
        <v>1</v>
      </c>
      <c r="AE3929">
        <v>1</v>
      </c>
      <c r="AF3929">
        <v>0</v>
      </c>
      <c r="AG3929">
        <v>14123.36</v>
      </c>
      <c r="AH3929">
        <v>131</v>
      </c>
      <c r="AI3929">
        <v>130</v>
      </c>
      <c r="AJ3929">
        <v>1</v>
      </c>
      <c r="AK3929">
        <v>1</v>
      </c>
      <c r="AL3929">
        <v>1</v>
      </c>
      <c r="AM3929">
        <v>99.24</v>
      </c>
      <c r="AN3929">
        <v>110.3394</v>
      </c>
      <c r="AO3929">
        <v>107.81</v>
      </c>
      <c r="AP3929" s="13">
        <v>45669</v>
      </c>
      <c r="AQ3929">
        <v>-1</v>
      </c>
      <c r="AR3929">
        <v>1</v>
      </c>
    </row>
    <row r="3930" spans="1:44" x14ac:dyDescent="0.35">
      <c r="A3930" s="12" t="s">
        <v>4854</v>
      </c>
      <c r="B3930" s="12" t="s">
        <v>408</v>
      </c>
      <c r="C3930" s="12" t="s">
        <v>409</v>
      </c>
      <c r="D3930" s="12" t="s">
        <v>130</v>
      </c>
      <c r="E3930" s="12" t="s">
        <v>65</v>
      </c>
      <c r="F3930">
        <v>3</v>
      </c>
      <c r="G3930">
        <v>5</v>
      </c>
      <c r="H3930">
        <v>0</v>
      </c>
      <c r="I3930" s="12" t="s">
        <v>105</v>
      </c>
      <c r="J3930" s="12" t="s">
        <v>106</v>
      </c>
      <c r="K3930" s="12" t="s">
        <v>81</v>
      </c>
      <c r="L3930" s="12" t="s">
        <v>96</v>
      </c>
      <c r="M3930">
        <v>5.01</v>
      </c>
      <c r="N3930" s="12" t="s">
        <v>159</v>
      </c>
      <c r="O3930" s="12" t="s">
        <v>160</v>
      </c>
      <c r="P3930" s="12" t="s">
        <v>137</v>
      </c>
      <c r="Q3930" s="13">
        <v>45629</v>
      </c>
      <c r="R3930" s="13">
        <v>45653</v>
      </c>
      <c r="S3930">
        <v>2024</v>
      </c>
      <c r="T3930" s="12" t="s">
        <v>4841</v>
      </c>
      <c r="U3930">
        <v>36</v>
      </c>
      <c r="V3930">
        <v>746.87909999999999</v>
      </c>
      <c r="W3930">
        <v>329.36</v>
      </c>
      <c r="X3930">
        <v>0</v>
      </c>
      <c r="Y3930">
        <v>0</v>
      </c>
      <c r="Z3930">
        <v>26887.65</v>
      </c>
      <c r="AA3930">
        <v>27217.01</v>
      </c>
      <c r="AB3930" s="12" t="s">
        <v>3038</v>
      </c>
      <c r="AC3930">
        <v>746.87909999999999</v>
      </c>
      <c r="AD3930">
        <v>1</v>
      </c>
      <c r="AE3930">
        <v>1</v>
      </c>
      <c r="AF3930">
        <v>0</v>
      </c>
      <c r="AG3930">
        <v>26887.65</v>
      </c>
      <c r="AH3930">
        <v>36</v>
      </c>
      <c r="AI3930">
        <v>35</v>
      </c>
      <c r="AJ3930">
        <v>1</v>
      </c>
      <c r="AK3930">
        <v>1</v>
      </c>
      <c r="AL3930">
        <v>1</v>
      </c>
      <c r="AM3930">
        <v>97.22</v>
      </c>
      <c r="AN3930">
        <v>777.62879999999996</v>
      </c>
      <c r="AO3930">
        <v>746.88</v>
      </c>
      <c r="AP3930" s="13">
        <v>45656</v>
      </c>
      <c r="AQ3930">
        <v>3</v>
      </c>
      <c r="AR3930">
        <v>0</v>
      </c>
    </row>
    <row r="3931" spans="1:44" x14ac:dyDescent="0.35">
      <c r="A3931" s="12" t="s">
        <v>4855</v>
      </c>
      <c r="B3931" s="12" t="s">
        <v>167</v>
      </c>
      <c r="C3931" s="12" t="s">
        <v>168</v>
      </c>
      <c r="D3931" s="12" t="s">
        <v>64</v>
      </c>
      <c r="E3931" s="12" t="s">
        <v>104</v>
      </c>
      <c r="F3931">
        <v>3</v>
      </c>
      <c r="G3931">
        <v>1</v>
      </c>
      <c r="H3931">
        <v>0</v>
      </c>
      <c r="I3931" s="12" t="s">
        <v>169</v>
      </c>
      <c r="J3931" s="12" t="s">
        <v>170</v>
      </c>
      <c r="K3931" s="12" t="s">
        <v>89</v>
      </c>
      <c r="L3931" s="12" t="s">
        <v>134</v>
      </c>
      <c r="M3931">
        <v>1.37</v>
      </c>
      <c r="N3931" s="12" t="s">
        <v>70</v>
      </c>
      <c r="O3931" s="12" t="s">
        <v>71</v>
      </c>
      <c r="P3931" s="12" t="s">
        <v>72</v>
      </c>
      <c r="Q3931" s="13">
        <v>45629</v>
      </c>
      <c r="R3931" s="13">
        <v>45642</v>
      </c>
      <c r="S3931">
        <v>2024</v>
      </c>
      <c r="T3931" s="12" t="s">
        <v>4841</v>
      </c>
      <c r="U3931">
        <v>161</v>
      </c>
      <c r="V3931">
        <v>26.559100000000001</v>
      </c>
      <c r="W3931">
        <v>85.46</v>
      </c>
      <c r="X3931">
        <v>0</v>
      </c>
      <c r="Y3931">
        <v>0</v>
      </c>
      <c r="Z3931">
        <v>4276.0200000000004</v>
      </c>
      <c r="AA3931">
        <v>4361.4799999999996</v>
      </c>
      <c r="AB3931" s="12" t="s">
        <v>2885</v>
      </c>
      <c r="AC3931">
        <v>26.559100000000001</v>
      </c>
      <c r="AD3931">
        <v>1</v>
      </c>
      <c r="AE3931">
        <v>1</v>
      </c>
      <c r="AF3931">
        <v>0</v>
      </c>
      <c r="AG3931">
        <v>4276.0200000000004</v>
      </c>
      <c r="AH3931">
        <v>161</v>
      </c>
      <c r="AI3931">
        <v>160</v>
      </c>
      <c r="AJ3931">
        <v>1</v>
      </c>
      <c r="AK3931">
        <v>1</v>
      </c>
      <c r="AL3931">
        <v>1</v>
      </c>
      <c r="AM3931">
        <v>99.38</v>
      </c>
      <c r="AN3931">
        <v>27.2592</v>
      </c>
      <c r="AO3931">
        <v>26.56</v>
      </c>
      <c r="AP3931" s="13">
        <v>45642</v>
      </c>
      <c r="AQ3931">
        <v>0</v>
      </c>
      <c r="AR3931">
        <v>1</v>
      </c>
    </row>
    <row r="3932" spans="1:44" x14ac:dyDescent="0.35">
      <c r="A3932" s="12" t="s">
        <v>4856</v>
      </c>
      <c r="B3932" s="12" t="s">
        <v>519</v>
      </c>
      <c r="C3932" s="12" t="s">
        <v>520</v>
      </c>
      <c r="D3932" s="12" t="s">
        <v>78</v>
      </c>
      <c r="E3932" s="12" t="s">
        <v>65</v>
      </c>
      <c r="F3932">
        <v>2</v>
      </c>
      <c r="G3932">
        <v>3</v>
      </c>
      <c r="H3932">
        <v>0</v>
      </c>
      <c r="I3932" s="12" t="s">
        <v>143</v>
      </c>
      <c r="J3932" s="12" t="s">
        <v>144</v>
      </c>
      <c r="K3932" s="12" t="s">
        <v>133</v>
      </c>
      <c r="L3932" s="12" t="s">
        <v>96</v>
      </c>
      <c r="M3932">
        <v>5.43</v>
      </c>
      <c r="N3932" s="12" t="s">
        <v>97</v>
      </c>
      <c r="O3932" s="12" t="s">
        <v>98</v>
      </c>
      <c r="P3932" s="12" t="s">
        <v>72</v>
      </c>
      <c r="Q3932" s="13">
        <v>45629</v>
      </c>
      <c r="R3932" s="13">
        <v>45653</v>
      </c>
      <c r="S3932">
        <v>2024</v>
      </c>
      <c r="T3932" s="12" t="s">
        <v>4841</v>
      </c>
      <c r="U3932">
        <v>97</v>
      </c>
      <c r="V3932">
        <v>31.087199999999999</v>
      </c>
      <c r="W3932">
        <v>36.24</v>
      </c>
      <c r="X3932">
        <v>0</v>
      </c>
      <c r="Y3932">
        <v>0</v>
      </c>
      <c r="Z3932">
        <v>3015.46</v>
      </c>
      <c r="AA3932">
        <v>3051.7</v>
      </c>
      <c r="AB3932" s="12" t="s">
        <v>3130</v>
      </c>
      <c r="AC3932">
        <v>30.1342</v>
      </c>
      <c r="AD3932">
        <v>1</v>
      </c>
      <c r="AE3932">
        <v>1</v>
      </c>
      <c r="AF3932">
        <v>92.44</v>
      </c>
      <c r="AG3932">
        <v>2923.02</v>
      </c>
      <c r="AH3932">
        <v>97</v>
      </c>
      <c r="AI3932">
        <v>97</v>
      </c>
      <c r="AJ3932">
        <v>0</v>
      </c>
      <c r="AK3932">
        <v>1</v>
      </c>
      <c r="AL3932">
        <v>1</v>
      </c>
      <c r="AM3932">
        <v>100</v>
      </c>
      <c r="AN3932">
        <v>31.460799999999999</v>
      </c>
      <c r="AO3932">
        <v>0</v>
      </c>
      <c r="AP3932" s="13">
        <v>45661</v>
      </c>
      <c r="AQ3932">
        <v>8</v>
      </c>
      <c r="AR3932">
        <v>0</v>
      </c>
    </row>
    <row r="3933" spans="1:44" x14ac:dyDescent="0.35">
      <c r="A3933" s="12" t="s">
        <v>4857</v>
      </c>
      <c r="B3933" s="12" t="s">
        <v>331</v>
      </c>
      <c r="C3933" s="12" t="s">
        <v>332</v>
      </c>
      <c r="D3933" s="12" t="s">
        <v>122</v>
      </c>
      <c r="E3933" s="12" t="s">
        <v>142</v>
      </c>
      <c r="F3933">
        <v>3</v>
      </c>
      <c r="G3933">
        <v>11</v>
      </c>
      <c r="H3933">
        <v>0</v>
      </c>
      <c r="I3933" s="12" t="s">
        <v>263</v>
      </c>
      <c r="J3933" s="12" t="s">
        <v>264</v>
      </c>
      <c r="K3933" s="12" t="s">
        <v>125</v>
      </c>
      <c r="L3933" s="12" t="s">
        <v>82</v>
      </c>
      <c r="M3933">
        <v>10.210000000000001</v>
      </c>
      <c r="N3933" s="12" t="s">
        <v>70</v>
      </c>
      <c r="O3933" s="12" t="s">
        <v>71</v>
      </c>
      <c r="P3933" s="12" t="s">
        <v>72</v>
      </c>
      <c r="Q3933" s="13">
        <v>45629</v>
      </c>
      <c r="R3933" s="13">
        <v>45667</v>
      </c>
      <c r="S3933">
        <v>2024</v>
      </c>
      <c r="T3933" s="12" t="s">
        <v>4841</v>
      </c>
      <c r="U3933">
        <v>530</v>
      </c>
      <c r="V3933">
        <v>24.008700000000001</v>
      </c>
      <c r="W3933">
        <v>149.9</v>
      </c>
      <c r="X3933">
        <v>0</v>
      </c>
      <c r="Y3933">
        <v>0</v>
      </c>
      <c r="Z3933">
        <v>12724.61</v>
      </c>
      <c r="AA3933">
        <v>12874.51</v>
      </c>
      <c r="AB3933" s="12" t="s">
        <v>2732</v>
      </c>
      <c r="AC3933">
        <v>24.008700000000001</v>
      </c>
      <c r="AD3933">
        <v>1</v>
      </c>
      <c r="AE3933">
        <v>1</v>
      </c>
      <c r="AF3933">
        <v>0</v>
      </c>
      <c r="AG3933">
        <v>12724.61</v>
      </c>
      <c r="AH3933">
        <v>530</v>
      </c>
      <c r="AI3933">
        <v>524</v>
      </c>
      <c r="AJ3933">
        <v>6</v>
      </c>
      <c r="AK3933">
        <v>1</v>
      </c>
      <c r="AL3933">
        <v>1</v>
      </c>
      <c r="AM3933">
        <v>98.87</v>
      </c>
      <c r="AN3933">
        <v>24.569700000000001</v>
      </c>
      <c r="AO3933">
        <v>144.05000000000001</v>
      </c>
      <c r="AP3933" s="13">
        <v>45672</v>
      </c>
      <c r="AQ3933">
        <v>5</v>
      </c>
      <c r="AR3933">
        <v>0</v>
      </c>
    </row>
    <row r="3934" spans="1:44" x14ac:dyDescent="0.35">
      <c r="A3934" s="12" t="s">
        <v>4858</v>
      </c>
      <c r="B3934" s="12" t="s">
        <v>728</v>
      </c>
      <c r="C3934" s="12" t="s">
        <v>729</v>
      </c>
      <c r="D3934" s="12" t="s">
        <v>269</v>
      </c>
      <c r="E3934" s="12" t="s">
        <v>65</v>
      </c>
      <c r="F3934">
        <v>2</v>
      </c>
      <c r="G3934">
        <v>3</v>
      </c>
      <c r="H3934">
        <v>0</v>
      </c>
      <c r="I3934" s="12" t="s">
        <v>310</v>
      </c>
      <c r="J3934" s="12" t="s">
        <v>311</v>
      </c>
      <c r="K3934" s="12" t="s">
        <v>81</v>
      </c>
      <c r="L3934" s="12" t="s">
        <v>69</v>
      </c>
      <c r="M3934">
        <v>28.3</v>
      </c>
      <c r="N3934" s="12" t="s">
        <v>135</v>
      </c>
      <c r="O3934" s="12" t="s">
        <v>136</v>
      </c>
      <c r="P3934" s="12" t="s">
        <v>137</v>
      </c>
      <c r="Q3934" s="13">
        <v>45629</v>
      </c>
      <c r="R3934" s="13">
        <v>45650</v>
      </c>
      <c r="S3934">
        <v>2024</v>
      </c>
      <c r="T3934" s="12" t="s">
        <v>4841</v>
      </c>
      <c r="U3934">
        <v>16</v>
      </c>
      <c r="V3934">
        <v>364.55509999999998</v>
      </c>
      <c r="W3934">
        <v>37.880000000000003</v>
      </c>
      <c r="X3934">
        <v>0</v>
      </c>
      <c r="Y3934">
        <v>0</v>
      </c>
      <c r="Z3934">
        <v>5832.88</v>
      </c>
      <c r="AA3934">
        <v>5870.76</v>
      </c>
      <c r="AB3934" s="12" t="s">
        <v>3329</v>
      </c>
      <c r="AC3934">
        <v>364.55509999999998</v>
      </c>
      <c r="AD3934">
        <v>1</v>
      </c>
      <c r="AE3934">
        <v>1</v>
      </c>
      <c r="AF3934">
        <v>0</v>
      </c>
      <c r="AG3934">
        <v>5832.88</v>
      </c>
      <c r="AH3934">
        <v>16</v>
      </c>
      <c r="AI3934">
        <v>16</v>
      </c>
      <c r="AJ3934">
        <v>0</v>
      </c>
      <c r="AK3934">
        <v>1</v>
      </c>
      <c r="AL3934">
        <v>1</v>
      </c>
      <c r="AM3934">
        <v>100</v>
      </c>
      <c r="AN3934">
        <v>366.92259999999999</v>
      </c>
      <c r="AO3934">
        <v>0</v>
      </c>
      <c r="AP3934" s="13">
        <v>45647</v>
      </c>
      <c r="AQ3934">
        <v>-3</v>
      </c>
      <c r="AR3934">
        <v>1</v>
      </c>
    </row>
    <row r="3935" spans="1:44" x14ac:dyDescent="0.35">
      <c r="A3935" s="12" t="s">
        <v>4859</v>
      </c>
      <c r="B3935" s="12" t="s">
        <v>302</v>
      </c>
      <c r="C3935" s="12" t="s">
        <v>303</v>
      </c>
      <c r="D3935" s="12" t="s">
        <v>78</v>
      </c>
      <c r="E3935" s="12" t="s">
        <v>65</v>
      </c>
      <c r="F3935">
        <v>2</v>
      </c>
      <c r="G3935">
        <v>3</v>
      </c>
      <c r="H3935">
        <v>0</v>
      </c>
      <c r="I3935" s="12" t="s">
        <v>243</v>
      </c>
      <c r="J3935" s="12" t="s">
        <v>244</v>
      </c>
      <c r="K3935" s="12" t="s">
        <v>81</v>
      </c>
      <c r="L3935" s="12" t="s">
        <v>82</v>
      </c>
      <c r="M3935">
        <v>9.2200000000000006</v>
      </c>
      <c r="N3935" s="12" t="s">
        <v>97</v>
      </c>
      <c r="O3935" s="12" t="s">
        <v>98</v>
      </c>
      <c r="P3935" s="12" t="s">
        <v>72</v>
      </c>
      <c r="Q3935" s="13">
        <v>45629</v>
      </c>
      <c r="R3935" s="13">
        <v>45650</v>
      </c>
      <c r="S3935">
        <v>2024</v>
      </c>
      <c r="T3935" s="12" t="s">
        <v>4841</v>
      </c>
      <c r="U3935">
        <v>52</v>
      </c>
      <c r="V3935">
        <v>136.7945</v>
      </c>
      <c r="W3935">
        <v>114.52</v>
      </c>
      <c r="X3935">
        <v>0</v>
      </c>
      <c r="Y3935">
        <v>0</v>
      </c>
      <c r="Z3935">
        <v>7113.31</v>
      </c>
      <c r="AA3935">
        <v>7227.83</v>
      </c>
      <c r="AB3935" s="12" t="s">
        <v>3633</v>
      </c>
      <c r="AC3935">
        <v>136.7945</v>
      </c>
      <c r="AD3935">
        <v>1</v>
      </c>
      <c r="AE3935">
        <v>1</v>
      </c>
      <c r="AF3935">
        <v>0</v>
      </c>
      <c r="AG3935">
        <v>7113.31</v>
      </c>
      <c r="AH3935">
        <v>52</v>
      </c>
      <c r="AI3935">
        <v>51</v>
      </c>
      <c r="AJ3935">
        <v>1</v>
      </c>
      <c r="AK3935">
        <v>1</v>
      </c>
      <c r="AL3935">
        <v>1</v>
      </c>
      <c r="AM3935">
        <v>98.08</v>
      </c>
      <c r="AN3935">
        <v>141.72219999999999</v>
      </c>
      <c r="AO3935">
        <v>136.79</v>
      </c>
      <c r="AP3935" s="13">
        <v>45647</v>
      </c>
      <c r="AQ3935">
        <v>-3</v>
      </c>
      <c r="AR3935">
        <v>1</v>
      </c>
    </row>
    <row r="3936" spans="1:44" x14ac:dyDescent="0.35">
      <c r="A3936" s="12" t="s">
        <v>4860</v>
      </c>
      <c r="B3936" s="12" t="s">
        <v>532</v>
      </c>
      <c r="C3936" s="12" t="s">
        <v>533</v>
      </c>
      <c r="D3936" s="12" t="s">
        <v>114</v>
      </c>
      <c r="E3936" s="12" t="s">
        <v>65</v>
      </c>
      <c r="F3936">
        <v>2</v>
      </c>
      <c r="G3936">
        <v>3</v>
      </c>
      <c r="H3936">
        <v>0</v>
      </c>
      <c r="I3936" s="12" t="s">
        <v>105</v>
      </c>
      <c r="J3936" s="12" t="s">
        <v>106</v>
      </c>
      <c r="K3936" s="12" t="s">
        <v>81</v>
      </c>
      <c r="L3936" s="12" t="s">
        <v>96</v>
      </c>
      <c r="M3936">
        <v>5.01</v>
      </c>
      <c r="N3936" s="12" t="s">
        <v>97</v>
      </c>
      <c r="O3936" s="12" t="s">
        <v>98</v>
      </c>
      <c r="P3936" s="12" t="s">
        <v>72</v>
      </c>
      <c r="Q3936" s="13">
        <v>45629</v>
      </c>
      <c r="R3936" s="13">
        <v>45661</v>
      </c>
      <c r="S3936">
        <v>2024</v>
      </c>
      <c r="T3936" s="12" t="s">
        <v>4841</v>
      </c>
      <c r="U3936">
        <v>102</v>
      </c>
      <c r="V3936">
        <v>249.9546</v>
      </c>
      <c r="W3936">
        <v>283.83</v>
      </c>
      <c r="X3936">
        <v>0</v>
      </c>
      <c r="Y3936">
        <v>0</v>
      </c>
      <c r="Z3936">
        <v>25495.37</v>
      </c>
      <c r="AA3936">
        <v>25779.200000000001</v>
      </c>
      <c r="AB3936" s="12" t="s">
        <v>3041</v>
      </c>
      <c r="AC3936">
        <v>249.9546</v>
      </c>
      <c r="AD3936">
        <v>1</v>
      </c>
      <c r="AE3936">
        <v>1</v>
      </c>
      <c r="AF3936">
        <v>0</v>
      </c>
      <c r="AG3936">
        <v>25495.37</v>
      </c>
      <c r="AH3936">
        <v>102</v>
      </c>
      <c r="AI3936">
        <v>101</v>
      </c>
      <c r="AJ3936">
        <v>1</v>
      </c>
      <c r="AK3936">
        <v>1</v>
      </c>
      <c r="AL3936">
        <v>1</v>
      </c>
      <c r="AM3936">
        <v>99.02</v>
      </c>
      <c r="AN3936">
        <v>255.2396</v>
      </c>
      <c r="AO3936">
        <v>249.95</v>
      </c>
      <c r="AP3936" s="13">
        <v>45661</v>
      </c>
      <c r="AQ3936">
        <v>0</v>
      </c>
      <c r="AR3936">
        <v>1</v>
      </c>
    </row>
    <row r="3937" spans="1:44" x14ac:dyDescent="0.35">
      <c r="A3937" s="12" t="s">
        <v>4861</v>
      </c>
      <c r="B3937" s="12" t="s">
        <v>941</v>
      </c>
      <c r="C3937" s="12" t="s">
        <v>942</v>
      </c>
      <c r="D3937" s="12" t="s">
        <v>130</v>
      </c>
      <c r="E3937" s="12" t="s">
        <v>104</v>
      </c>
      <c r="F3937">
        <v>2</v>
      </c>
      <c r="G3937">
        <v>0</v>
      </c>
      <c r="H3937">
        <v>0</v>
      </c>
      <c r="I3937" s="12" t="s">
        <v>131</v>
      </c>
      <c r="J3937" s="12" t="s">
        <v>132</v>
      </c>
      <c r="K3937" s="12" t="s">
        <v>133</v>
      </c>
      <c r="L3937" s="12" t="s">
        <v>134</v>
      </c>
      <c r="M3937">
        <v>1.51</v>
      </c>
      <c r="N3937" s="12" t="s">
        <v>135</v>
      </c>
      <c r="O3937" s="12" t="s">
        <v>136</v>
      </c>
      <c r="P3937" s="12" t="s">
        <v>137</v>
      </c>
      <c r="Q3937" s="13">
        <v>45629</v>
      </c>
      <c r="R3937" s="13">
        <v>45656</v>
      </c>
      <c r="S3937">
        <v>2024</v>
      </c>
      <c r="T3937" s="12" t="s">
        <v>4841</v>
      </c>
      <c r="U3937">
        <v>130</v>
      </c>
      <c r="V3937">
        <v>862.61350000000004</v>
      </c>
      <c r="W3937">
        <v>2299.12</v>
      </c>
      <c r="X3937">
        <v>0</v>
      </c>
      <c r="Y3937">
        <v>0</v>
      </c>
      <c r="Z3937">
        <v>112139.76</v>
      </c>
      <c r="AA3937">
        <v>114438.88</v>
      </c>
      <c r="AB3937" s="12" t="s">
        <v>3518</v>
      </c>
      <c r="AC3937">
        <v>839.4819</v>
      </c>
      <c r="AD3937">
        <v>1</v>
      </c>
      <c r="AE3937">
        <v>1</v>
      </c>
      <c r="AF3937">
        <v>3007.11</v>
      </c>
      <c r="AG3937">
        <v>109132.65</v>
      </c>
      <c r="AH3937">
        <v>130</v>
      </c>
      <c r="AI3937">
        <v>116</v>
      </c>
      <c r="AJ3937">
        <v>14</v>
      </c>
      <c r="AK3937">
        <v>1</v>
      </c>
      <c r="AL3937">
        <v>1</v>
      </c>
      <c r="AM3937">
        <v>89.23</v>
      </c>
      <c r="AN3937">
        <v>986.54200000000003</v>
      </c>
      <c r="AO3937">
        <v>12076.59</v>
      </c>
      <c r="AP3937" s="13">
        <v>45654</v>
      </c>
      <c r="AQ3937">
        <v>-2</v>
      </c>
      <c r="AR3937">
        <v>1</v>
      </c>
    </row>
    <row r="3938" spans="1:44" x14ac:dyDescent="0.35">
      <c r="A3938" s="12" t="s">
        <v>4862</v>
      </c>
      <c r="B3938" s="12" t="s">
        <v>766</v>
      </c>
      <c r="C3938" s="12" t="s">
        <v>767</v>
      </c>
      <c r="D3938" s="12" t="s">
        <v>175</v>
      </c>
      <c r="E3938" s="12" t="s">
        <v>65</v>
      </c>
      <c r="F3938">
        <v>3</v>
      </c>
      <c r="G3938">
        <v>5</v>
      </c>
      <c r="H3938">
        <v>0</v>
      </c>
      <c r="I3938" s="12" t="s">
        <v>87</v>
      </c>
      <c r="J3938" s="12" t="s">
        <v>88</v>
      </c>
      <c r="K3938" s="12" t="s">
        <v>89</v>
      </c>
      <c r="L3938" s="12" t="s">
        <v>69</v>
      </c>
      <c r="M3938">
        <v>14.93</v>
      </c>
      <c r="N3938" s="12" t="s">
        <v>107</v>
      </c>
      <c r="O3938" s="12" t="s">
        <v>108</v>
      </c>
      <c r="P3938" s="12" t="s">
        <v>109</v>
      </c>
      <c r="Q3938" s="13">
        <v>45630</v>
      </c>
      <c r="R3938" s="13">
        <v>45661</v>
      </c>
      <c r="S3938">
        <v>2024</v>
      </c>
      <c r="T3938" s="12" t="s">
        <v>4841</v>
      </c>
      <c r="U3938">
        <v>93</v>
      </c>
      <c r="V3938">
        <v>77.001199999999997</v>
      </c>
      <c r="W3938">
        <v>81.11</v>
      </c>
      <c r="X3938">
        <v>0</v>
      </c>
      <c r="Y3938">
        <v>0</v>
      </c>
      <c r="Z3938">
        <v>7161.11</v>
      </c>
      <c r="AA3938">
        <v>7242.22</v>
      </c>
      <c r="AB3938" s="12" t="s">
        <v>3225</v>
      </c>
      <c r="AC3938">
        <v>81.825500000000005</v>
      </c>
      <c r="AD3938">
        <v>1</v>
      </c>
      <c r="AE3938">
        <v>1</v>
      </c>
      <c r="AF3938">
        <v>-448.66</v>
      </c>
      <c r="AG3938">
        <v>7609.77</v>
      </c>
      <c r="AH3938">
        <v>93</v>
      </c>
      <c r="AI3938">
        <v>92</v>
      </c>
      <c r="AJ3938">
        <v>1</v>
      </c>
      <c r="AK3938">
        <v>1</v>
      </c>
      <c r="AL3938">
        <v>1</v>
      </c>
      <c r="AM3938">
        <v>98.92</v>
      </c>
      <c r="AN3938">
        <v>78.719800000000006</v>
      </c>
      <c r="AO3938">
        <v>77</v>
      </c>
      <c r="AP3938" s="13">
        <v>45659</v>
      </c>
      <c r="AQ3938">
        <v>-2</v>
      </c>
      <c r="AR3938">
        <v>1</v>
      </c>
    </row>
    <row r="3939" spans="1:44" x14ac:dyDescent="0.35">
      <c r="A3939" s="12" t="s">
        <v>4863</v>
      </c>
      <c r="B3939" s="12" t="s">
        <v>399</v>
      </c>
      <c r="C3939" s="12" t="s">
        <v>400</v>
      </c>
      <c r="D3939" s="12" t="s">
        <v>114</v>
      </c>
      <c r="E3939" s="12" t="s">
        <v>65</v>
      </c>
      <c r="F3939">
        <v>1</v>
      </c>
      <c r="G3939">
        <v>2</v>
      </c>
      <c r="H3939">
        <v>1</v>
      </c>
      <c r="I3939" s="12" t="s">
        <v>151</v>
      </c>
      <c r="J3939" s="12" t="s">
        <v>152</v>
      </c>
      <c r="K3939" s="12" t="s">
        <v>125</v>
      </c>
      <c r="L3939" s="12" t="s">
        <v>69</v>
      </c>
      <c r="M3939">
        <v>36.479999999999997</v>
      </c>
      <c r="N3939" s="12" t="s">
        <v>97</v>
      </c>
      <c r="O3939" s="12" t="s">
        <v>98</v>
      </c>
      <c r="P3939" s="12" t="s">
        <v>72</v>
      </c>
      <c r="Q3939" s="13">
        <v>45630</v>
      </c>
      <c r="R3939" s="13">
        <v>45665</v>
      </c>
      <c r="S3939">
        <v>2024</v>
      </c>
      <c r="T3939" s="12" t="s">
        <v>4841</v>
      </c>
      <c r="U3939">
        <v>119</v>
      </c>
      <c r="V3939">
        <v>292.26440000000002</v>
      </c>
      <c r="W3939">
        <v>388.83</v>
      </c>
      <c r="X3939">
        <v>0</v>
      </c>
      <c r="Y3939">
        <v>0</v>
      </c>
      <c r="Z3939">
        <v>34779.46</v>
      </c>
      <c r="AA3939">
        <v>35168.29</v>
      </c>
      <c r="AB3939" s="12" t="s">
        <v>3009</v>
      </c>
      <c r="AC3939">
        <v>292.26440000000002</v>
      </c>
      <c r="AD3939">
        <v>1</v>
      </c>
      <c r="AE3939">
        <v>1</v>
      </c>
      <c r="AF3939">
        <v>0</v>
      </c>
      <c r="AG3939">
        <v>34779.46</v>
      </c>
      <c r="AH3939">
        <v>119</v>
      </c>
      <c r="AI3939">
        <v>118</v>
      </c>
      <c r="AJ3939">
        <v>1</v>
      </c>
      <c r="AK3939">
        <v>1</v>
      </c>
      <c r="AL3939">
        <v>1</v>
      </c>
      <c r="AM3939">
        <v>99.16</v>
      </c>
      <c r="AN3939">
        <v>298.03640000000001</v>
      </c>
      <c r="AO3939">
        <v>292.26</v>
      </c>
      <c r="AP3939" s="13">
        <v>45662</v>
      </c>
      <c r="AQ3939">
        <v>-3</v>
      </c>
      <c r="AR3939">
        <v>1</v>
      </c>
    </row>
    <row r="3940" spans="1:44" x14ac:dyDescent="0.35">
      <c r="A3940" s="12" t="s">
        <v>4864</v>
      </c>
      <c r="B3940" s="12" t="s">
        <v>685</v>
      </c>
      <c r="C3940" s="12" t="s">
        <v>686</v>
      </c>
      <c r="D3940" s="12" t="s">
        <v>175</v>
      </c>
      <c r="E3940" s="12" t="s">
        <v>104</v>
      </c>
      <c r="F3940">
        <v>2</v>
      </c>
      <c r="G3940">
        <v>0</v>
      </c>
      <c r="H3940">
        <v>0</v>
      </c>
      <c r="I3940" s="12" t="s">
        <v>243</v>
      </c>
      <c r="J3940" s="12" t="s">
        <v>244</v>
      </c>
      <c r="K3940" s="12" t="s">
        <v>81</v>
      </c>
      <c r="L3940" s="12" t="s">
        <v>82</v>
      </c>
      <c r="M3940">
        <v>9.2200000000000006</v>
      </c>
      <c r="N3940" s="12" t="s">
        <v>107</v>
      </c>
      <c r="O3940" s="12" t="s">
        <v>108</v>
      </c>
      <c r="P3940" s="12" t="s">
        <v>109</v>
      </c>
      <c r="Q3940" s="13">
        <v>45630</v>
      </c>
      <c r="R3940" s="13">
        <v>45659</v>
      </c>
      <c r="S3940">
        <v>2024</v>
      </c>
      <c r="T3940" s="12" t="s">
        <v>4841</v>
      </c>
      <c r="U3940">
        <v>147</v>
      </c>
      <c r="V3940">
        <v>239.74529999999999</v>
      </c>
      <c r="W3940">
        <v>717.41</v>
      </c>
      <c r="X3940">
        <v>0</v>
      </c>
      <c r="Y3940">
        <v>0</v>
      </c>
      <c r="Z3940">
        <v>35242.559999999998</v>
      </c>
      <c r="AA3940">
        <v>35959.97</v>
      </c>
      <c r="AB3940" s="12" t="s">
        <v>201</v>
      </c>
      <c r="AD3940">
        <v>0</v>
      </c>
      <c r="AE3940">
        <v>0</v>
      </c>
      <c r="AH3940">
        <v>147</v>
      </c>
      <c r="AI3940">
        <v>146</v>
      </c>
      <c r="AJ3940">
        <v>1</v>
      </c>
      <c r="AK3940">
        <v>1</v>
      </c>
      <c r="AL3940">
        <v>1</v>
      </c>
      <c r="AM3940">
        <v>99.32</v>
      </c>
      <c r="AN3940">
        <v>246.30119999999999</v>
      </c>
      <c r="AO3940">
        <v>239.75</v>
      </c>
      <c r="AP3940" s="13">
        <v>45656</v>
      </c>
      <c r="AQ3940">
        <v>-3</v>
      </c>
      <c r="AR3940">
        <v>1</v>
      </c>
    </row>
    <row r="3941" spans="1:44" x14ac:dyDescent="0.35">
      <c r="A3941" s="12" t="s">
        <v>4865</v>
      </c>
      <c r="B3941" s="12" t="s">
        <v>755</v>
      </c>
      <c r="C3941" s="12" t="s">
        <v>756</v>
      </c>
      <c r="D3941" s="12" t="s">
        <v>78</v>
      </c>
      <c r="E3941" s="12" t="s">
        <v>65</v>
      </c>
      <c r="F3941">
        <v>2</v>
      </c>
      <c r="G3941">
        <v>2</v>
      </c>
      <c r="H3941">
        <v>0</v>
      </c>
      <c r="I3941" s="12" t="s">
        <v>359</v>
      </c>
      <c r="J3941" s="12" t="s">
        <v>360</v>
      </c>
      <c r="K3941" s="12" t="s">
        <v>133</v>
      </c>
      <c r="L3941" s="12" t="s">
        <v>82</v>
      </c>
      <c r="M3941">
        <v>12.65</v>
      </c>
      <c r="N3941" s="12" t="s">
        <v>97</v>
      </c>
      <c r="O3941" s="12" t="s">
        <v>98</v>
      </c>
      <c r="P3941" s="12" t="s">
        <v>72</v>
      </c>
      <c r="Q3941" s="13">
        <v>45630</v>
      </c>
      <c r="R3941" s="13">
        <v>45664</v>
      </c>
      <c r="S3941">
        <v>2024</v>
      </c>
      <c r="T3941" s="12" t="s">
        <v>4841</v>
      </c>
      <c r="U3941">
        <v>231</v>
      </c>
      <c r="V3941">
        <v>43.122799999999998</v>
      </c>
      <c r="W3941">
        <v>193.93</v>
      </c>
      <c r="X3941">
        <v>0</v>
      </c>
      <c r="Y3941">
        <v>0</v>
      </c>
      <c r="Z3941">
        <v>9961.3700000000008</v>
      </c>
      <c r="AA3941">
        <v>10155.299999999999</v>
      </c>
      <c r="AB3941" s="12" t="s">
        <v>3414</v>
      </c>
      <c r="AC3941">
        <v>43.122799999999998</v>
      </c>
      <c r="AD3941">
        <v>1</v>
      </c>
      <c r="AE3941">
        <v>1</v>
      </c>
      <c r="AF3941">
        <v>0</v>
      </c>
      <c r="AG3941">
        <v>9961.3700000000008</v>
      </c>
      <c r="AH3941">
        <v>231</v>
      </c>
      <c r="AI3941">
        <v>227</v>
      </c>
      <c r="AJ3941">
        <v>4</v>
      </c>
      <c r="AK3941">
        <v>1</v>
      </c>
      <c r="AL3941">
        <v>1</v>
      </c>
      <c r="AM3941">
        <v>98.27</v>
      </c>
      <c r="AN3941">
        <v>44.737000000000002</v>
      </c>
      <c r="AO3941">
        <v>172.49</v>
      </c>
      <c r="AP3941" s="13">
        <v>45661</v>
      </c>
      <c r="AQ3941">
        <v>-3</v>
      </c>
      <c r="AR3941">
        <v>1</v>
      </c>
    </row>
    <row r="3942" spans="1:44" x14ac:dyDescent="0.35">
      <c r="A3942" s="12" t="s">
        <v>4866</v>
      </c>
      <c r="B3942" s="12" t="s">
        <v>978</v>
      </c>
      <c r="C3942" s="12" t="s">
        <v>979</v>
      </c>
      <c r="D3942" s="12" t="s">
        <v>122</v>
      </c>
      <c r="E3942" s="12" t="s">
        <v>65</v>
      </c>
      <c r="F3942">
        <v>1</v>
      </c>
      <c r="G3942">
        <v>2</v>
      </c>
      <c r="H3942">
        <v>1</v>
      </c>
      <c r="I3942" s="12" t="s">
        <v>310</v>
      </c>
      <c r="J3942" s="12" t="s">
        <v>311</v>
      </c>
      <c r="K3942" s="12" t="s">
        <v>81</v>
      </c>
      <c r="L3942" s="12" t="s">
        <v>69</v>
      </c>
      <c r="M3942">
        <v>28.3</v>
      </c>
      <c r="N3942" s="12" t="s">
        <v>97</v>
      </c>
      <c r="O3942" s="12" t="s">
        <v>98</v>
      </c>
      <c r="P3942" s="12" t="s">
        <v>72</v>
      </c>
      <c r="Q3942" s="13">
        <v>45630</v>
      </c>
      <c r="R3942" s="13">
        <v>45658</v>
      </c>
      <c r="S3942">
        <v>2024</v>
      </c>
      <c r="T3942" s="12" t="s">
        <v>4841</v>
      </c>
      <c r="U3942">
        <v>917</v>
      </c>
      <c r="V3942">
        <v>43.574800000000003</v>
      </c>
      <c r="W3942">
        <v>260.83999999999997</v>
      </c>
      <c r="X3942">
        <v>0</v>
      </c>
      <c r="Y3942">
        <v>0</v>
      </c>
      <c r="Z3942">
        <v>39958.089999999997</v>
      </c>
      <c r="AA3942">
        <v>40218.93</v>
      </c>
      <c r="AB3942" s="12" t="s">
        <v>3471</v>
      </c>
      <c r="AC3942">
        <v>43.574800000000003</v>
      </c>
      <c r="AD3942">
        <v>1</v>
      </c>
      <c r="AE3942">
        <v>1</v>
      </c>
      <c r="AF3942">
        <v>0</v>
      </c>
      <c r="AG3942">
        <v>39958.089999999997</v>
      </c>
      <c r="AH3942">
        <v>917</v>
      </c>
      <c r="AI3942">
        <v>913</v>
      </c>
      <c r="AJ3942">
        <v>4</v>
      </c>
      <c r="AK3942">
        <v>1</v>
      </c>
      <c r="AL3942">
        <v>1</v>
      </c>
      <c r="AM3942">
        <v>99.56</v>
      </c>
      <c r="AN3942">
        <v>44.051400000000001</v>
      </c>
      <c r="AO3942">
        <v>174.3</v>
      </c>
      <c r="AP3942" s="13">
        <v>45655</v>
      </c>
      <c r="AQ3942">
        <v>-3</v>
      </c>
      <c r="AR3942">
        <v>1</v>
      </c>
    </row>
    <row r="3943" spans="1:44" x14ac:dyDescent="0.35">
      <c r="A3943" s="12" t="s">
        <v>4867</v>
      </c>
      <c r="B3943" s="12" t="s">
        <v>855</v>
      </c>
      <c r="C3943" s="12" t="s">
        <v>856</v>
      </c>
      <c r="D3943" s="12" t="s">
        <v>269</v>
      </c>
      <c r="E3943" s="12" t="s">
        <v>65</v>
      </c>
      <c r="F3943">
        <v>3</v>
      </c>
      <c r="G3943">
        <v>5</v>
      </c>
      <c r="H3943">
        <v>0</v>
      </c>
      <c r="I3943" s="12" t="s">
        <v>66</v>
      </c>
      <c r="J3943" s="12" t="s">
        <v>67</v>
      </c>
      <c r="K3943" s="12" t="s">
        <v>68</v>
      </c>
      <c r="L3943" s="12" t="s">
        <v>69</v>
      </c>
      <c r="M3943">
        <v>17.66</v>
      </c>
      <c r="N3943" s="12" t="s">
        <v>159</v>
      </c>
      <c r="O3943" s="12" t="s">
        <v>160</v>
      </c>
      <c r="P3943" s="12" t="s">
        <v>137</v>
      </c>
      <c r="Q3943" s="13">
        <v>45630</v>
      </c>
      <c r="R3943" s="13">
        <v>45667</v>
      </c>
      <c r="S3943">
        <v>2024</v>
      </c>
      <c r="T3943" s="12" t="s">
        <v>4841</v>
      </c>
      <c r="U3943">
        <v>136</v>
      </c>
      <c r="V3943">
        <v>460.41379999999998</v>
      </c>
      <c r="W3943">
        <v>1022.63</v>
      </c>
      <c r="X3943">
        <v>0</v>
      </c>
      <c r="Y3943">
        <v>0</v>
      </c>
      <c r="Z3943">
        <v>62616.28</v>
      </c>
      <c r="AA3943">
        <v>63638.91</v>
      </c>
      <c r="AB3943" s="12" t="s">
        <v>3264</v>
      </c>
      <c r="AC3943">
        <v>460.41379999999998</v>
      </c>
      <c r="AD3943">
        <v>1</v>
      </c>
      <c r="AE3943">
        <v>1</v>
      </c>
      <c r="AF3943">
        <v>0</v>
      </c>
      <c r="AG3943">
        <v>62616.28</v>
      </c>
      <c r="AH3943">
        <v>136</v>
      </c>
      <c r="AI3943">
        <v>134</v>
      </c>
      <c r="AJ3943">
        <v>2</v>
      </c>
      <c r="AK3943">
        <v>1</v>
      </c>
      <c r="AL3943">
        <v>1</v>
      </c>
      <c r="AM3943">
        <v>98.53</v>
      </c>
      <c r="AN3943">
        <v>474.91719999999998</v>
      </c>
      <c r="AO3943">
        <v>920.83</v>
      </c>
      <c r="AP3943" s="13">
        <v>45668</v>
      </c>
      <c r="AQ3943">
        <v>1</v>
      </c>
      <c r="AR3943">
        <v>0</v>
      </c>
    </row>
    <row r="3944" spans="1:44" x14ac:dyDescent="0.35">
      <c r="A3944" s="12" t="s">
        <v>4868</v>
      </c>
      <c r="B3944" s="12" t="s">
        <v>193</v>
      </c>
      <c r="C3944" s="12" t="s">
        <v>194</v>
      </c>
      <c r="D3944" s="12" t="s">
        <v>114</v>
      </c>
      <c r="E3944" s="12" t="s">
        <v>65</v>
      </c>
      <c r="F3944">
        <v>3</v>
      </c>
      <c r="G3944">
        <v>4</v>
      </c>
      <c r="H3944">
        <v>0</v>
      </c>
      <c r="I3944" s="12" t="s">
        <v>195</v>
      </c>
      <c r="J3944" s="12" t="s">
        <v>196</v>
      </c>
      <c r="K3944" s="12" t="s">
        <v>117</v>
      </c>
      <c r="L3944" s="12" t="s">
        <v>134</v>
      </c>
      <c r="M3944">
        <v>4.7699999999999996</v>
      </c>
      <c r="N3944" s="12" t="s">
        <v>70</v>
      </c>
      <c r="O3944" s="12" t="s">
        <v>71</v>
      </c>
      <c r="P3944" s="12" t="s">
        <v>72</v>
      </c>
      <c r="Q3944" s="13">
        <v>45630</v>
      </c>
      <c r="R3944" s="13">
        <v>45667</v>
      </c>
      <c r="S3944">
        <v>2024</v>
      </c>
      <c r="T3944" s="12" t="s">
        <v>4841</v>
      </c>
      <c r="U3944">
        <v>140</v>
      </c>
      <c r="V3944">
        <v>105.8943</v>
      </c>
      <c r="W3944">
        <v>378.14</v>
      </c>
      <c r="X3944">
        <v>0</v>
      </c>
      <c r="Y3944">
        <v>0</v>
      </c>
      <c r="Z3944">
        <v>14825.2</v>
      </c>
      <c r="AA3944">
        <v>15203.34</v>
      </c>
      <c r="AB3944" s="12" t="s">
        <v>3197</v>
      </c>
      <c r="AC3944">
        <v>105.8943</v>
      </c>
      <c r="AD3944">
        <v>1</v>
      </c>
      <c r="AE3944">
        <v>1</v>
      </c>
      <c r="AF3944">
        <v>0</v>
      </c>
      <c r="AG3944">
        <v>14825.2</v>
      </c>
      <c r="AH3944">
        <v>140</v>
      </c>
      <c r="AI3944">
        <v>139</v>
      </c>
      <c r="AJ3944">
        <v>1</v>
      </c>
      <c r="AK3944">
        <v>1</v>
      </c>
      <c r="AL3944">
        <v>1</v>
      </c>
      <c r="AM3944">
        <v>99.29</v>
      </c>
      <c r="AN3944">
        <v>109.3766</v>
      </c>
      <c r="AO3944">
        <v>105.89</v>
      </c>
      <c r="AP3944" s="13">
        <v>45663</v>
      </c>
      <c r="AQ3944">
        <v>-4</v>
      </c>
      <c r="AR3944">
        <v>1</v>
      </c>
    </row>
    <row r="3945" spans="1:44" x14ac:dyDescent="0.35">
      <c r="A3945" s="12" t="s">
        <v>4869</v>
      </c>
      <c r="B3945" s="12" t="s">
        <v>869</v>
      </c>
      <c r="C3945" s="12" t="s">
        <v>870</v>
      </c>
      <c r="D3945" s="12" t="s">
        <v>130</v>
      </c>
      <c r="E3945" s="12" t="s">
        <v>104</v>
      </c>
      <c r="F3945">
        <v>2</v>
      </c>
      <c r="G3945">
        <v>0</v>
      </c>
      <c r="H3945">
        <v>0</v>
      </c>
      <c r="I3945" s="12" t="s">
        <v>515</v>
      </c>
      <c r="J3945" s="12" t="s">
        <v>516</v>
      </c>
      <c r="K3945" s="12" t="s">
        <v>68</v>
      </c>
      <c r="L3945" s="12" t="s">
        <v>134</v>
      </c>
      <c r="M3945">
        <v>3.69</v>
      </c>
      <c r="N3945" s="12" t="s">
        <v>135</v>
      </c>
      <c r="O3945" s="12" t="s">
        <v>136</v>
      </c>
      <c r="P3945" s="12" t="s">
        <v>137</v>
      </c>
      <c r="Q3945" s="13">
        <v>45630</v>
      </c>
      <c r="R3945" s="13">
        <v>45656</v>
      </c>
      <c r="S3945">
        <v>2024</v>
      </c>
      <c r="T3945" s="12" t="s">
        <v>4841</v>
      </c>
      <c r="U3945">
        <v>123</v>
      </c>
      <c r="V3945">
        <v>644.23199999999997</v>
      </c>
      <c r="W3945">
        <v>596.25</v>
      </c>
      <c r="X3945">
        <v>0</v>
      </c>
      <c r="Y3945">
        <v>0</v>
      </c>
      <c r="Z3945">
        <v>79240.539999999994</v>
      </c>
      <c r="AA3945">
        <v>79836.789999999994</v>
      </c>
      <c r="AB3945" s="12" t="s">
        <v>201</v>
      </c>
      <c r="AD3945">
        <v>0</v>
      </c>
      <c r="AE3945">
        <v>0</v>
      </c>
      <c r="AH3945">
        <v>123</v>
      </c>
      <c r="AI3945">
        <v>121</v>
      </c>
      <c r="AJ3945">
        <v>2</v>
      </c>
      <c r="AK3945">
        <v>1</v>
      </c>
      <c r="AL3945">
        <v>1</v>
      </c>
      <c r="AM3945">
        <v>98.37</v>
      </c>
      <c r="AN3945">
        <v>659.80809999999997</v>
      </c>
      <c r="AO3945">
        <v>1288.46</v>
      </c>
      <c r="AP3945" s="13">
        <v>45656</v>
      </c>
      <c r="AQ3945">
        <v>0</v>
      </c>
      <c r="AR3945">
        <v>1</v>
      </c>
    </row>
    <row r="3946" spans="1:44" x14ac:dyDescent="0.35">
      <c r="A3946" s="12" t="s">
        <v>4870</v>
      </c>
      <c r="B3946" s="12" t="s">
        <v>1042</v>
      </c>
      <c r="C3946" s="12" t="s">
        <v>1043</v>
      </c>
      <c r="D3946" s="12" t="s">
        <v>269</v>
      </c>
      <c r="E3946" s="12" t="s">
        <v>104</v>
      </c>
      <c r="F3946">
        <v>2</v>
      </c>
      <c r="G3946">
        <v>0</v>
      </c>
      <c r="H3946">
        <v>0</v>
      </c>
      <c r="I3946" s="12" t="s">
        <v>143</v>
      </c>
      <c r="J3946" s="12" t="s">
        <v>144</v>
      </c>
      <c r="K3946" s="12" t="s">
        <v>133</v>
      </c>
      <c r="L3946" s="12" t="s">
        <v>96</v>
      </c>
      <c r="M3946">
        <v>5.43</v>
      </c>
      <c r="N3946" s="12" t="s">
        <v>135</v>
      </c>
      <c r="O3946" s="12" t="s">
        <v>136</v>
      </c>
      <c r="P3946" s="12" t="s">
        <v>137</v>
      </c>
      <c r="Q3946" s="13">
        <v>45630</v>
      </c>
      <c r="R3946" s="13">
        <v>45647</v>
      </c>
      <c r="S3946">
        <v>2024</v>
      </c>
      <c r="T3946" s="12" t="s">
        <v>4841</v>
      </c>
      <c r="U3946">
        <v>51</v>
      </c>
      <c r="V3946">
        <v>296.05380000000002</v>
      </c>
      <c r="W3946">
        <v>279.13</v>
      </c>
      <c r="X3946">
        <v>0</v>
      </c>
      <c r="Y3946">
        <v>0</v>
      </c>
      <c r="Z3946">
        <v>15098.74</v>
      </c>
      <c r="AA3946">
        <v>15377.87</v>
      </c>
      <c r="AB3946" s="12" t="s">
        <v>3788</v>
      </c>
      <c r="AC3946">
        <v>282.86169999999998</v>
      </c>
      <c r="AD3946">
        <v>1</v>
      </c>
      <c r="AE3946">
        <v>1</v>
      </c>
      <c r="AF3946">
        <v>672.8</v>
      </c>
      <c r="AG3946">
        <v>14425.95</v>
      </c>
      <c r="AH3946">
        <v>51</v>
      </c>
      <c r="AI3946">
        <v>51</v>
      </c>
      <c r="AJ3946">
        <v>0</v>
      </c>
      <c r="AK3946">
        <v>1</v>
      </c>
      <c r="AL3946">
        <v>1</v>
      </c>
      <c r="AM3946">
        <v>100</v>
      </c>
      <c r="AN3946">
        <v>301.52690000000001</v>
      </c>
      <c r="AO3946">
        <v>0</v>
      </c>
      <c r="AP3946" s="13">
        <v>45647</v>
      </c>
      <c r="AQ3946">
        <v>0</v>
      </c>
      <c r="AR3946">
        <v>1</v>
      </c>
    </row>
    <row r="3947" spans="1:44" x14ac:dyDescent="0.35">
      <c r="A3947" s="12" t="s">
        <v>4871</v>
      </c>
      <c r="B3947" s="12" t="s">
        <v>498</v>
      </c>
      <c r="C3947" s="12" t="s">
        <v>499</v>
      </c>
      <c r="D3947" s="12" t="s">
        <v>175</v>
      </c>
      <c r="E3947" s="12" t="s">
        <v>104</v>
      </c>
      <c r="F3947">
        <v>3</v>
      </c>
      <c r="G3947">
        <v>1</v>
      </c>
      <c r="H3947">
        <v>0</v>
      </c>
      <c r="I3947" s="12" t="s">
        <v>233</v>
      </c>
      <c r="J3947" s="12" t="s">
        <v>234</v>
      </c>
      <c r="K3947" s="12" t="s">
        <v>125</v>
      </c>
      <c r="L3947" s="12" t="s">
        <v>96</v>
      </c>
      <c r="M3947">
        <v>3.73</v>
      </c>
      <c r="N3947" s="12" t="s">
        <v>107</v>
      </c>
      <c r="O3947" s="12" t="s">
        <v>108</v>
      </c>
      <c r="P3947" s="12" t="s">
        <v>109</v>
      </c>
      <c r="Q3947" s="13">
        <v>45630</v>
      </c>
      <c r="R3947" s="13">
        <v>45645</v>
      </c>
      <c r="S3947">
        <v>2024</v>
      </c>
      <c r="T3947" s="12" t="s">
        <v>4841</v>
      </c>
      <c r="U3947">
        <v>39</v>
      </c>
      <c r="V3947">
        <v>268.74209999999999</v>
      </c>
      <c r="W3947">
        <v>224.78</v>
      </c>
      <c r="X3947">
        <v>0</v>
      </c>
      <c r="Y3947">
        <v>0</v>
      </c>
      <c r="Z3947">
        <v>10480.94</v>
      </c>
      <c r="AA3947">
        <v>10705.72</v>
      </c>
      <c r="AB3947" s="12" t="s">
        <v>3032</v>
      </c>
      <c r="AC3947">
        <v>268.74209999999999</v>
      </c>
      <c r="AD3947">
        <v>1</v>
      </c>
      <c r="AE3947">
        <v>1</v>
      </c>
      <c r="AF3947">
        <v>0</v>
      </c>
      <c r="AG3947">
        <v>10480.94</v>
      </c>
      <c r="AH3947">
        <v>39</v>
      </c>
      <c r="AI3947">
        <v>39</v>
      </c>
      <c r="AJ3947">
        <v>0</v>
      </c>
      <c r="AK3947">
        <v>1</v>
      </c>
      <c r="AL3947">
        <v>1</v>
      </c>
      <c r="AM3947">
        <v>100</v>
      </c>
      <c r="AN3947">
        <v>274.50569999999999</v>
      </c>
      <c r="AO3947">
        <v>0</v>
      </c>
      <c r="AP3947" s="13">
        <v>45645</v>
      </c>
      <c r="AQ3947">
        <v>0</v>
      </c>
      <c r="AR3947">
        <v>1</v>
      </c>
    </row>
    <row r="3948" spans="1:44" x14ac:dyDescent="0.35">
      <c r="A3948" s="12" t="s">
        <v>4872</v>
      </c>
      <c r="B3948" s="12" t="s">
        <v>339</v>
      </c>
      <c r="C3948" s="12" t="s">
        <v>340</v>
      </c>
      <c r="D3948" s="12" t="s">
        <v>103</v>
      </c>
      <c r="E3948" s="12" t="s">
        <v>142</v>
      </c>
      <c r="F3948">
        <v>2</v>
      </c>
      <c r="G3948">
        <v>9</v>
      </c>
      <c r="H3948">
        <v>0</v>
      </c>
      <c r="I3948" s="12" t="s">
        <v>169</v>
      </c>
      <c r="J3948" s="12" t="s">
        <v>170</v>
      </c>
      <c r="K3948" s="12" t="s">
        <v>89</v>
      </c>
      <c r="L3948" s="12" t="s">
        <v>134</v>
      </c>
      <c r="M3948">
        <v>1.37</v>
      </c>
      <c r="N3948" s="12" t="s">
        <v>107</v>
      </c>
      <c r="O3948" s="12" t="s">
        <v>108</v>
      </c>
      <c r="P3948" s="12" t="s">
        <v>109</v>
      </c>
      <c r="Q3948" s="13">
        <v>45631</v>
      </c>
      <c r="R3948" s="13">
        <v>45669</v>
      </c>
      <c r="S3948">
        <v>2024</v>
      </c>
      <c r="T3948" s="12" t="s">
        <v>4841</v>
      </c>
      <c r="U3948">
        <v>39</v>
      </c>
      <c r="V3948">
        <v>243.06290000000001</v>
      </c>
      <c r="W3948">
        <v>225.41</v>
      </c>
      <c r="X3948">
        <v>0</v>
      </c>
      <c r="Y3948">
        <v>0</v>
      </c>
      <c r="Z3948">
        <v>9479.4500000000007</v>
      </c>
      <c r="AA3948">
        <v>9704.86</v>
      </c>
      <c r="AB3948" s="12" t="s">
        <v>2786</v>
      </c>
      <c r="AC3948">
        <v>243.06290000000001</v>
      </c>
      <c r="AD3948">
        <v>1</v>
      </c>
      <c r="AE3948">
        <v>1</v>
      </c>
      <c r="AF3948">
        <v>0</v>
      </c>
      <c r="AG3948">
        <v>9479.4500000000007</v>
      </c>
      <c r="AH3948">
        <v>39</v>
      </c>
      <c r="AI3948">
        <v>39</v>
      </c>
      <c r="AJ3948">
        <v>0</v>
      </c>
      <c r="AK3948">
        <v>1</v>
      </c>
      <c r="AL3948">
        <v>1</v>
      </c>
      <c r="AM3948">
        <v>100</v>
      </c>
      <c r="AN3948">
        <v>248.8426</v>
      </c>
      <c r="AO3948">
        <v>0</v>
      </c>
      <c r="AP3948" s="13">
        <v>45669</v>
      </c>
      <c r="AQ3948">
        <v>0</v>
      </c>
      <c r="AR3948">
        <v>1</v>
      </c>
    </row>
    <row r="3949" spans="1:44" x14ac:dyDescent="0.35">
      <c r="A3949" s="12" t="s">
        <v>4873</v>
      </c>
      <c r="B3949" s="12" t="s">
        <v>207</v>
      </c>
      <c r="C3949" s="12" t="s">
        <v>208</v>
      </c>
      <c r="D3949" s="12" t="s">
        <v>78</v>
      </c>
      <c r="E3949" s="12" t="s">
        <v>65</v>
      </c>
      <c r="F3949">
        <v>2</v>
      </c>
      <c r="G3949">
        <v>3</v>
      </c>
      <c r="H3949">
        <v>0</v>
      </c>
      <c r="I3949" s="12" t="s">
        <v>209</v>
      </c>
      <c r="J3949" s="12" t="s">
        <v>210</v>
      </c>
      <c r="K3949" s="12" t="s">
        <v>133</v>
      </c>
      <c r="L3949" s="12" t="s">
        <v>96</v>
      </c>
      <c r="M3949">
        <v>7.82</v>
      </c>
      <c r="N3949" s="12" t="s">
        <v>97</v>
      </c>
      <c r="O3949" s="12" t="s">
        <v>98</v>
      </c>
      <c r="P3949" s="12" t="s">
        <v>72</v>
      </c>
      <c r="Q3949" s="13">
        <v>45631</v>
      </c>
      <c r="R3949" s="13">
        <v>45659</v>
      </c>
      <c r="S3949">
        <v>2024</v>
      </c>
      <c r="T3949" s="12" t="s">
        <v>4841</v>
      </c>
      <c r="U3949">
        <v>150</v>
      </c>
      <c r="V3949">
        <v>148.61590000000001</v>
      </c>
      <c r="W3949">
        <v>336.34</v>
      </c>
      <c r="X3949">
        <v>0</v>
      </c>
      <c r="Y3949">
        <v>0</v>
      </c>
      <c r="Z3949">
        <v>22292.39</v>
      </c>
      <c r="AA3949">
        <v>22628.73</v>
      </c>
      <c r="AB3949" s="12" t="s">
        <v>2832</v>
      </c>
      <c r="AC3949">
        <v>148.61590000000001</v>
      </c>
      <c r="AD3949">
        <v>1</v>
      </c>
      <c r="AE3949">
        <v>1</v>
      </c>
      <c r="AF3949">
        <v>0</v>
      </c>
      <c r="AG3949">
        <v>22292.39</v>
      </c>
      <c r="AH3949">
        <v>150</v>
      </c>
      <c r="AI3949">
        <v>149</v>
      </c>
      <c r="AJ3949">
        <v>1</v>
      </c>
      <c r="AK3949">
        <v>1</v>
      </c>
      <c r="AL3949">
        <v>1</v>
      </c>
      <c r="AM3949">
        <v>99.33</v>
      </c>
      <c r="AN3949">
        <v>151.8706</v>
      </c>
      <c r="AO3949">
        <v>148.62</v>
      </c>
      <c r="AP3949" s="13">
        <v>45667</v>
      </c>
      <c r="AQ3949">
        <v>8</v>
      </c>
      <c r="AR3949">
        <v>0</v>
      </c>
    </row>
    <row r="3950" spans="1:44" x14ac:dyDescent="0.35">
      <c r="A3950" s="12" t="s">
        <v>4874</v>
      </c>
      <c r="B3950" s="12" t="s">
        <v>712</v>
      </c>
      <c r="C3950" s="12" t="s">
        <v>713</v>
      </c>
      <c r="D3950" s="12" t="s">
        <v>103</v>
      </c>
      <c r="E3950" s="12" t="s">
        <v>104</v>
      </c>
      <c r="F3950">
        <v>2</v>
      </c>
      <c r="G3950">
        <v>0</v>
      </c>
      <c r="H3950">
        <v>0</v>
      </c>
      <c r="I3950" s="12" t="s">
        <v>199</v>
      </c>
      <c r="J3950" s="12" t="s">
        <v>200</v>
      </c>
      <c r="K3950" s="12" t="s">
        <v>68</v>
      </c>
      <c r="L3950" s="12" t="s">
        <v>96</v>
      </c>
      <c r="M3950">
        <v>9.4700000000000006</v>
      </c>
      <c r="N3950" s="12" t="s">
        <v>107</v>
      </c>
      <c r="O3950" s="12" t="s">
        <v>108</v>
      </c>
      <c r="P3950" s="12" t="s">
        <v>109</v>
      </c>
      <c r="Q3950" s="13">
        <v>45631</v>
      </c>
      <c r="R3950" s="13">
        <v>45646</v>
      </c>
      <c r="S3950">
        <v>2024</v>
      </c>
      <c r="T3950" s="12" t="s">
        <v>4841</v>
      </c>
      <c r="U3950">
        <v>39</v>
      </c>
      <c r="V3950">
        <v>235.23480000000001</v>
      </c>
      <c r="W3950">
        <v>57.32</v>
      </c>
      <c r="X3950">
        <v>0</v>
      </c>
      <c r="Y3950">
        <v>0</v>
      </c>
      <c r="Z3950">
        <v>9174.16</v>
      </c>
      <c r="AA3950">
        <v>9231.48</v>
      </c>
      <c r="AB3950" s="12" t="s">
        <v>201</v>
      </c>
      <c r="AD3950">
        <v>0</v>
      </c>
      <c r="AE3950">
        <v>0</v>
      </c>
      <c r="AH3950">
        <v>39</v>
      </c>
      <c r="AI3950">
        <v>39</v>
      </c>
      <c r="AJ3950">
        <v>0</v>
      </c>
      <c r="AK3950">
        <v>1</v>
      </c>
      <c r="AL3950">
        <v>1</v>
      </c>
      <c r="AM3950">
        <v>100</v>
      </c>
      <c r="AN3950">
        <v>236.7045</v>
      </c>
      <c r="AO3950">
        <v>0</v>
      </c>
      <c r="AP3950" s="13">
        <v>45646</v>
      </c>
      <c r="AQ3950">
        <v>0</v>
      </c>
      <c r="AR3950">
        <v>1</v>
      </c>
    </row>
    <row r="3951" spans="1:44" x14ac:dyDescent="0.35">
      <c r="A3951" s="12" t="s">
        <v>4875</v>
      </c>
      <c r="B3951" s="12" t="s">
        <v>670</v>
      </c>
      <c r="C3951" s="12" t="s">
        <v>671</v>
      </c>
      <c r="D3951" s="12" t="s">
        <v>175</v>
      </c>
      <c r="E3951" s="12" t="s">
        <v>142</v>
      </c>
      <c r="F3951">
        <v>2</v>
      </c>
      <c r="G3951">
        <v>9</v>
      </c>
      <c r="H3951">
        <v>0</v>
      </c>
      <c r="I3951" s="12" t="s">
        <v>105</v>
      </c>
      <c r="J3951" s="12" t="s">
        <v>106</v>
      </c>
      <c r="K3951" s="12" t="s">
        <v>81</v>
      </c>
      <c r="L3951" s="12" t="s">
        <v>96</v>
      </c>
      <c r="M3951">
        <v>5.01</v>
      </c>
      <c r="N3951" s="12" t="s">
        <v>107</v>
      </c>
      <c r="O3951" s="12" t="s">
        <v>108</v>
      </c>
      <c r="P3951" s="12" t="s">
        <v>109</v>
      </c>
      <c r="Q3951" s="13">
        <v>45631</v>
      </c>
      <c r="R3951" s="13">
        <v>45673</v>
      </c>
      <c r="S3951">
        <v>2024</v>
      </c>
      <c r="T3951" s="12" t="s">
        <v>4841</v>
      </c>
      <c r="U3951">
        <v>68</v>
      </c>
      <c r="V3951">
        <v>138.69640000000001</v>
      </c>
      <c r="W3951">
        <v>132.6</v>
      </c>
      <c r="X3951">
        <v>0</v>
      </c>
      <c r="Y3951">
        <v>0</v>
      </c>
      <c r="Z3951">
        <v>9431.36</v>
      </c>
      <c r="AA3951">
        <v>9563.9599999999991</v>
      </c>
      <c r="AB3951" s="12" t="s">
        <v>3277</v>
      </c>
      <c r="AC3951">
        <v>147.4665</v>
      </c>
      <c r="AD3951">
        <v>1</v>
      </c>
      <c r="AE3951">
        <v>1</v>
      </c>
      <c r="AF3951">
        <v>-596.37</v>
      </c>
      <c r="AG3951">
        <v>10027.719999999999</v>
      </c>
      <c r="AH3951">
        <v>68</v>
      </c>
      <c r="AI3951">
        <v>67</v>
      </c>
      <c r="AJ3951">
        <v>1</v>
      </c>
      <c r="AK3951">
        <v>1</v>
      </c>
      <c r="AL3951">
        <v>1</v>
      </c>
      <c r="AM3951">
        <v>98.53</v>
      </c>
      <c r="AN3951">
        <v>142.7456</v>
      </c>
      <c r="AO3951">
        <v>138.69999999999999</v>
      </c>
      <c r="AP3951" s="13">
        <v>45672</v>
      </c>
      <c r="AQ3951">
        <v>-1</v>
      </c>
      <c r="AR3951">
        <v>1</v>
      </c>
    </row>
    <row r="3952" spans="1:44" x14ac:dyDescent="0.35">
      <c r="A3952" s="12" t="s">
        <v>4876</v>
      </c>
      <c r="B3952" s="12" t="s">
        <v>837</v>
      </c>
      <c r="C3952" s="12" t="s">
        <v>838</v>
      </c>
      <c r="D3952" s="12" t="s">
        <v>114</v>
      </c>
      <c r="E3952" s="12" t="s">
        <v>104</v>
      </c>
      <c r="F3952">
        <v>2</v>
      </c>
      <c r="G3952">
        <v>0</v>
      </c>
      <c r="H3952">
        <v>0</v>
      </c>
      <c r="I3952" s="12" t="s">
        <v>199</v>
      </c>
      <c r="J3952" s="12" t="s">
        <v>200</v>
      </c>
      <c r="K3952" s="12" t="s">
        <v>68</v>
      </c>
      <c r="L3952" s="12" t="s">
        <v>96</v>
      </c>
      <c r="M3952">
        <v>9.4700000000000006</v>
      </c>
      <c r="N3952" s="12" t="s">
        <v>70</v>
      </c>
      <c r="O3952" s="12" t="s">
        <v>71</v>
      </c>
      <c r="P3952" s="12" t="s">
        <v>72</v>
      </c>
      <c r="Q3952" s="13">
        <v>45632</v>
      </c>
      <c r="R3952" s="13">
        <v>45648</v>
      </c>
      <c r="S3952">
        <v>2024</v>
      </c>
      <c r="T3952" s="12" t="s">
        <v>4841</v>
      </c>
      <c r="U3952">
        <v>46</v>
      </c>
      <c r="V3952">
        <v>68.916300000000007</v>
      </c>
      <c r="W3952">
        <v>46.77</v>
      </c>
      <c r="X3952">
        <v>0</v>
      </c>
      <c r="Y3952">
        <v>0</v>
      </c>
      <c r="Z3952">
        <v>3170.15</v>
      </c>
      <c r="AA3952">
        <v>3216.92</v>
      </c>
      <c r="AB3952" s="12" t="s">
        <v>3432</v>
      </c>
      <c r="AC3952">
        <v>68.916300000000007</v>
      </c>
      <c r="AD3952">
        <v>1</v>
      </c>
      <c r="AE3952">
        <v>1</v>
      </c>
      <c r="AF3952">
        <v>0</v>
      </c>
      <c r="AG3952">
        <v>3170.15</v>
      </c>
      <c r="AH3952">
        <v>46</v>
      </c>
      <c r="AI3952">
        <v>45</v>
      </c>
      <c r="AJ3952">
        <v>1</v>
      </c>
      <c r="AK3952">
        <v>1</v>
      </c>
      <c r="AL3952">
        <v>1</v>
      </c>
      <c r="AM3952">
        <v>97.83</v>
      </c>
      <c r="AN3952">
        <v>71.487099999999998</v>
      </c>
      <c r="AO3952">
        <v>68.92</v>
      </c>
      <c r="AP3952" s="13">
        <v>45651</v>
      </c>
      <c r="AQ3952">
        <v>3</v>
      </c>
      <c r="AR3952">
        <v>0</v>
      </c>
    </row>
    <row r="3953" spans="1:44" x14ac:dyDescent="0.35">
      <c r="A3953" s="12" t="s">
        <v>4877</v>
      </c>
      <c r="B3953" s="12" t="s">
        <v>544</v>
      </c>
      <c r="C3953" s="12" t="s">
        <v>545</v>
      </c>
      <c r="D3953" s="12" t="s">
        <v>175</v>
      </c>
      <c r="E3953" s="12" t="s">
        <v>65</v>
      </c>
      <c r="F3953">
        <v>3</v>
      </c>
      <c r="G3953">
        <v>5</v>
      </c>
      <c r="H3953">
        <v>0</v>
      </c>
      <c r="I3953" s="12" t="s">
        <v>66</v>
      </c>
      <c r="J3953" s="12" t="s">
        <v>67</v>
      </c>
      <c r="K3953" s="12" t="s">
        <v>68</v>
      </c>
      <c r="L3953" s="12" t="s">
        <v>69</v>
      </c>
      <c r="M3953">
        <v>17.66</v>
      </c>
      <c r="N3953" s="12" t="s">
        <v>107</v>
      </c>
      <c r="O3953" s="12" t="s">
        <v>108</v>
      </c>
      <c r="P3953" s="12" t="s">
        <v>109</v>
      </c>
      <c r="Q3953" s="13">
        <v>45632</v>
      </c>
      <c r="R3953" s="13">
        <v>45666</v>
      </c>
      <c r="S3953">
        <v>2024</v>
      </c>
      <c r="T3953" s="12" t="s">
        <v>4841</v>
      </c>
      <c r="U3953">
        <v>114</v>
      </c>
      <c r="V3953">
        <v>151.76929999999999</v>
      </c>
      <c r="W3953">
        <v>114.31</v>
      </c>
      <c r="X3953">
        <v>0</v>
      </c>
      <c r="Y3953">
        <v>0</v>
      </c>
      <c r="Z3953">
        <v>17301.7</v>
      </c>
      <c r="AA3953">
        <v>17416.009999999998</v>
      </c>
      <c r="AB3953" s="12" t="s">
        <v>201</v>
      </c>
      <c r="AD3953">
        <v>0</v>
      </c>
      <c r="AE3953">
        <v>0</v>
      </c>
      <c r="AH3953">
        <v>114</v>
      </c>
      <c r="AI3953">
        <v>113</v>
      </c>
      <c r="AJ3953">
        <v>1</v>
      </c>
      <c r="AK3953">
        <v>1</v>
      </c>
      <c r="AL3953">
        <v>1</v>
      </c>
      <c r="AM3953">
        <v>99.12</v>
      </c>
      <c r="AN3953">
        <v>154.124</v>
      </c>
      <c r="AO3953">
        <v>151.77000000000001</v>
      </c>
      <c r="AP3953" s="13">
        <v>45666</v>
      </c>
      <c r="AQ3953">
        <v>0</v>
      </c>
      <c r="AR3953">
        <v>1</v>
      </c>
    </row>
    <row r="3954" spans="1:44" x14ac:dyDescent="0.35">
      <c r="A3954" s="12" t="s">
        <v>4878</v>
      </c>
      <c r="B3954" s="12" t="s">
        <v>503</v>
      </c>
      <c r="C3954" s="12" t="s">
        <v>504</v>
      </c>
      <c r="D3954" s="12" t="s">
        <v>103</v>
      </c>
      <c r="E3954" s="12" t="s">
        <v>104</v>
      </c>
      <c r="F3954">
        <v>3</v>
      </c>
      <c r="G3954">
        <v>1</v>
      </c>
      <c r="H3954">
        <v>0</v>
      </c>
      <c r="I3954" s="12" t="s">
        <v>209</v>
      </c>
      <c r="J3954" s="12" t="s">
        <v>210</v>
      </c>
      <c r="K3954" s="12" t="s">
        <v>133</v>
      </c>
      <c r="L3954" s="12" t="s">
        <v>96</v>
      </c>
      <c r="M3954">
        <v>7.82</v>
      </c>
      <c r="N3954" s="12" t="s">
        <v>107</v>
      </c>
      <c r="O3954" s="12" t="s">
        <v>108</v>
      </c>
      <c r="P3954" s="12" t="s">
        <v>109</v>
      </c>
      <c r="Q3954" s="13">
        <v>45632</v>
      </c>
      <c r="R3954" s="13">
        <v>45657</v>
      </c>
      <c r="S3954">
        <v>2024</v>
      </c>
      <c r="T3954" s="12" t="s">
        <v>4841</v>
      </c>
      <c r="U3954">
        <v>111</v>
      </c>
      <c r="V3954">
        <v>156.6559</v>
      </c>
      <c r="W3954">
        <v>156.29</v>
      </c>
      <c r="X3954">
        <v>0</v>
      </c>
      <c r="Y3954">
        <v>0</v>
      </c>
      <c r="Z3954">
        <v>17388.8</v>
      </c>
      <c r="AA3954">
        <v>17545.09</v>
      </c>
      <c r="AB3954" s="12" t="s">
        <v>3083</v>
      </c>
      <c r="AC3954">
        <v>156.6559</v>
      </c>
      <c r="AD3954">
        <v>1</v>
      </c>
      <c r="AE3954">
        <v>1</v>
      </c>
      <c r="AF3954">
        <v>0</v>
      </c>
      <c r="AG3954">
        <v>17388.8</v>
      </c>
      <c r="AH3954">
        <v>111</v>
      </c>
      <c r="AI3954">
        <v>110</v>
      </c>
      <c r="AJ3954">
        <v>1</v>
      </c>
      <c r="AK3954">
        <v>1</v>
      </c>
      <c r="AL3954">
        <v>1</v>
      </c>
      <c r="AM3954">
        <v>99.1</v>
      </c>
      <c r="AN3954">
        <v>159.5009</v>
      </c>
      <c r="AO3954">
        <v>156.66</v>
      </c>
      <c r="AP3954" s="13">
        <v>45655</v>
      </c>
      <c r="AQ3954">
        <v>-2</v>
      </c>
      <c r="AR3954">
        <v>1</v>
      </c>
    </row>
    <row r="3955" spans="1:44" x14ac:dyDescent="0.35">
      <c r="A3955" s="12" t="s">
        <v>4879</v>
      </c>
      <c r="B3955" s="12" t="s">
        <v>1068</v>
      </c>
      <c r="C3955" s="12" t="s">
        <v>1069</v>
      </c>
      <c r="D3955" s="12" t="s">
        <v>122</v>
      </c>
      <c r="E3955" s="12" t="s">
        <v>65</v>
      </c>
      <c r="F3955">
        <v>2</v>
      </c>
      <c r="G3955">
        <v>2</v>
      </c>
      <c r="H3955">
        <v>0</v>
      </c>
      <c r="I3955" s="12" t="s">
        <v>79</v>
      </c>
      <c r="J3955" s="12" t="s">
        <v>80</v>
      </c>
      <c r="K3955" s="12" t="s">
        <v>81</v>
      </c>
      <c r="L3955" s="12" t="s">
        <v>82</v>
      </c>
      <c r="M3955">
        <v>12.07</v>
      </c>
      <c r="N3955" s="12" t="s">
        <v>70</v>
      </c>
      <c r="O3955" s="12" t="s">
        <v>71</v>
      </c>
      <c r="P3955" s="12" t="s">
        <v>72</v>
      </c>
      <c r="Q3955" s="13">
        <v>45632</v>
      </c>
      <c r="R3955" s="13">
        <v>45659</v>
      </c>
      <c r="S3955">
        <v>2024</v>
      </c>
      <c r="T3955" s="12" t="s">
        <v>4841</v>
      </c>
      <c r="U3955">
        <v>844</v>
      </c>
      <c r="V3955">
        <v>21.277999999999999</v>
      </c>
      <c r="W3955">
        <v>433.07</v>
      </c>
      <c r="X3955">
        <v>585.03</v>
      </c>
      <c r="Y3955">
        <v>1</v>
      </c>
      <c r="Z3955">
        <v>17958.63</v>
      </c>
      <c r="AA3955">
        <v>18976.73</v>
      </c>
      <c r="AB3955" s="12" t="s">
        <v>3113</v>
      </c>
      <c r="AC3955">
        <v>21.277999999999999</v>
      </c>
      <c r="AD3955">
        <v>1</v>
      </c>
      <c r="AE3955">
        <v>1</v>
      </c>
      <c r="AF3955">
        <v>0</v>
      </c>
      <c r="AG3955">
        <v>17958.63</v>
      </c>
      <c r="AH3955">
        <v>844</v>
      </c>
      <c r="AI3955">
        <v>834</v>
      </c>
      <c r="AJ3955">
        <v>10</v>
      </c>
      <c r="AK3955">
        <v>1</v>
      </c>
      <c r="AL3955">
        <v>1</v>
      </c>
      <c r="AM3955">
        <v>98.82</v>
      </c>
      <c r="AN3955">
        <v>22.753900000000002</v>
      </c>
      <c r="AO3955">
        <v>212.78</v>
      </c>
      <c r="AP3955" s="13">
        <v>45659</v>
      </c>
      <c r="AQ3955">
        <v>0</v>
      </c>
      <c r="AR3955">
        <v>1</v>
      </c>
    </row>
    <row r="3956" spans="1:44" x14ac:dyDescent="0.35">
      <c r="A3956" s="12" t="s">
        <v>4880</v>
      </c>
      <c r="B3956" s="12" t="s">
        <v>555</v>
      </c>
      <c r="C3956" s="12" t="s">
        <v>556</v>
      </c>
      <c r="D3956" s="12" t="s">
        <v>114</v>
      </c>
      <c r="E3956" s="12" t="s">
        <v>142</v>
      </c>
      <c r="F3956">
        <v>1</v>
      </c>
      <c r="G3956">
        <v>6</v>
      </c>
      <c r="H3956">
        <v>1</v>
      </c>
      <c r="I3956" s="12" t="s">
        <v>151</v>
      </c>
      <c r="J3956" s="12" t="s">
        <v>152</v>
      </c>
      <c r="K3956" s="12" t="s">
        <v>125</v>
      </c>
      <c r="L3956" s="12" t="s">
        <v>69</v>
      </c>
      <c r="M3956">
        <v>36.479999999999997</v>
      </c>
      <c r="N3956" s="12" t="s">
        <v>70</v>
      </c>
      <c r="O3956" s="12" t="s">
        <v>71</v>
      </c>
      <c r="P3956" s="12" t="s">
        <v>72</v>
      </c>
      <c r="Q3956" s="13">
        <v>45632</v>
      </c>
      <c r="R3956" s="13">
        <v>45684</v>
      </c>
      <c r="S3956">
        <v>2024</v>
      </c>
      <c r="T3956" s="12" t="s">
        <v>4841</v>
      </c>
      <c r="U3956">
        <v>148</v>
      </c>
      <c r="V3956">
        <v>278.31920000000002</v>
      </c>
      <c r="W3956">
        <v>596.11</v>
      </c>
      <c r="X3956">
        <v>0</v>
      </c>
      <c r="Y3956">
        <v>0</v>
      </c>
      <c r="Z3956">
        <v>41191.24</v>
      </c>
      <c r="AA3956">
        <v>41787.35</v>
      </c>
      <c r="AB3956" s="12" t="s">
        <v>2922</v>
      </c>
      <c r="AC3956">
        <v>278.31920000000002</v>
      </c>
      <c r="AD3956">
        <v>1</v>
      </c>
      <c r="AE3956">
        <v>1</v>
      </c>
      <c r="AF3956">
        <v>0</v>
      </c>
      <c r="AG3956">
        <v>41191.24</v>
      </c>
      <c r="AH3956">
        <v>148</v>
      </c>
      <c r="AI3956">
        <v>147</v>
      </c>
      <c r="AJ3956">
        <v>1</v>
      </c>
      <c r="AK3956">
        <v>1</v>
      </c>
      <c r="AL3956">
        <v>1</v>
      </c>
      <c r="AM3956">
        <v>99.32</v>
      </c>
      <c r="AN3956">
        <v>284.26769999999999</v>
      </c>
      <c r="AO3956">
        <v>278.32</v>
      </c>
      <c r="AP3956" s="13">
        <v>45684</v>
      </c>
      <c r="AQ3956">
        <v>0</v>
      </c>
      <c r="AR3956">
        <v>1</v>
      </c>
    </row>
    <row r="3957" spans="1:44" x14ac:dyDescent="0.35">
      <c r="A3957" s="12" t="s">
        <v>4881</v>
      </c>
      <c r="B3957" s="12" t="s">
        <v>339</v>
      </c>
      <c r="C3957" s="12" t="s">
        <v>340</v>
      </c>
      <c r="D3957" s="12" t="s">
        <v>103</v>
      </c>
      <c r="E3957" s="12" t="s">
        <v>142</v>
      </c>
      <c r="F3957">
        <v>2</v>
      </c>
      <c r="G3957">
        <v>9</v>
      </c>
      <c r="H3957">
        <v>0</v>
      </c>
      <c r="I3957" s="12" t="s">
        <v>169</v>
      </c>
      <c r="J3957" s="12" t="s">
        <v>170</v>
      </c>
      <c r="K3957" s="12" t="s">
        <v>89</v>
      </c>
      <c r="L3957" s="12" t="s">
        <v>134</v>
      </c>
      <c r="M3957">
        <v>1.37</v>
      </c>
      <c r="N3957" s="12" t="s">
        <v>145</v>
      </c>
      <c r="O3957" s="12" t="s">
        <v>146</v>
      </c>
      <c r="P3957" s="12" t="s">
        <v>109</v>
      </c>
      <c r="Q3957" s="13">
        <v>45632</v>
      </c>
      <c r="R3957" s="13">
        <v>45668</v>
      </c>
      <c r="S3957">
        <v>2024</v>
      </c>
      <c r="T3957" s="12" t="s">
        <v>4841</v>
      </c>
      <c r="U3957">
        <v>18</v>
      </c>
      <c r="V3957">
        <v>243.06290000000001</v>
      </c>
      <c r="W3957">
        <v>78.78</v>
      </c>
      <c r="X3957">
        <v>0</v>
      </c>
      <c r="Y3957">
        <v>0</v>
      </c>
      <c r="Z3957">
        <v>4375.13</v>
      </c>
      <c r="AA3957">
        <v>4453.91</v>
      </c>
      <c r="AB3957" s="12" t="s">
        <v>2786</v>
      </c>
      <c r="AC3957">
        <v>243.06290000000001</v>
      </c>
      <c r="AD3957">
        <v>1</v>
      </c>
      <c r="AE3957">
        <v>1</v>
      </c>
      <c r="AF3957">
        <v>0</v>
      </c>
      <c r="AG3957">
        <v>4375.13</v>
      </c>
      <c r="AH3957">
        <v>18</v>
      </c>
      <c r="AI3957">
        <v>18</v>
      </c>
      <c r="AJ3957">
        <v>0</v>
      </c>
      <c r="AK3957">
        <v>1</v>
      </c>
      <c r="AL3957">
        <v>1</v>
      </c>
      <c r="AM3957">
        <v>100</v>
      </c>
      <c r="AN3957">
        <v>247.43960000000001</v>
      </c>
      <c r="AO3957">
        <v>0</v>
      </c>
      <c r="AP3957" s="13">
        <v>45668</v>
      </c>
      <c r="AQ3957">
        <v>0</v>
      </c>
      <c r="AR3957">
        <v>1</v>
      </c>
    </row>
    <row r="3958" spans="1:44" x14ac:dyDescent="0.35">
      <c r="A3958" s="12" t="s">
        <v>4882</v>
      </c>
      <c r="B3958" s="12" t="s">
        <v>339</v>
      </c>
      <c r="C3958" s="12" t="s">
        <v>340</v>
      </c>
      <c r="D3958" s="12" t="s">
        <v>103</v>
      </c>
      <c r="E3958" s="12" t="s">
        <v>142</v>
      </c>
      <c r="F3958">
        <v>2</v>
      </c>
      <c r="G3958">
        <v>9</v>
      </c>
      <c r="H3958">
        <v>0</v>
      </c>
      <c r="I3958" s="12" t="s">
        <v>169</v>
      </c>
      <c r="J3958" s="12" t="s">
        <v>170</v>
      </c>
      <c r="K3958" s="12" t="s">
        <v>89</v>
      </c>
      <c r="L3958" s="12" t="s">
        <v>134</v>
      </c>
      <c r="M3958">
        <v>1.37</v>
      </c>
      <c r="N3958" s="12" t="s">
        <v>107</v>
      </c>
      <c r="O3958" s="12" t="s">
        <v>108</v>
      </c>
      <c r="P3958" s="12" t="s">
        <v>109</v>
      </c>
      <c r="Q3958" s="13">
        <v>45632</v>
      </c>
      <c r="R3958" s="13">
        <v>45668</v>
      </c>
      <c r="S3958">
        <v>2024</v>
      </c>
      <c r="T3958" s="12" t="s">
        <v>4841</v>
      </c>
      <c r="U3958">
        <v>24</v>
      </c>
      <c r="V3958">
        <v>243.06290000000001</v>
      </c>
      <c r="W3958">
        <v>114.14</v>
      </c>
      <c r="X3958">
        <v>0</v>
      </c>
      <c r="Y3958">
        <v>0</v>
      </c>
      <c r="Z3958">
        <v>5833.51</v>
      </c>
      <c r="AA3958">
        <v>5947.65</v>
      </c>
      <c r="AB3958" s="12" t="s">
        <v>2786</v>
      </c>
      <c r="AC3958">
        <v>243.06290000000001</v>
      </c>
      <c r="AD3958">
        <v>1</v>
      </c>
      <c r="AE3958">
        <v>1</v>
      </c>
      <c r="AF3958">
        <v>0</v>
      </c>
      <c r="AG3958">
        <v>5833.51</v>
      </c>
      <c r="AH3958">
        <v>24</v>
      </c>
      <c r="AI3958">
        <v>24</v>
      </c>
      <c r="AJ3958">
        <v>0</v>
      </c>
      <c r="AK3958">
        <v>1</v>
      </c>
      <c r="AL3958">
        <v>1</v>
      </c>
      <c r="AM3958">
        <v>100</v>
      </c>
      <c r="AN3958">
        <v>247.81870000000001</v>
      </c>
      <c r="AO3958">
        <v>0</v>
      </c>
      <c r="AP3958" s="13">
        <v>45667</v>
      </c>
      <c r="AQ3958">
        <v>-1</v>
      </c>
      <c r="AR3958">
        <v>1</v>
      </c>
    </row>
    <row r="3959" spans="1:44" x14ac:dyDescent="0.35">
      <c r="A3959" s="12" t="s">
        <v>4883</v>
      </c>
      <c r="B3959" s="12" t="s">
        <v>494</v>
      </c>
      <c r="C3959" s="12" t="s">
        <v>495</v>
      </c>
      <c r="D3959" s="12" t="s">
        <v>175</v>
      </c>
      <c r="E3959" s="12" t="s">
        <v>65</v>
      </c>
      <c r="F3959">
        <v>2</v>
      </c>
      <c r="G3959">
        <v>3</v>
      </c>
      <c r="H3959">
        <v>0</v>
      </c>
      <c r="I3959" s="12" t="s">
        <v>515</v>
      </c>
      <c r="J3959" s="12" t="s">
        <v>516</v>
      </c>
      <c r="K3959" s="12" t="s">
        <v>68</v>
      </c>
      <c r="L3959" s="12" t="s">
        <v>134</v>
      </c>
      <c r="M3959">
        <v>3.69</v>
      </c>
      <c r="N3959" s="12" t="s">
        <v>107</v>
      </c>
      <c r="O3959" s="12" t="s">
        <v>108</v>
      </c>
      <c r="P3959" s="12" t="s">
        <v>109</v>
      </c>
      <c r="Q3959" s="13">
        <v>45632</v>
      </c>
      <c r="R3959" s="13">
        <v>45657</v>
      </c>
      <c r="S3959">
        <v>2024</v>
      </c>
      <c r="T3959" s="12" t="s">
        <v>4841</v>
      </c>
      <c r="U3959">
        <v>47</v>
      </c>
      <c r="V3959">
        <v>157.60329999999999</v>
      </c>
      <c r="W3959">
        <v>146.93</v>
      </c>
      <c r="X3959">
        <v>0</v>
      </c>
      <c r="Y3959">
        <v>0</v>
      </c>
      <c r="Z3959">
        <v>7407.36</v>
      </c>
      <c r="AA3959">
        <v>7554.29</v>
      </c>
      <c r="AB3959" s="12" t="s">
        <v>2807</v>
      </c>
      <c r="AC3959">
        <v>157.60329999999999</v>
      </c>
      <c r="AD3959">
        <v>1</v>
      </c>
      <c r="AE3959">
        <v>1</v>
      </c>
      <c r="AF3959">
        <v>0</v>
      </c>
      <c r="AG3959">
        <v>7407.36</v>
      </c>
      <c r="AH3959">
        <v>47</v>
      </c>
      <c r="AI3959">
        <v>47</v>
      </c>
      <c r="AJ3959">
        <v>0</v>
      </c>
      <c r="AK3959">
        <v>1</v>
      </c>
      <c r="AL3959">
        <v>1</v>
      </c>
      <c r="AM3959">
        <v>100</v>
      </c>
      <c r="AN3959">
        <v>160.7295</v>
      </c>
      <c r="AO3959">
        <v>0</v>
      </c>
      <c r="AP3959" s="13">
        <v>45654</v>
      </c>
      <c r="AQ3959">
        <v>-3</v>
      </c>
      <c r="AR3959">
        <v>1</v>
      </c>
    </row>
    <row r="3960" spans="1:44" x14ac:dyDescent="0.35">
      <c r="A3960" s="12" t="s">
        <v>4884</v>
      </c>
      <c r="B3960" s="12" t="s">
        <v>293</v>
      </c>
      <c r="C3960" s="12" t="s">
        <v>294</v>
      </c>
      <c r="D3960" s="12" t="s">
        <v>114</v>
      </c>
      <c r="E3960" s="12" t="s">
        <v>142</v>
      </c>
      <c r="F3960">
        <v>1</v>
      </c>
      <c r="G3960">
        <v>6</v>
      </c>
      <c r="H3960">
        <v>1</v>
      </c>
      <c r="I3960" s="12" t="s">
        <v>195</v>
      </c>
      <c r="J3960" s="12" t="s">
        <v>196</v>
      </c>
      <c r="K3960" s="12" t="s">
        <v>117</v>
      </c>
      <c r="L3960" s="12" t="s">
        <v>134</v>
      </c>
      <c r="M3960">
        <v>4.7699999999999996</v>
      </c>
      <c r="N3960" s="12" t="s">
        <v>97</v>
      </c>
      <c r="O3960" s="12" t="s">
        <v>98</v>
      </c>
      <c r="P3960" s="12" t="s">
        <v>72</v>
      </c>
      <c r="Q3960" s="13">
        <v>45632</v>
      </c>
      <c r="R3960" s="13">
        <v>45679</v>
      </c>
      <c r="S3960">
        <v>2024</v>
      </c>
      <c r="T3960" s="12" t="s">
        <v>4841</v>
      </c>
      <c r="U3960">
        <v>105</v>
      </c>
      <c r="V3960">
        <v>202.91499999999999</v>
      </c>
      <c r="W3960">
        <v>132.49</v>
      </c>
      <c r="X3960">
        <v>0</v>
      </c>
      <c r="Y3960">
        <v>0</v>
      </c>
      <c r="Z3960">
        <v>21306.080000000002</v>
      </c>
      <c r="AA3960">
        <v>21438.57</v>
      </c>
      <c r="AB3960" s="12" t="s">
        <v>2837</v>
      </c>
      <c r="AC3960">
        <v>202.91499999999999</v>
      </c>
      <c r="AD3960">
        <v>1</v>
      </c>
      <c r="AE3960">
        <v>1</v>
      </c>
      <c r="AF3960">
        <v>0</v>
      </c>
      <c r="AG3960">
        <v>21306.080000000002</v>
      </c>
      <c r="AH3960">
        <v>105</v>
      </c>
      <c r="AI3960">
        <v>102</v>
      </c>
      <c r="AJ3960">
        <v>3</v>
      </c>
      <c r="AK3960">
        <v>1</v>
      </c>
      <c r="AL3960">
        <v>1</v>
      </c>
      <c r="AM3960">
        <v>97.14</v>
      </c>
      <c r="AN3960">
        <v>210.18199999999999</v>
      </c>
      <c r="AO3960">
        <v>608.75</v>
      </c>
      <c r="AP3960" s="13">
        <v>45679</v>
      </c>
      <c r="AQ3960">
        <v>0</v>
      </c>
      <c r="AR3960">
        <v>1</v>
      </c>
    </row>
    <row r="3961" spans="1:44" x14ac:dyDescent="0.35">
      <c r="A3961" s="12" t="s">
        <v>4885</v>
      </c>
      <c r="B3961" s="12" t="s">
        <v>509</v>
      </c>
      <c r="C3961" s="12" t="s">
        <v>510</v>
      </c>
      <c r="D3961" s="12" t="s">
        <v>78</v>
      </c>
      <c r="E3961" s="12" t="s">
        <v>142</v>
      </c>
      <c r="F3961">
        <v>3</v>
      </c>
      <c r="G3961">
        <v>11</v>
      </c>
      <c r="H3961">
        <v>0</v>
      </c>
      <c r="I3961" s="12" t="s">
        <v>176</v>
      </c>
      <c r="J3961" s="12" t="s">
        <v>177</v>
      </c>
      <c r="K3961" s="12" t="s">
        <v>125</v>
      </c>
      <c r="L3961" s="12" t="s">
        <v>134</v>
      </c>
      <c r="M3961">
        <v>1.75</v>
      </c>
      <c r="N3961" s="12" t="s">
        <v>70</v>
      </c>
      <c r="O3961" s="12" t="s">
        <v>71</v>
      </c>
      <c r="P3961" s="12" t="s">
        <v>72</v>
      </c>
      <c r="Q3961" s="13">
        <v>45632</v>
      </c>
      <c r="R3961" s="13">
        <v>45672</v>
      </c>
      <c r="S3961">
        <v>2024</v>
      </c>
      <c r="T3961" s="12" t="s">
        <v>4841</v>
      </c>
      <c r="U3961">
        <v>126</v>
      </c>
      <c r="V3961">
        <v>151.20699999999999</v>
      </c>
      <c r="W3961">
        <v>468.22</v>
      </c>
      <c r="X3961">
        <v>0</v>
      </c>
      <c r="Y3961">
        <v>0</v>
      </c>
      <c r="Z3961">
        <v>19052.080000000002</v>
      </c>
      <c r="AA3961">
        <v>19520.3</v>
      </c>
      <c r="AB3961" s="12" t="s">
        <v>201</v>
      </c>
      <c r="AD3961">
        <v>0</v>
      </c>
      <c r="AE3961">
        <v>0</v>
      </c>
      <c r="AH3961">
        <v>126</v>
      </c>
      <c r="AI3961">
        <v>123</v>
      </c>
      <c r="AJ3961">
        <v>3</v>
      </c>
      <c r="AK3961">
        <v>1</v>
      </c>
      <c r="AL3961">
        <v>1</v>
      </c>
      <c r="AM3961">
        <v>97.62</v>
      </c>
      <c r="AN3961">
        <v>158.70160000000001</v>
      </c>
      <c r="AO3961">
        <v>453.62</v>
      </c>
      <c r="AP3961" s="13">
        <v>45672</v>
      </c>
      <c r="AQ3961">
        <v>0</v>
      </c>
      <c r="AR3961">
        <v>1</v>
      </c>
    </row>
    <row r="3962" spans="1:44" x14ac:dyDescent="0.35">
      <c r="A3962" s="12" t="s">
        <v>4886</v>
      </c>
      <c r="B3962" s="12" t="s">
        <v>843</v>
      </c>
      <c r="C3962" s="12" t="s">
        <v>844</v>
      </c>
      <c r="D3962" s="12" t="s">
        <v>175</v>
      </c>
      <c r="E3962" s="12" t="s">
        <v>65</v>
      </c>
      <c r="F3962">
        <v>3</v>
      </c>
      <c r="G3962">
        <v>5</v>
      </c>
      <c r="H3962">
        <v>0</v>
      </c>
      <c r="I3962" s="12" t="s">
        <v>359</v>
      </c>
      <c r="J3962" s="12" t="s">
        <v>360</v>
      </c>
      <c r="K3962" s="12" t="s">
        <v>133</v>
      </c>
      <c r="L3962" s="12" t="s">
        <v>82</v>
      </c>
      <c r="M3962">
        <v>12.65</v>
      </c>
      <c r="N3962" s="12" t="s">
        <v>107</v>
      </c>
      <c r="O3962" s="12" t="s">
        <v>108</v>
      </c>
      <c r="P3962" s="12" t="s">
        <v>109</v>
      </c>
      <c r="Q3962" s="13">
        <v>45635</v>
      </c>
      <c r="R3962" s="13">
        <v>45660</v>
      </c>
      <c r="S3962">
        <v>2024</v>
      </c>
      <c r="T3962" s="12" t="s">
        <v>4841</v>
      </c>
      <c r="U3962">
        <v>42</v>
      </c>
      <c r="V3962">
        <v>251.77279999999999</v>
      </c>
      <c r="W3962">
        <v>196.64</v>
      </c>
      <c r="X3962">
        <v>0</v>
      </c>
      <c r="Y3962">
        <v>0</v>
      </c>
      <c r="Z3962">
        <v>10574.46</v>
      </c>
      <c r="AA3962">
        <v>10771.1</v>
      </c>
      <c r="AB3962" s="12" t="s">
        <v>3324</v>
      </c>
      <c r="AC3962">
        <v>251.77279999999999</v>
      </c>
      <c r="AD3962">
        <v>1</v>
      </c>
      <c r="AE3962">
        <v>1</v>
      </c>
      <c r="AF3962">
        <v>0</v>
      </c>
      <c r="AG3962">
        <v>10574.46</v>
      </c>
      <c r="AH3962">
        <v>42</v>
      </c>
      <c r="AI3962">
        <v>41</v>
      </c>
      <c r="AJ3962">
        <v>1</v>
      </c>
      <c r="AK3962">
        <v>1</v>
      </c>
      <c r="AL3962">
        <v>1</v>
      </c>
      <c r="AM3962">
        <v>97.62</v>
      </c>
      <c r="AN3962">
        <v>262.7097</v>
      </c>
      <c r="AO3962">
        <v>251.77</v>
      </c>
      <c r="AP3962" s="13">
        <v>45657</v>
      </c>
      <c r="AQ3962">
        <v>-3</v>
      </c>
      <c r="AR3962">
        <v>1</v>
      </c>
    </row>
    <row r="3963" spans="1:44" x14ac:dyDescent="0.35">
      <c r="A3963" s="12" t="s">
        <v>4887</v>
      </c>
      <c r="B3963" s="12" t="s">
        <v>630</v>
      </c>
      <c r="C3963" s="12" t="s">
        <v>631</v>
      </c>
      <c r="D3963" s="12" t="s">
        <v>130</v>
      </c>
      <c r="E3963" s="12" t="s">
        <v>65</v>
      </c>
      <c r="F3963">
        <v>1</v>
      </c>
      <c r="G3963">
        <v>2</v>
      </c>
      <c r="H3963">
        <v>1</v>
      </c>
      <c r="I3963" s="12" t="s">
        <v>335</v>
      </c>
      <c r="J3963" s="12" t="s">
        <v>336</v>
      </c>
      <c r="K3963" s="12" t="s">
        <v>89</v>
      </c>
      <c r="L3963" s="12" t="s">
        <v>82</v>
      </c>
      <c r="M3963">
        <v>16</v>
      </c>
      <c r="N3963" s="12" t="s">
        <v>159</v>
      </c>
      <c r="O3963" s="12" t="s">
        <v>160</v>
      </c>
      <c r="P3963" s="12" t="s">
        <v>137</v>
      </c>
      <c r="Q3963" s="13">
        <v>45635</v>
      </c>
      <c r="R3963" s="13">
        <v>45665</v>
      </c>
      <c r="S3963">
        <v>2024</v>
      </c>
      <c r="T3963" s="12" t="s">
        <v>4841</v>
      </c>
      <c r="U3963">
        <v>82</v>
      </c>
      <c r="V3963">
        <v>446.36720000000003</v>
      </c>
      <c r="W3963">
        <v>248.78</v>
      </c>
      <c r="X3963">
        <v>0</v>
      </c>
      <c r="Y3963">
        <v>0</v>
      </c>
      <c r="Z3963">
        <v>36602.11</v>
      </c>
      <c r="AA3963">
        <v>36850.89</v>
      </c>
      <c r="AB3963" s="12" t="s">
        <v>2944</v>
      </c>
      <c r="AC3963">
        <v>446.36720000000003</v>
      </c>
      <c r="AD3963">
        <v>1</v>
      </c>
      <c r="AE3963">
        <v>1</v>
      </c>
      <c r="AF3963">
        <v>0</v>
      </c>
      <c r="AG3963">
        <v>36602.11</v>
      </c>
      <c r="AH3963">
        <v>82</v>
      </c>
      <c r="AI3963">
        <v>81</v>
      </c>
      <c r="AJ3963">
        <v>1</v>
      </c>
      <c r="AK3963">
        <v>1</v>
      </c>
      <c r="AL3963">
        <v>1</v>
      </c>
      <c r="AM3963">
        <v>98.78</v>
      </c>
      <c r="AN3963">
        <v>454.94929999999999</v>
      </c>
      <c r="AO3963">
        <v>446.37</v>
      </c>
      <c r="AP3963" s="13">
        <v>45662</v>
      </c>
      <c r="AQ3963">
        <v>-3</v>
      </c>
      <c r="AR3963">
        <v>1</v>
      </c>
    </row>
    <row r="3964" spans="1:44" x14ac:dyDescent="0.35">
      <c r="A3964" s="12" t="s">
        <v>4888</v>
      </c>
      <c r="B3964" s="12" t="s">
        <v>76</v>
      </c>
      <c r="C3964" s="12" t="s">
        <v>77</v>
      </c>
      <c r="D3964" s="12" t="s">
        <v>78</v>
      </c>
      <c r="E3964" s="12" t="s">
        <v>65</v>
      </c>
      <c r="F3964">
        <v>2</v>
      </c>
      <c r="G3964">
        <v>4</v>
      </c>
      <c r="H3964">
        <v>0</v>
      </c>
      <c r="I3964" s="12" t="s">
        <v>79</v>
      </c>
      <c r="J3964" s="12" t="s">
        <v>80</v>
      </c>
      <c r="K3964" s="12" t="s">
        <v>81</v>
      </c>
      <c r="L3964" s="12" t="s">
        <v>82</v>
      </c>
      <c r="M3964">
        <v>12.07</v>
      </c>
      <c r="N3964" s="12" t="s">
        <v>70</v>
      </c>
      <c r="O3964" s="12" t="s">
        <v>71</v>
      </c>
      <c r="P3964" s="12" t="s">
        <v>72</v>
      </c>
      <c r="Q3964" s="13">
        <v>45635</v>
      </c>
      <c r="R3964" s="13">
        <v>45672</v>
      </c>
      <c r="S3964">
        <v>2024</v>
      </c>
      <c r="T3964" s="12" t="s">
        <v>4841</v>
      </c>
      <c r="U3964">
        <v>279</v>
      </c>
      <c r="V3964">
        <v>42.436700000000002</v>
      </c>
      <c r="W3964">
        <v>204.43</v>
      </c>
      <c r="X3964">
        <v>0</v>
      </c>
      <c r="Y3964">
        <v>0</v>
      </c>
      <c r="Z3964">
        <v>11839.84</v>
      </c>
      <c r="AA3964">
        <v>12044.27</v>
      </c>
      <c r="AB3964" s="12" t="s">
        <v>2672</v>
      </c>
      <c r="AC3964">
        <v>45.034100000000002</v>
      </c>
      <c r="AD3964">
        <v>1</v>
      </c>
      <c r="AE3964">
        <v>1</v>
      </c>
      <c r="AF3964">
        <v>-724.67</v>
      </c>
      <c r="AG3964">
        <v>12564.51</v>
      </c>
      <c r="AH3964">
        <v>279</v>
      </c>
      <c r="AI3964">
        <v>272</v>
      </c>
      <c r="AJ3964">
        <v>7</v>
      </c>
      <c r="AK3964">
        <v>1</v>
      </c>
      <c r="AL3964">
        <v>1</v>
      </c>
      <c r="AM3964">
        <v>97.49</v>
      </c>
      <c r="AN3964">
        <v>44.2804</v>
      </c>
      <c r="AO3964">
        <v>297.06</v>
      </c>
      <c r="AP3964" s="13">
        <v>45672</v>
      </c>
      <c r="AQ3964">
        <v>0</v>
      </c>
      <c r="AR3964">
        <v>1</v>
      </c>
    </row>
    <row r="3965" spans="1:44" x14ac:dyDescent="0.35">
      <c r="A3965" s="12" t="s">
        <v>4889</v>
      </c>
      <c r="B3965" s="12" t="s">
        <v>241</v>
      </c>
      <c r="C3965" s="12" t="s">
        <v>242</v>
      </c>
      <c r="D3965" s="12" t="s">
        <v>103</v>
      </c>
      <c r="E3965" s="12" t="s">
        <v>142</v>
      </c>
      <c r="F3965">
        <v>3</v>
      </c>
      <c r="G3965">
        <v>11</v>
      </c>
      <c r="H3965">
        <v>0</v>
      </c>
      <c r="I3965" s="12" t="s">
        <v>243</v>
      </c>
      <c r="J3965" s="12" t="s">
        <v>244</v>
      </c>
      <c r="K3965" s="12" t="s">
        <v>81</v>
      </c>
      <c r="L3965" s="12" t="s">
        <v>82</v>
      </c>
      <c r="M3965">
        <v>9.2200000000000006</v>
      </c>
      <c r="N3965" s="12" t="s">
        <v>107</v>
      </c>
      <c r="O3965" s="12" t="s">
        <v>108</v>
      </c>
      <c r="P3965" s="12" t="s">
        <v>109</v>
      </c>
      <c r="Q3965" s="13">
        <v>45635</v>
      </c>
      <c r="R3965" s="13">
        <v>45681</v>
      </c>
      <c r="S3965">
        <v>2024</v>
      </c>
      <c r="T3965" s="12" t="s">
        <v>4841</v>
      </c>
      <c r="U3965">
        <v>101</v>
      </c>
      <c r="V3965">
        <v>186.80080000000001</v>
      </c>
      <c r="W3965">
        <v>193.8</v>
      </c>
      <c r="X3965">
        <v>0</v>
      </c>
      <c r="Y3965">
        <v>0</v>
      </c>
      <c r="Z3965">
        <v>18866.88</v>
      </c>
      <c r="AA3965">
        <v>19060.68</v>
      </c>
      <c r="AB3965" s="12" t="s">
        <v>201</v>
      </c>
      <c r="AD3965">
        <v>0</v>
      </c>
      <c r="AE3965">
        <v>0</v>
      </c>
      <c r="AH3965">
        <v>101</v>
      </c>
      <c r="AI3965">
        <v>100</v>
      </c>
      <c r="AJ3965">
        <v>1</v>
      </c>
      <c r="AK3965">
        <v>1</v>
      </c>
      <c r="AL3965">
        <v>1</v>
      </c>
      <c r="AM3965">
        <v>99.01</v>
      </c>
      <c r="AN3965">
        <v>190.60679999999999</v>
      </c>
      <c r="AO3965">
        <v>186.8</v>
      </c>
      <c r="AP3965" s="13">
        <v>45679</v>
      </c>
      <c r="AQ3965">
        <v>-2</v>
      </c>
      <c r="AR3965">
        <v>1</v>
      </c>
    </row>
    <row r="3966" spans="1:44" x14ac:dyDescent="0.35">
      <c r="A3966" s="12" t="s">
        <v>4890</v>
      </c>
      <c r="B3966" s="12" t="s">
        <v>173</v>
      </c>
      <c r="C3966" s="12" t="s">
        <v>174</v>
      </c>
      <c r="D3966" s="12" t="s">
        <v>175</v>
      </c>
      <c r="E3966" s="12" t="s">
        <v>104</v>
      </c>
      <c r="F3966">
        <v>3</v>
      </c>
      <c r="G3966">
        <v>1</v>
      </c>
      <c r="H3966">
        <v>0</v>
      </c>
      <c r="I3966" s="12" t="s">
        <v>176</v>
      </c>
      <c r="J3966" s="12" t="s">
        <v>177</v>
      </c>
      <c r="K3966" s="12" t="s">
        <v>125</v>
      </c>
      <c r="L3966" s="12" t="s">
        <v>134</v>
      </c>
      <c r="M3966">
        <v>1.75</v>
      </c>
      <c r="N3966" s="12" t="s">
        <v>145</v>
      </c>
      <c r="O3966" s="12" t="s">
        <v>146</v>
      </c>
      <c r="P3966" s="12" t="s">
        <v>109</v>
      </c>
      <c r="Q3966" s="13">
        <v>45635</v>
      </c>
      <c r="R3966" s="13">
        <v>45659</v>
      </c>
      <c r="S3966">
        <v>2024</v>
      </c>
      <c r="T3966" s="12" t="s">
        <v>4841</v>
      </c>
      <c r="U3966">
        <v>107</v>
      </c>
      <c r="V3966">
        <v>79.2821</v>
      </c>
      <c r="W3966">
        <v>154.12</v>
      </c>
      <c r="X3966">
        <v>0</v>
      </c>
      <c r="Y3966">
        <v>0</v>
      </c>
      <c r="Z3966">
        <v>8483.18</v>
      </c>
      <c r="AA3966">
        <v>8637.2999999999993</v>
      </c>
      <c r="AB3966" s="12" t="s">
        <v>2717</v>
      </c>
      <c r="AC3966">
        <v>75.626000000000005</v>
      </c>
      <c r="AD3966">
        <v>1</v>
      </c>
      <c r="AE3966">
        <v>1</v>
      </c>
      <c r="AF3966">
        <v>391.2</v>
      </c>
      <c r="AG3966">
        <v>8091.98</v>
      </c>
      <c r="AH3966">
        <v>107</v>
      </c>
      <c r="AI3966">
        <v>106</v>
      </c>
      <c r="AJ3966">
        <v>1</v>
      </c>
      <c r="AK3966">
        <v>1</v>
      </c>
      <c r="AL3966">
        <v>1</v>
      </c>
      <c r="AM3966">
        <v>99.07</v>
      </c>
      <c r="AN3966">
        <v>81.483999999999995</v>
      </c>
      <c r="AO3966">
        <v>79.28</v>
      </c>
      <c r="AP3966" s="13">
        <v>45657</v>
      </c>
      <c r="AQ3966">
        <v>-2</v>
      </c>
      <c r="AR3966">
        <v>1</v>
      </c>
    </row>
    <row r="3967" spans="1:44" x14ac:dyDescent="0.35">
      <c r="A3967" s="12" t="s">
        <v>4891</v>
      </c>
      <c r="B3967" s="12" t="s">
        <v>1134</v>
      </c>
      <c r="C3967" s="12" t="s">
        <v>1135</v>
      </c>
      <c r="D3967" s="12" t="s">
        <v>269</v>
      </c>
      <c r="E3967" s="12" t="s">
        <v>104</v>
      </c>
      <c r="F3967">
        <v>2</v>
      </c>
      <c r="G3967">
        <v>0</v>
      </c>
      <c r="H3967">
        <v>0</v>
      </c>
      <c r="I3967" s="12" t="s">
        <v>380</v>
      </c>
      <c r="J3967" s="12" t="s">
        <v>381</v>
      </c>
      <c r="K3967" s="12" t="s">
        <v>89</v>
      </c>
      <c r="L3967" s="12" t="s">
        <v>96</v>
      </c>
      <c r="M3967">
        <v>10.210000000000001</v>
      </c>
      <c r="N3967" s="12" t="s">
        <v>159</v>
      </c>
      <c r="O3967" s="12" t="s">
        <v>160</v>
      </c>
      <c r="P3967" s="12" t="s">
        <v>137</v>
      </c>
      <c r="Q3967" s="13">
        <v>45635</v>
      </c>
      <c r="R3967" s="13">
        <v>45647</v>
      </c>
      <c r="S3967">
        <v>2024</v>
      </c>
      <c r="T3967" s="12" t="s">
        <v>4841</v>
      </c>
      <c r="U3967">
        <v>16</v>
      </c>
      <c r="V3967">
        <v>103.3943</v>
      </c>
      <c r="W3967">
        <v>41.04</v>
      </c>
      <c r="X3967">
        <v>0</v>
      </c>
      <c r="Y3967">
        <v>0</v>
      </c>
      <c r="Z3967">
        <v>1654.31</v>
      </c>
      <c r="AA3967">
        <v>1695.35</v>
      </c>
      <c r="AB3967" s="12" t="s">
        <v>3615</v>
      </c>
      <c r="AC3967">
        <v>100.0123</v>
      </c>
      <c r="AD3967">
        <v>1</v>
      </c>
      <c r="AE3967">
        <v>1</v>
      </c>
      <c r="AF3967">
        <v>54.11</v>
      </c>
      <c r="AG3967">
        <v>1600.2</v>
      </c>
      <c r="AH3967">
        <v>16</v>
      </c>
      <c r="AI3967">
        <v>16</v>
      </c>
      <c r="AJ3967">
        <v>0</v>
      </c>
      <c r="AK3967">
        <v>1</v>
      </c>
      <c r="AL3967">
        <v>1</v>
      </c>
      <c r="AM3967">
        <v>100</v>
      </c>
      <c r="AN3967">
        <v>105.9593</v>
      </c>
      <c r="AO3967">
        <v>0</v>
      </c>
      <c r="AP3967" s="13">
        <v>45647</v>
      </c>
      <c r="AQ3967">
        <v>0</v>
      </c>
      <c r="AR3967">
        <v>1</v>
      </c>
    </row>
    <row r="3968" spans="1:44" x14ac:dyDescent="0.35">
      <c r="A3968" s="12" t="s">
        <v>4892</v>
      </c>
      <c r="B3968" s="12" t="s">
        <v>482</v>
      </c>
      <c r="C3968" s="12" t="s">
        <v>483</v>
      </c>
      <c r="D3968" s="12" t="s">
        <v>78</v>
      </c>
      <c r="E3968" s="12" t="s">
        <v>142</v>
      </c>
      <c r="F3968">
        <v>2</v>
      </c>
      <c r="G3968">
        <v>9</v>
      </c>
      <c r="H3968">
        <v>0</v>
      </c>
      <c r="I3968" s="12" t="s">
        <v>87</v>
      </c>
      <c r="J3968" s="12" t="s">
        <v>88</v>
      </c>
      <c r="K3968" s="12" t="s">
        <v>89</v>
      </c>
      <c r="L3968" s="12" t="s">
        <v>69</v>
      </c>
      <c r="M3968">
        <v>14.93</v>
      </c>
      <c r="N3968" s="12" t="s">
        <v>97</v>
      </c>
      <c r="O3968" s="12" t="s">
        <v>98</v>
      </c>
      <c r="P3968" s="12" t="s">
        <v>72</v>
      </c>
      <c r="Q3968" s="13">
        <v>45635</v>
      </c>
      <c r="R3968" s="13">
        <v>45681</v>
      </c>
      <c r="S3968">
        <v>2024</v>
      </c>
      <c r="T3968" s="12" t="s">
        <v>4841</v>
      </c>
      <c r="U3968">
        <v>199</v>
      </c>
      <c r="V3968">
        <v>47.101599999999998</v>
      </c>
      <c r="W3968">
        <v>130.28</v>
      </c>
      <c r="X3968">
        <v>0</v>
      </c>
      <c r="Y3968">
        <v>0</v>
      </c>
      <c r="Z3968">
        <v>9373.2199999999993</v>
      </c>
      <c r="AA3968">
        <v>9503.5</v>
      </c>
      <c r="AB3968" s="12" t="s">
        <v>3145</v>
      </c>
      <c r="AC3968">
        <v>47.101599999999998</v>
      </c>
      <c r="AD3968">
        <v>1</v>
      </c>
      <c r="AE3968">
        <v>1</v>
      </c>
      <c r="AF3968">
        <v>0</v>
      </c>
      <c r="AG3968">
        <v>9373.2199999999993</v>
      </c>
      <c r="AH3968">
        <v>199</v>
      </c>
      <c r="AI3968">
        <v>197</v>
      </c>
      <c r="AJ3968">
        <v>2</v>
      </c>
      <c r="AK3968">
        <v>1</v>
      </c>
      <c r="AL3968">
        <v>1</v>
      </c>
      <c r="AM3968">
        <v>98.99</v>
      </c>
      <c r="AN3968">
        <v>48.241100000000003</v>
      </c>
      <c r="AO3968">
        <v>94.2</v>
      </c>
      <c r="AP3968" s="13">
        <v>45680</v>
      </c>
      <c r="AQ3968">
        <v>-1</v>
      </c>
      <c r="AR3968">
        <v>1</v>
      </c>
    </row>
    <row r="3969" spans="1:44" x14ac:dyDescent="0.35">
      <c r="A3969" s="12" t="s">
        <v>4893</v>
      </c>
      <c r="B3969" s="12" t="s">
        <v>587</v>
      </c>
      <c r="C3969" s="12" t="s">
        <v>588</v>
      </c>
      <c r="D3969" s="12" t="s">
        <v>122</v>
      </c>
      <c r="E3969" s="12" t="s">
        <v>104</v>
      </c>
      <c r="F3969">
        <v>2</v>
      </c>
      <c r="G3969">
        <v>0</v>
      </c>
      <c r="H3969">
        <v>0</v>
      </c>
      <c r="I3969" s="12" t="s">
        <v>486</v>
      </c>
      <c r="J3969" s="12" t="s">
        <v>487</v>
      </c>
      <c r="K3969" s="12" t="s">
        <v>125</v>
      </c>
      <c r="L3969" s="12" t="s">
        <v>69</v>
      </c>
      <c r="M3969">
        <v>36.86</v>
      </c>
      <c r="N3969" s="12" t="s">
        <v>97</v>
      </c>
      <c r="O3969" s="12" t="s">
        <v>98</v>
      </c>
      <c r="P3969" s="12" t="s">
        <v>72</v>
      </c>
      <c r="Q3969" s="13">
        <v>45635</v>
      </c>
      <c r="R3969" s="13">
        <v>45650</v>
      </c>
      <c r="S3969">
        <v>2024</v>
      </c>
      <c r="T3969" s="12" t="s">
        <v>4841</v>
      </c>
      <c r="U3969">
        <v>574</v>
      </c>
      <c r="V3969">
        <v>11.9803</v>
      </c>
      <c r="W3969">
        <v>173.68</v>
      </c>
      <c r="X3969">
        <v>0</v>
      </c>
      <c r="Y3969">
        <v>0</v>
      </c>
      <c r="Z3969">
        <v>6876.69</v>
      </c>
      <c r="AA3969">
        <v>7050.37</v>
      </c>
      <c r="AB3969" s="12" t="s">
        <v>3188</v>
      </c>
      <c r="AC3969">
        <v>11.9803</v>
      </c>
      <c r="AD3969">
        <v>1</v>
      </c>
      <c r="AE3969">
        <v>1</v>
      </c>
      <c r="AF3969">
        <v>0</v>
      </c>
      <c r="AG3969">
        <v>6876.69</v>
      </c>
      <c r="AH3969">
        <v>574</v>
      </c>
      <c r="AI3969">
        <v>571</v>
      </c>
      <c r="AJ3969">
        <v>3</v>
      </c>
      <c r="AK3969">
        <v>1</v>
      </c>
      <c r="AL3969">
        <v>1</v>
      </c>
      <c r="AM3969">
        <v>99.48</v>
      </c>
      <c r="AN3969">
        <v>12.3474</v>
      </c>
      <c r="AO3969">
        <v>35.94</v>
      </c>
      <c r="AP3969" s="13">
        <v>45648</v>
      </c>
      <c r="AQ3969">
        <v>-2</v>
      </c>
      <c r="AR3969">
        <v>1</v>
      </c>
    </row>
    <row r="3970" spans="1:44" x14ac:dyDescent="0.35">
      <c r="A3970" s="12" t="s">
        <v>4894</v>
      </c>
      <c r="B3970" s="12" t="s">
        <v>712</v>
      </c>
      <c r="C3970" s="12" t="s">
        <v>713</v>
      </c>
      <c r="D3970" s="12" t="s">
        <v>103</v>
      </c>
      <c r="E3970" s="12" t="s">
        <v>104</v>
      </c>
      <c r="F3970">
        <v>2</v>
      </c>
      <c r="G3970">
        <v>0</v>
      </c>
      <c r="H3970">
        <v>0</v>
      </c>
      <c r="I3970" s="12" t="s">
        <v>199</v>
      </c>
      <c r="J3970" s="12" t="s">
        <v>200</v>
      </c>
      <c r="K3970" s="12" t="s">
        <v>68</v>
      </c>
      <c r="L3970" s="12" t="s">
        <v>96</v>
      </c>
      <c r="M3970">
        <v>9.4700000000000006</v>
      </c>
      <c r="N3970" s="12" t="s">
        <v>145</v>
      </c>
      <c r="O3970" s="12" t="s">
        <v>146</v>
      </c>
      <c r="P3970" s="12" t="s">
        <v>109</v>
      </c>
      <c r="Q3970" s="13">
        <v>45635</v>
      </c>
      <c r="R3970" s="13">
        <v>45657</v>
      </c>
      <c r="S3970">
        <v>2024</v>
      </c>
      <c r="T3970" s="12" t="s">
        <v>4841</v>
      </c>
      <c r="U3970">
        <v>90</v>
      </c>
      <c r="V3970">
        <v>214.35810000000001</v>
      </c>
      <c r="W3970">
        <v>191.38</v>
      </c>
      <c r="X3970">
        <v>0</v>
      </c>
      <c r="Y3970">
        <v>0</v>
      </c>
      <c r="Z3970">
        <v>19292.23</v>
      </c>
      <c r="AA3970">
        <v>19483.61</v>
      </c>
      <c r="AB3970" s="12" t="s">
        <v>201</v>
      </c>
      <c r="AD3970">
        <v>0</v>
      </c>
      <c r="AE3970">
        <v>0</v>
      </c>
      <c r="AH3970">
        <v>90</v>
      </c>
      <c r="AI3970">
        <v>89</v>
      </c>
      <c r="AJ3970">
        <v>1</v>
      </c>
      <c r="AK3970">
        <v>1</v>
      </c>
      <c r="AL3970">
        <v>1</v>
      </c>
      <c r="AM3970">
        <v>98.89</v>
      </c>
      <c r="AN3970">
        <v>218.917</v>
      </c>
      <c r="AO3970">
        <v>214.36</v>
      </c>
      <c r="AP3970" s="13">
        <v>45656</v>
      </c>
      <c r="AQ3970">
        <v>-1</v>
      </c>
      <c r="AR3970">
        <v>1</v>
      </c>
    </row>
    <row r="3971" spans="1:44" x14ac:dyDescent="0.35">
      <c r="A3971" s="12" t="s">
        <v>4895</v>
      </c>
      <c r="B3971" s="12" t="s">
        <v>680</v>
      </c>
      <c r="C3971" s="12" t="s">
        <v>681</v>
      </c>
      <c r="D3971" s="12" t="s">
        <v>122</v>
      </c>
      <c r="E3971" s="12" t="s">
        <v>104</v>
      </c>
      <c r="F3971">
        <v>3</v>
      </c>
      <c r="G3971">
        <v>1</v>
      </c>
      <c r="H3971">
        <v>0</v>
      </c>
      <c r="I3971" s="12" t="s">
        <v>227</v>
      </c>
      <c r="J3971" s="12" t="s">
        <v>228</v>
      </c>
      <c r="K3971" s="12" t="s">
        <v>89</v>
      </c>
      <c r="L3971" s="12" t="s">
        <v>96</v>
      </c>
      <c r="M3971">
        <v>9.15</v>
      </c>
      <c r="N3971" s="12" t="s">
        <v>70</v>
      </c>
      <c r="O3971" s="12" t="s">
        <v>71</v>
      </c>
      <c r="P3971" s="12" t="s">
        <v>72</v>
      </c>
      <c r="Q3971" s="13">
        <v>45636</v>
      </c>
      <c r="R3971" s="13">
        <v>45649</v>
      </c>
      <c r="S3971">
        <v>2024</v>
      </c>
      <c r="T3971" s="12" t="s">
        <v>4841</v>
      </c>
      <c r="U3971">
        <v>317</v>
      </c>
      <c r="V3971">
        <v>24.145299999999999</v>
      </c>
      <c r="W3971">
        <v>152.22</v>
      </c>
      <c r="X3971">
        <v>0</v>
      </c>
      <c r="Y3971">
        <v>0</v>
      </c>
      <c r="Z3971">
        <v>7654.06</v>
      </c>
      <c r="AA3971">
        <v>7806.28</v>
      </c>
      <c r="AB3971" s="12" t="s">
        <v>201</v>
      </c>
      <c r="AD3971">
        <v>0</v>
      </c>
      <c r="AE3971">
        <v>0</v>
      </c>
      <c r="AH3971">
        <v>317</v>
      </c>
      <c r="AI3971">
        <v>315</v>
      </c>
      <c r="AJ3971">
        <v>2</v>
      </c>
      <c r="AK3971">
        <v>1</v>
      </c>
      <c r="AL3971">
        <v>1</v>
      </c>
      <c r="AM3971">
        <v>99.37</v>
      </c>
      <c r="AN3971">
        <v>24.7818</v>
      </c>
      <c r="AO3971">
        <v>48.29</v>
      </c>
      <c r="AP3971" s="13">
        <v>45648</v>
      </c>
      <c r="AQ3971">
        <v>-1</v>
      </c>
      <c r="AR3971">
        <v>1</v>
      </c>
    </row>
    <row r="3972" spans="1:44" x14ac:dyDescent="0.35">
      <c r="A3972" s="12" t="s">
        <v>4896</v>
      </c>
      <c r="B3972" s="12" t="s">
        <v>347</v>
      </c>
      <c r="C3972" s="12" t="s">
        <v>348</v>
      </c>
      <c r="D3972" s="12" t="s">
        <v>78</v>
      </c>
      <c r="E3972" s="12" t="s">
        <v>104</v>
      </c>
      <c r="F3972">
        <v>3</v>
      </c>
      <c r="G3972">
        <v>1</v>
      </c>
      <c r="H3972">
        <v>0</v>
      </c>
      <c r="I3972" s="12" t="s">
        <v>105</v>
      </c>
      <c r="J3972" s="12" t="s">
        <v>106</v>
      </c>
      <c r="K3972" s="12" t="s">
        <v>81</v>
      </c>
      <c r="L3972" s="12" t="s">
        <v>96</v>
      </c>
      <c r="M3972">
        <v>5.01</v>
      </c>
      <c r="N3972" s="12" t="s">
        <v>97</v>
      </c>
      <c r="O3972" s="12" t="s">
        <v>98</v>
      </c>
      <c r="P3972" s="12" t="s">
        <v>72</v>
      </c>
      <c r="Q3972" s="13">
        <v>45636</v>
      </c>
      <c r="R3972" s="13">
        <v>45665</v>
      </c>
      <c r="S3972">
        <v>2024</v>
      </c>
      <c r="T3972" s="12" t="s">
        <v>4841</v>
      </c>
      <c r="U3972">
        <v>296</v>
      </c>
      <c r="V3972">
        <v>100.28740000000001</v>
      </c>
      <c r="W3972">
        <v>757.9</v>
      </c>
      <c r="X3972">
        <v>0</v>
      </c>
      <c r="Y3972">
        <v>0</v>
      </c>
      <c r="Z3972">
        <v>29685.07</v>
      </c>
      <c r="AA3972">
        <v>30442.97</v>
      </c>
      <c r="AB3972" s="12" t="s">
        <v>2996</v>
      </c>
      <c r="AC3972">
        <v>100.28740000000001</v>
      </c>
      <c r="AD3972">
        <v>1</v>
      </c>
      <c r="AE3972">
        <v>1</v>
      </c>
      <c r="AF3972">
        <v>0</v>
      </c>
      <c r="AG3972">
        <v>29685.07</v>
      </c>
      <c r="AH3972">
        <v>296</v>
      </c>
      <c r="AI3972">
        <v>289</v>
      </c>
      <c r="AJ3972">
        <v>7</v>
      </c>
      <c r="AK3972">
        <v>1</v>
      </c>
      <c r="AL3972">
        <v>1</v>
      </c>
      <c r="AM3972">
        <v>97.64</v>
      </c>
      <c r="AN3972">
        <v>105.339</v>
      </c>
      <c r="AO3972">
        <v>702.01</v>
      </c>
      <c r="AP3972" s="13">
        <v>45665</v>
      </c>
      <c r="AQ3972">
        <v>0</v>
      </c>
      <c r="AR3972">
        <v>1</v>
      </c>
    </row>
    <row r="3973" spans="1:44" x14ac:dyDescent="0.35">
      <c r="A3973" s="12" t="s">
        <v>4897</v>
      </c>
      <c r="B3973" s="12" t="s">
        <v>284</v>
      </c>
      <c r="C3973" s="12" t="s">
        <v>285</v>
      </c>
      <c r="D3973" s="12" t="s">
        <v>269</v>
      </c>
      <c r="E3973" s="12" t="s">
        <v>104</v>
      </c>
      <c r="F3973">
        <v>3</v>
      </c>
      <c r="G3973">
        <v>1</v>
      </c>
      <c r="H3973">
        <v>0</v>
      </c>
      <c r="I3973" s="12" t="s">
        <v>199</v>
      </c>
      <c r="J3973" s="12" t="s">
        <v>200</v>
      </c>
      <c r="K3973" s="12" t="s">
        <v>68</v>
      </c>
      <c r="L3973" s="12" t="s">
        <v>96</v>
      </c>
      <c r="M3973">
        <v>9.4700000000000006</v>
      </c>
      <c r="N3973" s="12" t="s">
        <v>135</v>
      </c>
      <c r="O3973" s="12" t="s">
        <v>136</v>
      </c>
      <c r="P3973" s="12" t="s">
        <v>137</v>
      </c>
      <c r="Q3973" s="13">
        <v>45636</v>
      </c>
      <c r="R3973" s="13">
        <v>45652</v>
      </c>
      <c r="S3973">
        <v>2024</v>
      </c>
      <c r="T3973" s="12" t="s">
        <v>4841</v>
      </c>
      <c r="U3973">
        <v>44</v>
      </c>
      <c r="V3973">
        <v>384.13420000000002</v>
      </c>
      <c r="W3973">
        <v>430.53</v>
      </c>
      <c r="X3973">
        <v>0</v>
      </c>
      <c r="Y3973">
        <v>0</v>
      </c>
      <c r="Z3973">
        <v>16901.900000000001</v>
      </c>
      <c r="AA3973">
        <v>17332.43</v>
      </c>
      <c r="AB3973" s="12" t="s">
        <v>201</v>
      </c>
      <c r="AD3973">
        <v>0</v>
      </c>
      <c r="AE3973">
        <v>0</v>
      </c>
      <c r="AH3973">
        <v>44</v>
      </c>
      <c r="AI3973">
        <v>43</v>
      </c>
      <c r="AJ3973">
        <v>1</v>
      </c>
      <c r="AK3973">
        <v>1</v>
      </c>
      <c r="AL3973">
        <v>1</v>
      </c>
      <c r="AM3973">
        <v>97.73</v>
      </c>
      <c r="AN3973">
        <v>403.07990000000001</v>
      </c>
      <c r="AO3973">
        <v>384.13</v>
      </c>
      <c r="AP3973" s="13">
        <v>45660</v>
      </c>
      <c r="AQ3973">
        <v>8</v>
      </c>
      <c r="AR3973">
        <v>0</v>
      </c>
    </row>
    <row r="3974" spans="1:44" x14ac:dyDescent="0.35">
      <c r="A3974" s="12" t="s">
        <v>4898</v>
      </c>
      <c r="B3974" s="12" t="s">
        <v>399</v>
      </c>
      <c r="C3974" s="12" t="s">
        <v>400</v>
      </c>
      <c r="D3974" s="12" t="s">
        <v>114</v>
      </c>
      <c r="E3974" s="12" t="s">
        <v>65</v>
      </c>
      <c r="F3974">
        <v>1</v>
      </c>
      <c r="G3974">
        <v>2</v>
      </c>
      <c r="H3974">
        <v>1</v>
      </c>
      <c r="I3974" s="12" t="s">
        <v>151</v>
      </c>
      <c r="J3974" s="12" t="s">
        <v>152</v>
      </c>
      <c r="K3974" s="12" t="s">
        <v>125</v>
      </c>
      <c r="L3974" s="12" t="s">
        <v>69</v>
      </c>
      <c r="M3974">
        <v>36.479999999999997</v>
      </c>
      <c r="N3974" s="12" t="s">
        <v>97</v>
      </c>
      <c r="O3974" s="12" t="s">
        <v>98</v>
      </c>
      <c r="P3974" s="12" t="s">
        <v>72</v>
      </c>
      <c r="Q3974" s="13">
        <v>45636</v>
      </c>
      <c r="R3974" s="13">
        <v>45661</v>
      </c>
      <c r="S3974">
        <v>2024</v>
      </c>
      <c r="T3974" s="12" t="s">
        <v>4841</v>
      </c>
      <c r="U3974">
        <v>42</v>
      </c>
      <c r="V3974">
        <v>292.26440000000002</v>
      </c>
      <c r="W3974">
        <v>316.13</v>
      </c>
      <c r="X3974">
        <v>0</v>
      </c>
      <c r="Y3974">
        <v>0</v>
      </c>
      <c r="Z3974">
        <v>12275.1</v>
      </c>
      <c r="AA3974">
        <v>12591.23</v>
      </c>
      <c r="AB3974" s="12" t="s">
        <v>3009</v>
      </c>
      <c r="AC3974">
        <v>292.26440000000002</v>
      </c>
      <c r="AD3974">
        <v>1</v>
      </c>
      <c r="AE3974">
        <v>1</v>
      </c>
      <c r="AF3974">
        <v>0</v>
      </c>
      <c r="AG3974">
        <v>12275.1</v>
      </c>
      <c r="AH3974">
        <v>42</v>
      </c>
      <c r="AI3974">
        <v>41</v>
      </c>
      <c r="AJ3974">
        <v>1</v>
      </c>
      <c r="AK3974">
        <v>1</v>
      </c>
      <c r="AL3974">
        <v>1</v>
      </c>
      <c r="AM3974">
        <v>97.62</v>
      </c>
      <c r="AN3974">
        <v>307.10329999999999</v>
      </c>
      <c r="AO3974">
        <v>292.26</v>
      </c>
      <c r="AP3974" s="13">
        <v>45661</v>
      </c>
      <c r="AQ3974">
        <v>0</v>
      </c>
      <c r="AR3974">
        <v>1</v>
      </c>
    </row>
    <row r="3975" spans="1:44" x14ac:dyDescent="0.35">
      <c r="A3975" s="12" t="s">
        <v>4899</v>
      </c>
      <c r="B3975" s="12" t="s">
        <v>62</v>
      </c>
      <c r="C3975" s="12" t="s">
        <v>63</v>
      </c>
      <c r="D3975" s="12" t="s">
        <v>64</v>
      </c>
      <c r="E3975" s="12" t="s">
        <v>65</v>
      </c>
      <c r="F3975">
        <v>1</v>
      </c>
      <c r="G3975">
        <v>2</v>
      </c>
      <c r="H3975">
        <v>1</v>
      </c>
      <c r="I3975" s="12" t="s">
        <v>66</v>
      </c>
      <c r="J3975" s="12" t="s">
        <v>67</v>
      </c>
      <c r="K3975" s="12" t="s">
        <v>68</v>
      </c>
      <c r="L3975" s="12" t="s">
        <v>69</v>
      </c>
      <c r="M3975">
        <v>17.66</v>
      </c>
      <c r="N3975" s="12" t="s">
        <v>97</v>
      </c>
      <c r="O3975" s="12" t="s">
        <v>98</v>
      </c>
      <c r="P3975" s="12" t="s">
        <v>72</v>
      </c>
      <c r="Q3975" s="13">
        <v>45636</v>
      </c>
      <c r="R3975" s="13">
        <v>45662</v>
      </c>
      <c r="S3975">
        <v>2024</v>
      </c>
      <c r="T3975" s="12" t="s">
        <v>4841</v>
      </c>
      <c r="U3975">
        <v>373</v>
      </c>
      <c r="V3975">
        <v>27.0992</v>
      </c>
      <c r="W3975">
        <v>246.78</v>
      </c>
      <c r="X3975">
        <v>0</v>
      </c>
      <c r="Y3975">
        <v>0</v>
      </c>
      <c r="Z3975">
        <v>10108</v>
      </c>
      <c r="AA3975">
        <v>10354.780000000001</v>
      </c>
      <c r="AB3975" s="12" t="s">
        <v>201</v>
      </c>
      <c r="AD3975">
        <v>0</v>
      </c>
      <c r="AE3975">
        <v>0</v>
      </c>
      <c r="AH3975">
        <v>373</v>
      </c>
      <c r="AI3975">
        <v>372</v>
      </c>
      <c r="AJ3975">
        <v>1</v>
      </c>
      <c r="AK3975">
        <v>1</v>
      </c>
      <c r="AL3975">
        <v>1</v>
      </c>
      <c r="AM3975">
        <v>99.73</v>
      </c>
      <c r="AN3975">
        <v>27.8354</v>
      </c>
      <c r="AO3975">
        <v>27.1</v>
      </c>
      <c r="AP3975" s="13">
        <v>45662</v>
      </c>
      <c r="AQ3975">
        <v>0</v>
      </c>
      <c r="AR3975">
        <v>1</v>
      </c>
    </row>
    <row r="3976" spans="1:44" x14ac:dyDescent="0.35">
      <c r="A3976" s="12" t="s">
        <v>4900</v>
      </c>
      <c r="B3976" s="12" t="s">
        <v>555</v>
      </c>
      <c r="C3976" s="12" t="s">
        <v>556</v>
      </c>
      <c r="D3976" s="12" t="s">
        <v>114</v>
      </c>
      <c r="E3976" s="12" t="s">
        <v>142</v>
      </c>
      <c r="F3976">
        <v>1</v>
      </c>
      <c r="G3976">
        <v>6</v>
      </c>
      <c r="H3976">
        <v>1</v>
      </c>
      <c r="I3976" s="12" t="s">
        <v>151</v>
      </c>
      <c r="J3976" s="12" t="s">
        <v>152</v>
      </c>
      <c r="K3976" s="12" t="s">
        <v>125</v>
      </c>
      <c r="L3976" s="12" t="s">
        <v>69</v>
      </c>
      <c r="M3976">
        <v>36.479999999999997</v>
      </c>
      <c r="N3976" s="12" t="s">
        <v>70</v>
      </c>
      <c r="O3976" s="12" t="s">
        <v>71</v>
      </c>
      <c r="P3976" s="12" t="s">
        <v>72</v>
      </c>
      <c r="Q3976" s="13">
        <v>45636</v>
      </c>
      <c r="R3976" s="13">
        <v>45683</v>
      </c>
      <c r="S3976">
        <v>2024</v>
      </c>
      <c r="T3976" s="12" t="s">
        <v>4841</v>
      </c>
      <c r="U3976">
        <v>105</v>
      </c>
      <c r="V3976">
        <v>295.29020000000003</v>
      </c>
      <c r="W3976">
        <v>784.87</v>
      </c>
      <c r="X3976">
        <v>0</v>
      </c>
      <c r="Y3976">
        <v>0</v>
      </c>
      <c r="Z3976">
        <v>31005.47</v>
      </c>
      <c r="AA3976">
        <v>31790.34</v>
      </c>
      <c r="AB3976" s="12" t="s">
        <v>2922</v>
      </c>
      <c r="AC3976">
        <v>278.31920000000002</v>
      </c>
      <c r="AD3976">
        <v>1</v>
      </c>
      <c r="AE3976">
        <v>1</v>
      </c>
      <c r="AF3976">
        <v>1781.96</v>
      </c>
      <c r="AG3976">
        <v>29223.52</v>
      </c>
      <c r="AH3976">
        <v>105</v>
      </c>
      <c r="AI3976">
        <v>103</v>
      </c>
      <c r="AJ3976">
        <v>2</v>
      </c>
      <c r="AK3976">
        <v>1</v>
      </c>
      <c r="AL3976">
        <v>1</v>
      </c>
      <c r="AM3976">
        <v>98.1</v>
      </c>
      <c r="AN3976">
        <v>308.64409999999998</v>
      </c>
      <c r="AO3976">
        <v>590.58000000000004</v>
      </c>
      <c r="AP3976" s="13">
        <v>45682</v>
      </c>
      <c r="AQ3976">
        <v>-1</v>
      </c>
      <c r="AR3976">
        <v>1</v>
      </c>
    </row>
    <row r="3977" spans="1:44" x14ac:dyDescent="0.35">
      <c r="A3977" s="12" t="s">
        <v>4901</v>
      </c>
      <c r="B3977" s="12" t="s">
        <v>657</v>
      </c>
      <c r="C3977" s="12" t="s">
        <v>658</v>
      </c>
      <c r="D3977" s="12" t="s">
        <v>175</v>
      </c>
      <c r="E3977" s="12" t="s">
        <v>65</v>
      </c>
      <c r="F3977">
        <v>1</v>
      </c>
      <c r="G3977">
        <v>2</v>
      </c>
      <c r="H3977">
        <v>1</v>
      </c>
      <c r="I3977" s="12" t="s">
        <v>183</v>
      </c>
      <c r="J3977" s="12" t="s">
        <v>184</v>
      </c>
      <c r="K3977" s="12" t="s">
        <v>133</v>
      </c>
      <c r="L3977" s="12" t="s">
        <v>82</v>
      </c>
      <c r="M3977">
        <v>8.6199999999999992</v>
      </c>
      <c r="N3977" s="12" t="s">
        <v>107</v>
      </c>
      <c r="O3977" s="12" t="s">
        <v>108</v>
      </c>
      <c r="P3977" s="12" t="s">
        <v>109</v>
      </c>
      <c r="Q3977" s="13">
        <v>45636</v>
      </c>
      <c r="R3977" s="13">
        <v>45663</v>
      </c>
      <c r="S3977">
        <v>2024</v>
      </c>
      <c r="T3977" s="12" t="s">
        <v>4841</v>
      </c>
      <c r="U3977">
        <v>61</v>
      </c>
      <c r="V3977">
        <v>149.10310000000001</v>
      </c>
      <c r="W3977">
        <v>106.05</v>
      </c>
      <c r="X3977">
        <v>0</v>
      </c>
      <c r="Y3977">
        <v>0</v>
      </c>
      <c r="Z3977">
        <v>9095.2900000000009</v>
      </c>
      <c r="AA3977">
        <v>9201.34</v>
      </c>
      <c r="AB3977" s="12" t="s">
        <v>3525</v>
      </c>
      <c r="AC3977">
        <v>149.10310000000001</v>
      </c>
      <c r="AD3977">
        <v>1</v>
      </c>
      <c r="AE3977">
        <v>1</v>
      </c>
      <c r="AF3977">
        <v>0</v>
      </c>
      <c r="AG3977">
        <v>9095.2900000000009</v>
      </c>
      <c r="AH3977">
        <v>61</v>
      </c>
      <c r="AI3977">
        <v>61</v>
      </c>
      <c r="AJ3977">
        <v>0</v>
      </c>
      <c r="AK3977">
        <v>1</v>
      </c>
      <c r="AL3977">
        <v>1</v>
      </c>
      <c r="AM3977">
        <v>100</v>
      </c>
      <c r="AN3977">
        <v>150.8416</v>
      </c>
      <c r="AO3977">
        <v>0</v>
      </c>
      <c r="AP3977" s="13">
        <v>45663</v>
      </c>
      <c r="AQ3977">
        <v>0</v>
      </c>
      <c r="AR3977">
        <v>1</v>
      </c>
    </row>
    <row r="3978" spans="1:44" x14ac:dyDescent="0.35">
      <c r="A3978" s="12" t="s">
        <v>4902</v>
      </c>
      <c r="B3978" s="12" t="s">
        <v>732</v>
      </c>
      <c r="C3978" s="12" t="s">
        <v>733</v>
      </c>
      <c r="D3978" s="12" t="s">
        <v>114</v>
      </c>
      <c r="E3978" s="12" t="s">
        <v>104</v>
      </c>
      <c r="F3978">
        <v>3</v>
      </c>
      <c r="G3978">
        <v>1</v>
      </c>
      <c r="H3978">
        <v>0</v>
      </c>
      <c r="I3978" s="12" t="s">
        <v>199</v>
      </c>
      <c r="J3978" s="12" t="s">
        <v>200</v>
      </c>
      <c r="K3978" s="12" t="s">
        <v>68</v>
      </c>
      <c r="L3978" s="12" t="s">
        <v>96</v>
      </c>
      <c r="M3978">
        <v>9.4700000000000006</v>
      </c>
      <c r="N3978" s="12" t="s">
        <v>70</v>
      </c>
      <c r="O3978" s="12" t="s">
        <v>71</v>
      </c>
      <c r="P3978" s="12" t="s">
        <v>72</v>
      </c>
      <c r="Q3978" s="13">
        <v>45636</v>
      </c>
      <c r="R3978" s="13">
        <v>45655</v>
      </c>
      <c r="S3978">
        <v>2024</v>
      </c>
      <c r="T3978" s="12" t="s">
        <v>4841</v>
      </c>
      <c r="U3978">
        <v>66</v>
      </c>
      <c r="V3978">
        <v>304.28100000000001</v>
      </c>
      <c r="W3978">
        <v>140.78</v>
      </c>
      <c r="X3978">
        <v>0</v>
      </c>
      <c r="Y3978">
        <v>0</v>
      </c>
      <c r="Z3978">
        <v>20082.55</v>
      </c>
      <c r="AA3978">
        <v>20223.330000000002</v>
      </c>
      <c r="AB3978" s="12" t="s">
        <v>3295</v>
      </c>
      <c r="AC3978">
        <v>304.28100000000001</v>
      </c>
      <c r="AD3978">
        <v>1</v>
      </c>
      <c r="AE3978">
        <v>1</v>
      </c>
      <c r="AF3978">
        <v>0</v>
      </c>
      <c r="AG3978">
        <v>20082.55</v>
      </c>
      <c r="AH3978">
        <v>66</v>
      </c>
      <c r="AI3978">
        <v>65</v>
      </c>
      <c r="AJ3978">
        <v>1</v>
      </c>
      <c r="AK3978">
        <v>1</v>
      </c>
      <c r="AL3978">
        <v>1</v>
      </c>
      <c r="AM3978">
        <v>98.48</v>
      </c>
      <c r="AN3978">
        <v>311.12810000000002</v>
      </c>
      <c r="AO3978">
        <v>304.27999999999997</v>
      </c>
      <c r="AP3978" s="13">
        <v>45653</v>
      </c>
      <c r="AQ3978">
        <v>-2</v>
      </c>
      <c r="AR3978">
        <v>1</v>
      </c>
    </row>
    <row r="3979" spans="1:44" x14ac:dyDescent="0.35">
      <c r="A3979" s="12" t="s">
        <v>4903</v>
      </c>
      <c r="B3979" s="12" t="s">
        <v>362</v>
      </c>
      <c r="C3979" s="12" t="s">
        <v>363</v>
      </c>
      <c r="D3979" s="12" t="s">
        <v>78</v>
      </c>
      <c r="E3979" s="12" t="s">
        <v>104</v>
      </c>
      <c r="F3979">
        <v>3</v>
      </c>
      <c r="G3979">
        <v>0</v>
      </c>
      <c r="H3979">
        <v>0</v>
      </c>
      <c r="I3979" s="12" t="s">
        <v>105</v>
      </c>
      <c r="J3979" s="12" t="s">
        <v>106</v>
      </c>
      <c r="K3979" s="12" t="s">
        <v>81</v>
      </c>
      <c r="L3979" s="12" t="s">
        <v>96</v>
      </c>
      <c r="M3979">
        <v>5.01</v>
      </c>
      <c r="N3979" s="12" t="s">
        <v>97</v>
      </c>
      <c r="O3979" s="12" t="s">
        <v>98</v>
      </c>
      <c r="P3979" s="12" t="s">
        <v>72</v>
      </c>
      <c r="Q3979" s="13">
        <v>45636</v>
      </c>
      <c r="R3979" s="13">
        <v>45662</v>
      </c>
      <c r="S3979">
        <v>2024</v>
      </c>
      <c r="T3979" s="12" t="s">
        <v>4841</v>
      </c>
      <c r="U3979">
        <v>247</v>
      </c>
      <c r="V3979">
        <v>59.761699999999998</v>
      </c>
      <c r="W3979">
        <v>196.32</v>
      </c>
      <c r="X3979">
        <v>0</v>
      </c>
      <c r="Y3979">
        <v>0</v>
      </c>
      <c r="Z3979">
        <v>14761.14</v>
      </c>
      <c r="AA3979">
        <v>14957.46</v>
      </c>
      <c r="AB3979" s="12" t="s">
        <v>3906</v>
      </c>
      <c r="AC3979">
        <v>59.761699999999998</v>
      </c>
      <c r="AD3979">
        <v>1</v>
      </c>
      <c r="AE3979">
        <v>1</v>
      </c>
      <c r="AF3979">
        <v>0</v>
      </c>
      <c r="AG3979">
        <v>14761.14</v>
      </c>
      <c r="AH3979">
        <v>247</v>
      </c>
      <c r="AI3979">
        <v>245</v>
      </c>
      <c r="AJ3979">
        <v>2</v>
      </c>
      <c r="AK3979">
        <v>1</v>
      </c>
      <c r="AL3979">
        <v>1</v>
      </c>
      <c r="AM3979">
        <v>99.19</v>
      </c>
      <c r="AN3979">
        <v>61.050899999999999</v>
      </c>
      <c r="AO3979">
        <v>119.52</v>
      </c>
      <c r="AP3979" s="13">
        <v>45659</v>
      </c>
      <c r="AQ3979">
        <v>-3</v>
      </c>
      <c r="AR3979">
        <v>1</v>
      </c>
    </row>
    <row r="3980" spans="1:44" x14ac:dyDescent="0.35">
      <c r="A3980" s="12" t="s">
        <v>4904</v>
      </c>
      <c r="B3980" s="12" t="s">
        <v>255</v>
      </c>
      <c r="C3980" s="12" t="s">
        <v>256</v>
      </c>
      <c r="D3980" s="12" t="s">
        <v>103</v>
      </c>
      <c r="E3980" s="12" t="s">
        <v>65</v>
      </c>
      <c r="F3980">
        <v>2</v>
      </c>
      <c r="G3980">
        <v>4</v>
      </c>
      <c r="H3980">
        <v>0</v>
      </c>
      <c r="I3980" s="12" t="s">
        <v>251</v>
      </c>
      <c r="J3980" s="12" t="s">
        <v>252</v>
      </c>
      <c r="K3980" s="12" t="s">
        <v>133</v>
      </c>
      <c r="L3980" s="12" t="s">
        <v>69</v>
      </c>
      <c r="M3980">
        <v>34.49</v>
      </c>
      <c r="N3980" s="12" t="s">
        <v>145</v>
      </c>
      <c r="O3980" s="12" t="s">
        <v>146</v>
      </c>
      <c r="P3980" s="12" t="s">
        <v>109</v>
      </c>
      <c r="Q3980" s="13">
        <v>45636</v>
      </c>
      <c r="R3980" s="13">
        <v>45669</v>
      </c>
      <c r="S3980">
        <v>2024</v>
      </c>
      <c r="T3980" s="12" t="s">
        <v>4841</v>
      </c>
      <c r="U3980">
        <v>111</v>
      </c>
      <c r="V3980">
        <v>94.280900000000003</v>
      </c>
      <c r="W3980">
        <v>160.18</v>
      </c>
      <c r="X3980">
        <v>0</v>
      </c>
      <c r="Y3980">
        <v>0</v>
      </c>
      <c r="Z3980">
        <v>10465.18</v>
      </c>
      <c r="AA3980">
        <v>10625.36</v>
      </c>
      <c r="AB3980" s="12" t="s">
        <v>3720</v>
      </c>
      <c r="AC3980">
        <v>94.280900000000003</v>
      </c>
      <c r="AD3980">
        <v>1</v>
      </c>
      <c r="AE3980">
        <v>1</v>
      </c>
      <c r="AF3980">
        <v>0</v>
      </c>
      <c r="AG3980">
        <v>10465.18</v>
      </c>
      <c r="AH3980">
        <v>111</v>
      </c>
      <c r="AI3980">
        <v>110</v>
      </c>
      <c r="AJ3980">
        <v>1</v>
      </c>
      <c r="AK3980">
        <v>1</v>
      </c>
      <c r="AL3980">
        <v>1</v>
      </c>
      <c r="AM3980">
        <v>99.1</v>
      </c>
      <c r="AN3980">
        <v>96.594200000000001</v>
      </c>
      <c r="AO3980">
        <v>94.28</v>
      </c>
      <c r="AP3980" s="13">
        <v>45665</v>
      </c>
      <c r="AQ3980">
        <v>-4</v>
      </c>
      <c r="AR3980">
        <v>1</v>
      </c>
    </row>
    <row r="3981" spans="1:44" x14ac:dyDescent="0.35">
      <c r="A3981" s="12" t="s">
        <v>4905</v>
      </c>
      <c r="B3981" s="12" t="s">
        <v>736</v>
      </c>
      <c r="C3981" s="12" t="s">
        <v>737</v>
      </c>
      <c r="D3981" s="12" t="s">
        <v>64</v>
      </c>
      <c r="E3981" s="12" t="s">
        <v>104</v>
      </c>
      <c r="F3981">
        <v>3</v>
      </c>
      <c r="G3981">
        <v>1</v>
      </c>
      <c r="H3981">
        <v>0</v>
      </c>
      <c r="I3981" s="12" t="s">
        <v>115</v>
      </c>
      <c r="J3981" s="12" t="s">
        <v>116</v>
      </c>
      <c r="K3981" s="12" t="s">
        <v>117</v>
      </c>
      <c r="L3981" s="12" t="s">
        <v>82</v>
      </c>
      <c r="M3981">
        <v>17.170000000000002</v>
      </c>
      <c r="N3981" s="12" t="s">
        <v>97</v>
      </c>
      <c r="O3981" s="12" t="s">
        <v>98</v>
      </c>
      <c r="P3981" s="12" t="s">
        <v>72</v>
      </c>
      <c r="Q3981" s="13">
        <v>45636</v>
      </c>
      <c r="R3981" s="13">
        <v>45652</v>
      </c>
      <c r="S3981">
        <v>2024</v>
      </c>
      <c r="T3981" s="12" t="s">
        <v>4841</v>
      </c>
      <c r="U3981">
        <v>322</v>
      </c>
      <c r="V3981">
        <v>22.931699999999999</v>
      </c>
      <c r="W3981">
        <v>164.58</v>
      </c>
      <c r="X3981">
        <v>0</v>
      </c>
      <c r="Y3981">
        <v>0</v>
      </c>
      <c r="Z3981">
        <v>7384.01</v>
      </c>
      <c r="AA3981">
        <v>7548.59</v>
      </c>
      <c r="AB3981" s="12" t="s">
        <v>3876</v>
      </c>
      <c r="AC3981">
        <v>22.931699999999999</v>
      </c>
      <c r="AD3981">
        <v>1</v>
      </c>
      <c r="AE3981">
        <v>1</v>
      </c>
      <c r="AF3981">
        <v>0</v>
      </c>
      <c r="AG3981">
        <v>7384.01</v>
      </c>
      <c r="AH3981">
        <v>322</v>
      </c>
      <c r="AI3981">
        <v>319</v>
      </c>
      <c r="AJ3981">
        <v>3</v>
      </c>
      <c r="AK3981">
        <v>1</v>
      </c>
      <c r="AL3981">
        <v>1</v>
      </c>
      <c r="AM3981">
        <v>99.07</v>
      </c>
      <c r="AN3981">
        <v>23.6633</v>
      </c>
      <c r="AO3981">
        <v>68.8</v>
      </c>
      <c r="AP3981" s="13">
        <v>45649</v>
      </c>
      <c r="AQ3981">
        <v>-3</v>
      </c>
      <c r="AR3981">
        <v>1</v>
      </c>
    </row>
    <row r="3982" spans="1:44" x14ac:dyDescent="0.35">
      <c r="A3982" s="12" t="s">
        <v>4906</v>
      </c>
      <c r="B3982" s="12" t="s">
        <v>215</v>
      </c>
      <c r="C3982" s="12" t="s">
        <v>216</v>
      </c>
      <c r="D3982" s="12" t="s">
        <v>122</v>
      </c>
      <c r="E3982" s="12" t="s">
        <v>142</v>
      </c>
      <c r="F3982">
        <v>3</v>
      </c>
      <c r="G3982">
        <v>11</v>
      </c>
      <c r="H3982">
        <v>0</v>
      </c>
      <c r="I3982" s="12" t="s">
        <v>310</v>
      </c>
      <c r="J3982" s="12" t="s">
        <v>311</v>
      </c>
      <c r="K3982" s="12" t="s">
        <v>81</v>
      </c>
      <c r="L3982" s="12" t="s">
        <v>69</v>
      </c>
      <c r="M3982">
        <v>28.3</v>
      </c>
      <c r="N3982" s="12" t="s">
        <v>97</v>
      </c>
      <c r="O3982" s="12" t="s">
        <v>98</v>
      </c>
      <c r="P3982" s="12" t="s">
        <v>72</v>
      </c>
      <c r="Q3982" s="13">
        <v>45636</v>
      </c>
      <c r="R3982" s="13">
        <v>45676</v>
      </c>
      <c r="S3982">
        <v>2024</v>
      </c>
      <c r="T3982" s="12" t="s">
        <v>4841</v>
      </c>
      <c r="U3982">
        <v>763</v>
      </c>
      <c r="V3982">
        <v>16.7041</v>
      </c>
      <c r="W3982">
        <v>252.8</v>
      </c>
      <c r="X3982">
        <v>0</v>
      </c>
      <c r="Y3982">
        <v>0</v>
      </c>
      <c r="Z3982">
        <v>12745.23</v>
      </c>
      <c r="AA3982">
        <v>12998.03</v>
      </c>
      <c r="AB3982" s="12" t="s">
        <v>201</v>
      </c>
      <c r="AD3982">
        <v>0</v>
      </c>
      <c r="AE3982">
        <v>0</v>
      </c>
      <c r="AH3982">
        <v>763</v>
      </c>
      <c r="AI3982">
        <v>756</v>
      </c>
      <c r="AJ3982">
        <v>7</v>
      </c>
      <c r="AK3982">
        <v>1</v>
      </c>
      <c r="AL3982">
        <v>1</v>
      </c>
      <c r="AM3982">
        <v>99.08</v>
      </c>
      <c r="AN3982">
        <v>17.193200000000001</v>
      </c>
      <c r="AO3982">
        <v>116.93</v>
      </c>
      <c r="AP3982" s="13">
        <v>45674</v>
      </c>
      <c r="AQ3982">
        <v>-2</v>
      </c>
      <c r="AR3982">
        <v>1</v>
      </c>
    </row>
    <row r="3983" spans="1:44" x14ac:dyDescent="0.35">
      <c r="A3983" s="12" t="s">
        <v>4907</v>
      </c>
      <c r="B3983" s="12" t="s">
        <v>482</v>
      </c>
      <c r="C3983" s="12" t="s">
        <v>483</v>
      </c>
      <c r="D3983" s="12" t="s">
        <v>78</v>
      </c>
      <c r="E3983" s="12" t="s">
        <v>142</v>
      </c>
      <c r="F3983">
        <v>2</v>
      </c>
      <c r="G3983">
        <v>9</v>
      </c>
      <c r="H3983">
        <v>0</v>
      </c>
      <c r="I3983" s="12" t="s">
        <v>87</v>
      </c>
      <c r="J3983" s="12" t="s">
        <v>88</v>
      </c>
      <c r="K3983" s="12" t="s">
        <v>89</v>
      </c>
      <c r="L3983" s="12" t="s">
        <v>69</v>
      </c>
      <c r="M3983">
        <v>14.93</v>
      </c>
      <c r="N3983" s="12" t="s">
        <v>70</v>
      </c>
      <c r="O3983" s="12" t="s">
        <v>71</v>
      </c>
      <c r="P3983" s="12" t="s">
        <v>72</v>
      </c>
      <c r="Q3983" s="13">
        <v>45636</v>
      </c>
      <c r="R3983" s="13">
        <v>45676</v>
      </c>
      <c r="S3983">
        <v>2024</v>
      </c>
      <c r="T3983" s="12" t="s">
        <v>4841</v>
      </c>
      <c r="U3983">
        <v>121</v>
      </c>
      <c r="V3983">
        <v>47.101599999999998</v>
      </c>
      <c r="W3983">
        <v>48.06</v>
      </c>
      <c r="X3983">
        <v>0</v>
      </c>
      <c r="Y3983">
        <v>0</v>
      </c>
      <c r="Z3983">
        <v>5699.29</v>
      </c>
      <c r="AA3983">
        <v>5747.35</v>
      </c>
      <c r="AB3983" s="12" t="s">
        <v>3145</v>
      </c>
      <c r="AC3983">
        <v>47.101599999999998</v>
      </c>
      <c r="AD3983">
        <v>1</v>
      </c>
      <c r="AE3983">
        <v>1</v>
      </c>
      <c r="AF3983">
        <v>0</v>
      </c>
      <c r="AG3983">
        <v>5699.29</v>
      </c>
      <c r="AH3983">
        <v>121</v>
      </c>
      <c r="AI3983">
        <v>118</v>
      </c>
      <c r="AJ3983">
        <v>3</v>
      </c>
      <c r="AK3983">
        <v>1</v>
      </c>
      <c r="AL3983">
        <v>1</v>
      </c>
      <c r="AM3983">
        <v>97.52</v>
      </c>
      <c r="AN3983">
        <v>48.706400000000002</v>
      </c>
      <c r="AO3983">
        <v>141.30000000000001</v>
      </c>
      <c r="AP3983" s="13">
        <v>45673</v>
      </c>
      <c r="AQ3983">
        <v>-3</v>
      </c>
      <c r="AR3983">
        <v>1</v>
      </c>
    </row>
    <row r="3984" spans="1:44" x14ac:dyDescent="0.35">
      <c r="A3984" s="12" t="s">
        <v>4908</v>
      </c>
      <c r="B3984" s="12" t="s">
        <v>712</v>
      </c>
      <c r="C3984" s="12" t="s">
        <v>713</v>
      </c>
      <c r="D3984" s="12" t="s">
        <v>103</v>
      </c>
      <c r="E3984" s="12" t="s">
        <v>104</v>
      </c>
      <c r="F3984">
        <v>2</v>
      </c>
      <c r="G3984">
        <v>0</v>
      </c>
      <c r="H3984">
        <v>0</v>
      </c>
      <c r="I3984" s="12" t="s">
        <v>199</v>
      </c>
      <c r="J3984" s="12" t="s">
        <v>200</v>
      </c>
      <c r="K3984" s="12" t="s">
        <v>68</v>
      </c>
      <c r="L3984" s="12" t="s">
        <v>96</v>
      </c>
      <c r="M3984">
        <v>9.4700000000000006</v>
      </c>
      <c r="N3984" s="12" t="s">
        <v>145</v>
      </c>
      <c r="O3984" s="12" t="s">
        <v>146</v>
      </c>
      <c r="P3984" s="12" t="s">
        <v>109</v>
      </c>
      <c r="Q3984" s="13">
        <v>45636</v>
      </c>
      <c r="R3984" s="13">
        <v>45659</v>
      </c>
      <c r="S3984">
        <v>2024</v>
      </c>
      <c r="T3984" s="12" t="s">
        <v>4841</v>
      </c>
      <c r="U3984">
        <v>98</v>
      </c>
      <c r="V3984">
        <v>222.25550000000001</v>
      </c>
      <c r="W3984">
        <v>358.32</v>
      </c>
      <c r="X3984">
        <v>0</v>
      </c>
      <c r="Y3984">
        <v>0</v>
      </c>
      <c r="Z3984">
        <v>21781.040000000001</v>
      </c>
      <c r="AA3984">
        <v>22139.360000000001</v>
      </c>
      <c r="AB3984" s="12" t="s">
        <v>201</v>
      </c>
      <c r="AD3984">
        <v>0</v>
      </c>
      <c r="AE3984">
        <v>0</v>
      </c>
      <c r="AH3984">
        <v>98</v>
      </c>
      <c r="AI3984">
        <v>97</v>
      </c>
      <c r="AJ3984">
        <v>1</v>
      </c>
      <c r="AK3984">
        <v>1</v>
      </c>
      <c r="AL3984">
        <v>1</v>
      </c>
      <c r="AM3984">
        <v>98.98</v>
      </c>
      <c r="AN3984">
        <v>228.24080000000001</v>
      </c>
      <c r="AO3984">
        <v>222.26</v>
      </c>
      <c r="AP3984" s="13">
        <v>45658</v>
      </c>
      <c r="AQ3984">
        <v>-1</v>
      </c>
      <c r="AR3984">
        <v>1</v>
      </c>
    </row>
    <row r="3985" spans="1:44" x14ac:dyDescent="0.35">
      <c r="A3985" s="12" t="s">
        <v>4909</v>
      </c>
      <c r="B3985" s="12" t="s">
        <v>293</v>
      </c>
      <c r="C3985" s="12" t="s">
        <v>294</v>
      </c>
      <c r="D3985" s="12" t="s">
        <v>114</v>
      </c>
      <c r="E3985" s="12" t="s">
        <v>142</v>
      </c>
      <c r="F3985">
        <v>1</v>
      </c>
      <c r="G3985">
        <v>6</v>
      </c>
      <c r="H3985">
        <v>1</v>
      </c>
      <c r="I3985" s="12" t="s">
        <v>195</v>
      </c>
      <c r="J3985" s="12" t="s">
        <v>196</v>
      </c>
      <c r="K3985" s="12" t="s">
        <v>117</v>
      </c>
      <c r="L3985" s="12" t="s">
        <v>134</v>
      </c>
      <c r="M3985">
        <v>4.7699999999999996</v>
      </c>
      <c r="N3985" s="12" t="s">
        <v>97</v>
      </c>
      <c r="O3985" s="12" t="s">
        <v>98</v>
      </c>
      <c r="P3985" s="12" t="s">
        <v>72</v>
      </c>
      <c r="Q3985" s="13">
        <v>45636</v>
      </c>
      <c r="R3985" s="13">
        <v>45681</v>
      </c>
      <c r="S3985">
        <v>2024</v>
      </c>
      <c r="T3985" s="12" t="s">
        <v>4841</v>
      </c>
      <c r="U3985">
        <v>95</v>
      </c>
      <c r="V3985">
        <v>202.91499999999999</v>
      </c>
      <c r="W3985">
        <v>347.51</v>
      </c>
      <c r="X3985">
        <v>0</v>
      </c>
      <c r="Y3985">
        <v>0</v>
      </c>
      <c r="Z3985">
        <v>19276.93</v>
      </c>
      <c r="AA3985">
        <v>19624.439999999999</v>
      </c>
      <c r="AB3985" s="12" t="s">
        <v>2837</v>
      </c>
      <c r="AC3985">
        <v>202.91499999999999</v>
      </c>
      <c r="AD3985">
        <v>1</v>
      </c>
      <c r="AE3985">
        <v>1</v>
      </c>
      <c r="AF3985">
        <v>0</v>
      </c>
      <c r="AG3985">
        <v>19276.93</v>
      </c>
      <c r="AH3985">
        <v>95</v>
      </c>
      <c r="AI3985">
        <v>93</v>
      </c>
      <c r="AJ3985">
        <v>2</v>
      </c>
      <c r="AK3985">
        <v>1</v>
      </c>
      <c r="AL3985">
        <v>1</v>
      </c>
      <c r="AM3985">
        <v>97.89</v>
      </c>
      <c r="AN3985">
        <v>211.0154</v>
      </c>
      <c r="AO3985">
        <v>405.83</v>
      </c>
      <c r="AP3985" s="13">
        <v>45681</v>
      </c>
      <c r="AQ3985">
        <v>0</v>
      </c>
      <c r="AR3985">
        <v>1</v>
      </c>
    </row>
    <row r="3986" spans="1:44" x14ac:dyDescent="0.35">
      <c r="A3986" s="12" t="s">
        <v>4910</v>
      </c>
      <c r="B3986" s="12" t="s">
        <v>112</v>
      </c>
      <c r="C3986" s="12" t="s">
        <v>113</v>
      </c>
      <c r="D3986" s="12" t="s">
        <v>114</v>
      </c>
      <c r="E3986" s="12" t="s">
        <v>104</v>
      </c>
      <c r="F3986">
        <v>3</v>
      </c>
      <c r="G3986">
        <v>1</v>
      </c>
      <c r="H3986">
        <v>0</v>
      </c>
      <c r="I3986" s="12" t="s">
        <v>115</v>
      </c>
      <c r="J3986" s="12" t="s">
        <v>116</v>
      </c>
      <c r="K3986" s="12" t="s">
        <v>117</v>
      </c>
      <c r="L3986" s="12" t="s">
        <v>82</v>
      </c>
      <c r="M3986">
        <v>17.170000000000002</v>
      </c>
      <c r="N3986" s="12" t="s">
        <v>97</v>
      </c>
      <c r="O3986" s="12" t="s">
        <v>98</v>
      </c>
      <c r="P3986" s="12" t="s">
        <v>72</v>
      </c>
      <c r="Q3986" s="13">
        <v>45637</v>
      </c>
      <c r="R3986" s="13">
        <v>45664</v>
      </c>
      <c r="S3986">
        <v>2024</v>
      </c>
      <c r="T3986" s="12" t="s">
        <v>4841</v>
      </c>
      <c r="U3986">
        <v>128</v>
      </c>
      <c r="V3986">
        <v>260.83109999999999</v>
      </c>
      <c r="W3986">
        <v>559.82000000000005</v>
      </c>
      <c r="X3986">
        <v>0</v>
      </c>
      <c r="Y3986">
        <v>0</v>
      </c>
      <c r="Z3986">
        <v>33386.379999999997</v>
      </c>
      <c r="AA3986">
        <v>33946.199999999997</v>
      </c>
      <c r="AB3986" s="12" t="s">
        <v>3975</v>
      </c>
      <c r="AC3986">
        <v>260.83109999999999</v>
      </c>
      <c r="AD3986">
        <v>1</v>
      </c>
      <c r="AE3986">
        <v>1</v>
      </c>
      <c r="AF3986">
        <v>0</v>
      </c>
      <c r="AG3986">
        <v>33386.379999999997</v>
      </c>
      <c r="AH3986">
        <v>128</v>
      </c>
      <c r="AI3986">
        <v>125</v>
      </c>
      <c r="AJ3986">
        <v>3</v>
      </c>
      <c r="AK3986">
        <v>1</v>
      </c>
      <c r="AL3986">
        <v>1</v>
      </c>
      <c r="AM3986">
        <v>97.66</v>
      </c>
      <c r="AN3986">
        <v>271.56959999999998</v>
      </c>
      <c r="AO3986">
        <v>782.49</v>
      </c>
      <c r="AP3986" s="13">
        <v>45663</v>
      </c>
      <c r="AQ3986">
        <v>-1</v>
      </c>
      <c r="AR3986">
        <v>1</v>
      </c>
    </row>
    <row r="3987" spans="1:44" x14ac:dyDescent="0.35">
      <c r="A3987" s="12" t="s">
        <v>4911</v>
      </c>
      <c r="B3987" s="12" t="s">
        <v>399</v>
      </c>
      <c r="C3987" s="12" t="s">
        <v>400</v>
      </c>
      <c r="D3987" s="12" t="s">
        <v>114</v>
      </c>
      <c r="E3987" s="12" t="s">
        <v>65</v>
      </c>
      <c r="F3987">
        <v>1</v>
      </c>
      <c r="G3987">
        <v>2</v>
      </c>
      <c r="H3987">
        <v>1</v>
      </c>
      <c r="I3987" s="12" t="s">
        <v>151</v>
      </c>
      <c r="J3987" s="12" t="s">
        <v>152</v>
      </c>
      <c r="K3987" s="12" t="s">
        <v>125</v>
      </c>
      <c r="L3987" s="12" t="s">
        <v>69</v>
      </c>
      <c r="M3987">
        <v>36.479999999999997</v>
      </c>
      <c r="N3987" s="12" t="s">
        <v>70</v>
      </c>
      <c r="O3987" s="12" t="s">
        <v>71</v>
      </c>
      <c r="P3987" s="12" t="s">
        <v>72</v>
      </c>
      <c r="Q3987" s="13">
        <v>45637</v>
      </c>
      <c r="R3987" s="13">
        <v>45664</v>
      </c>
      <c r="S3987">
        <v>2024</v>
      </c>
      <c r="T3987" s="12" t="s">
        <v>4841</v>
      </c>
      <c r="U3987">
        <v>57</v>
      </c>
      <c r="V3987">
        <v>292.26440000000002</v>
      </c>
      <c r="W3987">
        <v>391.45</v>
      </c>
      <c r="X3987">
        <v>0</v>
      </c>
      <c r="Y3987">
        <v>0</v>
      </c>
      <c r="Z3987">
        <v>16659.07</v>
      </c>
      <c r="AA3987">
        <v>17050.52</v>
      </c>
      <c r="AB3987" s="12" t="s">
        <v>3009</v>
      </c>
      <c r="AC3987">
        <v>292.26440000000002</v>
      </c>
      <c r="AD3987">
        <v>1</v>
      </c>
      <c r="AE3987">
        <v>1</v>
      </c>
      <c r="AF3987">
        <v>0</v>
      </c>
      <c r="AG3987">
        <v>16659.07</v>
      </c>
      <c r="AH3987">
        <v>57</v>
      </c>
      <c r="AI3987">
        <v>57</v>
      </c>
      <c r="AJ3987">
        <v>0</v>
      </c>
      <c r="AK3987">
        <v>1</v>
      </c>
      <c r="AL3987">
        <v>1</v>
      </c>
      <c r="AM3987">
        <v>100</v>
      </c>
      <c r="AN3987">
        <v>299.13189999999997</v>
      </c>
      <c r="AO3987">
        <v>0</v>
      </c>
      <c r="AP3987" s="13">
        <v>45664</v>
      </c>
      <c r="AQ3987">
        <v>0</v>
      </c>
      <c r="AR3987">
        <v>1</v>
      </c>
    </row>
    <row r="3988" spans="1:44" x14ac:dyDescent="0.35">
      <c r="A3988" s="12" t="s">
        <v>4912</v>
      </c>
      <c r="B3988" s="12" t="s">
        <v>694</v>
      </c>
      <c r="C3988" s="12" t="s">
        <v>695</v>
      </c>
      <c r="D3988" s="12" t="s">
        <v>103</v>
      </c>
      <c r="E3988" s="12" t="s">
        <v>65</v>
      </c>
      <c r="F3988">
        <v>2</v>
      </c>
      <c r="G3988">
        <v>3</v>
      </c>
      <c r="H3988">
        <v>0</v>
      </c>
      <c r="I3988" s="12" t="s">
        <v>263</v>
      </c>
      <c r="J3988" s="12" t="s">
        <v>264</v>
      </c>
      <c r="K3988" s="12" t="s">
        <v>125</v>
      </c>
      <c r="L3988" s="12" t="s">
        <v>82</v>
      </c>
      <c r="M3988">
        <v>10.210000000000001</v>
      </c>
      <c r="N3988" s="12" t="s">
        <v>107</v>
      </c>
      <c r="O3988" s="12" t="s">
        <v>108</v>
      </c>
      <c r="P3988" s="12" t="s">
        <v>109</v>
      </c>
      <c r="Q3988" s="13">
        <v>45637</v>
      </c>
      <c r="R3988" s="13">
        <v>45667</v>
      </c>
      <c r="S3988">
        <v>2024</v>
      </c>
      <c r="T3988" s="12" t="s">
        <v>4841</v>
      </c>
      <c r="U3988">
        <v>81</v>
      </c>
      <c r="V3988">
        <v>211.1463</v>
      </c>
      <c r="W3988">
        <v>265.69</v>
      </c>
      <c r="X3988">
        <v>0</v>
      </c>
      <c r="Y3988">
        <v>0</v>
      </c>
      <c r="Z3988">
        <v>17102.849999999999</v>
      </c>
      <c r="AA3988">
        <v>17368.54</v>
      </c>
      <c r="AB3988" s="12" t="s">
        <v>3377</v>
      </c>
      <c r="AC3988">
        <v>211.1463</v>
      </c>
      <c r="AD3988">
        <v>1</v>
      </c>
      <c r="AE3988">
        <v>1</v>
      </c>
      <c r="AF3988">
        <v>0</v>
      </c>
      <c r="AG3988">
        <v>17102.849999999999</v>
      </c>
      <c r="AH3988">
        <v>81</v>
      </c>
      <c r="AI3988">
        <v>80</v>
      </c>
      <c r="AJ3988">
        <v>1</v>
      </c>
      <c r="AK3988">
        <v>1</v>
      </c>
      <c r="AL3988">
        <v>1</v>
      </c>
      <c r="AM3988">
        <v>98.77</v>
      </c>
      <c r="AN3988">
        <v>217.10679999999999</v>
      </c>
      <c r="AO3988">
        <v>211.15</v>
      </c>
      <c r="AP3988" s="13">
        <v>45665</v>
      </c>
      <c r="AQ3988">
        <v>-2</v>
      </c>
      <c r="AR3988">
        <v>1</v>
      </c>
    </row>
    <row r="3989" spans="1:44" x14ac:dyDescent="0.35">
      <c r="A3989" s="12" t="s">
        <v>4913</v>
      </c>
      <c r="B3989" s="12" t="s">
        <v>519</v>
      </c>
      <c r="C3989" s="12" t="s">
        <v>520</v>
      </c>
      <c r="D3989" s="12" t="s">
        <v>78</v>
      </c>
      <c r="E3989" s="12" t="s">
        <v>65</v>
      </c>
      <c r="F3989">
        <v>2</v>
      </c>
      <c r="G3989">
        <v>3</v>
      </c>
      <c r="H3989">
        <v>0</v>
      </c>
      <c r="I3989" s="12" t="s">
        <v>143</v>
      </c>
      <c r="J3989" s="12" t="s">
        <v>144</v>
      </c>
      <c r="K3989" s="12" t="s">
        <v>133</v>
      </c>
      <c r="L3989" s="12" t="s">
        <v>96</v>
      </c>
      <c r="M3989">
        <v>5.43</v>
      </c>
      <c r="N3989" s="12" t="s">
        <v>70</v>
      </c>
      <c r="O3989" s="12" t="s">
        <v>71</v>
      </c>
      <c r="P3989" s="12" t="s">
        <v>72</v>
      </c>
      <c r="Q3989" s="13">
        <v>45637</v>
      </c>
      <c r="R3989" s="13">
        <v>45669</v>
      </c>
      <c r="S3989">
        <v>2024</v>
      </c>
      <c r="T3989" s="12" t="s">
        <v>4841</v>
      </c>
      <c r="U3989">
        <v>210</v>
      </c>
      <c r="V3989">
        <v>31.831800000000001</v>
      </c>
      <c r="W3989">
        <v>45.72</v>
      </c>
      <c r="X3989">
        <v>0</v>
      </c>
      <c r="Y3989">
        <v>0</v>
      </c>
      <c r="Z3989">
        <v>6684.68</v>
      </c>
      <c r="AA3989">
        <v>6730.4</v>
      </c>
      <c r="AB3989" s="12" t="s">
        <v>3130</v>
      </c>
      <c r="AC3989">
        <v>30.1342</v>
      </c>
      <c r="AD3989">
        <v>1</v>
      </c>
      <c r="AE3989">
        <v>1</v>
      </c>
      <c r="AF3989">
        <v>356.5</v>
      </c>
      <c r="AG3989">
        <v>6328.18</v>
      </c>
      <c r="AH3989">
        <v>210</v>
      </c>
      <c r="AI3989">
        <v>205</v>
      </c>
      <c r="AJ3989">
        <v>5</v>
      </c>
      <c r="AK3989">
        <v>1</v>
      </c>
      <c r="AL3989">
        <v>1</v>
      </c>
      <c r="AM3989">
        <v>97.62</v>
      </c>
      <c r="AN3989">
        <v>32.831200000000003</v>
      </c>
      <c r="AO3989">
        <v>159.16</v>
      </c>
      <c r="AP3989" s="13">
        <v>45672</v>
      </c>
      <c r="AQ3989">
        <v>3</v>
      </c>
      <c r="AR3989">
        <v>0</v>
      </c>
    </row>
    <row r="3990" spans="1:44" x14ac:dyDescent="0.35">
      <c r="A3990" s="12" t="s">
        <v>4914</v>
      </c>
      <c r="B3990" s="12" t="s">
        <v>357</v>
      </c>
      <c r="C3990" s="12" t="s">
        <v>358</v>
      </c>
      <c r="D3990" s="12" t="s">
        <v>103</v>
      </c>
      <c r="E3990" s="12" t="s">
        <v>104</v>
      </c>
      <c r="F3990">
        <v>3</v>
      </c>
      <c r="G3990">
        <v>1</v>
      </c>
      <c r="H3990">
        <v>0</v>
      </c>
      <c r="I3990" s="12" t="s">
        <v>105</v>
      </c>
      <c r="J3990" s="12" t="s">
        <v>106</v>
      </c>
      <c r="K3990" s="12" t="s">
        <v>81</v>
      </c>
      <c r="L3990" s="12" t="s">
        <v>96</v>
      </c>
      <c r="M3990">
        <v>5.01</v>
      </c>
      <c r="N3990" s="12" t="s">
        <v>107</v>
      </c>
      <c r="O3990" s="12" t="s">
        <v>108</v>
      </c>
      <c r="P3990" s="12" t="s">
        <v>109</v>
      </c>
      <c r="Q3990" s="13">
        <v>45637</v>
      </c>
      <c r="R3990" s="13">
        <v>45651</v>
      </c>
      <c r="S3990">
        <v>2024</v>
      </c>
      <c r="T3990" s="12" t="s">
        <v>4841</v>
      </c>
      <c r="U3990">
        <v>28</v>
      </c>
      <c r="V3990">
        <v>106.6647</v>
      </c>
      <c r="W3990">
        <v>32.270000000000003</v>
      </c>
      <c r="X3990">
        <v>0</v>
      </c>
      <c r="Y3990">
        <v>0</v>
      </c>
      <c r="Z3990">
        <v>2986.61</v>
      </c>
      <c r="AA3990">
        <v>3018.88</v>
      </c>
      <c r="AB3990" s="12" t="s">
        <v>2591</v>
      </c>
      <c r="AC3990">
        <v>106.6647</v>
      </c>
      <c r="AD3990">
        <v>1</v>
      </c>
      <c r="AE3990">
        <v>1</v>
      </c>
      <c r="AF3990">
        <v>0</v>
      </c>
      <c r="AG3990">
        <v>2986.61</v>
      </c>
      <c r="AH3990">
        <v>28</v>
      </c>
      <c r="AI3990">
        <v>28</v>
      </c>
      <c r="AJ3990">
        <v>0</v>
      </c>
      <c r="AK3990">
        <v>1</v>
      </c>
      <c r="AL3990">
        <v>1</v>
      </c>
      <c r="AM3990">
        <v>100</v>
      </c>
      <c r="AN3990">
        <v>107.8172</v>
      </c>
      <c r="AO3990">
        <v>0</v>
      </c>
      <c r="AP3990" s="13">
        <v>45654</v>
      </c>
      <c r="AQ3990">
        <v>3</v>
      </c>
      <c r="AR3990">
        <v>0</v>
      </c>
    </row>
    <row r="3991" spans="1:44" x14ac:dyDescent="0.35">
      <c r="A3991" s="12" t="s">
        <v>4915</v>
      </c>
      <c r="B3991" s="12" t="s">
        <v>952</v>
      </c>
      <c r="C3991" s="12" t="s">
        <v>953</v>
      </c>
      <c r="D3991" s="12" t="s">
        <v>64</v>
      </c>
      <c r="E3991" s="12" t="s">
        <v>142</v>
      </c>
      <c r="F3991">
        <v>1</v>
      </c>
      <c r="G3991">
        <v>8</v>
      </c>
      <c r="H3991">
        <v>1</v>
      </c>
      <c r="I3991" s="12" t="s">
        <v>131</v>
      </c>
      <c r="J3991" s="12" t="s">
        <v>132</v>
      </c>
      <c r="K3991" s="12" t="s">
        <v>133</v>
      </c>
      <c r="L3991" s="12" t="s">
        <v>134</v>
      </c>
      <c r="M3991">
        <v>1.51</v>
      </c>
      <c r="N3991" s="12" t="s">
        <v>97</v>
      </c>
      <c r="O3991" s="12" t="s">
        <v>98</v>
      </c>
      <c r="P3991" s="12" t="s">
        <v>72</v>
      </c>
      <c r="Q3991" s="13">
        <v>45637</v>
      </c>
      <c r="R3991" s="13">
        <v>45675</v>
      </c>
      <c r="S3991">
        <v>2024</v>
      </c>
      <c r="T3991" s="12" t="s">
        <v>4841</v>
      </c>
      <c r="U3991">
        <v>250</v>
      </c>
      <c r="V3991">
        <v>31.110399999999998</v>
      </c>
      <c r="W3991">
        <v>102.41</v>
      </c>
      <c r="X3991">
        <v>239.38</v>
      </c>
      <c r="Y3991">
        <v>1</v>
      </c>
      <c r="Z3991">
        <v>7777.6</v>
      </c>
      <c r="AA3991">
        <v>8119.39</v>
      </c>
      <c r="AB3991" s="12" t="s">
        <v>3261</v>
      </c>
      <c r="AC3991">
        <v>31.110399999999998</v>
      </c>
      <c r="AD3991">
        <v>1</v>
      </c>
      <c r="AE3991">
        <v>1</v>
      </c>
      <c r="AF3991">
        <v>0</v>
      </c>
      <c r="AG3991">
        <v>7777.6</v>
      </c>
      <c r="AH3991">
        <v>250</v>
      </c>
      <c r="AI3991">
        <v>246</v>
      </c>
      <c r="AJ3991">
        <v>4</v>
      </c>
      <c r="AK3991">
        <v>1</v>
      </c>
      <c r="AL3991">
        <v>1</v>
      </c>
      <c r="AM3991">
        <v>98.4</v>
      </c>
      <c r="AN3991">
        <v>33.005699999999997</v>
      </c>
      <c r="AO3991">
        <v>124.44</v>
      </c>
      <c r="AP3991" s="13">
        <v>45672</v>
      </c>
      <c r="AQ3991">
        <v>-3</v>
      </c>
      <c r="AR3991">
        <v>1</v>
      </c>
    </row>
    <row r="3992" spans="1:44" x14ac:dyDescent="0.35">
      <c r="A3992" s="12" t="s">
        <v>4916</v>
      </c>
      <c r="B3992" s="12" t="s">
        <v>289</v>
      </c>
      <c r="C3992" s="12" t="s">
        <v>290</v>
      </c>
      <c r="D3992" s="12" t="s">
        <v>175</v>
      </c>
      <c r="E3992" s="12" t="s">
        <v>104</v>
      </c>
      <c r="F3992">
        <v>3</v>
      </c>
      <c r="G3992">
        <v>1</v>
      </c>
      <c r="H3992">
        <v>0</v>
      </c>
      <c r="I3992" s="12" t="s">
        <v>157</v>
      </c>
      <c r="J3992" s="12" t="s">
        <v>158</v>
      </c>
      <c r="K3992" s="12" t="s">
        <v>117</v>
      </c>
      <c r="L3992" s="12" t="s">
        <v>96</v>
      </c>
      <c r="M3992">
        <v>4.72</v>
      </c>
      <c r="N3992" s="12" t="s">
        <v>107</v>
      </c>
      <c r="O3992" s="12" t="s">
        <v>108</v>
      </c>
      <c r="P3992" s="12" t="s">
        <v>109</v>
      </c>
      <c r="Q3992" s="13">
        <v>45637</v>
      </c>
      <c r="R3992" s="13">
        <v>45651</v>
      </c>
      <c r="S3992">
        <v>2024</v>
      </c>
      <c r="T3992" s="12" t="s">
        <v>4841</v>
      </c>
      <c r="U3992">
        <v>26</v>
      </c>
      <c r="V3992">
        <v>184.24529999999999</v>
      </c>
      <c r="W3992">
        <v>75.430000000000007</v>
      </c>
      <c r="X3992">
        <v>0</v>
      </c>
      <c r="Y3992">
        <v>0</v>
      </c>
      <c r="Z3992">
        <v>4790.38</v>
      </c>
      <c r="AA3992">
        <v>4865.8100000000004</v>
      </c>
      <c r="AB3992" s="12" t="s">
        <v>2676</v>
      </c>
      <c r="AC3992">
        <v>184.24529999999999</v>
      </c>
      <c r="AD3992">
        <v>1</v>
      </c>
      <c r="AE3992">
        <v>1</v>
      </c>
      <c r="AF3992">
        <v>0</v>
      </c>
      <c r="AG3992">
        <v>4790.38</v>
      </c>
      <c r="AH3992">
        <v>26</v>
      </c>
      <c r="AI3992">
        <v>26</v>
      </c>
      <c r="AJ3992">
        <v>0</v>
      </c>
      <c r="AK3992">
        <v>1</v>
      </c>
      <c r="AL3992">
        <v>1</v>
      </c>
      <c r="AM3992">
        <v>100</v>
      </c>
      <c r="AN3992">
        <v>187.1465</v>
      </c>
      <c r="AO3992">
        <v>0</v>
      </c>
      <c r="AP3992" s="13">
        <v>45648</v>
      </c>
      <c r="AQ3992">
        <v>-3</v>
      </c>
      <c r="AR3992">
        <v>1</v>
      </c>
    </row>
    <row r="3993" spans="1:44" x14ac:dyDescent="0.35">
      <c r="A3993" s="12" t="s">
        <v>4917</v>
      </c>
      <c r="B3993" s="12" t="s">
        <v>494</v>
      </c>
      <c r="C3993" s="12" t="s">
        <v>495</v>
      </c>
      <c r="D3993" s="12" t="s">
        <v>175</v>
      </c>
      <c r="E3993" s="12" t="s">
        <v>65</v>
      </c>
      <c r="F3993">
        <v>2</v>
      </c>
      <c r="G3993">
        <v>3</v>
      </c>
      <c r="H3993">
        <v>0</v>
      </c>
      <c r="I3993" s="12" t="s">
        <v>515</v>
      </c>
      <c r="J3993" s="12" t="s">
        <v>516</v>
      </c>
      <c r="K3993" s="12" t="s">
        <v>68</v>
      </c>
      <c r="L3993" s="12" t="s">
        <v>134</v>
      </c>
      <c r="M3993">
        <v>3.69</v>
      </c>
      <c r="N3993" s="12" t="s">
        <v>145</v>
      </c>
      <c r="O3993" s="12" t="s">
        <v>146</v>
      </c>
      <c r="P3993" s="12" t="s">
        <v>109</v>
      </c>
      <c r="Q3993" s="13">
        <v>45637</v>
      </c>
      <c r="R3993" s="13">
        <v>45673</v>
      </c>
      <c r="S3993">
        <v>2024</v>
      </c>
      <c r="T3993" s="12" t="s">
        <v>4841</v>
      </c>
      <c r="U3993">
        <v>127</v>
      </c>
      <c r="V3993">
        <v>157.60329999999999</v>
      </c>
      <c r="W3993">
        <v>420.12</v>
      </c>
      <c r="X3993">
        <v>0</v>
      </c>
      <c r="Y3993">
        <v>0</v>
      </c>
      <c r="Z3993">
        <v>20015.62</v>
      </c>
      <c r="AA3993">
        <v>20435.740000000002</v>
      </c>
      <c r="AB3993" s="12" t="s">
        <v>2807</v>
      </c>
      <c r="AC3993">
        <v>157.60329999999999</v>
      </c>
      <c r="AD3993">
        <v>1</v>
      </c>
      <c r="AE3993">
        <v>1</v>
      </c>
      <c r="AF3993">
        <v>0</v>
      </c>
      <c r="AG3993">
        <v>20015.62</v>
      </c>
      <c r="AH3993">
        <v>127</v>
      </c>
      <c r="AI3993">
        <v>127</v>
      </c>
      <c r="AJ3993">
        <v>0</v>
      </c>
      <c r="AK3993">
        <v>1</v>
      </c>
      <c r="AL3993">
        <v>1</v>
      </c>
      <c r="AM3993">
        <v>100</v>
      </c>
      <c r="AN3993">
        <v>160.91130000000001</v>
      </c>
      <c r="AO3993">
        <v>0</v>
      </c>
      <c r="AP3993" s="13">
        <v>45670</v>
      </c>
      <c r="AQ3993">
        <v>-3</v>
      </c>
      <c r="AR3993">
        <v>1</v>
      </c>
    </row>
    <row r="3994" spans="1:44" x14ac:dyDescent="0.35">
      <c r="A3994" s="12" t="s">
        <v>4918</v>
      </c>
      <c r="B3994" s="12" t="s">
        <v>428</v>
      </c>
      <c r="C3994" s="12" t="s">
        <v>429</v>
      </c>
      <c r="D3994" s="12" t="s">
        <v>64</v>
      </c>
      <c r="E3994" s="12" t="s">
        <v>65</v>
      </c>
      <c r="F3994">
        <v>3</v>
      </c>
      <c r="G3994">
        <v>4</v>
      </c>
      <c r="H3994">
        <v>0</v>
      </c>
      <c r="I3994" s="12" t="s">
        <v>105</v>
      </c>
      <c r="J3994" s="12" t="s">
        <v>106</v>
      </c>
      <c r="K3994" s="12" t="s">
        <v>81</v>
      </c>
      <c r="L3994" s="12" t="s">
        <v>96</v>
      </c>
      <c r="M3994">
        <v>5.01</v>
      </c>
      <c r="N3994" s="12" t="s">
        <v>97</v>
      </c>
      <c r="O3994" s="12" t="s">
        <v>98</v>
      </c>
      <c r="P3994" s="12" t="s">
        <v>72</v>
      </c>
      <c r="Q3994" s="13">
        <v>45637</v>
      </c>
      <c r="R3994" s="13">
        <v>45669</v>
      </c>
      <c r="S3994">
        <v>2024</v>
      </c>
      <c r="T3994" s="12" t="s">
        <v>4841</v>
      </c>
      <c r="U3994">
        <v>661</v>
      </c>
      <c r="V3994">
        <v>13.953099999999999</v>
      </c>
      <c r="W3994">
        <v>78.19</v>
      </c>
      <c r="X3994">
        <v>0</v>
      </c>
      <c r="Y3994">
        <v>0</v>
      </c>
      <c r="Z3994">
        <v>9223</v>
      </c>
      <c r="AA3994">
        <v>9301.19</v>
      </c>
      <c r="AB3994" s="12" t="s">
        <v>3004</v>
      </c>
      <c r="AC3994">
        <v>13.953099999999999</v>
      </c>
      <c r="AD3994">
        <v>1</v>
      </c>
      <c r="AE3994">
        <v>1</v>
      </c>
      <c r="AF3994">
        <v>0</v>
      </c>
      <c r="AG3994">
        <v>9223</v>
      </c>
      <c r="AH3994">
        <v>661</v>
      </c>
      <c r="AI3994">
        <v>655</v>
      </c>
      <c r="AJ3994">
        <v>6</v>
      </c>
      <c r="AK3994">
        <v>1</v>
      </c>
      <c r="AL3994">
        <v>1</v>
      </c>
      <c r="AM3994">
        <v>99.09</v>
      </c>
      <c r="AN3994">
        <v>14.2003</v>
      </c>
      <c r="AO3994">
        <v>83.72</v>
      </c>
      <c r="AP3994" s="13">
        <v>45668</v>
      </c>
      <c r="AQ3994">
        <v>-1</v>
      </c>
      <c r="AR3994">
        <v>1</v>
      </c>
    </row>
    <row r="3995" spans="1:44" x14ac:dyDescent="0.35">
      <c r="A3995" s="12" t="s">
        <v>4919</v>
      </c>
      <c r="B3995" s="12" t="s">
        <v>565</v>
      </c>
      <c r="C3995" s="12" t="s">
        <v>566</v>
      </c>
      <c r="D3995" s="12" t="s">
        <v>122</v>
      </c>
      <c r="E3995" s="12" t="s">
        <v>104</v>
      </c>
      <c r="F3995">
        <v>3</v>
      </c>
      <c r="G3995">
        <v>1</v>
      </c>
      <c r="H3995">
        <v>0</v>
      </c>
      <c r="I3995" s="12" t="s">
        <v>87</v>
      </c>
      <c r="J3995" s="12" t="s">
        <v>88</v>
      </c>
      <c r="K3995" s="12" t="s">
        <v>89</v>
      </c>
      <c r="L3995" s="12" t="s">
        <v>69</v>
      </c>
      <c r="M3995">
        <v>14.93</v>
      </c>
      <c r="N3995" s="12" t="s">
        <v>97</v>
      </c>
      <c r="O3995" s="12" t="s">
        <v>98</v>
      </c>
      <c r="P3995" s="12" t="s">
        <v>72</v>
      </c>
      <c r="Q3995" s="13">
        <v>45638</v>
      </c>
      <c r="R3995" s="13">
        <v>45663</v>
      </c>
      <c r="S3995">
        <v>2024</v>
      </c>
      <c r="T3995" s="12" t="s">
        <v>4841</v>
      </c>
      <c r="U3995">
        <v>1551</v>
      </c>
      <c r="V3995">
        <v>32.658499999999997</v>
      </c>
      <c r="W3995">
        <v>775.26</v>
      </c>
      <c r="X3995">
        <v>0</v>
      </c>
      <c r="Y3995">
        <v>0</v>
      </c>
      <c r="Z3995">
        <v>50653.33</v>
      </c>
      <c r="AA3995">
        <v>51428.59</v>
      </c>
      <c r="AB3995" s="12" t="s">
        <v>3238</v>
      </c>
      <c r="AC3995">
        <v>34.7179</v>
      </c>
      <c r="AD3995">
        <v>1</v>
      </c>
      <c r="AE3995">
        <v>1</v>
      </c>
      <c r="AF3995">
        <v>-3194.13</v>
      </c>
      <c r="AG3995">
        <v>53847.46</v>
      </c>
      <c r="AH3995">
        <v>1551</v>
      </c>
      <c r="AI3995">
        <v>1541</v>
      </c>
      <c r="AJ3995">
        <v>10</v>
      </c>
      <c r="AK3995">
        <v>1</v>
      </c>
      <c r="AL3995">
        <v>1</v>
      </c>
      <c r="AM3995">
        <v>99.36</v>
      </c>
      <c r="AN3995">
        <v>33.3735</v>
      </c>
      <c r="AO3995">
        <v>326.58999999999997</v>
      </c>
      <c r="AP3995" s="13">
        <v>45661</v>
      </c>
      <c r="AQ3995">
        <v>-2</v>
      </c>
      <c r="AR3995">
        <v>1</v>
      </c>
    </row>
    <row r="3996" spans="1:44" x14ac:dyDescent="0.35">
      <c r="A3996" s="12" t="s">
        <v>4920</v>
      </c>
      <c r="B3996" s="12" t="s">
        <v>412</v>
      </c>
      <c r="C3996" s="12" t="s">
        <v>413</v>
      </c>
      <c r="D3996" s="12" t="s">
        <v>269</v>
      </c>
      <c r="E3996" s="12" t="s">
        <v>65</v>
      </c>
      <c r="F3996">
        <v>1</v>
      </c>
      <c r="G3996">
        <v>2</v>
      </c>
      <c r="H3996">
        <v>1</v>
      </c>
      <c r="I3996" s="12" t="s">
        <v>233</v>
      </c>
      <c r="J3996" s="12" t="s">
        <v>234</v>
      </c>
      <c r="K3996" s="12" t="s">
        <v>125</v>
      </c>
      <c r="L3996" s="12" t="s">
        <v>96</v>
      </c>
      <c r="M3996">
        <v>3.73</v>
      </c>
      <c r="N3996" s="12" t="s">
        <v>159</v>
      </c>
      <c r="O3996" s="12" t="s">
        <v>160</v>
      </c>
      <c r="P3996" s="12" t="s">
        <v>137</v>
      </c>
      <c r="Q3996" s="13">
        <v>45638</v>
      </c>
      <c r="R3996" s="13">
        <v>45665</v>
      </c>
      <c r="S3996">
        <v>2024</v>
      </c>
      <c r="T3996" s="12" t="s">
        <v>4841</v>
      </c>
      <c r="U3996">
        <v>63</v>
      </c>
      <c r="V3996">
        <v>104.17829999999999</v>
      </c>
      <c r="W3996">
        <v>114.38</v>
      </c>
      <c r="X3996">
        <v>199.56</v>
      </c>
      <c r="Y3996">
        <v>1</v>
      </c>
      <c r="Z3996">
        <v>6563.23</v>
      </c>
      <c r="AA3996">
        <v>6877.17</v>
      </c>
      <c r="AB3996" s="12" t="s">
        <v>3056</v>
      </c>
      <c r="AC3996">
        <v>104.17829999999999</v>
      </c>
      <c r="AD3996">
        <v>1</v>
      </c>
      <c r="AE3996">
        <v>1</v>
      </c>
      <c r="AF3996">
        <v>0</v>
      </c>
      <c r="AG3996">
        <v>6563.23</v>
      </c>
      <c r="AH3996">
        <v>63</v>
      </c>
      <c r="AI3996">
        <v>62</v>
      </c>
      <c r="AJ3996">
        <v>1</v>
      </c>
      <c r="AK3996">
        <v>1</v>
      </c>
      <c r="AL3996">
        <v>1</v>
      </c>
      <c r="AM3996">
        <v>98.41</v>
      </c>
      <c r="AN3996">
        <v>110.9221</v>
      </c>
      <c r="AO3996">
        <v>104.18</v>
      </c>
      <c r="AP3996" s="13">
        <v>45665</v>
      </c>
      <c r="AQ3996">
        <v>0</v>
      </c>
      <c r="AR3996">
        <v>1</v>
      </c>
    </row>
    <row r="3997" spans="1:44" x14ac:dyDescent="0.35">
      <c r="A3997" s="12" t="s">
        <v>4921</v>
      </c>
      <c r="B3997" s="12" t="s">
        <v>609</v>
      </c>
      <c r="C3997" s="12" t="s">
        <v>610</v>
      </c>
      <c r="D3997" s="12" t="s">
        <v>64</v>
      </c>
      <c r="E3997" s="12" t="s">
        <v>104</v>
      </c>
      <c r="F3997">
        <v>1</v>
      </c>
      <c r="G3997">
        <v>0</v>
      </c>
      <c r="H3997">
        <v>1</v>
      </c>
      <c r="I3997" s="12" t="s">
        <v>227</v>
      </c>
      <c r="J3997" s="12" t="s">
        <v>228</v>
      </c>
      <c r="K3997" s="12" t="s">
        <v>89</v>
      </c>
      <c r="L3997" s="12" t="s">
        <v>96</v>
      </c>
      <c r="M3997">
        <v>9.15</v>
      </c>
      <c r="N3997" s="12" t="s">
        <v>97</v>
      </c>
      <c r="O3997" s="12" t="s">
        <v>98</v>
      </c>
      <c r="P3997" s="12" t="s">
        <v>72</v>
      </c>
      <c r="Q3997" s="13">
        <v>45638</v>
      </c>
      <c r="R3997" s="13">
        <v>45667</v>
      </c>
      <c r="S3997">
        <v>2024</v>
      </c>
      <c r="T3997" s="12" t="s">
        <v>4841</v>
      </c>
      <c r="U3997">
        <v>958</v>
      </c>
      <c r="V3997">
        <v>19.4664</v>
      </c>
      <c r="W3997">
        <v>381.74</v>
      </c>
      <c r="X3997">
        <v>0</v>
      </c>
      <c r="Y3997">
        <v>0</v>
      </c>
      <c r="Z3997">
        <v>18648.810000000001</v>
      </c>
      <c r="AA3997">
        <v>19030.55</v>
      </c>
      <c r="AB3997" s="12" t="s">
        <v>3349</v>
      </c>
      <c r="AC3997">
        <v>20.698799999999999</v>
      </c>
      <c r="AD3997">
        <v>1</v>
      </c>
      <c r="AE3997">
        <v>1</v>
      </c>
      <c r="AF3997">
        <v>-1180.6400000000001</v>
      </c>
      <c r="AG3997">
        <v>19829.45</v>
      </c>
      <c r="AH3997">
        <v>958</v>
      </c>
      <c r="AI3997">
        <v>947</v>
      </c>
      <c r="AJ3997">
        <v>11</v>
      </c>
      <c r="AK3997">
        <v>1</v>
      </c>
      <c r="AL3997">
        <v>1</v>
      </c>
      <c r="AM3997">
        <v>98.85</v>
      </c>
      <c r="AN3997">
        <v>20.095600000000001</v>
      </c>
      <c r="AO3997">
        <v>214.13</v>
      </c>
      <c r="AP3997" s="13">
        <v>45667</v>
      </c>
      <c r="AQ3997">
        <v>0</v>
      </c>
      <c r="AR3997">
        <v>1</v>
      </c>
    </row>
    <row r="3998" spans="1:44" x14ac:dyDescent="0.35">
      <c r="A3998" s="12" t="s">
        <v>4922</v>
      </c>
      <c r="B3998" s="12" t="s">
        <v>395</v>
      </c>
      <c r="C3998" s="12" t="s">
        <v>396</v>
      </c>
      <c r="D3998" s="12" t="s">
        <v>130</v>
      </c>
      <c r="E3998" s="12" t="s">
        <v>104</v>
      </c>
      <c r="F3998">
        <v>3</v>
      </c>
      <c r="G3998">
        <v>1</v>
      </c>
      <c r="H3998">
        <v>0</v>
      </c>
      <c r="I3998" s="12" t="s">
        <v>341</v>
      </c>
      <c r="J3998" s="12" t="s">
        <v>342</v>
      </c>
      <c r="K3998" s="12" t="s">
        <v>117</v>
      </c>
      <c r="L3998" s="12" t="s">
        <v>82</v>
      </c>
      <c r="M3998">
        <v>18.36</v>
      </c>
      <c r="N3998" s="12" t="s">
        <v>159</v>
      </c>
      <c r="O3998" s="12" t="s">
        <v>160</v>
      </c>
      <c r="P3998" s="12" t="s">
        <v>137</v>
      </c>
      <c r="Q3998" s="13">
        <v>45638</v>
      </c>
      <c r="R3998" s="13">
        <v>45666</v>
      </c>
      <c r="S3998">
        <v>2024</v>
      </c>
      <c r="T3998" s="12" t="s">
        <v>4841</v>
      </c>
      <c r="U3998">
        <v>139</v>
      </c>
      <c r="V3998">
        <v>174.20429999999999</v>
      </c>
      <c r="W3998">
        <v>302.70999999999998</v>
      </c>
      <c r="X3998">
        <v>0</v>
      </c>
      <c r="Y3998">
        <v>0</v>
      </c>
      <c r="Z3998">
        <v>24214.400000000001</v>
      </c>
      <c r="AA3998">
        <v>24517.11</v>
      </c>
      <c r="AB3998" s="12" t="s">
        <v>2742</v>
      </c>
      <c r="AC3998">
        <v>174.20429999999999</v>
      </c>
      <c r="AD3998">
        <v>1</v>
      </c>
      <c r="AE3998">
        <v>1</v>
      </c>
      <c r="AF3998">
        <v>0</v>
      </c>
      <c r="AG3998">
        <v>24214.400000000001</v>
      </c>
      <c r="AH3998">
        <v>139</v>
      </c>
      <c r="AI3998">
        <v>137</v>
      </c>
      <c r="AJ3998">
        <v>2</v>
      </c>
      <c r="AK3998">
        <v>1</v>
      </c>
      <c r="AL3998">
        <v>1</v>
      </c>
      <c r="AM3998">
        <v>98.56</v>
      </c>
      <c r="AN3998">
        <v>178.95699999999999</v>
      </c>
      <c r="AO3998">
        <v>348.41</v>
      </c>
      <c r="AP3998" s="13">
        <v>45663</v>
      </c>
      <c r="AQ3998">
        <v>-3</v>
      </c>
      <c r="AR3998">
        <v>1</v>
      </c>
    </row>
    <row r="3999" spans="1:44" x14ac:dyDescent="0.35">
      <c r="A3999" s="12" t="s">
        <v>4923</v>
      </c>
      <c r="B3999" s="12" t="s">
        <v>442</v>
      </c>
      <c r="C3999" s="12" t="s">
        <v>443</v>
      </c>
      <c r="D3999" s="12" t="s">
        <v>130</v>
      </c>
      <c r="E3999" s="12" t="s">
        <v>65</v>
      </c>
      <c r="F3999">
        <v>3</v>
      </c>
      <c r="G3999">
        <v>4</v>
      </c>
      <c r="H3999">
        <v>0</v>
      </c>
      <c r="I3999" s="12" t="s">
        <v>251</v>
      </c>
      <c r="J3999" s="12" t="s">
        <v>252</v>
      </c>
      <c r="K3999" s="12" t="s">
        <v>133</v>
      </c>
      <c r="L3999" s="12" t="s">
        <v>69</v>
      </c>
      <c r="M3999">
        <v>34.49</v>
      </c>
      <c r="N3999" s="12" t="s">
        <v>135</v>
      </c>
      <c r="O3999" s="12" t="s">
        <v>136</v>
      </c>
      <c r="P3999" s="12" t="s">
        <v>137</v>
      </c>
      <c r="Q3999" s="13">
        <v>45638</v>
      </c>
      <c r="R3999" s="13">
        <v>45663</v>
      </c>
      <c r="S3999">
        <v>2024</v>
      </c>
      <c r="T3999" s="12" t="s">
        <v>4841</v>
      </c>
      <c r="U3999">
        <v>44</v>
      </c>
      <c r="V3999">
        <v>583.43499999999995</v>
      </c>
      <c r="W3999">
        <v>565.45000000000005</v>
      </c>
      <c r="X3999">
        <v>0</v>
      </c>
      <c r="Y3999">
        <v>0</v>
      </c>
      <c r="Z3999">
        <v>25671.14</v>
      </c>
      <c r="AA3999">
        <v>26236.59</v>
      </c>
      <c r="AB3999" s="12" t="s">
        <v>3116</v>
      </c>
      <c r="AC3999">
        <v>560.57730000000004</v>
      </c>
      <c r="AD3999">
        <v>1</v>
      </c>
      <c r="AE3999">
        <v>1</v>
      </c>
      <c r="AF3999">
        <v>1005.74</v>
      </c>
      <c r="AG3999">
        <v>24665.4</v>
      </c>
      <c r="AH3999">
        <v>44</v>
      </c>
      <c r="AI3999">
        <v>44</v>
      </c>
      <c r="AJ3999">
        <v>0</v>
      </c>
      <c r="AK3999">
        <v>1</v>
      </c>
      <c r="AL3999">
        <v>1</v>
      </c>
      <c r="AM3999">
        <v>100</v>
      </c>
      <c r="AN3999">
        <v>596.28610000000003</v>
      </c>
      <c r="AO3999">
        <v>0</v>
      </c>
      <c r="AP3999" s="13">
        <v>45660</v>
      </c>
      <c r="AQ3999">
        <v>-3</v>
      </c>
      <c r="AR3999">
        <v>1</v>
      </c>
    </row>
    <row r="4000" spans="1:44" x14ac:dyDescent="0.35">
      <c r="A4000" s="12" t="s">
        <v>4924</v>
      </c>
      <c r="B4000" s="12" t="s">
        <v>490</v>
      </c>
      <c r="C4000" s="12" t="s">
        <v>491</v>
      </c>
      <c r="D4000" s="12" t="s">
        <v>130</v>
      </c>
      <c r="E4000" s="12" t="s">
        <v>104</v>
      </c>
      <c r="F4000">
        <v>3</v>
      </c>
      <c r="G4000">
        <v>1</v>
      </c>
      <c r="H4000">
        <v>0</v>
      </c>
      <c r="I4000" s="12" t="s">
        <v>243</v>
      </c>
      <c r="J4000" s="12" t="s">
        <v>244</v>
      </c>
      <c r="K4000" s="12" t="s">
        <v>81</v>
      </c>
      <c r="L4000" s="12" t="s">
        <v>82</v>
      </c>
      <c r="M4000">
        <v>9.2200000000000006</v>
      </c>
      <c r="N4000" s="12" t="s">
        <v>159</v>
      </c>
      <c r="O4000" s="12" t="s">
        <v>160</v>
      </c>
      <c r="P4000" s="12" t="s">
        <v>137</v>
      </c>
      <c r="Q4000" s="13">
        <v>45638</v>
      </c>
      <c r="R4000" s="13">
        <v>45662</v>
      </c>
      <c r="S4000">
        <v>2024</v>
      </c>
      <c r="T4000" s="12" t="s">
        <v>4841</v>
      </c>
      <c r="U4000">
        <v>106</v>
      </c>
      <c r="V4000">
        <v>331.49369999999999</v>
      </c>
      <c r="W4000">
        <v>674.06</v>
      </c>
      <c r="X4000">
        <v>0</v>
      </c>
      <c r="Y4000">
        <v>0</v>
      </c>
      <c r="Z4000">
        <v>35138.33</v>
      </c>
      <c r="AA4000">
        <v>35812.39</v>
      </c>
      <c r="AB4000" s="12" t="s">
        <v>201</v>
      </c>
      <c r="AD4000">
        <v>0</v>
      </c>
      <c r="AE4000">
        <v>0</v>
      </c>
      <c r="AH4000">
        <v>106</v>
      </c>
      <c r="AI4000">
        <v>105</v>
      </c>
      <c r="AJ4000">
        <v>1</v>
      </c>
      <c r="AK4000">
        <v>1</v>
      </c>
      <c r="AL4000">
        <v>1</v>
      </c>
      <c r="AM4000">
        <v>99.06</v>
      </c>
      <c r="AN4000">
        <v>341.07040000000001</v>
      </c>
      <c r="AO4000">
        <v>331.49</v>
      </c>
      <c r="AP4000" s="13">
        <v>45662</v>
      </c>
      <c r="AQ4000">
        <v>0</v>
      </c>
      <c r="AR4000">
        <v>1</v>
      </c>
    </row>
    <row r="4001" spans="1:44" x14ac:dyDescent="0.35">
      <c r="A4001" s="12" t="s">
        <v>4925</v>
      </c>
      <c r="B4001" s="12" t="s">
        <v>957</v>
      </c>
      <c r="C4001" s="12" t="s">
        <v>958</v>
      </c>
      <c r="D4001" s="12" t="s">
        <v>103</v>
      </c>
      <c r="E4001" s="12" t="s">
        <v>142</v>
      </c>
      <c r="F4001">
        <v>1</v>
      </c>
      <c r="G4001">
        <v>7</v>
      </c>
      <c r="H4001">
        <v>1</v>
      </c>
      <c r="I4001" s="12" t="s">
        <v>183</v>
      </c>
      <c r="J4001" s="12" t="s">
        <v>184</v>
      </c>
      <c r="K4001" s="12" t="s">
        <v>133</v>
      </c>
      <c r="L4001" s="12" t="s">
        <v>82</v>
      </c>
      <c r="M4001">
        <v>8.6199999999999992</v>
      </c>
      <c r="N4001" s="12" t="s">
        <v>145</v>
      </c>
      <c r="O4001" s="12" t="s">
        <v>146</v>
      </c>
      <c r="P4001" s="12" t="s">
        <v>109</v>
      </c>
      <c r="Q4001" s="13">
        <v>45638</v>
      </c>
      <c r="R4001" s="13">
        <v>45673</v>
      </c>
      <c r="S4001">
        <v>2024</v>
      </c>
      <c r="T4001" s="12" t="s">
        <v>4841</v>
      </c>
      <c r="U4001">
        <v>13</v>
      </c>
      <c r="V4001">
        <v>193.65539999999999</v>
      </c>
      <c r="W4001">
        <v>61</v>
      </c>
      <c r="X4001">
        <v>0</v>
      </c>
      <c r="Y4001">
        <v>0</v>
      </c>
      <c r="Z4001">
        <v>2517.52</v>
      </c>
      <c r="AA4001">
        <v>2578.52</v>
      </c>
      <c r="AB4001" s="12" t="s">
        <v>3249</v>
      </c>
      <c r="AC4001">
        <v>193.65539999999999</v>
      </c>
      <c r="AD4001">
        <v>1</v>
      </c>
      <c r="AE4001">
        <v>1</v>
      </c>
      <c r="AF4001">
        <v>0</v>
      </c>
      <c r="AG4001">
        <v>2517.52</v>
      </c>
      <c r="AH4001">
        <v>13</v>
      </c>
      <c r="AI4001">
        <v>13</v>
      </c>
      <c r="AJ4001">
        <v>0</v>
      </c>
      <c r="AK4001">
        <v>1</v>
      </c>
      <c r="AL4001">
        <v>1</v>
      </c>
      <c r="AM4001">
        <v>100</v>
      </c>
      <c r="AN4001">
        <v>198.3477</v>
      </c>
      <c r="AO4001">
        <v>0</v>
      </c>
      <c r="AP4001" s="13">
        <v>45671</v>
      </c>
      <c r="AQ4001">
        <v>-2</v>
      </c>
      <c r="AR4001">
        <v>1</v>
      </c>
    </row>
    <row r="4002" spans="1:44" x14ac:dyDescent="0.35">
      <c r="A4002" s="12" t="s">
        <v>4926</v>
      </c>
      <c r="B4002" s="12" t="s">
        <v>293</v>
      </c>
      <c r="C4002" s="12" t="s">
        <v>294</v>
      </c>
      <c r="D4002" s="12" t="s">
        <v>114</v>
      </c>
      <c r="E4002" s="12" t="s">
        <v>142</v>
      </c>
      <c r="F4002">
        <v>1</v>
      </c>
      <c r="G4002">
        <v>6</v>
      </c>
      <c r="H4002">
        <v>1</v>
      </c>
      <c r="I4002" s="12" t="s">
        <v>195</v>
      </c>
      <c r="J4002" s="12" t="s">
        <v>196</v>
      </c>
      <c r="K4002" s="12" t="s">
        <v>117</v>
      </c>
      <c r="L4002" s="12" t="s">
        <v>134</v>
      </c>
      <c r="M4002">
        <v>4.7699999999999996</v>
      </c>
      <c r="N4002" s="12" t="s">
        <v>97</v>
      </c>
      <c r="O4002" s="12" t="s">
        <v>98</v>
      </c>
      <c r="P4002" s="12" t="s">
        <v>72</v>
      </c>
      <c r="Q4002" s="13">
        <v>45638</v>
      </c>
      <c r="R4002" s="13">
        <v>45675</v>
      </c>
      <c r="S4002">
        <v>2024</v>
      </c>
      <c r="T4002" s="12" t="s">
        <v>4841</v>
      </c>
      <c r="U4002">
        <v>30</v>
      </c>
      <c r="V4002">
        <v>202.91499999999999</v>
      </c>
      <c r="W4002">
        <v>115.19</v>
      </c>
      <c r="X4002">
        <v>0</v>
      </c>
      <c r="Y4002">
        <v>0</v>
      </c>
      <c r="Z4002">
        <v>6087.45</v>
      </c>
      <c r="AA4002">
        <v>6202.64</v>
      </c>
      <c r="AB4002" s="12" t="s">
        <v>2837</v>
      </c>
      <c r="AC4002">
        <v>202.91499999999999</v>
      </c>
      <c r="AD4002">
        <v>1</v>
      </c>
      <c r="AE4002">
        <v>1</v>
      </c>
      <c r="AF4002">
        <v>0</v>
      </c>
      <c r="AG4002">
        <v>6087.45</v>
      </c>
      <c r="AH4002">
        <v>30</v>
      </c>
      <c r="AI4002">
        <v>30</v>
      </c>
      <c r="AJ4002">
        <v>0</v>
      </c>
      <c r="AK4002">
        <v>1</v>
      </c>
      <c r="AL4002">
        <v>1</v>
      </c>
      <c r="AM4002">
        <v>100</v>
      </c>
      <c r="AN4002">
        <v>206.75470000000001</v>
      </c>
      <c r="AO4002">
        <v>0</v>
      </c>
      <c r="AP4002" s="13">
        <v>45673</v>
      </c>
      <c r="AQ4002">
        <v>-2</v>
      </c>
      <c r="AR4002">
        <v>1</v>
      </c>
    </row>
    <row r="4003" spans="1:44" x14ac:dyDescent="0.35">
      <c r="A4003" s="12" t="s">
        <v>4927</v>
      </c>
      <c r="B4003" s="12" t="s">
        <v>792</v>
      </c>
      <c r="C4003" s="12" t="s">
        <v>793</v>
      </c>
      <c r="D4003" s="12" t="s">
        <v>103</v>
      </c>
      <c r="E4003" s="12" t="s">
        <v>65</v>
      </c>
      <c r="F4003">
        <v>2</v>
      </c>
      <c r="G4003">
        <v>3</v>
      </c>
      <c r="H4003">
        <v>0</v>
      </c>
      <c r="I4003" s="12" t="s">
        <v>115</v>
      </c>
      <c r="J4003" s="12" t="s">
        <v>116</v>
      </c>
      <c r="K4003" s="12" t="s">
        <v>117</v>
      </c>
      <c r="L4003" s="12" t="s">
        <v>82</v>
      </c>
      <c r="M4003">
        <v>17.170000000000002</v>
      </c>
      <c r="N4003" s="12" t="s">
        <v>107</v>
      </c>
      <c r="O4003" s="12" t="s">
        <v>108</v>
      </c>
      <c r="P4003" s="12" t="s">
        <v>109</v>
      </c>
      <c r="Q4003" s="13">
        <v>45638</v>
      </c>
      <c r="R4003" s="13">
        <v>45674</v>
      </c>
      <c r="S4003">
        <v>2024</v>
      </c>
      <c r="T4003" s="12" t="s">
        <v>4841</v>
      </c>
      <c r="U4003">
        <v>133</v>
      </c>
      <c r="V4003">
        <v>98.330600000000004</v>
      </c>
      <c r="W4003">
        <v>276.51</v>
      </c>
      <c r="X4003">
        <v>0</v>
      </c>
      <c r="Y4003">
        <v>0</v>
      </c>
      <c r="Z4003">
        <v>13077.97</v>
      </c>
      <c r="AA4003">
        <v>13354.48</v>
      </c>
      <c r="AB4003" s="12" t="s">
        <v>3411</v>
      </c>
      <c r="AC4003">
        <v>98.330600000000004</v>
      </c>
      <c r="AD4003">
        <v>1</v>
      </c>
      <c r="AE4003">
        <v>1</v>
      </c>
      <c r="AF4003">
        <v>0</v>
      </c>
      <c r="AG4003">
        <v>13077.97</v>
      </c>
      <c r="AH4003">
        <v>133</v>
      </c>
      <c r="AI4003">
        <v>131</v>
      </c>
      <c r="AJ4003">
        <v>2</v>
      </c>
      <c r="AK4003">
        <v>1</v>
      </c>
      <c r="AL4003">
        <v>1</v>
      </c>
      <c r="AM4003">
        <v>98.5</v>
      </c>
      <c r="AN4003">
        <v>101.9426</v>
      </c>
      <c r="AO4003">
        <v>196.66</v>
      </c>
      <c r="AP4003" s="13">
        <v>45672</v>
      </c>
      <c r="AQ4003">
        <v>-2</v>
      </c>
      <c r="AR4003">
        <v>1</v>
      </c>
    </row>
    <row r="4004" spans="1:44" x14ac:dyDescent="0.35">
      <c r="A4004" s="12" t="s">
        <v>4928</v>
      </c>
      <c r="B4004" s="12" t="s">
        <v>621</v>
      </c>
      <c r="C4004" s="12" t="s">
        <v>622</v>
      </c>
      <c r="D4004" s="12" t="s">
        <v>103</v>
      </c>
      <c r="E4004" s="12" t="s">
        <v>65</v>
      </c>
      <c r="F4004">
        <v>1</v>
      </c>
      <c r="G4004">
        <v>2</v>
      </c>
      <c r="H4004">
        <v>1</v>
      </c>
      <c r="I4004" s="12" t="s">
        <v>486</v>
      </c>
      <c r="J4004" s="12" t="s">
        <v>487</v>
      </c>
      <c r="K4004" s="12" t="s">
        <v>125</v>
      </c>
      <c r="L4004" s="12" t="s">
        <v>69</v>
      </c>
      <c r="M4004">
        <v>36.86</v>
      </c>
      <c r="N4004" s="12" t="s">
        <v>145</v>
      </c>
      <c r="O4004" s="12" t="s">
        <v>146</v>
      </c>
      <c r="P4004" s="12" t="s">
        <v>109</v>
      </c>
      <c r="Q4004" s="13">
        <v>45639</v>
      </c>
      <c r="R4004" s="13">
        <v>45670</v>
      </c>
      <c r="S4004">
        <v>2024</v>
      </c>
      <c r="T4004" s="12" t="s">
        <v>4841</v>
      </c>
      <c r="U4004">
        <v>90</v>
      </c>
      <c r="V4004">
        <v>201.08609999999999</v>
      </c>
      <c r="W4004">
        <v>389.4</v>
      </c>
      <c r="X4004">
        <v>0</v>
      </c>
      <c r="Y4004">
        <v>0</v>
      </c>
      <c r="Z4004">
        <v>18097.75</v>
      </c>
      <c r="AA4004">
        <v>18487.150000000001</v>
      </c>
      <c r="AB4004" s="12" t="s">
        <v>2658</v>
      </c>
      <c r="AC4004">
        <v>201.08609999999999</v>
      </c>
      <c r="AD4004">
        <v>1</v>
      </c>
      <c r="AE4004">
        <v>1</v>
      </c>
      <c r="AF4004">
        <v>0</v>
      </c>
      <c r="AG4004">
        <v>18097.75</v>
      </c>
      <c r="AH4004">
        <v>90</v>
      </c>
      <c r="AI4004">
        <v>89</v>
      </c>
      <c r="AJ4004">
        <v>1</v>
      </c>
      <c r="AK4004">
        <v>1</v>
      </c>
      <c r="AL4004">
        <v>1</v>
      </c>
      <c r="AM4004">
        <v>98.89</v>
      </c>
      <c r="AN4004">
        <v>207.7208</v>
      </c>
      <c r="AO4004">
        <v>201.09</v>
      </c>
      <c r="AP4004" s="13">
        <v>45667</v>
      </c>
      <c r="AQ4004">
        <v>-3</v>
      </c>
      <c r="AR4004">
        <v>1</v>
      </c>
    </row>
    <row r="4005" spans="1:44" x14ac:dyDescent="0.35">
      <c r="A4005" s="12" t="s">
        <v>4929</v>
      </c>
      <c r="B4005" s="12" t="s">
        <v>569</v>
      </c>
      <c r="C4005" s="12" t="s">
        <v>570</v>
      </c>
      <c r="D4005" s="12" t="s">
        <v>114</v>
      </c>
      <c r="E4005" s="12" t="s">
        <v>142</v>
      </c>
      <c r="F4005">
        <v>1</v>
      </c>
      <c r="G4005">
        <v>6</v>
      </c>
      <c r="H4005">
        <v>1</v>
      </c>
      <c r="I4005" s="12" t="s">
        <v>123</v>
      </c>
      <c r="J4005" s="12" t="s">
        <v>124</v>
      </c>
      <c r="K4005" s="12" t="s">
        <v>125</v>
      </c>
      <c r="L4005" s="12" t="s">
        <v>82</v>
      </c>
      <c r="M4005">
        <v>6.75</v>
      </c>
      <c r="N4005" s="12" t="s">
        <v>70</v>
      </c>
      <c r="O4005" s="12" t="s">
        <v>71</v>
      </c>
      <c r="P4005" s="12" t="s">
        <v>72</v>
      </c>
      <c r="Q4005" s="13">
        <v>45639</v>
      </c>
      <c r="R4005" s="13">
        <v>45683</v>
      </c>
      <c r="S4005">
        <v>2024</v>
      </c>
      <c r="T4005" s="12" t="s">
        <v>4841</v>
      </c>
      <c r="U4005">
        <v>85</v>
      </c>
      <c r="V4005">
        <v>349.07319999999999</v>
      </c>
      <c r="W4005">
        <v>680.36</v>
      </c>
      <c r="X4005">
        <v>0</v>
      </c>
      <c r="Y4005">
        <v>0</v>
      </c>
      <c r="Z4005">
        <v>29671.22</v>
      </c>
      <c r="AA4005">
        <v>30351.58</v>
      </c>
      <c r="AB4005" s="12" t="s">
        <v>3205</v>
      </c>
      <c r="AC4005">
        <v>349.07319999999999</v>
      </c>
      <c r="AD4005">
        <v>1</v>
      </c>
      <c r="AE4005">
        <v>1</v>
      </c>
      <c r="AF4005">
        <v>0</v>
      </c>
      <c r="AG4005">
        <v>29671.22</v>
      </c>
      <c r="AH4005">
        <v>85</v>
      </c>
      <c r="AI4005">
        <v>84</v>
      </c>
      <c r="AJ4005">
        <v>1</v>
      </c>
      <c r="AK4005">
        <v>1</v>
      </c>
      <c r="AL4005">
        <v>1</v>
      </c>
      <c r="AM4005">
        <v>98.82</v>
      </c>
      <c r="AN4005">
        <v>361.32839999999999</v>
      </c>
      <c r="AO4005">
        <v>349.07</v>
      </c>
      <c r="AP4005" s="13">
        <v>45693</v>
      </c>
      <c r="AQ4005">
        <v>10</v>
      </c>
      <c r="AR4005">
        <v>0</v>
      </c>
    </row>
    <row r="4006" spans="1:44" x14ac:dyDescent="0.35">
      <c r="A4006" s="12" t="s">
        <v>4930</v>
      </c>
      <c r="B4006" s="12" t="s">
        <v>657</v>
      </c>
      <c r="C4006" s="12" t="s">
        <v>658</v>
      </c>
      <c r="D4006" s="12" t="s">
        <v>175</v>
      </c>
      <c r="E4006" s="12" t="s">
        <v>65</v>
      </c>
      <c r="F4006">
        <v>1</v>
      </c>
      <c r="G4006">
        <v>2</v>
      </c>
      <c r="H4006">
        <v>1</v>
      </c>
      <c r="I4006" s="12" t="s">
        <v>183</v>
      </c>
      <c r="J4006" s="12" t="s">
        <v>184</v>
      </c>
      <c r="K4006" s="12" t="s">
        <v>133</v>
      </c>
      <c r="L4006" s="12" t="s">
        <v>82</v>
      </c>
      <c r="M4006">
        <v>8.6199999999999992</v>
      </c>
      <c r="N4006" s="12" t="s">
        <v>145</v>
      </c>
      <c r="O4006" s="12" t="s">
        <v>146</v>
      </c>
      <c r="P4006" s="12" t="s">
        <v>109</v>
      </c>
      <c r="Q4006" s="13">
        <v>45639</v>
      </c>
      <c r="R4006" s="13">
        <v>45675</v>
      </c>
      <c r="S4006">
        <v>2024</v>
      </c>
      <c r="T4006" s="12" t="s">
        <v>4841</v>
      </c>
      <c r="U4006">
        <v>133</v>
      </c>
      <c r="V4006">
        <v>149.10310000000001</v>
      </c>
      <c r="W4006">
        <v>452.71</v>
      </c>
      <c r="X4006">
        <v>0</v>
      </c>
      <c r="Y4006">
        <v>0</v>
      </c>
      <c r="Z4006">
        <v>19830.71</v>
      </c>
      <c r="AA4006">
        <v>20283.419999999998</v>
      </c>
      <c r="AB4006" s="12" t="s">
        <v>3525</v>
      </c>
      <c r="AC4006">
        <v>149.10310000000001</v>
      </c>
      <c r="AD4006">
        <v>1</v>
      </c>
      <c r="AE4006">
        <v>1</v>
      </c>
      <c r="AF4006">
        <v>0</v>
      </c>
      <c r="AG4006">
        <v>19830.71</v>
      </c>
      <c r="AH4006">
        <v>133</v>
      </c>
      <c r="AI4006">
        <v>131</v>
      </c>
      <c r="AJ4006">
        <v>2</v>
      </c>
      <c r="AK4006">
        <v>1</v>
      </c>
      <c r="AL4006">
        <v>1</v>
      </c>
      <c r="AM4006">
        <v>98.5</v>
      </c>
      <c r="AN4006">
        <v>154.83529999999999</v>
      </c>
      <c r="AO4006">
        <v>298.20999999999998</v>
      </c>
      <c r="AP4006" s="13">
        <v>45672</v>
      </c>
      <c r="AQ4006">
        <v>-3</v>
      </c>
      <c r="AR4006">
        <v>1</v>
      </c>
    </row>
    <row r="4007" spans="1:44" x14ac:dyDescent="0.35">
      <c r="A4007" s="12" t="s">
        <v>4931</v>
      </c>
      <c r="B4007" s="12" t="s">
        <v>823</v>
      </c>
      <c r="C4007" s="12" t="s">
        <v>824</v>
      </c>
      <c r="D4007" s="12" t="s">
        <v>114</v>
      </c>
      <c r="E4007" s="12" t="s">
        <v>142</v>
      </c>
      <c r="F4007">
        <v>1</v>
      </c>
      <c r="G4007">
        <v>8</v>
      </c>
      <c r="H4007">
        <v>1</v>
      </c>
      <c r="I4007" s="12" t="s">
        <v>515</v>
      </c>
      <c r="J4007" s="12" t="s">
        <v>516</v>
      </c>
      <c r="K4007" s="12" t="s">
        <v>68</v>
      </c>
      <c r="L4007" s="12" t="s">
        <v>134</v>
      </c>
      <c r="M4007">
        <v>3.69</v>
      </c>
      <c r="N4007" s="12" t="s">
        <v>70</v>
      </c>
      <c r="O4007" s="12" t="s">
        <v>71</v>
      </c>
      <c r="P4007" s="12" t="s">
        <v>72</v>
      </c>
      <c r="Q4007" s="13">
        <v>45639</v>
      </c>
      <c r="R4007" s="13">
        <v>45691</v>
      </c>
      <c r="S4007">
        <v>2024</v>
      </c>
      <c r="T4007" s="12" t="s">
        <v>4841</v>
      </c>
      <c r="U4007">
        <v>149</v>
      </c>
      <c r="V4007">
        <v>340.90859999999998</v>
      </c>
      <c r="W4007">
        <v>474.05</v>
      </c>
      <c r="X4007">
        <v>0</v>
      </c>
      <c r="Y4007">
        <v>0</v>
      </c>
      <c r="Z4007">
        <v>50795.38</v>
      </c>
      <c r="AA4007">
        <v>51269.43</v>
      </c>
      <c r="AB4007" s="12" t="s">
        <v>3483</v>
      </c>
      <c r="AC4007">
        <v>361.71230000000003</v>
      </c>
      <c r="AD4007">
        <v>1</v>
      </c>
      <c r="AE4007">
        <v>1</v>
      </c>
      <c r="AF4007">
        <v>-3099.75</v>
      </c>
      <c r="AG4007">
        <v>53895.13</v>
      </c>
      <c r="AH4007">
        <v>149</v>
      </c>
      <c r="AI4007">
        <v>148</v>
      </c>
      <c r="AJ4007">
        <v>1</v>
      </c>
      <c r="AK4007">
        <v>1</v>
      </c>
      <c r="AL4007">
        <v>1</v>
      </c>
      <c r="AM4007">
        <v>99.33</v>
      </c>
      <c r="AN4007">
        <v>346.4151</v>
      </c>
      <c r="AO4007">
        <v>340.91</v>
      </c>
      <c r="AP4007" s="13">
        <v>45688</v>
      </c>
      <c r="AQ4007">
        <v>-3</v>
      </c>
      <c r="AR4007">
        <v>1</v>
      </c>
    </row>
    <row r="4008" spans="1:44" x14ac:dyDescent="0.35">
      <c r="A4008" s="12" t="s">
        <v>4932</v>
      </c>
      <c r="B4008" s="12" t="s">
        <v>827</v>
      </c>
      <c r="C4008" s="12" t="s">
        <v>828</v>
      </c>
      <c r="D4008" s="12" t="s">
        <v>175</v>
      </c>
      <c r="E4008" s="12" t="s">
        <v>104</v>
      </c>
      <c r="F4008">
        <v>2</v>
      </c>
      <c r="G4008">
        <v>0</v>
      </c>
      <c r="H4008">
        <v>0</v>
      </c>
      <c r="I4008" s="12" t="s">
        <v>183</v>
      </c>
      <c r="J4008" s="12" t="s">
        <v>184</v>
      </c>
      <c r="K4008" s="12" t="s">
        <v>133</v>
      </c>
      <c r="L4008" s="12" t="s">
        <v>82</v>
      </c>
      <c r="M4008">
        <v>8.6199999999999992</v>
      </c>
      <c r="N4008" s="12" t="s">
        <v>107</v>
      </c>
      <c r="O4008" s="12" t="s">
        <v>108</v>
      </c>
      <c r="P4008" s="12" t="s">
        <v>109</v>
      </c>
      <c r="Q4008" s="13">
        <v>45639</v>
      </c>
      <c r="R4008" s="13">
        <v>45656</v>
      </c>
      <c r="S4008">
        <v>2024</v>
      </c>
      <c r="T4008" s="12" t="s">
        <v>4841</v>
      </c>
      <c r="U4008">
        <v>55</v>
      </c>
      <c r="V4008">
        <v>101.62560000000001</v>
      </c>
      <c r="W4008">
        <v>94.32</v>
      </c>
      <c r="X4008">
        <v>0</v>
      </c>
      <c r="Y4008">
        <v>0</v>
      </c>
      <c r="Z4008">
        <v>5589.41</v>
      </c>
      <c r="AA4008">
        <v>5683.73</v>
      </c>
      <c r="AB4008" s="12" t="s">
        <v>3394</v>
      </c>
      <c r="AC4008">
        <v>101.62560000000001</v>
      </c>
      <c r="AD4008">
        <v>1</v>
      </c>
      <c r="AE4008">
        <v>1</v>
      </c>
      <c r="AF4008">
        <v>0</v>
      </c>
      <c r="AG4008">
        <v>5589.41</v>
      </c>
      <c r="AH4008">
        <v>55</v>
      </c>
      <c r="AI4008">
        <v>55</v>
      </c>
      <c r="AJ4008">
        <v>0</v>
      </c>
      <c r="AK4008">
        <v>1</v>
      </c>
      <c r="AL4008">
        <v>1</v>
      </c>
      <c r="AM4008">
        <v>100</v>
      </c>
      <c r="AN4008">
        <v>103.34050000000001</v>
      </c>
      <c r="AO4008">
        <v>0</v>
      </c>
      <c r="AP4008" s="13">
        <v>45652</v>
      </c>
      <c r="AQ4008">
        <v>-4</v>
      </c>
      <c r="AR4008">
        <v>1</v>
      </c>
    </row>
    <row r="4009" spans="1:44" x14ac:dyDescent="0.35">
      <c r="A4009" s="12" t="s">
        <v>4933</v>
      </c>
      <c r="B4009" s="12" t="s">
        <v>362</v>
      </c>
      <c r="C4009" s="12" t="s">
        <v>363</v>
      </c>
      <c r="D4009" s="12" t="s">
        <v>78</v>
      </c>
      <c r="E4009" s="12" t="s">
        <v>104</v>
      </c>
      <c r="F4009">
        <v>3</v>
      </c>
      <c r="G4009">
        <v>0</v>
      </c>
      <c r="H4009">
        <v>0</v>
      </c>
      <c r="I4009" s="12" t="s">
        <v>157</v>
      </c>
      <c r="J4009" s="12" t="s">
        <v>158</v>
      </c>
      <c r="K4009" s="12" t="s">
        <v>117</v>
      </c>
      <c r="L4009" s="12" t="s">
        <v>96</v>
      </c>
      <c r="M4009">
        <v>4.72</v>
      </c>
      <c r="N4009" s="12" t="s">
        <v>70</v>
      </c>
      <c r="O4009" s="12" t="s">
        <v>71</v>
      </c>
      <c r="P4009" s="12" t="s">
        <v>72</v>
      </c>
      <c r="Q4009" s="13">
        <v>45639</v>
      </c>
      <c r="R4009" s="13">
        <v>45660</v>
      </c>
      <c r="S4009">
        <v>2024</v>
      </c>
      <c r="T4009" s="12" t="s">
        <v>4841</v>
      </c>
      <c r="U4009">
        <v>178</v>
      </c>
      <c r="V4009">
        <v>59.830500000000001</v>
      </c>
      <c r="W4009">
        <v>96.63</v>
      </c>
      <c r="X4009">
        <v>0</v>
      </c>
      <c r="Y4009">
        <v>0</v>
      </c>
      <c r="Z4009">
        <v>10649.83</v>
      </c>
      <c r="AA4009">
        <v>10746.46</v>
      </c>
      <c r="AB4009" s="12" t="s">
        <v>3185</v>
      </c>
      <c r="AC4009">
        <v>59.830500000000001</v>
      </c>
      <c r="AD4009">
        <v>1</v>
      </c>
      <c r="AE4009">
        <v>1</v>
      </c>
      <c r="AF4009">
        <v>0</v>
      </c>
      <c r="AG4009">
        <v>10649.83</v>
      </c>
      <c r="AH4009">
        <v>178</v>
      </c>
      <c r="AI4009">
        <v>175</v>
      </c>
      <c r="AJ4009">
        <v>3</v>
      </c>
      <c r="AK4009">
        <v>1</v>
      </c>
      <c r="AL4009">
        <v>1</v>
      </c>
      <c r="AM4009">
        <v>98.31</v>
      </c>
      <c r="AN4009">
        <v>61.408299999999997</v>
      </c>
      <c r="AO4009">
        <v>179.49</v>
      </c>
      <c r="AP4009" s="13">
        <v>45659</v>
      </c>
      <c r="AQ4009">
        <v>-1</v>
      </c>
      <c r="AR4009">
        <v>1</v>
      </c>
    </row>
    <row r="4010" spans="1:44" x14ac:dyDescent="0.35">
      <c r="A4010" s="12" t="s">
        <v>4934</v>
      </c>
      <c r="B4010" s="12" t="s">
        <v>957</v>
      </c>
      <c r="C4010" s="12" t="s">
        <v>958</v>
      </c>
      <c r="D4010" s="12" t="s">
        <v>103</v>
      </c>
      <c r="E4010" s="12" t="s">
        <v>142</v>
      </c>
      <c r="F4010">
        <v>1</v>
      </c>
      <c r="G4010">
        <v>7</v>
      </c>
      <c r="H4010">
        <v>1</v>
      </c>
      <c r="I4010" s="12" t="s">
        <v>183</v>
      </c>
      <c r="J4010" s="12" t="s">
        <v>184</v>
      </c>
      <c r="K4010" s="12" t="s">
        <v>133</v>
      </c>
      <c r="L4010" s="12" t="s">
        <v>82</v>
      </c>
      <c r="M4010">
        <v>8.6199999999999992</v>
      </c>
      <c r="N4010" s="12" t="s">
        <v>145</v>
      </c>
      <c r="O4010" s="12" t="s">
        <v>146</v>
      </c>
      <c r="P4010" s="12" t="s">
        <v>109</v>
      </c>
      <c r="Q4010" s="13">
        <v>45639</v>
      </c>
      <c r="R4010" s="13">
        <v>45676</v>
      </c>
      <c r="S4010">
        <v>2024</v>
      </c>
      <c r="T4010" s="12" t="s">
        <v>4841</v>
      </c>
      <c r="U4010">
        <v>28</v>
      </c>
      <c r="V4010">
        <v>193.65539999999999</v>
      </c>
      <c r="W4010">
        <v>94.35</v>
      </c>
      <c r="X4010">
        <v>0</v>
      </c>
      <c r="Y4010">
        <v>0</v>
      </c>
      <c r="Z4010">
        <v>5422.35</v>
      </c>
      <c r="AA4010">
        <v>5516.7</v>
      </c>
      <c r="AB4010" s="12" t="s">
        <v>3249</v>
      </c>
      <c r="AC4010">
        <v>193.65539999999999</v>
      </c>
      <c r="AD4010">
        <v>1</v>
      </c>
      <c r="AE4010">
        <v>1</v>
      </c>
      <c r="AF4010">
        <v>0</v>
      </c>
      <c r="AG4010">
        <v>5422.35</v>
      </c>
      <c r="AH4010">
        <v>28</v>
      </c>
      <c r="AI4010">
        <v>28</v>
      </c>
      <c r="AJ4010">
        <v>0</v>
      </c>
      <c r="AK4010">
        <v>1</v>
      </c>
      <c r="AL4010">
        <v>1</v>
      </c>
      <c r="AM4010">
        <v>100</v>
      </c>
      <c r="AN4010">
        <v>197.02500000000001</v>
      </c>
      <c r="AO4010">
        <v>0</v>
      </c>
      <c r="AP4010" s="13">
        <v>45676</v>
      </c>
      <c r="AQ4010">
        <v>0</v>
      </c>
      <c r="AR4010">
        <v>1</v>
      </c>
    </row>
    <row r="4011" spans="1:44" x14ac:dyDescent="0.35">
      <c r="A4011" s="12" t="s">
        <v>4935</v>
      </c>
      <c r="B4011" s="12" t="s">
        <v>1013</v>
      </c>
      <c r="C4011" s="12" t="s">
        <v>1014</v>
      </c>
      <c r="D4011" s="12" t="s">
        <v>78</v>
      </c>
      <c r="E4011" s="12" t="s">
        <v>65</v>
      </c>
      <c r="F4011">
        <v>2</v>
      </c>
      <c r="G4011">
        <v>3</v>
      </c>
      <c r="H4011">
        <v>0</v>
      </c>
      <c r="I4011" s="12" t="s">
        <v>359</v>
      </c>
      <c r="J4011" s="12" t="s">
        <v>360</v>
      </c>
      <c r="K4011" s="12" t="s">
        <v>133</v>
      </c>
      <c r="L4011" s="12" t="s">
        <v>82</v>
      </c>
      <c r="M4011">
        <v>12.65</v>
      </c>
      <c r="N4011" s="12" t="s">
        <v>97</v>
      </c>
      <c r="O4011" s="12" t="s">
        <v>98</v>
      </c>
      <c r="P4011" s="12" t="s">
        <v>72</v>
      </c>
      <c r="Q4011" s="13">
        <v>45639</v>
      </c>
      <c r="R4011" s="13">
        <v>45668</v>
      </c>
      <c r="S4011">
        <v>2024</v>
      </c>
      <c r="T4011" s="12" t="s">
        <v>4841</v>
      </c>
      <c r="U4011">
        <v>166</v>
      </c>
      <c r="V4011">
        <v>118.70959999999999</v>
      </c>
      <c r="W4011">
        <v>395.49</v>
      </c>
      <c r="X4011">
        <v>0</v>
      </c>
      <c r="Y4011">
        <v>0</v>
      </c>
      <c r="Z4011">
        <v>19705.79</v>
      </c>
      <c r="AA4011">
        <v>20101.28</v>
      </c>
      <c r="AB4011" s="12" t="s">
        <v>4936</v>
      </c>
      <c r="AC4011">
        <v>118.70959999999999</v>
      </c>
      <c r="AD4011">
        <v>1</v>
      </c>
      <c r="AE4011">
        <v>1</v>
      </c>
      <c r="AF4011">
        <v>0</v>
      </c>
      <c r="AG4011">
        <v>19705.79</v>
      </c>
      <c r="AH4011">
        <v>166</v>
      </c>
      <c r="AI4011">
        <v>162</v>
      </c>
      <c r="AJ4011">
        <v>4</v>
      </c>
      <c r="AK4011">
        <v>1</v>
      </c>
      <c r="AL4011">
        <v>1</v>
      </c>
      <c r="AM4011">
        <v>97.59</v>
      </c>
      <c r="AN4011">
        <v>124.08199999999999</v>
      </c>
      <c r="AO4011">
        <v>474.84</v>
      </c>
      <c r="AP4011" s="13">
        <v>45666</v>
      </c>
      <c r="AQ4011">
        <v>-2</v>
      </c>
      <c r="AR4011">
        <v>1</v>
      </c>
    </row>
    <row r="4012" spans="1:44" x14ac:dyDescent="0.35">
      <c r="A4012" s="12" t="s">
        <v>4937</v>
      </c>
      <c r="B4012" s="12" t="s">
        <v>1166</v>
      </c>
      <c r="C4012" s="12" t="s">
        <v>1167</v>
      </c>
      <c r="D4012" s="12" t="s">
        <v>175</v>
      </c>
      <c r="E4012" s="12" t="s">
        <v>65</v>
      </c>
      <c r="F4012">
        <v>3</v>
      </c>
      <c r="G4012">
        <v>5</v>
      </c>
      <c r="H4012">
        <v>0</v>
      </c>
      <c r="I4012" s="12" t="s">
        <v>359</v>
      </c>
      <c r="J4012" s="12" t="s">
        <v>360</v>
      </c>
      <c r="K4012" s="12" t="s">
        <v>133</v>
      </c>
      <c r="L4012" s="12" t="s">
        <v>82</v>
      </c>
      <c r="M4012">
        <v>12.65</v>
      </c>
      <c r="N4012" s="12" t="s">
        <v>145</v>
      </c>
      <c r="O4012" s="12" t="s">
        <v>146</v>
      </c>
      <c r="P4012" s="12" t="s">
        <v>109</v>
      </c>
      <c r="Q4012" s="13">
        <v>45639</v>
      </c>
      <c r="R4012" s="13">
        <v>45662</v>
      </c>
      <c r="S4012">
        <v>2024</v>
      </c>
      <c r="T4012" s="12" t="s">
        <v>4841</v>
      </c>
      <c r="U4012">
        <v>29</v>
      </c>
      <c r="V4012">
        <v>255.26990000000001</v>
      </c>
      <c r="W4012">
        <v>152.25</v>
      </c>
      <c r="X4012">
        <v>0</v>
      </c>
      <c r="Y4012">
        <v>0</v>
      </c>
      <c r="Z4012">
        <v>7402.83</v>
      </c>
      <c r="AA4012">
        <v>7555.08</v>
      </c>
      <c r="AB4012" s="12" t="s">
        <v>201</v>
      </c>
      <c r="AD4012">
        <v>0</v>
      </c>
      <c r="AE4012">
        <v>0</v>
      </c>
      <c r="AH4012">
        <v>29</v>
      </c>
      <c r="AI4012">
        <v>29</v>
      </c>
      <c r="AJ4012">
        <v>0</v>
      </c>
      <c r="AK4012">
        <v>1</v>
      </c>
      <c r="AL4012">
        <v>1</v>
      </c>
      <c r="AM4012">
        <v>100</v>
      </c>
      <c r="AN4012">
        <v>260.51990000000001</v>
      </c>
      <c r="AO4012">
        <v>0</v>
      </c>
      <c r="AP4012" s="13">
        <v>45661</v>
      </c>
      <c r="AQ4012">
        <v>-1</v>
      </c>
      <c r="AR4012">
        <v>1</v>
      </c>
    </row>
    <row r="4013" spans="1:44" x14ac:dyDescent="0.35">
      <c r="A4013" s="12" t="s">
        <v>4938</v>
      </c>
      <c r="B4013" s="12" t="s">
        <v>787</v>
      </c>
      <c r="C4013" s="12" t="s">
        <v>788</v>
      </c>
      <c r="D4013" s="12" t="s">
        <v>269</v>
      </c>
      <c r="E4013" s="12" t="s">
        <v>65</v>
      </c>
      <c r="F4013">
        <v>2</v>
      </c>
      <c r="G4013">
        <v>3</v>
      </c>
      <c r="H4013">
        <v>0</v>
      </c>
      <c r="I4013" s="12" t="s">
        <v>143</v>
      </c>
      <c r="J4013" s="12" t="s">
        <v>144</v>
      </c>
      <c r="K4013" s="12" t="s">
        <v>133</v>
      </c>
      <c r="L4013" s="12" t="s">
        <v>96</v>
      </c>
      <c r="M4013">
        <v>5.43</v>
      </c>
      <c r="N4013" s="12" t="s">
        <v>159</v>
      </c>
      <c r="O4013" s="12" t="s">
        <v>160</v>
      </c>
      <c r="P4013" s="12" t="s">
        <v>137</v>
      </c>
      <c r="Q4013" s="13">
        <v>45639</v>
      </c>
      <c r="R4013" s="13">
        <v>45664</v>
      </c>
      <c r="S4013">
        <v>2024</v>
      </c>
      <c r="T4013" s="12" t="s">
        <v>4841</v>
      </c>
      <c r="U4013">
        <v>48</v>
      </c>
      <c r="V4013">
        <v>342.88099999999997</v>
      </c>
      <c r="W4013">
        <v>386.03</v>
      </c>
      <c r="X4013">
        <v>0</v>
      </c>
      <c r="Y4013">
        <v>0</v>
      </c>
      <c r="Z4013">
        <v>16458.29</v>
      </c>
      <c r="AA4013">
        <v>16844.32</v>
      </c>
      <c r="AB4013" s="12" t="s">
        <v>3813</v>
      </c>
      <c r="AC4013">
        <v>342.88099999999997</v>
      </c>
      <c r="AD4013">
        <v>1</v>
      </c>
      <c r="AE4013">
        <v>1</v>
      </c>
      <c r="AF4013">
        <v>0</v>
      </c>
      <c r="AG4013">
        <v>16458.29</v>
      </c>
      <c r="AH4013">
        <v>48</v>
      </c>
      <c r="AI4013">
        <v>47</v>
      </c>
      <c r="AJ4013">
        <v>1</v>
      </c>
      <c r="AK4013">
        <v>1</v>
      </c>
      <c r="AL4013">
        <v>1</v>
      </c>
      <c r="AM4013">
        <v>97.92</v>
      </c>
      <c r="AN4013">
        <v>358.3897</v>
      </c>
      <c r="AO4013">
        <v>342.88</v>
      </c>
      <c r="AP4013" s="13">
        <v>45672</v>
      </c>
      <c r="AQ4013">
        <v>8</v>
      </c>
      <c r="AR4013">
        <v>0</v>
      </c>
    </row>
    <row r="4014" spans="1:44" x14ac:dyDescent="0.35">
      <c r="A4014" s="12" t="s">
        <v>4939</v>
      </c>
      <c r="B4014" s="12" t="s">
        <v>85</v>
      </c>
      <c r="C4014" s="12" t="s">
        <v>86</v>
      </c>
      <c r="D4014" s="12" t="s">
        <v>78</v>
      </c>
      <c r="E4014" s="12" t="s">
        <v>65</v>
      </c>
      <c r="F4014">
        <v>3</v>
      </c>
      <c r="G4014">
        <v>5</v>
      </c>
      <c r="H4014">
        <v>0</v>
      </c>
      <c r="I4014" s="12" t="s">
        <v>195</v>
      </c>
      <c r="J4014" s="12" t="s">
        <v>196</v>
      </c>
      <c r="K4014" s="12" t="s">
        <v>117</v>
      </c>
      <c r="L4014" s="12" t="s">
        <v>134</v>
      </c>
      <c r="M4014">
        <v>4.7699999999999996</v>
      </c>
      <c r="N4014" s="12" t="s">
        <v>97</v>
      </c>
      <c r="O4014" s="12" t="s">
        <v>98</v>
      </c>
      <c r="P4014" s="12" t="s">
        <v>72</v>
      </c>
      <c r="Q4014" s="13">
        <v>45639</v>
      </c>
      <c r="R4014" s="13">
        <v>45674</v>
      </c>
      <c r="S4014">
        <v>2024</v>
      </c>
      <c r="T4014" s="12" t="s">
        <v>4841</v>
      </c>
      <c r="U4014">
        <v>249</v>
      </c>
      <c r="V4014">
        <v>139.9503</v>
      </c>
      <c r="W4014">
        <v>675.35</v>
      </c>
      <c r="X4014">
        <v>0</v>
      </c>
      <c r="Y4014">
        <v>0</v>
      </c>
      <c r="Z4014">
        <v>34847.620000000003</v>
      </c>
      <c r="AA4014">
        <v>35522.97</v>
      </c>
      <c r="AB4014" s="12" t="s">
        <v>2907</v>
      </c>
      <c r="AC4014">
        <v>139.9503</v>
      </c>
      <c r="AD4014">
        <v>1</v>
      </c>
      <c r="AE4014">
        <v>1</v>
      </c>
      <c r="AF4014">
        <v>0</v>
      </c>
      <c r="AG4014">
        <v>34847.620000000003</v>
      </c>
      <c r="AH4014">
        <v>249</v>
      </c>
      <c r="AI4014">
        <v>245</v>
      </c>
      <c r="AJ4014">
        <v>4</v>
      </c>
      <c r="AK4014">
        <v>1</v>
      </c>
      <c r="AL4014">
        <v>1</v>
      </c>
      <c r="AM4014">
        <v>98.39</v>
      </c>
      <c r="AN4014">
        <v>144.99170000000001</v>
      </c>
      <c r="AO4014">
        <v>559.79999999999995</v>
      </c>
      <c r="AP4014" s="13">
        <v>45671</v>
      </c>
      <c r="AQ4014">
        <v>-3</v>
      </c>
      <c r="AR4014">
        <v>1</v>
      </c>
    </row>
    <row r="4015" spans="1:44" x14ac:dyDescent="0.35">
      <c r="A4015" s="12" t="s">
        <v>4940</v>
      </c>
      <c r="B4015" s="12" t="s">
        <v>674</v>
      </c>
      <c r="C4015" s="12" t="s">
        <v>675</v>
      </c>
      <c r="D4015" s="12" t="s">
        <v>269</v>
      </c>
      <c r="E4015" s="12" t="s">
        <v>142</v>
      </c>
      <c r="F4015">
        <v>1</v>
      </c>
      <c r="G4015">
        <v>7</v>
      </c>
      <c r="H4015">
        <v>1</v>
      </c>
      <c r="I4015" s="12" t="s">
        <v>676</v>
      </c>
      <c r="J4015" s="12" t="s">
        <v>677</v>
      </c>
      <c r="K4015" s="12" t="s">
        <v>68</v>
      </c>
      <c r="L4015" s="12" t="s">
        <v>96</v>
      </c>
      <c r="M4015">
        <v>3.57</v>
      </c>
      <c r="N4015" s="12" t="s">
        <v>159</v>
      </c>
      <c r="O4015" s="12" t="s">
        <v>160</v>
      </c>
      <c r="P4015" s="12" t="s">
        <v>137</v>
      </c>
      <c r="Q4015" s="13">
        <v>45642</v>
      </c>
      <c r="R4015" s="13">
        <v>45681</v>
      </c>
      <c r="S4015">
        <v>2024</v>
      </c>
      <c r="T4015" s="12" t="s">
        <v>4841</v>
      </c>
      <c r="U4015">
        <v>48</v>
      </c>
      <c r="V4015">
        <v>387.52190000000002</v>
      </c>
      <c r="W4015">
        <v>190.1</v>
      </c>
      <c r="X4015">
        <v>0</v>
      </c>
      <c r="Y4015">
        <v>0</v>
      </c>
      <c r="Z4015">
        <v>18601.05</v>
      </c>
      <c r="AA4015">
        <v>18791.150000000001</v>
      </c>
      <c r="AB4015" s="12" t="s">
        <v>201</v>
      </c>
      <c r="AD4015">
        <v>0</v>
      </c>
      <c r="AE4015">
        <v>0</v>
      </c>
      <c r="AH4015">
        <v>48</v>
      </c>
      <c r="AI4015">
        <v>48</v>
      </c>
      <c r="AJ4015">
        <v>0</v>
      </c>
      <c r="AK4015">
        <v>1</v>
      </c>
      <c r="AL4015">
        <v>1</v>
      </c>
      <c r="AM4015">
        <v>100</v>
      </c>
      <c r="AN4015">
        <v>391.48230000000001</v>
      </c>
      <c r="AO4015">
        <v>0</v>
      </c>
      <c r="AP4015" s="13">
        <v>45680</v>
      </c>
      <c r="AQ4015">
        <v>-1</v>
      </c>
      <c r="AR4015">
        <v>1</v>
      </c>
    </row>
    <row r="4016" spans="1:44" x14ac:dyDescent="0.35">
      <c r="A4016" s="12" t="s">
        <v>4941</v>
      </c>
      <c r="B4016" s="12" t="s">
        <v>837</v>
      </c>
      <c r="C4016" s="12" t="s">
        <v>838</v>
      </c>
      <c r="D4016" s="12" t="s">
        <v>114</v>
      </c>
      <c r="E4016" s="12" t="s">
        <v>104</v>
      </c>
      <c r="F4016">
        <v>2</v>
      </c>
      <c r="G4016">
        <v>0</v>
      </c>
      <c r="H4016">
        <v>0</v>
      </c>
      <c r="I4016" s="12" t="s">
        <v>199</v>
      </c>
      <c r="J4016" s="12" t="s">
        <v>200</v>
      </c>
      <c r="K4016" s="12" t="s">
        <v>68</v>
      </c>
      <c r="L4016" s="12" t="s">
        <v>96</v>
      </c>
      <c r="M4016">
        <v>9.4700000000000006</v>
      </c>
      <c r="N4016" s="12" t="s">
        <v>97</v>
      </c>
      <c r="O4016" s="12" t="s">
        <v>98</v>
      </c>
      <c r="P4016" s="12" t="s">
        <v>72</v>
      </c>
      <c r="Q4016" s="13">
        <v>45642</v>
      </c>
      <c r="R4016" s="13">
        <v>45663</v>
      </c>
      <c r="S4016">
        <v>2024</v>
      </c>
      <c r="T4016" s="12" t="s">
        <v>4841</v>
      </c>
      <c r="U4016">
        <v>86</v>
      </c>
      <c r="V4016">
        <v>68.916300000000007</v>
      </c>
      <c r="W4016">
        <v>126.4</v>
      </c>
      <c r="X4016">
        <v>0</v>
      </c>
      <c r="Y4016">
        <v>0</v>
      </c>
      <c r="Z4016">
        <v>5926.8</v>
      </c>
      <c r="AA4016">
        <v>6053.2</v>
      </c>
      <c r="AB4016" s="12" t="s">
        <v>3432</v>
      </c>
      <c r="AC4016">
        <v>68.916300000000007</v>
      </c>
      <c r="AD4016">
        <v>1</v>
      </c>
      <c r="AE4016">
        <v>1</v>
      </c>
      <c r="AF4016">
        <v>0</v>
      </c>
      <c r="AG4016">
        <v>5926.8</v>
      </c>
      <c r="AH4016">
        <v>86</v>
      </c>
      <c r="AI4016">
        <v>85</v>
      </c>
      <c r="AJ4016">
        <v>1</v>
      </c>
      <c r="AK4016">
        <v>1</v>
      </c>
      <c r="AL4016">
        <v>1</v>
      </c>
      <c r="AM4016">
        <v>98.84</v>
      </c>
      <c r="AN4016">
        <v>71.214100000000002</v>
      </c>
      <c r="AO4016">
        <v>68.92</v>
      </c>
      <c r="AP4016" s="13">
        <v>45664</v>
      </c>
      <c r="AQ4016">
        <v>1</v>
      </c>
      <c r="AR4016">
        <v>0</v>
      </c>
    </row>
    <row r="4017" spans="1:44" x14ac:dyDescent="0.35">
      <c r="A4017" s="12" t="s">
        <v>4942</v>
      </c>
      <c r="B4017" s="12" t="s">
        <v>706</v>
      </c>
      <c r="C4017" s="12" t="s">
        <v>707</v>
      </c>
      <c r="D4017" s="12" t="s">
        <v>130</v>
      </c>
      <c r="E4017" s="12" t="s">
        <v>142</v>
      </c>
      <c r="F4017">
        <v>1</v>
      </c>
      <c r="G4017">
        <v>8</v>
      </c>
      <c r="H4017">
        <v>1</v>
      </c>
      <c r="I4017" s="12" t="s">
        <v>263</v>
      </c>
      <c r="J4017" s="12" t="s">
        <v>264</v>
      </c>
      <c r="K4017" s="12" t="s">
        <v>125</v>
      </c>
      <c r="L4017" s="12" t="s">
        <v>82</v>
      </c>
      <c r="M4017">
        <v>10.210000000000001</v>
      </c>
      <c r="N4017" s="12" t="s">
        <v>135</v>
      </c>
      <c r="O4017" s="12" t="s">
        <v>136</v>
      </c>
      <c r="P4017" s="12" t="s">
        <v>137</v>
      </c>
      <c r="Q4017" s="13">
        <v>45642</v>
      </c>
      <c r="R4017" s="13">
        <v>45686</v>
      </c>
      <c r="S4017">
        <v>2024</v>
      </c>
      <c r="T4017" s="12" t="s">
        <v>4841</v>
      </c>
      <c r="U4017">
        <v>84</v>
      </c>
      <c r="V4017">
        <v>277.214</v>
      </c>
      <c r="W4017">
        <v>436.7</v>
      </c>
      <c r="X4017">
        <v>0</v>
      </c>
      <c r="Y4017">
        <v>0</v>
      </c>
      <c r="Z4017">
        <v>23285.98</v>
      </c>
      <c r="AA4017">
        <v>23722.68</v>
      </c>
      <c r="AB4017" s="12" t="s">
        <v>3434</v>
      </c>
      <c r="AC4017">
        <v>277.214</v>
      </c>
      <c r="AD4017">
        <v>1</v>
      </c>
      <c r="AE4017">
        <v>1</v>
      </c>
      <c r="AF4017">
        <v>0</v>
      </c>
      <c r="AG4017">
        <v>23285.98</v>
      </c>
      <c r="AH4017">
        <v>84</v>
      </c>
      <c r="AI4017">
        <v>83</v>
      </c>
      <c r="AJ4017">
        <v>1</v>
      </c>
      <c r="AK4017">
        <v>1</v>
      </c>
      <c r="AL4017">
        <v>1</v>
      </c>
      <c r="AM4017">
        <v>98.81</v>
      </c>
      <c r="AN4017">
        <v>285.81540000000001</v>
      </c>
      <c r="AO4017">
        <v>277.20999999999998</v>
      </c>
      <c r="AP4017" s="13">
        <v>45684</v>
      </c>
      <c r="AQ4017">
        <v>-2</v>
      </c>
      <c r="AR4017">
        <v>1</v>
      </c>
    </row>
    <row r="4018" spans="1:44" x14ac:dyDescent="0.35">
      <c r="A4018" s="12" t="s">
        <v>4943</v>
      </c>
      <c r="B4018" s="12" t="s">
        <v>1054</v>
      </c>
      <c r="C4018" s="12" t="s">
        <v>1055</v>
      </c>
      <c r="D4018" s="12" t="s">
        <v>122</v>
      </c>
      <c r="E4018" s="12" t="s">
        <v>65</v>
      </c>
      <c r="F4018">
        <v>1</v>
      </c>
      <c r="G4018">
        <v>2</v>
      </c>
      <c r="H4018">
        <v>1</v>
      </c>
      <c r="I4018" s="12" t="s">
        <v>176</v>
      </c>
      <c r="J4018" s="12" t="s">
        <v>177</v>
      </c>
      <c r="K4018" s="12" t="s">
        <v>125</v>
      </c>
      <c r="L4018" s="12" t="s">
        <v>134</v>
      </c>
      <c r="M4018">
        <v>1.75</v>
      </c>
      <c r="N4018" s="12" t="s">
        <v>70</v>
      </c>
      <c r="O4018" s="12" t="s">
        <v>71</v>
      </c>
      <c r="P4018" s="12" t="s">
        <v>72</v>
      </c>
      <c r="Q4018" s="13">
        <v>45642</v>
      </c>
      <c r="R4018" s="13">
        <v>45666</v>
      </c>
      <c r="S4018">
        <v>2024</v>
      </c>
      <c r="T4018" s="12" t="s">
        <v>4841</v>
      </c>
      <c r="U4018">
        <v>547</v>
      </c>
      <c r="V4018">
        <v>45.850499999999997</v>
      </c>
      <c r="W4018">
        <v>499.76</v>
      </c>
      <c r="X4018">
        <v>0</v>
      </c>
      <c r="Y4018">
        <v>0</v>
      </c>
      <c r="Z4018">
        <v>25080.22</v>
      </c>
      <c r="AA4018">
        <v>25579.98</v>
      </c>
      <c r="AB4018" s="12" t="s">
        <v>3227</v>
      </c>
      <c r="AC4018">
        <v>45.850499999999997</v>
      </c>
      <c r="AD4018">
        <v>1</v>
      </c>
      <c r="AE4018">
        <v>1</v>
      </c>
      <c r="AF4018">
        <v>0</v>
      </c>
      <c r="AG4018">
        <v>25080.22</v>
      </c>
      <c r="AH4018">
        <v>547</v>
      </c>
      <c r="AI4018">
        <v>542</v>
      </c>
      <c r="AJ4018">
        <v>5</v>
      </c>
      <c r="AK4018">
        <v>1</v>
      </c>
      <c r="AL4018">
        <v>1</v>
      </c>
      <c r="AM4018">
        <v>99.09</v>
      </c>
      <c r="AN4018">
        <v>47.195500000000003</v>
      </c>
      <c r="AO4018">
        <v>229.25</v>
      </c>
      <c r="AP4018" s="13">
        <v>45663</v>
      </c>
      <c r="AQ4018">
        <v>-3</v>
      </c>
      <c r="AR4018">
        <v>1</v>
      </c>
    </row>
    <row r="4019" spans="1:44" x14ac:dyDescent="0.35">
      <c r="A4019" s="12" t="s">
        <v>4944</v>
      </c>
      <c r="B4019" s="12" t="s">
        <v>617</v>
      </c>
      <c r="C4019" s="12" t="s">
        <v>618</v>
      </c>
      <c r="D4019" s="12" t="s">
        <v>78</v>
      </c>
      <c r="E4019" s="12" t="s">
        <v>65</v>
      </c>
      <c r="F4019">
        <v>2</v>
      </c>
      <c r="G4019">
        <v>4</v>
      </c>
      <c r="H4019">
        <v>0</v>
      </c>
      <c r="I4019" s="12" t="s">
        <v>341</v>
      </c>
      <c r="J4019" s="12" t="s">
        <v>342</v>
      </c>
      <c r="K4019" s="12" t="s">
        <v>117</v>
      </c>
      <c r="L4019" s="12" t="s">
        <v>82</v>
      </c>
      <c r="M4019">
        <v>18.36</v>
      </c>
      <c r="N4019" s="12" t="s">
        <v>70</v>
      </c>
      <c r="O4019" s="12" t="s">
        <v>71</v>
      </c>
      <c r="P4019" s="12" t="s">
        <v>72</v>
      </c>
      <c r="Q4019" s="13">
        <v>45642</v>
      </c>
      <c r="R4019" s="13">
        <v>45664</v>
      </c>
      <c r="S4019">
        <v>2024</v>
      </c>
      <c r="T4019" s="12" t="s">
        <v>4841</v>
      </c>
      <c r="U4019">
        <v>61</v>
      </c>
      <c r="V4019">
        <v>96.5458</v>
      </c>
      <c r="W4019">
        <v>121.26</v>
      </c>
      <c r="X4019">
        <v>0</v>
      </c>
      <c r="Y4019">
        <v>0</v>
      </c>
      <c r="Z4019">
        <v>5889.29</v>
      </c>
      <c r="AA4019">
        <v>6010.55</v>
      </c>
      <c r="AB4019" s="12" t="s">
        <v>3217</v>
      </c>
      <c r="AC4019">
        <v>102.4909</v>
      </c>
      <c r="AD4019">
        <v>1</v>
      </c>
      <c r="AE4019">
        <v>1</v>
      </c>
      <c r="AF4019">
        <v>-362.65</v>
      </c>
      <c r="AG4019">
        <v>6251.94</v>
      </c>
      <c r="AH4019">
        <v>61</v>
      </c>
      <c r="AI4019">
        <v>60</v>
      </c>
      <c r="AJ4019">
        <v>1</v>
      </c>
      <c r="AK4019">
        <v>1</v>
      </c>
      <c r="AL4019">
        <v>1</v>
      </c>
      <c r="AM4019">
        <v>98.36</v>
      </c>
      <c r="AN4019">
        <v>100.1759</v>
      </c>
      <c r="AO4019">
        <v>96.55</v>
      </c>
      <c r="AP4019" s="13">
        <v>45665</v>
      </c>
      <c r="AQ4019">
        <v>1</v>
      </c>
      <c r="AR4019">
        <v>0</v>
      </c>
    </row>
    <row r="4020" spans="1:44" x14ac:dyDescent="0.35">
      <c r="A4020" s="12" t="s">
        <v>4945</v>
      </c>
      <c r="B4020" s="12" t="s">
        <v>442</v>
      </c>
      <c r="C4020" s="12" t="s">
        <v>443</v>
      </c>
      <c r="D4020" s="12" t="s">
        <v>130</v>
      </c>
      <c r="E4020" s="12" t="s">
        <v>65</v>
      </c>
      <c r="F4020">
        <v>3</v>
      </c>
      <c r="G4020">
        <v>4</v>
      </c>
      <c r="H4020">
        <v>0</v>
      </c>
      <c r="I4020" s="12" t="s">
        <v>233</v>
      </c>
      <c r="J4020" s="12" t="s">
        <v>234</v>
      </c>
      <c r="K4020" s="12" t="s">
        <v>125</v>
      </c>
      <c r="L4020" s="12" t="s">
        <v>96</v>
      </c>
      <c r="M4020">
        <v>3.73</v>
      </c>
      <c r="N4020" s="12" t="s">
        <v>159</v>
      </c>
      <c r="O4020" s="12" t="s">
        <v>160</v>
      </c>
      <c r="P4020" s="12" t="s">
        <v>137</v>
      </c>
      <c r="Q4020" s="13">
        <v>45642</v>
      </c>
      <c r="R4020" s="13">
        <v>45666</v>
      </c>
      <c r="S4020">
        <v>2024</v>
      </c>
      <c r="T4020" s="12" t="s">
        <v>4841</v>
      </c>
      <c r="U4020">
        <v>39</v>
      </c>
      <c r="V4020">
        <v>555.20090000000005</v>
      </c>
      <c r="W4020">
        <v>136.18</v>
      </c>
      <c r="X4020">
        <v>0</v>
      </c>
      <c r="Y4020">
        <v>0</v>
      </c>
      <c r="Z4020">
        <v>21652.84</v>
      </c>
      <c r="AA4020">
        <v>21789.02</v>
      </c>
      <c r="AB4020" s="12" t="s">
        <v>201</v>
      </c>
      <c r="AD4020">
        <v>0</v>
      </c>
      <c r="AE4020">
        <v>0</v>
      </c>
      <c r="AH4020">
        <v>39</v>
      </c>
      <c r="AI4020">
        <v>38</v>
      </c>
      <c r="AJ4020">
        <v>1</v>
      </c>
      <c r="AK4020">
        <v>1</v>
      </c>
      <c r="AL4020">
        <v>1</v>
      </c>
      <c r="AM4020">
        <v>97.44</v>
      </c>
      <c r="AN4020">
        <v>573.39509999999996</v>
      </c>
      <c r="AO4020">
        <v>555.20000000000005</v>
      </c>
      <c r="AP4020" s="13">
        <v>45666</v>
      </c>
      <c r="AQ4020">
        <v>0</v>
      </c>
      <c r="AR4020">
        <v>1</v>
      </c>
    </row>
    <row r="4021" spans="1:44" x14ac:dyDescent="0.35">
      <c r="A4021" s="12" t="s">
        <v>4946</v>
      </c>
      <c r="B4021" s="12" t="s">
        <v>331</v>
      </c>
      <c r="C4021" s="12" t="s">
        <v>332</v>
      </c>
      <c r="D4021" s="12" t="s">
        <v>122</v>
      </c>
      <c r="E4021" s="12" t="s">
        <v>142</v>
      </c>
      <c r="F4021">
        <v>3</v>
      </c>
      <c r="G4021">
        <v>11</v>
      </c>
      <c r="H4021">
        <v>0</v>
      </c>
      <c r="I4021" s="12" t="s">
        <v>263</v>
      </c>
      <c r="J4021" s="12" t="s">
        <v>264</v>
      </c>
      <c r="K4021" s="12" t="s">
        <v>125</v>
      </c>
      <c r="L4021" s="12" t="s">
        <v>82</v>
      </c>
      <c r="M4021">
        <v>10.210000000000001</v>
      </c>
      <c r="N4021" s="12" t="s">
        <v>97</v>
      </c>
      <c r="O4021" s="12" t="s">
        <v>98</v>
      </c>
      <c r="P4021" s="12" t="s">
        <v>72</v>
      </c>
      <c r="Q4021" s="13">
        <v>45642</v>
      </c>
      <c r="R4021" s="13">
        <v>45678</v>
      </c>
      <c r="S4021">
        <v>2024</v>
      </c>
      <c r="T4021" s="12" t="s">
        <v>4841</v>
      </c>
      <c r="U4021">
        <v>399</v>
      </c>
      <c r="V4021">
        <v>22.597300000000001</v>
      </c>
      <c r="W4021">
        <v>61.38</v>
      </c>
      <c r="X4021">
        <v>0</v>
      </c>
      <c r="Y4021">
        <v>0</v>
      </c>
      <c r="Z4021">
        <v>9016.32</v>
      </c>
      <c r="AA4021">
        <v>9077.7000000000007</v>
      </c>
      <c r="AB4021" s="12" t="s">
        <v>2732</v>
      </c>
      <c r="AC4021">
        <v>24.008700000000001</v>
      </c>
      <c r="AD4021">
        <v>1</v>
      </c>
      <c r="AE4021">
        <v>1</v>
      </c>
      <c r="AF4021">
        <v>-563.15</v>
      </c>
      <c r="AG4021">
        <v>9579.4699999999993</v>
      </c>
      <c r="AH4021">
        <v>399</v>
      </c>
      <c r="AI4021">
        <v>397</v>
      </c>
      <c r="AJ4021">
        <v>2</v>
      </c>
      <c r="AK4021">
        <v>1</v>
      </c>
      <c r="AL4021">
        <v>1</v>
      </c>
      <c r="AM4021">
        <v>99.5</v>
      </c>
      <c r="AN4021">
        <v>22.8657</v>
      </c>
      <c r="AO4021">
        <v>45.19</v>
      </c>
      <c r="AP4021" s="13">
        <v>45675</v>
      </c>
      <c r="AQ4021">
        <v>-3</v>
      </c>
      <c r="AR4021">
        <v>1</v>
      </c>
    </row>
    <row r="4022" spans="1:44" x14ac:dyDescent="0.35">
      <c r="A4022" s="12" t="s">
        <v>4947</v>
      </c>
      <c r="B4022" s="12" t="s">
        <v>755</v>
      </c>
      <c r="C4022" s="12" t="s">
        <v>756</v>
      </c>
      <c r="D4022" s="12" t="s">
        <v>78</v>
      </c>
      <c r="E4022" s="12" t="s">
        <v>65</v>
      </c>
      <c r="F4022">
        <v>2</v>
      </c>
      <c r="G4022">
        <v>2</v>
      </c>
      <c r="H4022">
        <v>0</v>
      </c>
      <c r="I4022" s="12" t="s">
        <v>251</v>
      </c>
      <c r="J4022" s="12" t="s">
        <v>252</v>
      </c>
      <c r="K4022" s="12" t="s">
        <v>133</v>
      </c>
      <c r="L4022" s="12" t="s">
        <v>69</v>
      </c>
      <c r="M4022">
        <v>34.49</v>
      </c>
      <c r="N4022" s="12" t="s">
        <v>97</v>
      </c>
      <c r="O4022" s="12" t="s">
        <v>98</v>
      </c>
      <c r="P4022" s="12" t="s">
        <v>72</v>
      </c>
      <c r="Q4022" s="13">
        <v>45642</v>
      </c>
      <c r="R4022" s="13">
        <v>45674</v>
      </c>
      <c r="S4022">
        <v>2024</v>
      </c>
      <c r="T4022" s="12" t="s">
        <v>4841</v>
      </c>
      <c r="U4022">
        <v>204</v>
      </c>
      <c r="V4022">
        <v>45.442900000000002</v>
      </c>
      <c r="W4022">
        <v>145.44999999999999</v>
      </c>
      <c r="X4022">
        <v>0</v>
      </c>
      <c r="Y4022">
        <v>0</v>
      </c>
      <c r="Z4022">
        <v>9270.35</v>
      </c>
      <c r="AA4022">
        <v>9415.7999999999993</v>
      </c>
      <c r="AB4022" s="12" t="s">
        <v>4416</v>
      </c>
      <c r="AC4022">
        <v>45.442900000000002</v>
      </c>
      <c r="AD4022">
        <v>1</v>
      </c>
      <c r="AE4022">
        <v>1</v>
      </c>
      <c r="AF4022">
        <v>0</v>
      </c>
      <c r="AG4022">
        <v>9270.35</v>
      </c>
      <c r="AH4022">
        <v>204</v>
      </c>
      <c r="AI4022">
        <v>201</v>
      </c>
      <c r="AJ4022">
        <v>3</v>
      </c>
      <c r="AK4022">
        <v>1</v>
      </c>
      <c r="AL4022">
        <v>1</v>
      </c>
      <c r="AM4022">
        <v>98.53</v>
      </c>
      <c r="AN4022">
        <v>46.844799999999999</v>
      </c>
      <c r="AO4022">
        <v>136.33000000000001</v>
      </c>
      <c r="AP4022" s="13">
        <v>45674</v>
      </c>
      <c r="AQ4022">
        <v>0</v>
      </c>
      <c r="AR4022">
        <v>1</v>
      </c>
    </row>
    <row r="4023" spans="1:44" x14ac:dyDescent="0.35">
      <c r="A4023" s="12" t="s">
        <v>4948</v>
      </c>
      <c r="B4023" s="12" t="s">
        <v>827</v>
      </c>
      <c r="C4023" s="12" t="s">
        <v>828</v>
      </c>
      <c r="D4023" s="12" t="s">
        <v>175</v>
      </c>
      <c r="E4023" s="12" t="s">
        <v>104</v>
      </c>
      <c r="F4023">
        <v>2</v>
      </c>
      <c r="G4023">
        <v>0</v>
      </c>
      <c r="H4023">
        <v>0</v>
      </c>
      <c r="I4023" s="12" t="s">
        <v>183</v>
      </c>
      <c r="J4023" s="12" t="s">
        <v>184</v>
      </c>
      <c r="K4023" s="12" t="s">
        <v>133</v>
      </c>
      <c r="L4023" s="12" t="s">
        <v>82</v>
      </c>
      <c r="M4023">
        <v>8.6199999999999992</v>
      </c>
      <c r="N4023" s="12" t="s">
        <v>145</v>
      </c>
      <c r="O4023" s="12" t="s">
        <v>146</v>
      </c>
      <c r="P4023" s="12" t="s">
        <v>109</v>
      </c>
      <c r="Q4023" s="13">
        <v>45642</v>
      </c>
      <c r="R4023" s="13">
        <v>45662</v>
      </c>
      <c r="S4023">
        <v>2024</v>
      </c>
      <c r="T4023" s="12" t="s">
        <v>4841</v>
      </c>
      <c r="U4023">
        <v>77</v>
      </c>
      <c r="V4023">
        <v>101.62560000000001</v>
      </c>
      <c r="W4023">
        <v>137.49</v>
      </c>
      <c r="X4023">
        <v>0</v>
      </c>
      <c r="Y4023">
        <v>0</v>
      </c>
      <c r="Z4023">
        <v>7825.17</v>
      </c>
      <c r="AA4023">
        <v>7962.66</v>
      </c>
      <c r="AB4023" s="12" t="s">
        <v>3394</v>
      </c>
      <c r="AC4023">
        <v>101.62560000000001</v>
      </c>
      <c r="AD4023">
        <v>1</v>
      </c>
      <c r="AE4023">
        <v>1</v>
      </c>
      <c r="AF4023">
        <v>0</v>
      </c>
      <c r="AG4023">
        <v>7825.17</v>
      </c>
      <c r="AH4023">
        <v>77</v>
      </c>
      <c r="AI4023">
        <v>77</v>
      </c>
      <c r="AJ4023">
        <v>0</v>
      </c>
      <c r="AK4023">
        <v>1</v>
      </c>
      <c r="AL4023">
        <v>1</v>
      </c>
      <c r="AM4023">
        <v>100</v>
      </c>
      <c r="AN4023">
        <v>103.41119999999999</v>
      </c>
      <c r="AO4023">
        <v>0</v>
      </c>
      <c r="AP4023" s="13">
        <v>45664</v>
      </c>
      <c r="AQ4023">
        <v>2</v>
      </c>
      <c r="AR4023">
        <v>0</v>
      </c>
    </row>
    <row r="4024" spans="1:44" x14ac:dyDescent="0.35">
      <c r="A4024" s="12" t="s">
        <v>4949</v>
      </c>
      <c r="B4024" s="12" t="s">
        <v>1026</v>
      </c>
      <c r="C4024" s="12" t="s">
        <v>1027</v>
      </c>
      <c r="D4024" s="12" t="s">
        <v>122</v>
      </c>
      <c r="E4024" s="12" t="s">
        <v>104</v>
      </c>
      <c r="F4024">
        <v>3</v>
      </c>
      <c r="G4024">
        <v>1</v>
      </c>
      <c r="H4024">
        <v>0</v>
      </c>
      <c r="I4024" s="12" t="s">
        <v>604</v>
      </c>
      <c r="J4024" s="12" t="s">
        <v>605</v>
      </c>
      <c r="K4024" s="12" t="s">
        <v>68</v>
      </c>
      <c r="L4024" s="12" t="s">
        <v>82</v>
      </c>
      <c r="M4024">
        <v>7.24</v>
      </c>
      <c r="N4024" s="12" t="s">
        <v>97</v>
      </c>
      <c r="O4024" s="12" t="s">
        <v>98</v>
      </c>
      <c r="P4024" s="12" t="s">
        <v>72</v>
      </c>
      <c r="Q4024" s="13">
        <v>45642</v>
      </c>
      <c r="R4024" s="13">
        <v>45658</v>
      </c>
      <c r="S4024">
        <v>2024</v>
      </c>
      <c r="T4024" s="12" t="s">
        <v>4841</v>
      </c>
      <c r="U4024">
        <v>687</v>
      </c>
      <c r="V4024">
        <v>41.213299999999997</v>
      </c>
      <c r="W4024">
        <v>670.42</v>
      </c>
      <c r="X4024">
        <v>0</v>
      </c>
      <c r="Y4024">
        <v>0</v>
      </c>
      <c r="Z4024">
        <v>28313.54</v>
      </c>
      <c r="AA4024">
        <v>28983.96</v>
      </c>
      <c r="AB4024" s="12" t="s">
        <v>3786</v>
      </c>
      <c r="AC4024">
        <v>41.213299999999997</v>
      </c>
      <c r="AD4024">
        <v>1</v>
      </c>
      <c r="AE4024">
        <v>1</v>
      </c>
      <c r="AF4024">
        <v>0</v>
      </c>
      <c r="AG4024">
        <v>28313.54</v>
      </c>
      <c r="AH4024">
        <v>687</v>
      </c>
      <c r="AI4024">
        <v>680</v>
      </c>
      <c r="AJ4024">
        <v>7</v>
      </c>
      <c r="AK4024">
        <v>1</v>
      </c>
      <c r="AL4024">
        <v>1</v>
      </c>
      <c r="AM4024">
        <v>98.98</v>
      </c>
      <c r="AN4024">
        <v>42.6235</v>
      </c>
      <c r="AO4024">
        <v>288.49</v>
      </c>
      <c r="AP4024" s="13">
        <v>45656</v>
      </c>
      <c r="AQ4024">
        <v>-2</v>
      </c>
      <c r="AR4024">
        <v>1</v>
      </c>
    </row>
    <row r="4025" spans="1:44" x14ac:dyDescent="0.35">
      <c r="A4025" s="12" t="s">
        <v>4950</v>
      </c>
      <c r="B4025" s="12" t="s">
        <v>1166</v>
      </c>
      <c r="C4025" s="12" t="s">
        <v>1167</v>
      </c>
      <c r="D4025" s="12" t="s">
        <v>175</v>
      </c>
      <c r="E4025" s="12" t="s">
        <v>65</v>
      </c>
      <c r="F4025">
        <v>3</v>
      </c>
      <c r="G4025">
        <v>5</v>
      </c>
      <c r="H4025">
        <v>0</v>
      </c>
      <c r="I4025" s="12" t="s">
        <v>143</v>
      </c>
      <c r="J4025" s="12" t="s">
        <v>144</v>
      </c>
      <c r="K4025" s="12" t="s">
        <v>133</v>
      </c>
      <c r="L4025" s="12" t="s">
        <v>96</v>
      </c>
      <c r="M4025">
        <v>5.43</v>
      </c>
      <c r="N4025" s="12" t="s">
        <v>107</v>
      </c>
      <c r="O4025" s="12" t="s">
        <v>108</v>
      </c>
      <c r="P4025" s="12" t="s">
        <v>109</v>
      </c>
      <c r="Q4025" s="13">
        <v>45642</v>
      </c>
      <c r="R4025" s="13">
        <v>45680</v>
      </c>
      <c r="S4025">
        <v>2024</v>
      </c>
      <c r="T4025" s="12" t="s">
        <v>4841</v>
      </c>
      <c r="U4025">
        <v>146</v>
      </c>
      <c r="V4025">
        <v>261.84010000000001</v>
      </c>
      <c r="W4025">
        <v>849.96</v>
      </c>
      <c r="X4025">
        <v>0</v>
      </c>
      <c r="Y4025">
        <v>0</v>
      </c>
      <c r="Z4025">
        <v>38228.65</v>
      </c>
      <c r="AA4025">
        <v>39078.61</v>
      </c>
      <c r="AB4025" s="12" t="s">
        <v>201</v>
      </c>
      <c r="AD4025">
        <v>0</v>
      </c>
      <c r="AE4025">
        <v>0</v>
      </c>
      <c r="AH4025">
        <v>146</v>
      </c>
      <c r="AI4025">
        <v>145</v>
      </c>
      <c r="AJ4025">
        <v>1</v>
      </c>
      <c r="AK4025">
        <v>1</v>
      </c>
      <c r="AL4025">
        <v>1</v>
      </c>
      <c r="AM4025">
        <v>99.32</v>
      </c>
      <c r="AN4025">
        <v>269.5077</v>
      </c>
      <c r="AO4025">
        <v>261.83999999999997</v>
      </c>
      <c r="AP4025" s="13">
        <v>45680</v>
      </c>
      <c r="AQ4025">
        <v>0</v>
      </c>
      <c r="AR4025">
        <v>1</v>
      </c>
    </row>
    <row r="4026" spans="1:44" x14ac:dyDescent="0.35">
      <c r="A4026" s="12" t="s">
        <v>4951</v>
      </c>
      <c r="B4026" s="12" t="s">
        <v>787</v>
      </c>
      <c r="C4026" s="12" t="s">
        <v>788</v>
      </c>
      <c r="D4026" s="12" t="s">
        <v>269</v>
      </c>
      <c r="E4026" s="12" t="s">
        <v>65</v>
      </c>
      <c r="F4026">
        <v>2</v>
      </c>
      <c r="G4026">
        <v>3</v>
      </c>
      <c r="H4026">
        <v>0</v>
      </c>
      <c r="I4026" s="12" t="s">
        <v>263</v>
      </c>
      <c r="J4026" s="12" t="s">
        <v>264</v>
      </c>
      <c r="K4026" s="12" t="s">
        <v>125</v>
      </c>
      <c r="L4026" s="12" t="s">
        <v>82</v>
      </c>
      <c r="M4026">
        <v>10.210000000000001</v>
      </c>
      <c r="N4026" s="12" t="s">
        <v>159</v>
      </c>
      <c r="O4026" s="12" t="s">
        <v>160</v>
      </c>
      <c r="P4026" s="12" t="s">
        <v>137</v>
      </c>
      <c r="Q4026" s="13">
        <v>45642</v>
      </c>
      <c r="R4026" s="13">
        <v>45672</v>
      </c>
      <c r="S4026">
        <v>2024</v>
      </c>
      <c r="T4026" s="12" t="s">
        <v>4841</v>
      </c>
      <c r="U4026">
        <v>81</v>
      </c>
      <c r="V4026">
        <v>322.4162</v>
      </c>
      <c r="W4026">
        <v>334.83</v>
      </c>
      <c r="X4026">
        <v>0</v>
      </c>
      <c r="Y4026">
        <v>0</v>
      </c>
      <c r="Z4026">
        <v>26115.71</v>
      </c>
      <c r="AA4026">
        <v>26450.54</v>
      </c>
      <c r="AB4026" s="12" t="s">
        <v>3502</v>
      </c>
      <c r="AC4026">
        <v>322.4162</v>
      </c>
      <c r="AD4026">
        <v>1</v>
      </c>
      <c r="AE4026">
        <v>1</v>
      </c>
      <c r="AF4026">
        <v>0</v>
      </c>
      <c r="AG4026">
        <v>26115.71</v>
      </c>
      <c r="AH4026">
        <v>81</v>
      </c>
      <c r="AI4026">
        <v>80</v>
      </c>
      <c r="AJ4026">
        <v>1</v>
      </c>
      <c r="AK4026">
        <v>1</v>
      </c>
      <c r="AL4026">
        <v>1</v>
      </c>
      <c r="AM4026">
        <v>98.77</v>
      </c>
      <c r="AN4026">
        <v>330.6318</v>
      </c>
      <c r="AO4026">
        <v>322.42</v>
      </c>
      <c r="AP4026" s="13">
        <v>45670</v>
      </c>
      <c r="AQ4026">
        <v>-2</v>
      </c>
      <c r="AR4026">
        <v>1</v>
      </c>
    </row>
    <row r="4027" spans="1:44" x14ac:dyDescent="0.35">
      <c r="A4027" s="12" t="s">
        <v>4952</v>
      </c>
      <c r="B4027" s="12" t="s">
        <v>537</v>
      </c>
      <c r="C4027" s="12" t="s">
        <v>538</v>
      </c>
      <c r="D4027" s="12" t="s">
        <v>103</v>
      </c>
      <c r="E4027" s="12" t="s">
        <v>104</v>
      </c>
      <c r="F4027">
        <v>3</v>
      </c>
      <c r="G4027">
        <v>0</v>
      </c>
      <c r="H4027">
        <v>0</v>
      </c>
      <c r="I4027" s="12" t="s">
        <v>143</v>
      </c>
      <c r="J4027" s="12" t="s">
        <v>144</v>
      </c>
      <c r="K4027" s="12" t="s">
        <v>133</v>
      </c>
      <c r="L4027" s="12" t="s">
        <v>96</v>
      </c>
      <c r="M4027">
        <v>5.43</v>
      </c>
      <c r="N4027" s="12" t="s">
        <v>145</v>
      </c>
      <c r="O4027" s="12" t="s">
        <v>146</v>
      </c>
      <c r="P4027" s="12" t="s">
        <v>109</v>
      </c>
      <c r="Q4027" s="13">
        <v>45643</v>
      </c>
      <c r="R4027" s="13">
        <v>45666</v>
      </c>
      <c r="S4027">
        <v>2024</v>
      </c>
      <c r="T4027" s="12" t="s">
        <v>4841</v>
      </c>
      <c r="U4027">
        <v>99</v>
      </c>
      <c r="V4027">
        <v>255.0719</v>
      </c>
      <c r="W4027">
        <v>412.18</v>
      </c>
      <c r="X4027">
        <v>0</v>
      </c>
      <c r="Y4027">
        <v>0</v>
      </c>
      <c r="Z4027">
        <v>25252.12</v>
      </c>
      <c r="AA4027">
        <v>25664.3</v>
      </c>
      <c r="AB4027" s="12" t="s">
        <v>3321</v>
      </c>
      <c r="AC4027">
        <v>240.59469999999999</v>
      </c>
      <c r="AD4027">
        <v>1</v>
      </c>
      <c r="AE4027">
        <v>1</v>
      </c>
      <c r="AF4027">
        <v>1433.24</v>
      </c>
      <c r="AG4027">
        <v>23818.880000000001</v>
      </c>
      <c r="AH4027">
        <v>99</v>
      </c>
      <c r="AI4027">
        <v>98</v>
      </c>
      <c r="AJ4027">
        <v>1</v>
      </c>
      <c r="AK4027">
        <v>1</v>
      </c>
      <c r="AL4027">
        <v>1</v>
      </c>
      <c r="AM4027">
        <v>98.99</v>
      </c>
      <c r="AN4027">
        <v>261.88060000000002</v>
      </c>
      <c r="AO4027">
        <v>255.07</v>
      </c>
      <c r="AP4027" s="13">
        <v>45664</v>
      </c>
      <c r="AQ4027">
        <v>-2</v>
      </c>
      <c r="AR4027">
        <v>1</v>
      </c>
    </row>
    <row r="4028" spans="1:44" x14ac:dyDescent="0.35">
      <c r="A4028" s="12" t="s">
        <v>4953</v>
      </c>
      <c r="B4028" s="12" t="s">
        <v>317</v>
      </c>
      <c r="C4028" s="12" t="s">
        <v>318</v>
      </c>
      <c r="D4028" s="12" t="s">
        <v>64</v>
      </c>
      <c r="E4028" s="12" t="s">
        <v>104</v>
      </c>
      <c r="F4028">
        <v>2</v>
      </c>
      <c r="G4028">
        <v>0</v>
      </c>
      <c r="H4028">
        <v>0</v>
      </c>
      <c r="I4028" s="12" t="s">
        <v>169</v>
      </c>
      <c r="J4028" s="12" t="s">
        <v>170</v>
      </c>
      <c r="K4028" s="12" t="s">
        <v>89</v>
      </c>
      <c r="L4028" s="12" t="s">
        <v>134</v>
      </c>
      <c r="M4028">
        <v>1.37</v>
      </c>
      <c r="N4028" s="12" t="s">
        <v>97</v>
      </c>
      <c r="O4028" s="12" t="s">
        <v>98</v>
      </c>
      <c r="P4028" s="12" t="s">
        <v>72</v>
      </c>
      <c r="Q4028" s="13">
        <v>45643</v>
      </c>
      <c r="R4028" s="13">
        <v>45660</v>
      </c>
      <c r="S4028">
        <v>2024</v>
      </c>
      <c r="T4028" s="12" t="s">
        <v>4841</v>
      </c>
      <c r="U4028">
        <v>392</v>
      </c>
      <c r="V4028">
        <v>15.835699999999999</v>
      </c>
      <c r="W4028">
        <v>81.84</v>
      </c>
      <c r="X4028">
        <v>0</v>
      </c>
      <c r="Y4028">
        <v>0</v>
      </c>
      <c r="Z4028">
        <v>6207.59</v>
      </c>
      <c r="AA4028">
        <v>6289.43</v>
      </c>
      <c r="AB4028" s="12" t="s">
        <v>3006</v>
      </c>
      <c r="AC4028">
        <v>15.835699999999999</v>
      </c>
      <c r="AD4028">
        <v>1</v>
      </c>
      <c r="AE4028">
        <v>1</v>
      </c>
      <c r="AF4028">
        <v>0</v>
      </c>
      <c r="AG4028">
        <v>6207.59</v>
      </c>
      <c r="AH4028">
        <v>392</v>
      </c>
      <c r="AI4028">
        <v>386</v>
      </c>
      <c r="AJ4028">
        <v>6</v>
      </c>
      <c r="AK4028">
        <v>1</v>
      </c>
      <c r="AL4028">
        <v>1</v>
      </c>
      <c r="AM4028">
        <v>98.47</v>
      </c>
      <c r="AN4028">
        <v>16.293900000000001</v>
      </c>
      <c r="AO4028">
        <v>95.01</v>
      </c>
      <c r="AP4028" s="13">
        <v>45658</v>
      </c>
      <c r="AQ4028">
        <v>-2</v>
      </c>
      <c r="AR4028">
        <v>1</v>
      </c>
    </row>
    <row r="4029" spans="1:44" x14ac:dyDescent="0.35">
      <c r="A4029" s="12" t="s">
        <v>4954</v>
      </c>
      <c r="B4029" s="12" t="s">
        <v>1034</v>
      </c>
      <c r="C4029" s="12" t="s">
        <v>1035</v>
      </c>
      <c r="D4029" s="12" t="s">
        <v>64</v>
      </c>
      <c r="E4029" s="12" t="s">
        <v>104</v>
      </c>
      <c r="F4029">
        <v>2</v>
      </c>
      <c r="G4029">
        <v>0</v>
      </c>
      <c r="H4029">
        <v>0</v>
      </c>
      <c r="I4029" s="12" t="s">
        <v>157</v>
      </c>
      <c r="J4029" s="12" t="s">
        <v>158</v>
      </c>
      <c r="K4029" s="12" t="s">
        <v>117</v>
      </c>
      <c r="L4029" s="12" t="s">
        <v>96</v>
      </c>
      <c r="M4029">
        <v>4.72</v>
      </c>
      <c r="N4029" s="12" t="s">
        <v>97</v>
      </c>
      <c r="O4029" s="12" t="s">
        <v>98</v>
      </c>
      <c r="P4029" s="12" t="s">
        <v>72</v>
      </c>
      <c r="Q4029" s="13">
        <v>45643</v>
      </c>
      <c r="R4029" s="13">
        <v>45659</v>
      </c>
      <c r="S4029">
        <v>2024</v>
      </c>
      <c r="T4029" s="12" t="s">
        <v>4841</v>
      </c>
      <c r="U4029">
        <v>341</v>
      </c>
      <c r="V4029">
        <v>9.2698</v>
      </c>
      <c r="W4029">
        <v>42.67</v>
      </c>
      <c r="X4029">
        <v>0</v>
      </c>
      <c r="Y4029">
        <v>0</v>
      </c>
      <c r="Z4029">
        <v>3161</v>
      </c>
      <c r="AA4029">
        <v>3203.67</v>
      </c>
      <c r="AB4029" s="12" t="s">
        <v>3309</v>
      </c>
      <c r="AC4029">
        <v>9.2698</v>
      </c>
      <c r="AD4029">
        <v>1</v>
      </c>
      <c r="AE4029">
        <v>1</v>
      </c>
      <c r="AF4029">
        <v>0</v>
      </c>
      <c r="AG4029">
        <v>3161</v>
      </c>
      <c r="AH4029">
        <v>341</v>
      </c>
      <c r="AI4029">
        <v>337</v>
      </c>
      <c r="AJ4029">
        <v>4</v>
      </c>
      <c r="AK4029">
        <v>1</v>
      </c>
      <c r="AL4029">
        <v>1</v>
      </c>
      <c r="AM4029">
        <v>98.83</v>
      </c>
      <c r="AN4029">
        <v>9.5063999999999993</v>
      </c>
      <c r="AO4029">
        <v>37.08</v>
      </c>
      <c r="AP4029" s="13">
        <v>45657</v>
      </c>
      <c r="AQ4029">
        <v>-2</v>
      </c>
      <c r="AR4029">
        <v>1</v>
      </c>
    </row>
    <row r="4030" spans="1:44" x14ac:dyDescent="0.35">
      <c r="A4030" s="12" t="s">
        <v>4955</v>
      </c>
      <c r="B4030" s="12" t="s">
        <v>1068</v>
      </c>
      <c r="C4030" s="12" t="s">
        <v>1069</v>
      </c>
      <c r="D4030" s="12" t="s">
        <v>122</v>
      </c>
      <c r="E4030" s="12" t="s">
        <v>65</v>
      </c>
      <c r="F4030">
        <v>2</v>
      </c>
      <c r="G4030">
        <v>2</v>
      </c>
      <c r="H4030">
        <v>0</v>
      </c>
      <c r="I4030" s="12" t="s">
        <v>79</v>
      </c>
      <c r="J4030" s="12" t="s">
        <v>80</v>
      </c>
      <c r="K4030" s="12" t="s">
        <v>81</v>
      </c>
      <c r="L4030" s="12" t="s">
        <v>82</v>
      </c>
      <c r="M4030">
        <v>12.07</v>
      </c>
      <c r="N4030" s="12" t="s">
        <v>70</v>
      </c>
      <c r="O4030" s="12" t="s">
        <v>71</v>
      </c>
      <c r="P4030" s="12" t="s">
        <v>72</v>
      </c>
      <c r="Q4030" s="13">
        <v>45643</v>
      </c>
      <c r="R4030" s="13">
        <v>45666</v>
      </c>
      <c r="S4030">
        <v>2024</v>
      </c>
      <c r="T4030" s="12" t="s">
        <v>4841</v>
      </c>
      <c r="U4030">
        <v>458</v>
      </c>
      <c r="V4030">
        <v>22.316600000000001</v>
      </c>
      <c r="W4030">
        <v>263.83999999999997</v>
      </c>
      <c r="X4030">
        <v>0</v>
      </c>
      <c r="Y4030">
        <v>0</v>
      </c>
      <c r="Z4030">
        <v>10221</v>
      </c>
      <c r="AA4030">
        <v>10484.84</v>
      </c>
      <c r="AB4030" s="12" t="s">
        <v>3113</v>
      </c>
      <c r="AC4030">
        <v>21.277999999999999</v>
      </c>
      <c r="AD4030">
        <v>1</v>
      </c>
      <c r="AE4030">
        <v>1</v>
      </c>
      <c r="AF4030">
        <v>475.68</v>
      </c>
      <c r="AG4030">
        <v>9745.32</v>
      </c>
      <c r="AH4030">
        <v>458</v>
      </c>
      <c r="AI4030">
        <v>455</v>
      </c>
      <c r="AJ4030">
        <v>3</v>
      </c>
      <c r="AK4030">
        <v>1</v>
      </c>
      <c r="AL4030">
        <v>1</v>
      </c>
      <c r="AM4030">
        <v>99.34</v>
      </c>
      <c r="AN4030">
        <v>23.043600000000001</v>
      </c>
      <c r="AO4030">
        <v>66.95</v>
      </c>
      <c r="AP4030" s="13">
        <v>45670</v>
      </c>
      <c r="AQ4030">
        <v>4</v>
      </c>
      <c r="AR4030">
        <v>0</v>
      </c>
    </row>
    <row r="4031" spans="1:44" x14ac:dyDescent="0.35">
      <c r="A4031" s="12" t="s">
        <v>4956</v>
      </c>
      <c r="B4031" s="12" t="s">
        <v>598</v>
      </c>
      <c r="C4031" s="12" t="s">
        <v>599</v>
      </c>
      <c r="D4031" s="12" t="s">
        <v>269</v>
      </c>
      <c r="E4031" s="12" t="s">
        <v>65</v>
      </c>
      <c r="F4031">
        <v>1</v>
      </c>
      <c r="G4031">
        <v>2</v>
      </c>
      <c r="H4031">
        <v>1</v>
      </c>
      <c r="I4031" s="12" t="s">
        <v>176</v>
      </c>
      <c r="J4031" s="12" t="s">
        <v>177</v>
      </c>
      <c r="K4031" s="12" t="s">
        <v>125</v>
      </c>
      <c r="L4031" s="12" t="s">
        <v>134</v>
      </c>
      <c r="M4031">
        <v>1.75</v>
      </c>
      <c r="N4031" s="12" t="s">
        <v>159</v>
      </c>
      <c r="O4031" s="12" t="s">
        <v>160</v>
      </c>
      <c r="P4031" s="12" t="s">
        <v>137</v>
      </c>
      <c r="Q4031" s="13">
        <v>45643</v>
      </c>
      <c r="R4031" s="13">
        <v>45675</v>
      </c>
      <c r="S4031">
        <v>2024</v>
      </c>
      <c r="T4031" s="12" t="s">
        <v>4841</v>
      </c>
      <c r="U4031">
        <v>96</v>
      </c>
      <c r="V4031">
        <v>454.53089999999997</v>
      </c>
      <c r="W4031">
        <v>427.73</v>
      </c>
      <c r="X4031">
        <v>0</v>
      </c>
      <c r="Y4031">
        <v>0</v>
      </c>
      <c r="Z4031">
        <v>43634.97</v>
      </c>
      <c r="AA4031">
        <v>44062.7</v>
      </c>
      <c r="AB4031" s="12" t="s">
        <v>3102</v>
      </c>
      <c r="AC4031">
        <v>454.53089999999997</v>
      </c>
      <c r="AD4031">
        <v>1</v>
      </c>
      <c r="AE4031">
        <v>1</v>
      </c>
      <c r="AF4031">
        <v>0</v>
      </c>
      <c r="AG4031">
        <v>43634.97</v>
      </c>
      <c r="AH4031">
        <v>96</v>
      </c>
      <c r="AI4031">
        <v>95</v>
      </c>
      <c r="AJ4031">
        <v>1</v>
      </c>
      <c r="AK4031">
        <v>1</v>
      </c>
      <c r="AL4031">
        <v>1</v>
      </c>
      <c r="AM4031">
        <v>98.96</v>
      </c>
      <c r="AN4031">
        <v>463.81790000000001</v>
      </c>
      <c r="AO4031">
        <v>454.53</v>
      </c>
      <c r="AP4031" s="13">
        <v>45673</v>
      </c>
      <c r="AQ4031">
        <v>-2</v>
      </c>
      <c r="AR4031">
        <v>1</v>
      </c>
    </row>
    <row r="4032" spans="1:44" x14ac:dyDescent="0.35">
      <c r="A4032" s="12" t="s">
        <v>4957</v>
      </c>
      <c r="B4032" s="12" t="s">
        <v>569</v>
      </c>
      <c r="C4032" s="12" t="s">
        <v>570</v>
      </c>
      <c r="D4032" s="12" t="s">
        <v>114</v>
      </c>
      <c r="E4032" s="12" t="s">
        <v>142</v>
      </c>
      <c r="F4032">
        <v>1</v>
      </c>
      <c r="G4032">
        <v>6</v>
      </c>
      <c r="H4032">
        <v>1</v>
      </c>
      <c r="I4032" s="12" t="s">
        <v>123</v>
      </c>
      <c r="J4032" s="12" t="s">
        <v>124</v>
      </c>
      <c r="K4032" s="12" t="s">
        <v>125</v>
      </c>
      <c r="L4032" s="12" t="s">
        <v>82</v>
      </c>
      <c r="M4032">
        <v>6.75</v>
      </c>
      <c r="N4032" s="12" t="s">
        <v>97</v>
      </c>
      <c r="O4032" s="12" t="s">
        <v>98</v>
      </c>
      <c r="P4032" s="12" t="s">
        <v>72</v>
      </c>
      <c r="Q4032" s="13">
        <v>45643</v>
      </c>
      <c r="R4032" s="13">
        <v>45687</v>
      </c>
      <c r="S4032">
        <v>2024</v>
      </c>
      <c r="T4032" s="12" t="s">
        <v>4841</v>
      </c>
      <c r="U4032">
        <v>87</v>
      </c>
      <c r="V4032">
        <v>349.07319999999999</v>
      </c>
      <c r="W4032">
        <v>384.47</v>
      </c>
      <c r="X4032">
        <v>0</v>
      </c>
      <c r="Y4032">
        <v>0</v>
      </c>
      <c r="Z4032">
        <v>30369.37</v>
      </c>
      <c r="AA4032">
        <v>30753.84</v>
      </c>
      <c r="AB4032" s="12" t="s">
        <v>3205</v>
      </c>
      <c r="AC4032">
        <v>349.07319999999999</v>
      </c>
      <c r="AD4032">
        <v>1</v>
      </c>
      <c r="AE4032">
        <v>1</v>
      </c>
      <c r="AF4032">
        <v>0</v>
      </c>
      <c r="AG4032">
        <v>30369.37</v>
      </c>
      <c r="AH4032">
        <v>87</v>
      </c>
      <c r="AI4032">
        <v>86</v>
      </c>
      <c r="AJ4032">
        <v>1</v>
      </c>
      <c r="AK4032">
        <v>1</v>
      </c>
      <c r="AL4032">
        <v>1</v>
      </c>
      <c r="AM4032">
        <v>98.85</v>
      </c>
      <c r="AN4032">
        <v>357.6028</v>
      </c>
      <c r="AO4032">
        <v>349.07</v>
      </c>
      <c r="AP4032" s="13">
        <v>45685</v>
      </c>
      <c r="AQ4032">
        <v>-2</v>
      </c>
      <c r="AR4032">
        <v>1</v>
      </c>
    </row>
    <row r="4033" spans="1:44" x14ac:dyDescent="0.35">
      <c r="A4033" s="12" t="s">
        <v>4958</v>
      </c>
      <c r="B4033" s="12" t="s">
        <v>1666</v>
      </c>
      <c r="C4033" s="12" t="s">
        <v>1667</v>
      </c>
      <c r="D4033" s="12" t="s">
        <v>78</v>
      </c>
      <c r="E4033" s="12" t="s">
        <v>65</v>
      </c>
      <c r="F4033">
        <v>2</v>
      </c>
      <c r="G4033">
        <v>3</v>
      </c>
      <c r="H4033">
        <v>0</v>
      </c>
      <c r="I4033" s="12" t="s">
        <v>310</v>
      </c>
      <c r="J4033" s="12" t="s">
        <v>311</v>
      </c>
      <c r="K4033" s="12" t="s">
        <v>81</v>
      </c>
      <c r="L4033" s="12" t="s">
        <v>69</v>
      </c>
      <c r="M4033">
        <v>28.3</v>
      </c>
      <c r="N4033" s="12" t="s">
        <v>97</v>
      </c>
      <c r="O4033" s="12" t="s">
        <v>98</v>
      </c>
      <c r="P4033" s="12" t="s">
        <v>72</v>
      </c>
      <c r="Q4033" s="13">
        <v>45643</v>
      </c>
      <c r="R4033" s="13">
        <v>45674</v>
      </c>
      <c r="S4033">
        <v>2024</v>
      </c>
      <c r="T4033" s="12" t="s">
        <v>4841</v>
      </c>
      <c r="U4033">
        <v>188</v>
      </c>
      <c r="V4033">
        <v>73.412099999999995</v>
      </c>
      <c r="W4033">
        <v>284.64999999999998</v>
      </c>
      <c r="X4033">
        <v>0</v>
      </c>
      <c r="Y4033">
        <v>0</v>
      </c>
      <c r="Z4033">
        <v>13801.47</v>
      </c>
      <c r="AA4033">
        <v>14086.12</v>
      </c>
      <c r="AB4033" s="12" t="s">
        <v>3090</v>
      </c>
      <c r="AC4033">
        <v>73.412099999999995</v>
      </c>
      <c r="AD4033">
        <v>1</v>
      </c>
      <c r="AE4033">
        <v>1</v>
      </c>
      <c r="AF4033">
        <v>0</v>
      </c>
      <c r="AG4033">
        <v>13801.47</v>
      </c>
      <c r="AH4033">
        <v>188</v>
      </c>
      <c r="AI4033">
        <v>184</v>
      </c>
      <c r="AJ4033">
        <v>4</v>
      </c>
      <c r="AK4033">
        <v>1</v>
      </c>
      <c r="AL4033">
        <v>1</v>
      </c>
      <c r="AM4033">
        <v>97.87</v>
      </c>
      <c r="AN4033">
        <v>76.555000000000007</v>
      </c>
      <c r="AO4033">
        <v>293.64999999999998</v>
      </c>
      <c r="AP4033" s="13">
        <v>45674</v>
      </c>
      <c r="AQ4033">
        <v>0</v>
      </c>
      <c r="AR4033">
        <v>1</v>
      </c>
    </row>
    <row r="4034" spans="1:44" x14ac:dyDescent="0.35">
      <c r="A4034" s="12" t="s">
        <v>4959</v>
      </c>
      <c r="B4034" s="12" t="s">
        <v>207</v>
      </c>
      <c r="C4034" s="12" t="s">
        <v>208</v>
      </c>
      <c r="D4034" s="12" t="s">
        <v>78</v>
      </c>
      <c r="E4034" s="12" t="s">
        <v>65</v>
      </c>
      <c r="F4034">
        <v>2</v>
      </c>
      <c r="G4034">
        <v>3</v>
      </c>
      <c r="H4034">
        <v>0</v>
      </c>
      <c r="I4034" s="12" t="s">
        <v>209</v>
      </c>
      <c r="J4034" s="12" t="s">
        <v>210</v>
      </c>
      <c r="K4034" s="12" t="s">
        <v>133</v>
      </c>
      <c r="L4034" s="12" t="s">
        <v>96</v>
      </c>
      <c r="M4034">
        <v>7.82</v>
      </c>
      <c r="N4034" s="12" t="s">
        <v>70</v>
      </c>
      <c r="O4034" s="12" t="s">
        <v>71</v>
      </c>
      <c r="P4034" s="12" t="s">
        <v>72</v>
      </c>
      <c r="Q4034" s="13">
        <v>45643</v>
      </c>
      <c r="R4034" s="13">
        <v>45670</v>
      </c>
      <c r="S4034">
        <v>2024</v>
      </c>
      <c r="T4034" s="12" t="s">
        <v>4841</v>
      </c>
      <c r="U4034">
        <v>131</v>
      </c>
      <c r="V4034">
        <v>148.61590000000001</v>
      </c>
      <c r="W4034">
        <v>310.60000000000002</v>
      </c>
      <c r="X4034">
        <v>0</v>
      </c>
      <c r="Y4034">
        <v>0</v>
      </c>
      <c r="Z4034">
        <v>19468.68</v>
      </c>
      <c r="AA4034">
        <v>19779.28</v>
      </c>
      <c r="AB4034" s="12" t="s">
        <v>2832</v>
      </c>
      <c r="AC4034">
        <v>148.61590000000001</v>
      </c>
      <c r="AD4034">
        <v>1</v>
      </c>
      <c r="AE4034">
        <v>1</v>
      </c>
      <c r="AF4034">
        <v>0</v>
      </c>
      <c r="AG4034">
        <v>19468.68</v>
      </c>
      <c r="AH4034">
        <v>131</v>
      </c>
      <c r="AI4034">
        <v>129</v>
      </c>
      <c r="AJ4034">
        <v>2</v>
      </c>
      <c r="AK4034">
        <v>1</v>
      </c>
      <c r="AL4034">
        <v>1</v>
      </c>
      <c r="AM4034">
        <v>98.47</v>
      </c>
      <c r="AN4034">
        <v>153.3278</v>
      </c>
      <c r="AO4034">
        <v>297.23</v>
      </c>
      <c r="AP4034" s="13">
        <v>45674</v>
      </c>
      <c r="AQ4034">
        <v>4</v>
      </c>
      <c r="AR4034">
        <v>0</v>
      </c>
    </row>
    <row r="4035" spans="1:44" x14ac:dyDescent="0.35">
      <c r="A4035" s="12" t="s">
        <v>4960</v>
      </c>
      <c r="B4035" s="12" t="s">
        <v>482</v>
      </c>
      <c r="C4035" s="12" t="s">
        <v>483</v>
      </c>
      <c r="D4035" s="12" t="s">
        <v>78</v>
      </c>
      <c r="E4035" s="12" t="s">
        <v>142</v>
      </c>
      <c r="F4035">
        <v>2</v>
      </c>
      <c r="G4035">
        <v>9</v>
      </c>
      <c r="H4035">
        <v>0</v>
      </c>
      <c r="I4035" s="12" t="s">
        <v>87</v>
      </c>
      <c r="J4035" s="12" t="s">
        <v>88</v>
      </c>
      <c r="K4035" s="12" t="s">
        <v>89</v>
      </c>
      <c r="L4035" s="12" t="s">
        <v>69</v>
      </c>
      <c r="M4035">
        <v>14.93</v>
      </c>
      <c r="N4035" s="12" t="s">
        <v>70</v>
      </c>
      <c r="O4035" s="12" t="s">
        <v>71</v>
      </c>
      <c r="P4035" s="12" t="s">
        <v>72</v>
      </c>
      <c r="Q4035" s="13">
        <v>45643</v>
      </c>
      <c r="R4035" s="13">
        <v>45693</v>
      </c>
      <c r="S4035">
        <v>2024</v>
      </c>
      <c r="T4035" s="12" t="s">
        <v>4841</v>
      </c>
      <c r="U4035">
        <v>261</v>
      </c>
      <c r="V4035">
        <v>47.101599999999998</v>
      </c>
      <c r="W4035">
        <v>86.85</v>
      </c>
      <c r="X4035">
        <v>0</v>
      </c>
      <c r="Y4035">
        <v>0</v>
      </c>
      <c r="Z4035">
        <v>12293.52</v>
      </c>
      <c r="AA4035">
        <v>12380.37</v>
      </c>
      <c r="AB4035" s="12" t="s">
        <v>3145</v>
      </c>
      <c r="AC4035">
        <v>47.101599999999998</v>
      </c>
      <c r="AD4035">
        <v>1</v>
      </c>
      <c r="AE4035">
        <v>1</v>
      </c>
      <c r="AF4035">
        <v>0</v>
      </c>
      <c r="AG4035">
        <v>12293.52</v>
      </c>
      <c r="AH4035">
        <v>261</v>
      </c>
      <c r="AI4035">
        <v>258</v>
      </c>
      <c r="AJ4035">
        <v>3</v>
      </c>
      <c r="AK4035">
        <v>1</v>
      </c>
      <c r="AL4035">
        <v>1</v>
      </c>
      <c r="AM4035">
        <v>98.85</v>
      </c>
      <c r="AN4035">
        <v>47.985900000000001</v>
      </c>
      <c r="AO4035">
        <v>141.30000000000001</v>
      </c>
      <c r="AP4035" s="13">
        <v>45700</v>
      </c>
      <c r="AQ4035">
        <v>7</v>
      </c>
      <c r="AR4035">
        <v>0</v>
      </c>
    </row>
    <row r="4036" spans="1:44" x14ac:dyDescent="0.35">
      <c r="A4036" s="12" t="s">
        <v>4961</v>
      </c>
      <c r="B4036" s="12" t="s">
        <v>740</v>
      </c>
      <c r="C4036" s="12" t="s">
        <v>741</v>
      </c>
      <c r="D4036" s="12" t="s">
        <v>64</v>
      </c>
      <c r="E4036" s="12" t="s">
        <v>104</v>
      </c>
      <c r="F4036">
        <v>2</v>
      </c>
      <c r="G4036">
        <v>0</v>
      </c>
      <c r="H4036">
        <v>0</v>
      </c>
      <c r="I4036" s="12" t="s">
        <v>183</v>
      </c>
      <c r="J4036" s="12" t="s">
        <v>184</v>
      </c>
      <c r="K4036" s="12" t="s">
        <v>133</v>
      </c>
      <c r="L4036" s="12" t="s">
        <v>82</v>
      </c>
      <c r="M4036">
        <v>8.6199999999999992</v>
      </c>
      <c r="N4036" s="12" t="s">
        <v>70</v>
      </c>
      <c r="O4036" s="12" t="s">
        <v>71</v>
      </c>
      <c r="P4036" s="12" t="s">
        <v>72</v>
      </c>
      <c r="Q4036" s="13">
        <v>45643</v>
      </c>
      <c r="R4036" s="13">
        <v>45661</v>
      </c>
      <c r="S4036">
        <v>2024</v>
      </c>
      <c r="T4036" s="12" t="s">
        <v>4841</v>
      </c>
      <c r="U4036">
        <v>441</v>
      </c>
      <c r="V4036">
        <v>41.1708</v>
      </c>
      <c r="W4036">
        <v>243.78</v>
      </c>
      <c r="X4036">
        <v>0</v>
      </c>
      <c r="Y4036">
        <v>0</v>
      </c>
      <c r="Z4036">
        <v>18156.32</v>
      </c>
      <c r="AA4036">
        <v>18400.099999999999</v>
      </c>
      <c r="AB4036" s="12" t="s">
        <v>3134</v>
      </c>
      <c r="AC4036">
        <v>41.1708</v>
      </c>
      <c r="AD4036">
        <v>1</v>
      </c>
      <c r="AE4036">
        <v>1</v>
      </c>
      <c r="AF4036">
        <v>0</v>
      </c>
      <c r="AG4036">
        <v>18156.32</v>
      </c>
      <c r="AH4036">
        <v>441</v>
      </c>
      <c r="AI4036">
        <v>435</v>
      </c>
      <c r="AJ4036">
        <v>6</v>
      </c>
      <c r="AK4036">
        <v>1</v>
      </c>
      <c r="AL4036">
        <v>1</v>
      </c>
      <c r="AM4036">
        <v>98.64</v>
      </c>
      <c r="AN4036">
        <v>42.299100000000003</v>
      </c>
      <c r="AO4036">
        <v>247.02</v>
      </c>
      <c r="AP4036" s="13">
        <v>45661</v>
      </c>
      <c r="AQ4036">
        <v>0</v>
      </c>
      <c r="AR4036">
        <v>1</v>
      </c>
    </row>
    <row r="4037" spans="1:44" x14ac:dyDescent="0.35">
      <c r="A4037" s="12" t="s">
        <v>4962</v>
      </c>
      <c r="B4037" s="12" t="s">
        <v>548</v>
      </c>
      <c r="C4037" s="12" t="s">
        <v>549</v>
      </c>
      <c r="D4037" s="12" t="s">
        <v>78</v>
      </c>
      <c r="E4037" s="12" t="s">
        <v>104</v>
      </c>
      <c r="F4037">
        <v>3</v>
      </c>
      <c r="G4037">
        <v>1</v>
      </c>
      <c r="H4037">
        <v>0</v>
      </c>
      <c r="I4037" s="12" t="s">
        <v>223</v>
      </c>
      <c r="J4037" s="12" t="s">
        <v>224</v>
      </c>
      <c r="K4037" s="12" t="s">
        <v>81</v>
      </c>
      <c r="L4037" s="12" t="s">
        <v>134</v>
      </c>
      <c r="M4037">
        <v>2.4900000000000002</v>
      </c>
      <c r="N4037" s="12" t="s">
        <v>97</v>
      </c>
      <c r="O4037" s="12" t="s">
        <v>98</v>
      </c>
      <c r="P4037" s="12" t="s">
        <v>72</v>
      </c>
      <c r="Q4037" s="13">
        <v>45644</v>
      </c>
      <c r="R4037" s="13">
        <v>45660</v>
      </c>
      <c r="S4037">
        <v>2024</v>
      </c>
      <c r="T4037" s="12" t="s">
        <v>4841</v>
      </c>
      <c r="U4037">
        <v>103</v>
      </c>
      <c r="V4037">
        <v>59.346200000000003</v>
      </c>
      <c r="W4037">
        <v>154.09</v>
      </c>
      <c r="X4037">
        <v>0</v>
      </c>
      <c r="Y4037">
        <v>0</v>
      </c>
      <c r="Z4037">
        <v>6112.66</v>
      </c>
      <c r="AA4037">
        <v>6266.75</v>
      </c>
      <c r="AB4037" s="12" t="s">
        <v>3127</v>
      </c>
      <c r="AC4037">
        <v>59.346200000000003</v>
      </c>
      <c r="AD4037">
        <v>1</v>
      </c>
      <c r="AE4037">
        <v>1</v>
      </c>
      <c r="AF4037">
        <v>0</v>
      </c>
      <c r="AG4037">
        <v>6112.66</v>
      </c>
      <c r="AH4037">
        <v>103</v>
      </c>
      <c r="AI4037">
        <v>102</v>
      </c>
      <c r="AJ4037">
        <v>1</v>
      </c>
      <c r="AK4037">
        <v>1</v>
      </c>
      <c r="AL4037">
        <v>1</v>
      </c>
      <c r="AM4037">
        <v>99.03</v>
      </c>
      <c r="AN4037">
        <v>61.438699999999997</v>
      </c>
      <c r="AO4037">
        <v>59.35</v>
      </c>
      <c r="AP4037" s="13">
        <v>45657</v>
      </c>
      <c r="AQ4037">
        <v>-3</v>
      </c>
      <c r="AR4037">
        <v>1</v>
      </c>
    </row>
    <row r="4038" spans="1:44" x14ac:dyDescent="0.35">
      <c r="A4038" s="12" t="s">
        <v>4963</v>
      </c>
      <c r="B4038" s="12" t="s">
        <v>412</v>
      </c>
      <c r="C4038" s="12" t="s">
        <v>413</v>
      </c>
      <c r="D4038" s="12" t="s">
        <v>269</v>
      </c>
      <c r="E4038" s="12" t="s">
        <v>65</v>
      </c>
      <c r="F4038">
        <v>1</v>
      </c>
      <c r="G4038">
        <v>2</v>
      </c>
      <c r="H4038">
        <v>1</v>
      </c>
      <c r="I4038" s="12" t="s">
        <v>233</v>
      </c>
      <c r="J4038" s="12" t="s">
        <v>234</v>
      </c>
      <c r="K4038" s="12" t="s">
        <v>125</v>
      </c>
      <c r="L4038" s="12" t="s">
        <v>96</v>
      </c>
      <c r="M4038">
        <v>3.73</v>
      </c>
      <c r="N4038" s="12" t="s">
        <v>135</v>
      </c>
      <c r="O4038" s="12" t="s">
        <v>136</v>
      </c>
      <c r="P4038" s="12" t="s">
        <v>137</v>
      </c>
      <c r="Q4038" s="13">
        <v>45644</v>
      </c>
      <c r="R4038" s="13">
        <v>45681</v>
      </c>
      <c r="S4038">
        <v>2024</v>
      </c>
      <c r="T4038" s="12" t="s">
        <v>4841</v>
      </c>
      <c r="U4038">
        <v>140</v>
      </c>
      <c r="V4038">
        <v>104.17829999999999</v>
      </c>
      <c r="W4038">
        <v>346.93</v>
      </c>
      <c r="X4038">
        <v>0</v>
      </c>
      <c r="Y4038">
        <v>0</v>
      </c>
      <c r="Z4038">
        <v>14584.96</v>
      </c>
      <c r="AA4038">
        <v>14931.89</v>
      </c>
      <c r="AB4038" s="12" t="s">
        <v>3056</v>
      </c>
      <c r="AC4038">
        <v>104.17829999999999</v>
      </c>
      <c r="AD4038">
        <v>1</v>
      </c>
      <c r="AE4038">
        <v>1</v>
      </c>
      <c r="AF4038">
        <v>0</v>
      </c>
      <c r="AG4038">
        <v>14584.96</v>
      </c>
      <c r="AH4038">
        <v>140</v>
      </c>
      <c r="AI4038">
        <v>139</v>
      </c>
      <c r="AJ4038">
        <v>1</v>
      </c>
      <c r="AK4038">
        <v>1</v>
      </c>
      <c r="AL4038">
        <v>1</v>
      </c>
      <c r="AM4038">
        <v>99.29</v>
      </c>
      <c r="AN4038">
        <v>107.4237</v>
      </c>
      <c r="AO4038">
        <v>104.18</v>
      </c>
      <c r="AP4038" s="13">
        <v>45680</v>
      </c>
      <c r="AQ4038">
        <v>-1</v>
      </c>
      <c r="AR4038">
        <v>1</v>
      </c>
    </row>
    <row r="4039" spans="1:44" x14ac:dyDescent="0.35">
      <c r="A4039" s="12" t="s">
        <v>4964</v>
      </c>
      <c r="B4039" s="12" t="s">
        <v>255</v>
      </c>
      <c r="C4039" s="12" t="s">
        <v>256</v>
      </c>
      <c r="D4039" s="12" t="s">
        <v>103</v>
      </c>
      <c r="E4039" s="12" t="s">
        <v>65</v>
      </c>
      <c r="F4039">
        <v>2</v>
      </c>
      <c r="G4039">
        <v>4</v>
      </c>
      <c r="H4039">
        <v>0</v>
      </c>
      <c r="I4039" s="12" t="s">
        <v>143</v>
      </c>
      <c r="J4039" s="12" t="s">
        <v>144</v>
      </c>
      <c r="K4039" s="12" t="s">
        <v>133</v>
      </c>
      <c r="L4039" s="12" t="s">
        <v>96</v>
      </c>
      <c r="M4039">
        <v>5.43</v>
      </c>
      <c r="N4039" s="12" t="s">
        <v>107</v>
      </c>
      <c r="O4039" s="12" t="s">
        <v>108</v>
      </c>
      <c r="P4039" s="12" t="s">
        <v>109</v>
      </c>
      <c r="Q4039" s="13">
        <v>45644</v>
      </c>
      <c r="R4039" s="13">
        <v>45668</v>
      </c>
      <c r="S4039">
        <v>2024</v>
      </c>
      <c r="T4039" s="12" t="s">
        <v>4841</v>
      </c>
      <c r="U4039">
        <v>37</v>
      </c>
      <c r="V4039">
        <v>95.073300000000003</v>
      </c>
      <c r="W4039">
        <v>59.59</v>
      </c>
      <c r="X4039">
        <v>0</v>
      </c>
      <c r="Y4039">
        <v>0</v>
      </c>
      <c r="Z4039">
        <v>3517.71</v>
      </c>
      <c r="AA4039">
        <v>3577.3</v>
      </c>
      <c r="AB4039" s="12" t="s">
        <v>2616</v>
      </c>
      <c r="AC4039">
        <v>95.073300000000003</v>
      </c>
      <c r="AD4039">
        <v>1</v>
      </c>
      <c r="AE4039">
        <v>1</v>
      </c>
      <c r="AF4039">
        <v>0</v>
      </c>
      <c r="AG4039">
        <v>3517.71</v>
      </c>
      <c r="AH4039">
        <v>37</v>
      </c>
      <c r="AI4039">
        <v>37</v>
      </c>
      <c r="AJ4039">
        <v>0</v>
      </c>
      <c r="AK4039">
        <v>1</v>
      </c>
      <c r="AL4039">
        <v>1</v>
      </c>
      <c r="AM4039">
        <v>100</v>
      </c>
      <c r="AN4039">
        <v>96.683800000000005</v>
      </c>
      <c r="AO4039">
        <v>0</v>
      </c>
      <c r="AP4039" s="13">
        <v>45674</v>
      </c>
      <c r="AQ4039">
        <v>6</v>
      </c>
      <c r="AR4039">
        <v>0</v>
      </c>
    </row>
    <row r="4040" spans="1:44" x14ac:dyDescent="0.35">
      <c r="A4040" s="12" t="s">
        <v>4965</v>
      </c>
      <c r="B4040" s="12" t="s">
        <v>1166</v>
      </c>
      <c r="C4040" s="12" t="s">
        <v>1167</v>
      </c>
      <c r="D4040" s="12" t="s">
        <v>175</v>
      </c>
      <c r="E4040" s="12" t="s">
        <v>65</v>
      </c>
      <c r="F4040">
        <v>3</v>
      </c>
      <c r="G4040">
        <v>5</v>
      </c>
      <c r="H4040">
        <v>0</v>
      </c>
      <c r="I4040" s="12" t="s">
        <v>143</v>
      </c>
      <c r="J4040" s="12" t="s">
        <v>144</v>
      </c>
      <c r="K4040" s="12" t="s">
        <v>133</v>
      </c>
      <c r="L4040" s="12" t="s">
        <v>96</v>
      </c>
      <c r="M4040">
        <v>5.43</v>
      </c>
      <c r="N4040" s="12" t="s">
        <v>145</v>
      </c>
      <c r="O4040" s="12" t="s">
        <v>146</v>
      </c>
      <c r="P4040" s="12" t="s">
        <v>109</v>
      </c>
      <c r="Q4040" s="13">
        <v>45644</v>
      </c>
      <c r="R4040" s="13">
        <v>45681</v>
      </c>
      <c r="S4040">
        <v>2024</v>
      </c>
      <c r="T4040" s="12" t="s">
        <v>4841</v>
      </c>
      <c r="U4040">
        <v>139</v>
      </c>
      <c r="V4040">
        <v>239.87989999999999</v>
      </c>
      <c r="W4040">
        <v>274.14999999999998</v>
      </c>
      <c r="X4040">
        <v>0</v>
      </c>
      <c r="Y4040">
        <v>0</v>
      </c>
      <c r="Z4040">
        <v>33343.31</v>
      </c>
      <c r="AA4040">
        <v>33617.46</v>
      </c>
      <c r="AB4040" s="12" t="s">
        <v>201</v>
      </c>
      <c r="AD4040">
        <v>0</v>
      </c>
      <c r="AE4040">
        <v>0</v>
      </c>
      <c r="AH4040">
        <v>139</v>
      </c>
      <c r="AI4040">
        <v>138</v>
      </c>
      <c r="AJ4040">
        <v>1</v>
      </c>
      <c r="AK4040">
        <v>1</v>
      </c>
      <c r="AL4040">
        <v>1</v>
      </c>
      <c r="AM4040">
        <v>99.28</v>
      </c>
      <c r="AN4040">
        <v>243.60480000000001</v>
      </c>
      <c r="AO4040">
        <v>239.88</v>
      </c>
      <c r="AP4040" s="13">
        <v>45681</v>
      </c>
      <c r="AQ4040">
        <v>0</v>
      </c>
      <c r="AR4040">
        <v>1</v>
      </c>
    </row>
    <row r="4041" spans="1:44" x14ac:dyDescent="0.35">
      <c r="A4041" s="12" t="s">
        <v>4966</v>
      </c>
      <c r="B4041" s="12" t="s">
        <v>561</v>
      </c>
      <c r="C4041" s="12" t="s">
        <v>562</v>
      </c>
      <c r="D4041" s="12" t="s">
        <v>130</v>
      </c>
      <c r="E4041" s="12" t="s">
        <v>142</v>
      </c>
      <c r="F4041">
        <v>1</v>
      </c>
      <c r="G4041">
        <v>9</v>
      </c>
      <c r="H4041">
        <v>1</v>
      </c>
      <c r="I4041" s="12" t="s">
        <v>223</v>
      </c>
      <c r="J4041" s="12" t="s">
        <v>224</v>
      </c>
      <c r="K4041" s="12" t="s">
        <v>81</v>
      </c>
      <c r="L4041" s="12" t="s">
        <v>134</v>
      </c>
      <c r="M4041">
        <v>2.4900000000000002</v>
      </c>
      <c r="N4041" s="12" t="s">
        <v>159</v>
      </c>
      <c r="O4041" s="12" t="s">
        <v>160</v>
      </c>
      <c r="P4041" s="12" t="s">
        <v>137</v>
      </c>
      <c r="Q4041" s="13">
        <v>45644</v>
      </c>
      <c r="R4041" s="13">
        <v>45687</v>
      </c>
      <c r="S4041">
        <v>2024</v>
      </c>
      <c r="T4041" s="12" t="s">
        <v>4841</v>
      </c>
      <c r="U4041">
        <v>76</v>
      </c>
      <c r="V4041">
        <v>561.01729999999998</v>
      </c>
      <c r="W4041">
        <v>1098.49</v>
      </c>
      <c r="X4041">
        <v>0</v>
      </c>
      <c r="Y4041">
        <v>0</v>
      </c>
      <c r="Z4041">
        <v>42637.31</v>
      </c>
      <c r="AA4041">
        <v>43735.8</v>
      </c>
      <c r="AB4041" s="12" t="s">
        <v>201</v>
      </c>
      <c r="AD4041">
        <v>0</v>
      </c>
      <c r="AE4041">
        <v>0</v>
      </c>
      <c r="AH4041">
        <v>76</v>
      </c>
      <c r="AI4041">
        <v>75</v>
      </c>
      <c r="AJ4041">
        <v>1</v>
      </c>
      <c r="AK4041">
        <v>1</v>
      </c>
      <c r="AL4041">
        <v>1</v>
      </c>
      <c r="AM4041">
        <v>98.68</v>
      </c>
      <c r="AN4041">
        <v>583.14409999999998</v>
      </c>
      <c r="AO4041">
        <v>561.02</v>
      </c>
      <c r="AP4041" s="13">
        <v>45685</v>
      </c>
      <c r="AQ4041">
        <v>-2</v>
      </c>
      <c r="AR4041">
        <v>1</v>
      </c>
    </row>
    <row r="4042" spans="1:44" x14ac:dyDescent="0.35">
      <c r="A4042" s="12" t="s">
        <v>4967</v>
      </c>
      <c r="B4042" s="12" t="s">
        <v>149</v>
      </c>
      <c r="C4042" s="12" t="s">
        <v>150</v>
      </c>
      <c r="D4042" s="12" t="s">
        <v>78</v>
      </c>
      <c r="E4042" s="12" t="s">
        <v>65</v>
      </c>
      <c r="F4042">
        <v>2</v>
      </c>
      <c r="G4042">
        <v>2</v>
      </c>
      <c r="H4042">
        <v>0</v>
      </c>
      <c r="I4042" s="12" t="s">
        <v>151</v>
      </c>
      <c r="J4042" s="12" t="s">
        <v>152</v>
      </c>
      <c r="K4042" s="12" t="s">
        <v>125</v>
      </c>
      <c r="L4042" s="12" t="s">
        <v>69</v>
      </c>
      <c r="M4042">
        <v>36.479999999999997</v>
      </c>
      <c r="N4042" s="12" t="s">
        <v>97</v>
      </c>
      <c r="O4042" s="12" t="s">
        <v>98</v>
      </c>
      <c r="P4042" s="12" t="s">
        <v>72</v>
      </c>
      <c r="Q4042" s="13">
        <v>45645</v>
      </c>
      <c r="R4042" s="13">
        <v>45681</v>
      </c>
      <c r="S4042">
        <v>2024</v>
      </c>
      <c r="T4042" s="12" t="s">
        <v>4841</v>
      </c>
      <c r="U4042">
        <v>270</v>
      </c>
      <c r="V4042">
        <v>66.640600000000006</v>
      </c>
      <c r="W4042">
        <v>225.36</v>
      </c>
      <c r="X4042">
        <v>0</v>
      </c>
      <c r="Y4042">
        <v>0</v>
      </c>
      <c r="Z4042">
        <v>17992.96</v>
      </c>
      <c r="AA4042">
        <v>18218.32</v>
      </c>
      <c r="AB4042" s="12" t="s">
        <v>2546</v>
      </c>
      <c r="AC4042">
        <v>70.838700000000003</v>
      </c>
      <c r="AD4042">
        <v>1</v>
      </c>
      <c r="AE4042">
        <v>1</v>
      </c>
      <c r="AF4042">
        <v>-1133.49</v>
      </c>
      <c r="AG4042">
        <v>19126.45</v>
      </c>
      <c r="AH4042">
        <v>270</v>
      </c>
      <c r="AI4042">
        <v>268</v>
      </c>
      <c r="AJ4042">
        <v>2</v>
      </c>
      <c r="AK4042">
        <v>1</v>
      </c>
      <c r="AL4042">
        <v>1</v>
      </c>
      <c r="AM4042">
        <v>99.26</v>
      </c>
      <c r="AN4042">
        <v>67.978800000000007</v>
      </c>
      <c r="AO4042">
        <v>133.28</v>
      </c>
      <c r="AP4042" s="13">
        <v>45678</v>
      </c>
      <c r="AQ4042">
        <v>-3</v>
      </c>
      <c r="AR4042">
        <v>1</v>
      </c>
    </row>
    <row r="4043" spans="1:44" x14ac:dyDescent="0.35">
      <c r="A4043" s="12" t="s">
        <v>4968</v>
      </c>
      <c r="B4043" s="12" t="s">
        <v>544</v>
      </c>
      <c r="C4043" s="12" t="s">
        <v>545</v>
      </c>
      <c r="D4043" s="12" t="s">
        <v>175</v>
      </c>
      <c r="E4043" s="12" t="s">
        <v>65</v>
      </c>
      <c r="F4043">
        <v>3</v>
      </c>
      <c r="G4043">
        <v>5</v>
      </c>
      <c r="H4043">
        <v>0</v>
      </c>
      <c r="I4043" s="12" t="s">
        <v>66</v>
      </c>
      <c r="J4043" s="12" t="s">
        <v>67</v>
      </c>
      <c r="K4043" s="12" t="s">
        <v>68</v>
      </c>
      <c r="L4043" s="12" t="s">
        <v>69</v>
      </c>
      <c r="M4043">
        <v>17.66</v>
      </c>
      <c r="N4043" s="12" t="s">
        <v>107</v>
      </c>
      <c r="O4043" s="12" t="s">
        <v>108</v>
      </c>
      <c r="P4043" s="12" t="s">
        <v>109</v>
      </c>
      <c r="Q4043" s="13">
        <v>45645</v>
      </c>
      <c r="R4043" s="13">
        <v>45681</v>
      </c>
      <c r="S4043">
        <v>2024</v>
      </c>
      <c r="T4043" s="12" t="s">
        <v>4841</v>
      </c>
      <c r="U4043">
        <v>130</v>
      </c>
      <c r="V4043">
        <v>164.73169999999999</v>
      </c>
      <c r="W4043">
        <v>452.06</v>
      </c>
      <c r="X4043">
        <v>0</v>
      </c>
      <c r="Y4043">
        <v>0</v>
      </c>
      <c r="Z4043">
        <v>21415.119999999999</v>
      </c>
      <c r="AA4043">
        <v>21867.18</v>
      </c>
      <c r="AB4043" s="12" t="s">
        <v>201</v>
      </c>
      <c r="AD4043">
        <v>0</v>
      </c>
      <c r="AE4043">
        <v>0</v>
      </c>
      <c r="AH4043">
        <v>130</v>
      </c>
      <c r="AI4043">
        <v>130</v>
      </c>
      <c r="AJ4043">
        <v>0</v>
      </c>
      <c r="AK4043">
        <v>1</v>
      </c>
      <c r="AL4043">
        <v>1</v>
      </c>
      <c r="AM4043">
        <v>100</v>
      </c>
      <c r="AN4043">
        <v>168.20910000000001</v>
      </c>
      <c r="AO4043">
        <v>0</v>
      </c>
      <c r="AP4043" s="13">
        <v>45681</v>
      </c>
      <c r="AQ4043">
        <v>0</v>
      </c>
      <c r="AR4043">
        <v>1</v>
      </c>
    </row>
    <row r="4044" spans="1:44" x14ac:dyDescent="0.35">
      <c r="A4044" s="12" t="s">
        <v>4969</v>
      </c>
      <c r="B4044" s="12" t="s">
        <v>1054</v>
      </c>
      <c r="C4044" s="12" t="s">
        <v>1055</v>
      </c>
      <c r="D4044" s="12" t="s">
        <v>122</v>
      </c>
      <c r="E4044" s="12" t="s">
        <v>65</v>
      </c>
      <c r="F4044">
        <v>1</v>
      </c>
      <c r="G4044">
        <v>2</v>
      </c>
      <c r="H4044">
        <v>1</v>
      </c>
      <c r="I4044" s="12" t="s">
        <v>176</v>
      </c>
      <c r="J4044" s="12" t="s">
        <v>177</v>
      </c>
      <c r="K4044" s="12" t="s">
        <v>125</v>
      </c>
      <c r="L4044" s="12" t="s">
        <v>134</v>
      </c>
      <c r="M4044">
        <v>1.75</v>
      </c>
      <c r="N4044" s="12" t="s">
        <v>70</v>
      </c>
      <c r="O4044" s="12" t="s">
        <v>71</v>
      </c>
      <c r="P4044" s="12" t="s">
        <v>72</v>
      </c>
      <c r="Q4044" s="13">
        <v>45645</v>
      </c>
      <c r="R4044" s="13">
        <v>45678</v>
      </c>
      <c r="S4044">
        <v>2024</v>
      </c>
      <c r="T4044" s="12" t="s">
        <v>4841</v>
      </c>
      <c r="U4044">
        <v>1464</v>
      </c>
      <c r="V4044">
        <v>45.850499999999997</v>
      </c>
      <c r="W4044">
        <v>954.79</v>
      </c>
      <c r="X4044">
        <v>0</v>
      </c>
      <c r="Y4044">
        <v>0</v>
      </c>
      <c r="Z4044">
        <v>67125.13</v>
      </c>
      <c r="AA4044">
        <v>68079.92</v>
      </c>
      <c r="AB4044" s="12" t="s">
        <v>3227</v>
      </c>
      <c r="AC4044">
        <v>45.850499999999997</v>
      </c>
      <c r="AD4044">
        <v>1</v>
      </c>
      <c r="AE4044">
        <v>1</v>
      </c>
      <c r="AF4044">
        <v>0</v>
      </c>
      <c r="AG4044">
        <v>67125.13</v>
      </c>
      <c r="AH4044">
        <v>1464</v>
      </c>
      <c r="AI4044">
        <v>1447</v>
      </c>
      <c r="AJ4044">
        <v>17</v>
      </c>
      <c r="AK4044">
        <v>1</v>
      </c>
      <c r="AL4044">
        <v>1</v>
      </c>
      <c r="AM4044">
        <v>98.84</v>
      </c>
      <c r="AN4044">
        <v>47.048999999999999</v>
      </c>
      <c r="AO4044">
        <v>779.46</v>
      </c>
      <c r="AP4044" s="13">
        <v>45675</v>
      </c>
      <c r="AQ4044">
        <v>-3</v>
      </c>
      <c r="AR4044">
        <v>1</v>
      </c>
    </row>
    <row r="4045" spans="1:44" x14ac:dyDescent="0.35">
      <c r="A4045" s="12" t="s">
        <v>4970</v>
      </c>
      <c r="B4045" s="12" t="s">
        <v>1220</v>
      </c>
      <c r="C4045" s="12" t="s">
        <v>1221</v>
      </c>
      <c r="D4045" s="12" t="s">
        <v>175</v>
      </c>
      <c r="E4045" s="12" t="s">
        <v>104</v>
      </c>
      <c r="F4045">
        <v>3</v>
      </c>
      <c r="G4045">
        <v>1</v>
      </c>
      <c r="H4045">
        <v>0</v>
      </c>
      <c r="I4045" s="12" t="s">
        <v>251</v>
      </c>
      <c r="J4045" s="12" t="s">
        <v>252</v>
      </c>
      <c r="K4045" s="12" t="s">
        <v>133</v>
      </c>
      <c r="L4045" s="12" t="s">
        <v>69</v>
      </c>
      <c r="M4045">
        <v>34.49</v>
      </c>
      <c r="N4045" s="12" t="s">
        <v>145</v>
      </c>
      <c r="O4045" s="12" t="s">
        <v>146</v>
      </c>
      <c r="P4045" s="12" t="s">
        <v>109</v>
      </c>
      <c r="Q4045" s="13">
        <v>45645</v>
      </c>
      <c r="R4045" s="13">
        <v>45658</v>
      </c>
      <c r="S4045">
        <v>2024</v>
      </c>
      <c r="T4045" s="12" t="s">
        <v>4841</v>
      </c>
      <c r="U4045">
        <v>21</v>
      </c>
      <c r="V4045">
        <v>130.7886</v>
      </c>
      <c r="W4045">
        <v>46.53</v>
      </c>
      <c r="X4045">
        <v>0</v>
      </c>
      <c r="Y4045">
        <v>0</v>
      </c>
      <c r="Z4045">
        <v>2746.56</v>
      </c>
      <c r="AA4045">
        <v>2793.09</v>
      </c>
      <c r="AB4045" s="12" t="s">
        <v>3687</v>
      </c>
      <c r="AC4045">
        <v>138.95140000000001</v>
      </c>
      <c r="AD4045">
        <v>1</v>
      </c>
      <c r="AE4045">
        <v>1</v>
      </c>
      <c r="AF4045">
        <v>-171.42</v>
      </c>
      <c r="AG4045">
        <v>2917.98</v>
      </c>
      <c r="AH4045">
        <v>21</v>
      </c>
      <c r="AI4045">
        <v>21</v>
      </c>
      <c r="AJ4045">
        <v>0</v>
      </c>
      <c r="AK4045">
        <v>1</v>
      </c>
      <c r="AL4045">
        <v>1</v>
      </c>
      <c r="AM4045">
        <v>100</v>
      </c>
      <c r="AN4045">
        <v>133.0043</v>
      </c>
      <c r="AO4045">
        <v>0</v>
      </c>
      <c r="AP4045" s="13">
        <v>45656</v>
      </c>
      <c r="AQ4045">
        <v>-2</v>
      </c>
      <c r="AR4045">
        <v>1</v>
      </c>
    </row>
    <row r="4046" spans="1:44" x14ac:dyDescent="0.35">
      <c r="A4046" s="12" t="s">
        <v>4971</v>
      </c>
      <c r="B4046" s="12" t="s">
        <v>76</v>
      </c>
      <c r="C4046" s="12" t="s">
        <v>77</v>
      </c>
      <c r="D4046" s="12" t="s">
        <v>78</v>
      </c>
      <c r="E4046" s="12" t="s">
        <v>65</v>
      </c>
      <c r="F4046">
        <v>2</v>
      </c>
      <c r="G4046">
        <v>4</v>
      </c>
      <c r="H4046">
        <v>0</v>
      </c>
      <c r="I4046" s="12" t="s">
        <v>151</v>
      </c>
      <c r="J4046" s="12" t="s">
        <v>152</v>
      </c>
      <c r="K4046" s="12" t="s">
        <v>125</v>
      </c>
      <c r="L4046" s="12" t="s">
        <v>69</v>
      </c>
      <c r="M4046">
        <v>36.479999999999997</v>
      </c>
      <c r="N4046" s="12" t="s">
        <v>97</v>
      </c>
      <c r="O4046" s="12" t="s">
        <v>98</v>
      </c>
      <c r="P4046" s="12" t="s">
        <v>72</v>
      </c>
      <c r="Q4046" s="13">
        <v>45645</v>
      </c>
      <c r="R4046" s="13">
        <v>45669</v>
      </c>
      <c r="S4046">
        <v>2024</v>
      </c>
      <c r="T4046" s="12" t="s">
        <v>4841</v>
      </c>
      <c r="U4046">
        <v>86</v>
      </c>
      <c r="V4046">
        <v>45.959699999999998</v>
      </c>
      <c r="W4046">
        <v>51.41</v>
      </c>
      <c r="X4046">
        <v>0</v>
      </c>
      <c r="Y4046">
        <v>0</v>
      </c>
      <c r="Z4046">
        <v>3952.53</v>
      </c>
      <c r="AA4046">
        <v>4003.94</v>
      </c>
      <c r="AB4046" s="12" t="s">
        <v>4972</v>
      </c>
      <c r="AC4046">
        <v>45.959699999999998</v>
      </c>
      <c r="AD4046">
        <v>1</v>
      </c>
      <c r="AE4046">
        <v>1</v>
      </c>
      <c r="AF4046">
        <v>0</v>
      </c>
      <c r="AG4046">
        <v>3952.53</v>
      </c>
      <c r="AH4046">
        <v>86</v>
      </c>
      <c r="AI4046">
        <v>84</v>
      </c>
      <c r="AJ4046">
        <v>2</v>
      </c>
      <c r="AK4046">
        <v>1</v>
      </c>
      <c r="AL4046">
        <v>1</v>
      </c>
      <c r="AM4046">
        <v>97.67</v>
      </c>
      <c r="AN4046">
        <v>47.665999999999997</v>
      </c>
      <c r="AO4046">
        <v>91.92</v>
      </c>
      <c r="AP4046" s="13">
        <v>45666</v>
      </c>
      <c r="AQ4046">
        <v>-3</v>
      </c>
      <c r="AR4046">
        <v>1</v>
      </c>
    </row>
    <row r="4047" spans="1:44" x14ac:dyDescent="0.35">
      <c r="A4047" s="12" t="s">
        <v>4973</v>
      </c>
      <c r="B4047" s="12" t="s">
        <v>399</v>
      </c>
      <c r="C4047" s="12" t="s">
        <v>400</v>
      </c>
      <c r="D4047" s="12" t="s">
        <v>114</v>
      </c>
      <c r="E4047" s="12" t="s">
        <v>65</v>
      </c>
      <c r="F4047">
        <v>1</v>
      </c>
      <c r="G4047">
        <v>2</v>
      </c>
      <c r="H4047">
        <v>1</v>
      </c>
      <c r="I4047" s="12" t="s">
        <v>151</v>
      </c>
      <c r="J4047" s="12" t="s">
        <v>152</v>
      </c>
      <c r="K4047" s="12" t="s">
        <v>125</v>
      </c>
      <c r="L4047" s="12" t="s">
        <v>69</v>
      </c>
      <c r="M4047">
        <v>36.479999999999997</v>
      </c>
      <c r="N4047" s="12" t="s">
        <v>97</v>
      </c>
      <c r="O4047" s="12" t="s">
        <v>98</v>
      </c>
      <c r="P4047" s="12" t="s">
        <v>72</v>
      </c>
      <c r="Q4047" s="13">
        <v>45645</v>
      </c>
      <c r="R4047" s="13">
        <v>45672</v>
      </c>
      <c r="S4047">
        <v>2024</v>
      </c>
      <c r="T4047" s="12" t="s">
        <v>4841</v>
      </c>
      <c r="U4047">
        <v>63</v>
      </c>
      <c r="V4047">
        <v>292.26440000000002</v>
      </c>
      <c r="W4047">
        <v>277.55</v>
      </c>
      <c r="X4047">
        <v>0</v>
      </c>
      <c r="Y4047">
        <v>0</v>
      </c>
      <c r="Z4047">
        <v>18412.66</v>
      </c>
      <c r="AA4047">
        <v>18690.21</v>
      </c>
      <c r="AB4047" s="12" t="s">
        <v>3009</v>
      </c>
      <c r="AC4047">
        <v>292.26440000000002</v>
      </c>
      <c r="AD4047">
        <v>1</v>
      </c>
      <c r="AE4047">
        <v>1</v>
      </c>
      <c r="AF4047">
        <v>0</v>
      </c>
      <c r="AG4047">
        <v>18412.66</v>
      </c>
      <c r="AH4047">
        <v>63</v>
      </c>
      <c r="AI4047">
        <v>62</v>
      </c>
      <c r="AJ4047">
        <v>1</v>
      </c>
      <c r="AK4047">
        <v>1</v>
      </c>
      <c r="AL4047">
        <v>1</v>
      </c>
      <c r="AM4047">
        <v>98.41</v>
      </c>
      <c r="AN4047">
        <v>301.45499999999998</v>
      </c>
      <c r="AO4047">
        <v>292.26</v>
      </c>
      <c r="AP4047" s="13">
        <v>45678</v>
      </c>
      <c r="AQ4047">
        <v>6</v>
      </c>
      <c r="AR4047">
        <v>0</v>
      </c>
    </row>
    <row r="4048" spans="1:44" x14ac:dyDescent="0.35">
      <c r="A4048" s="12" t="s">
        <v>4974</v>
      </c>
      <c r="B4048" s="12" t="s">
        <v>876</v>
      </c>
      <c r="C4048" s="12" t="s">
        <v>877</v>
      </c>
      <c r="D4048" s="12" t="s">
        <v>269</v>
      </c>
      <c r="E4048" s="12" t="s">
        <v>142</v>
      </c>
      <c r="F4048">
        <v>3</v>
      </c>
      <c r="G4048">
        <v>11</v>
      </c>
      <c r="H4048">
        <v>0</v>
      </c>
      <c r="I4048" s="12" t="s">
        <v>515</v>
      </c>
      <c r="J4048" s="12" t="s">
        <v>516</v>
      </c>
      <c r="K4048" s="12" t="s">
        <v>68</v>
      </c>
      <c r="L4048" s="12" t="s">
        <v>134</v>
      </c>
      <c r="M4048">
        <v>3.69</v>
      </c>
      <c r="N4048" s="12" t="s">
        <v>159</v>
      </c>
      <c r="O4048" s="12" t="s">
        <v>160</v>
      </c>
      <c r="P4048" s="12" t="s">
        <v>137</v>
      </c>
      <c r="Q4048" s="13">
        <v>45645</v>
      </c>
      <c r="R4048" s="13">
        <v>45691</v>
      </c>
      <c r="S4048">
        <v>2024</v>
      </c>
      <c r="T4048" s="12" t="s">
        <v>4841</v>
      </c>
      <c r="U4048">
        <v>98</v>
      </c>
      <c r="V4048">
        <v>191.71029999999999</v>
      </c>
      <c r="W4048">
        <v>461.89</v>
      </c>
      <c r="X4048">
        <v>566.64</v>
      </c>
      <c r="Y4048">
        <v>1</v>
      </c>
      <c r="Z4048">
        <v>18787.61</v>
      </c>
      <c r="AA4048">
        <v>19816.14</v>
      </c>
      <c r="AB4048" s="12" t="s">
        <v>3591</v>
      </c>
      <c r="AC4048">
        <v>191.71029999999999</v>
      </c>
      <c r="AD4048">
        <v>1</v>
      </c>
      <c r="AE4048">
        <v>1</v>
      </c>
      <c r="AF4048">
        <v>0</v>
      </c>
      <c r="AG4048">
        <v>18787.61</v>
      </c>
      <c r="AH4048">
        <v>98</v>
      </c>
      <c r="AI4048">
        <v>97</v>
      </c>
      <c r="AJ4048">
        <v>1</v>
      </c>
      <c r="AK4048">
        <v>1</v>
      </c>
      <c r="AL4048">
        <v>1</v>
      </c>
      <c r="AM4048">
        <v>98.98</v>
      </c>
      <c r="AN4048">
        <v>204.2901</v>
      </c>
      <c r="AO4048">
        <v>191.71</v>
      </c>
      <c r="AP4048" s="13">
        <v>45689</v>
      </c>
      <c r="AQ4048">
        <v>-2</v>
      </c>
      <c r="AR4048">
        <v>1</v>
      </c>
    </row>
    <row r="4049" spans="1:44" x14ac:dyDescent="0.35">
      <c r="A4049" s="12" t="s">
        <v>4975</v>
      </c>
      <c r="B4049" s="12" t="s">
        <v>978</v>
      </c>
      <c r="C4049" s="12" t="s">
        <v>979</v>
      </c>
      <c r="D4049" s="12" t="s">
        <v>122</v>
      </c>
      <c r="E4049" s="12" t="s">
        <v>65</v>
      </c>
      <c r="F4049">
        <v>1</v>
      </c>
      <c r="G4049">
        <v>2</v>
      </c>
      <c r="H4049">
        <v>1</v>
      </c>
      <c r="I4049" s="12" t="s">
        <v>310</v>
      </c>
      <c r="J4049" s="12" t="s">
        <v>311</v>
      </c>
      <c r="K4049" s="12" t="s">
        <v>81</v>
      </c>
      <c r="L4049" s="12" t="s">
        <v>69</v>
      </c>
      <c r="M4049">
        <v>28.3</v>
      </c>
      <c r="N4049" s="12" t="s">
        <v>70</v>
      </c>
      <c r="O4049" s="12" t="s">
        <v>71</v>
      </c>
      <c r="P4049" s="12" t="s">
        <v>72</v>
      </c>
      <c r="Q4049" s="13">
        <v>45645</v>
      </c>
      <c r="R4049" s="13">
        <v>45678</v>
      </c>
      <c r="S4049">
        <v>2024</v>
      </c>
      <c r="T4049" s="12" t="s">
        <v>4841</v>
      </c>
      <c r="U4049">
        <v>1489</v>
      </c>
      <c r="V4049">
        <v>43.574800000000003</v>
      </c>
      <c r="W4049">
        <v>923.85</v>
      </c>
      <c r="X4049">
        <v>0</v>
      </c>
      <c r="Y4049">
        <v>0</v>
      </c>
      <c r="Z4049">
        <v>64882.879999999997</v>
      </c>
      <c r="AA4049">
        <v>65806.73</v>
      </c>
      <c r="AB4049" s="12" t="s">
        <v>3471</v>
      </c>
      <c r="AC4049">
        <v>43.574800000000003</v>
      </c>
      <c r="AD4049">
        <v>1</v>
      </c>
      <c r="AE4049">
        <v>1</v>
      </c>
      <c r="AF4049">
        <v>0</v>
      </c>
      <c r="AG4049">
        <v>64882.879999999997</v>
      </c>
      <c r="AH4049">
        <v>1489</v>
      </c>
      <c r="AI4049">
        <v>1474</v>
      </c>
      <c r="AJ4049">
        <v>15</v>
      </c>
      <c r="AK4049">
        <v>1</v>
      </c>
      <c r="AL4049">
        <v>1</v>
      </c>
      <c r="AM4049">
        <v>98.99</v>
      </c>
      <c r="AN4049">
        <v>44.645000000000003</v>
      </c>
      <c r="AO4049">
        <v>653.62</v>
      </c>
      <c r="AP4049" s="13">
        <v>45678</v>
      </c>
      <c r="AQ4049">
        <v>0</v>
      </c>
      <c r="AR4049">
        <v>1</v>
      </c>
    </row>
    <row r="4050" spans="1:44" x14ac:dyDescent="0.35">
      <c r="A4050" s="12" t="s">
        <v>4976</v>
      </c>
      <c r="B4050" s="12" t="s">
        <v>855</v>
      </c>
      <c r="C4050" s="12" t="s">
        <v>856</v>
      </c>
      <c r="D4050" s="12" t="s">
        <v>269</v>
      </c>
      <c r="E4050" s="12" t="s">
        <v>65</v>
      </c>
      <c r="F4050">
        <v>3</v>
      </c>
      <c r="G4050">
        <v>5</v>
      </c>
      <c r="H4050">
        <v>0</v>
      </c>
      <c r="I4050" s="12" t="s">
        <v>94</v>
      </c>
      <c r="J4050" s="12" t="s">
        <v>95</v>
      </c>
      <c r="K4050" s="12" t="s">
        <v>81</v>
      </c>
      <c r="L4050" s="12" t="s">
        <v>96</v>
      </c>
      <c r="M4050">
        <v>4.8099999999999996</v>
      </c>
      <c r="N4050" s="12" t="s">
        <v>159</v>
      </c>
      <c r="O4050" s="12" t="s">
        <v>160</v>
      </c>
      <c r="P4050" s="12" t="s">
        <v>137</v>
      </c>
      <c r="Q4050" s="13">
        <v>45645</v>
      </c>
      <c r="R4050" s="13">
        <v>45679</v>
      </c>
      <c r="S4050">
        <v>2024</v>
      </c>
      <c r="T4050" s="12" t="s">
        <v>4841</v>
      </c>
      <c r="U4050">
        <v>115</v>
      </c>
      <c r="V4050">
        <v>479.86860000000001</v>
      </c>
      <c r="W4050">
        <v>1002.75</v>
      </c>
      <c r="X4050">
        <v>0</v>
      </c>
      <c r="Y4050">
        <v>0</v>
      </c>
      <c r="Z4050">
        <v>55184.89</v>
      </c>
      <c r="AA4050">
        <v>56187.64</v>
      </c>
      <c r="AB4050" s="12" t="s">
        <v>3699</v>
      </c>
      <c r="AC4050">
        <v>479.86860000000001</v>
      </c>
      <c r="AD4050">
        <v>1</v>
      </c>
      <c r="AE4050">
        <v>1</v>
      </c>
      <c r="AF4050">
        <v>0</v>
      </c>
      <c r="AG4050">
        <v>55184.89</v>
      </c>
      <c r="AH4050">
        <v>115</v>
      </c>
      <c r="AI4050">
        <v>115</v>
      </c>
      <c r="AJ4050">
        <v>0</v>
      </c>
      <c r="AK4050">
        <v>1</v>
      </c>
      <c r="AL4050">
        <v>1</v>
      </c>
      <c r="AM4050">
        <v>100</v>
      </c>
      <c r="AN4050">
        <v>488.58819999999997</v>
      </c>
      <c r="AO4050">
        <v>0</v>
      </c>
      <c r="AP4050" s="13">
        <v>45681</v>
      </c>
      <c r="AQ4050">
        <v>2</v>
      </c>
      <c r="AR4050">
        <v>0</v>
      </c>
    </row>
    <row r="4051" spans="1:44" x14ac:dyDescent="0.35">
      <c r="A4051" s="12" t="s">
        <v>4977</v>
      </c>
      <c r="B4051" s="12" t="s">
        <v>293</v>
      </c>
      <c r="C4051" s="12" t="s">
        <v>294</v>
      </c>
      <c r="D4051" s="12" t="s">
        <v>114</v>
      </c>
      <c r="E4051" s="12" t="s">
        <v>142</v>
      </c>
      <c r="F4051">
        <v>1</v>
      </c>
      <c r="G4051">
        <v>6</v>
      </c>
      <c r="H4051">
        <v>1</v>
      </c>
      <c r="I4051" s="12" t="s">
        <v>195</v>
      </c>
      <c r="J4051" s="12" t="s">
        <v>196</v>
      </c>
      <c r="K4051" s="12" t="s">
        <v>117</v>
      </c>
      <c r="L4051" s="12" t="s">
        <v>134</v>
      </c>
      <c r="M4051">
        <v>4.7699999999999996</v>
      </c>
      <c r="N4051" s="12" t="s">
        <v>70</v>
      </c>
      <c r="O4051" s="12" t="s">
        <v>71</v>
      </c>
      <c r="P4051" s="12" t="s">
        <v>72</v>
      </c>
      <c r="Q4051" s="13">
        <v>45645</v>
      </c>
      <c r="R4051" s="13">
        <v>45687</v>
      </c>
      <c r="S4051">
        <v>2024</v>
      </c>
      <c r="T4051" s="12" t="s">
        <v>4841</v>
      </c>
      <c r="U4051">
        <v>68</v>
      </c>
      <c r="V4051">
        <v>202.91499999999999</v>
      </c>
      <c r="W4051">
        <v>165.56</v>
      </c>
      <c r="X4051">
        <v>0</v>
      </c>
      <c r="Y4051">
        <v>0</v>
      </c>
      <c r="Z4051">
        <v>13798.22</v>
      </c>
      <c r="AA4051">
        <v>13963.78</v>
      </c>
      <c r="AB4051" s="12" t="s">
        <v>2837</v>
      </c>
      <c r="AC4051">
        <v>202.91499999999999</v>
      </c>
      <c r="AD4051">
        <v>1</v>
      </c>
      <c r="AE4051">
        <v>1</v>
      </c>
      <c r="AF4051">
        <v>0</v>
      </c>
      <c r="AG4051">
        <v>13798.22</v>
      </c>
      <c r="AH4051">
        <v>68</v>
      </c>
      <c r="AI4051">
        <v>68</v>
      </c>
      <c r="AJ4051">
        <v>0</v>
      </c>
      <c r="AK4051">
        <v>1</v>
      </c>
      <c r="AL4051">
        <v>1</v>
      </c>
      <c r="AM4051">
        <v>100</v>
      </c>
      <c r="AN4051">
        <v>205.34970000000001</v>
      </c>
      <c r="AO4051">
        <v>0</v>
      </c>
      <c r="AP4051" s="13">
        <v>45684</v>
      </c>
      <c r="AQ4051">
        <v>-3</v>
      </c>
      <c r="AR4051">
        <v>1</v>
      </c>
    </row>
    <row r="4052" spans="1:44" x14ac:dyDescent="0.35">
      <c r="A4052" s="12" t="s">
        <v>4978</v>
      </c>
      <c r="B4052" s="12" t="s">
        <v>101</v>
      </c>
      <c r="C4052" s="12" t="s">
        <v>102</v>
      </c>
      <c r="D4052" s="12" t="s">
        <v>103</v>
      </c>
      <c r="E4052" s="12" t="s">
        <v>104</v>
      </c>
      <c r="F4052">
        <v>1</v>
      </c>
      <c r="G4052">
        <v>0</v>
      </c>
      <c r="H4052">
        <v>1</v>
      </c>
      <c r="I4052" s="12" t="s">
        <v>105</v>
      </c>
      <c r="J4052" s="12" t="s">
        <v>106</v>
      </c>
      <c r="K4052" s="12" t="s">
        <v>81</v>
      </c>
      <c r="L4052" s="12" t="s">
        <v>96</v>
      </c>
      <c r="M4052">
        <v>5.01</v>
      </c>
      <c r="N4052" s="12" t="s">
        <v>145</v>
      </c>
      <c r="O4052" s="12" t="s">
        <v>146</v>
      </c>
      <c r="P4052" s="12" t="s">
        <v>109</v>
      </c>
      <c r="Q4052" s="13">
        <v>45646</v>
      </c>
      <c r="R4052" s="13">
        <v>45658</v>
      </c>
      <c r="S4052">
        <v>2024</v>
      </c>
      <c r="T4052" s="12" t="s">
        <v>4841</v>
      </c>
      <c r="U4052">
        <v>13</v>
      </c>
      <c r="V4052">
        <v>205.32499999999999</v>
      </c>
      <c r="W4052">
        <v>59.88</v>
      </c>
      <c r="X4052">
        <v>0</v>
      </c>
      <c r="Y4052">
        <v>0</v>
      </c>
      <c r="Z4052">
        <v>2669.23</v>
      </c>
      <c r="AA4052">
        <v>2729.11</v>
      </c>
      <c r="AB4052" s="12" t="s">
        <v>2866</v>
      </c>
      <c r="AC4052">
        <v>205.32499999999999</v>
      </c>
      <c r="AD4052">
        <v>1</v>
      </c>
      <c r="AE4052">
        <v>1</v>
      </c>
      <c r="AF4052">
        <v>0</v>
      </c>
      <c r="AG4052">
        <v>2669.23</v>
      </c>
      <c r="AH4052">
        <v>13</v>
      </c>
      <c r="AI4052">
        <v>13</v>
      </c>
      <c r="AJ4052">
        <v>0</v>
      </c>
      <c r="AK4052">
        <v>1</v>
      </c>
      <c r="AL4052">
        <v>1</v>
      </c>
      <c r="AM4052">
        <v>100</v>
      </c>
      <c r="AN4052">
        <v>209.93119999999999</v>
      </c>
      <c r="AO4052">
        <v>0</v>
      </c>
      <c r="AP4052" s="13">
        <v>45658</v>
      </c>
      <c r="AQ4052">
        <v>0</v>
      </c>
      <c r="AR4052">
        <v>1</v>
      </c>
    </row>
    <row r="4053" spans="1:44" x14ac:dyDescent="0.35">
      <c r="A4053" s="12" t="s">
        <v>4979</v>
      </c>
      <c r="B4053" s="12" t="s">
        <v>399</v>
      </c>
      <c r="C4053" s="12" t="s">
        <v>400</v>
      </c>
      <c r="D4053" s="12" t="s">
        <v>114</v>
      </c>
      <c r="E4053" s="12" t="s">
        <v>65</v>
      </c>
      <c r="F4053">
        <v>1</v>
      </c>
      <c r="G4053">
        <v>2</v>
      </c>
      <c r="H4053">
        <v>1</v>
      </c>
      <c r="I4053" s="12" t="s">
        <v>151</v>
      </c>
      <c r="J4053" s="12" t="s">
        <v>152</v>
      </c>
      <c r="K4053" s="12" t="s">
        <v>125</v>
      </c>
      <c r="L4053" s="12" t="s">
        <v>69</v>
      </c>
      <c r="M4053">
        <v>36.479999999999997</v>
      </c>
      <c r="N4053" s="12" t="s">
        <v>70</v>
      </c>
      <c r="O4053" s="12" t="s">
        <v>71</v>
      </c>
      <c r="P4053" s="12" t="s">
        <v>72</v>
      </c>
      <c r="Q4053" s="13">
        <v>45646</v>
      </c>
      <c r="R4053" s="13">
        <v>45670</v>
      </c>
      <c r="S4053">
        <v>2024</v>
      </c>
      <c r="T4053" s="12" t="s">
        <v>4841</v>
      </c>
      <c r="U4053">
        <v>40</v>
      </c>
      <c r="V4053">
        <v>292.26440000000002</v>
      </c>
      <c r="W4053">
        <v>170.02</v>
      </c>
      <c r="X4053">
        <v>0</v>
      </c>
      <c r="Y4053">
        <v>0</v>
      </c>
      <c r="Z4053">
        <v>11690.58</v>
      </c>
      <c r="AA4053">
        <v>11860.6</v>
      </c>
      <c r="AB4053" s="12" t="s">
        <v>3009</v>
      </c>
      <c r="AC4053">
        <v>292.26440000000002</v>
      </c>
      <c r="AD4053">
        <v>1</v>
      </c>
      <c r="AE4053">
        <v>1</v>
      </c>
      <c r="AF4053">
        <v>0</v>
      </c>
      <c r="AG4053">
        <v>11690.58</v>
      </c>
      <c r="AH4053">
        <v>40</v>
      </c>
      <c r="AI4053">
        <v>40</v>
      </c>
      <c r="AJ4053">
        <v>0</v>
      </c>
      <c r="AK4053">
        <v>1</v>
      </c>
      <c r="AL4053">
        <v>1</v>
      </c>
      <c r="AM4053">
        <v>100</v>
      </c>
      <c r="AN4053">
        <v>296.51490000000001</v>
      </c>
      <c r="AO4053">
        <v>0</v>
      </c>
      <c r="AP4053" s="13">
        <v>45675</v>
      </c>
      <c r="AQ4053">
        <v>5</v>
      </c>
      <c r="AR4053">
        <v>0</v>
      </c>
    </row>
    <row r="4054" spans="1:44" x14ac:dyDescent="0.35">
      <c r="A4054" s="12" t="s">
        <v>4980</v>
      </c>
      <c r="B4054" s="12" t="s">
        <v>685</v>
      </c>
      <c r="C4054" s="12" t="s">
        <v>686</v>
      </c>
      <c r="D4054" s="12" t="s">
        <v>175</v>
      </c>
      <c r="E4054" s="12" t="s">
        <v>104</v>
      </c>
      <c r="F4054">
        <v>2</v>
      </c>
      <c r="G4054">
        <v>0</v>
      </c>
      <c r="H4054">
        <v>0</v>
      </c>
      <c r="I4054" s="12" t="s">
        <v>195</v>
      </c>
      <c r="J4054" s="12" t="s">
        <v>196</v>
      </c>
      <c r="K4054" s="12" t="s">
        <v>117</v>
      </c>
      <c r="L4054" s="12" t="s">
        <v>134</v>
      </c>
      <c r="M4054">
        <v>4.7699999999999996</v>
      </c>
      <c r="N4054" s="12" t="s">
        <v>145</v>
      </c>
      <c r="O4054" s="12" t="s">
        <v>146</v>
      </c>
      <c r="P4054" s="12" t="s">
        <v>109</v>
      </c>
      <c r="Q4054" s="13">
        <v>45646</v>
      </c>
      <c r="R4054" s="13">
        <v>45669</v>
      </c>
      <c r="S4054">
        <v>2024</v>
      </c>
      <c r="T4054" s="12" t="s">
        <v>4841</v>
      </c>
      <c r="U4054">
        <v>103</v>
      </c>
      <c r="V4054">
        <v>221.7345</v>
      </c>
      <c r="W4054">
        <v>151.27000000000001</v>
      </c>
      <c r="X4054">
        <v>0</v>
      </c>
      <c r="Y4054">
        <v>0</v>
      </c>
      <c r="Z4054">
        <v>22838.65</v>
      </c>
      <c r="AA4054">
        <v>22989.919999999998</v>
      </c>
      <c r="AB4054" s="12" t="s">
        <v>3241</v>
      </c>
      <c r="AC4054">
        <v>221.7345</v>
      </c>
      <c r="AD4054">
        <v>1</v>
      </c>
      <c r="AE4054">
        <v>1</v>
      </c>
      <c r="AF4054">
        <v>0</v>
      </c>
      <c r="AG4054">
        <v>22838.65</v>
      </c>
      <c r="AH4054">
        <v>103</v>
      </c>
      <c r="AI4054">
        <v>102</v>
      </c>
      <c r="AJ4054">
        <v>1</v>
      </c>
      <c r="AK4054">
        <v>1</v>
      </c>
      <c r="AL4054">
        <v>1</v>
      </c>
      <c r="AM4054">
        <v>99.03</v>
      </c>
      <c r="AN4054">
        <v>225.3914</v>
      </c>
      <c r="AO4054">
        <v>221.73</v>
      </c>
      <c r="AP4054" s="13">
        <v>45667</v>
      </c>
      <c r="AQ4054">
        <v>-2</v>
      </c>
      <c r="AR4054">
        <v>1</v>
      </c>
    </row>
    <row r="4055" spans="1:44" x14ac:dyDescent="0.35">
      <c r="A4055" s="12" t="s">
        <v>4981</v>
      </c>
      <c r="B4055" s="12" t="s">
        <v>617</v>
      </c>
      <c r="C4055" s="12" t="s">
        <v>618</v>
      </c>
      <c r="D4055" s="12" t="s">
        <v>78</v>
      </c>
      <c r="E4055" s="12" t="s">
        <v>65</v>
      </c>
      <c r="F4055">
        <v>2</v>
      </c>
      <c r="G4055">
        <v>4</v>
      </c>
      <c r="H4055">
        <v>0</v>
      </c>
      <c r="I4055" s="12" t="s">
        <v>341</v>
      </c>
      <c r="J4055" s="12" t="s">
        <v>342</v>
      </c>
      <c r="K4055" s="12" t="s">
        <v>117</v>
      </c>
      <c r="L4055" s="12" t="s">
        <v>82</v>
      </c>
      <c r="M4055">
        <v>18.36</v>
      </c>
      <c r="N4055" s="12" t="s">
        <v>70</v>
      </c>
      <c r="O4055" s="12" t="s">
        <v>71</v>
      </c>
      <c r="P4055" s="12" t="s">
        <v>72</v>
      </c>
      <c r="Q4055" s="13">
        <v>45646</v>
      </c>
      <c r="R4055" s="13">
        <v>45680</v>
      </c>
      <c r="S4055">
        <v>2024</v>
      </c>
      <c r="T4055" s="12" t="s">
        <v>4841</v>
      </c>
      <c r="U4055">
        <v>241</v>
      </c>
      <c r="V4055">
        <v>102.4909</v>
      </c>
      <c r="W4055">
        <v>535.16999999999996</v>
      </c>
      <c r="X4055">
        <v>0</v>
      </c>
      <c r="Y4055">
        <v>0</v>
      </c>
      <c r="Z4055">
        <v>24700.31</v>
      </c>
      <c r="AA4055">
        <v>25235.48</v>
      </c>
      <c r="AB4055" s="12" t="s">
        <v>3217</v>
      </c>
      <c r="AC4055">
        <v>102.4909</v>
      </c>
      <c r="AD4055">
        <v>1</v>
      </c>
      <c r="AE4055">
        <v>1</v>
      </c>
      <c r="AF4055">
        <v>0</v>
      </c>
      <c r="AG4055">
        <v>24700.31</v>
      </c>
      <c r="AH4055">
        <v>241</v>
      </c>
      <c r="AI4055">
        <v>236</v>
      </c>
      <c r="AJ4055">
        <v>5</v>
      </c>
      <c r="AK4055">
        <v>1</v>
      </c>
      <c r="AL4055">
        <v>1</v>
      </c>
      <c r="AM4055">
        <v>97.93</v>
      </c>
      <c r="AN4055">
        <v>106.93</v>
      </c>
      <c r="AO4055">
        <v>512.45000000000005</v>
      </c>
      <c r="AP4055" s="13">
        <v>45679</v>
      </c>
      <c r="AQ4055">
        <v>-1</v>
      </c>
      <c r="AR4055">
        <v>1</v>
      </c>
    </row>
    <row r="4056" spans="1:44" x14ac:dyDescent="0.35">
      <c r="A4056" s="12" t="s">
        <v>4982</v>
      </c>
      <c r="B4056" s="12" t="s">
        <v>120</v>
      </c>
      <c r="C4056" s="12" t="s">
        <v>121</v>
      </c>
      <c r="D4056" s="12" t="s">
        <v>122</v>
      </c>
      <c r="E4056" s="12" t="s">
        <v>65</v>
      </c>
      <c r="F4056">
        <v>3</v>
      </c>
      <c r="G4056">
        <v>4</v>
      </c>
      <c r="H4056">
        <v>0</v>
      </c>
      <c r="I4056" s="12" t="s">
        <v>123</v>
      </c>
      <c r="J4056" s="12" t="s">
        <v>124</v>
      </c>
      <c r="K4056" s="12" t="s">
        <v>125</v>
      </c>
      <c r="L4056" s="12" t="s">
        <v>82</v>
      </c>
      <c r="M4056">
        <v>6.75</v>
      </c>
      <c r="N4056" s="12" t="s">
        <v>97</v>
      </c>
      <c r="O4056" s="12" t="s">
        <v>98</v>
      </c>
      <c r="P4056" s="12" t="s">
        <v>72</v>
      </c>
      <c r="Q4056" s="13">
        <v>45646</v>
      </c>
      <c r="R4056" s="13">
        <v>45668</v>
      </c>
      <c r="S4056">
        <v>2024</v>
      </c>
      <c r="T4056" s="12" t="s">
        <v>4841</v>
      </c>
      <c r="U4056">
        <v>384</v>
      </c>
      <c r="V4056">
        <v>53.214500000000001</v>
      </c>
      <c r="W4056">
        <v>236.92</v>
      </c>
      <c r="X4056">
        <v>0</v>
      </c>
      <c r="Y4056">
        <v>0</v>
      </c>
      <c r="Z4056">
        <v>20434.37</v>
      </c>
      <c r="AA4056">
        <v>20671.29</v>
      </c>
      <c r="AB4056" s="12" t="s">
        <v>2728</v>
      </c>
      <c r="AC4056">
        <v>53.214500000000001</v>
      </c>
      <c r="AD4056">
        <v>1</v>
      </c>
      <c r="AE4056">
        <v>1</v>
      </c>
      <c r="AF4056">
        <v>0</v>
      </c>
      <c r="AG4056">
        <v>20434.37</v>
      </c>
      <c r="AH4056">
        <v>384</v>
      </c>
      <c r="AI4056">
        <v>380</v>
      </c>
      <c r="AJ4056">
        <v>4</v>
      </c>
      <c r="AK4056">
        <v>1</v>
      </c>
      <c r="AL4056">
        <v>1</v>
      </c>
      <c r="AM4056">
        <v>98.96</v>
      </c>
      <c r="AN4056">
        <v>54.398099999999999</v>
      </c>
      <c r="AO4056">
        <v>212.86</v>
      </c>
      <c r="AP4056" s="13">
        <v>45665</v>
      </c>
      <c r="AQ4056">
        <v>-3</v>
      </c>
      <c r="AR4056">
        <v>1</v>
      </c>
    </row>
    <row r="4057" spans="1:44" x14ac:dyDescent="0.35">
      <c r="A4057" s="12" t="s">
        <v>4983</v>
      </c>
      <c r="B4057" s="12" t="s">
        <v>876</v>
      </c>
      <c r="C4057" s="12" t="s">
        <v>877</v>
      </c>
      <c r="D4057" s="12" t="s">
        <v>269</v>
      </c>
      <c r="E4057" s="12" t="s">
        <v>142</v>
      </c>
      <c r="F4057">
        <v>3</v>
      </c>
      <c r="G4057">
        <v>11</v>
      </c>
      <c r="H4057">
        <v>0</v>
      </c>
      <c r="I4057" s="12" t="s">
        <v>87</v>
      </c>
      <c r="J4057" s="12" t="s">
        <v>88</v>
      </c>
      <c r="K4057" s="12" t="s">
        <v>89</v>
      </c>
      <c r="L4057" s="12" t="s">
        <v>69</v>
      </c>
      <c r="M4057">
        <v>14.93</v>
      </c>
      <c r="N4057" s="12" t="s">
        <v>159</v>
      </c>
      <c r="O4057" s="12" t="s">
        <v>160</v>
      </c>
      <c r="P4057" s="12" t="s">
        <v>137</v>
      </c>
      <c r="Q4057" s="13">
        <v>45646</v>
      </c>
      <c r="R4057" s="13">
        <v>45693</v>
      </c>
      <c r="S4057">
        <v>2024</v>
      </c>
      <c r="T4057" s="12" t="s">
        <v>4841</v>
      </c>
      <c r="U4057">
        <v>107</v>
      </c>
      <c r="V4057">
        <v>211.9975</v>
      </c>
      <c r="W4057">
        <v>581.92999999999995</v>
      </c>
      <c r="X4057">
        <v>728</v>
      </c>
      <c r="Y4057">
        <v>1</v>
      </c>
      <c r="Z4057">
        <v>22683.73</v>
      </c>
      <c r="AA4057">
        <v>23993.66</v>
      </c>
      <c r="AB4057" s="12" t="s">
        <v>201</v>
      </c>
      <c r="AD4057">
        <v>0</v>
      </c>
      <c r="AE4057">
        <v>0</v>
      </c>
      <c r="AH4057">
        <v>107</v>
      </c>
      <c r="AI4057">
        <v>106</v>
      </c>
      <c r="AJ4057">
        <v>1</v>
      </c>
      <c r="AK4057">
        <v>1</v>
      </c>
      <c r="AL4057">
        <v>1</v>
      </c>
      <c r="AM4057">
        <v>99.07</v>
      </c>
      <c r="AN4057">
        <v>226.3553</v>
      </c>
      <c r="AO4057">
        <v>212</v>
      </c>
      <c r="AP4057" s="13">
        <v>45690</v>
      </c>
      <c r="AQ4057">
        <v>-3</v>
      </c>
      <c r="AR4057">
        <v>1</v>
      </c>
    </row>
    <row r="4058" spans="1:44" x14ac:dyDescent="0.35">
      <c r="A4058" s="12" t="s">
        <v>4984</v>
      </c>
      <c r="B4058" s="12" t="s">
        <v>1666</v>
      </c>
      <c r="C4058" s="12" t="s">
        <v>1667</v>
      </c>
      <c r="D4058" s="12" t="s">
        <v>78</v>
      </c>
      <c r="E4058" s="12" t="s">
        <v>65</v>
      </c>
      <c r="F4058">
        <v>2</v>
      </c>
      <c r="G4058">
        <v>3</v>
      </c>
      <c r="H4058">
        <v>0</v>
      </c>
      <c r="I4058" s="12" t="s">
        <v>310</v>
      </c>
      <c r="J4058" s="12" t="s">
        <v>311</v>
      </c>
      <c r="K4058" s="12" t="s">
        <v>81</v>
      </c>
      <c r="L4058" s="12" t="s">
        <v>69</v>
      </c>
      <c r="M4058">
        <v>28.3</v>
      </c>
      <c r="N4058" s="12" t="s">
        <v>97</v>
      </c>
      <c r="O4058" s="12" t="s">
        <v>98</v>
      </c>
      <c r="P4058" s="12" t="s">
        <v>72</v>
      </c>
      <c r="Q4058" s="13">
        <v>45646</v>
      </c>
      <c r="R4058" s="13">
        <v>45673</v>
      </c>
      <c r="S4058">
        <v>2024</v>
      </c>
      <c r="T4058" s="12" t="s">
        <v>4841</v>
      </c>
      <c r="U4058">
        <v>127</v>
      </c>
      <c r="V4058">
        <v>73.412099999999995</v>
      </c>
      <c r="W4058">
        <v>68.510000000000005</v>
      </c>
      <c r="X4058">
        <v>295.94</v>
      </c>
      <c r="Y4058">
        <v>1</v>
      </c>
      <c r="Z4058">
        <v>9323.34</v>
      </c>
      <c r="AA4058">
        <v>9687.7900000000009</v>
      </c>
      <c r="AB4058" s="12" t="s">
        <v>3090</v>
      </c>
      <c r="AC4058">
        <v>73.412099999999995</v>
      </c>
      <c r="AD4058">
        <v>1</v>
      </c>
      <c r="AE4058">
        <v>1</v>
      </c>
      <c r="AF4058">
        <v>0</v>
      </c>
      <c r="AG4058">
        <v>9323.34</v>
      </c>
      <c r="AH4058">
        <v>127</v>
      </c>
      <c r="AI4058">
        <v>124</v>
      </c>
      <c r="AJ4058">
        <v>3</v>
      </c>
      <c r="AK4058">
        <v>1</v>
      </c>
      <c r="AL4058">
        <v>1</v>
      </c>
      <c r="AM4058">
        <v>97.64</v>
      </c>
      <c r="AN4058">
        <v>78.127300000000005</v>
      </c>
      <c r="AO4058">
        <v>220.24</v>
      </c>
      <c r="AP4058" s="13">
        <v>45671</v>
      </c>
      <c r="AQ4058">
        <v>-2</v>
      </c>
      <c r="AR4058">
        <v>1</v>
      </c>
    </row>
    <row r="4059" spans="1:44" x14ac:dyDescent="0.35">
      <c r="A4059" s="12" t="s">
        <v>4985</v>
      </c>
      <c r="B4059" s="12" t="s">
        <v>827</v>
      </c>
      <c r="C4059" s="12" t="s">
        <v>828</v>
      </c>
      <c r="D4059" s="12" t="s">
        <v>175</v>
      </c>
      <c r="E4059" s="12" t="s">
        <v>104</v>
      </c>
      <c r="F4059">
        <v>2</v>
      </c>
      <c r="G4059">
        <v>0</v>
      </c>
      <c r="H4059">
        <v>0</v>
      </c>
      <c r="I4059" s="12" t="s">
        <v>310</v>
      </c>
      <c r="J4059" s="12" t="s">
        <v>311</v>
      </c>
      <c r="K4059" s="12" t="s">
        <v>81</v>
      </c>
      <c r="L4059" s="12" t="s">
        <v>69</v>
      </c>
      <c r="M4059">
        <v>28.3</v>
      </c>
      <c r="N4059" s="12" t="s">
        <v>145</v>
      </c>
      <c r="O4059" s="12" t="s">
        <v>146</v>
      </c>
      <c r="P4059" s="12" t="s">
        <v>109</v>
      </c>
      <c r="Q4059" s="13">
        <v>45646</v>
      </c>
      <c r="R4059" s="13">
        <v>45675</v>
      </c>
      <c r="S4059">
        <v>2024</v>
      </c>
      <c r="T4059" s="12" t="s">
        <v>4841</v>
      </c>
      <c r="U4059">
        <v>149</v>
      </c>
      <c r="V4059">
        <v>104.9198</v>
      </c>
      <c r="W4059">
        <v>384.75</v>
      </c>
      <c r="X4059">
        <v>0</v>
      </c>
      <c r="Y4059">
        <v>0</v>
      </c>
      <c r="Z4059">
        <v>15633.05</v>
      </c>
      <c r="AA4059">
        <v>16017.8</v>
      </c>
      <c r="AB4059" s="12" t="s">
        <v>4192</v>
      </c>
      <c r="AC4059">
        <v>104.9198</v>
      </c>
      <c r="AD4059">
        <v>1</v>
      </c>
      <c r="AE4059">
        <v>1</v>
      </c>
      <c r="AF4059">
        <v>0</v>
      </c>
      <c r="AG4059">
        <v>15633.05</v>
      </c>
      <c r="AH4059">
        <v>149</v>
      </c>
      <c r="AI4059">
        <v>149</v>
      </c>
      <c r="AJ4059">
        <v>0</v>
      </c>
      <c r="AK4059">
        <v>1</v>
      </c>
      <c r="AL4059">
        <v>1</v>
      </c>
      <c r="AM4059">
        <v>100</v>
      </c>
      <c r="AN4059">
        <v>107.502</v>
      </c>
      <c r="AO4059">
        <v>0</v>
      </c>
      <c r="AP4059" s="13">
        <v>45673</v>
      </c>
      <c r="AQ4059">
        <v>-2</v>
      </c>
      <c r="AR4059">
        <v>1</v>
      </c>
    </row>
    <row r="4060" spans="1:44" x14ac:dyDescent="0.35">
      <c r="A4060" s="12" t="s">
        <v>4986</v>
      </c>
      <c r="B4060" s="12" t="s">
        <v>362</v>
      </c>
      <c r="C4060" s="12" t="s">
        <v>363</v>
      </c>
      <c r="D4060" s="12" t="s">
        <v>78</v>
      </c>
      <c r="E4060" s="12" t="s">
        <v>104</v>
      </c>
      <c r="F4060">
        <v>3</v>
      </c>
      <c r="G4060">
        <v>0</v>
      </c>
      <c r="H4060">
        <v>0</v>
      </c>
      <c r="I4060" s="12" t="s">
        <v>157</v>
      </c>
      <c r="J4060" s="12" t="s">
        <v>158</v>
      </c>
      <c r="K4060" s="12" t="s">
        <v>117</v>
      </c>
      <c r="L4060" s="12" t="s">
        <v>96</v>
      </c>
      <c r="M4060">
        <v>4.72</v>
      </c>
      <c r="N4060" s="12" t="s">
        <v>70</v>
      </c>
      <c r="O4060" s="12" t="s">
        <v>71</v>
      </c>
      <c r="P4060" s="12" t="s">
        <v>72</v>
      </c>
      <c r="Q4060" s="13">
        <v>45646</v>
      </c>
      <c r="R4060" s="13">
        <v>45668</v>
      </c>
      <c r="S4060">
        <v>2024</v>
      </c>
      <c r="T4060" s="12" t="s">
        <v>4841</v>
      </c>
      <c r="U4060">
        <v>191</v>
      </c>
      <c r="V4060">
        <v>59.830500000000001</v>
      </c>
      <c r="W4060">
        <v>179.94</v>
      </c>
      <c r="X4060">
        <v>0</v>
      </c>
      <c r="Y4060">
        <v>0</v>
      </c>
      <c r="Z4060">
        <v>11427.63</v>
      </c>
      <c r="AA4060">
        <v>11607.57</v>
      </c>
      <c r="AB4060" s="12" t="s">
        <v>3185</v>
      </c>
      <c r="AC4060">
        <v>59.830500000000001</v>
      </c>
      <c r="AD4060">
        <v>1</v>
      </c>
      <c r="AE4060">
        <v>1</v>
      </c>
      <c r="AF4060">
        <v>0</v>
      </c>
      <c r="AG4060">
        <v>11427.63</v>
      </c>
      <c r="AH4060">
        <v>191</v>
      </c>
      <c r="AI4060">
        <v>189</v>
      </c>
      <c r="AJ4060">
        <v>2</v>
      </c>
      <c r="AK4060">
        <v>1</v>
      </c>
      <c r="AL4060">
        <v>1</v>
      </c>
      <c r="AM4060">
        <v>98.95</v>
      </c>
      <c r="AN4060">
        <v>61.415700000000001</v>
      </c>
      <c r="AO4060">
        <v>119.66</v>
      </c>
      <c r="AP4060" s="13">
        <v>45666</v>
      </c>
      <c r="AQ4060">
        <v>-2</v>
      </c>
      <c r="AR4060">
        <v>1</v>
      </c>
    </row>
    <row r="4061" spans="1:44" x14ac:dyDescent="0.35">
      <c r="A4061" s="12" t="s">
        <v>4987</v>
      </c>
      <c r="B4061" s="12" t="s">
        <v>255</v>
      </c>
      <c r="C4061" s="12" t="s">
        <v>256</v>
      </c>
      <c r="D4061" s="12" t="s">
        <v>103</v>
      </c>
      <c r="E4061" s="12" t="s">
        <v>65</v>
      </c>
      <c r="F4061">
        <v>2</v>
      </c>
      <c r="G4061">
        <v>4</v>
      </c>
      <c r="H4061">
        <v>0</v>
      </c>
      <c r="I4061" s="12" t="s">
        <v>143</v>
      </c>
      <c r="J4061" s="12" t="s">
        <v>144</v>
      </c>
      <c r="K4061" s="12" t="s">
        <v>133</v>
      </c>
      <c r="L4061" s="12" t="s">
        <v>96</v>
      </c>
      <c r="M4061">
        <v>5.43</v>
      </c>
      <c r="N4061" s="12" t="s">
        <v>145</v>
      </c>
      <c r="O4061" s="12" t="s">
        <v>146</v>
      </c>
      <c r="P4061" s="12" t="s">
        <v>109</v>
      </c>
      <c r="Q4061" s="13">
        <v>45646</v>
      </c>
      <c r="R4061" s="13">
        <v>45678</v>
      </c>
      <c r="S4061">
        <v>2024</v>
      </c>
      <c r="T4061" s="12" t="s">
        <v>4841</v>
      </c>
      <c r="U4061">
        <v>102</v>
      </c>
      <c r="V4061">
        <v>95.073300000000003</v>
      </c>
      <c r="W4061">
        <v>107.8</v>
      </c>
      <c r="X4061">
        <v>0</v>
      </c>
      <c r="Y4061">
        <v>0</v>
      </c>
      <c r="Z4061">
        <v>9697.48</v>
      </c>
      <c r="AA4061">
        <v>9805.2800000000007</v>
      </c>
      <c r="AB4061" s="12" t="s">
        <v>2616</v>
      </c>
      <c r="AC4061">
        <v>95.073300000000003</v>
      </c>
      <c r="AD4061">
        <v>1</v>
      </c>
      <c r="AE4061">
        <v>1</v>
      </c>
      <c r="AF4061">
        <v>0</v>
      </c>
      <c r="AG4061">
        <v>9697.48</v>
      </c>
      <c r="AH4061">
        <v>102</v>
      </c>
      <c r="AI4061">
        <v>101</v>
      </c>
      <c r="AJ4061">
        <v>1</v>
      </c>
      <c r="AK4061">
        <v>1</v>
      </c>
      <c r="AL4061">
        <v>1</v>
      </c>
      <c r="AM4061">
        <v>99.02</v>
      </c>
      <c r="AN4061">
        <v>97.081900000000005</v>
      </c>
      <c r="AO4061">
        <v>95.07</v>
      </c>
      <c r="AP4061" s="13">
        <v>45676</v>
      </c>
      <c r="AQ4061">
        <v>-2</v>
      </c>
      <c r="AR4061">
        <v>1</v>
      </c>
    </row>
    <row r="4062" spans="1:44" x14ac:dyDescent="0.35">
      <c r="A4062" s="12" t="s">
        <v>4988</v>
      </c>
      <c r="B4062" s="12" t="s">
        <v>1179</v>
      </c>
      <c r="C4062" s="12" t="s">
        <v>1180</v>
      </c>
      <c r="D4062" s="12" t="s">
        <v>122</v>
      </c>
      <c r="E4062" s="12" t="s">
        <v>142</v>
      </c>
      <c r="F4062">
        <v>1</v>
      </c>
      <c r="G4062">
        <v>8</v>
      </c>
      <c r="H4062">
        <v>1</v>
      </c>
      <c r="I4062" s="12" t="s">
        <v>143</v>
      </c>
      <c r="J4062" s="12" t="s">
        <v>144</v>
      </c>
      <c r="K4062" s="12" t="s">
        <v>133</v>
      </c>
      <c r="L4062" s="12" t="s">
        <v>96</v>
      </c>
      <c r="M4062">
        <v>5.43</v>
      </c>
      <c r="N4062" s="12" t="s">
        <v>70</v>
      </c>
      <c r="O4062" s="12" t="s">
        <v>71</v>
      </c>
      <c r="P4062" s="12" t="s">
        <v>72</v>
      </c>
      <c r="Q4062" s="13">
        <v>45646</v>
      </c>
      <c r="R4062" s="13">
        <v>45688</v>
      </c>
      <c r="S4062">
        <v>2024</v>
      </c>
      <c r="T4062" s="12" t="s">
        <v>4841</v>
      </c>
      <c r="U4062">
        <v>901</v>
      </c>
      <c r="V4062">
        <v>52.441499999999998</v>
      </c>
      <c r="W4062">
        <v>538.44000000000005</v>
      </c>
      <c r="X4062">
        <v>0</v>
      </c>
      <c r="Y4062">
        <v>0</v>
      </c>
      <c r="Z4062">
        <v>47249.79</v>
      </c>
      <c r="AA4062">
        <v>47788.23</v>
      </c>
      <c r="AB4062" s="12" t="s">
        <v>3049</v>
      </c>
      <c r="AC4062">
        <v>52.441499999999998</v>
      </c>
      <c r="AD4062">
        <v>1</v>
      </c>
      <c r="AE4062">
        <v>1</v>
      </c>
      <c r="AF4062">
        <v>0</v>
      </c>
      <c r="AG4062">
        <v>47249.79</v>
      </c>
      <c r="AH4062">
        <v>901</v>
      </c>
      <c r="AI4062">
        <v>892</v>
      </c>
      <c r="AJ4062">
        <v>9</v>
      </c>
      <c r="AK4062">
        <v>1</v>
      </c>
      <c r="AL4062">
        <v>1</v>
      </c>
      <c r="AM4062">
        <v>99</v>
      </c>
      <c r="AN4062">
        <v>53.574300000000001</v>
      </c>
      <c r="AO4062">
        <v>471.97</v>
      </c>
      <c r="AP4062" s="13">
        <v>45686</v>
      </c>
      <c r="AQ4062">
        <v>-2</v>
      </c>
      <c r="AR4062">
        <v>1</v>
      </c>
    </row>
    <row r="4063" spans="1:44" x14ac:dyDescent="0.35">
      <c r="A4063" s="12" t="s">
        <v>4989</v>
      </c>
      <c r="B4063" s="12" t="s">
        <v>498</v>
      </c>
      <c r="C4063" s="12" t="s">
        <v>499</v>
      </c>
      <c r="D4063" s="12" t="s">
        <v>175</v>
      </c>
      <c r="E4063" s="12" t="s">
        <v>104</v>
      </c>
      <c r="F4063">
        <v>3</v>
      </c>
      <c r="G4063">
        <v>1</v>
      </c>
      <c r="H4063">
        <v>0</v>
      </c>
      <c r="I4063" s="12" t="s">
        <v>233</v>
      </c>
      <c r="J4063" s="12" t="s">
        <v>234</v>
      </c>
      <c r="K4063" s="12" t="s">
        <v>125</v>
      </c>
      <c r="L4063" s="12" t="s">
        <v>96</v>
      </c>
      <c r="M4063">
        <v>3.73</v>
      </c>
      <c r="N4063" s="12" t="s">
        <v>107</v>
      </c>
      <c r="O4063" s="12" t="s">
        <v>108</v>
      </c>
      <c r="P4063" s="12" t="s">
        <v>109</v>
      </c>
      <c r="Q4063" s="13">
        <v>45646</v>
      </c>
      <c r="R4063" s="13">
        <v>45672</v>
      </c>
      <c r="S4063">
        <v>2024</v>
      </c>
      <c r="T4063" s="12" t="s">
        <v>4841</v>
      </c>
      <c r="U4063">
        <v>120</v>
      </c>
      <c r="V4063">
        <v>268.74209999999999</v>
      </c>
      <c r="W4063">
        <v>357.33</v>
      </c>
      <c r="X4063">
        <v>0</v>
      </c>
      <c r="Y4063">
        <v>0</v>
      </c>
      <c r="Z4063">
        <v>32249.05</v>
      </c>
      <c r="AA4063">
        <v>32606.38</v>
      </c>
      <c r="AB4063" s="12" t="s">
        <v>3032</v>
      </c>
      <c r="AC4063">
        <v>268.74209999999999</v>
      </c>
      <c r="AD4063">
        <v>1</v>
      </c>
      <c r="AE4063">
        <v>1</v>
      </c>
      <c r="AF4063">
        <v>0</v>
      </c>
      <c r="AG4063">
        <v>32249.05</v>
      </c>
      <c r="AH4063">
        <v>120</v>
      </c>
      <c r="AI4063">
        <v>119</v>
      </c>
      <c r="AJ4063">
        <v>1</v>
      </c>
      <c r="AK4063">
        <v>1</v>
      </c>
      <c r="AL4063">
        <v>1</v>
      </c>
      <c r="AM4063">
        <v>99.17</v>
      </c>
      <c r="AN4063">
        <v>274.00319999999999</v>
      </c>
      <c r="AO4063">
        <v>268.74</v>
      </c>
      <c r="AP4063" s="13">
        <v>45670</v>
      </c>
      <c r="AQ4063">
        <v>-2</v>
      </c>
      <c r="AR4063">
        <v>1</v>
      </c>
    </row>
    <row r="4064" spans="1:44" x14ac:dyDescent="0.35">
      <c r="A4064" s="12" t="s">
        <v>4990</v>
      </c>
      <c r="B4064" s="12" t="s">
        <v>238</v>
      </c>
      <c r="C4064" s="12" t="s">
        <v>239</v>
      </c>
      <c r="D4064" s="12" t="s">
        <v>122</v>
      </c>
      <c r="E4064" s="12" t="s">
        <v>65</v>
      </c>
      <c r="F4064">
        <v>3</v>
      </c>
      <c r="G4064">
        <v>4</v>
      </c>
      <c r="H4064">
        <v>0</v>
      </c>
      <c r="I4064" s="12" t="s">
        <v>79</v>
      </c>
      <c r="J4064" s="12" t="s">
        <v>80</v>
      </c>
      <c r="K4064" s="12" t="s">
        <v>81</v>
      </c>
      <c r="L4064" s="12" t="s">
        <v>82</v>
      </c>
      <c r="M4064">
        <v>12.07</v>
      </c>
      <c r="N4064" s="12" t="s">
        <v>97</v>
      </c>
      <c r="O4064" s="12" t="s">
        <v>98</v>
      </c>
      <c r="P4064" s="12" t="s">
        <v>72</v>
      </c>
      <c r="Q4064" s="13">
        <v>45646</v>
      </c>
      <c r="R4064" s="13">
        <v>45668</v>
      </c>
      <c r="S4064">
        <v>2024</v>
      </c>
      <c r="T4064" s="12" t="s">
        <v>4841</v>
      </c>
      <c r="U4064">
        <v>380</v>
      </c>
      <c r="V4064">
        <v>35.6462</v>
      </c>
      <c r="W4064">
        <v>306.52</v>
      </c>
      <c r="X4064">
        <v>0</v>
      </c>
      <c r="Y4064">
        <v>0</v>
      </c>
      <c r="Z4064">
        <v>13545.56</v>
      </c>
      <c r="AA4064">
        <v>13852.08</v>
      </c>
      <c r="AB4064" s="12" t="s">
        <v>2688</v>
      </c>
      <c r="AC4064">
        <v>35.6462</v>
      </c>
      <c r="AD4064">
        <v>1</v>
      </c>
      <c r="AE4064">
        <v>1</v>
      </c>
      <c r="AF4064">
        <v>0</v>
      </c>
      <c r="AG4064">
        <v>13545.56</v>
      </c>
      <c r="AH4064">
        <v>380</v>
      </c>
      <c r="AI4064">
        <v>379</v>
      </c>
      <c r="AJ4064">
        <v>1</v>
      </c>
      <c r="AK4064">
        <v>1</v>
      </c>
      <c r="AL4064">
        <v>1</v>
      </c>
      <c r="AM4064">
        <v>99.74</v>
      </c>
      <c r="AN4064">
        <v>36.548999999999999</v>
      </c>
      <c r="AO4064">
        <v>35.65</v>
      </c>
      <c r="AP4064" s="13">
        <v>45672</v>
      </c>
      <c r="AQ4064">
        <v>4</v>
      </c>
      <c r="AR4064">
        <v>0</v>
      </c>
    </row>
    <row r="4065" spans="1:44" x14ac:dyDescent="0.35">
      <c r="A4065" s="12" t="s">
        <v>4991</v>
      </c>
      <c r="B4065" s="12" t="s">
        <v>163</v>
      </c>
      <c r="C4065" s="12" t="s">
        <v>164</v>
      </c>
      <c r="D4065" s="12" t="s">
        <v>64</v>
      </c>
      <c r="E4065" s="12" t="s">
        <v>104</v>
      </c>
      <c r="F4065">
        <v>2</v>
      </c>
      <c r="G4065">
        <v>0</v>
      </c>
      <c r="H4065">
        <v>0</v>
      </c>
      <c r="I4065" s="12" t="s">
        <v>183</v>
      </c>
      <c r="J4065" s="12" t="s">
        <v>184</v>
      </c>
      <c r="K4065" s="12" t="s">
        <v>133</v>
      </c>
      <c r="L4065" s="12" t="s">
        <v>82</v>
      </c>
      <c r="M4065">
        <v>8.6199999999999992</v>
      </c>
      <c r="N4065" s="12" t="s">
        <v>97</v>
      </c>
      <c r="O4065" s="12" t="s">
        <v>98</v>
      </c>
      <c r="P4065" s="12" t="s">
        <v>72</v>
      </c>
      <c r="Q4065" s="13">
        <v>45649</v>
      </c>
      <c r="R4065" s="13">
        <v>45674</v>
      </c>
      <c r="S4065">
        <v>2024</v>
      </c>
      <c r="T4065" s="12" t="s">
        <v>4841</v>
      </c>
      <c r="U4065">
        <v>789</v>
      </c>
      <c r="V4065">
        <v>12.460800000000001</v>
      </c>
      <c r="W4065">
        <v>168.64</v>
      </c>
      <c r="X4065">
        <v>0</v>
      </c>
      <c r="Y4065">
        <v>0</v>
      </c>
      <c r="Z4065">
        <v>9831.57</v>
      </c>
      <c r="AA4065">
        <v>10000.209999999999</v>
      </c>
      <c r="AB4065" s="12" t="s">
        <v>4850</v>
      </c>
      <c r="AC4065">
        <v>12.460800000000001</v>
      </c>
      <c r="AD4065">
        <v>1</v>
      </c>
      <c r="AE4065">
        <v>1</v>
      </c>
      <c r="AF4065">
        <v>0</v>
      </c>
      <c r="AG4065">
        <v>9831.57</v>
      </c>
      <c r="AH4065">
        <v>789</v>
      </c>
      <c r="AI4065">
        <v>778</v>
      </c>
      <c r="AJ4065">
        <v>11</v>
      </c>
      <c r="AK4065">
        <v>1</v>
      </c>
      <c r="AL4065">
        <v>1</v>
      </c>
      <c r="AM4065">
        <v>98.61</v>
      </c>
      <c r="AN4065">
        <v>12.8537</v>
      </c>
      <c r="AO4065">
        <v>137.07</v>
      </c>
      <c r="AP4065" s="13">
        <v>45670</v>
      </c>
      <c r="AQ4065">
        <v>-4</v>
      </c>
      <c r="AR4065">
        <v>1</v>
      </c>
    </row>
    <row r="4066" spans="1:44" x14ac:dyDescent="0.35">
      <c r="A4066" s="12" t="s">
        <v>4992</v>
      </c>
      <c r="B4066" s="12" t="s">
        <v>843</v>
      </c>
      <c r="C4066" s="12" t="s">
        <v>844</v>
      </c>
      <c r="D4066" s="12" t="s">
        <v>175</v>
      </c>
      <c r="E4066" s="12" t="s">
        <v>65</v>
      </c>
      <c r="F4066">
        <v>3</v>
      </c>
      <c r="G4066">
        <v>5</v>
      </c>
      <c r="H4066">
        <v>0</v>
      </c>
      <c r="I4066" s="12" t="s">
        <v>359</v>
      </c>
      <c r="J4066" s="12" t="s">
        <v>360</v>
      </c>
      <c r="K4066" s="12" t="s">
        <v>133</v>
      </c>
      <c r="L4066" s="12" t="s">
        <v>82</v>
      </c>
      <c r="M4066">
        <v>12.65</v>
      </c>
      <c r="N4066" s="12" t="s">
        <v>107</v>
      </c>
      <c r="O4066" s="12" t="s">
        <v>108</v>
      </c>
      <c r="P4066" s="12" t="s">
        <v>109</v>
      </c>
      <c r="Q4066" s="13">
        <v>45649</v>
      </c>
      <c r="R4066" s="13">
        <v>45677</v>
      </c>
      <c r="S4066">
        <v>2024</v>
      </c>
      <c r="T4066" s="12" t="s">
        <v>4841</v>
      </c>
      <c r="U4066">
        <v>71</v>
      </c>
      <c r="V4066">
        <v>251.77279999999999</v>
      </c>
      <c r="W4066">
        <v>431.6</v>
      </c>
      <c r="X4066">
        <v>575.47</v>
      </c>
      <c r="Y4066">
        <v>1</v>
      </c>
      <c r="Z4066">
        <v>17875.87</v>
      </c>
      <c r="AA4066">
        <v>18882.939999999999</v>
      </c>
      <c r="AB4066" s="12" t="s">
        <v>3324</v>
      </c>
      <c r="AC4066">
        <v>251.77279999999999</v>
      </c>
      <c r="AD4066">
        <v>1</v>
      </c>
      <c r="AE4066">
        <v>1</v>
      </c>
      <c r="AF4066">
        <v>0</v>
      </c>
      <c r="AG4066">
        <v>17875.87</v>
      </c>
      <c r="AH4066">
        <v>71</v>
      </c>
      <c r="AI4066">
        <v>71</v>
      </c>
      <c r="AJ4066">
        <v>0</v>
      </c>
      <c r="AK4066">
        <v>1</v>
      </c>
      <c r="AL4066">
        <v>1</v>
      </c>
      <c r="AM4066">
        <v>100</v>
      </c>
      <c r="AN4066">
        <v>265.95690000000002</v>
      </c>
      <c r="AO4066">
        <v>0</v>
      </c>
      <c r="AP4066" s="13">
        <v>45674</v>
      </c>
      <c r="AQ4066">
        <v>-3</v>
      </c>
      <c r="AR4066">
        <v>1</v>
      </c>
    </row>
    <row r="4067" spans="1:44" x14ac:dyDescent="0.35">
      <c r="A4067" s="12" t="s">
        <v>4993</v>
      </c>
      <c r="B4067" s="12" t="s">
        <v>513</v>
      </c>
      <c r="C4067" s="12" t="s">
        <v>514</v>
      </c>
      <c r="D4067" s="12" t="s">
        <v>269</v>
      </c>
      <c r="E4067" s="12" t="s">
        <v>65</v>
      </c>
      <c r="F4067">
        <v>1</v>
      </c>
      <c r="G4067">
        <v>2</v>
      </c>
      <c r="H4067">
        <v>1</v>
      </c>
      <c r="I4067" s="12" t="s">
        <v>515</v>
      </c>
      <c r="J4067" s="12" t="s">
        <v>516</v>
      </c>
      <c r="K4067" s="12" t="s">
        <v>68</v>
      </c>
      <c r="L4067" s="12" t="s">
        <v>134</v>
      </c>
      <c r="M4067">
        <v>3.69</v>
      </c>
      <c r="N4067" s="12" t="s">
        <v>159</v>
      </c>
      <c r="O4067" s="12" t="s">
        <v>160</v>
      </c>
      <c r="P4067" s="12" t="s">
        <v>137</v>
      </c>
      <c r="Q4067" s="13">
        <v>45649</v>
      </c>
      <c r="R4067" s="13">
        <v>45684</v>
      </c>
      <c r="S4067">
        <v>2024</v>
      </c>
      <c r="T4067" s="12" t="s">
        <v>4841</v>
      </c>
      <c r="U4067">
        <v>126</v>
      </c>
      <c r="V4067">
        <v>205.77340000000001</v>
      </c>
      <c r="W4067">
        <v>516.16999999999996</v>
      </c>
      <c r="X4067">
        <v>0</v>
      </c>
      <c r="Y4067">
        <v>0</v>
      </c>
      <c r="Z4067">
        <v>25927.45</v>
      </c>
      <c r="AA4067">
        <v>26443.62</v>
      </c>
      <c r="AB4067" s="12" t="s">
        <v>201</v>
      </c>
      <c r="AD4067">
        <v>0</v>
      </c>
      <c r="AE4067">
        <v>0</v>
      </c>
      <c r="AH4067">
        <v>126</v>
      </c>
      <c r="AI4067">
        <v>124</v>
      </c>
      <c r="AJ4067">
        <v>2</v>
      </c>
      <c r="AK4067">
        <v>1</v>
      </c>
      <c r="AL4067">
        <v>1</v>
      </c>
      <c r="AM4067">
        <v>98.41</v>
      </c>
      <c r="AN4067">
        <v>213.255</v>
      </c>
      <c r="AO4067">
        <v>411.55</v>
      </c>
      <c r="AP4067" s="13">
        <v>45681</v>
      </c>
      <c r="AQ4067">
        <v>-3</v>
      </c>
      <c r="AR4067">
        <v>1</v>
      </c>
    </row>
    <row r="4068" spans="1:44" x14ac:dyDescent="0.35">
      <c r="A4068" s="12" t="s">
        <v>4994</v>
      </c>
      <c r="B4068" s="12" t="s">
        <v>399</v>
      </c>
      <c r="C4068" s="12" t="s">
        <v>400</v>
      </c>
      <c r="D4068" s="12" t="s">
        <v>114</v>
      </c>
      <c r="E4068" s="12" t="s">
        <v>65</v>
      </c>
      <c r="F4068">
        <v>1</v>
      </c>
      <c r="G4068">
        <v>2</v>
      </c>
      <c r="H4068">
        <v>1</v>
      </c>
      <c r="I4068" s="12" t="s">
        <v>151</v>
      </c>
      <c r="J4068" s="12" t="s">
        <v>152</v>
      </c>
      <c r="K4068" s="12" t="s">
        <v>125</v>
      </c>
      <c r="L4068" s="12" t="s">
        <v>69</v>
      </c>
      <c r="M4068">
        <v>36.479999999999997</v>
      </c>
      <c r="N4068" s="12" t="s">
        <v>70</v>
      </c>
      <c r="O4068" s="12" t="s">
        <v>71</v>
      </c>
      <c r="P4068" s="12" t="s">
        <v>72</v>
      </c>
      <c r="Q4068" s="13">
        <v>45649</v>
      </c>
      <c r="R4068" s="13">
        <v>45673</v>
      </c>
      <c r="S4068">
        <v>2024</v>
      </c>
      <c r="T4068" s="12" t="s">
        <v>4841</v>
      </c>
      <c r="U4068">
        <v>34</v>
      </c>
      <c r="V4068">
        <v>292.26440000000002</v>
      </c>
      <c r="W4068">
        <v>226.85</v>
      </c>
      <c r="X4068">
        <v>0</v>
      </c>
      <c r="Y4068">
        <v>0</v>
      </c>
      <c r="Z4068">
        <v>9936.99</v>
      </c>
      <c r="AA4068">
        <v>10163.84</v>
      </c>
      <c r="AB4068" s="12" t="s">
        <v>3009</v>
      </c>
      <c r="AC4068">
        <v>292.26440000000002</v>
      </c>
      <c r="AD4068">
        <v>1</v>
      </c>
      <c r="AE4068">
        <v>1</v>
      </c>
      <c r="AF4068">
        <v>0</v>
      </c>
      <c r="AG4068">
        <v>9936.99</v>
      </c>
      <c r="AH4068">
        <v>34</v>
      </c>
      <c r="AI4068">
        <v>33</v>
      </c>
      <c r="AJ4068">
        <v>1</v>
      </c>
      <c r="AK4068">
        <v>1</v>
      </c>
      <c r="AL4068">
        <v>1</v>
      </c>
      <c r="AM4068">
        <v>97.06</v>
      </c>
      <c r="AN4068">
        <v>307.99509999999998</v>
      </c>
      <c r="AO4068">
        <v>292.26</v>
      </c>
      <c r="AP4068" s="13">
        <v>45673</v>
      </c>
      <c r="AQ4068">
        <v>0</v>
      </c>
      <c r="AR4068">
        <v>1</v>
      </c>
    </row>
    <row r="4069" spans="1:44" x14ac:dyDescent="0.35">
      <c r="A4069" s="12" t="s">
        <v>4995</v>
      </c>
      <c r="B4069" s="12" t="s">
        <v>952</v>
      </c>
      <c r="C4069" s="12" t="s">
        <v>953</v>
      </c>
      <c r="D4069" s="12" t="s">
        <v>64</v>
      </c>
      <c r="E4069" s="12" t="s">
        <v>142</v>
      </c>
      <c r="F4069">
        <v>1</v>
      </c>
      <c r="G4069">
        <v>8</v>
      </c>
      <c r="H4069">
        <v>1</v>
      </c>
      <c r="I4069" s="12" t="s">
        <v>131</v>
      </c>
      <c r="J4069" s="12" t="s">
        <v>132</v>
      </c>
      <c r="K4069" s="12" t="s">
        <v>133</v>
      </c>
      <c r="L4069" s="12" t="s">
        <v>134</v>
      </c>
      <c r="M4069">
        <v>1.51</v>
      </c>
      <c r="N4069" s="12" t="s">
        <v>70</v>
      </c>
      <c r="O4069" s="12" t="s">
        <v>71</v>
      </c>
      <c r="P4069" s="12" t="s">
        <v>72</v>
      </c>
      <c r="Q4069" s="13">
        <v>45649</v>
      </c>
      <c r="R4069" s="13">
        <v>45696</v>
      </c>
      <c r="S4069">
        <v>2024</v>
      </c>
      <c r="T4069" s="12" t="s">
        <v>4841</v>
      </c>
      <c r="U4069">
        <v>726</v>
      </c>
      <c r="V4069">
        <v>31.110399999999998</v>
      </c>
      <c r="W4069">
        <v>209.35</v>
      </c>
      <c r="X4069">
        <v>0</v>
      </c>
      <c r="Y4069">
        <v>0</v>
      </c>
      <c r="Z4069">
        <v>22586.15</v>
      </c>
      <c r="AA4069">
        <v>22795.5</v>
      </c>
      <c r="AB4069" s="12" t="s">
        <v>3261</v>
      </c>
      <c r="AC4069">
        <v>31.110399999999998</v>
      </c>
      <c r="AD4069">
        <v>1</v>
      </c>
      <c r="AE4069">
        <v>1</v>
      </c>
      <c r="AF4069">
        <v>0</v>
      </c>
      <c r="AG4069">
        <v>22586.15</v>
      </c>
      <c r="AH4069">
        <v>726</v>
      </c>
      <c r="AI4069">
        <v>724</v>
      </c>
      <c r="AJ4069">
        <v>2</v>
      </c>
      <c r="AK4069">
        <v>1</v>
      </c>
      <c r="AL4069">
        <v>1</v>
      </c>
      <c r="AM4069">
        <v>99.72</v>
      </c>
      <c r="AN4069">
        <v>31.485499999999998</v>
      </c>
      <c r="AO4069">
        <v>62.22</v>
      </c>
      <c r="AP4069" s="13">
        <v>45706</v>
      </c>
      <c r="AQ4069">
        <v>10</v>
      </c>
      <c r="AR4069">
        <v>0</v>
      </c>
    </row>
    <row r="4070" spans="1:44" x14ac:dyDescent="0.35">
      <c r="A4070" s="12" t="s">
        <v>4996</v>
      </c>
      <c r="B4070" s="12" t="s">
        <v>1179</v>
      </c>
      <c r="C4070" s="12" t="s">
        <v>1180</v>
      </c>
      <c r="D4070" s="12" t="s">
        <v>122</v>
      </c>
      <c r="E4070" s="12" t="s">
        <v>142</v>
      </c>
      <c r="F4070">
        <v>1</v>
      </c>
      <c r="G4070">
        <v>8</v>
      </c>
      <c r="H4070">
        <v>1</v>
      </c>
      <c r="I4070" s="12" t="s">
        <v>143</v>
      </c>
      <c r="J4070" s="12" t="s">
        <v>144</v>
      </c>
      <c r="K4070" s="12" t="s">
        <v>133</v>
      </c>
      <c r="L4070" s="12" t="s">
        <v>96</v>
      </c>
      <c r="M4070">
        <v>5.43</v>
      </c>
      <c r="N4070" s="12" t="s">
        <v>97</v>
      </c>
      <c r="O4070" s="12" t="s">
        <v>98</v>
      </c>
      <c r="P4070" s="12" t="s">
        <v>72</v>
      </c>
      <c r="Q4070" s="13">
        <v>45649</v>
      </c>
      <c r="R4070" s="13">
        <v>45693</v>
      </c>
      <c r="S4070">
        <v>2024</v>
      </c>
      <c r="T4070" s="12" t="s">
        <v>4841</v>
      </c>
      <c r="U4070">
        <v>1156</v>
      </c>
      <c r="V4070">
        <v>52.441499999999998</v>
      </c>
      <c r="W4070">
        <v>1369.07</v>
      </c>
      <c r="X4070">
        <v>0</v>
      </c>
      <c r="Y4070">
        <v>0</v>
      </c>
      <c r="Z4070">
        <v>60622.37</v>
      </c>
      <c r="AA4070">
        <v>61991.44</v>
      </c>
      <c r="AB4070" s="12" t="s">
        <v>3049</v>
      </c>
      <c r="AC4070">
        <v>52.441499999999998</v>
      </c>
      <c r="AD4070">
        <v>1</v>
      </c>
      <c r="AE4070">
        <v>1</v>
      </c>
      <c r="AF4070">
        <v>0</v>
      </c>
      <c r="AG4070">
        <v>60622.37</v>
      </c>
      <c r="AH4070">
        <v>1156</v>
      </c>
      <c r="AI4070">
        <v>1143</v>
      </c>
      <c r="AJ4070">
        <v>13</v>
      </c>
      <c r="AK4070">
        <v>1</v>
      </c>
      <c r="AL4070">
        <v>1</v>
      </c>
      <c r="AM4070">
        <v>98.88</v>
      </c>
      <c r="AN4070">
        <v>54.235700000000001</v>
      </c>
      <c r="AO4070">
        <v>681.74</v>
      </c>
      <c r="AP4070" s="13">
        <v>45692</v>
      </c>
      <c r="AQ4070">
        <v>-1</v>
      </c>
      <c r="AR4070">
        <v>1</v>
      </c>
    </row>
    <row r="4071" spans="1:44" x14ac:dyDescent="0.35">
      <c r="A4071" s="12" t="s">
        <v>4997</v>
      </c>
      <c r="B4071" s="12" t="s">
        <v>736</v>
      </c>
      <c r="C4071" s="12" t="s">
        <v>737</v>
      </c>
      <c r="D4071" s="12" t="s">
        <v>64</v>
      </c>
      <c r="E4071" s="12" t="s">
        <v>104</v>
      </c>
      <c r="F4071">
        <v>3</v>
      </c>
      <c r="G4071">
        <v>1</v>
      </c>
      <c r="H4071">
        <v>0</v>
      </c>
      <c r="I4071" s="12" t="s">
        <v>94</v>
      </c>
      <c r="J4071" s="12" t="s">
        <v>95</v>
      </c>
      <c r="K4071" s="12" t="s">
        <v>81</v>
      </c>
      <c r="L4071" s="12" t="s">
        <v>96</v>
      </c>
      <c r="M4071">
        <v>4.8099999999999996</v>
      </c>
      <c r="N4071" s="12" t="s">
        <v>70</v>
      </c>
      <c r="O4071" s="12" t="s">
        <v>71</v>
      </c>
      <c r="P4071" s="12" t="s">
        <v>72</v>
      </c>
      <c r="Q4071" s="13">
        <v>45649</v>
      </c>
      <c r="R4071" s="13">
        <v>45662</v>
      </c>
      <c r="S4071">
        <v>2024</v>
      </c>
      <c r="T4071" s="12" t="s">
        <v>4841</v>
      </c>
      <c r="U4071">
        <v>155</v>
      </c>
      <c r="V4071">
        <v>22.894600000000001</v>
      </c>
      <c r="W4071">
        <v>26.36</v>
      </c>
      <c r="X4071">
        <v>0</v>
      </c>
      <c r="Y4071">
        <v>0</v>
      </c>
      <c r="Z4071">
        <v>3548.66</v>
      </c>
      <c r="AA4071">
        <v>3575.02</v>
      </c>
      <c r="AB4071" s="12" t="s">
        <v>3251</v>
      </c>
      <c r="AC4071">
        <v>22.894600000000001</v>
      </c>
      <c r="AD4071">
        <v>1</v>
      </c>
      <c r="AE4071">
        <v>1</v>
      </c>
      <c r="AF4071">
        <v>0</v>
      </c>
      <c r="AG4071">
        <v>3548.66</v>
      </c>
      <c r="AH4071">
        <v>155</v>
      </c>
      <c r="AI4071">
        <v>153</v>
      </c>
      <c r="AJ4071">
        <v>2</v>
      </c>
      <c r="AK4071">
        <v>1</v>
      </c>
      <c r="AL4071">
        <v>1</v>
      </c>
      <c r="AM4071">
        <v>98.71</v>
      </c>
      <c r="AN4071">
        <v>23.366199999999999</v>
      </c>
      <c r="AO4071">
        <v>45.79</v>
      </c>
      <c r="AP4071" s="13">
        <v>45662</v>
      </c>
      <c r="AQ4071">
        <v>0</v>
      </c>
      <c r="AR4071">
        <v>1</v>
      </c>
    </row>
    <row r="4072" spans="1:44" x14ac:dyDescent="0.35">
      <c r="A4072" s="12" t="s">
        <v>4998</v>
      </c>
      <c r="B4072" s="12" t="s">
        <v>680</v>
      </c>
      <c r="C4072" s="12" t="s">
        <v>681</v>
      </c>
      <c r="D4072" s="12" t="s">
        <v>122</v>
      </c>
      <c r="E4072" s="12" t="s">
        <v>104</v>
      </c>
      <c r="F4072">
        <v>3</v>
      </c>
      <c r="G4072">
        <v>1</v>
      </c>
      <c r="H4072">
        <v>0</v>
      </c>
      <c r="I4072" s="12" t="s">
        <v>227</v>
      </c>
      <c r="J4072" s="12" t="s">
        <v>228</v>
      </c>
      <c r="K4072" s="12" t="s">
        <v>89</v>
      </c>
      <c r="L4072" s="12" t="s">
        <v>96</v>
      </c>
      <c r="M4072">
        <v>9.15</v>
      </c>
      <c r="N4072" s="12" t="s">
        <v>70</v>
      </c>
      <c r="O4072" s="12" t="s">
        <v>71</v>
      </c>
      <c r="P4072" s="12" t="s">
        <v>72</v>
      </c>
      <c r="Q4072" s="13">
        <v>45650</v>
      </c>
      <c r="R4072" s="13">
        <v>45666</v>
      </c>
      <c r="S4072">
        <v>2024</v>
      </c>
      <c r="T4072" s="12" t="s">
        <v>4841</v>
      </c>
      <c r="U4072">
        <v>627</v>
      </c>
      <c r="V4072">
        <v>22.735800000000001</v>
      </c>
      <c r="W4072">
        <v>202.07</v>
      </c>
      <c r="X4072">
        <v>0</v>
      </c>
      <c r="Y4072">
        <v>0</v>
      </c>
      <c r="Z4072">
        <v>14255.35</v>
      </c>
      <c r="AA4072">
        <v>14457.42</v>
      </c>
      <c r="AB4072" s="12" t="s">
        <v>201</v>
      </c>
      <c r="AD4072">
        <v>0</v>
      </c>
      <c r="AE4072">
        <v>0</v>
      </c>
      <c r="AH4072">
        <v>627</v>
      </c>
      <c r="AI4072">
        <v>623</v>
      </c>
      <c r="AJ4072">
        <v>4</v>
      </c>
      <c r="AK4072">
        <v>1</v>
      </c>
      <c r="AL4072">
        <v>1</v>
      </c>
      <c r="AM4072">
        <v>99.36</v>
      </c>
      <c r="AN4072">
        <v>23.206099999999999</v>
      </c>
      <c r="AO4072">
        <v>90.94</v>
      </c>
      <c r="AP4072" s="13">
        <v>45663</v>
      </c>
      <c r="AQ4072">
        <v>-3</v>
      </c>
      <c r="AR4072">
        <v>1</v>
      </c>
    </row>
    <row r="4073" spans="1:44" x14ac:dyDescent="0.35">
      <c r="A4073" s="12" t="s">
        <v>4999</v>
      </c>
      <c r="B4073" s="12" t="s">
        <v>837</v>
      </c>
      <c r="C4073" s="12" t="s">
        <v>838</v>
      </c>
      <c r="D4073" s="12" t="s">
        <v>114</v>
      </c>
      <c r="E4073" s="12" t="s">
        <v>104</v>
      </c>
      <c r="F4073">
        <v>2</v>
      </c>
      <c r="G4073">
        <v>0</v>
      </c>
      <c r="H4073">
        <v>0</v>
      </c>
      <c r="I4073" s="12" t="s">
        <v>199</v>
      </c>
      <c r="J4073" s="12" t="s">
        <v>200</v>
      </c>
      <c r="K4073" s="12" t="s">
        <v>68</v>
      </c>
      <c r="L4073" s="12" t="s">
        <v>96</v>
      </c>
      <c r="M4073">
        <v>9.4700000000000006</v>
      </c>
      <c r="N4073" s="12" t="s">
        <v>70</v>
      </c>
      <c r="O4073" s="12" t="s">
        <v>71</v>
      </c>
      <c r="P4073" s="12" t="s">
        <v>72</v>
      </c>
      <c r="Q4073" s="13">
        <v>45650</v>
      </c>
      <c r="R4073" s="13">
        <v>45663</v>
      </c>
      <c r="S4073">
        <v>2024</v>
      </c>
      <c r="T4073" s="12" t="s">
        <v>4841</v>
      </c>
      <c r="U4073">
        <v>21</v>
      </c>
      <c r="V4073">
        <v>68.916300000000007</v>
      </c>
      <c r="W4073">
        <v>27.82</v>
      </c>
      <c r="X4073">
        <v>0</v>
      </c>
      <c r="Y4073">
        <v>0</v>
      </c>
      <c r="Z4073">
        <v>1447.24</v>
      </c>
      <c r="AA4073">
        <v>1475.06</v>
      </c>
      <c r="AB4073" s="12" t="s">
        <v>3432</v>
      </c>
      <c r="AC4073">
        <v>68.916300000000007</v>
      </c>
      <c r="AD4073">
        <v>1</v>
      </c>
      <c r="AE4073">
        <v>1</v>
      </c>
      <c r="AF4073">
        <v>0</v>
      </c>
      <c r="AG4073">
        <v>1447.24</v>
      </c>
      <c r="AH4073">
        <v>21</v>
      </c>
      <c r="AI4073">
        <v>21</v>
      </c>
      <c r="AJ4073">
        <v>0</v>
      </c>
      <c r="AK4073">
        <v>1</v>
      </c>
      <c r="AL4073">
        <v>1</v>
      </c>
      <c r="AM4073">
        <v>100</v>
      </c>
      <c r="AN4073">
        <v>70.241100000000003</v>
      </c>
      <c r="AO4073">
        <v>0</v>
      </c>
      <c r="AP4073" s="13">
        <v>45664</v>
      </c>
      <c r="AQ4073">
        <v>1</v>
      </c>
      <c r="AR4073">
        <v>0</v>
      </c>
    </row>
    <row r="4074" spans="1:44" x14ac:dyDescent="0.35">
      <c r="A4074" s="12" t="s">
        <v>5000</v>
      </c>
      <c r="B4074" s="12" t="s">
        <v>101</v>
      </c>
      <c r="C4074" s="12" t="s">
        <v>102</v>
      </c>
      <c r="D4074" s="12" t="s">
        <v>103</v>
      </c>
      <c r="E4074" s="12" t="s">
        <v>104</v>
      </c>
      <c r="F4074">
        <v>1</v>
      </c>
      <c r="G4074">
        <v>0</v>
      </c>
      <c r="H4074">
        <v>1</v>
      </c>
      <c r="I4074" s="12" t="s">
        <v>105</v>
      </c>
      <c r="J4074" s="12" t="s">
        <v>106</v>
      </c>
      <c r="K4074" s="12" t="s">
        <v>81</v>
      </c>
      <c r="L4074" s="12" t="s">
        <v>96</v>
      </c>
      <c r="M4074">
        <v>5.01</v>
      </c>
      <c r="N4074" s="12" t="s">
        <v>145</v>
      </c>
      <c r="O4074" s="12" t="s">
        <v>146</v>
      </c>
      <c r="P4074" s="12" t="s">
        <v>109</v>
      </c>
      <c r="Q4074" s="13">
        <v>45650</v>
      </c>
      <c r="R4074" s="13">
        <v>45672</v>
      </c>
      <c r="S4074">
        <v>2024</v>
      </c>
      <c r="T4074" s="12" t="s">
        <v>4841</v>
      </c>
      <c r="U4074">
        <v>90</v>
      </c>
      <c r="V4074">
        <v>205.32499999999999</v>
      </c>
      <c r="W4074">
        <v>303.32</v>
      </c>
      <c r="X4074">
        <v>0</v>
      </c>
      <c r="Y4074">
        <v>0</v>
      </c>
      <c r="Z4074">
        <v>18479.25</v>
      </c>
      <c r="AA4074">
        <v>18782.57</v>
      </c>
      <c r="AB4074" s="12" t="s">
        <v>2866</v>
      </c>
      <c r="AC4074">
        <v>205.32499999999999</v>
      </c>
      <c r="AD4074">
        <v>1</v>
      </c>
      <c r="AE4074">
        <v>1</v>
      </c>
      <c r="AF4074">
        <v>0</v>
      </c>
      <c r="AG4074">
        <v>18479.25</v>
      </c>
      <c r="AH4074">
        <v>90</v>
      </c>
      <c r="AI4074">
        <v>90</v>
      </c>
      <c r="AJ4074">
        <v>0</v>
      </c>
      <c r="AK4074">
        <v>1</v>
      </c>
      <c r="AL4074">
        <v>1</v>
      </c>
      <c r="AM4074">
        <v>100</v>
      </c>
      <c r="AN4074">
        <v>208.6952</v>
      </c>
      <c r="AO4074">
        <v>0</v>
      </c>
      <c r="AP4074" s="13">
        <v>45679</v>
      </c>
      <c r="AQ4074">
        <v>7</v>
      </c>
      <c r="AR4074">
        <v>0</v>
      </c>
    </row>
    <row r="4075" spans="1:44" x14ac:dyDescent="0.35">
      <c r="A4075" s="12" t="s">
        <v>5001</v>
      </c>
      <c r="B4075" s="12" t="s">
        <v>548</v>
      </c>
      <c r="C4075" s="12" t="s">
        <v>549</v>
      </c>
      <c r="D4075" s="12" t="s">
        <v>78</v>
      </c>
      <c r="E4075" s="12" t="s">
        <v>104</v>
      </c>
      <c r="F4075">
        <v>3</v>
      </c>
      <c r="G4075">
        <v>1</v>
      </c>
      <c r="H4075">
        <v>0</v>
      </c>
      <c r="I4075" s="12" t="s">
        <v>223</v>
      </c>
      <c r="J4075" s="12" t="s">
        <v>224</v>
      </c>
      <c r="K4075" s="12" t="s">
        <v>81</v>
      </c>
      <c r="L4075" s="12" t="s">
        <v>134</v>
      </c>
      <c r="M4075">
        <v>2.4900000000000002</v>
      </c>
      <c r="N4075" s="12" t="s">
        <v>70</v>
      </c>
      <c r="O4075" s="12" t="s">
        <v>71</v>
      </c>
      <c r="P4075" s="12" t="s">
        <v>72</v>
      </c>
      <c r="Q4075" s="13">
        <v>45650</v>
      </c>
      <c r="R4075" s="13">
        <v>45665</v>
      </c>
      <c r="S4075">
        <v>2024</v>
      </c>
      <c r="T4075" s="12" t="s">
        <v>4841</v>
      </c>
      <c r="U4075">
        <v>97</v>
      </c>
      <c r="V4075">
        <v>59.346200000000003</v>
      </c>
      <c r="W4075">
        <v>115.36</v>
      </c>
      <c r="X4075">
        <v>0</v>
      </c>
      <c r="Y4075">
        <v>0</v>
      </c>
      <c r="Z4075">
        <v>5756.58</v>
      </c>
      <c r="AA4075">
        <v>5871.94</v>
      </c>
      <c r="AB4075" s="12" t="s">
        <v>3127</v>
      </c>
      <c r="AC4075">
        <v>59.346200000000003</v>
      </c>
      <c r="AD4075">
        <v>1</v>
      </c>
      <c r="AE4075">
        <v>1</v>
      </c>
      <c r="AF4075">
        <v>0</v>
      </c>
      <c r="AG4075">
        <v>5756.58</v>
      </c>
      <c r="AH4075">
        <v>97</v>
      </c>
      <c r="AI4075">
        <v>96</v>
      </c>
      <c r="AJ4075">
        <v>1</v>
      </c>
      <c r="AK4075">
        <v>1</v>
      </c>
      <c r="AL4075">
        <v>1</v>
      </c>
      <c r="AM4075">
        <v>98.97</v>
      </c>
      <c r="AN4075">
        <v>61.1661</v>
      </c>
      <c r="AO4075">
        <v>59.35</v>
      </c>
      <c r="AP4075" s="13">
        <v>45665</v>
      </c>
      <c r="AQ4075">
        <v>0</v>
      </c>
      <c r="AR4075">
        <v>1</v>
      </c>
    </row>
    <row r="4076" spans="1:44" x14ac:dyDescent="0.35">
      <c r="A4076" s="12" t="s">
        <v>5002</v>
      </c>
      <c r="B4076" s="12" t="s">
        <v>273</v>
      </c>
      <c r="C4076" s="12" t="s">
        <v>274</v>
      </c>
      <c r="D4076" s="12" t="s">
        <v>175</v>
      </c>
      <c r="E4076" s="12" t="s">
        <v>104</v>
      </c>
      <c r="F4076">
        <v>3</v>
      </c>
      <c r="G4076">
        <v>1</v>
      </c>
      <c r="H4076">
        <v>0</v>
      </c>
      <c r="I4076" s="12" t="s">
        <v>275</v>
      </c>
      <c r="J4076" s="12" t="s">
        <v>276</v>
      </c>
      <c r="K4076" s="12" t="s">
        <v>89</v>
      </c>
      <c r="L4076" s="12" t="s">
        <v>82</v>
      </c>
      <c r="M4076">
        <v>14.26</v>
      </c>
      <c r="N4076" s="12" t="s">
        <v>107</v>
      </c>
      <c r="O4076" s="12" t="s">
        <v>108</v>
      </c>
      <c r="P4076" s="12" t="s">
        <v>109</v>
      </c>
      <c r="Q4076" s="13">
        <v>45650</v>
      </c>
      <c r="R4076" s="13">
        <v>45672</v>
      </c>
      <c r="S4076">
        <v>2024</v>
      </c>
      <c r="T4076" s="12" t="s">
        <v>4841</v>
      </c>
      <c r="U4076">
        <v>91</v>
      </c>
      <c r="V4076">
        <v>111.0129</v>
      </c>
      <c r="W4076">
        <v>66.680000000000007</v>
      </c>
      <c r="X4076">
        <v>320.69</v>
      </c>
      <c r="Y4076">
        <v>1</v>
      </c>
      <c r="Z4076">
        <v>10102.17</v>
      </c>
      <c r="AA4076">
        <v>10489.54</v>
      </c>
      <c r="AB4076" s="12" t="s">
        <v>3580</v>
      </c>
      <c r="AC4076">
        <v>111.0129</v>
      </c>
      <c r="AD4076">
        <v>1</v>
      </c>
      <c r="AE4076">
        <v>1</v>
      </c>
      <c r="AF4076">
        <v>0</v>
      </c>
      <c r="AG4076">
        <v>10102.17</v>
      </c>
      <c r="AH4076">
        <v>91</v>
      </c>
      <c r="AI4076">
        <v>90</v>
      </c>
      <c r="AJ4076">
        <v>1</v>
      </c>
      <c r="AK4076">
        <v>1</v>
      </c>
      <c r="AL4076">
        <v>1</v>
      </c>
      <c r="AM4076">
        <v>98.9</v>
      </c>
      <c r="AN4076">
        <v>116.5505</v>
      </c>
      <c r="AO4076">
        <v>111.01</v>
      </c>
      <c r="AP4076" s="13">
        <v>45669</v>
      </c>
      <c r="AQ4076">
        <v>-3</v>
      </c>
      <c r="AR4076">
        <v>1</v>
      </c>
    </row>
    <row r="4077" spans="1:44" x14ac:dyDescent="0.35">
      <c r="A4077" s="12" t="s">
        <v>5003</v>
      </c>
      <c r="B4077" s="12" t="s">
        <v>855</v>
      </c>
      <c r="C4077" s="12" t="s">
        <v>856</v>
      </c>
      <c r="D4077" s="12" t="s">
        <v>269</v>
      </c>
      <c r="E4077" s="12" t="s">
        <v>65</v>
      </c>
      <c r="F4077">
        <v>3</v>
      </c>
      <c r="G4077">
        <v>5</v>
      </c>
      <c r="H4077">
        <v>0</v>
      </c>
      <c r="I4077" s="12" t="s">
        <v>94</v>
      </c>
      <c r="J4077" s="12" t="s">
        <v>95</v>
      </c>
      <c r="K4077" s="12" t="s">
        <v>81</v>
      </c>
      <c r="L4077" s="12" t="s">
        <v>96</v>
      </c>
      <c r="M4077">
        <v>4.8099999999999996</v>
      </c>
      <c r="N4077" s="12" t="s">
        <v>135</v>
      </c>
      <c r="O4077" s="12" t="s">
        <v>136</v>
      </c>
      <c r="P4077" s="12" t="s">
        <v>137</v>
      </c>
      <c r="Q4077" s="13">
        <v>45650</v>
      </c>
      <c r="R4077" s="13">
        <v>45674</v>
      </c>
      <c r="S4077">
        <v>2024</v>
      </c>
      <c r="T4077" s="12" t="s">
        <v>4841</v>
      </c>
      <c r="U4077">
        <v>40</v>
      </c>
      <c r="V4077">
        <v>479.86860000000001</v>
      </c>
      <c r="W4077">
        <v>387.4</v>
      </c>
      <c r="X4077">
        <v>0</v>
      </c>
      <c r="Y4077">
        <v>0</v>
      </c>
      <c r="Z4077">
        <v>19194.740000000002</v>
      </c>
      <c r="AA4077">
        <v>19582.14</v>
      </c>
      <c r="AB4077" s="12" t="s">
        <v>3699</v>
      </c>
      <c r="AC4077">
        <v>479.86860000000001</v>
      </c>
      <c r="AD4077">
        <v>1</v>
      </c>
      <c r="AE4077">
        <v>1</v>
      </c>
      <c r="AF4077">
        <v>0</v>
      </c>
      <c r="AG4077">
        <v>19194.740000000002</v>
      </c>
      <c r="AH4077">
        <v>40</v>
      </c>
      <c r="AI4077">
        <v>40</v>
      </c>
      <c r="AJ4077">
        <v>0</v>
      </c>
      <c r="AK4077">
        <v>1</v>
      </c>
      <c r="AL4077">
        <v>1</v>
      </c>
      <c r="AM4077">
        <v>100</v>
      </c>
      <c r="AN4077">
        <v>489.55360000000002</v>
      </c>
      <c r="AO4077">
        <v>0</v>
      </c>
      <c r="AP4077" s="13">
        <v>45673</v>
      </c>
      <c r="AQ4077">
        <v>-1</v>
      </c>
      <c r="AR4077">
        <v>1</v>
      </c>
    </row>
    <row r="4078" spans="1:44" x14ac:dyDescent="0.35">
      <c r="A4078" s="12" t="s">
        <v>5004</v>
      </c>
      <c r="B4078" s="12" t="s">
        <v>215</v>
      </c>
      <c r="C4078" s="12" t="s">
        <v>216</v>
      </c>
      <c r="D4078" s="12" t="s">
        <v>122</v>
      </c>
      <c r="E4078" s="12" t="s">
        <v>142</v>
      </c>
      <c r="F4078">
        <v>3</v>
      </c>
      <c r="G4078">
        <v>11</v>
      </c>
      <c r="H4078">
        <v>0</v>
      </c>
      <c r="I4078" s="12" t="s">
        <v>217</v>
      </c>
      <c r="J4078" s="12" t="s">
        <v>218</v>
      </c>
      <c r="K4078" s="12" t="s">
        <v>68</v>
      </c>
      <c r="L4078" s="12" t="s">
        <v>82</v>
      </c>
      <c r="M4078">
        <v>14.24</v>
      </c>
      <c r="N4078" s="12" t="s">
        <v>70</v>
      </c>
      <c r="O4078" s="12" t="s">
        <v>71</v>
      </c>
      <c r="P4078" s="12" t="s">
        <v>72</v>
      </c>
      <c r="Q4078" s="13">
        <v>45650</v>
      </c>
      <c r="R4078" s="13">
        <v>45688</v>
      </c>
      <c r="S4078">
        <v>2024</v>
      </c>
      <c r="T4078" s="12" t="s">
        <v>4841</v>
      </c>
      <c r="U4078">
        <v>512</v>
      </c>
      <c r="V4078">
        <v>14.797000000000001</v>
      </c>
      <c r="W4078">
        <v>164.43</v>
      </c>
      <c r="X4078">
        <v>0</v>
      </c>
      <c r="Y4078">
        <v>0</v>
      </c>
      <c r="Z4078">
        <v>7576.06</v>
      </c>
      <c r="AA4078">
        <v>7740.49</v>
      </c>
      <c r="AB4078" s="12" t="s">
        <v>2696</v>
      </c>
      <c r="AC4078">
        <v>14.797000000000001</v>
      </c>
      <c r="AD4078">
        <v>1</v>
      </c>
      <c r="AE4078">
        <v>1</v>
      </c>
      <c r="AF4078">
        <v>0</v>
      </c>
      <c r="AG4078">
        <v>7576.06</v>
      </c>
      <c r="AH4078">
        <v>512</v>
      </c>
      <c r="AI4078">
        <v>507</v>
      </c>
      <c r="AJ4078">
        <v>5</v>
      </c>
      <c r="AK4078">
        <v>1</v>
      </c>
      <c r="AL4078">
        <v>1</v>
      </c>
      <c r="AM4078">
        <v>99.02</v>
      </c>
      <c r="AN4078">
        <v>15.267200000000001</v>
      </c>
      <c r="AO4078">
        <v>73.989999999999995</v>
      </c>
      <c r="AP4078" s="13">
        <v>45688</v>
      </c>
      <c r="AQ4078">
        <v>0</v>
      </c>
      <c r="AR4078">
        <v>1</v>
      </c>
    </row>
    <row r="4079" spans="1:44" x14ac:dyDescent="0.35">
      <c r="A4079" s="12" t="s">
        <v>5005</v>
      </c>
      <c r="B4079" s="12" t="s">
        <v>241</v>
      </c>
      <c r="C4079" s="12" t="s">
        <v>242</v>
      </c>
      <c r="D4079" s="12" t="s">
        <v>103</v>
      </c>
      <c r="E4079" s="12" t="s">
        <v>142</v>
      </c>
      <c r="F4079">
        <v>3</v>
      </c>
      <c r="G4079">
        <v>11</v>
      </c>
      <c r="H4079">
        <v>0</v>
      </c>
      <c r="I4079" s="12" t="s">
        <v>243</v>
      </c>
      <c r="J4079" s="12" t="s">
        <v>244</v>
      </c>
      <c r="K4079" s="12" t="s">
        <v>81</v>
      </c>
      <c r="L4079" s="12" t="s">
        <v>82</v>
      </c>
      <c r="M4079">
        <v>9.2200000000000006</v>
      </c>
      <c r="N4079" s="12" t="s">
        <v>107</v>
      </c>
      <c r="O4079" s="12" t="s">
        <v>108</v>
      </c>
      <c r="P4079" s="12" t="s">
        <v>109</v>
      </c>
      <c r="Q4079" s="13">
        <v>45651</v>
      </c>
      <c r="R4079" s="13">
        <v>45695</v>
      </c>
      <c r="S4079">
        <v>2024</v>
      </c>
      <c r="T4079" s="12" t="s">
        <v>4841</v>
      </c>
      <c r="U4079">
        <v>84</v>
      </c>
      <c r="V4079">
        <v>174.76949999999999</v>
      </c>
      <c r="W4079">
        <v>305.27999999999997</v>
      </c>
      <c r="X4079">
        <v>0</v>
      </c>
      <c r="Y4079">
        <v>0</v>
      </c>
      <c r="Z4079">
        <v>14680.64</v>
      </c>
      <c r="AA4079">
        <v>14985.92</v>
      </c>
      <c r="AB4079" s="12" t="s">
        <v>201</v>
      </c>
      <c r="AD4079">
        <v>0</v>
      </c>
      <c r="AE4079">
        <v>0</v>
      </c>
      <c r="AH4079">
        <v>84</v>
      </c>
      <c r="AI4079">
        <v>84</v>
      </c>
      <c r="AJ4079">
        <v>0</v>
      </c>
      <c r="AK4079">
        <v>1</v>
      </c>
      <c r="AL4079">
        <v>1</v>
      </c>
      <c r="AM4079">
        <v>100</v>
      </c>
      <c r="AN4079">
        <v>178.40379999999999</v>
      </c>
      <c r="AO4079">
        <v>0</v>
      </c>
      <c r="AP4079" s="13">
        <v>45692</v>
      </c>
      <c r="AQ4079">
        <v>-3</v>
      </c>
      <c r="AR4079">
        <v>1</v>
      </c>
    </row>
    <row r="4080" spans="1:44" x14ac:dyDescent="0.35">
      <c r="A4080" s="12" t="s">
        <v>5006</v>
      </c>
      <c r="B4080" s="12" t="s">
        <v>120</v>
      </c>
      <c r="C4080" s="12" t="s">
        <v>121</v>
      </c>
      <c r="D4080" s="12" t="s">
        <v>122</v>
      </c>
      <c r="E4080" s="12" t="s">
        <v>65</v>
      </c>
      <c r="F4080">
        <v>3</v>
      </c>
      <c r="G4080">
        <v>4</v>
      </c>
      <c r="H4080">
        <v>0</v>
      </c>
      <c r="I4080" s="12" t="s">
        <v>123</v>
      </c>
      <c r="J4080" s="12" t="s">
        <v>124</v>
      </c>
      <c r="K4080" s="12" t="s">
        <v>125</v>
      </c>
      <c r="L4080" s="12" t="s">
        <v>82</v>
      </c>
      <c r="M4080">
        <v>6.75</v>
      </c>
      <c r="N4080" s="12" t="s">
        <v>97</v>
      </c>
      <c r="O4080" s="12" t="s">
        <v>98</v>
      </c>
      <c r="P4080" s="12" t="s">
        <v>72</v>
      </c>
      <c r="Q4080" s="13">
        <v>45651</v>
      </c>
      <c r="R4080" s="13">
        <v>45683</v>
      </c>
      <c r="S4080">
        <v>2024</v>
      </c>
      <c r="T4080" s="12" t="s">
        <v>4841</v>
      </c>
      <c r="U4080">
        <v>1335</v>
      </c>
      <c r="V4080">
        <v>53.214500000000001</v>
      </c>
      <c r="W4080">
        <v>571.57000000000005</v>
      </c>
      <c r="X4080">
        <v>0</v>
      </c>
      <c r="Y4080">
        <v>0</v>
      </c>
      <c r="Z4080">
        <v>71041.36</v>
      </c>
      <c r="AA4080">
        <v>71612.929999999993</v>
      </c>
      <c r="AB4080" s="12" t="s">
        <v>2728</v>
      </c>
      <c r="AC4080">
        <v>53.214500000000001</v>
      </c>
      <c r="AD4080">
        <v>1</v>
      </c>
      <c r="AE4080">
        <v>1</v>
      </c>
      <c r="AF4080">
        <v>0</v>
      </c>
      <c r="AG4080">
        <v>71041.36</v>
      </c>
      <c r="AH4080">
        <v>1335</v>
      </c>
      <c r="AI4080">
        <v>1324</v>
      </c>
      <c r="AJ4080">
        <v>11</v>
      </c>
      <c r="AK4080">
        <v>1</v>
      </c>
      <c r="AL4080">
        <v>1</v>
      </c>
      <c r="AM4080">
        <v>99.18</v>
      </c>
      <c r="AN4080">
        <v>54.088299999999997</v>
      </c>
      <c r="AO4080">
        <v>585.36</v>
      </c>
      <c r="AP4080" s="13">
        <v>45691</v>
      </c>
      <c r="AQ4080">
        <v>8</v>
      </c>
      <c r="AR4080">
        <v>0</v>
      </c>
    </row>
    <row r="4081" spans="1:44" x14ac:dyDescent="0.35">
      <c r="A4081" s="12" t="s">
        <v>5007</v>
      </c>
      <c r="B4081" s="12" t="s">
        <v>231</v>
      </c>
      <c r="C4081" s="12" t="s">
        <v>232</v>
      </c>
      <c r="D4081" s="12" t="s">
        <v>130</v>
      </c>
      <c r="E4081" s="12" t="s">
        <v>65</v>
      </c>
      <c r="F4081">
        <v>1</v>
      </c>
      <c r="G4081">
        <v>2</v>
      </c>
      <c r="H4081">
        <v>1</v>
      </c>
      <c r="I4081" s="12" t="s">
        <v>233</v>
      </c>
      <c r="J4081" s="12" t="s">
        <v>234</v>
      </c>
      <c r="K4081" s="12" t="s">
        <v>125</v>
      </c>
      <c r="L4081" s="12" t="s">
        <v>96</v>
      </c>
      <c r="M4081">
        <v>3.73</v>
      </c>
      <c r="N4081" s="12" t="s">
        <v>135</v>
      </c>
      <c r="O4081" s="12" t="s">
        <v>136</v>
      </c>
      <c r="P4081" s="12" t="s">
        <v>137</v>
      </c>
      <c r="Q4081" s="13">
        <v>45651</v>
      </c>
      <c r="R4081" s="13">
        <v>45689</v>
      </c>
      <c r="S4081">
        <v>2024</v>
      </c>
      <c r="T4081" s="12" t="s">
        <v>4841</v>
      </c>
      <c r="U4081">
        <v>149</v>
      </c>
      <c r="V4081">
        <v>463.5548</v>
      </c>
      <c r="W4081">
        <v>1519.77</v>
      </c>
      <c r="X4081">
        <v>0</v>
      </c>
      <c r="Y4081">
        <v>0</v>
      </c>
      <c r="Z4081">
        <v>69069.67</v>
      </c>
      <c r="AA4081">
        <v>70589.440000000002</v>
      </c>
      <c r="AB4081" s="12" t="s">
        <v>201</v>
      </c>
      <c r="AD4081">
        <v>0</v>
      </c>
      <c r="AE4081">
        <v>0</v>
      </c>
      <c r="AH4081">
        <v>149</v>
      </c>
      <c r="AI4081">
        <v>147</v>
      </c>
      <c r="AJ4081">
        <v>2</v>
      </c>
      <c r="AK4081">
        <v>1</v>
      </c>
      <c r="AL4081">
        <v>1</v>
      </c>
      <c r="AM4081">
        <v>98.66</v>
      </c>
      <c r="AN4081">
        <v>480.2002</v>
      </c>
      <c r="AO4081">
        <v>927.11</v>
      </c>
      <c r="AP4081" s="13">
        <v>45686</v>
      </c>
      <c r="AQ4081">
        <v>-3</v>
      </c>
      <c r="AR4081">
        <v>1</v>
      </c>
    </row>
    <row r="4082" spans="1:44" x14ac:dyDescent="0.35">
      <c r="A4082" s="12" t="s">
        <v>5008</v>
      </c>
      <c r="B4082" s="12" t="s">
        <v>498</v>
      </c>
      <c r="C4082" s="12" t="s">
        <v>499</v>
      </c>
      <c r="D4082" s="12" t="s">
        <v>175</v>
      </c>
      <c r="E4082" s="12" t="s">
        <v>104</v>
      </c>
      <c r="F4082">
        <v>3</v>
      </c>
      <c r="G4082">
        <v>1</v>
      </c>
      <c r="H4082">
        <v>0</v>
      </c>
      <c r="I4082" s="12" t="s">
        <v>233</v>
      </c>
      <c r="J4082" s="12" t="s">
        <v>234</v>
      </c>
      <c r="K4082" s="12" t="s">
        <v>125</v>
      </c>
      <c r="L4082" s="12" t="s">
        <v>96</v>
      </c>
      <c r="M4082">
        <v>3.73</v>
      </c>
      <c r="N4082" s="12" t="s">
        <v>107</v>
      </c>
      <c r="O4082" s="12" t="s">
        <v>108</v>
      </c>
      <c r="P4082" s="12" t="s">
        <v>109</v>
      </c>
      <c r="Q4082" s="13">
        <v>45651</v>
      </c>
      <c r="R4082" s="13">
        <v>45664</v>
      </c>
      <c r="S4082">
        <v>2024</v>
      </c>
      <c r="T4082" s="12" t="s">
        <v>4841</v>
      </c>
      <c r="U4082">
        <v>24</v>
      </c>
      <c r="V4082">
        <v>268.74209999999999</v>
      </c>
      <c r="W4082">
        <v>157.66</v>
      </c>
      <c r="X4082">
        <v>0</v>
      </c>
      <c r="Y4082">
        <v>0</v>
      </c>
      <c r="Z4082">
        <v>6449.81</v>
      </c>
      <c r="AA4082">
        <v>6607.47</v>
      </c>
      <c r="AB4082" s="12" t="s">
        <v>3032</v>
      </c>
      <c r="AC4082">
        <v>268.74209999999999</v>
      </c>
      <c r="AD4082">
        <v>1</v>
      </c>
      <c r="AE4082">
        <v>1</v>
      </c>
      <c r="AF4082">
        <v>0</v>
      </c>
      <c r="AG4082">
        <v>6449.81</v>
      </c>
      <c r="AH4082">
        <v>24</v>
      </c>
      <c r="AI4082">
        <v>24</v>
      </c>
      <c r="AJ4082">
        <v>0</v>
      </c>
      <c r="AK4082">
        <v>1</v>
      </c>
      <c r="AL4082">
        <v>1</v>
      </c>
      <c r="AM4082">
        <v>100</v>
      </c>
      <c r="AN4082">
        <v>275.31130000000002</v>
      </c>
      <c r="AO4082">
        <v>0</v>
      </c>
      <c r="AP4082" s="13">
        <v>45664</v>
      </c>
      <c r="AQ4082">
        <v>0</v>
      </c>
      <c r="AR4082">
        <v>1</v>
      </c>
    </row>
    <row r="4083" spans="1:44" x14ac:dyDescent="0.35">
      <c r="A4083" s="12" t="s">
        <v>5009</v>
      </c>
      <c r="B4083" s="12" t="s">
        <v>674</v>
      </c>
      <c r="C4083" s="12" t="s">
        <v>675</v>
      </c>
      <c r="D4083" s="12" t="s">
        <v>269</v>
      </c>
      <c r="E4083" s="12" t="s">
        <v>142</v>
      </c>
      <c r="F4083">
        <v>1</v>
      </c>
      <c r="G4083">
        <v>7</v>
      </c>
      <c r="H4083">
        <v>1</v>
      </c>
      <c r="I4083" s="12" t="s">
        <v>676</v>
      </c>
      <c r="J4083" s="12" t="s">
        <v>677</v>
      </c>
      <c r="K4083" s="12" t="s">
        <v>68</v>
      </c>
      <c r="L4083" s="12" t="s">
        <v>96</v>
      </c>
      <c r="M4083">
        <v>3.57</v>
      </c>
      <c r="N4083" s="12" t="s">
        <v>159</v>
      </c>
      <c r="O4083" s="12" t="s">
        <v>160</v>
      </c>
      <c r="P4083" s="12" t="s">
        <v>137</v>
      </c>
      <c r="Q4083" s="13">
        <v>45652</v>
      </c>
      <c r="R4083" s="13">
        <v>45692</v>
      </c>
      <c r="S4083">
        <v>2024</v>
      </c>
      <c r="T4083" s="12" t="s">
        <v>4841</v>
      </c>
      <c r="U4083">
        <v>53</v>
      </c>
      <c r="V4083">
        <v>392.73930000000001</v>
      </c>
      <c r="W4083">
        <v>471.89</v>
      </c>
      <c r="X4083">
        <v>0</v>
      </c>
      <c r="Y4083">
        <v>0</v>
      </c>
      <c r="Z4083">
        <v>20815.18</v>
      </c>
      <c r="AA4083">
        <v>21287.07</v>
      </c>
      <c r="AB4083" s="12" t="s">
        <v>201</v>
      </c>
      <c r="AD4083">
        <v>0</v>
      </c>
      <c r="AE4083">
        <v>0</v>
      </c>
      <c r="AH4083">
        <v>53</v>
      </c>
      <c r="AI4083">
        <v>52</v>
      </c>
      <c r="AJ4083">
        <v>1</v>
      </c>
      <c r="AK4083">
        <v>1</v>
      </c>
      <c r="AL4083">
        <v>1</v>
      </c>
      <c r="AM4083">
        <v>98.11</v>
      </c>
      <c r="AN4083">
        <v>409.36680000000001</v>
      </c>
      <c r="AO4083">
        <v>392.74</v>
      </c>
      <c r="AP4083" s="13">
        <v>45694</v>
      </c>
      <c r="AQ4083">
        <v>2</v>
      </c>
      <c r="AR4083">
        <v>0</v>
      </c>
    </row>
    <row r="4084" spans="1:44" x14ac:dyDescent="0.35">
      <c r="A4084" s="12" t="s">
        <v>5010</v>
      </c>
      <c r="B4084" s="12" t="s">
        <v>680</v>
      </c>
      <c r="C4084" s="12" t="s">
        <v>681</v>
      </c>
      <c r="D4084" s="12" t="s">
        <v>122</v>
      </c>
      <c r="E4084" s="12" t="s">
        <v>104</v>
      </c>
      <c r="F4084">
        <v>3</v>
      </c>
      <c r="G4084">
        <v>1</v>
      </c>
      <c r="H4084">
        <v>0</v>
      </c>
      <c r="I4084" s="12" t="s">
        <v>227</v>
      </c>
      <c r="J4084" s="12" t="s">
        <v>228</v>
      </c>
      <c r="K4084" s="12" t="s">
        <v>89</v>
      </c>
      <c r="L4084" s="12" t="s">
        <v>96</v>
      </c>
      <c r="M4084">
        <v>9.15</v>
      </c>
      <c r="N4084" s="12" t="s">
        <v>70</v>
      </c>
      <c r="O4084" s="12" t="s">
        <v>71</v>
      </c>
      <c r="P4084" s="12" t="s">
        <v>72</v>
      </c>
      <c r="Q4084" s="13">
        <v>45652</v>
      </c>
      <c r="R4084" s="13">
        <v>45673</v>
      </c>
      <c r="S4084">
        <v>2024</v>
      </c>
      <c r="T4084" s="12" t="s">
        <v>4841</v>
      </c>
      <c r="U4084">
        <v>1130</v>
      </c>
      <c r="V4084">
        <v>22.7514</v>
      </c>
      <c r="W4084">
        <v>399.2</v>
      </c>
      <c r="X4084">
        <v>0</v>
      </c>
      <c r="Y4084">
        <v>0</v>
      </c>
      <c r="Z4084">
        <v>25709.08</v>
      </c>
      <c r="AA4084">
        <v>26108.28</v>
      </c>
      <c r="AB4084" s="12" t="s">
        <v>201</v>
      </c>
      <c r="AD4084">
        <v>0</v>
      </c>
      <c r="AE4084">
        <v>0</v>
      </c>
      <c r="AH4084">
        <v>1130</v>
      </c>
      <c r="AI4084">
        <v>1125</v>
      </c>
      <c r="AJ4084">
        <v>5</v>
      </c>
      <c r="AK4084">
        <v>1</v>
      </c>
      <c r="AL4084">
        <v>1</v>
      </c>
      <c r="AM4084">
        <v>99.56</v>
      </c>
      <c r="AN4084">
        <v>23.2074</v>
      </c>
      <c r="AO4084">
        <v>113.76</v>
      </c>
      <c r="AP4084" s="13">
        <v>45674</v>
      </c>
      <c r="AQ4084">
        <v>1</v>
      </c>
      <c r="AR4084">
        <v>0</v>
      </c>
    </row>
    <row r="4085" spans="1:44" x14ac:dyDescent="0.35">
      <c r="A4085" s="12" t="s">
        <v>5011</v>
      </c>
      <c r="B4085" s="12" t="s">
        <v>404</v>
      </c>
      <c r="C4085" s="12" t="s">
        <v>405</v>
      </c>
      <c r="D4085" s="12" t="s">
        <v>269</v>
      </c>
      <c r="E4085" s="12" t="s">
        <v>65</v>
      </c>
      <c r="F4085">
        <v>3</v>
      </c>
      <c r="G4085">
        <v>5</v>
      </c>
      <c r="H4085">
        <v>0</v>
      </c>
      <c r="I4085" s="12" t="s">
        <v>79</v>
      </c>
      <c r="J4085" s="12" t="s">
        <v>80</v>
      </c>
      <c r="K4085" s="12" t="s">
        <v>81</v>
      </c>
      <c r="L4085" s="12" t="s">
        <v>82</v>
      </c>
      <c r="M4085">
        <v>12.07</v>
      </c>
      <c r="N4085" s="12" t="s">
        <v>135</v>
      </c>
      <c r="O4085" s="12" t="s">
        <v>136</v>
      </c>
      <c r="P4085" s="12" t="s">
        <v>137</v>
      </c>
      <c r="Q4085" s="13">
        <v>45652</v>
      </c>
      <c r="R4085" s="13">
        <v>45679</v>
      </c>
      <c r="S4085">
        <v>2024</v>
      </c>
      <c r="T4085" s="12" t="s">
        <v>4841</v>
      </c>
      <c r="U4085">
        <v>57</v>
      </c>
      <c r="V4085">
        <v>430.2559</v>
      </c>
      <c r="W4085">
        <v>406.39</v>
      </c>
      <c r="X4085">
        <v>0</v>
      </c>
      <c r="Y4085">
        <v>0</v>
      </c>
      <c r="Z4085">
        <v>24524.59</v>
      </c>
      <c r="AA4085">
        <v>24930.98</v>
      </c>
      <c r="AB4085" s="12" t="s">
        <v>2910</v>
      </c>
      <c r="AC4085">
        <v>430.2559</v>
      </c>
      <c r="AD4085">
        <v>1</v>
      </c>
      <c r="AE4085">
        <v>1</v>
      </c>
      <c r="AF4085">
        <v>0</v>
      </c>
      <c r="AG4085">
        <v>24524.59</v>
      </c>
      <c r="AH4085">
        <v>57</v>
      </c>
      <c r="AI4085">
        <v>57</v>
      </c>
      <c r="AJ4085">
        <v>0</v>
      </c>
      <c r="AK4085">
        <v>1</v>
      </c>
      <c r="AL4085">
        <v>1</v>
      </c>
      <c r="AM4085">
        <v>100</v>
      </c>
      <c r="AN4085">
        <v>437.38549999999998</v>
      </c>
      <c r="AO4085">
        <v>0</v>
      </c>
      <c r="AP4085" s="13">
        <v>45678</v>
      </c>
      <c r="AQ4085">
        <v>-1</v>
      </c>
      <c r="AR4085">
        <v>1</v>
      </c>
    </row>
    <row r="4086" spans="1:44" x14ac:dyDescent="0.35">
      <c r="A4086" s="12" t="s">
        <v>5012</v>
      </c>
      <c r="B4086" s="12" t="s">
        <v>609</v>
      </c>
      <c r="C4086" s="12" t="s">
        <v>610</v>
      </c>
      <c r="D4086" s="12" t="s">
        <v>64</v>
      </c>
      <c r="E4086" s="12" t="s">
        <v>104</v>
      </c>
      <c r="F4086">
        <v>1</v>
      </c>
      <c r="G4086">
        <v>0</v>
      </c>
      <c r="H4086">
        <v>1</v>
      </c>
      <c r="I4086" s="12" t="s">
        <v>227</v>
      </c>
      <c r="J4086" s="12" t="s">
        <v>228</v>
      </c>
      <c r="K4086" s="12" t="s">
        <v>89</v>
      </c>
      <c r="L4086" s="12" t="s">
        <v>96</v>
      </c>
      <c r="M4086">
        <v>9.15</v>
      </c>
      <c r="N4086" s="12" t="s">
        <v>97</v>
      </c>
      <c r="O4086" s="12" t="s">
        <v>98</v>
      </c>
      <c r="P4086" s="12" t="s">
        <v>72</v>
      </c>
      <c r="Q4086" s="13">
        <v>45652</v>
      </c>
      <c r="R4086" s="13">
        <v>45679</v>
      </c>
      <c r="S4086">
        <v>2024</v>
      </c>
      <c r="T4086" s="12" t="s">
        <v>4841</v>
      </c>
      <c r="U4086">
        <v>896</v>
      </c>
      <c r="V4086">
        <v>20.698799999999999</v>
      </c>
      <c r="W4086">
        <v>354.39</v>
      </c>
      <c r="X4086">
        <v>0</v>
      </c>
      <c r="Y4086">
        <v>0</v>
      </c>
      <c r="Z4086">
        <v>18546.12</v>
      </c>
      <c r="AA4086">
        <v>18900.509999999998</v>
      </c>
      <c r="AB4086" s="12" t="s">
        <v>3349</v>
      </c>
      <c r="AC4086">
        <v>20.698799999999999</v>
      </c>
      <c r="AD4086">
        <v>1</v>
      </c>
      <c r="AE4086">
        <v>1</v>
      </c>
      <c r="AF4086">
        <v>0</v>
      </c>
      <c r="AG4086">
        <v>18546.12</v>
      </c>
      <c r="AH4086">
        <v>896</v>
      </c>
      <c r="AI4086">
        <v>888</v>
      </c>
      <c r="AJ4086">
        <v>8</v>
      </c>
      <c r="AK4086">
        <v>1</v>
      </c>
      <c r="AL4086">
        <v>1</v>
      </c>
      <c r="AM4086">
        <v>99.11</v>
      </c>
      <c r="AN4086">
        <v>21.284400000000002</v>
      </c>
      <c r="AO4086">
        <v>165.59</v>
      </c>
      <c r="AP4086" s="13">
        <v>45676</v>
      </c>
      <c r="AQ4086">
        <v>-3</v>
      </c>
      <c r="AR4086">
        <v>1</v>
      </c>
    </row>
    <row r="4087" spans="1:44" x14ac:dyDescent="0.35">
      <c r="A4087" s="12" t="s">
        <v>5013</v>
      </c>
      <c r="B4087" s="12" t="s">
        <v>395</v>
      </c>
      <c r="C4087" s="12" t="s">
        <v>396</v>
      </c>
      <c r="D4087" s="12" t="s">
        <v>130</v>
      </c>
      <c r="E4087" s="12" t="s">
        <v>104</v>
      </c>
      <c r="F4087">
        <v>3</v>
      </c>
      <c r="G4087">
        <v>1</v>
      </c>
      <c r="H4087">
        <v>0</v>
      </c>
      <c r="I4087" s="12" t="s">
        <v>341</v>
      </c>
      <c r="J4087" s="12" t="s">
        <v>342</v>
      </c>
      <c r="K4087" s="12" t="s">
        <v>117</v>
      </c>
      <c r="L4087" s="12" t="s">
        <v>82</v>
      </c>
      <c r="M4087">
        <v>18.36</v>
      </c>
      <c r="N4087" s="12" t="s">
        <v>135</v>
      </c>
      <c r="O4087" s="12" t="s">
        <v>136</v>
      </c>
      <c r="P4087" s="12" t="s">
        <v>137</v>
      </c>
      <c r="Q4087" s="13">
        <v>45652</v>
      </c>
      <c r="R4087" s="13">
        <v>45668</v>
      </c>
      <c r="S4087">
        <v>2024</v>
      </c>
      <c r="T4087" s="12" t="s">
        <v>4841</v>
      </c>
      <c r="U4087">
        <v>48</v>
      </c>
      <c r="V4087">
        <v>163.93819999999999</v>
      </c>
      <c r="W4087">
        <v>95.74</v>
      </c>
      <c r="X4087">
        <v>0</v>
      </c>
      <c r="Y4087">
        <v>0</v>
      </c>
      <c r="Z4087">
        <v>7869.03</v>
      </c>
      <c r="AA4087">
        <v>7964.77</v>
      </c>
      <c r="AB4087" s="12" t="s">
        <v>2742</v>
      </c>
      <c r="AC4087">
        <v>174.20429999999999</v>
      </c>
      <c r="AD4087">
        <v>1</v>
      </c>
      <c r="AE4087">
        <v>1</v>
      </c>
      <c r="AF4087">
        <v>-492.77</v>
      </c>
      <c r="AG4087">
        <v>8361.81</v>
      </c>
      <c r="AH4087">
        <v>48</v>
      </c>
      <c r="AI4087">
        <v>47</v>
      </c>
      <c r="AJ4087">
        <v>1</v>
      </c>
      <c r="AK4087">
        <v>1</v>
      </c>
      <c r="AL4087">
        <v>1</v>
      </c>
      <c r="AM4087">
        <v>97.92</v>
      </c>
      <c r="AN4087">
        <v>169.4633</v>
      </c>
      <c r="AO4087">
        <v>163.94</v>
      </c>
      <c r="AP4087" s="13">
        <v>45666</v>
      </c>
      <c r="AQ4087">
        <v>-2</v>
      </c>
      <c r="AR4087">
        <v>1</v>
      </c>
    </row>
    <row r="4088" spans="1:44" x14ac:dyDescent="0.35">
      <c r="A4088" s="12" t="s">
        <v>5014</v>
      </c>
      <c r="B4088" s="12" t="s">
        <v>331</v>
      </c>
      <c r="C4088" s="12" t="s">
        <v>332</v>
      </c>
      <c r="D4088" s="12" t="s">
        <v>122</v>
      </c>
      <c r="E4088" s="12" t="s">
        <v>142</v>
      </c>
      <c r="F4088">
        <v>3</v>
      </c>
      <c r="G4088">
        <v>11</v>
      </c>
      <c r="H4088">
        <v>0</v>
      </c>
      <c r="I4088" s="12" t="s">
        <v>263</v>
      </c>
      <c r="J4088" s="12" t="s">
        <v>264</v>
      </c>
      <c r="K4088" s="12" t="s">
        <v>125</v>
      </c>
      <c r="L4088" s="12" t="s">
        <v>82</v>
      </c>
      <c r="M4088">
        <v>10.210000000000001</v>
      </c>
      <c r="N4088" s="12" t="s">
        <v>70</v>
      </c>
      <c r="O4088" s="12" t="s">
        <v>71</v>
      </c>
      <c r="P4088" s="12" t="s">
        <v>72</v>
      </c>
      <c r="Q4088" s="13">
        <v>45652</v>
      </c>
      <c r="R4088" s="13">
        <v>45691</v>
      </c>
      <c r="S4088">
        <v>2024</v>
      </c>
      <c r="T4088" s="12" t="s">
        <v>4841</v>
      </c>
      <c r="U4088">
        <v>666</v>
      </c>
      <c r="V4088">
        <v>24.008700000000001</v>
      </c>
      <c r="W4088">
        <v>301.86</v>
      </c>
      <c r="X4088">
        <v>0</v>
      </c>
      <c r="Y4088">
        <v>0</v>
      </c>
      <c r="Z4088">
        <v>15989.79</v>
      </c>
      <c r="AA4088">
        <v>16291.65</v>
      </c>
      <c r="AB4088" s="12" t="s">
        <v>2732</v>
      </c>
      <c r="AC4088">
        <v>24.008700000000001</v>
      </c>
      <c r="AD4088">
        <v>1</v>
      </c>
      <c r="AE4088">
        <v>1</v>
      </c>
      <c r="AF4088">
        <v>0</v>
      </c>
      <c r="AG4088">
        <v>15989.79</v>
      </c>
      <c r="AH4088">
        <v>666</v>
      </c>
      <c r="AI4088">
        <v>660</v>
      </c>
      <c r="AJ4088">
        <v>6</v>
      </c>
      <c r="AK4088">
        <v>1</v>
      </c>
      <c r="AL4088">
        <v>1</v>
      </c>
      <c r="AM4088">
        <v>99.1</v>
      </c>
      <c r="AN4088">
        <v>24.6843</v>
      </c>
      <c r="AO4088">
        <v>144.05000000000001</v>
      </c>
      <c r="AP4088" s="13">
        <v>45691</v>
      </c>
      <c r="AQ4088">
        <v>0</v>
      </c>
      <c r="AR4088">
        <v>1</v>
      </c>
    </row>
    <row r="4089" spans="1:44" x14ac:dyDescent="0.35">
      <c r="A4089" s="12" t="s">
        <v>5015</v>
      </c>
      <c r="B4089" s="12" t="s">
        <v>339</v>
      </c>
      <c r="C4089" s="12" t="s">
        <v>340</v>
      </c>
      <c r="D4089" s="12" t="s">
        <v>103</v>
      </c>
      <c r="E4089" s="12" t="s">
        <v>142</v>
      </c>
      <c r="F4089">
        <v>2</v>
      </c>
      <c r="G4089">
        <v>9</v>
      </c>
      <c r="H4089">
        <v>0</v>
      </c>
      <c r="I4089" s="12" t="s">
        <v>169</v>
      </c>
      <c r="J4089" s="12" t="s">
        <v>170</v>
      </c>
      <c r="K4089" s="12" t="s">
        <v>89</v>
      </c>
      <c r="L4089" s="12" t="s">
        <v>134</v>
      </c>
      <c r="M4089">
        <v>1.37</v>
      </c>
      <c r="N4089" s="12" t="s">
        <v>145</v>
      </c>
      <c r="O4089" s="12" t="s">
        <v>146</v>
      </c>
      <c r="P4089" s="12" t="s">
        <v>109</v>
      </c>
      <c r="Q4089" s="13">
        <v>45652</v>
      </c>
      <c r="R4089" s="13">
        <v>45692</v>
      </c>
      <c r="S4089">
        <v>2024</v>
      </c>
      <c r="T4089" s="12" t="s">
        <v>4841</v>
      </c>
      <c r="U4089">
        <v>56</v>
      </c>
      <c r="V4089">
        <v>243.06290000000001</v>
      </c>
      <c r="W4089">
        <v>336.24</v>
      </c>
      <c r="X4089">
        <v>0</v>
      </c>
      <c r="Y4089">
        <v>0</v>
      </c>
      <c r="Z4089">
        <v>13611.52</v>
      </c>
      <c r="AA4089">
        <v>13947.76</v>
      </c>
      <c r="AB4089" s="12" t="s">
        <v>2786</v>
      </c>
      <c r="AC4089">
        <v>243.06290000000001</v>
      </c>
      <c r="AD4089">
        <v>1</v>
      </c>
      <c r="AE4089">
        <v>1</v>
      </c>
      <c r="AF4089">
        <v>0</v>
      </c>
      <c r="AG4089">
        <v>13611.52</v>
      </c>
      <c r="AH4089">
        <v>56</v>
      </c>
      <c r="AI4089">
        <v>56</v>
      </c>
      <c r="AJ4089">
        <v>0</v>
      </c>
      <c r="AK4089">
        <v>1</v>
      </c>
      <c r="AL4089">
        <v>1</v>
      </c>
      <c r="AM4089">
        <v>100</v>
      </c>
      <c r="AN4089">
        <v>249.06720000000001</v>
      </c>
      <c r="AO4089">
        <v>0</v>
      </c>
      <c r="AP4089" s="13">
        <v>45692</v>
      </c>
      <c r="AQ4089">
        <v>0</v>
      </c>
      <c r="AR4089">
        <v>1</v>
      </c>
    </row>
    <row r="4090" spans="1:44" x14ac:dyDescent="0.35">
      <c r="A4090" s="12" t="s">
        <v>5016</v>
      </c>
      <c r="B4090" s="12" t="s">
        <v>728</v>
      </c>
      <c r="C4090" s="12" t="s">
        <v>729</v>
      </c>
      <c r="D4090" s="12" t="s">
        <v>269</v>
      </c>
      <c r="E4090" s="12" t="s">
        <v>65</v>
      </c>
      <c r="F4090">
        <v>2</v>
      </c>
      <c r="G4090">
        <v>3</v>
      </c>
      <c r="H4090">
        <v>0</v>
      </c>
      <c r="I4090" s="12" t="s">
        <v>243</v>
      </c>
      <c r="J4090" s="12" t="s">
        <v>244</v>
      </c>
      <c r="K4090" s="12" t="s">
        <v>81</v>
      </c>
      <c r="L4090" s="12" t="s">
        <v>82</v>
      </c>
      <c r="M4090">
        <v>9.2200000000000006</v>
      </c>
      <c r="N4090" s="12" t="s">
        <v>159</v>
      </c>
      <c r="O4090" s="12" t="s">
        <v>160</v>
      </c>
      <c r="P4090" s="12" t="s">
        <v>137</v>
      </c>
      <c r="Q4090" s="13">
        <v>45652</v>
      </c>
      <c r="R4090" s="13">
        <v>45673</v>
      </c>
      <c r="S4090">
        <v>2024</v>
      </c>
      <c r="T4090" s="12" t="s">
        <v>4841</v>
      </c>
      <c r="U4090">
        <v>12</v>
      </c>
      <c r="V4090">
        <v>364.83319999999998</v>
      </c>
      <c r="W4090">
        <v>76.73</v>
      </c>
      <c r="X4090">
        <v>0</v>
      </c>
      <c r="Y4090">
        <v>0</v>
      </c>
      <c r="Z4090">
        <v>4378</v>
      </c>
      <c r="AA4090">
        <v>4454.7299999999996</v>
      </c>
      <c r="AB4090" s="12" t="s">
        <v>3540</v>
      </c>
      <c r="AC4090">
        <v>364.83319999999998</v>
      </c>
      <c r="AD4090">
        <v>1</v>
      </c>
      <c r="AE4090">
        <v>1</v>
      </c>
      <c r="AF4090">
        <v>0</v>
      </c>
      <c r="AG4090">
        <v>4378</v>
      </c>
      <c r="AH4090">
        <v>12</v>
      </c>
      <c r="AI4090">
        <v>12</v>
      </c>
      <c r="AJ4090">
        <v>0</v>
      </c>
      <c r="AK4090">
        <v>1</v>
      </c>
      <c r="AL4090">
        <v>1</v>
      </c>
      <c r="AM4090">
        <v>100</v>
      </c>
      <c r="AN4090">
        <v>371.22739999999999</v>
      </c>
      <c r="AO4090">
        <v>0</v>
      </c>
      <c r="AP4090" s="13">
        <v>45678</v>
      </c>
      <c r="AQ4090">
        <v>5</v>
      </c>
      <c r="AR4090">
        <v>0</v>
      </c>
    </row>
    <row r="4091" spans="1:44" x14ac:dyDescent="0.35">
      <c r="A4091" s="12" t="s">
        <v>5017</v>
      </c>
      <c r="B4091" s="12" t="s">
        <v>92</v>
      </c>
      <c r="C4091" s="12" t="s">
        <v>93</v>
      </c>
      <c r="D4091" s="12" t="s">
        <v>64</v>
      </c>
      <c r="E4091" s="12" t="s">
        <v>65</v>
      </c>
      <c r="F4091">
        <v>3</v>
      </c>
      <c r="G4091">
        <v>5</v>
      </c>
      <c r="H4091">
        <v>0</v>
      </c>
      <c r="I4091" s="12" t="s">
        <v>176</v>
      </c>
      <c r="J4091" s="12" t="s">
        <v>177</v>
      </c>
      <c r="K4091" s="12" t="s">
        <v>125</v>
      </c>
      <c r="L4091" s="12" t="s">
        <v>134</v>
      </c>
      <c r="M4091">
        <v>1.75</v>
      </c>
      <c r="N4091" s="12" t="s">
        <v>97</v>
      </c>
      <c r="O4091" s="12" t="s">
        <v>98</v>
      </c>
      <c r="P4091" s="12" t="s">
        <v>72</v>
      </c>
      <c r="Q4091" s="13">
        <v>45652</v>
      </c>
      <c r="R4091" s="13">
        <v>45687</v>
      </c>
      <c r="S4091">
        <v>2024</v>
      </c>
      <c r="T4091" s="12" t="s">
        <v>4841</v>
      </c>
      <c r="U4091">
        <v>812</v>
      </c>
      <c r="V4091">
        <v>25.0791</v>
      </c>
      <c r="W4091">
        <v>340.4</v>
      </c>
      <c r="X4091">
        <v>0</v>
      </c>
      <c r="Y4091">
        <v>0</v>
      </c>
      <c r="Z4091">
        <v>20364.23</v>
      </c>
      <c r="AA4091">
        <v>20704.63</v>
      </c>
      <c r="AB4091" s="12" t="s">
        <v>201</v>
      </c>
      <c r="AD4091">
        <v>0</v>
      </c>
      <c r="AE4091">
        <v>0</v>
      </c>
      <c r="AH4091">
        <v>812</v>
      </c>
      <c r="AI4091">
        <v>808</v>
      </c>
      <c r="AJ4091">
        <v>4</v>
      </c>
      <c r="AK4091">
        <v>1</v>
      </c>
      <c r="AL4091">
        <v>1</v>
      </c>
      <c r="AM4091">
        <v>99.51</v>
      </c>
      <c r="AN4091">
        <v>25.624500000000001</v>
      </c>
      <c r="AO4091">
        <v>100.32</v>
      </c>
      <c r="AP4091" s="13">
        <v>45684</v>
      </c>
      <c r="AQ4091">
        <v>-3</v>
      </c>
      <c r="AR4091">
        <v>1</v>
      </c>
    </row>
    <row r="4092" spans="1:44" x14ac:dyDescent="0.35">
      <c r="A4092" s="12" t="s">
        <v>5018</v>
      </c>
      <c r="B4092" s="12" t="s">
        <v>1134</v>
      </c>
      <c r="C4092" s="12" t="s">
        <v>1135</v>
      </c>
      <c r="D4092" s="12" t="s">
        <v>269</v>
      </c>
      <c r="E4092" s="12" t="s">
        <v>104</v>
      </c>
      <c r="F4092">
        <v>2</v>
      </c>
      <c r="G4092">
        <v>0</v>
      </c>
      <c r="H4092">
        <v>0</v>
      </c>
      <c r="I4092" s="12" t="s">
        <v>380</v>
      </c>
      <c r="J4092" s="12" t="s">
        <v>381</v>
      </c>
      <c r="K4092" s="12" t="s">
        <v>89</v>
      </c>
      <c r="L4092" s="12" t="s">
        <v>96</v>
      </c>
      <c r="M4092">
        <v>10.210000000000001</v>
      </c>
      <c r="N4092" s="12" t="s">
        <v>135</v>
      </c>
      <c r="O4092" s="12" t="s">
        <v>136</v>
      </c>
      <c r="P4092" s="12" t="s">
        <v>137</v>
      </c>
      <c r="Q4092" s="13">
        <v>45652</v>
      </c>
      <c r="R4092" s="13">
        <v>45665</v>
      </c>
      <c r="S4092">
        <v>2024</v>
      </c>
      <c r="T4092" s="12" t="s">
        <v>4841</v>
      </c>
      <c r="U4092">
        <v>19</v>
      </c>
      <c r="V4092">
        <v>100.0123</v>
      </c>
      <c r="W4092">
        <v>42.84</v>
      </c>
      <c r="X4092">
        <v>0</v>
      </c>
      <c r="Y4092">
        <v>0</v>
      </c>
      <c r="Z4092">
        <v>1900.23</v>
      </c>
      <c r="AA4092">
        <v>1943.07</v>
      </c>
      <c r="AB4092" s="12" t="s">
        <v>3615</v>
      </c>
      <c r="AC4092">
        <v>100.0123</v>
      </c>
      <c r="AD4092">
        <v>1</v>
      </c>
      <c r="AE4092">
        <v>1</v>
      </c>
      <c r="AF4092">
        <v>0</v>
      </c>
      <c r="AG4092">
        <v>1900.23</v>
      </c>
      <c r="AH4092">
        <v>19</v>
      </c>
      <c r="AI4092">
        <v>19</v>
      </c>
      <c r="AJ4092">
        <v>0</v>
      </c>
      <c r="AK4092">
        <v>1</v>
      </c>
      <c r="AL4092">
        <v>1</v>
      </c>
      <c r="AM4092">
        <v>100</v>
      </c>
      <c r="AN4092">
        <v>102.267</v>
      </c>
      <c r="AO4092">
        <v>0</v>
      </c>
      <c r="AP4092" s="13">
        <v>45664</v>
      </c>
      <c r="AQ4092">
        <v>-1</v>
      </c>
      <c r="AR4092">
        <v>1</v>
      </c>
    </row>
    <row r="4093" spans="1:44" x14ac:dyDescent="0.35">
      <c r="A4093" s="12" t="s">
        <v>5019</v>
      </c>
      <c r="B4093" s="12" t="s">
        <v>674</v>
      </c>
      <c r="C4093" s="12" t="s">
        <v>675</v>
      </c>
      <c r="D4093" s="12" t="s">
        <v>269</v>
      </c>
      <c r="E4093" s="12" t="s">
        <v>142</v>
      </c>
      <c r="F4093">
        <v>1</v>
      </c>
      <c r="G4093">
        <v>7</v>
      </c>
      <c r="H4093">
        <v>1</v>
      </c>
      <c r="I4093" s="12" t="s">
        <v>676</v>
      </c>
      <c r="J4093" s="12" t="s">
        <v>677</v>
      </c>
      <c r="K4093" s="12" t="s">
        <v>68</v>
      </c>
      <c r="L4093" s="12" t="s">
        <v>96</v>
      </c>
      <c r="M4093">
        <v>3.57</v>
      </c>
      <c r="N4093" s="12" t="s">
        <v>135</v>
      </c>
      <c r="O4093" s="12" t="s">
        <v>136</v>
      </c>
      <c r="P4093" s="12" t="s">
        <v>137</v>
      </c>
      <c r="Q4093" s="13">
        <v>45653</v>
      </c>
      <c r="R4093" s="13">
        <v>45694</v>
      </c>
      <c r="S4093">
        <v>2024</v>
      </c>
      <c r="T4093" s="12" t="s">
        <v>4841</v>
      </c>
      <c r="U4093">
        <v>63</v>
      </c>
      <c r="V4093">
        <v>388.87270000000001</v>
      </c>
      <c r="W4093">
        <v>224.69</v>
      </c>
      <c r="X4093">
        <v>0</v>
      </c>
      <c r="Y4093">
        <v>0</v>
      </c>
      <c r="Z4093">
        <v>24498.98</v>
      </c>
      <c r="AA4093">
        <v>24723.67</v>
      </c>
      <c r="AB4093" s="12" t="s">
        <v>201</v>
      </c>
      <c r="AD4093">
        <v>0</v>
      </c>
      <c r="AE4093">
        <v>0</v>
      </c>
      <c r="AH4093">
        <v>63</v>
      </c>
      <c r="AI4093">
        <v>62</v>
      </c>
      <c r="AJ4093">
        <v>1</v>
      </c>
      <c r="AK4093">
        <v>1</v>
      </c>
      <c r="AL4093">
        <v>1</v>
      </c>
      <c r="AM4093">
        <v>98.41</v>
      </c>
      <c r="AN4093">
        <v>398.76889999999997</v>
      </c>
      <c r="AO4093">
        <v>388.87</v>
      </c>
      <c r="AP4093" s="13">
        <v>45700</v>
      </c>
      <c r="AQ4093">
        <v>6</v>
      </c>
      <c r="AR4093">
        <v>0</v>
      </c>
    </row>
    <row r="4094" spans="1:44" x14ac:dyDescent="0.35">
      <c r="A4094" s="12" t="s">
        <v>5020</v>
      </c>
      <c r="B4094" s="12" t="s">
        <v>674</v>
      </c>
      <c r="C4094" s="12" t="s">
        <v>675</v>
      </c>
      <c r="D4094" s="12" t="s">
        <v>269</v>
      </c>
      <c r="E4094" s="12" t="s">
        <v>142</v>
      </c>
      <c r="F4094">
        <v>1</v>
      </c>
      <c r="G4094">
        <v>7</v>
      </c>
      <c r="H4094">
        <v>1</v>
      </c>
      <c r="I4094" s="12" t="s">
        <v>676</v>
      </c>
      <c r="J4094" s="12" t="s">
        <v>677</v>
      </c>
      <c r="K4094" s="12" t="s">
        <v>68</v>
      </c>
      <c r="L4094" s="12" t="s">
        <v>96</v>
      </c>
      <c r="M4094">
        <v>3.57</v>
      </c>
      <c r="N4094" s="12" t="s">
        <v>159</v>
      </c>
      <c r="O4094" s="12" t="s">
        <v>160</v>
      </c>
      <c r="P4094" s="12" t="s">
        <v>137</v>
      </c>
      <c r="Q4094" s="13">
        <v>45653</v>
      </c>
      <c r="R4094" s="13">
        <v>45695</v>
      </c>
      <c r="S4094">
        <v>2024</v>
      </c>
      <c r="T4094" s="12" t="s">
        <v>4841</v>
      </c>
      <c r="U4094">
        <v>65</v>
      </c>
      <c r="V4094">
        <v>375.2004</v>
      </c>
      <c r="W4094">
        <v>291.83</v>
      </c>
      <c r="X4094">
        <v>0</v>
      </c>
      <c r="Y4094">
        <v>0</v>
      </c>
      <c r="Z4094">
        <v>24388.03</v>
      </c>
      <c r="AA4094">
        <v>24679.86</v>
      </c>
      <c r="AB4094" s="12" t="s">
        <v>201</v>
      </c>
      <c r="AD4094">
        <v>0</v>
      </c>
      <c r="AE4094">
        <v>0</v>
      </c>
      <c r="AH4094">
        <v>65</v>
      </c>
      <c r="AI4094">
        <v>65</v>
      </c>
      <c r="AJ4094">
        <v>0</v>
      </c>
      <c r="AK4094">
        <v>1</v>
      </c>
      <c r="AL4094">
        <v>1</v>
      </c>
      <c r="AM4094">
        <v>100</v>
      </c>
      <c r="AN4094">
        <v>379.69009999999997</v>
      </c>
      <c r="AO4094">
        <v>0</v>
      </c>
      <c r="AP4094" s="13">
        <v>45693</v>
      </c>
      <c r="AQ4094">
        <v>-2</v>
      </c>
      <c r="AR4094">
        <v>1</v>
      </c>
    </row>
    <row r="4095" spans="1:44" x14ac:dyDescent="0.35">
      <c r="A4095" s="12" t="s">
        <v>5021</v>
      </c>
      <c r="B4095" s="12" t="s">
        <v>1034</v>
      </c>
      <c r="C4095" s="12" t="s">
        <v>1035</v>
      </c>
      <c r="D4095" s="12" t="s">
        <v>64</v>
      </c>
      <c r="E4095" s="12" t="s">
        <v>104</v>
      </c>
      <c r="F4095">
        <v>2</v>
      </c>
      <c r="G4095">
        <v>0</v>
      </c>
      <c r="H4095">
        <v>0</v>
      </c>
      <c r="I4095" s="12" t="s">
        <v>157</v>
      </c>
      <c r="J4095" s="12" t="s">
        <v>158</v>
      </c>
      <c r="K4095" s="12" t="s">
        <v>117</v>
      </c>
      <c r="L4095" s="12" t="s">
        <v>96</v>
      </c>
      <c r="M4095">
        <v>4.72</v>
      </c>
      <c r="N4095" s="12" t="s">
        <v>97</v>
      </c>
      <c r="O4095" s="12" t="s">
        <v>98</v>
      </c>
      <c r="P4095" s="12" t="s">
        <v>72</v>
      </c>
      <c r="Q4095" s="13">
        <v>45653</v>
      </c>
      <c r="R4095" s="13">
        <v>45665</v>
      </c>
      <c r="S4095">
        <v>2024</v>
      </c>
      <c r="T4095" s="12" t="s">
        <v>4841</v>
      </c>
      <c r="U4095">
        <v>127</v>
      </c>
      <c r="V4095">
        <v>9.2698</v>
      </c>
      <c r="W4095">
        <v>21.9</v>
      </c>
      <c r="X4095">
        <v>0</v>
      </c>
      <c r="Y4095">
        <v>0</v>
      </c>
      <c r="Z4095">
        <v>1177.26</v>
      </c>
      <c r="AA4095">
        <v>1199.1600000000001</v>
      </c>
      <c r="AB4095" s="12" t="s">
        <v>3309</v>
      </c>
      <c r="AC4095">
        <v>9.2698</v>
      </c>
      <c r="AD4095">
        <v>1</v>
      </c>
      <c r="AE4095">
        <v>1</v>
      </c>
      <c r="AF4095">
        <v>0</v>
      </c>
      <c r="AG4095">
        <v>1177.26</v>
      </c>
      <c r="AH4095">
        <v>127</v>
      </c>
      <c r="AI4095">
        <v>125</v>
      </c>
      <c r="AJ4095">
        <v>2</v>
      </c>
      <c r="AK4095">
        <v>1</v>
      </c>
      <c r="AL4095">
        <v>1</v>
      </c>
      <c r="AM4095">
        <v>98.43</v>
      </c>
      <c r="AN4095">
        <v>9.5932999999999993</v>
      </c>
      <c r="AO4095">
        <v>18.54</v>
      </c>
      <c r="AP4095" s="13">
        <v>45664</v>
      </c>
      <c r="AQ4095">
        <v>-1</v>
      </c>
      <c r="AR4095">
        <v>1</v>
      </c>
    </row>
    <row r="4096" spans="1:44" x14ac:dyDescent="0.35">
      <c r="A4096" s="12" t="s">
        <v>5022</v>
      </c>
      <c r="B4096" s="12" t="s">
        <v>120</v>
      </c>
      <c r="C4096" s="12" t="s">
        <v>121</v>
      </c>
      <c r="D4096" s="12" t="s">
        <v>122</v>
      </c>
      <c r="E4096" s="12" t="s">
        <v>65</v>
      </c>
      <c r="F4096">
        <v>3</v>
      </c>
      <c r="G4096">
        <v>4</v>
      </c>
      <c r="H4096">
        <v>0</v>
      </c>
      <c r="I4096" s="12" t="s">
        <v>123</v>
      </c>
      <c r="J4096" s="12" t="s">
        <v>124</v>
      </c>
      <c r="K4096" s="12" t="s">
        <v>125</v>
      </c>
      <c r="L4096" s="12" t="s">
        <v>82</v>
      </c>
      <c r="M4096">
        <v>6.75</v>
      </c>
      <c r="N4096" s="12" t="s">
        <v>70</v>
      </c>
      <c r="O4096" s="12" t="s">
        <v>71</v>
      </c>
      <c r="P4096" s="12" t="s">
        <v>72</v>
      </c>
      <c r="Q4096" s="13">
        <v>45653</v>
      </c>
      <c r="R4096" s="13">
        <v>45676</v>
      </c>
      <c r="S4096">
        <v>2024</v>
      </c>
      <c r="T4096" s="12" t="s">
        <v>4841</v>
      </c>
      <c r="U4096">
        <v>493</v>
      </c>
      <c r="V4096">
        <v>53.214500000000001</v>
      </c>
      <c r="W4096">
        <v>457.48</v>
      </c>
      <c r="X4096">
        <v>0</v>
      </c>
      <c r="Y4096">
        <v>0</v>
      </c>
      <c r="Z4096">
        <v>26234.75</v>
      </c>
      <c r="AA4096">
        <v>26692.23</v>
      </c>
      <c r="AB4096" s="12" t="s">
        <v>2728</v>
      </c>
      <c r="AC4096">
        <v>53.214500000000001</v>
      </c>
      <c r="AD4096">
        <v>1</v>
      </c>
      <c r="AE4096">
        <v>1</v>
      </c>
      <c r="AF4096">
        <v>0</v>
      </c>
      <c r="AG4096">
        <v>26234.75</v>
      </c>
      <c r="AH4096">
        <v>493</v>
      </c>
      <c r="AI4096">
        <v>491</v>
      </c>
      <c r="AJ4096">
        <v>2</v>
      </c>
      <c r="AK4096">
        <v>1</v>
      </c>
      <c r="AL4096">
        <v>1</v>
      </c>
      <c r="AM4096">
        <v>99.59</v>
      </c>
      <c r="AN4096">
        <v>54.363</v>
      </c>
      <c r="AO4096">
        <v>106.43</v>
      </c>
      <c r="AP4096" s="13">
        <v>45673</v>
      </c>
      <c r="AQ4096">
        <v>-3</v>
      </c>
      <c r="AR4096">
        <v>1</v>
      </c>
    </row>
    <row r="4097" spans="1:44" x14ac:dyDescent="0.35">
      <c r="A4097" s="12" t="s">
        <v>5023</v>
      </c>
      <c r="B4097" s="12" t="s">
        <v>728</v>
      </c>
      <c r="C4097" s="12" t="s">
        <v>729</v>
      </c>
      <c r="D4097" s="12" t="s">
        <v>269</v>
      </c>
      <c r="E4097" s="12" t="s">
        <v>65</v>
      </c>
      <c r="F4097">
        <v>2</v>
      </c>
      <c r="G4097">
        <v>3</v>
      </c>
      <c r="H4097">
        <v>0</v>
      </c>
      <c r="I4097" s="12" t="s">
        <v>310</v>
      </c>
      <c r="J4097" s="12" t="s">
        <v>311</v>
      </c>
      <c r="K4097" s="12" t="s">
        <v>81</v>
      </c>
      <c r="L4097" s="12" t="s">
        <v>69</v>
      </c>
      <c r="M4097">
        <v>28.3</v>
      </c>
      <c r="N4097" s="12" t="s">
        <v>135</v>
      </c>
      <c r="O4097" s="12" t="s">
        <v>136</v>
      </c>
      <c r="P4097" s="12" t="s">
        <v>137</v>
      </c>
      <c r="Q4097" s="13">
        <v>45653</v>
      </c>
      <c r="R4097" s="13">
        <v>45687</v>
      </c>
      <c r="S4097">
        <v>2024</v>
      </c>
      <c r="T4097" s="12" t="s">
        <v>4841</v>
      </c>
      <c r="U4097">
        <v>112</v>
      </c>
      <c r="V4097">
        <v>364.55509999999998</v>
      </c>
      <c r="W4097">
        <v>690.8</v>
      </c>
      <c r="X4097">
        <v>0</v>
      </c>
      <c r="Y4097">
        <v>0</v>
      </c>
      <c r="Z4097">
        <v>40830.17</v>
      </c>
      <c r="AA4097">
        <v>41520.97</v>
      </c>
      <c r="AB4097" s="12" t="s">
        <v>3329</v>
      </c>
      <c r="AC4097">
        <v>364.55509999999998</v>
      </c>
      <c r="AD4097">
        <v>1</v>
      </c>
      <c r="AE4097">
        <v>1</v>
      </c>
      <c r="AF4097">
        <v>0</v>
      </c>
      <c r="AG4097">
        <v>40830.17</v>
      </c>
      <c r="AH4097">
        <v>112</v>
      </c>
      <c r="AI4097">
        <v>111</v>
      </c>
      <c r="AJ4097">
        <v>1</v>
      </c>
      <c r="AK4097">
        <v>1</v>
      </c>
      <c r="AL4097">
        <v>1</v>
      </c>
      <c r="AM4097">
        <v>99.11</v>
      </c>
      <c r="AN4097">
        <v>374.06279999999998</v>
      </c>
      <c r="AO4097">
        <v>364.56</v>
      </c>
      <c r="AP4097" s="13">
        <v>45685</v>
      </c>
      <c r="AQ4097">
        <v>-2</v>
      </c>
      <c r="AR4097">
        <v>1</v>
      </c>
    </row>
    <row r="4098" spans="1:44" x14ac:dyDescent="0.35">
      <c r="A4098" s="12" t="s">
        <v>5024</v>
      </c>
      <c r="B4098" s="12" t="s">
        <v>1134</v>
      </c>
      <c r="C4098" s="12" t="s">
        <v>1135</v>
      </c>
      <c r="D4098" s="12" t="s">
        <v>269</v>
      </c>
      <c r="E4098" s="12" t="s">
        <v>104</v>
      </c>
      <c r="F4098">
        <v>2</v>
      </c>
      <c r="G4098">
        <v>0</v>
      </c>
      <c r="H4098">
        <v>0</v>
      </c>
      <c r="I4098" s="12" t="s">
        <v>380</v>
      </c>
      <c r="J4098" s="12" t="s">
        <v>381</v>
      </c>
      <c r="K4098" s="12" t="s">
        <v>89</v>
      </c>
      <c r="L4098" s="12" t="s">
        <v>96</v>
      </c>
      <c r="M4098">
        <v>10.210000000000001</v>
      </c>
      <c r="N4098" s="12" t="s">
        <v>135</v>
      </c>
      <c r="O4098" s="12" t="s">
        <v>136</v>
      </c>
      <c r="P4098" s="12" t="s">
        <v>137</v>
      </c>
      <c r="Q4098" s="13">
        <v>45653</v>
      </c>
      <c r="R4098" s="13">
        <v>45680</v>
      </c>
      <c r="S4098">
        <v>2024</v>
      </c>
      <c r="T4098" s="12" t="s">
        <v>4841</v>
      </c>
      <c r="U4098">
        <v>133</v>
      </c>
      <c r="V4098">
        <v>100.0123</v>
      </c>
      <c r="W4098">
        <v>157.03</v>
      </c>
      <c r="X4098">
        <v>0</v>
      </c>
      <c r="Y4098">
        <v>0</v>
      </c>
      <c r="Z4098">
        <v>13301.64</v>
      </c>
      <c r="AA4098">
        <v>13458.67</v>
      </c>
      <c r="AB4098" s="12" t="s">
        <v>3615</v>
      </c>
      <c r="AC4098">
        <v>100.0123</v>
      </c>
      <c r="AD4098">
        <v>1</v>
      </c>
      <c r="AE4098">
        <v>1</v>
      </c>
      <c r="AF4098">
        <v>0</v>
      </c>
      <c r="AG4098">
        <v>13301.64</v>
      </c>
      <c r="AH4098">
        <v>133</v>
      </c>
      <c r="AI4098">
        <v>132</v>
      </c>
      <c r="AJ4098">
        <v>1</v>
      </c>
      <c r="AK4098">
        <v>1</v>
      </c>
      <c r="AL4098">
        <v>1</v>
      </c>
      <c r="AM4098">
        <v>99.25</v>
      </c>
      <c r="AN4098">
        <v>101.95959999999999</v>
      </c>
      <c r="AO4098">
        <v>100.01</v>
      </c>
      <c r="AP4098" s="13">
        <v>45677</v>
      </c>
      <c r="AQ4098">
        <v>-3</v>
      </c>
      <c r="AR4098">
        <v>1</v>
      </c>
    </row>
    <row r="4099" spans="1:44" x14ac:dyDescent="0.35">
      <c r="A4099" s="12" t="s">
        <v>5025</v>
      </c>
      <c r="B4099" s="12" t="s">
        <v>498</v>
      </c>
      <c r="C4099" s="12" t="s">
        <v>499</v>
      </c>
      <c r="D4099" s="12" t="s">
        <v>175</v>
      </c>
      <c r="E4099" s="12" t="s">
        <v>104</v>
      </c>
      <c r="F4099">
        <v>3</v>
      </c>
      <c r="G4099">
        <v>1</v>
      </c>
      <c r="H4099">
        <v>0</v>
      </c>
      <c r="I4099" s="12" t="s">
        <v>233</v>
      </c>
      <c r="J4099" s="12" t="s">
        <v>234</v>
      </c>
      <c r="K4099" s="12" t="s">
        <v>125</v>
      </c>
      <c r="L4099" s="12" t="s">
        <v>96</v>
      </c>
      <c r="M4099">
        <v>3.73</v>
      </c>
      <c r="N4099" s="12" t="s">
        <v>107</v>
      </c>
      <c r="O4099" s="12" t="s">
        <v>108</v>
      </c>
      <c r="P4099" s="12" t="s">
        <v>109</v>
      </c>
      <c r="Q4099" s="13">
        <v>45653</v>
      </c>
      <c r="R4099" s="13">
        <v>45670</v>
      </c>
      <c r="S4099">
        <v>2024</v>
      </c>
      <c r="T4099" s="12" t="s">
        <v>4841</v>
      </c>
      <c r="U4099">
        <v>53</v>
      </c>
      <c r="V4099">
        <v>268.74209999999999</v>
      </c>
      <c r="W4099">
        <v>217.64</v>
      </c>
      <c r="X4099">
        <v>0</v>
      </c>
      <c r="Y4099">
        <v>0</v>
      </c>
      <c r="Z4099">
        <v>14243.33</v>
      </c>
      <c r="AA4099">
        <v>14460.97</v>
      </c>
      <c r="AB4099" s="12" t="s">
        <v>3032</v>
      </c>
      <c r="AC4099">
        <v>268.74209999999999</v>
      </c>
      <c r="AD4099">
        <v>1</v>
      </c>
      <c r="AE4099">
        <v>1</v>
      </c>
      <c r="AF4099">
        <v>0</v>
      </c>
      <c r="AG4099">
        <v>14243.33</v>
      </c>
      <c r="AH4099">
        <v>53</v>
      </c>
      <c r="AI4099">
        <v>53</v>
      </c>
      <c r="AJ4099">
        <v>0</v>
      </c>
      <c r="AK4099">
        <v>1</v>
      </c>
      <c r="AL4099">
        <v>1</v>
      </c>
      <c r="AM4099">
        <v>100</v>
      </c>
      <c r="AN4099">
        <v>272.8485</v>
      </c>
      <c r="AO4099">
        <v>0</v>
      </c>
      <c r="AP4099" s="13">
        <v>45671</v>
      </c>
      <c r="AQ4099">
        <v>1</v>
      </c>
      <c r="AR4099">
        <v>0</v>
      </c>
    </row>
    <row r="4100" spans="1:44" x14ac:dyDescent="0.35">
      <c r="A4100" s="12" t="s">
        <v>5026</v>
      </c>
      <c r="B4100" s="12" t="s">
        <v>149</v>
      </c>
      <c r="C4100" s="12" t="s">
        <v>150</v>
      </c>
      <c r="D4100" s="12" t="s">
        <v>78</v>
      </c>
      <c r="E4100" s="12" t="s">
        <v>65</v>
      </c>
      <c r="F4100">
        <v>2</v>
      </c>
      <c r="G4100">
        <v>2</v>
      </c>
      <c r="H4100">
        <v>0</v>
      </c>
      <c r="I4100" s="12" t="s">
        <v>151</v>
      </c>
      <c r="J4100" s="12" t="s">
        <v>152</v>
      </c>
      <c r="K4100" s="12" t="s">
        <v>125</v>
      </c>
      <c r="L4100" s="12" t="s">
        <v>69</v>
      </c>
      <c r="M4100">
        <v>36.479999999999997</v>
      </c>
      <c r="N4100" s="12" t="s">
        <v>70</v>
      </c>
      <c r="O4100" s="12" t="s">
        <v>71</v>
      </c>
      <c r="P4100" s="12" t="s">
        <v>72</v>
      </c>
      <c r="Q4100" s="13">
        <v>45656</v>
      </c>
      <c r="R4100" s="13">
        <v>45682</v>
      </c>
      <c r="S4100">
        <v>2024</v>
      </c>
      <c r="T4100" s="12" t="s">
        <v>4841</v>
      </c>
      <c r="U4100">
        <v>126</v>
      </c>
      <c r="V4100">
        <v>70.838700000000003</v>
      </c>
      <c r="W4100">
        <v>67.25</v>
      </c>
      <c r="X4100">
        <v>0</v>
      </c>
      <c r="Y4100">
        <v>0</v>
      </c>
      <c r="Z4100">
        <v>8925.68</v>
      </c>
      <c r="AA4100">
        <v>8992.93</v>
      </c>
      <c r="AB4100" s="12" t="s">
        <v>2546</v>
      </c>
      <c r="AC4100">
        <v>70.838700000000003</v>
      </c>
      <c r="AD4100">
        <v>1</v>
      </c>
      <c r="AE4100">
        <v>1</v>
      </c>
      <c r="AF4100">
        <v>0</v>
      </c>
      <c r="AG4100">
        <v>8925.68</v>
      </c>
      <c r="AH4100">
        <v>126</v>
      </c>
      <c r="AI4100">
        <v>125</v>
      </c>
      <c r="AJ4100">
        <v>1</v>
      </c>
      <c r="AK4100">
        <v>1</v>
      </c>
      <c r="AL4100">
        <v>1</v>
      </c>
      <c r="AM4100">
        <v>99.21</v>
      </c>
      <c r="AN4100">
        <v>71.943399999999997</v>
      </c>
      <c r="AO4100">
        <v>70.84</v>
      </c>
      <c r="AP4100" s="13">
        <v>45679</v>
      </c>
      <c r="AQ4100">
        <v>-3</v>
      </c>
      <c r="AR4100">
        <v>1</v>
      </c>
    </row>
    <row r="4101" spans="1:44" x14ac:dyDescent="0.35">
      <c r="A4101" s="12" t="s">
        <v>5027</v>
      </c>
      <c r="B4101" s="12" t="s">
        <v>347</v>
      </c>
      <c r="C4101" s="12" t="s">
        <v>348</v>
      </c>
      <c r="D4101" s="12" t="s">
        <v>78</v>
      </c>
      <c r="E4101" s="12" t="s">
        <v>104</v>
      </c>
      <c r="F4101">
        <v>3</v>
      </c>
      <c r="G4101">
        <v>1</v>
      </c>
      <c r="H4101">
        <v>0</v>
      </c>
      <c r="I4101" s="12" t="s">
        <v>87</v>
      </c>
      <c r="J4101" s="12" t="s">
        <v>88</v>
      </c>
      <c r="K4101" s="12" t="s">
        <v>89</v>
      </c>
      <c r="L4101" s="12" t="s">
        <v>69</v>
      </c>
      <c r="M4101">
        <v>14.93</v>
      </c>
      <c r="N4101" s="12" t="s">
        <v>97</v>
      </c>
      <c r="O4101" s="12" t="s">
        <v>98</v>
      </c>
      <c r="P4101" s="12" t="s">
        <v>72</v>
      </c>
      <c r="Q4101" s="13">
        <v>45656</v>
      </c>
      <c r="R4101" s="13">
        <v>45674</v>
      </c>
      <c r="S4101">
        <v>2024</v>
      </c>
      <c r="T4101" s="12" t="s">
        <v>4841</v>
      </c>
      <c r="U4101">
        <v>135</v>
      </c>
      <c r="V4101">
        <v>100.4834</v>
      </c>
      <c r="W4101">
        <v>92.18</v>
      </c>
      <c r="X4101">
        <v>0</v>
      </c>
      <c r="Y4101">
        <v>0</v>
      </c>
      <c r="Z4101">
        <v>13565.26</v>
      </c>
      <c r="AA4101">
        <v>13657.44</v>
      </c>
      <c r="AB4101" s="12" t="s">
        <v>201</v>
      </c>
      <c r="AD4101">
        <v>0</v>
      </c>
      <c r="AE4101">
        <v>0</v>
      </c>
      <c r="AH4101">
        <v>135</v>
      </c>
      <c r="AI4101">
        <v>133</v>
      </c>
      <c r="AJ4101">
        <v>2</v>
      </c>
      <c r="AK4101">
        <v>1</v>
      </c>
      <c r="AL4101">
        <v>1</v>
      </c>
      <c r="AM4101">
        <v>98.52</v>
      </c>
      <c r="AN4101">
        <v>102.6875</v>
      </c>
      <c r="AO4101">
        <v>200.97</v>
      </c>
      <c r="AP4101" s="13">
        <v>45673</v>
      </c>
      <c r="AQ4101">
        <v>-1</v>
      </c>
      <c r="AR4101">
        <v>1</v>
      </c>
    </row>
    <row r="4102" spans="1:44" x14ac:dyDescent="0.35">
      <c r="A4102" s="12" t="s">
        <v>5028</v>
      </c>
      <c r="B4102" s="12" t="s">
        <v>766</v>
      </c>
      <c r="C4102" s="12" t="s">
        <v>767</v>
      </c>
      <c r="D4102" s="12" t="s">
        <v>175</v>
      </c>
      <c r="E4102" s="12" t="s">
        <v>65</v>
      </c>
      <c r="F4102">
        <v>3</v>
      </c>
      <c r="G4102">
        <v>5</v>
      </c>
      <c r="H4102">
        <v>0</v>
      </c>
      <c r="I4102" s="12" t="s">
        <v>87</v>
      </c>
      <c r="J4102" s="12" t="s">
        <v>88</v>
      </c>
      <c r="K4102" s="12" t="s">
        <v>89</v>
      </c>
      <c r="L4102" s="12" t="s">
        <v>69</v>
      </c>
      <c r="M4102">
        <v>14.93</v>
      </c>
      <c r="N4102" s="12" t="s">
        <v>107</v>
      </c>
      <c r="O4102" s="12" t="s">
        <v>108</v>
      </c>
      <c r="P4102" s="12" t="s">
        <v>109</v>
      </c>
      <c r="Q4102" s="13">
        <v>45656</v>
      </c>
      <c r="R4102" s="13">
        <v>45691</v>
      </c>
      <c r="S4102">
        <v>2024</v>
      </c>
      <c r="T4102" s="12" t="s">
        <v>4841</v>
      </c>
      <c r="U4102">
        <v>121</v>
      </c>
      <c r="V4102">
        <v>81.825500000000005</v>
      </c>
      <c r="W4102">
        <v>147.35</v>
      </c>
      <c r="X4102">
        <v>0</v>
      </c>
      <c r="Y4102">
        <v>0</v>
      </c>
      <c r="Z4102">
        <v>9900.89</v>
      </c>
      <c r="AA4102">
        <v>10048.24</v>
      </c>
      <c r="AB4102" s="12" t="s">
        <v>3225</v>
      </c>
      <c r="AC4102">
        <v>81.825500000000005</v>
      </c>
      <c r="AD4102">
        <v>1</v>
      </c>
      <c r="AE4102">
        <v>1</v>
      </c>
      <c r="AF4102">
        <v>0</v>
      </c>
      <c r="AG4102">
        <v>9900.89</v>
      </c>
      <c r="AH4102">
        <v>121</v>
      </c>
      <c r="AI4102">
        <v>120</v>
      </c>
      <c r="AJ4102">
        <v>1</v>
      </c>
      <c r="AK4102">
        <v>1</v>
      </c>
      <c r="AL4102">
        <v>1</v>
      </c>
      <c r="AM4102">
        <v>99.17</v>
      </c>
      <c r="AN4102">
        <v>83.735299999999995</v>
      </c>
      <c r="AO4102">
        <v>81.83</v>
      </c>
      <c r="AP4102" s="13">
        <v>45694</v>
      </c>
      <c r="AQ4102">
        <v>3</v>
      </c>
      <c r="AR4102">
        <v>0</v>
      </c>
    </row>
    <row r="4103" spans="1:44" x14ac:dyDescent="0.35">
      <c r="A4103" s="12" t="s">
        <v>5029</v>
      </c>
      <c r="B4103" s="12" t="s">
        <v>548</v>
      </c>
      <c r="C4103" s="12" t="s">
        <v>549</v>
      </c>
      <c r="D4103" s="12" t="s">
        <v>78</v>
      </c>
      <c r="E4103" s="12" t="s">
        <v>104</v>
      </c>
      <c r="F4103">
        <v>3</v>
      </c>
      <c r="G4103">
        <v>1</v>
      </c>
      <c r="H4103">
        <v>0</v>
      </c>
      <c r="I4103" s="12" t="s">
        <v>223</v>
      </c>
      <c r="J4103" s="12" t="s">
        <v>224</v>
      </c>
      <c r="K4103" s="12" t="s">
        <v>81</v>
      </c>
      <c r="L4103" s="12" t="s">
        <v>134</v>
      </c>
      <c r="M4103">
        <v>2.4900000000000002</v>
      </c>
      <c r="N4103" s="12" t="s">
        <v>70</v>
      </c>
      <c r="O4103" s="12" t="s">
        <v>71</v>
      </c>
      <c r="P4103" s="12" t="s">
        <v>72</v>
      </c>
      <c r="Q4103" s="13">
        <v>45656</v>
      </c>
      <c r="R4103" s="13">
        <v>45677</v>
      </c>
      <c r="S4103">
        <v>2024</v>
      </c>
      <c r="T4103" s="12" t="s">
        <v>4841</v>
      </c>
      <c r="U4103">
        <v>171</v>
      </c>
      <c r="V4103">
        <v>60.5762</v>
      </c>
      <c r="W4103">
        <v>105.84</v>
      </c>
      <c r="X4103">
        <v>0</v>
      </c>
      <c r="Y4103">
        <v>0</v>
      </c>
      <c r="Z4103">
        <v>10358.530000000001</v>
      </c>
      <c r="AA4103">
        <v>10464.370000000001</v>
      </c>
      <c r="AB4103" s="12" t="s">
        <v>3127</v>
      </c>
      <c r="AC4103">
        <v>59.346200000000003</v>
      </c>
      <c r="AD4103">
        <v>1</v>
      </c>
      <c r="AE4103">
        <v>1</v>
      </c>
      <c r="AF4103">
        <v>210.33</v>
      </c>
      <c r="AG4103">
        <v>10148.200000000001</v>
      </c>
      <c r="AH4103">
        <v>171</v>
      </c>
      <c r="AI4103">
        <v>169</v>
      </c>
      <c r="AJ4103">
        <v>2</v>
      </c>
      <c r="AK4103">
        <v>1</v>
      </c>
      <c r="AL4103">
        <v>1</v>
      </c>
      <c r="AM4103">
        <v>98.83</v>
      </c>
      <c r="AN4103">
        <v>61.919400000000003</v>
      </c>
      <c r="AO4103">
        <v>121.15</v>
      </c>
      <c r="AP4103" s="13">
        <v>45673</v>
      </c>
      <c r="AQ4103">
        <v>-4</v>
      </c>
      <c r="AR4103">
        <v>1</v>
      </c>
    </row>
    <row r="4104" spans="1:44" x14ac:dyDescent="0.35">
      <c r="A4104" s="12" t="s">
        <v>5030</v>
      </c>
      <c r="B4104" s="12" t="s">
        <v>630</v>
      </c>
      <c r="C4104" s="12" t="s">
        <v>631</v>
      </c>
      <c r="D4104" s="12" t="s">
        <v>130</v>
      </c>
      <c r="E4104" s="12" t="s">
        <v>65</v>
      </c>
      <c r="F4104">
        <v>1</v>
      </c>
      <c r="G4104">
        <v>2</v>
      </c>
      <c r="H4104">
        <v>1</v>
      </c>
      <c r="I4104" s="12" t="s">
        <v>335</v>
      </c>
      <c r="J4104" s="12" t="s">
        <v>336</v>
      </c>
      <c r="K4104" s="12" t="s">
        <v>89</v>
      </c>
      <c r="L4104" s="12" t="s">
        <v>82</v>
      </c>
      <c r="M4104">
        <v>16</v>
      </c>
      <c r="N4104" s="12" t="s">
        <v>135</v>
      </c>
      <c r="O4104" s="12" t="s">
        <v>136</v>
      </c>
      <c r="P4104" s="12" t="s">
        <v>137</v>
      </c>
      <c r="Q4104" s="13">
        <v>45656</v>
      </c>
      <c r="R4104" s="13">
        <v>45685</v>
      </c>
      <c r="S4104">
        <v>2024</v>
      </c>
      <c r="T4104" s="12" t="s">
        <v>4841</v>
      </c>
      <c r="U4104">
        <v>78</v>
      </c>
      <c r="V4104">
        <v>465.22699999999998</v>
      </c>
      <c r="W4104">
        <v>503.7</v>
      </c>
      <c r="X4104">
        <v>0</v>
      </c>
      <c r="Y4104">
        <v>0</v>
      </c>
      <c r="Z4104">
        <v>36287.71</v>
      </c>
      <c r="AA4104">
        <v>36791.410000000003</v>
      </c>
      <c r="AB4104" s="12" t="s">
        <v>2944</v>
      </c>
      <c r="AC4104">
        <v>446.36720000000003</v>
      </c>
      <c r="AD4104">
        <v>1</v>
      </c>
      <c r="AE4104">
        <v>1</v>
      </c>
      <c r="AF4104">
        <v>1471.06</v>
      </c>
      <c r="AG4104">
        <v>34816.639999999999</v>
      </c>
      <c r="AH4104">
        <v>78</v>
      </c>
      <c r="AI4104">
        <v>78</v>
      </c>
      <c r="AJ4104">
        <v>0</v>
      </c>
      <c r="AK4104">
        <v>1</v>
      </c>
      <c r="AL4104">
        <v>1</v>
      </c>
      <c r="AM4104">
        <v>100</v>
      </c>
      <c r="AN4104">
        <v>471.68470000000002</v>
      </c>
      <c r="AO4104">
        <v>0</v>
      </c>
      <c r="AP4104" s="13">
        <v>45682</v>
      </c>
      <c r="AQ4104">
        <v>-3</v>
      </c>
      <c r="AR4104">
        <v>1</v>
      </c>
    </row>
    <row r="4105" spans="1:44" x14ac:dyDescent="0.35">
      <c r="A4105" s="12" t="s">
        <v>5031</v>
      </c>
      <c r="B4105" s="12" t="s">
        <v>412</v>
      </c>
      <c r="C4105" s="12" t="s">
        <v>413</v>
      </c>
      <c r="D4105" s="12" t="s">
        <v>269</v>
      </c>
      <c r="E4105" s="12" t="s">
        <v>65</v>
      </c>
      <c r="F4105">
        <v>1</v>
      </c>
      <c r="G4105">
        <v>2</v>
      </c>
      <c r="H4105">
        <v>1</v>
      </c>
      <c r="I4105" s="12" t="s">
        <v>233</v>
      </c>
      <c r="J4105" s="12" t="s">
        <v>234</v>
      </c>
      <c r="K4105" s="12" t="s">
        <v>125</v>
      </c>
      <c r="L4105" s="12" t="s">
        <v>96</v>
      </c>
      <c r="M4105">
        <v>3.73</v>
      </c>
      <c r="N4105" s="12" t="s">
        <v>159</v>
      </c>
      <c r="O4105" s="12" t="s">
        <v>160</v>
      </c>
      <c r="P4105" s="12" t="s">
        <v>137</v>
      </c>
      <c r="Q4105" s="13">
        <v>45656</v>
      </c>
      <c r="R4105" s="13">
        <v>45692</v>
      </c>
      <c r="S4105">
        <v>2024</v>
      </c>
      <c r="T4105" s="12" t="s">
        <v>4841</v>
      </c>
      <c r="U4105">
        <v>130</v>
      </c>
      <c r="V4105">
        <v>104.17829999999999</v>
      </c>
      <c r="W4105">
        <v>241.12</v>
      </c>
      <c r="X4105">
        <v>0</v>
      </c>
      <c r="Y4105">
        <v>0</v>
      </c>
      <c r="Z4105">
        <v>13543.18</v>
      </c>
      <c r="AA4105">
        <v>13784.3</v>
      </c>
      <c r="AB4105" s="12" t="s">
        <v>3056</v>
      </c>
      <c r="AC4105">
        <v>104.17829999999999</v>
      </c>
      <c r="AD4105">
        <v>1</v>
      </c>
      <c r="AE4105">
        <v>1</v>
      </c>
      <c r="AF4105">
        <v>0</v>
      </c>
      <c r="AG4105">
        <v>13543.18</v>
      </c>
      <c r="AH4105">
        <v>130</v>
      </c>
      <c r="AI4105">
        <v>130</v>
      </c>
      <c r="AJ4105">
        <v>0</v>
      </c>
      <c r="AK4105">
        <v>1</v>
      </c>
      <c r="AL4105">
        <v>1</v>
      </c>
      <c r="AM4105">
        <v>100</v>
      </c>
      <c r="AN4105">
        <v>106.0331</v>
      </c>
      <c r="AO4105">
        <v>0</v>
      </c>
      <c r="AP4105" s="13">
        <v>45692</v>
      </c>
      <c r="AQ4105">
        <v>0</v>
      </c>
      <c r="AR4105">
        <v>1</v>
      </c>
    </row>
    <row r="4106" spans="1:44" x14ac:dyDescent="0.35">
      <c r="A4106" s="12" t="s">
        <v>5032</v>
      </c>
      <c r="B4106" s="12" t="s">
        <v>284</v>
      </c>
      <c r="C4106" s="12" t="s">
        <v>285</v>
      </c>
      <c r="D4106" s="12" t="s">
        <v>269</v>
      </c>
      <c r="E4106" s="12" t="s">
        <v>104</v>
      </c>
      <c r="F4106">
        <v>3</v>
      </c>
      <c r="G4106">
        <v>1</v>
      </c>
      <c r="H4106">
        <v>0</v>
      </c>
      <c r="I4106" s="12" t="s">
        <v>199</v>
      </c>
      <c r="J4106" s="12" t="s">
        <v>200</v>
      </c>
      <c r="K4106" s="12" t="s">
        <v>68</v>
      </c>
      <c r="L4106" s="12" t="s">
        <v>96</v>
      </c>
      <c r="M4106">
        <v>9.4700000000000006</v>
      </c>
      <c r="N4106" s="12" t="s">
        <v>135</v>
      </c>
      <c r="O4106" s="12" t="s">
        <v>136</v>
      </c>
      <c r="P4106" s="12" t="s">
        <v>137</v>
      </c>
      <c r="Q4106" s="13">
        <v>45656</v>
      </c>
      <c r="R4106" s="13">
        <v>45680</v>
      </c>
      <c r="S4106">
        <v>2024</v>
      </c>
      <c r="T4106" s="12" t="s">
        <v>4841</v>
      </c>
      <c r="U4106">
        <v>111</v>
      </c>
      <c r="V4106">
        <v>383.97989999999999</v>
      </c>
      <c r="W4106">
        <v>515.45000000000005</v>
      </c>
      <c r="X4106">
        <v>0</v>
      </c>
      <c r="Y4106">
        <v>0</v>
      </c>
      <c r="Z4106">
        <v>42621.77</v>
      </c>
      <c r="AA4106">
        <v>43137.22</v>
      </c>
      <c r="AB4106" s="12" t="s">
        <v>201</v>
      </c>
      <c r="AD4106">
        <v>0</v>
      </c>
      <c r="AE4106">
        <v>0</v>
      </c>
      <c r="AH4106">
        <v>111</v>
      </c>
      <c r="AI4106">
        <v>110</v>
      </c>
      <c r="AJ4106">
        <v>1</v>
      </c>
      <c r="AK4106">
        <v>1</v>
      </c>
      <c r="AL4106">
        <v>1</v>
      </c>
      <c r="AM4106">
        <v>99.1</v>
      </c>
      <c r="AN4106">
        <v>392.15649999999999</v>
      </c>
      <c r="AO4106">
        <v>383.98</v>
      </c>
      <c r="AP4106" s="13">
        <v>45681</v>
      </c>
      <c r="AQ4106">
        <v>1</v>
      </c>
      <c r="AR4106">
        <v>0</v>
      </c>
    </row>
    <row r="4107" spans="1:44" x14ac:dyDescent="0.35">
      <c r="A4107" s="12" t="s">
        <v>5033</v>
      </c>
      <c r="B4107" s="12" t="s">
        <v>284</v>
      </c>
      <c r="C4107" s="12" t="s">
        <v>285</v>
      </c>
      <c r="D4107" s="12" t="s">
        <v>269</v>
      </c>
      <c r="E4107" s="12" t="s">
        <v>104</v>
      </c>
      <c r="F4107">
        <v>3</v>
      </c>
      <c r="G4107">
        <v>1</v>
      </c>
      <c r="H4107">
        <v>0</v>
      </c>
      <c r="I4107" s="12" t="s">
        <v>199</v>
      </c>
      <c r="J4107" s="12" t="s">
        <v>200</v>
      </c>
      <c r="K4107" s="12" t="s">
        <v>68</v>
      </c>
      <c r="L4107" s="12" t="s">
        <v>96</v>
      </c>
      <c r="M4107">
        <v>9.4700000000000006</v>
      </c>
      <c r="N4107" s="12" t="s">
        <v>135</v>
      </c>
      <c r="O4107" s="12" t="s">
        <v>136</v>
      </c>
      <c r="P4107" s="12" t="s">
        <v>137</v>
      </c>
      <c r="Q4107" s="13">
        <v>45656</v>
      </c>
      <c r="R4107" s="13">
        <v>45685</v>
      </c>
      <c r="S4107">
        <v>2024</v>
      </c>
      <c r="T4107" s="12" t="s">
        <v>4841</v>
      </c>
      <c r="U4107">
        <v>147</v>
      </c>
      <c r="V4107">
        <v>393.41399999999999</v>
      </c>
      <c r="W4107">
        <v>1158.51</v>
      </c>
      <c r="X4107">
        <v>0</v>
      </c>
      <c r="Y4107">
        <v>0</v>
      </c>
      <c r="Z4107">
        <v>57831.86</v>
      </c>
      <c r="AA4107">
        <v>58990.37</v>
      </c>
      <c r="AB4107" s="12" t="s">
        <v>201</v>
      </c>
      <c r="AD4107">
        <v>0</v>
      </c>
      <c r="AE4107">
        <v>0</v>
      </c>
      <c r="AH4107">
        <v>147</v>
      </c>
      <c r="AI4107">
        <v>146</v>
      </c>
      <c r="AJ4107">
        <v>1</v>
      </c>
      <c r="AK4107">
        <v>1</v>
      </c>
      <c r="AL4107">
        <v>1</v>
      </c>
      <c r="AM4107">
        <v>99.32</v>
      </c>
      <c r="AN4107">
        <v>404.04360000000003</v>
      </c>
      <c r="AO4107">
        <v>393.41</v>
      </c>
      <c r="AP4107" s="13">
        <v>45687</v>
      </c>
      <c r="AQ4107">
        <v>2</v>
      </c>
      <c r="AR4107">
        <v>0</v>
      </c>
    </row>
    <row r="4108" spans="1:44" x14ac:dyDescent="0.35">
      <c r="A4108" s="12" t="s">
        <v>5034</v>
      </c>
      <c r="B4108" s="12" t="s">
        <v>685</v>
      </c>
      <c r="C4108" s="12" t="s">
        <v>686</v>
      </c>
      <c r="D4108" s="12" t="s">
        <v>175</v>
      </c>
      <c r="E4108" s="12" t="s">
        <v>104</v>
      </c>
      <c r="F4108">
        <v>2</v>
      </c>
      <c r="G4108">
        <v>0</v>
      </c>
      <c r="H4108">
        <v>0</v>
      </c>
      <c r="I4108" s="12" t="s">
        <v>243</v>
      </c>
      <c r="J4108" s="12" t="s">
        <v>244</v>
      </c>
      <c r="K4108" s="12" t="s">
        <v>81</v>
      </c>
      <c r="L4108" s="12" t="s">
        <v>82</v>
      </c>
      <c r="M4108">
        <v>9.2200000000000006</v>
      </c>
      <c r="N4108" s="12" t="s">
        <v>107</v>
      </c>
      <c r="O4108" s="12" t="s">
        <v>108</v>
      </c>
      <c r="P4108" s="12" t="s">
        <v>109</v>
      </c>
      <c r="Q4108" s="13">
        <v>45656</v>
      </c>
      <c r="R4108" s="13">
        <v>45673</v>
      </c>
      <c r="S4108">
        <v>2024</v>
      </c>
      <c r="T4108" s="12" t="s">
        <v>4841</v>
      </c>
      <c r="U4108">
        <v>49</v>
      </c>
      <c r="V4108">
        <v>240.71080000000001</v>
      </c>
      <c r="W4108">
        <v>305.02999999999997</v>
      </c>
      <c r="X4108">
        <v>0</v>
      </c>
      <c r="Y4108">
        <v>0</v>
      </c>
      <c r="Z4108">
        <v>11794.83</v>
      </c>
      <c r="AA4108">
        <v>12099.86</v>
      </c>
      <c r="AB4108" s="12" t="s">
        <v>201</v>
      </c>
      <c r="AD4108">
        <v>0</v>
      </c>
      <c r="AE4108">
        <v>0</v>
      </c>
      <c r="AH4108">
        <v>49</v>
      </c>
      <c r="AI4108">
        <v>48</v>
      </c>
      <c r="AJ4108">
        <v>1</v>
      </c>
      <c r="AK4108">
        <v>1</v>
      </c>
      <c r="AL4108">
        <v>1</v>
      </c>
      <c r="AM4108">
        <v>97.96</v>
      </c>
      <c r="AN4108">
        <v>252.0804</v>
      </c>
      <c r="AO4108">
        <v>240.71</v>
      </c>
      <c r="AP4108" s="13">
        <v>45672</v>
      </c>
      <c r="AQ4108">
        <v>-1</v>
      </c>
      <c r="AR4108">
        <v>1</v>
      </c>
    </row>
    <row r="4109" spans="1:44" x14ac:dyDescent="0.35">
      <c r="A4109" s="12" t="s">
        <v>5035</v>
      </c>
      <c r="B4109" s="12" t="s">
        <v>408</v>
      </c>
      <c r="C4109" s="12" t="s">
        <v>409</v>
      </c>
      <c r="D4109" s="12" t="s">
        <v>130</v>
      </c>
      <c r="E4109" s="12" t="s">
        <v>65</v>
      </c>
      <c r="F4109">
        <v>3</v>
      </c>
      <c r="G4109">
        <v>5</v>
      </c>
      <c r="H4109">
        <v>0</v>
      </c>
      <c r="I4109" s="12" t="s">
        <v>105</v>
      </c>
      <c r="J4109" s="12" t="s">
        <v>106</v>
      </c>
      <c r="K4109" s="12" t="s">
        <v>81</v>
      </c>
      <c r="L4109" s="12" t="s">
        <v>96</v>
      </c>
      <c r="M4109">
        <v>5.01</v>
      </c>
      <c r="N4109" s="12" t="s">
        <v>135</v>
      </c>
      <c r="O4109" s="12" t="s">
        <v>136</v>
      </c>
      <c r="P4109" s="12" t="s">
        <v>137</v>
      </c>
      <c r="Q4109" s="13">
        <v>45656</v>
      </c>
      <c r="R4109" s="13">
        <v>45687</v>
      </c>
      <c r="S4109">
        <v>2024</v>
      </c>
      <c r="T4109" s="12" t="s">
        <v>4841</v>
      </c>
      <c r="U4109">
        <v>88</v>
      </c>
      <c r="V4109">
        <v>746.87909999999999</v>
      </c>
      <c r="W4109">
        <v>1200.6400000000001</v>
      </c>
      <c r="X4109">
        <v>2032.72</v>
      </c>
      <c r="Y4109">
        <v>1</v>
      </c>
      <c r="Z4109">
        <v>65725.36</v>
      </c>
      <c r="AA4109">
        <v>68958.720000000001</v>
      </c>
      <c r="AB4109" s="12" t="s">
        <v>3038</v>
      </c>
      <c r="AC4109">
        <v>746.87909999999999</v>
      </c>
      <c r="AD4109">
        <v>1</v>
      </c>
      <c r="AE4109">
        <v>1</v>
      </c>
      <c r="AF4109">
        <v>0</v>
      </c>
      <c r="AG4109">
        <v>65725.36</v>
      </c>
      <c r="AH4109">
        <v>88</v>
      </c>
      <c r="AI4109">
        <v>87</v>
      </c>
      <c r="AJ4109">
        <v>1</v>
      </c>
      <c r="AK4109">
        <v>1</v>
      </c>
      <c r="AL4109">
        <v>1</v>
      </c>
      <c r="AM4109">
        <v>98.86</v>
      </c>
      <c r="AN4109">
        <v>792.62900000000002</v>
      </c>
      <c r="AO4109">
        <v>746.88</v>
      </c>
      <c r="AP4109" s="13">
        <v>45697</v>
      </c>
      <c r="AQ4109">
        <v>10</v>
      </c>
      <c r="AR4109">
        <v>0</v>
      </c>
    </row>
    <row r="4110" spans="1:44" x14ac:dyDescent="0.35">
      <c r="A4110" s="12" t="s">
        <v>5036</v>
      </c>
      <c r="B4110" s="12" t="s">
        <v>140</v>
      </c>
      <c r="C4110" s="12" t="s">
        <v>141</v>
      </c>
      <c r="D4110" s="12" t="s">
        <v>103</v>
      </c>
      <c r="E4110" s="12" t="s">
        <v>142</v>
      </c>
      <c r="F4110">
        <v>1</v>
      </c>
      <c r="G4110">
        <v>7</v>
      </c>
      <c r="H4110">
        <v>1</v>
      </c>
      <c r="I4110" s="12" t="s">
        <v>143</v>
      </c>
      <c r="J4110" s="12" t="s">
        <v>144</v>
      </c>
      <c r="K4110" s="12" t="s">
        <v>133</v>
      </c>
      <c r="L4110" s="12" t="s">
        <v>96</v>
      </c>
      <c r="M4110">
        <v>5.43</v>
      </c>
      <c r="N4110" s="12" t="s">
        <v>107</v>
      </c>
      <c r="O4110" s="12" t="s">
        <v>108</v>
      </c>
      <c r="P4110" s="12" t="s">
        <v>109</v>
      </c>
      <c r="Q4110" s="13">
        <v>45656</v>
      </c>
      <c r="R4110" s="13">
        <v>45703</v>
      </c>
      <c r="S4110">
        <v>2024</v>
      </c>
      <c r="T4110" s="12" t="s">
        <v>4841</v>
      </c>
      <c r="U4110">
        <v>104</v>
      </c>
      <c r="V4110">
        <v>211.35810000000001</v>
      </c>
      <c r="W4110">
        <v>171.16</v>
      </c>
      <c r="X4110">
        <v>0</v>
      </c>
      <c r="Y4110">
        <v>0</v>
      </c>
      <c r="Z4110">
        <v>21981.24</v>
      </c>
      <c r="AA4110">
        <v>22152.400000000001</v>
      </c>
      <c r="AB4110" s="12" t="s">
        <v>2815</v>
      </c>
      <c r="AC4110">
        <v>211.35810000000001</v>
      </c>
      <c r="AD4110">
        <v>1</v>
      </c>
      <c r="AE4110">
        <v>1</v>
      </c>
      <c r="AF4110">
        <v>0</v>
      </c>
      <c r="AG4110">
        <v>21981.24</v>
      </c>
      <c r="AH4110">
        <v>104</v>
      </c>
      <c r="AI4110">
        <v>104</v>
      </c>
      <c r="AJ4110">
        <v>0</v>
      </c>
      <c r="AK4110">
        <v>1</v>
      </c>
      <c r="AL4110">
        <v>1</v>
      </c>
      <c r="AM4110">
        <v>100</v>
      </c>
      <c r="AN4110">
        <v>213.00389999999999</v>
      </c>
      <c r="AO4110">
        <v>0</v>
      </c>
      <c r="AP4110" s="13">
        <v>45703</v>
      </c>
      <c r="AQ4110">
        <v>0</v>
      </c>
      <c r="AR4110">
        <v>1</v>
      </c>
    </row>
    <row r="4111" spans="1:44" x14ac:dyDescent="0.35">
      <c r="A4111" s="12" t="s">
        <v>5037</v>
      </c>
      <c r="B4111" s="12" t="s">
        <v>1166</v>
      </c>
      <c r="C4111" s="12" t="s">
        <v>1167</v>
      </c>
      <c r="D4111" s="12" t="s">
        <v>175</v>
      </c>
      <c r="E4111" s="12" t="s">
        <v>65</v>
      </c>
      <c r="F4111">
        <v>3</v>
      </c>
      <c r="G4111">
        <v>5</v>
      </c>
      <c r="H4111">
        <v>0</v>
      </c>
      <c r="I4111" s="12" t="s">
        <v>143</v>
      </c>
      <c r="J4111" s="12" t="s">
        <v>144</v>
      </c>
      <c r="K4111" s="12" t="s">
        <v>133</v>
      </c>
      <c r="L4111" s="12" t="s">
        <v>96</v>
      </c>
      <c r="M4111">
        <v>5.43</v>
      </c>
      <c r="N4111" s="12" t="s">
        <v>145</v>
      </c>
      <c r="O4111" s="12" t="s">
        <v>146</v>
      </c>
      <c r="P4111" s="12" t="s">
        <v>109</v>
      </c>
      <c r="Q4111" s="13">
        <v>45656</v>
      </c>
      <c r="R4111" s="13">
        <v>45689</v>
      </c>
      <c r="S4111">
        <v>2024</v>
      </c>
      <c r="T4111" s="12" t="s">
        <v>4841</v>
      </c>
      <c r="U4111">
        <v>103</v>
      </c>
      <c r="V4111">
        <v>241.93989999999999</v>
      </c>
      <c r="W4111">
        <v>637.27</v>
      </c>
      <c r="X4111">
        <v>0</v>
      </c>
      <c r="Y4111">
        <v>0</v>
      </c>
      <c r="Z4111">
        <v>24919.81</v>
      </c>
      <c r="AA4111">
        <v>25557.08</v>
      </c>
      <c r="AB4111" s="12" t="s">
        <v>201</v>
      </c>
      <c r="AD4111">
        <v>0</v>
      </c>
      <c r="AE4111">
        <v>0</v>
      </c>
      <c r="AH4111">
        <v>103</v>
      </c>
      <c r="AI4111">
        <v>103</v>
      </c>
      <c r="AJ4111">
        <v>0</v>
      </c>
      <c r="AK4111">
        <v>1</v>
      </c>
      <c r="AL4111">
        <v>1</v>
      </c>
      <c r="AM4111">
        <v>100</v>
      </c>
      <c r="AN4111">
        <v>248.12700000000001</v>
      </c>
      <c r="AO4111">
        <v>0</v>
      </c>
      <c r="AP4111" s="13">
        <v>45686</v>
      </c>
      <c r="AQ4111">
        <v>-3</v>
      </c>
      <c r="AR4111">
        <v>1</v>
      </c>
    </row>
    <row r="4112" spans="1:44" x14ac:dyDescent="0.35">
      <c r="A4112" s="12" t="s">
        <v>5038</v>
      </c>
      <c r="B4112" s="12" t="s">
        <v>238</v>
      </c>
      <c r="C4112" s="12" t="s">
        <v>239</v>
      </c>
      <c r="D4112" s="12" t="s">
        <v>122</v>
      </c>
      <c r="E4112" s="12" t="s">
        <v>65</v>
      </c>
      <c r="F4112">
        <v>3</v>
      </c>
      <c r="G4112">
        <v>4</v>
      </c>
      <c r="H4112">
        <v>0</v>
      </c>
      <c r="I4112" s="12" t="s">
        <v>79</v>
      </c>
      <c r="J4112" s="12" t="s">
        <v>80</v>
      </c>
      <c r="K4112" s="12" t="s">
        <v>81</v>
      </c>
      <c r="L4112" s="12" t="s">
        <v>82</v>
      </c>
      <c r="M4112">
        <v>12.07</v>
      </c>
      <c r="N4112" s="12" t="s">
        <v>70</v>
      </c>
      <c r="O4112" s="12" t="s">
        <v>71</v>
      </c>
      <c r="P4112" s="12" t="s">
        <v>72</v>
      </c>
      <c r="Q4112" s="13">
        <v>45656</v>
      </c>
      <c r="R4112" s="13">
        <v>45694</v>
      </c>
      <c r="S4112">
        <v>2024</v>
      </c>
      <c r="T4112" s="12" t="s">
        <v>4841</v>
      </c>
      <c r="U4112">
        <v>1997</v>
      </c>
      <c r="V4112">
        <v>35.6462</v>
      </c>
      <c r="W4112">
        <v>1090.51</v>
      </c>
      <c r="X4112">
        <v>0</v>
      </c>
      <c r="Y4112">
        <v>0</v>
      </c>
      <c r="Z4112">
        <v>71185.460000000006</v>
      </c>
      <c r="AA4112">
        <v>72275.97</v>
      </c>
      <c r="AB4112" s="12" t="s">
        <v>2688</v>
      </c>
      <c r="AC4112">
        <v>35.6462</v>
      </c>
      <c r="AD4112">
        <v>1</v>
      </c>
      <c r="AE4112">
        <v>1</v>
      </c>
      <c r="AF4112">
        <v>0</v>
      </c>
      <c r="AG4112">
        <v>71185.460000000006</v>
      </c>
      <c r="AH4112">
        <v>1997</v>
      </c>
      <c r="AI4112">
        <v>1982</v>
      </c>
      <c r="AJ4112">
        <v>15</v>
      </c>
      <c r="AK4112">
        <v>1</v>
      </c>
      <c r="AL4112">
        <v>1</v>
      </c>
      <c r="AM4112">
        <v>99.25</v>
      </c>
      <c r="AN4112">
        <v>36.466200000000001</v>
      </c>
      <c r="AO4112">
        <v>534.69000000000005</v>
      </c>
      <c r="AP4112" s="13">
        <v>45694</v>
      </c>
      <c r="AQ4112">
        <v>0</v>
      </c>
      <c r="AR4112">
        <v>1</v>
      </c>
    </row>
    <row r="4113" spans="1:44" x14ac:dyDescent="0.35">
      <c r="A4113" s="12" t="s">
        <v>5039</v>
      </c>
      <c r="B4113" s="12" t="s">
        <v>694</v>
      </c>
      <c r="C4113" s="12" t="s">
        <v>695</v>
      </c>
      <c r="D4113" s="12" t="s">
        <v>103</v>
      </c>
      <c r="E4113" s="12" t="s">
        <v>65</v>
      </c>
      <c r="F4113">
        <v>2</v>
      </c>
      <c r="G4113">
        <v>3</v>
      </c>
      <c r="H4113">
        <v>0</v>
      </c>
      <c r="I4113" s="12" t="s">
        <v>263</v>
      </c>
      <c r="J4113" s="12" t="s">
        <v>264</v>
      </c>
      <c r="K4113" s="12" t="s">
        <v>125</v>
      </c>
      <c r="L4113" s="12" t="s">
        <v>82</v>
      </c>
      <c r="M4113">
        <v>10.210000000000001</v>
      </c>
      <c r="N4113" s="12" t="s">
        <v>145</v>
      </c>
      <c r="O4113" s="12" t="s">
        <v>146</v>
      </c>
      <c r="P4113" s="12" t="s">
        <v>109</v>
      </c>
      <c r="Q4113" s="13">
        <v>45657</v>
      </c>
      <c r="R4113" s="13">
        <v>45686</v>
      </c>
      <c r="S4113">
        <v>2024</v>
      </c>
      <c r="T4113" s="12" t="s">
        <v>4841</v>
      </c>
      <c r="U4113">
        <v>79</v>
      </c>
      <c r="V4113">
        <v>220.40969999999999</v>
      </c>
      <c r="W4113">
        <v>246.54</v>
      </c>
      <c r="X4113">
        <v>0</v>
      </c>
      <c r="Y4113">
        <v>0</v>
      </c>
      <c r="Z4113">
        <v>17412.37</v>
      </c>
      <c r="AA4113">
        <v>17658.91</v>
      </c>
      <c r="AB4113" s="12" t="s">
        <v>3377</v>
      </c>
      <c r="AC4113">
        <v>211.1463</v>
      </c>
      <c r="AD4113">
        <v>1</v>
      </c>
      <c r="AE4113">
        <v>1</v>
      </c>
      <c r="AF4113">
        <v>731.81</v>
      </c>
      <c r="AG4113">
        <v>16680.560000000001</v>
      </c>
      <c r="AH4113">
        <v>79</v>
      </c>
      <c r="AI4113">
        <v>78</v>
      </c>
      <c r="AJ4113">
        <v>1</v>
      </c>
      <c r="AK4113">
        <v>1</v>
      </c>
      <c r="AL4113">
        <v>1</v>
      </c>
      <c r="AM4113">
        <v>98.73</v>
      </c>
      <c r="AN4113">
        <v>226.39619999999999</v>
      </c>
      <c r="AO4113">
        <v>220.41</v>
      </c>
      <c r="AP4113" s="13">
        <v>45686</v>
      </c>
      <c r="AQ4113">
        <v>0</v>
      </c>
      <c r="AR4113">
        <v>1</v>
      </c>
    </row>
    <row r="4114" spans="1:44" x14ac:dyDescent="0.35">
      <c r="A4114" s="12" t="s">
        <v>5040</v>
      </c>
      <c r="B4114" s="12" t="s">
        <v>519</v>
      </c>
      <c r="C4114" s="12" t="s">
        <v>520</v>
      </c>
      <c r="D4114" s="12" t="s">
        <v>78</v>
      </c>
      <c r="E4114" s="12" t="s">
        <v>65</v>
      </c>
      <c r="F4114">
        <v>2</v>
      </c>
      <c r="G4114">
        <v>3</v>
      </c>
      <c r="H4114">
        <v>0</v>
      </c>
      <c r="I4114" s="12" t="s">
        <v>143</v>
      </c>
      <c r="J4114" s="12" t="s">
        <v>144</v>
      </c>
      <c r="K4114" s="12" t="s">
        <v>133</v>
      </c>
      <c r="L4114" s="12" t="s">
        <v>96</v>
      </c>
      <c r="M4114">
        <v>5.43</v>
      </c>
      <c r="N4114" s="12" t="s">
        <v>97</v>
      </c>
      <c r="O4114" s="12" t="s">
        <v>98</v>
      </c>
      <c r="P4114" s="12" t="s">
        <v>72</v>
      </c>
      <c r="Q4114" s="13">
        <v>45657</v>
      </c>
      <c r="R4114" s="13">
        <v>45687</v>
      </c>
      <c r="S4114">
        <v>2024</v>
      </c>
      <c r="T4114" s="12" t="s">
        <v>4841</v>
      </c>
      <c r="U4114">
        <v>177</v>
      </c>
      <c r="V4114">
        <v>30.1342</v>
      </c>
      <c r="W4114">
        <v>117.67</v>
      </c>
      <c r="X4114">
        <v>0</v>
      </c>
      <c r="Y4114">
        <v>0</v>
      </c>
      <c r="Z4114">
        <v>5333.75</v>
      </c>
      <c r="AA4114">
        <v>5451.42</v>
      </c>
      <c r="AB4114" s="12" t="s">
        <v>3130</v>
      </c>
      <c r="AC4114">
        <v>30.1342</v>
      </c>
      <c r="AD4114">
        <v>1</v>
      </c>
      <c r="AE4114">
        <v>1</v>
      </c>
      <c r="AF4114">
        <v>0</v>
      </c>
      <c r="AG4114">
        <v>5333.75</v>
      </c>
      <c r="AH4114">
        <v>177</v>
      </c>
      <c r="AI4114">
        <v>174</v>
      </c>
      <c r="AJ4114">
        <v>3</v>
      </c>
      <c r="AK4114">
        <v>1</v>
      </c>
      <c r="AL4114">
        <v>1</v>
      </c>
      <c r="AM4114">
        <v>98.31</v>
      </c>
      <c r="AN4114">
        <v>31.33</v>
      </c>
      <c r="AO4114">
        <v>90.4</v>
      </c>
      <c r="AP4114" s="13">
        <v>45685</v>
      </c>
      <c r="AQ4114">
        <v>-2</v>
      </c>
      <c r="AR4114">
        <v>1</v>
      </c>
    </row>
    <row r="4115" spans="1:44" x14ac:dyDescent="0.35">
      <c r="A4115" s="12" t="s">
        <v>5041</v>
      </c>
      <c r="B4115" s="12" t="s">
        <v>728</v>
      </c>
      <c r="C4115" s="12" t="s">
        <v>729</v>
      </c>
      <c r="D4115" s="12" t="s">
        <v>269</v>
      </c>
      <c r="E4115" s="12" t="s">
        <v>65</v>
      </c>
      <c r="F4115">
        <v>2</v>
      </c>
      <c r="G4115">
        <v>3</v>
      </c>
      <c r="H4115">
        <v>0</v>
      </c>
      <c r="I4115" s="12" t="s">
        <v>243</v>
      </c>
      <c r="J4115" s="12" t="s">
        <v>244</v>
      </c>
      <c r="K4115" s="12" t="s">
        <v>81</v>
      </c>
      <c r="L4115" s="12" t="s">
        <v>82</v>
      </c>
      <c r="M4115">
        <v>9.2200000000000006</v>
      </c>
      <c r="N4115" s="12" t="s">
        <v>159</v>
      </c>
      <c r="O4115" s="12" t="s">
        <v>160</v>
      </c>
      <c r="P4115" s="12" t="s">
        <v>137</v>
      </c>
      <c r="Q4115" s="13">
        <v>45657</v>
      </c>
      <c r="R4115" s="13">
        <v>45679</v>
      </c>
      <c r="S4115">
        <v>2024</v>
      </c>
      <c r="T4115" s="12" t="s">
        <v>4841</v>
      </c>
      <c r="U4115">
        <v>25</v>
      </c>
      <c r="V4115">
        <v>364.83319999999998</v>
      </c>
      <c r="W4115">
        <v>143.09</v>
      </c>
      <c r="X4115">
        <v>0</v>
      </c>
      <c r="Y4115">
        <v>0</v>
      </c>
      <c r="Z4115">
        <v>9120.83</v>
      </c>
      <c r="AA4115">
        <v>9263.92</v>
      </c>
      <c r="AB4115" s="12" t="s">
        <v>3540</v>
      </c>
      <c r="AC4115">
        <v>364.83319999999998</v>
      </c>
      <c r="AD4115">
        <v>1</v>
      </c>
      <c r="AE4115">
        <v>1</v>
      </c>
      <c r="AF4115">
        <v>0</v>
      </c>
      <c r="AG4115">
        <v>9120.83</v>
      </c>
      <c r="AH4115">
        <v>25</v>
      </c>
      <c r="AI4115">
        <v>25</v>
      </c>
      <c r="AJ4115">
        <v>0</v>
      </c>
      <c r="AK4115">
        <v>1</v>
      </c>
      <c r="AL4115">
        <v>1</v>
      </c>
      <c r="AM4115">
        <v>100</v>
      </c>
      <c r="AN4115">
        <v>370.55680000000001</v>
      </c>
      <c r="AO4115">
        <v>0</v>
      </c>
      <c r="AP4115" s="13">
        <v>45679</v>
      </c>
      <c r="AQ4115">
        <v>0</v>
      </c>
      <c r="AR4115">
        <v>1</v>
      </c>
    </row>
    <row r="4116" spans="1:44" x14ac:dyDescent="0.35">
      <c r="A4116" s="12" t="s">
        <v>5042</v>
      </c>
      <c r="B4116" s="12" t="s">
        <v>827</v>
      </c>
      <c r="C4116" s="12" t="s">
        <v>828</v>
      </c>
      <c r="D4116" s="12" t="s">
        <v>175</v>
      </c>
      <c r="E4116" s="12" t="s">
        <v>104</v>
      </c>
      <c r="F4116">
        <v>2</v>
      </c>
      <c r="G4116">
        <v>0</v>
      </c>
      <c r="H4116">
        <v>0</v>
      </c>
      <c r="I4116" s="12" t="s">
        <v>183</v>
      </c>
      <c r="J4116" s="12" t="s">
        <v>184</v>
      </c>
      <c r="K4116" s="12" t="s">
        <v>133</v>
      </c>
      <c r="L4116" s="12" t="s">
        <v>82</v>
      </c>
      <c r="M4116">
        <v>8.6199999999999992</v>
      </c>
      <c r="N4116" s="12" t="s">
        <v>145</v>
      </c>
      <c r="O4116" s="12" t="s">
        <v>146</v>
      </c>
      <c r="P4116" s="12" t="s">
        <v>109</v>
      </c>
      <c r="Q4116" s="13">
        <v>45657</v>
      </c>
      <c r="R4116" s="13">
        <v>45679</v>
      </c>
      <c r="S4116">
        <v>2024</v>
      </c>
      <c r="T4116" s="12" t="s">
        <v>4841</v>
      </c>
      <c r="U4116">
        <v>88</v>
      </c>
      <c r="V4116">
        <v>101.62560000000001</v>
      </c>
      <c r="W4116">
        <v>203.44</v>
      </c>
      <c r="X4116">
        <v>0</v>
      </c>
      <c r="Y4116">
        <v>0</v>
      </c>
      <c r="Z4116">
        <v>8943.0499999999993</v>
      </c>
      <c r="AA4116">
        <v>9146.49</v>
      </c>
      <c r="AB4116" s="12" t="s">
        <v>3394</v>
      </c>
      <c r="AC4116">
        <v>101.62560000000001</v>
      </c>
      <c r="AD4116">
        <v>1</v>
      </c>
      <c r="AE4116">
        <v>1</v>
      </c>
      <c r="AF4116">
        <v>0</v>
      </c>
      <c r="AG4116">
        <v>8943.0499999999993</v>
      </c>
      <c r="AH4116">
        <v>88</v>
      </c>
      <c r="AI4116">
        <v>88</v>
      </c>
      <c r="AJ4116">
        <v>0</v>
      </c>
      <c r="AK4116">
        <v>1</v>
      </c>
      <c r="AL4116">
        <v>1</v>
      </c>
      <c r="AM4116">
        <v>100</v>
      </c>
      <c r="AN4116">
        <v>103.9374</v>
      </c>
      <c r="AO4116">
        <v>0</v>
      </c>
      <c r="AP4116" s="13">
        <v>45683</v>
      </c>
      <c r="AQ4116">
        <v>4</v>
      </c>
      <c r="AR4116">
        <v>0</v>
      </c>
    </row>
    <row r="4117" spans="1:44" x14ac:dyDescent="0.35">
      <c r="A4117" s="12" t="s">
        <v>5043</v>
      </c>
      <c r="B4117" s="12" t="s">
        <v>855</v>
      </c>
      <c r="C4117" s="12" t="s">
        <v>856</v>
      </c>
      <c r="D4117" s="12" t="s">
        <v>269</v>
      </c>
      <c r="E4117" s="12" t="s">
        <v>65</v>
      </c>
      <c r="F4117">
        <v>3</v>
      </c>
      <c r="G4117">
        <v>5</v>
      </c>
      <c r="H4117">
        <v>0</v>
      </c>
      <c r="I4117" s="12" t="s">
        <v>227</v>
      </c>
      <c r="J4117" s="12" t="s">
        <v>228</v>
      </c>
      <c r="K4117" s="12" t="s">
        <v>89</v>
      </c>
      <c r="L4117" s="12" t="s">
        <v>96</v>
      </c>
      <c r="M4117">
        <v>9.15</v>
      </c>
      <c r="N4117" s="12" t="s">
        <v>159</v>
      </c>
      <c r="O4117" s="12" t="s">
        <v>160</v>
      </c>
      <c r="P4117" s="12" t="s">
        <v>137</v>
      </c>
      <c r="Q4117" s="13">
        <v>45657</v>
      </c>
      <c r="R4117" s="13">
        <v>45691</v>
      </c>
      <c r="S4117">
        <v>2024</v>
      </c>
      <c r="T4117" s="12" t="s">
        <v>4841</v>
      </c>
      <c r="U4117">
        <v>115</v>
      </c>
      <c r="V4117">
        <v>532.7577</v>
      </c>
      <c r="W4117">
        <v>1155.42</v>
      </c>
      <c r="X4117">
        <v>0</v>
      </c>
      <c r="Y4117">
        <v>0</v>
      </c>
      <c r="Z4117">
        <v>61267.14</v>
      </c>
      <c r="AA4117">
        <v>62422.559999999998</v>
      </c>
      <c r="AB4117" s="12" t="s">
        <v>201</v>
      </c>
      <c r="AD4117">
        <v>0</v>
      </c>
      <c r="AE4117">
        <v>0</v>
      </c>
      <c r="AH4117">
        <v>115</v>
      </c>
      <c r="AI4117">
        <v>115</v>
      </c>
      <c r="AJ4117">
        <v>0</v>
      </c>
      <c r="AK4117">
        <v>1</v>
      </c>
      <c r="AL4117">
        <v>1</v>
      </c>
      <c r="AM4117">
        <v>100</v>
      </c>
      <c r="AN4117">
        <v>542.8048</v>
      </c>
      <c r="AO4117">
        <v>0</v>
      </c>
      <c r="AP4117" s="13">
        <v>45689</v>
      </c>
      <c r="AQ4117">
        <v>-2</v>
      </c>
      <c r="AR4117">
        <v>1</v>
      </c>
    </row>
    <row r="4118" spans="1:44" x14ac:dyDescent="0.35">
      <c r="A4118" s="12" t="s">
        <v>5044</v>
      </c>
      <c r="B4118" s="12" t="s">
        <v>1026</v>
      </c>
      <c r="C4118" s="12" t="s">
        <v>1027</v>
      </c>
      <c r="D4118" s="12" t="s">
        <v>122</v>
      </c>
      <c r="E4118" s="12" t="s">
        <v>104</v>
      </c>
      <c r="F4118">
        <v>3</v>
      </c>
      <c r="G4118">
        <v>1</v>
      </c>
      <c r="H4118">
        <v>0</v>
      </c>
      <c r="I4118" s="12" t="s">
        <v>183</v>
      </c>
      <c r="J4118" s="12" t="s">
        <v>184</v>
      </c>
      <c r="K4118" s="12" t="s">
        <v>133</v>
      </c>
      <c r="L4118" s="12" t="s">
        <v>82</v>
      </c>
      <c r="M4118">
        <v>8.6199999999999992</v>
      </c>
      <c r="N4118" s="12" t="s">
        <v>70</v>
      </c>
      <c r="O4118" s="12" t="s">
        <v>71</v>
      </c>
      <c r="P4118" s="12" t="s">
        <v>72</v>
      </c>
      <c r="Q4118" s="13">
        <v>45657</v>
      </c>
      <c r="R4118" s="13">
        <v>45674</v>
      </c>
      <c r="S4118">
        <v>2024</v>
      </c>
      <c r="T4118" s="12" t="s">
        <v>4841</v>
      </c>
      <c r="U4118">
        <v>708</v>
      </c>
      <c r="V4118">
        <v>40.107799999999997</v>
      </c>
      <c r="W4118">
        <v>509.29</v>
      </c>
      <c r="X4118">
        <v>0</v>
      </c>
      <c r="Y4118">
        <v>0</v>
      </c>
      <c r="Z4118">
        <v>28396.32</v>
      </c>
      <c r="AA4118">
        <v>28905.61</v>
      </c>
      <c r="AB4118" s="12" t="s">
        <v>3447</v>
      </c>
      <c r="AC4118">
        <v>41.511600000000001</v>
      </c>
      <c r="AD4118">
        <v>2</v>
      </c>
      <c r="AE4118">
        <v>1</v>
      </c>
      <c r="AF4118">
        <v>-993.89</v>
      </c>
      <c r="AG4118">
        <v>29390.21</v>
      </c>
      <c r="AH4118">
        <v>708</v>
      </c>
      <c r="AI4118">
        <v>703</v>
      </c>
      <c r="AJ4118">
        <v>5</v>
      </c>
      <c r="AK4118">
        <v>1</v>
      </c>
      <c r="AL4118">
        <v>1</v>
      </c>
      <c r="AM4118">
        <v>99.29</v>
      </c>
      <c r="AN4118">
        <v>41.1175</v>
      </c>
      <c r="AO4118">
        <v>200.54</v>
      </c>
      <c r="AP4118" s="13">
        <v>45678</v>
      </c>
      <c r="AQ4118">
        <v>4</v>
      </c>
      <c r="AR4118">
        <v>0</v>
      </c>
    </row>
    <row r="4119" spans="1:44" x14ac:dyDescent="0.35">
      <c r="A4119" s="12" t="s">
        <v>5045</v>
      </c>
      <c r="B4119" s="12" t="s">
        <v>482</v>
      </c>
      <c r="C4119" s="12" t="s">
        <v>483</v>
      </c>
      <c r="D4119" s="12" t="s">
        <v>78</v>
      </c>
      <c r="E4119" s="12" t="s">
        <v>142</v>
      </c>
      <c r="F4119">
        <v>2</v>
      </c>
      <c r="G4119">
        <v>9</v>
      </c>
      <c r="H4119">
        <v>0</v>
      </c>
      <c r="I4119" s="12" t="s">
        <v>183</v>
      </c>
      <c r="J4119" s="12" t="s">
        <v>184</v>
      </c>
      <c r="K4119" s="12" t="s">
        <v>133</v>
      </c>
      <c r="L4119" s="12" t="s">
        <v>82</v>
      </c>
      <c r="M4119">
        <v>8.6199999999999992</v>
      </c>
      <c r="N4119" s="12" t="s">
        <v>97</v>
      </c>
      <c r="O4119" s="12" t="s">
        <v>98</v>
      </c>
      <c r="P4119" s="12" t="s">
        <v>72</v>
      </c>
      <c r="Q4119" s="13">
        <v>45657</v>
      </c>
      <c r="R4119" s="13">
        <v>45704</v>
      </c>
      <c r="S4119">
        <v>2024</v>
      </c>
      <c r="T4119" s="12" t="s">
        <v>4841</v>
      </c>
      <c r="U4119">
        <v>223</v>
      </c>
      <c r="V4119">
        <v>48.003</v>
      </c>
      <c r="W4119">
        <v>97.07</v>
      </c>
      <c r="X4119">
        <v>0</v>
      </c>
      <c r="Y4119">
        <v>0</v>
      </c>
      <c r="Z4119">
        <v>10704.67</v>
      </c>
      <c r="AA4119">
        <v>10801.74</v>
      </c>
      <c r="AB4119" s="12" t="s">
        <v>201</v>
      </c>
      <c r="AD4119">
        <v>0</v>
      </c>
      <c r="AE4119">
        <v>0</v>
      </c>
      <c r="AH4119">
        <v>223</v>
      </c>
      <c r="AI4119">
        <v>219</v>
      </c>
      <c r="AJ4119">
        <v>4</v>
      </c>
      <c r="AK4119">
        <v>1</v>
      </c>
      <c r="AL4119">
        <v>1</v>
      </c>
      <c r="AM4119">
        <v>98.21</v>
      </c>
      <c r="AN4119">
        <v>49.323</v>
      </c>
      <c r="AO4119">
        <v>192.01</v>
      </c>
      <c r="AP4119" s="13">
        <v>45701</v>
      </c>
      <c r="AQ4119">
        <v>-3</v>
      </c>
      <c r="AR4119">
        <v>1</v>
      </c>
    </row>
    <row r="4120" spans="1:44" x14ac:dyDescent="0.35">
      <c r="A4120" s="12" t="s">
        <v>5046</v>
      </c>
      <c r="B4120" s="12" t="s">
        <v>565</v>
      </c>
      <c r="C4120" s="12" t="s">
        <v>566</v>
      </c>
      <c r="D4120" s="12" t="s">
        <v>122</v>
      </c>
      <c r="E4120" s="12" t="s">
        <v>104</v>
      </c>
      <c r="F4120">
        <v>3</v>
      </c>
      <c r="G4120">
        <v>1</v>
      </c>
      <c r="H4120">
        <v>0</v>
      </c>
      <c r="I4120" s="12" t="s">
        <v>131</v>
      </c>
      <c r="J4120" s="12" t="s">
        <v>132</v>
      </c>
      <c r="K4120" s="12" t="s">
        <v>133</v>
      </c>
      <c r="L4120" s="12" t="s">
        <v>134</v>
      </c>
      <c r="M4120">
        <v>1.51</v>
      </c>
      <c r="N4120" s="12" t="s">
        <v>97</v>
      </c>
      <c r="O4120" s="12" t="s">
        <v>98</v>
      </c>
      <c r="P4120" s="12" t="s">
        <v>72</v>
      </c>
      <c r="Q4120" s="13">
        <v>45658</v>
      </c>
      <c r="R4120" s="13">
        <v>45678</v>
      </c>
      <c r="S4120">
        <v>2025</v>
      </c>
      <c r="T4120" s="12" t="s">
        <v>5047</v>
      </c>
      <c r="U4120">
        <v>1056</v>
      </c>
      <c r="V4120">
        <v>35.698500000000003</v>
      </c>
      <c r="W4120">
        <v>371.02</v>
      </c>
      <c r="X4120">
        <v>0</v>
      </c>
      <c r="Y4120">
        <v>0</v>
      </c>
      <c r="Z4120">
        <v>37697.620000000003</v>
      </c>
      <c r="AA4120">
        <v>38068.639999999999</v>
      </c>
      <c r="AB4120" s="12" t="s">
        <v>4164</v>
      </c>
      <c r="AC4120">
        <v>35.698500000000003</v>
      </c>
      <c r="AD4120">
        <v>1</v>
      </c>
      <c r="AE4120">
        <v>1</v>
      </c>
      <c r="AF4120">
        <v>0</v>
      </c>
      <c r="AG4120">
        <v>37697.620000000003</v>
      </c>
      <c r="AH4120">
        <v>1056</v>
      </c>
      <c r="AI4120">
        <v>1048</v>
      </c>
      <c r="AJ4120">
        <v>8</v>
      </c>
      <c r="AK4120">
        <v>1</v>
      </c>
      <c r="AL4120">
        <v>1</v>
      </c>
      <c r="AM4120">
        <v>99.24</v>
      </c>
      <c r="AN4120">
        <v>36.325000000000003</v>
      </c>
      <c r="AO4120">
        <v>285.58999999999997</v>
      </c>
      <c r="AP4120" s="13">
        <v>45678</v>
      </c>
      <c r="AQ4120">
        <v>0</v>
      </c>
      <c r="AR4120">
        <v>1</v>
      </c>
    </row>
    <row r="4121" spans="1:44" x14ac:dyDescent="0.35">
      <c r="A4121" s="12" t="s">
        <v>5048</v>
      </c>
      <c r="B4121" s="12" t="s">
        <v>661</v>
      </c>
      <c r="C4121" s="12" t="s">
        <v>662</v>
      </c>
      <c r="D4121" s="12" t="s">
        <v>175</v>
      </c>
      <c r="E4121" s="12" t="s">
        <v>104</v>
      </c>
      <c r="F4121">
        <v>1</v>
      </c>
      <c r="G4121">
        <v>0</v>
      </c>
      <c r="H4121">
        <v>1</v>
      </c>
      <c r="I4121" s="12" t="s">
        <v>183</v>
      </c>
      <c r="J4121" s="12" t="s">
        <v>184</v>
      </c>
      <c r="K4121" s="12" t="s">
        <v>133</v>
      </c>
      <c r="L4121" s="12" t="s">
        <v>82</v>
      </c>
      <c r="M4121">
        <v>8.6199999999999992</v>
      </c>
      <c r="N4121" s="12" t="s">
        <v>107</v>
      </c>
      <c r="O4121" s="12" t="s">
        <v>108</v>
      </c>
      <c r="P4121" s="12" t="s">
        <v>109</v>
      </c>
      <c r="Q4121" s="13">
        <v>45658</v>
      </c>
      <c r="R4121" s="13">
        <v>45679</v>
      </c>
      <c r="S4121">
        <v>2025</v>
      </c>
      <c r="T4121" s="12" t="s">
        <v>5047</v>
      </c>
      <c r="U4121">
        <v>82</v>
      </c>
      <c r="V4121">
        <v>180.0376</v>
      </c>
      <c r="W4121">
        <v>306.56</v>
      </c>
      <c r="X4121">
        <v>0</v>
      </c>
      <c r="Y4121">
        <v>0</v>
      </c>
      <c r="Z4121">
        <v>14763.08</v>
      </c>
      <c r="AA4121">
        <v>15069.64</v>
      </c>
      <c r="AB4121" s="12" t="s">
        <v>2851</v>
      </c>
      <c r="AC4121">
        <v>180.0376</v>
      </c>
      <c r="AD4121">
        <v>1</v>
      </c>
      <c r="AE4121">
        <v>1</v>
      </c>
      <c r="AF4121">
        <v>0</v>
      </c>
      <c r="AG4121">
        <v>14763.08</v>
      </c>
      <c r="AH4121">
        <v>82</v>
      </c>
      <c r="AI4121">
        <v>81</v>
      </c>
      <c r="AJ4121">
        <v>1</v>
      </c>
      <c r="AK4121">
        <v>1</v>
      </c>
      <c r="AL4121">
        <v>1</v>
      </c>
      <c r="AM4121">
        <v>98.78</v>
      </c>
      <c r="AN4121">
        <v>186.04499999999999</v>
      </c>
      <c r="AO4121">
        <v>180.04</v>
      </c>
      <c r="AP4121" s="13">
        <v>45684</v>
      </c>
      <c r="AQ4121">
        <v>5</v>
      </c>
      <c r="AR4121">
        <v>0</v>
      </c>
    </row>
    <row r="4122" spans="1:44" x14ac:dyDescent="0.35">
      <c r="A4122" s="12" t="s">
        <v>5049</v>
      </c>
      <c r="B4122" s="12" t="s">
        <v>855</v>
      </c>
      <c r="C4122" s="12" t="s">
        <v>856</v>
      </c>
      <c r="D4122" s="12" t="s">
        <v>269</v>
      </c>
      <c r="E4122" s="12" t="s">
        <v>65</v>
      </c>
      <c r="F4122">
        <v>3</v>
      </c>
      <c r="G4122">
        <v>5</v>
      </c>
      <c r="H4122">
        <v>0</v>
      </c>
      <c r="I4122" s="12" t="s">
        <v>94</v>
      </c>
      <c r="J4122" s="12" t="s">
        <v>95</v>
      </c>
      <c r="K4122" s="12" t="s">
        <v>81</v>
      </c>
      <c r="L4122" s="12" t="s">
        <v>96</v>
      </c>
      <c r="M4122">
        <v>4.8099999999999996</v>
      </c>
      <c r="N4122" s="12" t="s">
        <v>135</v>
      </c>
      <c r="O4122" s="12" t="s">
        <v>136</v>
      </c>
      <c r="P4122" s="12" t="s">
        <v>137</v>
      </c>
      <c r="Q4122" s="13">
        <v>45658</v>
      </c>
      <c r="R4122" s="13">
        <v>45696</v>
      </c>
      <c r="S4122">
        <v>2025</v>
      </c>
      <c r="T4122" s="12" t="s">
        <v>5047</v>
      </c>
      <c r="U4122">
        <v>144</v>
      </c>
      <c r="V4122">
        <v>451.96609999999998</v>
      </c>
      <c r="W4122">
        <v>938.13</v>
      </c>
      <c r="X4122">
        <v>0</v>
      </c>
      <c r="Y4122">
        <v>0</v>
      </c>
      <c r="Z4122">
        <v>65083.12</v>
      </c>
      <c r="AA4122">
        <v>66021.25</v>
      </c>
      <c r="AB4122" s="12" t="s">
        <v>3699</v>
      </c>
      <c r="AC4122">
        <v>479.86860000000001</v>
      </c>
      <c r="AD4122">
        <v>1</v>
      </c>
      <c r="AE4122">
        <v>1</v>
      </c>
      <c r="AF4122">
        <v>-4017.96</v>
      </c>
      <c r="AG4122">
        <v>69101.08</v>
      </c>
      <c r="AH4122">
        <v>144</v>
      </c>
      <c r="AI4122">
        <v>143</v>
      </c>
      <c r="AJ4122">
        <v>1</v>
      </c>
      <c r="AK4122">
        <v>1</v>
      </c>
      <c r="AL4122">
        <v>1</v>
      </c>
      <c r="AM4122">
        <v>99.31</v>
      </c>
      <c r="AN4122">
        <v>461.68709999999999</v>
      </c>
      <c r="AO4122">
        <v>451.97</v>
      </c>
      <c r="AP4122" s="13">
        <v>45693</v>
      </c>
      <c r="AQ4122">
        <v>-3</v>
      </c>
      <c r="AR4122">
        <v>1</v>
      </c>
    </row>
    <row r="4123" spans="1:44" x14ac:dyDescent="0.35">
      <c r="A4123" s="12" t="s">
        <v>5050</v>
      </c>
      <c r="B4123" s="12" t="s">
        <v>1026</v>
      </c>
      <c r="C4123" s="12" t="s">
        <v>1027</v>
      </c>
      <c r="D4123" s="12" t="s">
        <v>122</v>
      </c>
      <c r="E4123" s="12" t="s">
        <v>104</v>
      </c>
      <c r="F4123">
        <v>3</v>
      </c>
      <c r="G4123">
        <v>1</v>
      </c>
      <c r="H4123">
        <v>0</v>
      </c>
      <c r="I4123" s="12" t="s">
        <v>183</v>
      </c>
      <c r="J4123" s="12" t="s">
        <v>184</v>
      </c>
      <c r="K4123" s="12" t="s">
        <v>133</v>
      </c>
      <c r="L4123" s="12" t="s">
        <v>82</v>
      </c>
      <c r="M4123">
        <v>8.6199999999999992</v>
      </c>
      <c r="N4123" s="12" t="s">
        <v>70</v>
      </c>
      <c r="O4123" s="12" t="s">
        <v>71</v>
      </c>
      <c r="P4123" s="12" t="s">
        <v>72</v>
      </c>
      <c r="Q4123" s="13">
        <v>45658</v>
      </c>
      <c r="R4123" s="13">
        <v>45676</v>
      </c>
      <c r="S4123">
        <v>2025</v>
      </c>
      <c r="T4123" s="12" t="s">
        <v>5047</v>
      </c>
      <c r="U4123">
        <v>828</v>
      </c>
      <c r="V4123">
        <v>40.107799999999997</v>
      </c>
      <c r="W4123">
        <v>568.52</v>
      </c>
      <c r="X4123">
        <v>0</v>
      </c>
      <c r="Y4123">
        <v>0</v>
      </c>
      <c r="Z4123">
        <v>33209.26</v>
      </c>
      <c r="AA4123">
        <v>33777.78</v>
      </c>
      <c r="AB4123" s="12" t="s">
        <v>3447</v>
      </c>
      <c r="AC4123">
        <v>41.511600000000001</v>
      </c>
      <c r="AD4123">
        <v>2</v>
      </c>
      <c r="AE4123">
        <v>1</v>
      </c>
      <c r="AF4123">
        <v>-1162.3499999999999</v>
      </c>
      <c r="AG4123">
        <v>34371.599999999999</v>
      </c>
      <c r="AH4123">
        <v>828</v>
      </c>
      <c r="AI4123">
        <v>825</v>
      </c>
      <c r="AJ4123">
        <v>3</v>
      </c>
      <c r="AK4123">
        <v>1</v>
      </c>
      <c r="AL4123">
        <v>1</v>
      </c>
      <c r="AM4123">
        <v>99.64</v>
      </c>
      <c r="AN4123">
        <v>40.942799999999998</v>
      </c>
      <c r="AO4123">
        <v>120.32</v>
      </c>
      <c r="AP4123" s="13">
        <v>45686</v>
      </c>
      <c r="AQ4123">
        <v>10</v>
      </c>
      <c r="AR4123">
        <v>0</v>
      </c>
    </row>
    <row r="4124" spans="1:44" x14ac:dyDescent="0.35">
      <c r="A4124" s="12" t="s">
        <v>5051</v>
      </c>
      <c r="B4124" s="12" t="s">
        <v>787</v>
      </c>
      <c r="C4124" s="12" t="s">
        <v>788</v>
      </c>
      <c r="D4124" s="12" t="s">
        <v>269</v>
      </c>
      <c r="E4124" s="12" t="s">
        <v>65</v>
      </c>
      <c r="F4124">
        <v>2</v>
      </c>
      <c r="G4124">
        <v>3</v>
      </c>
      <c r="H4124">
        <v>0</v>
      </c>
      <c r="I4124" s="12" t="s">
        <v>263</v>
      </c>
      <c r="J4124" s="12" t="s">
        <v>264</v>
      </c>
      <c r="K4124" s="12" t="s">
        <v>125</v>
      </c>
      <c r="L4124" s="12" t="s">
        <v>82</v>
      </c>
      <c r="M4124">
        <v>10.210000000000001</v>
      </c>
      <c r="N4124" s="12" t="s">
        <v>159</v>
      </c>
      <c r="O4124" s="12" t="s">
        <v>160</v>
      </c>
      <c r="P4124" s="12" t="s">
        <v>137</v>
      </c>
      <c r="Q4124" s="13">
        <v>45658</v>
      </c>
      <c r="R4124" s="13">
        <v>45682</v>
      </c>
      <c r="S4124">
        <v>2025</v>
      </c>
      <c r="T4124" s="12" t="s">
        <v>5047</v>
      </c>
      <c r="U4124">
        <v>36</v>
      </c>
      <c r="V4124">
        <v>322.4162</v>
      </c>
      <c r="W4124">
        <v>86.15</v>
      </c>
      <c r="X4124">
        <v>0</v>
      </c>
      <c r="Y4124">
        <v>0</v>
      </c>
      <c r="Z4124">
        <v>11606.98</v>
      </c>
      <c r="AA4124">
        <v>11693.13</v>
      </c>
      <c r="AB4124" s="12" t="s">
        <v>3502</v>
      </c>
      <c r="AC4124">
        <v>322.4162</v>
      </c>
      <c r="AD4124">
        <v>1</v>
      </c>
      <c r="AE4124">
        <v>1</v>
      </c>
      <c r="AF4124">
        <v>0</v>
      </c>
      <c r="AG4124">
        <v>11606.98</v>
      </c>
      <c r="AH4124">
        <v>36</v>
      </c>
      <c r="AI4124">
        <v>36</v>
      </c>
      <c r="AJ4124">
        <v>0</v>
      </c>
      <c r="AK4124">
        <v>1</v>
      </c>
      <c r="AL4124">
        <v>1</v>
      </c>
      <c r="AM4124">
        <v>100</v>
      </c>
      <c r="AN4124">
        <v>324.80930000000001</v>
      </c>
      <c r="AO4124">
        <v>0</v>
      </c>
      <c r="AP4124" s="13">
        <v>45682</v>
      </c>
      <c r="AQ4124">
        <v>0</v>
      </c>
      <c r="AR4124">
        <v>1</v>
      </c>
    </row>
    <row r="4125" spans="1:44" x14ac:dyDescent="0.35">
      <c r="A4125" s="12" t="s">
        <v>5052</v>
      </c>
      <c r="B4125" s="12" t="s">
        <v>437</v>
      </c>
      <c r="C4125" s="12" t="s">
        <v>438</v>
      </c>
      <c r="D4125" s="12" t="s">
        <v>269</v>
      </c>
      <c r="E4125" s="12" t="s">
        <v>65</v>
      </c>
      <c r="F4125">
        <v>2</v>
      </c>
      <c r="G4125">
        <v>4</v>
      </c>
      <c r="H4125">
        <v>0</v>
      </c>
      <c r="I4125" s="12" t="s">
        <v>115</v>
      </c>
      <c r="J4125" s="12" t="s">
        <v>116</v>
      </c>
      <c r="K4125" s="12" t="s">
        <v>117</v>
      </c>
      <c r="L4125" s="12" t="s">
        <v>82</v>
      </c>
      <c r="M4125">
        <v>17.170000000000002</v>
      </c>
      <c r="N4125" s="12" t="s">
        <v>135</v>
      </c>
      <c r="O4125" s="12" t="s">
        <v>136</v>
      </c>
      <c r="P4125" s="12" t="s">
        <v>137</v>
      </c>
      <c r="Q4125" s="13">
        <v>45659</v>
      </c>
      <c r="R4125" s="13">
        <v>45689</v>
      </c>
      <c r="S4125">
        <v>2025</v>
      </c>
      <c r="T4125" s="12" t="s">
        <v>5047</v>
      </c>
      <c r="U4125">
        <v>87</v>
      </c>
      <c r="V4125">
        <v>440.05549999999999</v>
      </c>
      <c r="W4125">
        <v>276.8</v>
      </c>
      <c r="X4125">
        <v>0</v>
      </c>
      <c r="Y4125">
        <v>0</v>
      </c>
      <c r="Z4125">
        <v>38284.83</v>
      </c>
      <c r="AA4125">
        <v>38561.629999999997</v>
      </c>
      <c r="AB4125" s="12" t="s">
        <v>2670</v>
      </c>
      <c r="AC4125">
        <v>440.05549999999999</v>
      </c>
      <c r="AD4125">
        <v>1</v>
      </c>
      <c r="AE4125">
        <v>1</v>
      </c>
      <c r="AF4125">
        <v>0</v>
      </c>
      <c r="AG4125">
        <v>38284.83</v>
      </c>
      <c r="AH4125">
        <v>87</v>
      </c>
      <c r="AI4125">
        <v>86</v>
      </c>
      <c r="AJ4125">
        <v>1</v>
      </c>
      <c r="AK4125">
        <v>1</v>
      </c>
      <c r="AL4125">
        <v>1</v>
      </c>
      <c r="AM4125">
        <v>98.85</v>
      </c>
      <c r="AN4125">
        <v>448.39100000000002</v>
      </c>
      <c r="AO4125">
        <v>440.06</v>
      </c>
      <c r="AP4125" s="13">
        <v>45697</v>
      </c>
      <c r="AQ4125">
        <v>8</v>
      </c>
      <c r="AR4125">
        <v>0</v>
      </c>
    </row>
    <row r="4126" spans="1:44" x14ac:dyDescent="0.35">
      <c r="A4126" s="12" t="s">
        <v>5053</v>
      </c>
      <c r="B4126" s="12" t="s">
        <v>437</v>
      </c>
      <c r="C4126" s="12" t="s">
        <v>438</v>
      </c>
      <c r="D4126" s="12" t="s">
        <v>269</v>
      </c>
      <c r="E4126" s="12" t="s">
        <v>65</v>
      </c>
      <c r="F4126">
        <v>2</v>
      </c>
      <c r="G4126">
        <v>4</v>
      </c>
      <c r="H4126">
        <v>0</v>
      </c>
      <c r="I4126" s="12" t="s">
        <v>115</v>
      </c>
      <c r="J4126" s="12" t="s">
        <v>116</v>
      </c>
      <c r="K4126" s="12" t="s">
        <v>117</v>
      </c>
      <c r="L4126" s="12" t="s">
        <v>82</v>
      </c>
      <c r="M4126">
        <v>17.170000000000002</v>
      </c>
      <c r="N4126" s="12" t="s">
        <v>135</v>
      </c>
      <c r="O4126" s="12" t="s">
        <v>136</v>
      </c>
      <c r="P4126" s="12" t="s">
        <v>137</v>
      </c>
      <c r="Q4126" s="13">
        <v>45659</v>
      </c>
      <c r="R4126" s="13">
        <v>45686</v>
      </c>
      <c r="S4126">
        <v>2025</v>
      </c>
      <c r="T4126" s="12" t="s">
        <v>5047</v>
      </c>
      <c r="U4126">
        <v>61</v>
      </c>
      <c r="V4126">
        <v>440.05549999999999</v>
      </c>
      <c r="W4126">
        <v>203.84</v>
      </c>
      <c r="X4126">
        <v>0</v>
      </c>
      <c r="Y4126">
        <v>0</v>
      </c>
      <c r="Z4126">
        <v>26843.39</v>
      </c>
      <c r="AA4126">
        <v>27047.23</v>
      </c>
      <c r="AB4126" s="12" t="s">
        <v>2670</v>
      </c>
      <c r="AC4126">
        <v>440.05549999999999</v>
      </c>
      <c r="AD4126">
        <v>1</v>
      </c>
      <c r="AE4126">
        <v>1</v>
      </c>
      <c r="AF4126">
        <v>0</v>
      </c>
      <c r="AG4126">
        <v>26843.39</v>
      </c>
      <c r="AH4126">
        <v>61</v>
      </c>
      <c r="AI4126">
        <v>61</v>
      </c>
      <c r="AJ4126">
        <v>0</v>
      </c>
      <c r="AK4126">
        <v>1</v>
      </c>
      <c r="AL4126">
        <v>1</v>
      </c>
      <c r="AM4126">
        <v>100</v>
      </c>
      <c r="AN4126">
        <v>443.39710000000002</v>
      </c>
      <c r="AO4126">
        <v>0</v>
      </c>
      <c r="AP4126" s="13">
        <v>45695</v>
      </c>
      <c r="AQ4126">
        <v>9</v>
      </c>
      <c r="AR4126">
        <v>0</v>
      </c>
    </row>
    <row r="4127" spans="1:44" x14ac:dyDescent="0.35">
      <c r="A4127" s="12" t="s">
        <v>5054</v>
      </c>
      <c r="B4127" s="12" t="s">
        <v>843</v>
      </c>
      <c r="C4127" s="12" t="s">
        <v>844</v>
      </c>
      <c r="D4127" s="12" t="s">
        <v>175</v>
      </c>
      <c r="E4127" s="12" t="s">
        <v>65</v>
      </c>
      <c r="F4127">
        <v>3</v>
      </c>
      <c r="G4127">
        <v>5</v>
      </c>
      <c r="H4127">
        <v>0</v>
      </c>
      <c r="I4127" s="12" t="s">
        <v>676</v>
      </c>
      <c r="J4127" s="12" t="s">
        <v>677</v>
      </c>
      <c r="K4127" s="12" t="s">
        <v>68</v>
      </c>
      <c r="L4127" s="12" t="s">
        <v>96</v>
      </c>
      <c r="M4127">
        <v>3.57</v>
      </c>
      <c r="N4127" s="12" t="s">
        <v>145</v>
      </c>
      <c r="O4127" s="12" t="s">
        <v>146</v>
      </c>
      <c r="P4127" s="12" t="s">
        <v>109</v>
      </c>
      <c r="Q4127" s="13">
        <v>45659</v>
      </c>
      <c r="R4127" s="13">
        <v>45690</v>
      </c>
      <c r="S4127">
        <v>2025</v>
      </c>
      <c r="T4127" s="12" t="s">
        <v>5047</v>
      </c>
      <c r="U4127">
        <v>92</v>
      </c>
      <c r="V4127">
        <v>249.13399999999999</v>
      </c>
      <c r="W4127">
        <v>221.01</v>
      </c>
      <c r="X4127">
        <v>0</v>
      </c>
      <c r="Y4127">
        <v>0</v>
      </c>
      <c r="Z4127">
        <v>22920.33</v>
      </c>
      <c r="AA4127">
        <v>23141.34</v>
      </c>
      <c r="AB4127" s="12" t="s">
        <v>201</v>
      </c>
      <c r="AD4127">
        <v>0</v>
      </c>
      <c r="AE4127">
        <v>0</v>
      </c>
      <c r="AH4127">
        <v>92</v>
      </c>
      <c r="AI4127">
        <v>91</v>
      </c>
      <c r="AJ4127">
        <v>1</v>
      </c>
      <c r="AK4127">
        <v>1</v>
      </c>
      <c r="AL4127">
        <v>1</v>
      </c>
      <c r="AM4127">
        <v>98.91</v>
      </c>
      <c r="AN4127">
        <v>254.3004</v>
      </c>
      <c r="AO4127">
        <v>249.13</v>
      </c>
      <c r="AP4127" s="13">
        <v>45693</v>
      </c>
      <c r="AQ4127">
        <v>3</v>
      </c>
      <c r="AR4127">
        <v>0</v>
      </c>
    </row>
    <row r="4128" spans="1:44" x14ac:dyDescent="0.35">
      <c r="A4128" s="12" t="s">
        <v>5055</v>
      </c>
      <c r="B4128" s="12" t="s">
        <v>1054</v>
      </c>
      <c r="C4128" s="12" t="s">
        <v>1055</v>
      </c>
      <c r="D4128" s="12" t="s">
        <v>122</v>
      </c>
      <c r="E4128" s="12" t="s">
        <v>65</v>
      </c>
      <c r="F4128">
        <v>1</v>
      </c>
      <c r="G4128">
        <v>2</v>
      </c>
      <c r="H4128">
        <v>1</v>
      </c>
      <c r="I4128" s="12" t="s">
        <v>176</v>
      </c>
      <c r="J4128" s="12" t="s">
        <v>177</v>
      </c>
      <c r="K4128" s="12" t="s">
        <v>125</v>
      </c>
      <c r="L4128" s="12" t="s">
        <v>134</v>
      </c>
      <c r="M4128">
        <v>1.75</v>
      </c>
      <c r="N4128" s="12" t="s">
        <v>97</v>
      </c>
      <c r="O4128" s="12" t="s">
        <v>98</v>
      </c>
      <c r="P4128" s="12" t="s">
        <v>72</v>
      </c>
      <c r="Q4128" s="13">
        <v>45659</v>
      </c>
      <c r="R4128" s="13">
        <v>45694</v>
      </c>
      <c r="S4128">
        <v>2025</v>
      </c>
      <c r="T4128" s="12" t="s">
        <v>5047</v>
      </c>
      <c r="U4128">
        <v>1637</v>
      </c>
      <c r="V4128">
        <v>47.914400000000001</v>
      </c>
      <c r="W4128">
        <v>581.74</v>
      </c>
      <c r="X4128">
        <v>0</v>
      </c>
      <c r="Y4128">
        <v>0</v>
      </c>
      <c r="Z4128">
        <v>78435.87</v>
      </c>
      <c r="AA4128">
        <v>79017.61</v>
      </c>
      <c r="AB4128" s="12" t="s">
        <v>3227</v>
      </c>
      <c r="AC4128">
        <v>45.850499999999997</v>
      </c>
      <c r="AD4128">
        <v>1</v>
      </c>
      <c r="AE4128">
        <v>1</v>
      </c>
      <c r="AF4128">
        <v>3378.6</v>
      </c>
      <c r="AG4128">
        <v>75057.27</v>
      </c>
      <c r="AH4128">
        <v>1637</v>
      </c>
      <c r="AI4128">
        <v>1628</v>
      </c>
      <c r="AJ4128">
        <v>9</v>
      </c>
      <c r="AK4128">
        <v>1</v>
      </c>
      <c r="AL4128">
        <v>1</v>
      </c>
      <c r="AM4128">
        <v>99.45</v>
      </c>
      <c r="AN4128">
        <v>48.5366</v>
      </c>
      <c r="AO4128">
        <v>431.23</v>
      </c>
      <c r="AP4128" s="13">
        <v>45702</v>
      </c>
      <c r="AQ4128">
        <v>8</v>
      </c>
      <c r="AR4128">
        <v>0</v>
      </c>
    </row>
    <row r="4129" spans="1:44" x14ac:dyDescent="0.35">
      <c r="A4129" s="12" t="s">
        <v>5056</v>
      </c>
      <c r="B4129" s="12" t="s">
        <v>167</v>
      </c>
      <c r="C4129" s="12" t="s">
        <v>168</v>
      </c>
      <c r="D4129" s="12" t="s">
        <v>64</v>
      </c>
      <c r="E4129" s="12" t="s">
        <v>104</v>
      </c>
      <c r="F4129">
        <v>3</v>
      </c>
      <c r="G4129">
        <v>1</v>
      </c>
      <c r="H4129">
        <v>0</v>
      </c>
      <c r="I4129" s="12" t="s">
        <v>169</v>
      </c>
      <c r="J4129" s="12" t="s">
        <v>170</v>
      </c>
      <c r="K4129" s="12" t="s">
        <v>89</v>
      </c>
      <c r="L4129" s="12" t="s">
        <v>134</v>
      </c>
      <c r="M4129">
        <v>1.37</v>
      </c>
      <c r="N4129" s="12" t="s">
        <v>70</v>
      </c>
      <c r="O4129" s="12" t="s">
        <v>71</v>
      </c>
      <c r="P4129" s="12" t="s">
        <v>72</v>
      </c>
      <c r="Q4129" s="13">
        <v>45659</v>
      </c>
      <c r="R4129" s="13">
        <v>45678</v>
      </c>
      <c r="S4129">
        <v>2025</v>
      </c>
      <c r="T4129" s="12" t="s">
        <v>5047</v>
      </c>
      <c r="U4129">
        <v>471</v>
      </c>
      <c r="V4129">
        <v>26.559100000000001</v>
      </c>
      <c r="W4129">
        <v>249.19</v>
      </c>
      <c r="X4129">
        <v>0</v>
      </c>
      <c r="Y4129">
        <v>0</v>
      </c>
      <c r="Z4129">
        <v>12509.34</v>
      </c>
      <c r="AA4129">
        <v>12758.53</v>
      </c>
      <c r="AB4129" s="12" t="s">
        <v>2885</v>
      </c>
      <c r="AC4129">
        <v>26.559100000000001</v>
      </c>
      <c r="AD4129">
        <v>1</v>
      </c>
      <c r="AE4129">
        <v>1</v>
      </c>
      <c r="AF4129">
        <v>0</v>
      </c>
      <c r="AG4129">
        <v>12509.34</v>
      </c>
      <c r="AH4129">
        <v>471</v>
      </c>
      <c r="AI4129">
        <v>465</v>
      </c>
      <c r="AJ4129">
        <v>6</v>
      </c>
      <c r="AK4129">
        <v>1</v>
      </c>
      <c r="AL4129">
        <v>1</v>
      </c>
      <c r="AM4129">
        <v>98.73</v>
      </c>
      <c r="AN4129">
        <v>27.4377</v>
      </c>
      <c r="AO4129">
        <v>159.35</v>
      </c>
      <c r="AP4129" s="13">
        <v>45675</v>
      </c>
      <c r="AQ4129">
        <v>-3</v>
      </c>
      <c r="AR4129">
        <v>1</v>
      </c>
    </row>
    <row r="4130" spans="1:44" x14ac:dyDescent="0.35">
      <c r="A4130" s="12" t="s">
        <v>5057</v>
      </c>
      <c r="B4130" s="12" t="s">
        <v>569</v>
      </c>
      <c r="C4130" s="12" t="s">
        <v>570</v>
      </c>
      <c r="D4130" s="12" t="s">
        <v>114</v>
      </c>
      <c r="E4130" s="12" t="s">
        <v>142</v>
      </c>
      <c r="F4130">
        <v>1</v>
      </c>
      <c r="G4130">
        <v>6</v>
      </c>
      <c r="H4130">
        <v>1</v>
      </c>
      <c r="I4130" s="12" t="s">
        <v>123</v>
      </c>
      <c r="J4130" s="12" t="s">
        <v>124</v>
      </c>
      <c r="K4130" s="12" t="s">
        <v>125</v>
      </c>
      <c r="L4130" s="12" t="s">
        <v>82</v>
      </c>
      <c r="M4130">
        <v>6.75</v>
      </c>
      <c r="N4130" s="12" t="s">
        <v>97</v>
      </c>
      <c r="O4130" s="12" t="s">
        <v>98</v>
      </c>
      <c r="P4130" s="12" t="s">
        <v>72</v>
      </c>
      <c r="Q4130" s="13">
        <v>45659</v>
      </c>
      <c r="R4130" s="13">
        <v>45710</v>
      </c>
      <c r="S4130">
        <v>2025</v>
      </c>
      <c r="T4130" s="12" t="s">
        <v>5047</v>
      </c>
      <c r="U4130">
        <v>136</v>
      </c>
      <c r="V4130">
        <v>349.07319999999999</v>
      </c>
      <c r="W4130">
        <v>407.83</v>
      </c>
      <c r="X4130">
        <v>0</v>
      </c>
      <c r="Y4130">
        <v>0</v>
      </c>
      <c r="Z4130">
        <v>47473.96</v>
      </c>
      <c r="AA4130">
        <v>47881.79</v>
      </c>
      <c r="AB4130" s="12" t="s">
        <v>3205</v>
      </c>
      <c r="AC4130">
        <v>349.07319999999999</v>
      </c>
      <c r="AD4130">
        <v>1</v>
      </c>
      <c r="AE4130">
        <v>1</v>
      </c>
      <c r="AF4130">
        <v>0</v>
      </c>
      <c r="AG4130">
        <v>47473.96</v>
      </c>
      <c r="AH4130">
        <v>136</v>
      </c>
      <c r="AI4130">
        <v>135</v>
      </c>
      <c r="AJ4130">
        <v>1</v>
      </c>
      <c r="AK4130">
        <v>1</v>
      </c>
      <c r="AL4130">
        <v>1</v>
      </c>
      <c r="AM4130">
        <v>99.26</v>
      </c>
      <c r="AN4130">
        <v>354.67989999999998</v>
      </c>
      <c r="AO4130">
        <v>349.07</v>
      </c>
      <c r="AP4130" s="13">
        <v>45710</v>
      </c>
      <c r="AQ4130">
        <v>0</v>
      </c>
      <c r="AR4130">
        <v>1</v>
      </c>
    </row>
    <row r="4131" spans="1:44" x14ac:dyDescent="0.35">
      <c r="A4131" s="12" t="s">
        <v>5058</v>
      </c>
      <c r="B4131" s="12" t="s">
        <v>433</v>
      </c>
      <c r="C4131" s="12" t="s">
        <v>434</v>
      </c>
      <c r="D4131" s="12" t="s">
        <v>78</v>
      </c>
      <c r="E4131" s="12" t="s">
        <v>65</v>
      </c>
      <c r="F4131">
        <v>2</v>
      </c>
      <c r="G4131">
        <v>4</v>
      </c>
      <c r="H4131">
        <v>0</v>
      </c>
      <c r="I4131" s="12" t="s">
        <v>105</v>
      </c>
      <c r="J4131" s="12" t="s">
        <v>106</v>
      </c>
      <c r="K4131" s="12" t="s">
        <v>81</v>
      </c>
      <c r="L4131" s="12" t="s">
        <v>96</v>
      </c>
      <c r="M4131">
        <v>5.01</v>
      </c>
      <c r="N4131" s="12" t="s">
        <v>70</v>
      </c>
      <c r="O4131" s="12" t="s">
        <v>71</v>
      </c>
      <c r="P4131" s="12" t="s">
        <v>72</v>
      </c>
      <c r="Q4131" s="13">
        <v>45659</v>
      </c>
      <c r="R4131" s="13">
        <v>45681</v>
      </c>
      <c r="S4131">
        <v>2025</v>
      </c>
      <c r="T4131" s="12" t="s">
        <v>5047</v>
      </c>
      <c r="U4131">
        <v>63</v>
      </c>
      <c r="V4131">
        <v>72.364500000000007</v>
      </c>
      <c r="W4131">
        <v>34.81</v>
      </c>
      <c r="X4131">
        <v>0</v>
      </c>
      <c r="Y4131">
        <v>0</v>
      </c>
      <c r="Z4131">
        <v>4558.96</v>
      </c>
      <c r="AA4131">
        <v>4593.7700000000004</v>
      </c>
      <c r="AB4131" s="12" t="s">
        <v>2930</v>
      </c>
      <c r="AC4131">
        <v>72.364500000000007</v>
      </c>
      <c r="AD4131">
        <v>1</v>
      </c>
      <c r="AE4131">
        <v>1</v>
      </c>
      <c r="AF4131">
        <v>0</v>
      </c>
      <c r="AG4131">
        <v>4558.96</v>
      </c>
      <c r="AH4131">
        <v>63</v>
      </c>
      <c r="AI4131">
        <v>61</v>
      </c>
      <c r="AJ4131">
        <v>2</v>
      </c>
      <c r="AK4131">
        <v>1</v>
      </c>
      <c r="AL4131">
        <v>1</v>
      </c>
      <c r="AM4131">
        <v>96.83</v>
      </c>
      <c r="AN4131">
        <v>75.3078</v>
      </c>
      <c r="AO4131">
        <v>144.72999999999999</v>
      </c>
      <c r="AP4131" s="13">
        <v>45678</v>
      </c>
      <c r="AQ4131">
        <v>-3</v>
      </c>
      <c r="AR4131">
        <v>1</v>
      </c>
    </row>
    <row r="4132" spans="1:44" x14ac:dyDescent="0.35">
      <c r="A4132" s="12" t="s">
        <v>5059</v>
      </c>
      <c r="B4132" s="12" t="s">
        <v>555</v>
      </c>
      <c r="C4132" s="12" t="s">
        <v>556</v>
      </c>
      <c r="D4132" s="12" t="s">
        <v>114</v>
      </c>
      <c r="E4132" s="12" t="s">
        <v>142</v>
      </c>
      <c r="F4132">
        <v>1</v>
      </c>
      <c r="G4132">
        <v>6</v>
      </c>
      <c r="H4132">
        <v>1</v>
      </c>
      <c r="I4132" s="12" t="s">
        <v>151</v>
      </c>
      <c r="J4132" s="12" t="s">
        <v>152</v>
      </c>
      <c r="K4132" s="12" t="s">
        <v>125</v>
      </c>
      <c r="L4132" s="12" t="s">
        <v>69</v>
      </c>
      <c r="M4132">
        <v>36.479999999999997</v>
      </c>
      <c r="N4132" s="12" t="s">
        <v>70</v>
      </c>
      <c r="O4132" s="12" t="s">
        <v>71</v>
      </c>
      <c r="P4132" s="12" t="s">
        <v>72</v>
      </c>
      <c r="Q4132" s="13">
        <v>45660</v>
      </c>
      <c r="R4132" s="13">
        <v>45701</v>
      </c>
      <c r="S4132">
        <v>2025</v>
      </c>
      <c r="T4132" s="12" t="s">
        <v>5047</v>
      </c>
      <c r="U4132">
        <v>56</v>
      </c>
      <c r="V4132">
        <v>261.70530000000002</v>
      </c>
      <c r="W4132">
        <v>105.27</v>
      </c>
      <c r="X4132">
        <v>0</v>
      </c>
      <c r="Y4132">
        <v>0</v>
      </c>
      <c r="Z4132">
        <v>14655.5</v>
      </c>
      <c r="AA4132">
        <v>14760.77</v>
      </c>
      <c r="AB4132" s="12" t="s">
        <v>2922</v>
      </c>
      <c r="AC4132">
        <v>278.31920000000002</v>
      </c>
      <c r="AD4132">
        <v>1</v>
      </c>
      <c r="AE4132">
        <v>1</v>
      </c>
      <c r="AF4132">
        <v>-930.38</v>
      </c>
      <c r="AG4132">
        <v>15585.88</v>
      </c>
      <c r="AH4132">
        <v>56</v>
      </c>
      <c r="AI4132">
        <v>55</v>
      </c>
      <c r="AJ4132">
        <v>1</v>
      </c>
      <c r="AK4132">
        <v>1</v>
      </c>
      <c r="AL4132">
        <v>1</v>
      </c>
      <c r="AM4132">
        <v>98.21</v>
      </c>
      <c r="AN4132">
        <v>268.37759999999997</v>
      </c>
      <c r="AO4132">
        <v>261.70999999999998</v>
      </c>
      <c r="AP4132" s="13">
        <v>45698</v>
      </c>
      <c r="AQ4132">
        <v>-3</v>
      </c>
      <c r="AR4132">
        <v>1</v>
      </c>
    </row>
    <row r="4133" spans="1:44" x14ac:dyDescent="0.35">
      <c r="A4133" s="12" t="s">
        <v>5060</v>
      </c>
      <c r="B4133" s="12" t="s">
        <v>323</v>
      </c>
      <c r="C4133" s="12" t="s">
        <v>324</v>
      </c>
      <c r="D4133" s="12" t="s">
        <v>64</v>
      </c>
      <c r="E4133" s="12" t="s">
        <v>142</v>
      </c>
      <c r="F4133">
        <v>1</v>
      </c>
      <c r="G4133">
        <v>7</v>
      </c>
      <c r="H4133">
        <v>1</v>
      </c>
      <c r="I4133" s="12" t="s">
        <v>143</v>
      </c>
      <c r="J4133" s="12" t="s">
        <v>144</v>
      </c>
      <c r="K4133" s="12" t="s">
        <v>133</v>
      </c>
      <c r="L4133" s="12" t="s">
        <v>96</v>
      </c>
      <c r="M4133">
        <v>5.43</v>
      </c>
      <c r="N4133" s="12" t="s">
        <v>70</v>
      </c>
      <c r="O4133" s="12" t="s">
        <v>71</v>
      </c>
      <c r="P4133" s="12" t="s">
        <v>72</v>
      </c>
      <c r="Q4133" s="13">
        <v>45660</v>
      </c>
      <c r="R4133" s="13">
        <v>45709</v>
      </c>
      <c r="S4133">
        <v>2025</v>
      </c>
      <c r="T4133" s="12" t="s">
        <v>5047</v>
      </c>
      <c r="U4133">
        <v>844</v>
      </c>
      <c r="V4133">
        <v>39.364800000000002</v>
      </c>
      <c r="W4133">
        <v>436.68</v>
      </c>
      <c r="X4133">
        <v>0</v>
      </c>
      <c r="Y4133">
        <v>0</v>
      </c>
      <c r="Z4133">
        <v>33223.89</v>
      </c>
      <c r="AA4133">
        <v>33660.57</v>
      </c>
      <c r="AB4133" s="12" t="s">
        <v>2828</v>
      </c>
      <c r="AC4133">
        <v>39.364800000000002</v>
      </c>
      <c r="AD4133">
        <v>1</v>
      </c>
      <c r="AE4133">
        <v>1</v>
      </c>
      <c r="AF4133">
        <v>0</v>
      </c>
      <c r="AG4133">
        <v>33223.89</v>
      </c>
      <c r="AH4133">
        <v>844</v>
      </c>
      <c r="AI4133">
        <v>833</v>
      </c>
      <c r="AJ4133">
        <v>11</v>
      </c>
      <c r="AK4133">
        <v>1</v>
      </c>
      <c r="AL4133">
        <v>1</v>
      </c>
      <c r="AM4133">
        <v>98.7</v>
      </c>
      <c r="AN4133">
        <v>40.408799999999999</v>
      </c>
      <c r="AO4133">
        <v>433.01</v>
      </c>
      <c r="AP4133" s="13">
        <v>45706</v>
      </c>
      <c r="AQ4133">
        <v>-3</v>
      </c>
      <c r="AR4133">
        <v>1</v>
      </c>
    </row>
    <row r="4134" spans="1:44" x14ac:dyDescent="0.35">
      <c r="A4134" s="12" t="s">
        <v>5061</v>
      </c>
      <c r="B4134" s="12" t="s">
        <v>561</v>
      </c>
      <c r="C4134" s="12" t="s">
        <v>562</v>
      </c>
      <c r="D4134" s="12" t="s">
        <v>130</v>
      </c>
      <c r="E4134" s="12" t="s">
        <v>142</v>
      </c>
      <c r="F4134">
        <v>1</v>
      </c>
      <c r="G4134">
        <v>9</v>
      </c>
      <c r="H4134">
        <v>1</v>
      </c>
      <c r="I4134" s="12" t="s">
        <v>223</v>
      </c>
      <c r="J4134" s="12" t="s">
        <v>224</v>
      </c>
      <c r="K4134" s="12" t="s">
        <v>81</v>
      </c>
      <c r="L4134" s="12" t="s">
        <v>134</v>
      </c>
      <c r="M4134">
        <v>2.4900000000000002</v>
      </c>
      <c r="N4134" s="12" t="s">
        <v>135</v>
      </c>
      <c r="O4134" s="12" t="s">
        <v>136</v>
      </c>
      <c r="P4134" s="12" t="s">
        <v>137</v>
      </c>
      <c r="Q4134" s="13">
        <v>45660</v>
      </c>
      <c r="R4134" s="13">
        <v>45706</v>
      </c>
      <c r="S4134">
        <v>2025</v>
      </c>
      <c r="T4134" s="12" t="s">
        <v>5047</v>
      </c>
      <c r="U4134">
        <v>100</v>
      </c>
      <c r="V4134">
        <v>543.53719999999998</v>
      </c>
      <c r="W4134">
        <v>1381.51</v>
      </c>
      <c r="X4134">
        <v>0</v>
      </c>
      <c r="Y4134">
        <v>0</v>
      </c>
      <c r="Z4134">
        <v>54353.72</v>
      </c>
      <c r="AA4134">
        <v>55735.23</v>
      </c>
      <c r="AB4134" s="12" t="s">
        <v>201</v>
      </c>
      <c r="AD4134">
        <v>0</v>
      </c>
      <c r="AE4134">
        <v>0</v>
      </c>
      <c r="AH4134">
        <v>100</v>
      </c>
      <c r="AI4134">
        <v>99</v>
      </c>
      <c r="AJ4134">
        <v>1</v>
      </c>
      <c r="AK4134">
        <v>1</v>
      </c>
      <c r="AL4134">
        <v>1</v>
      </c>
      <c r="AM4134">
        <v>99</v>
      </c>
      <c r="AN4134">
        <v>562.98209999999995</v>
      </c>
      <c r="AO4134">
        <v>543.54</v>
      </c>
      <c r="AP4134" s="13">
        <v>45710</v>
      </c>
      <c r="AQ4134">
        <v>4</v>
      </c>
      <c r="AR4134">
        <v>0</v>
      </c>
    </row>
    <row r="4135" spans="1:44" x14ac:dyDescent="0.35">
      <c r="A4135" s="12" t="s">
        <v>5062</v>
      </c>
      <c r="B4135" s="12" t="s">
        <v>472</v>
      </c>
      <c r="C4135" s="12" t="s">
        <v>473</v>
      </c>
      <c r="D4135" s="12" t="s">
        <v>122</v>
      </c>
      <c r="E4135" s="12" t="s">
        <v>142</v>
      </c>
      <c r="F4135">
        <v>2</v>
      </c>
      <c r="G4135">
        <v>9</v>
      </c>
      <c r="H4135">
        <v>0</v>
      </c>
      <c r="I4135" s="12" t="s">
        <v>209</v>
      </c>
      <c r="J4135" s="12" t="s">
        <v>210</v>
      </c>
      <c r="K4135" s="12" t="s">
        <v>133</v>
      </c>
      <c r="L4135" s="12" t="s">
        <v>96</v>
      </c>
      <c r="M4135">
        <v>7.82</v>
      </c>
      <c r="N4135" s="12" t="s">
        <v>70</v>
      </c>
      <c r="O4135" s="12" t="s">
        <v>71</v>
      </c>
      <c r="P4135" s="12" t="s">
        <v>72</v>
      </c>
      <c r="Q4135" s="13">
        <v>45663</v>
      </c>
      <c r="R4135" s="13">
        <v>45704</v>
      </c>
      <c r="S4135">
        <v>2025</v>
      </c>
      <c r="T4135" s="12" t="s">
        <v>5047</v>
      </c>
      <c r="U4135">
        <v>886</v>
      </c>
      <c r="V4135">
        <v>46.789099999999998</v>
      </c>
      <c r="W4135">
        <v>603.78</v>
      </c>
      <c r="X4135">
        <v>0</v>
      </c>
      <c r="Y4135">
        <v>0</v>
      </c>
      <c r="Z4135">
        <v>41455.14</v>
      </c>
      <c r="AA4135">
        <v>42058.92</v>
      </c>
      <c r="AB4135" s="12" t="s">
        <v>2966</v>
      </c>
      <c r="AC4135">
        <v>46.789099999999998</v>
      </c>
      <c r="AD4135">
        <v>1</v>
      </c>
      <c r="AE4135">
        <v>1</v>
      </c>
      <c r="AF4135">
        <v>0</v>
      </c>
      <c r="AG4135">
        <v>41455.14</v>
      </c>
      <c r="AH4135">
        <v>886</v>
      </c>
      <c r="AI4135">
        <v>882</v>
      </c>
      <c r="AJ4135">
        <v>4</v>
      </c>
      <c r="AK4135">
        <v>1</v>
      </c>
      <c r="AL4135">
        <v>1</v>
      </c>
      <c r="AM4135">
        <v>99.55</v>
      </c>
      <c r="AN4135">
        <v>47.685899999999997</v>
      </c>
      <c r="AO4135">
        <v>187.16</v>
      </c>
      <c r="AP4135" s="13">
        <v>45702</v>
      </c>
      <c r="AQ4135">
        <v>-2</v>
      </c>
      <c r="AR4135">
        <v>1</v>
      </c>
    </row>
    <row r="4136" spans="1:44" x14ac:dyDescent="0.35">
      <c r="A4136" s="12" t="s">
        <v>5063</v>
      </c>
      <c r="B4136" s="12" t="s">
        <v>350</v>
      </c>
      <c r="C4136" s="12" t="s">
        <v>351</v>
      </c>
      <c r="D4136" s="12" t="s">
        <v>64</v>
      </c>
      <c r="E4136" s="12" t="s">
        <v>104</v>
      </c>
      <c r="F4136">
        <v>3</v>
      </c>
      <c r="G4136">
        <v>1</v>
      </c>
      <c r="H4136">
        <v>0</v>
      </c>
      <c r="I4136" s="12" t="s">
        <v>486</v>
      </c>
      <c r="J4136" s="12" t="s">
        <v>487</v>
      </c>
      <c r="K4136" s="12" t="s">
        <v>125</v>
      </c>
      <c r="L4136" s="12" t="s">
        <v>69</v>
      </c>
      <c r="M4136">
        <v>36.86</v>
      </c>
      <c r="N4136" s="12" t="s">
        <v>70</v>
      </c>
      <c r="O4136" s="12" t="s">
        <v>71</v>
      </c>
      <c r="P4136" s="12" t="s">
        <v>72</v>
      </c>
      <c r="Q4136" s="13">
        <v>45663</v>
      </c>
      <c r="R4136" s="13">
        <v>45689</v>
      </c>
      <c r="S4136">
        <v>2025</v>
      </c>
      <c r="T4136" s="12" t="s">
        <v>5047</v>
      </c>
      <c r="U4136">
        <v>841</v>
      </c>
      <c r="V4136">
        <v>7.9856999999999996</v>
      </c>
      <c r="W4136">
        <v>82.88</v>
      </c>
      <c r="X4136">
        <v>0</v>
      </c>
      <c r="Y4136">
        <v>0</v>
      </c>
      <c r="Z4136">
        <v>6715.97</v>
      </c>
      <c r="AA4136">
        <v>6798.85</v>
      </c>
      <c r="AB4136" s="12" t="s">
        <v>2933</v>
      </c>
      <c r="AC4136">
        <v>8.4832000000000001</v>
      </c>
      <c r="AD4136">
        <v>1</v>
      </c>
      <c r="AE4136">
        <v>1</v>
      </c>
      <c r="AF4136">
        <v>-418.4</v>
      </c>
      <c r="AG4136">
        <v>7134.37</v>
      </c>
      <c r="AH4136">
        <v>841</v>
      </c>
      <c r="AI4136">
        <v>834</v>
      </c>
      <c r="AJ4136">
        <v>7</v>
      </c>
      <c r="AK4136">
        <v>1</v>
      </c>
      <c r="AL4136">
        <v>1</v>
      </c>
      <c r="AM4136">
        <v>99.17</v>
      </c>
      <c r="AN4136">
        <v>8.1521000000000008</v>
      </c>
      <c r="AO4136">
        <v>55.9</v>
      </c>
      <c r="AP4136" s="13">
        <v>45685</v>
      </c>
      <c r="AQ4136">
        <v>-4</v>
      </c>
      <c r="AR4136">
        <v>1</v>
      </c>
    </row>
    <row r="4137" spans="1:44" x14ac:dyDescent="0.35">
      <c r="A4137" s="12" t="s">
        <v>5064</v>
      </c>
      <c r="B4137" s="12" t="s">
        <v>62</v>
      </c>
      <c r="C4137" s="12" t="s">
        <v>63</v>
      </c>
      <c r="D4137" s="12" t="s">
        <v>64</v>
      </c>
      <c r="E4137" s="12" t="s">
        <v>65</v>
      </c>
      <c r="F4137">
        <v>1</v>
      </c>
      <c r="G4137">
        <v>2</v>
      </c>
      <c r="H4137">
        <v>1</v>
      </c>
      <c r="I4137" s="12" t="s">
        <v>66</v>
      </c>
      <c r="J4137" s="12" t="s">
        <v>67</v>
      </c>
      <c r="K4137" s="12" t="s">
        <v>68</v>
      </c>
      <c r="L4137" s="12" t="s">
        <v>69</v>
      </c>
      <c r="M4137">
        <v>17.66</v>
      </c>
      <c r="N4137" s="12" t="s">
        <v>97</v>
      </c>
      <c r="O4137" s="12" t="s">
        <v>98</v>
      </c>
      <c r="P4137" s="12" t="s">
        <v>72</v>
      </c>
      <c r="Q4137" s="13">
        <v>45663</v>
      </c>
      <c r="R4137" s="13">
        <v>45699</v>
      </c>
      <c r="S4137">
        <v>2025</v>
      </c>
      <c r="T4137" s="12" t="s">
        <v>5047</v>
      </c>
      <c r="U4137">
        <v>871</v>
      </c>
      <c r="V4137">
        <v>24.7376</v>
      </c>
      <c r="W4137">
        <v>473.06</v>
      </c>
      <c r="X4137">
        <v>0</v>
      </c>
      <c r="Y4137">
        <v>0</v>
      </c>
      <c r="Z4137">
        <v>21546.45</v>
      </c>
      <c r="AA4137">
        <v>22019.51</v>
      </c>
      <c r="AB4137" s="12" t="s">
        <v>201</v>
      </c>
      <c r="AD4137">
        <v>0</v>
      </c>
      <c r="AE4137">
        <v>0</v>
      </c>
      <c r="AH4137">
        <v>871</v>
      </c>
      <c r="AI4137">
        <v>867</v>
      </c>
      <c r="AJ4137">
        <v>4</v>
      </c>
      <c r="AK4137">
        <v>1</v>
      </c>
      <c r="AL4137">
        <v>1</v>
      </c>
      <c r="AM4137">
        <v>99.54</v>
      </c>
      <c r="AN4137">
        <v>25.397400000000001</v>
      </c>
      <c r="AO4137">
        <v>98.95</v>
      </c>
      <c r="AP4137" s="13">
        <v>45699</v>
      </c>
      <c r="AQ4137">
        <v>0</v>
      </c>
      <c r="AR4137">
        <v>1</v>
      </c>
    </row>
    <row r="4138" spans="1:44" x14ac:dyDescent="0.35">
      <c r="A4138" s="12" t="s">
        <v>5065</v>
      </c>
      <c r="B4138" s="12" t="s">
        <v>173</v>
      </c>
      <c r="C4138" s="12" t="s">
        <v>174</v>
      </c>
      <c r="D4138" s="12" t="s">
        <v>175</v>
      </c>
      <c r="E4138" s="12" t="s">
        <v>104</v>
      </c>
      <c r="F4138">
        <v>3</v>
      </c>
      <c r="G4138">
        <v>1</v>
      </c>
      <c r="H4138">
        <v>0</v>
      </c>
      <c r="I4138" s="12" t="s">
        <v>227</v>
      </c>
      <c r="J4138" s="12" t="s">
        <v>228</v>
      </c>
      <c r="K4138" s="12" t="s">
        <v>89</v>
      </c>
      <c r="L4138" s="12" t="s">
        <v>96</v>
      </c>
      <c r="M4138">
        <v>9.15</v>
      </c>
      <c r="N4138" s="12" t="s">
        <v>145</v>
      </c>
      <c r="O4138" s="12" t="s">
        <v>146</v>
      </c>
      <c r="P4138" s="12" t="s">
        <v>109</v>
      </c>
      <c r="Q4138" s="13">
        <v>45663</v>
      </c>
      <c r="R4138" s="13">
        <v>45685</v>
      </c>
      <c r="S4138">
        <v>2025</v>
      </c>
      <c r="T4138" s="12" t="s">
        <v>5047</v>
      </c>
      <c r="U4138">
        <v>89</v>
      </c>
      <c r="V4138">
        <v>79.944699999999997</v>
      </c>
      <c r="W4138">
        <v>83.49</v>
      </c>
      <c r="X4138">
        <v>0</v>
      </c>
      <c r="Y4138">
        <v>0</v>
      </c>
      <c r="Z4138">
        <v>7115.08</v>
      </c>
      <c r="AA4138">
        <v>7198.57</v>
      </c>
      <c r="AB4138" s="12" t="s">
        <v>3662</v>
      </c>
      <c r="AC4138">
        <v>79.944699999999997</v>
      </c>
      <c r="AD4138">
        <v>1</v>
      </c>
      <c r="AE4138">
        <v>1</v>
      </c>
      <c r="AF4138">
        <v>0</v>
      </c>
      <c r="AG4138">
        <v>7115.08</v>
      </c>
      <c r="AH4138">
        <v>89</v>
      </c>
      <c r="AI4138">
        <v>89</v>
      </c>
      <c r="AJ4138">
        <v>0</v>
      </c>
      <c r="AK4138">
        <v>1</v>
      </c>
      <c r="AL4138">
        <v>1</v>
      </c>
      <c r="AM4138">
        <v>100</v>
      </c>
      <c r="AN4138">
        <v>80.882800000000003</v>
      </c>
      <c r="AO4138">
        <v>0</v>
      </c>
      <c r="AP4138" s="13">
        <v>45682</v>
      </c>
      <c r="AQ4138">
        <v>-3</v>
      </c>
      <c r="AR4138">
        <v>1</v>
      </c>
    </row>
    <row r="4139" spans="1:44" x14ac:dyDescent="0.35">
      <c r="A4139" s="12" t="s">
        <v>5066</v>
      </c>
      <c r="B4139" s="12" t="s">
        <v>1666</v>
      </c>
      <c r="C4139" s="12" t="s">
        <v>1667</v>
      </c>
      <c r="D4139" s="12" t="s">
        <v>78</v>
      </c>
      <c r="E4139" s="12" t="s">
        <v>65</v>
      </c>
      <c r="F4139">
        <v>2</v>
      </c>
      <c r="G4139">
        <v>3</v>
      </c>
      <c r="H4139">
        <v>0</v>
      </c>
      <c r="I4139" s="12" t="s">
        <v>310</v>
      </c>
      <c r="J4139" s="12" t="s">
        <v>311</v>
      </c>
      <c r="K4139" s="12" t="s">
        <v>81</v>
      </c>
      <c r="L4139" s="12" t="s">
        <v>69</v>
      </c>
      <c r="M4139">
        <v>28.3</v>
      </c>
      <c r="N4139" s="12" t="s">
        <v>97</v>
      </c>
      <c r="O4139" s="12" t="s">
        <v>98</v>
      </c>
      <c r="P4139" s="12" t="s">
        <v>72</v>
      </c>
      <c r="Q4139" s="13">
        <v>45663</v>
      </c>
      <c r="R4139" s="13">
        <v>45694</v>
      </c>
      <c r="S4139">
        <v>2025</v>
      </c>
      <c r="T4139" s="12" t="s">
        <v>5047</v>
      </c>
      <c r="U4139">
        <v>194</v>
      </c>
      <c r="V4139">
        <v>73.412099999999995</v>
      </c>
      <c r="W4139">
        <v>89.21</v>
      </c>
      <c r="X4139">
        <v>0</v>
      </c>
      <c r="Y4139">
        <v>0</v>
      </c>
      <c r="Z4139">
        <v>14241.95</v>
      </c>
      <c r="AA4139">
        <v>14331.16</v>
      </c>
      <c r="AB4139" s="12" t="s">
        <v>3090</v>
      </c>
      <c r="AC4139">
        <v>73.412099999999995</v>
      </c>
      <c r="AD4139">
        <v>1</v>
      </c>
      <c r="AE4139">
        <v>1</v>
      </c>
      <c r="AF4139">
        <v>0</v>
      </c>
      <c r="AG4139">
        <v>14241.95</v>
      </c>
      <c r="AH4139">
        <v>194</v>
      </c>
      <c r="AI4139">
        <v>191</v>
      </c>
      <c r="AJ4139">
        <v>3</v>
      </c>
      <c r="AK4139">
        <v>1</v>
      </c>
      <c r="AL4139">
        <v>1</v>
      </c>
      <c r="AM4139">
        <v>98.45</v>
      </c>
      <c r="AN4139">
        <v>75.032200000000003</v>
      </c>
      <c r="AO4139">
        <v>220.24</v>
      </c>
      <c r="AP4139" s="13">
        <v>45691</v>
      </c>
      <c r="AQ4139">
        <v>-3</v>
      </c>
      <c r="AR4139">
        <v>1</v>
      </c>
    </row>
    <row r="4140" spans="1:44" x14ac:dyDescent="0.35">
      <c r="A4140" s="12" t="s">
        <v>5067</v>
      </c>
      <c r="B4140" s="12" t="s">
        <v>362</v>
      </c>
      <c r="C4140" s="12" t="s">
        <v>363</v>
      </c>
      <c r="D4140" s="12" t="s">
        <v>78</v>
      </c>
      <c r="E4140" s="12" t="s">
        <v>104</v>
      </c>
      <c r="F4140">
        <v>3</v>
      </c>
      <c r="G4140">
        <v>0</v>
      </c>
      <c r="H4140">
        <v>0</v>
      </c>
      <c r="I4140" s="12" t="s">
        <v>157</v>
      </c>
      <c r="J4140" s="12" t="s">
        <v>158</v>
      </c>
      <c r="K4140" s="12" t="s">
        <v>117</v>
      </c>
      <c r="L4140" s="12" t="s">
        <v>96</v>
      </c>
      <c r="M4140">
        <v>4.72</v>
      </c>
      <c r="N4140" s="12" t="s">
        <v>70</v>
      </c>
      <c r="O4140" s="12" t="s">
        <v>71</v>
      </c>
      <c r="P4140" s="12" t="s">
        <v>72</v>
      </c>
      <c r="Q4140" s="13">
        <v>45663</v>
      </c>
      <c r="R4140" s="13">
        <v>45685</v>
      </c>
      <c r="S4140">
        <v>2025</v>
      </c>
      <c r="T4140" s="12" t="s">
        <v>5047</v>
      </c>
      <c r="U4140">
        <v>189</v>
      </c>
      <c r="V4140">
        <v>59.830500000000001</v>
      </c>
      <c r="W4140">
        <v>137.41</v>
      </c>
      <c r="X4140">
        <v>0</v>
      </c>
      <c r="Y4140">
        <v>0</v>
      </c>
      <c r="Z4140">
        <v>11307.96</v>
      </c>
      <c r="AA4140">
        <v>11445.37</v>
      </c>
      <c r="AB4140" s="12" t="s">
        <v>3185</v>
      </c>
      <c r="AC4140">
        <v>59.830500000000001</v>
      </c>
      <c r="AD4140">
        <v>1</v>
      </c>
      <c r="AE4140">
        <v>1</v>
      </c>
      <c r="AF4140">
        <v>0</v>
      </c>
      <c r="AG4140">
        <v>11307.96</v>
      </c>
      <c r="AH4140">
        <v>189</v>
      </c>
      <c r="AI4140">
        <v>185</v>
      </c>
      <c r="AJ4140">
        <v>4</v>
      </c>
      <c r="AK4140">
        <v>1</v>
      </c>
      <c r="AL4140">
        <v>1</v>
      </c>
      <c r="AM4140">
        <v>97.88</v>
      </c>
      <c r="AN4140">
        <v>61.866900000000001</v>
      </c>
      <c r="AO4140">
        <v>239.32</v>
      </c>
      <c r="AP4140" s="13">
        <v>45685</v>
      </c>
      <c r="AQ4140">
        <v>0</v>
      </c>
      <c r="AR4140">
        <v>1</v>
      </c>
    </row>
    <row r="4141" spans="1:44" x14ac:dyDescent="0.35">
      <c r="A4141" s="12" t="s">
        <v>5068</v>
      </c>
      <c r="B4141" s="12" t="s">
        <v>92</v>
      </c>
      <c r="C4141" s="12" t="s">
        <v>93</v>
      </c>
      <c r="D4141" s="12" t="s">
        <v>64</v>
      </c>
      <c r="E4141" s="12" t="s">
        <v>65</v>
      </c>
      <c r="F4141">
        <v>3</v>
      </c>
      <c r="G4141">
        <v>5</v>
      </c>
      <c r="H4141">
        <v>0</v>
      </c>
      <c r="I4141" s="12" t="s">
        <v>176</v>
      </c>
      <c r="J4141" s="12" t="s">
        <v>177</v>
      </c>
      <c r="K4141" s="12" t="s">
        <v>125</v>
      </c>
      <c r="L4141" s="12" t="s">
        <v>134</v>
      </c>
      <c r="M4141">
        <v>1.75</v>
      </c>
      <c r="N4141" s="12" t="s">
        <v>97</v>
      </c>
      <c r="O4141" s="12" t="s">
        <v>98</v>
      </c>
      <c r="P4141" s="12" t="s">
        <v>72</v>
      </c>
      <c r="Q4141" s="13">
        <v>45663</v>
      </c>
      <c r="R4141" s="13">
        <v>45685</v>
      </c>
      <c r="S4141">
        <v>2025</v>
      </c>
      <c r="T4141" s="12" t="s">
        <v>5047</v>
      </c>
      <c r="U4141">
        <v>179</v>
      </c>
      <c r="V4141">
        <v>25.5548</v>
      </c>
      <c r="W4141">
        <v>79.81</v>
      </c>
      <c r="X4141">
        <v>0</v>
      </c>
      <c r="Y4141">
        <v>0</v>
      </c>
      <c r="Z4141">
        <v>4574.3100000000004</v>
      </c>
      <c r="AA4141">
        <v>4654.12</v>
      </c>
      <c r="AB4141" s="12" t="s">
        <v>201</v>
      </c>
      <c r="AD4141">
        <v>0</v>
      </c>
      <c r="AE4141">
        <v>0</v>
      </c>
      <c r="AH4141">
        <v>179</v>
      </c>
      <c r="AI4141">
        <v>176</v>
      </c>
      <c r="AJ4141">
        <v>3</v>
      </c>
      <c r="AK4141">
        <v>1</v>
      </c>
      <c r="AL4141">
        <v>1</v>
      </c>
      <c r="AM4141">
        <v>98.32</v>
      </c>
      <c r="AN4141">
        <v>26.443899999999999</v>
      </c>
      <c r="AO4141">
        <v>76.66</v>
      </c>
      <c r="AP4141" s="13">
        <v>45685</v>
      </c>
      <c r="AQ4141">
        <v>0</v>
      </c>
      <c r="AR4141">
        <v>1</v>
      </c>
    </row>
    <row r="4142" spans="1:44" x14ac:dyDescent="0.35">
      <c r="A4142" s="12" t="s">
        <v>5069</v>
      </c>
      <c r="B4142" s="12" t="s">
        <v>1166</v>
      </c>
      <c r="C4142" s="12" t="s">
        <v>1167</v>
      </c>
      <c r="D4142" s="12" t="s">
        <v>175</v>
      </c>
      <c r="E4142" s="12" t="s">
        <v>65</v>
      </c>
      <c r="F4142">
        <v>3</v>
      </c>
      <c r="G4142">
        <v>5</v>
      </c>
      <c r="H4142">
        <v>0</v>
      </c>
      <c r="I4142" s="12" t="s">
        <v>143</v>
      </c>
      <c r="J4142" s="12" t="s">
        <v>144</v>
      </c>
      <c r="K4142" s="12" t="s">
        <v>133</v>
      </c>
      <c r="L4142" s="12" t="s">
        <v>96</v>
      </c>
      <c r="M4142">
        <v>5.43</v>
      </c>
      <c r="N4142" s="12" t="s">
        <v>107</v>
      </c>
      <c r="O4142" s="12" t="s">
        <v>108</v>
      </c>
      <c r="P4142" s="12" t="s">
        <v>109</v>
      </c>
      <c r="Q4142" s="13">
        <v>45663</v>
      </c>
      <c r="R4142" s="13">
        <v>45685</v>
      </c>
      <c r="S4142">
        <v>2025</v>
      </c>
      <c r="T4142" s="12" t="s">
        <v>5047</v>
      </c>
      <c r="U4142">
        <v>22</v>
      </c>
      <c r="V4142">
        <v>232.5616</v>
      </c>
      <c r="W4142">
        <v>78.08</v>
      </c>
      <c r="X4142">
        <v>0</v>
      </c>
      <c r="Y4142">
        <v>0</v>
      </c>
      <c r="Z4142">
        <v>5116.3599999999997</v>
      </c>
      <c r="AA4142">
        <v>5194.4399999999996</v>
      </c>
      <c r="AB4142" s="12" t="s">
        <v>201</v>
      </c>
      <c r="AD4142">
        <v>0</v>
      </c>
      <c r="AE4142">
        <v>0</v>
      </c>
      <c r="AH4142">
        <v>22</v>
      </c>
      <c r="AI4142">
        <v>22</v>
      </c>
      <c r="AJ4142">
        <v>0</v>
      </c>
      <c r="AK4142">
        <v>1</v>
      </c>
      <c r="AL4142">
        <v>1</v>
      </c>
      <c r="AM4142">
        <v>100</v>
      </c>
      <c r="AN4142">
        <v>236.11070000000001</v>
      </c>
      <c r="AO4142">
        <v>0</v>
      </c>
      <c r="AP4142" s="13">
        <v>45685</v>
      </c>
      <c r="AQ4142">
        <v>0</v>
      </c>
      <c r="AR4142">
        <v>1</v>
      </c>
    </row>
    <row r="4143" spans="1:44" x14ac:dyDescent="0.35">
      <c r="A4143" s="12" t="s">
        <v>5070</v>
      </c>
      <c r="B4143" s="12" t="s">
        <v>740</v>
      </c>
      <c r="C4143" s="12" t="s">
        <v>741</v>
      </c>
      <c r="D4143" s="12" t="s">
        <v>64</v>
      </c>
      <c r="E4143" s="12" t="s">
        <v>104</v>
      </c>
      <c r="F4143">
        <v>2</v>
      </c>
      <c r="G4143">
        <v>0</v>
      </c>
      <c r="H4143">
        <v>0</v>
      </c>
      <c r="I4143" s="12" t="s">
        <v>183</v>
      </c>
      <c r="J4143" s="12" t="s">
        <v>184</v>
      </c>
      <c r="K4143" s="12" t="s">
        <v>133</v>
      </c>
      <c r="L4143" s="12" t="s">
        <v>82</v>
      </c>
      <c r="M4143">
        <v>8.6199999999999992</v>
      </c>
      <c r="N4143" s="12" t="s">
        <v>70</v>
      </c>
      <c r="O4143" s="12" t="s">
        <v>71</v>
      </c>
      <c r="P4143" s="12" t="s">
        <v>72</v>
      </c>
      <c r="Q4143" s="13">
        <v>45663</v>
      </c>
      <c r="R4143" s="13">
        <v>45681</v>
      </c>
      <c r="S4143">
        <v>2025</v>
      </c>
      <c r="T4143" s="12" t="s">
        <v>5047</v>
      </c>
      <c r="U4143">
        <v>443</v>
      </c>
      <c r="V4143">
        <v>41.1708</v>
      </c>
      <c r="W4143">
        <v>298.67</v>
      </c>
      <c r="X4143">
        <v>0</v>
      </c>
      <c r="Y4143">
        <v>0</v>
      </c>
      <c r="Z4143">
        <v>18238.66</v>
      </c>
      <c r="AA4143">
        <v>18537.330000000002</v>
      </c>
      <c r="AB4143" s="12" t="s">
        <v>3134</v>
      </c>
      <c r="AC4143">
        <v>41.1708</v>
      </c>
      <c r="AD4143">
        <v>1</v>
      </c>
      <c r="AE4143">
        <v>1</v>
      </c>
      <c r="AF4143">
        <v>0</v>
      </c>
      <c r="AG4143">
        <v>18238.66</v>
      </c>
      <c r="AH4143">
        <v>443</v>
      </c>
      <c r="AI4143">
        <v>440</v>
      </c>
      <c r="AJ4143">
        <v>3</v>
      </c>
      <c r="AK4143">
        <v>1</v>
      </c>
      <c r="AL4143">
        <v>1</v>
      </c>
      <c r="AM4143">
        <v>99.32</v>
      </c>
      <c r="AN4143">
        <v>42.130299999999998</v>
      </c>
      <c r="AO4143">
        <v>123.51</v>
      </c>
      <c r="AP4143" s="13">
        <v>45679</v>
      </c>
      <c r="AQ4143">
        <v>-2</v>
      </c>
      <c r="AR4143">
        <v>1</v>
      </c>
    </row>
    <row r="4144" spans="1:44" x14ac:dyDescent="0.35">
      <c r="A4144" s="12" t="s">
        <v>5071</v>
      </c>
      <c r="B4144" s="12" t="s">
        <v>902</v>
      </c>
      <c r="C4144" s="12" t="s">
        <v>903</v>
      </c>
      <c r="D4144" s="12" t="s">
        <v>122</v>
      </c>
      <c r="E4144" s="12" t="s">
        <v>142</v>
      </c>
      <c r="F4144">
        <v>1</v>
      </c>
      <c r="G4144">
        <v>6</v>
      </c>
      <c r="H4144">
        <v>1</v>
      </c>
      <c r="I4144" s="12" t="s">
        <v>105</v>
      </c>
      <c r="J4144" s="12" t="s">
        <v>106</v>
      </c>
      <c r="K4144" s="12" t="s">
        <v>81</v>
      </c>
      <c r="L4144" s="12" t="s">
        <v>96</v>
      </c>
      <c r="M4144">
        <v>5.01</v>
      </c>
      <c r="N4144" s="12" t="s">
        <v>70</v>
      </c>
      <c r="O4144" s="12" t="s">
        <v>71</v>
      </c>
      <c r="P4144" s="12" t="s">
        <v>72</v>
      </c>
      <c r="Q4144" s="13">
        <v>45663</v>
      </c>
      <c r="R4144" s="13">
        <v>45700</v>
      </c>
      <c r="S4144">
        <v>2025</v>
      </c>
      <c r="T4144" s="12" t="s">
        <v>5047</v>
      </c>
      <c r="U4144">
        <v>494</v>
      </c>
      <c r="V4144">
        <v>41.6892</v>
      </c>
      <c r="W4144">
        <v>217.29</v>
      </c>
      <c r="X4144">
        <v>0</v>
      </c>
      <c r="Y4144">
        <v>0</v>
      </c>
      <c r="Z4144">
        <v>20594.46</v>
      </c>
      <c r="AA4144">
        <v>20811.75</v>
      </c>
      <c r="AB4144" s="12" t="s">
        <v>3284</v>
      </c>
      <c r="AC4144">
        <v>41.6892</v>
      </c>
      <c r="AD4144">
        <v>1</v>
      </c>
      <c r="AE4144">
        <v>1</v>
      </c>
      <c r="AF4144">
        <v>0</v>
      </c>
      <c r="AG4144">
        <v>20594.46</v>
      </c>
      <c r="AH4144">
        <v>494</v>
      </c>
      <c r="AI4144">
        <v>488</v>
      </c>
      <c r="AJ4144">
        <v>6</v>
      </c>
      <c r="AK4144">
        <v>1</v>
      </c>
      <c r="AL4144">
        <v>1</v>
      </c>
      <c r="AM4144">
        <v>98.79</v>
      </c>
      <c r="AN4144">
        <v>42.646999999999998</v>
      </c>
      <c r="AO4144">
        <v>250.14</v>
      </c>
      <c r="AP4144" s="13">
        <v>45710</v>
      </c>
      <c r="AQ4144">
        <v>10</v>
      </c>
      <c r="AR4144">
        <v>0</v>
      </c>
    </row>
    <row r="4145" spans="1:44" x14ac:dyDescent="0.35">
      <c r="A4145" s="12" t="s">
        <v>5072</v>
      </c>
      <c r="B4145" s="12" t="s">
        <v>792</v>
      </c>
      <c r="C4145" s="12" t="s">
        <v>793</v>
      </c>
      <c r="D4145" s="12" t="s">
        <v>103</v>
      </c>
      <c r="E4145" s="12" t="s">
        <v>65</v>
      </c>
      <c r="F4145">
        <v>2</v>
      </c>
      <c r="G4145">
        <v>3</v>
      </c>
      <c r="H4145">
        <v>0</v>
      </c>
      <c r="I4145" s="12" t="s">
        <v>115</v>
      </c>
      <c r="J4145" s="12" t="s">
        <v>116</v>
      </c>
      <c r="K4145" s="12" t="s">
        <v>117</v>
      </c>
      <c r="L4145" s="12" t="s">
        <v>82</v>
      </c>
      <c r="M4145">
        <v>17.170000000000002</v>
      </c>
      <c r="N4145" s="12" t="s">
        <v>107</v>
      </c>
      <c r="O4145" s="12" t="s">
        <v>108</v>
      </c>
      <c r="P4145" s="12" t="s">
        <v>109</v>
      </c>
      <c r="Q4145" s="13">
        <v>45663</v>
      </c>
      <c r="R4145" s="13">
        <v>45686</v>
      </c>
      <c r="S4145">
        <v>2025</v>
      </c>
      <c r="T4145" s="12" t="s">
        <v>5047</v>
      </c>
      <c r="U4145">
        <v>25</v>
      </c>
      <c r="V4145">
        <v>98.330600000000004</v>
      </c>
      <c r="W4145">
        <v>52.34</v>
      </c>
      <c r="X4145">
        <v>0</v>
      </c>
      <c r="Y4145">
        <v>0</v>
      </c>
      <c r="Z4145">
        <v>2458.27</v>
      </c>
      <c r="AA4145">
        <v>2510.61</v>
      </c>
      <c r="AB4145" s="12" t="s">
        <v>3411</v>
      </c>
      <c r="AC4145">
        <v>98.330600000000004</v>
      </c>
      <c r="AD4145">
        <v>1</v>
      </c>
      <c r="AE4145">
        <v>1</v>
      </c>
      <c r="AF4145">
        <v>0</v>
      </c>
      <c r="AG4145">
        <v>2458.27</v>
      </c>
      <c r="AH4145">
        <v>25</v>
      </c>
      <c r="AI4145">
        <v>25</v>
      </c>
      <c r="AJ4145">
        <v>0</v>
      </c>
      <c r="AK4145">
        <v>1</v>
      </c>
      <c r="AL4145">
        <v>1</v>
      </c>
      <c r="AM4145">
        <v>100</v>
      </c>
      <c r="AN4145">
        <v>100.4242</v>
      </c>
      <c r="AO4145">
        <v>0</v>
      </c>
      <c r="AP4145" s="13">
        <v>45683</v>
      </c>
      <c r="AQ4145">
        <v>-3</v>
      </c>
      <c r="AR4145">
        <v>1</v>
      </c>
    </row>
    <row r="4146" spans="1:44" x14ac:dyDescent="0.35">
      <c r="A4146" s="12" t="s">
        <v>5073</v>
      </c>
      <c r="B4146" s="12" t="s">
        <v>92</v>
      </c>
      <c r="C4146" s="12" t="s">
        <v>93</v>
      </c>
      <c r="D4146" s="12" t="s">
        <v>64</v>
      </c>
      <c r="E4146" s="12" t="s">
        <v>65</v>
      </c>
      <c r="F4146">
        <v>3</v>
      </c>
      <c r="G4146">
        <v>5</v>
      </c>
      <c r="H4146">
        <v>0</v>
      </c>
      <c r="I4146" s="12" t="s">
        <v>176</v>
      </c>
      <c r="J4146" s="12" t="s">
        <v>177</v>
      </c>
      <c r="K4146" s="12" t="s">
        <v>125</v>
      </c>
      <c r="L4146" s="12" t="s">
        <v>134</v>
      </c>
      <c r="M4146">
        <v>1.75</v>
      </c>
      <c r="N4146" s="12" t="s">
        <v>97</v>
      </c>
      <c r="O4146" s="12" t="s">
        <v>98</v>
      </c>
      <c r="P4146" s="12" t="s">
        <v>72</v>
      </c>
      <c r="Q4146" s="13">
        <v>45663</v>
      </c>
      <c r="R4146" s="13">
        <v>45685</v>
      </c>
      <c r="S4146">
        <v>2025</v>
      </c>
      <c r="T4146" s="12" t="s">
        <v>5047</v>
      </c>
      <c r="U4146">
        <v>179</v>
      </c>
      <c r="V4146">
        <v>25.5548</v>
      </c>
      <c r="W4146">
        <v>79.81</v>
      </c>
      <c r="X4146">
        <v>0</v>
      </c>
      <c r="Y4146">
        <v>0</v>
      </c>
      <c r="Z4146">
        <v>4574.3100000000004</v>
      </c>
      <c r="AA4146">
        <v>4654.12</v>
      </c>
      <c r="AB4146" s="12" t="s">
        <v>201</v>
      </c>
      <c r="AD4146">
        <v>0</v>
      </c>
      <c r="AE4146">
        <v>0</v>
      </c>
      <c r="AK4146">
        <v>0</v>
      </c>
      <c r="AL4146">
        <v>0</v>
      </c>
      <c r="AO4146">
        <v>0</v>
      </c>
      <c r="AP4146" s="13"/>
    </row>
    <row r="4147" spans="1:44" x14ac:dyDescent="0.35">
      <c r="A4147" s="12" t="s">
        <v>5074</v>
      </c>
      <c r="B4147" s="12" t="s">
        <v>680</v>
      </c>
      <c r="C4147" s="12" t="s">
        <v>681</v>
      </c>
      <c r="D4147" s="12" t="s">
        <v>122</v>
      </c>
      <c r="E4147" s="12" t="s">
        <v>104</v>
      </c>
      <c r="F4147">
        <v>3</v>
      </c>
      <c r="G4147">
        <v>1</v>
      </c>
      <c r="H4147">
        <v>0</v>
      </c>
      <c r="I4147" s="12" t="s">
        <v>243</v>
      </c>
      <c r="J4147" s="12" t="s">
        <v>244</v>
      </c>
      <c r="K4147" s="12" t="s">
        <v>81</v>
      </c>
      <c r="L4147" s="12" t="s">
        <v>82</v>
      </c>
      <c r="M4147">
        <v>9.2200000000000006</v>
      </c>
      <c r="N4147" s="12" t="s">
        <v>97</v>
      </c>
      <c r="O4147" s="12" t="s">
        <v>98</v>
      </c>
      <c r="P4147" s="12" t="s">
        <v>72</v>
      </c>
      <c r="Q4147" s="13">
        <v>45664</v>
      </c>
      <c r="R4147" s="13">
        <v>45678</v>
      </c>
      <c r="S4147">
        <v>2025</v>
      </c>
      <c r="T4147" s="12" t="s">
        <v>5047</v>
      </c>
      <c r="U4147">
        <v>454</v>
      </c>
      <c r="V4147">
        <v>22.8827</v>
      </c>
      <c r="W4147">
        <v>110.13</v>
      </c>
      <c r="X4147">
        <v>0</v>
      </c>
      <c r="Y4147">
        <v>0</v>
      </c>
      <c r="Z4147">
        <v>10388.75</v>
      </c>
      <c r="AA4147">
        <v>10498.88</v>
      </c>
      <c r="AB4147" s="12" t="s">
        <v>3691</v>
      </c>
      <c r="AC4147">
        <v>22.8827</v>
      </c>
      <c r="AD4147">
        <v>1</v>
      </c>
      <c r="AE4147">
        <v>1</v>
      </c>
      <c r="AF4147">
        <v>0</v>
      </c>
      <c r="AG4147">
        <v>10388.75</v>
      </c>
      <c r="AH4147">
        <v>454</v>
      </c>
      <c r="AI4147">
        <v>451</v>
      </c>
      <c r="AJ4147">
        <v>3</v>
      </c>
      <c r="AK4147">
        <v>1</v>
      </c>
      <c r="AL4147">
        <v>1</v>
      </c>
      <c r="AM4147">
        <v>99.34</v>
      </c>
      <c r="AN4147">
        <v>23.2791</v>
      </c>
      <c r="AO4147">
        <v>68.650000000000006</v>
      </c>
      <c r="AP4147" s="13">
        <v>45676</v>
      </c>
      <c r="AQ4147">
        <v>-2</v>
      </c>
      <c r="AR4147">
        <v>1</v>
      </c>
    </row>
    <row r="4148" spans="1:44" x14ac:dyDescent="0.35">
      <c r="A4148" s="12" t="s">
        <v>5075</v>
      </c>
      <c r="B4148" s="12" t="s">
        <v>149</v>
      </c>
      <c r="C4148" s="12" t="s">
        <v>150</v>
      </c>
      <c r="D4148" s="12" t="s">
        <v>78</v>
      </c>
      <c r="E4148" s="12" t="s">
        <v>65</v>
      </c>
      <c r="F4148">
        <v>2</v>
      </c>
      <c r="G4148">
        <v>2</v>
      </c>
      <c r="H4148">
        <v>0</v>
      </c>
      <c r="I4148" s="12" t="s">
        <v>151</v>
      </c>
      <c r="J4148" s="12" t="s">
        <v>152</v>
      </c>
      <c r="K4148" s="12" t="s">
        <v>125</v>
      </c>
      <c r="L4148" s="12" t="s">
        <v>69</v>
      </c>
      <c r="M4148">
        <v>36.479999999999997</v>
      </c>
      <c r="N4148" s="12" t="s">
        <v>70</v>
      </c>
      <c r="O4148" s="12" t="s">
        <v>71</v>
      </c>
      <c r="P4148" s="12" t="s">
        <v>72</v>
      </c>
      <c r="Q4148" s="13">
        <v>45664</v>
      </c>
      <c r="R4148" s="13">
        <v>45699</v>
      </c>
      <c r="S4148">
        <v>2025</v>
      </c>
      <c r="T4148" s="12" t="s">
        <v>5047</v>
      </c>
      <c r="U4148">
        <v>243</v>
      </c>
      <c r="V4148">
        <v>65.934700000000007</v>
      </c>
      <c r="W4148">
        <v>336.72</v>
      </c>
      <c r="X4148">
        <v>0</v>
      </c>
      <c r="Y4148">
        <v>0</v>
      </c>
      <c r="Z4148">
        <v>16022.13</v>
      </c>
      <c r="AA4148">
        <v>16358.85</v>
      </c>
      <c r="AB4148" s="12" t="s">
        <v>5076</v>
      </c>
      <c r="AC4148">
        <v>65.934700000000007</v>
      </c>
      <c r="AD4148">
        <v>1</v>
      </c>
      <c r="AE4148">
        <v>1</v>
      </c>
      <c r="AF4148">
        <v>0</v>
      </c>
      <c r="AG4148">
        <v>16022.13</v>
      </c>
      <c r="AH4148">
        <v>243</v>
      </c>
      <c r="AI4148">
        <v>238</v>
      </c>
      <c r="AJ4148">
        <v>5</v>
      </c>
      <c r="AK4148">
        <v>1</v>
      </c>
      <c r="AL4148">
        <v>1</v>
      </c>
      <c r="AM4148">
        <v>97.94</v>
      </c>
      <c r="AN4148">
        <v>68.734700000000004</v>
      </c>
      <c r="AO4148">
        <v>329.67</v>
      </c>
      <c r="AP4148" s="13">
        <v>45699</v>
      </c>
      <c r="AQ4148">
        <v>0</v>
      </c>
      <c r="AR4148">
        <v>1</v>
      </c>
    </row>
    <row r="4149" spans="1:44" x14ac:dyDescent="0.35">
      <c r="A4149" s="12" t="s">
        <v>5077</v>
      </c>
      <c r="B4149" s="12" t="s">
        <v>465</v>
      </c>
      <c r="C4149" s="12" t="s">
        <v>466</v>
      </c>
      <c r="D4149" s="12" t="s">
        <v>78</v>
      </c>
      <c r="E4149" s="12" t="s">
        <v>142</v>
      </c>
      <c r="F4149">
        <v>3</v>
      </c>
      <c r="G4149">
        <v>11</v>
      </c>
      <c r="H4149">
        <v>0</v>
      </c>
      <c r="I4149" s="12" t="s">
        <v>380</v>
      </c>
      <c r="J4149" s="12" t="s">
        <v>381</v>
      </c>
      <c r="K4149" s="12" t="s">
        <v>89</v>
      </c>
      <c r="L4149" s="12" t="s">
        <v>96</v>
      </c>
      <c r="M4149">
        <v>10.210000000000001</v>
      </c>
      <c r="N4149" s="12" t="s">
        <v>97</v>
      </c>
      <c r="O4149" s="12" t="s">
        <v>98</v>
      </c>
      <c r="P4149" s="12" t="s">
        <v>72</v>
      </c>
      <c r="Q4149" s="13">
        <v>45664</v>
      </c>
      <c r="R4149" s="13">
        <v>45706</v>
      </c>
      <c r="S4149">
        <v>2025</v>
      </c>
      <c r="T4149" s="12" t="s">
        <v>5047</v>
      </c>
      <c r="U4149">
        <v>145</v>
      </c>
      <c r="V4149">
        <v>112.28230000000001</v>
      </c>
      <c r="W4149">
        <v>264.98</v>
      </c>
      <c r="X4149">
        <v>0</v>
      </c>
      <c r="Y4149">
        <v>0</v>
      </c>
      <c r="Z4149">
        <v>16280.93</v>
      </c>
      <c r="AA4149">
        <v>16545.91</v>
      </c>
      <c r="AB4149" s="12" t="s">
        <v>201</v>
      </c>
      <c r="AD4149">
        <v>0</v>
      </c>
      <c r="AE4149">
        <v>0</v>
      </c>
      <c r="AH4149">
        <v>145</v>
      </c>
      <c r="AI4149">
        <v>143</v>
      </c>
      <c r="AJ4149">
        <v>2</v>
      </c>
      <c r="AK4149">
        <v>1</v>
      </c>
      <c r="AL4149">
        <v>1</v>
      </c>
      <c r="AM4149">
        <v>98.62</v>
      </c>
      <c r="AN4149">
        <v>115.70569999999999</v>
      </c>
      <c r="AO4149">
        <v>224.56</v>
      </c>
      <c r="AP4149" s="13">
        <v>45703</v>
      </c>
      <c r="AQ4149">
        <v>-3</v>
      </c>
      <c r="AR4149">
        <v>1</v>
      </c>
    </row>
    <row r="4150" spans="1:44" x14ac:dyDescent="0.35">
      <c r="A4150" s="12" t="s">
        <v>5078</v>
      </c>
      <c r="B4150" s="12" t="s">
        <v>167</v>
      </c>
      <c r="C4150" s="12" t="s">
        <v>168</v>
      </c>
      <c r="D4150" s="12" t="s">
        <v>64</v>
      </c>
      <c r="E4150" s="12" t="s">
        <v>104</v>
      </c>
      <c r="F4150">
        <v>3</v>
      </c>
      <c r="G4150">
        <v>1</v>
      </c>
      <c r="H4150">
        <v>0</v>
      </c>
      <c r="I4150" s="12" t="s">
        <v>195</v>
      </c>
      <c r="J4150" s="12" t="s">
        <v>196</v>
      </c>
      <c r="K4150" s="12" t="s">
        <v>117</v>
      </c>
      <c r="L4150" s="12" t="s">
        <v>134</v>
      </c>
      <c r="M4150">
        <v>4.7699999999999996</v>
      </c>
      <c r="N4150" s="12" t="s">
        <v>97</v>
      </c>
      <c r="O4150" s="12" t="s">
        <v>98</v>
      </c>
      <c r="P4150" s="12" t="s">
        <v>72</v>
      </c>
      <c r="Q4150" s="13">
        <v>45664</v>
      </c>
      <c r="R4150" s="13">
        <v>45681</v>
      </c>
      <c r="S4150">
        <v>2025</v>
      </c>
      <c r="T4150" s="12" t="s">
        <v>5047</v>
      </c>
      <c r="U4150">
        <v>378</v>
      </c>
      <c r="V4150">
        <v>27.264700000000001</v>
      </c>
      <c r="W4150">
        <v>195.35</v>
      </c>
      <c r="X4150">
        <v>0</v>
      </c>
      <c r="Y4150">
        <v>0</v>
      </c>
      <c r="Z4150">
        <v>10306.06</v>
      </c>
      <c r="AA4150">
        <v>10501.41</v>
      </c>
      <c r="AB4150" s="12" t="s">
        <v>201</v>
      </c>
      <c r="AD4150">
        <v>0</v>
      </c>
      <c r="AE4150">
        <v>0</v>
      </c>
      <c r="AH4150">
        <v>378</v>
      </c>
      <c r="AI4150">
        <v>375</v>
      </c>
      <c r="AJ4150">
        <v>3</v>
      </c>
      <c r="AK4150">
        <v>1</v>
      </c>
      <c r="AL4150">
        <v>1</v>
      </c>
      <c r="AM4150">
        <v>99.21</v>
      </c>
      <c r="AN4150">
        <v>28.003799999999998</v>
      </c>
      <c r="AO4150">
        <v>81.790000000000006</v>
      </c>
      <c r="AP4150" s="13">
        <v>45687</v>
      </c>
      <c r="AQ4150">
        <v>6</v>
      </c>
      <c r="AR4150">
        <v>0</v>
      </c>
    </row>
    <row r="4151" spans="1:44" x14ac:dyDescent="0.35">
      <c r="A4151" s="12" t="s">
        <v>5079</v>
      </c>
      <c r="B4151" s="12" t="s">
        <v>621</v>
      </c>
      <c r="C4151" s="12" t="s">
        <v>622</v>
      </c>
      <c r="D4151" s="12" t="s">
        <v>103</v>
      </c>
      <c r="E4151" s="12" t="s">
        <v>65</v>
      </c>
      <c r="F4151">
        <v>1</v>
      </c>
      <c r="G4151">
        <v>2</v>
      </c>
      <c r="H4151">
        <v>1</v>
      </c>
      <c r="I4151" s="12" t="s">
        <v>486</v>
      </c>
      <c r="J4151" s="12" t="s">
        <v>487</v>
      </c>
      <c r="K4151" s="12" t="s">
        <v>125</v>
      </c>
      <c r="L4151" s="12" t="s">
        <v>69</v>
      </c>
      <c r="M4151">
        <v>36.86</v>
      </c>
      <c r="N4151" s="12" t="s">
        <v>107</v>
      </c>
      <c r="O4151" s="12" t="s">
        <v>108</v>
      </c>
      <c r="P4151" s="12" t="s">
        <v>109</v>
      </c>
      <c r="Q4151" s="13">
        <v>45664</v>
      </c>
      <c r="R4151" s="13">
        <v>45693</v>
      </c>
      <c r="S4151">
        <v>2025</v>
      </c>
      <c r="T4151" s="12" t="s">
        <v>5047</v>
      </c>
      <c r="U4151">
        <v>76</v>
      </c>
      <c r="V4151">
        <v>201.08609999999999</v>
      </c>
      <c r="W4151">
        <v>367.07</v>
      </c>
      <c r="X4151">
        <v>0</v>
      </c>
      <c r="Y4151">
        <v>0</v>
      </c>
      <c r="Z4151">
        <v>15282.54</v>
      </c>
      <c r="AA4151">
        <v>15649.61</v>
      </c>
      <c r="AB4151" s="12" t="s">
        <v>2658</v>
      </c>
      <c r="AC4151">
        <v>201.08609999999999</v>
      </c>
      <c r="AD4151">
        <v>1</v>
      </c>
      <c r="AE4151">
        <v>1</v>
      </c>
      <c r="AF4151">
        <v>0</v>
      </c>
      <c r="AG4151">
        <v>15282.54</v>
      </c>
      <c r="AH4151">
        <v>76</v>
      </c>
      <c r="AI4151">
        <v>76</v>
      </c>
      <c r="AJ4151">
        <v>0</v>
      </c>
      <c r="AK4151">
        <v>1</v>
      </c>
      <c r="AL4151">
        <v>1</v>
      </c>
      <c r="AM4151">
        <v>100</v>
      </c>
      <c r="AN4151">
        <v>205.916</v>
      </c>
      <c r="AO4151">
        <v>0</v>
      </c>
      <c r="AP4151" s="13">
        <v>45693</v>
      </c>
      <c r="AQ4151">
        <v>0</v>
      </c>
      <c r="AR4151">
        <v>1</v>
      </c>
    </row>
    <row r="4152" spans="1:44" x14ac:dyDescent="0.35">
      <c r="A4152" s="12" t="s">
        <v>5080</v>
      </c>
      <c r="B4152" s="12" t="s">
        <v>728</v>
      </c>
      <c r="C4152" s="12" t="s">
        <v>729</v>
      </c>
      <c r="D4152" s="12" t="s">
        <v>269</v>
      </c>
      <c r="E4152" s="12" t="s">
        <v>65</v>
      </c>
      <c r="F4152">
        <v>2</v>
      </c>
      <c r="G4152">
        <v>3</v>
      </c>
      <c r="H4152">
        <v>0</v>
      </c>
      <c r="I4152" s="12" t="s">
        <v>310</v>
      </c>
      <c r="J4152" s="12" t="s">
        <v>311</v>
      </c>
      <c r="K4152" s="12" t="s">
        <v>81</v>
      </c>
      <c r="L4152" s="12" t="s">
        <v>69</v>
      </c>
      <c r="M4152">
        <v>28.3</v>
      </c>
      <c r="N4152" s="12" t="s">
        <v>135</v>
      </c>
      <c r="O4152" s="12" t="s">
        <v>136</v>
      </c>
      <c r="P4152" s="12" t="s">
        <v>137</v>
      </c>
      <c r="Q4152" s="13">
        <v>45664</v>
      </c>
      <c r="R4152" s="13">
        <v>45689</v>
      </c>
      <c r="S4152">
        <v>2025</v>
      </c>
      <c r="T4152" s="12" t="s">
        <v>5047</v>
      </c>
      <c r="U4152">
        <v>47</v>
      </c>
      <c r="V4152">
        <v>364.55509999999998</v>
      </c>
      <c r="W4152">
        <v>430.1</v>
      </c>
      <c r="X4152">
        <v>0</v>
      </c>
      <c r="Y4152">
        <v>0</v>
      </c>
      <c r="Z4152">
        <v>17134.09</v>
      </c>
      <c r="AA4152">
        <v>17564.189999999999</v>
      </c>
      <c r="AB4152" s="12" t="s">
        <v>3329</v>
      </c>
      <c r="AC4152">
        <v>364.55509999999998</v>
      </c>
      <c r="AD4152">
        <v>1</v>
      </c>
      <c r="AE4152">
        <v>1</v>
      </c>
      <c r="AF4152">
        <v>0</v>
      </c>
      <c r="AG4152">
        <v>17134.09</v>
      </c>
      <c r="AH4152">
        <v>47</v>
      </c>
      <c r="AI4152">
        <v>46</v>
      </c>
      <c r="AJ4152">
        <v>1</v>
      </c>
      <c r="AK4152">
        <v>1</v>
      </c>
      <c r="AL4152">
        <v>1</v>
      </c>
      <c r="AM4152">
        <v>97.87</v>
      </c>
      <c r="AN4152">
        <v>381.83019999999999</v>
      </c>
      <c r="AO4152">
        <v>364.56</v>
      </c>
      <c r="AP4152" s="13">
        <v>45686</v>
      </c>
      <c r="AQ4152">
        <v>-3</v>
      </c>
      <c r="AR4152">
        <v>1</v>
      </c>
    </row>
    <row r="4153" spans="1:44" x14ac:dyDescent="0.35">
      <c r="A4153" s="12" t="s">
        <v>5081</v>
      </c>
      <c r="B4153" s="12" t="s">
        <v>454</v>
      </c>
      <c r="C4153" s="12" t="s">
        <v>455</v>
      </c>
      <c r="D4153" s="12" t="s">
        <v>122</v>
      </c>
      <c r="E4153" s="12" t="s">
        <v>104</v>
      </c>
      <c r="F4153">
        <v>3</v>
      </c>
      <c r="G4153">
        <v>1</v>
      </c>
      <c r="H4153">
        <v>0</v>
      </c>
      <c r="I4153" s="12" t="s">
        <v>243</v>
      </c>
      <c r="J4153" s="12" t="s">
        <v>244</v>
      </c>
      <c r="K4153" s="12" t="s">
        <v>81</v>
      </c>
      <c r="L4153" s="12" t="s">
        <v>82</v>
      </c>
      <c r="M4153">
        <v>9.2200000000000006</v>
      </c>
      <c r="N4153" s="12" t="s">
        <v>97</v>
      </c>
      <c r="O4153" s="12" t="s">
        <v>98</v>
      </c>
      <c r="P4153" s="12" t="s">
        <v>72</v>
      </c>
      <c r="Q4153" s="13">
        <v>45664</v>
      </c>
      <c r="R4153" s="13">
        <v>45690</v>
      </c>
      <c r="S4153">
        <v>2025</v>
      </c>
      <c r="T4153" s="12" t="s">
        <v>5047</v>
      </c>
      <c r="U4153">
        <v>1688</v>
      </c>
      <c r="V4153">
        <v>20.9206</v>
      </c>
      <c r="W4153">
        <v>503.32</v>
      </c>
      <c r="X4153">
        <v>0</v>
      </c>
      <c r="Y4153">
        <v>0</v>
      </c>
      <c r="Z4153">
        <v>35313.97</v>
      </c>
      <c r="AA4153">
        <v>35817.29</v>
      </c>
      <c r="AB4153" s="12" t="s">
        <v>2767</v>
      </c>
      <c r="AC4153">
        <v>20.9206</v>
      </c>
      <c r="AD4153">
        <v>1</v>
      </c>
      <c r="AE4153">
        <v>1</v>
      </c>
      <c r="AF4153">
        <v>0</v>
      </c>
      <c r="AG4153">
        <v>35313.97</v>
      </c>
      <c r="AH4153">
        <v>1688</v>
      </c>
      <c r="AI4153">
        <v>1680</v>
      </c>
      <c r="AJ4153">
        <v>8</v>
      </c>
      <c r="AK4153">
        <v>1</v>
      </c>
      <c r="AL4153">
        <v>1</v>
      </c>
      <c r="AM4153">
        <v>99.53</v>
      </c>
      <c r="AN4153">
        <v>21.319800000000001</v>
      </c>
      <c r="AO4153">
        <v>167.36</v>
      </c>
      <c r="AP4153" s="13">
        <v>45689</v>
      </c>
      <c r="AQ4153">
        <v>-1</v>
      </c>
      <c r="AR4153">
        <v>1</v>
      </c>
    </row>
    <row r="4154" spans="1:44" x14ac:dyDescent="0.35">
      <c r="A4154" s="12" t="s">
        <v>5082</v>
      </c>
      <c r="B4154" s="12" t="s">
        <v>494</v>
      </c>
      <c r="C4154" s="12" t="s">
        <v>495</v>
      </c>
      <c r="D4154" s="12" t="s">
        <v>175</v>
      </c>
      <c r="E4154" s="12" t="s">
        <v>65</v>
      </c>
      <c r="F4154">
        <v>2</v>
      </c>
      <c r="G4154">
        <v>3</v>
      </c>
      <c r="H4154">
        <v>0</v>
      </c>
      <c r="I4154" s="12" t="s">
        <v>275</v>
      </c>
      <c r="J4154" s="12" t="s">
        <v>276</v>
      </c>
      <c r="K4154" s="12" t="s">
        <v>89</v>
      </c>
      <c r="L4154" s="12" t="s">
        <v>82</v>
      </c>
      <c r="M4154">
        <v>14.26</v>
      </c>
      <c r="N4154" s="12" t="s">
        <v>145</v>
      </c>
      <c r="O4154" s="12" t="s">
        <v>146</v>
      </c>
      <c r="P4154" s="12" t="s">
        <v>109</v>
      </c>
      <c r="Q4154" s="13">
        <v>45664</v>
      </c>
      <c r="R4154" s="13">
        <v>45689</v>
      </c>
      <c r="S4154">
        <v>2025</v>
      </c>
      <c r="T4154" s="12" t="s">
        <v>5047</v>
      </c>
      <c r="U4154">
        <v>45</v>
      </c>
      <c r="V4154">
        <v>176.40129999999999</v>
      </c>
      <c r="W4154">
        <v>75.09</v>
      </c>
      <c r="X4154">
        <v>0</v>
      </c>
      <c r="Y4154">
        <v>0</v>
      </c>
      <c r="Z4154">
        <v>7938.06</v>
      </c>
      <c r="AA4154">
        <v>8013.15</v>
      </c>
      <c r="AB4154" s="12" t="s">
        <v>201</v>
      </c>
      <c r="AD4154">
        <v>0</v>
      </c>
      <c r="AE4154">
        <v>0</v>
      </c>
      <c r="AH4154">
        <v>45</v>
      </c>
      <c r="AI4154">
        <v>45</v>
      </c>
      <c r="AJ4154">
        <v>0</v>
      </c>
      <c r="AK4154">
        <v>1</v>
      </c>
      <c r="AL4154">
        <v>1</v>
      </c>
      <c r="AM4154">
        <v>100</v>
      </c>
      <c r="AN4154">
        <v>178.07</v>
      </c>
      <c r="AO4154">
        <v>0</v>
      </c>
      <c r="AP4154" s="13">
        <v>45695</v>
      </c>
      <c r="AQ4154">
        <v>6</v>
      </c>
      <c r="AR4154">
        <v>0</v>
      </c>
    </row>
    <row r="4155" spans="1:44" x14ac:dyDescent="0.35">
      <c r="A4155" s="12" t="s">
        <v>5083</v>
      </c>
      <c r="B4155" s="12" t="s">
        <v>712</v>
      </c>
      <c r="C4155" s="12" t="s">
        <v>713</v>
      </c>
      <c r="D4155" s="12" t="s">
        <v>103</v>
      </c>
      <c r="E4155" s="12" t="s">
        <v>104</v>
      </c>
      <c r="F4155">
        <v>2</v>
      </c>
      <c r="G4155">
        <v>0</v>
      </c>
      <c r="H4155">
        <v>0</v>
      </c>
      <c r="I4155" s="12" t="s">
        <v>199</v>
      </c>
      <c r="J4155" s="12" t="s">
        <v>200</v>
      </c>
      <c r="K4155" s="12" t="s">
        <v>68</v>
      </c>
      <c r="L4155" s="12" t="s">
        <v>96</v>
      </c>
      <c r="M4155">
        <v>9.4700000000000006</v>
      </c>
      <c r="N4155" s="12" t="s">
        <v>107</v>
      </c>
      <c r="O4155" s="12" t="s">
        <v>108</v>
      </c>
      <c r="P4155" s="12" t="s">
        <v>109</v>
      </c>
      <c r="Q4155" s="13">
        <v>45664</v>
      </c>
      <c r="R4155" s="13">
        <v>45692</v>
      </c>
      <c r="S4155">
        <v>2025</v>
      </c>
      <c r="T4155" s="12" t="s">
        <v>5047</v>
      </c>
      <c r="U4155">
        <v>139</v>
      </c>
      <c r="V4155">
        <v>217.571</v>
      </c>
      <c r="W4155">
        <v>196.89</v>
      </c>
      <c r="X4155">
        <v>0</v>
      </c>
      <c r="Y4155">
        <v>0</v>
      </c>
      <c r="Z4155">
        <v>30242.37</v>
      </c>
      <c r="AA4155">
        <v>30439.26</v>
      </c>
      <c r="AB4155" s="12" t="s">
        <v>201</v>
      </c>
      <c r="AD4155">
        <v>0</v>
      </c>
      <c r="AE4155">
        <v>0</v>
      </c>
      <c r="AH4155">
        <v>139</v>
      </c>
      <c r="AI4155">
        <v>138</v>
      </c>
      <c r="AJ4155">
        <v>1</v>
      </c>
      <c r="AK4155">
        <v>1</v>
      </c>
      <c r="AL4155">
        <v>1</v>
      </c>
      <c r="AM4155">
        <v>99.28</v>
      </c>
      <c r="AN4155">
        <v>220.57429999999999</v>
      </c>
      <c r="AO4155">
        <v>217.57</v>
      </c>
      <c r="AP4155" s="13">
        <v>45695</v>
      </c>
      <c r="AQ4155">
        <v>3</v>
      </c>
      <c r="AR4155">
        <v>0</v>
      </c>
    </row>
    <row r="4156" spans="1:44" x14ac:dyDescent="0.35">
      <c r="A4156" s="12" t="s">
        <v>5084</v>
      </c>
      <c r="B4156" s="12" t="s">
        <v>891</v>
      </c>
      <c r="C4156" s="12" t="s">
        <v>892</v>
      </c>
      <c r="D4156" s="12" t="s">
        <v>122</v>
      </c>
      <c r="E4156" s="12" t="s">
        <v>65</v>
      </c>
      <c r="F4156">
        <v>3</v>
      </c>
      <c r="G4156">
        <v>5</v>
      </c>
      <c r="H4156">
        <v>0</v>
      </c>
      <c r="I4156" s="12" t="s">
        <v>195</v>
      </c>
      <c r="J4156" s="12" t="s">
        <v>196</v>
      </c>
      <c r="K4156" s="12" t="s">
        <v>117</v>
      </c>
      <c r="L4156" s="12" t="s">
        <v>134</v>
      </c>
      <c r="M4156">
        <v>4.7699999999999996</v>
      </c>
      <c r="N4156" s="12" t="s">
        <v>97</v>
      </c>
      <c r="O4156" s="12" t="s">
        <v>98</v>
      </c>
      <c r="P4156" s="12" t="s">
        <v>72</v>
      </c>
      <c r="Q4156" s="13">
        <v>45665</v>
      </c>
      <c r="R4156" s="13">
        <v>45698</v>
      </c>
      <c r="S4156">
        <v>2025</v>
      </c>
      <c r="T4156" s="12" t="s">
        <v>5047</v>
      </c>
      <c r="U4156">
        <v>1449</v>
      </c>
      <c r="V4156">
        <v>35.594900000000003</v>
      </c>
      <c r="W4156">
        <v>434.18</v>
      </c>
      <c r="X4156">
        <v>0</v>
      </c>
      <c r="Y4156">
        <v>0</v>
      </c>
      <c r="Z4156">
        <v>51577.01</v>
      </c>
      <c r="AA4156">
        <v>52011.19</v>
      </c>
      <c r="AB4156" s="12" t="s">
        <v>3629</v>
      </c>
      <c r="AC4156">
        <v>37.859200000000001</v>
      </c>
      <c r="AD4156">
        <v>1</v>
      </c>
      <c r="AE4156">
        <v>1</v>
      </c>
      <c r="AF4156">
        <v>-3280.97</v>
      </c>
      <c r="AG4156">
        <v>54857.98</v>
      </c>
      <c r="AH4156">
        <v>1449</v>
      </c>
      <c r="AI4156">
        <v>1432</v>
      </c>
      <c r="AJ4156">
        <v>17</v>
      </c>
      <c r="AK4156">
        <v>1</v>
      </c>
      <c r="AL4156">
        <v>1</v>
      </c>
      <c r="AM4156">
        <v>98.83</v>
      </c>
      <c r="AN4156">
        <v>36.320700000000002</v>
      </c>
      <c r="AO4156">
        <v>605.11</v>
      </c>
      <c r="AP4156" s="13">
        <v>45696</v>
      </c>
      <c r="AQ4156">
        <v>-2</v>
      </c>
      <c r="AR4156">
        <v>1</v>
      </c>
    </row>
    <row r="4157" spans="1:44" x14ac:dyDescent="0.35">
      <c r="A4157" s="12" t="s">
        <v>5085</v>
      </c>
      <c r="B4157" s="12" t="s">
        <v>308</v>
      </c>
      <c r="C4157" s="12" t="s">
        <v>309</v>
      </c>
      <c r="D4157" s="12" t="s">
        <v>122</v>
      </c>
      <c r="E4157" s="12" t="s">
        <v>142</v>
      </c>
      <c r="F4157">
        <v>1</v>
      </c>
      <c r="G4157">
        <v>6</v>
      </c>
      <c r="H4157">
        <v>1</v>
      </c>
      <c r="I4157" s="12" t="s">
        <v>310</v>
      </c>
      <c r="J4157" s="12" t="s">
        <v>311</v>
      </c>
      <c r="K4157" s="12" t="s">
        <v>81</v>
      </c>
      <c r="L4157" s="12" t="s">
        <v>69</v>
      </c>
      <c r="M4157">
        <v>28.3</v>
      </c>
      <c r="N4157" s="12" t="s">
        <v>70</v>
      </c>
      <c r="O4157" s="12" t="s">
        <v>71</v>
      </c>
      <c r="P4157" s="12" t="s">
        <v>72</v>
      </c>
      <c r="Q4157" s="13">
        <v>45665</v>
      </c>
      <c r="R4157" s="13">
        <v>45704</v>
      </c>
      <c r="S4157">
        <v>2025</v>
      </c>
      <c r="T4157" s="12" t="s">
        <v>5047</v>
      </c>
      <c r="U4157">
        <v>612</v>
      </c>
      <c r="V4157">
        <v>58.086399999999998</v>
      </c>
      <c r="W4157">
        <v>338.14</v>
      </c>
      <c r="X4157">
        <v>1085.48</v>
      </c>
      <c r="Y4157">
        <v>1</v>
      </c>
      <c r="Z4157">
        <v>35548.879999999997</v>
      </c>
      <c r="AA4157">
        <v>36972.5</v>
      </c>
      <c r="AB4157" s="12" t="s">
        <v>2726</v>
      </c>
      <c r="AC4157">
        <v>58.086399999999998</v>
      </c>
      <c r="AD4157">
        <v>1</v>
      </c>
      <c r="AE4157">
        <v>1</v>
      </c>
      <c r="AF4157">
        <v>0</v>
      </c>
      <c r="AG4157">
        <v>35548.879999999997</v>
      </c>
      <c r="AH4157">
        <v>612</v>
      </c>
      <c r="AI4157">
        <v>609</v>
      </c>
      <c r="AJ4157">
        <v>3</v>
      </c>
      <c r="AK4157">
        <v>1</v>
      </c>
      <c r="AL4157">
        <v>1</v>
      </c>
      <c r="AM4157">
        <v>99.51</v>
      </c>
      <c r="AN4157">
        <v>60.7102</v>
      </c>
      <c r="AO4157">
        <v>174.26</v>
      </c>
      <c r="AP4157" s="13">
        <v>45703</v>
      </c>
      <c r="AQ4157">
        <v>-1</v>
      </c>
      <c r="AR4157">
        <v>1</v>
      </c>
    </row>
    <row r="4158" spans="1:44" x14ac:dyDescent="0.35">
      <c r="A4158" s="12" t="s">
        <v>5086</v>
      </c>
      <c r="B4158" s="12" t="s">
        <v>694</v>
      </c>
      <c r="C4158" s="12" t="s">
        <v>695</v>
      </c>
      <c r="D4158" s="12" t="s">
        <v>103</v>
      </c>
      <c r="E4158" s="12" t="s">
        <v>65</v>
      </c>
      <c r="F4158">
        <v>2</v>
      </c>
      <c r="G4158">
        <v>3</v>
      </c>
      <c r="H4158">
        <v>0</v>
      </c>
      <c r="I4158" s="12" t="s">
        <v>263</v>
      </c>
      <c r="J4158" s="12" t="s">
        <v>264</v>
      </c>
      <c r="K4158" s="12" t="s">
        <v>125</v>
      </c>
      <c r="L4158" s="12" t="s">
        <v>82</v>
      </c>
      <c r="M4158">
        <v>10.210000000000001</v>
      </c>
      <c r="N4158" s="12" t="s">
        <v>107</v>
      </c>
      <c r="O4158" s="12" t="s">
        <v>108</v>
      </c>
      <c r="P4158" s="12" t="s">
        <v>109</v>
      </c>
      <c r="Q4158" s="13">
        <v>45665</v>
      </c>
      <c r="R4158" s="13">
        <v>45701</v>
      </c>
      <c r="S4158">
        <v>2025</v>
      </c>
      <c r="T4158" s="12" t="s">
        <v>5047</v>
      </c>
      <c r="U4158">
        <v>127</v>
      </c>
      <c r="V4158">
        <v>211.1463</v>
      </c>
      <c r="W4158">
        <v>642.89</v>
      </c>
      <c r="X4158">
        <v>0</v>
      </c>
      <c r="Y4158">
        <v>0</v>
      </c>
      <c r="Z4158">
        <v>26815.58</v>
      </c>
      <c r="AA4158">
        <v>27458.47</v>
      </c>
      <c r="AB4158" s="12" t="s">
        <v>3377</v>
      </c>
      <c r="AC4158">
        <v>211.1463</v>
      </c>
      <c r="AD4158">
        <v>1</v>
      </c>
      <c r="AE4158">
        <v>1</v>
      </c>
      <c r="AF4158">
        <v>0</v>
      </c>
      <c r="AG4158">
        <v>26815.58</v>
      </c>
      <c r="AH4158">
        <v>127</v>
      </c>
      <c r="AI4158">
        <v>126</v>
      </c>
      <c r="AJ4158">
        <v>1</v>
      </c>
      <c r="AK4158">
        <v>1</v>
      </c>
      <c r="AL4158">
        <v>1</v>
      </c>
      <c r="AM4158">
        <v>99.21</v>
      </c>
      <c r="AN4158">
        <v>217.92439999999999</v>
      </c>
      <c r="AO4158">
        <v>211.15</v>
      </c>
      <c r="AP4158" s="13">
        <v>45698</v>
      </c>
      <c r="AQ4158">
        <v>-3</v>
      </c>
      <c r="AR4158">
        <v>1</v>
      </c>
    </row>
    <row r="4159" spans="1:44" x14ac:dyDescent="0.35">
      <c r="A4159" s="12" t="s">
        <v>5087</v>
      </c>
      <c r="B4159" s="12" t="s">
        <v>451</v>
      </c>
      <c r="C4159" s="12" t="s">
        <v>452</v>
      </c>
      <c r="D4159" s="12" t="s">
        <v>175</v>
      </c>
      <c r="E4159" s="12" t="s">
        <v>104</v>
      </c>
      <c r="F4159">
        <v>3</v>
      </c>
      <c r="G4159">
        <v>1</v>
      </c>
      <c r="H4159">
        <v>0</v>
      </c>
      <c r="I4159" s="12" t="s">
        <v>359</v>
      </c>
      <c r="J4159" s="12" t="s">
        <v>360</v>
      </c>
      <c r="K4159" s="12" t="s">
        <v>133</v>
      </c>
      <c r="L4159" s="12" t="s">
        <v>82</v>
      </c>
      <c r="M4159">
        <v>12.65</v>
      </c>
      <c r="N4159" s="12" t="s">
        <v>107</v>
      </c>
      <c r="O4159" s="12" t="s">
        <v>108</v>
      </c>
      <c r="P4159" s="12" t="s">
        <v>109</v>
      </c>
      <c r="Q4159" s="13">
        <v>45665</v>
      </c>
      <c r="R4159" s="13">
        <v>45694</v>
      </c>
      <c r="S4159">
        <v>2025</v>
      </c>
      <c r="T4159" s="12" t="s">
        <v>5047</v>
      </c>
      <c r="U4159">
        <v>143</v>
      </c>
      <c r="V4159">
        <v>234.84710000000001</v>
      </c>
      <c r="W4159">
        <v>820.52</v>
      </c>
      <c r="X4159">
        <v>0</v>
      </c>
      <c r="Y4159">
        <v>0</v>
      </c>
      <c r="Z4159">
        <v>33583.14</v>
      </c>
      <c r="AA4159">
        <v>34403.660000000003</v>
      </c>
      <c r="AB4159" s="12" t="s">
        <v>2947</v>
      </c>
      <c r="AC4159">
        <v>234.84710000000001</v>
      </c>
      <c r="AD4159">
        <v>1</v>
      </c>
      <c r="AE4159">
        <v>1</v>
      </c>
      <c r="AF4159">
        <v>0</v>
      </c>
      <c r="AG4159">
        <v>33583.14</v>
      </c>
      <c r="AH4159">
        <v>143</v>
      </c>
      <c r="AI4159">
        <v>142</v>
      </c>
      <c r="AJ4159">
        <v>1</v>
      </c>
      <c r="AK4159">
        <v>1</v>
      </c>
      <c r="AL4159">
        <v>1</v>
      </c>
      <c r="AM4159">
        <v>99.3</v>
      </c>
      <c r="AN4159">
        <v>242.27930000000001</v>
      </c>
      <c r="AO4159">
        <v>234.85</v>
      </c>
      <c r="AP4159" s="13">
        <v>45693</v>
      </c>
      <c r="AQ4159">
        <v>-1</v>
      </c>
      <c r="AR4159">
        <v>1</v>
      </c>
    </row>
    <row r="4160" spans="1:44" x14ac:dyDescent="0.35">
      <c r="A4160" s="12" t="s">
        <v>5088</v>
      </c>
      <c r="B4160" s="12" t="s">
        <v>173</v>
      </c>
      <c r="C4160" s="12" t="s">
        <v>174</v>
      </c>
      <c r="D4160" s="12" t="s">
        <v>175</v>
      </c>
      <c r="E4160" s="12" t="s">
        <v>104</v>
      </c>
      <c r="F4160">
        <v>3</v>
      </c>
      <c r="G4160">
        <v>1</v>
      </c>
      <c r="H4160">
        <v>0</v>
      </c>
      <c r="I4160" s="12" t="s">
        <v>176</v>
      </c>
      <c r="J4160" s="12" t="s">
        <v>177</v>
      </c>
      <c r="K4160" s="12" t="s">
        <v>125</v>
      </c>
      <c r="L4160" s="12" t="s">
        <v>134</v>
      </c>
      <c r="M4160">
        <v>1.75</v>
      </c>
      <c r="N4160" s="12" t="s">
        <v>145</v>
      </c>
      <c r="O4160" s="12" t="s">
        <v>146</v>
      </c>
      <c r="P4160" s="12" t="s">
        <v>109</v>
      </c>
      <c r="Q4160" s="13">
        <v>45665</v>
      </c>
      <c r="R4160" s="13">
        <v>45677</v>
      </c>
      <c r="S4160">
        <v>2025</v>
      </c>
      <c r="T4160" s="12" t="s">
        <v>5047</v>
      </c>
      <c r="U4160">
        <v>10</v>
      </c>
      <c r="V4160">
        <v>75.626000000000005</v>
      </c>
      <c r="W4160">
        <v>12.96</v>
      </c>
      <c r="X4160">
        <v>0</v>
      </c>
      <c r="Y4160">
        <v>0</v>
      </c>
      <c r="Z4160">
        <v>756.26</v>
      </c>
      <c r="AA4160">
        <v>769.22</v>
      </c>
      <c r="AB4160" s="12" t="s">
        <v>2717</v>
      </c>
      <c r="AC4160">
        <v>75.626000000000005</v>
      </c>
      <c r="AD4160">
        <v>1</v>
      </c>
      <c r="AE4160">
        <v>1</v>
      </c>
      <c r="AF4160">
        <v>0</v>
      </c>
      <c r="AG4160">
        <v>756.26</v>
      </c>
      <c r="AH4160">
        <v>10</v>
      </c>
      <c r="AI4160">
        <v>10</v>
      </c>
      <c r="AJ4160">
        <v>0</v>
      </c>
      <c r="AK4160">
        <v>1</v>
      </c>
      <c r="AL4160">
        <v>1</v>
      </c>
      <c r="AM4160">
        <v>100</v>
      </c>
      <c r="AN4160">
        <v>76.921999999999997</v>
      </c>
      <c r="AO4160">
        <v>0</v>
      </c>
      <c r="AP4160" s="13">
        <v>45678</v>
      </c>
      <c r="AQ4160">
        <v>1</v>
      </c>
      <c r="AR4160">
        <v>0</v>
      </c>
    </row>
    <row r="4161" spans="1:44" x14ac:dyDescent="0.35">
      <c r="A4161" s="12" t="s">
        <v>5089</v>
      </c>
      <c r="B4161" s="12" t="s">
        <v>1666</v>
      </c>
      <c r="C4161" s="12" t="s">
        <v>1667</v>
      </c>
      <c r="D4161" s="12" t="s">
        <v>78</v>
      </c>
      <c r="E4161" s="12" t="s">
        <v>65</v>
      </c>
      <c r="F4161">
        <v>2</v>
      </c>
      <c r="G4161">
        <v>3</v>
      </c>
      <c r="H4161">
        <v>0</v>
      </c>
      <c r="I4161" s="12" t="s">
        <v>310</v>
      </c>
      <c r="J4161" s="12" t="s">
        <v>311</v>
      </c>
      <c r="K4161" s="12" t="s">
        <v>81</v>
      </c>
      <c r="L4161" s="12" t="s">
        <v>69</v>
      </c>
      <c r="M4161">
        <v>28.3</v>
      </c>
      <c r="N4161" s="12" t="s">
        <v>97</v>
      </c>
      <c r="O4161" s="12" t="s">
        <v>98</v>
      </c>
      <c r="P4161" s="12" t="s">
        <v>72</v>
      </c>
      <c r="Q4161" s="13">
        <v>45665</v>
      </c>
      <c r="R4161" s="13">
        <v>45701</v>
      </c>
      <c r="S4161">
        <v>2025</v>
      </c>
      <c r="T4161" s="12" t="s">
        <v>5047</v>
      </c>
      <c r="U4161">
        <v>263</v>
      </c>
      <c r="V4161">
        <v>73.412099999999995</v>
      </c>
      <c r="W4161">
        <v>267.8</v>
      </c>
      <c r="X4161">
        <v>0</v>
      </c>
      <c r="Y4161">
        <v>0</v>
      </c>
      <c r="Z4161">
        <v>19307.38</v>
      </c>
      <c r="AA4161">
        <v>19575.18</v>
      </c>
      <c r="AB4161" s="12" t="s">
        <v>3090</v>
      </c>
      <c r="AC4161">
        <v>73.412099999999995</v>
      </c>
      <c r="AD4161">
        <v>1</v>
      </c>
      <c r="AE4161">
        <v>1</v>
      </c>
      <c r="AF4161">
        <v>0</v>
      </c>
      <c r="AG4161">
        <v>19307.38</v>
      </c>
      <c r="AH4161">
        <v>263</v>
      </c>
      <c r="AI4161">
        <v>260</v>
      </c>
      <c r="AJ4161">
        <v>3</v>
      </c>
      <c r="AK4161">
        <v>1</v>
      </c>
      <c r="AL4161">
        <v>1</v>
      </c>
      <c r="AM4161">
        <v>98.86</v>
      </c>
      <c r="AN4161">
        <v>75.289199999999994</v>
      </c>
      <c r="AO4161">
        <v>220.24</v>
      </c>
      <c r="AP4161" s="13">
        <v>45698</v>
      </c>
      <c r="AQ4161">
        <v>-3</v>
      </c>
      <c r="AR4161">
        <v>1</v>
      </c>
    </row>
    <row r="4162" spans="1:44" x14ac:dyDescent="0.35">
      <c r="A4162" s="12" t="s">
        <v>5090</v>
      </c>
      <c r="B4162" s="12" t="s">
        <v>740</v>
      </c>
      <c r="C4162" s="12" t="s">
        <v>741</v>
      </c>
      <c r="D4162" s="12" t="s">
        <v>64</v>
      </c>
      <c r="E4162" s="12" t="s">
        <v>104</v>
      </c>
      <c r="F4162">
        <v>2</v>
      </c>
      <c r="G4162">
        <v>0</v>
      </c>
      <c r="H4162">
        <v>0</v>
      </c>
      <c r="I4162" s="12" t="s">
        <v>151</v>
      </c>
      <c r="J4162" s="12" t="s">
        <v>152</v>
      </c>
      <c r="K4162" s="12" t="s">
        <v>125</v>
      </c>
      <c r="L4162" s="12" t="s">
        <v>69</v>
      </c>
      <c r="M4162">
        <v>36.479999999999997</v>
      </c>
      <c r="N4162" s="12" t="s">
        <v>97</v>
      </c>
      <c r="O4162" s="12" t="s">
        <v>98</v>
      </c>
      <c r="P4162" s="12" t="s">
        <v>72</v>
      </c>
      <c r="Q4162" s="13">
        <v>45665</v>
      </c>
      <c r="R4162" s="13">
        <v>45694</v>
      </c>
      <c r="S4162">
        <v>2025</v>
      </c>
      <c r="T4162" s="12" t="s">
        <v>5047</v>
      </c>
      <c r="U4162">
        <v>982</v>
      </c>
      <c r="V4162">
        <v>39.821100000000001</v>
      </c>
      <c r="W4162">
        <v>830.56</v>
      </c>
      <c r="X4162">
        <v>0</v>
      </c>
      <c r="Y4162">
        <v>0</v>
      </c>
      <c r="Z4162">
        <v>39104.32</v>
      </c>
      <c r="AA4162">
        <v>39934.879999999997</v>
      </c>
      <c r="AB4162" s="12" t="s">
        <v>3064</v>
      </c>
      <c r="AC4162">
        <v>39.821100000000001</v>
      </c>
      <c r="AD4162">
        <v>1</v>
      </c>
      <c r="AE4162">
        <v>1</v>
      </c>
      <c r="AF4162">
        <v>0</v>
      </c>
      <c r="AG4162">
        <v>39104.32</v>
      </c>
      <c r="AH4162">
        <v>982</v>
      </c>
      <c r="AI4162">
        <v>971</v>
      </c>
      <c r="AJ4162">
        <v>11</v>
      </c>
      <c r="AK4162">
        <v>1</v>
      </c>
      <c r="AL4162">
        <v>1</v>
      </c>
      <c r="AM4162">
        <v>98.88</v>
      </c>
      <c r="AN4162">
        <v>41.127600000000001</v>
      </c>
      <c r="AO4162">
        <v>438.03</v>
      </c>
      <c r="AP4162" s="13">
        <v>45695</v>
      </c>
      <c r="AQ4162">
        <v>1</v>
      </c>
      <c r="AR4162">
        <v>0</v>
      </c>
    </row>
    <row r="4163" spans="1:44" x14ac:dyDescent="0.35">
      <c r="A4163" s="12" t="s">
        <v>5091</v>
      </c>
      <c r="B4163" s="12" t="s">
        <v>640</v>
      </c>
      <c r="C4163" s="12" t="s">
        <v>641</v>
      </c>
      <c r="D4163" s="12" t="s">
        <v>130</v>
      </c>
      <c r="E4163" s="12" t="s">
        <v>104</v>
      </c>
      <c r="F4163">
        <v>3</v>
      </c>
      <c r="G4163">
        <v>0</v>
      </c>
      <c r="H4163">
        <v>0</v>
      </c>
      <c r="I4163" s="12" t="s">
        <v>209</v>
      </c>
      <c r="J4163" s="12" t="s">
        <v>210</v>
      </c>
      <c r="K4163" s="12" t="s">
        <v>133</v>
      </c>
      <c r="L4163" s="12" t="s">
        <v>96</v>
      </c>
      <c r="M4163">
        <v>7.82</v>
      </c>
      <c r="N4163" s="12" t="s">
        <v>159</v>
      </c>
      <c r="O4163" s="12" t="s">
        <v>160</v>
      </c>
      <c r="P4163" s="12" t="s">
        <v>137</v>
      </c>
      <c r="Q4163" s="13">
        <v>45665</v>
      </c>
      <c r="R4163" s="13">
        <v>45686</v>
      </c>
      <c r="S4163">
        <v>2025</v>
      </c>
      <c r="T4163" s="12" t="s">
        <v>5047</v>
      </c>
      <c r="U4163">
        <v>86</v>
      </c>
      <c r="V4163">
        <v>977.20889999999997</v>
      </c>
      <c r="W4163">
        <v>1136.3800000000001</v>
      </c>
      <c r="X4163">
        <v>0</v>
      </c>
      <c r="Y4163">
        <v>0</v>
      </c>
      <c r="Z4163">
        <v>84039.97</v>
      </c>
      <c r="AA4163">
        <v>85176.35</v>
      </c>
      <c r="AB4163" s="12" t="s">
        <v>3211</v>
      </c>
      <c r="AC4163">
        <v>977.20889999999997</v>
      </c>
      <c r="AD4163">
        <v>1</v>
      </c>
      <c r="AE4163">
        <v>1</v>
      </c>
      <c r="AF4163">
        <v>0</v>
      </c>
      <c r="AG4163">
        <v>84039.97</v>
      </c>
      <c r="AH4163">
        <v>86</v>
      </c>
      <c r="AI4163">
        <v>85</v>
      </c>
      <c r="AJ4163">
        <v>1</v>
      </c>
      <c r="AK4163">
        <v>1</v>
      </c>
      <c r="AL4163">
        <v>1</v>
      </c>
      <c r="AM4163">
        <v>98.84</v>
      </c>
      <c r="AN4163">
        <v>1002.0747</v>
      </c>
      <c r="AO4163">
        <v>977.21</v>
      </c>
      <c r="AP4163" s="13">
        <v>45684</v>
      </c>
      <c r="AQ4163">
        <v>-2</v>
      </c>
      <c r="AR4163">
        <v>1</v>
      </c>
    </row>
    <row r="4164" spans="1:44" x14ac:dyDescent="0.35">
      <c r="A4164" s="12" t="s">
        <v>5092</v>
      </c>
      <c r="B4164" s="12" t="s">
        <v>498</v>
      </c>
      <c r="C4164" s="12" t="s">
        <v>499</v>
      </c>
      <c r="D4164" s="12" t="s">
        <v>175</v>
      </c>
      <c r="E4164" s="12" t="s">
        <v>104</v>
      </c>
      <c r="F4164">
        <v>3</v>
      </c>
      <c r="G4164">
        <v>1</v>
      </c>
      <c r="H4164">
        <v>0</v>
      </c>
      <c r="I4164" s="12" t="s">
        <v>233</v>
      </c>
      <c r="J4164" s="12" t="s">
        <v>234</v>
      </c>
      <c r="K4164" s="12" t="s">
        <v>125</v>
      </c>
      <c r="L4164" s="12" t="s">
        <v>96</v>
      </c>
      <c r="M4164">
        <v>3.73</v>
      </c>
      <c r="N4164" s="12" t="s">
        <v>107</v>
      </c>
      <c r="O4164" s="12" t="s">
        <v>108</v>
      </c>
      <c r="P4164" s="12" t="s">
        <v>109</v>
      </c>
      <c r="Q4164" s="13">
        <v>45665</v>
      </c>
      <c r="R4164" s="13">
        <v>45686</v>
      </c>
      <c r="S4164">
        <v>2025</v>
      </c>
      <c r="T4164" s="12" t="s">
        <v>5047</v>
      </c>
      <c r="U4164">
        <v>80</v>
      </c>
      <c r="V4164">
        <v>268.74209999999999</v>
      </c>
      <c r="W4164">
        <v>444.15</v>
      </c>
      <c r="X4164">
        <v>0</v>
      </c>
      <c r="Y4164">
        <v>0</v>
      </c>
      <c r="Z4164">
        <v>21499.37</v>
      </c>
      <c r="AA4164">
        <v>21943.52</v>
      </c>
      <c r="AB4164" s="12" t="s">
        <v>3032</v>
      </c>
      <c r="AC4164">
        <v>268.74209999999999</v>
      </c>
      <c r="AD4164">
        <v>1</v>
      </c>
      <c r="AE4164">
        <v>1</v>
      </c>
      <c r="AF4164">
        <v>0</v>
      </c>
      <c r="AG4164">
        <v>21499.37</v>
      </c>
      <c r="AH4164">
        <v>80</v>
      </c>
      <c r="AI4164">
        <v>79</v>
      </c>
      <c r="AJ4164">
        <v>1</v>
      </c>
      <c r="AK4164">
        <v>1</v>
      </c>
      <c r="AL4164">
        <v>1</v>
      </c>
      <c r="AM4164">
        <v>98.75</v>
      </c>
      <c r="AN4164">
        <v>277.76609999999999</v>
      </c>
      <c r="AO4164">
        <v>268.74</v>
      </c>
      <c r="AP4164" s="13">
        <v>45693</v>
      </c>
      <c r="AQ4164">
        <v>7</v>
      </c>
      <c r="AR4164">
        <v>0</v>
      </c>
    </row>
    <row r="4165" spans="1:44" x14ac:dyDescent="0.35">
      <c r="A4165" s="12" t="s">
        <v>5093</v>
      </c>
      <c r="B4165" s="12" t="s">
        <v>602</v>
      </c>
      <c r="C4165" s="12" t="s">
        <v>603</v>
      </c>
      <c r="D4165" s="12" t="s">
        <v>114</v>
      </c>
      <c r="E4165" s="12" t="s">
        <v>142</v>
      </c>
      <c r="F4165">
        <v>2</v>
      </c>
      <c r="G4165">
        <v>10</v>
      </c>
      <c r="H4165">
        <v>0</v>
      </c>
      <c r="I4165" s="12" t="s">
        <v>263</v>
      </c>
      <c r="J4165" s="12" t="s">
        <v>264</v>
      </c>
      <c r="K4165" s="12" t="s">
        <v>125</v>
      </c>
      <c r="L4165" s="12" t="s">
        <v>82</v>
      </c>
      <c r="M4165">
        <v>10.210000000000001</v>
      </c>
      <c r="N4165" s="12" t="s">
        <v>70</v>
      </c>
      <c r="O4165" s="12" t="s">
        <v>71</v>
      </c>
      <c r="P4165" s="12" t="s">
        <v>72</v>
      </c>
      <c r="Q4165" s="13">
        <v>45665</v>
      </c>
      <c r="R4165" s="13">
        <v>45701</v>
      </c>
      <c r="S4165">
        <v>2025</v>
      </c>
      <c r="T4165" s="12" t="s">
        <v>5047</v>
      </c>
      <c r="U4165">
        <v>18</v>
      </c>
      <c r="V4165">
        <v>210.69990000000001</v>
      </c>
      <c r="W4165">
        <v>22.96</v>
      </c>
      <c r="X4165">
        <v>0</v>
      </c>
      <c r="Y4165">
        <v>0</v>
      </c>
      <c r="Z4165">
        <v>3792.6</v>
      </c>
      <c r="AA4165">
        <v>3815.56</v>
      </c>
      <c r="AB4165" s="12" t="s">
        <v>2790</v>
      </c>
      <c r="AC4165">
        <v>210.69990000000001</v>
      </c>
      <c r="AD4165">
        <v>1</v>
      </c>
      <c r="AE4165">
        <v>1</v>
      </c>
      <c r="AF4165">
        <v>0</v>
      </c>
      <c r="AG4165">
        <v>3792.6</v>
      </c>
      <c r="AH4165">
        <v>18</v>
      </c>
      <c r="AI4165">
        <v>18</v>
      </c>
      <c r="AJ4165">
        <v>0</v>
      </c>
      <c r="AK4165">
        <v>1</v>
      </c>
      <c r="AL4165">
        <v>1</v>
      </c>
      <c r="AM4165">
        <v>100</v>
      </c>
      <c r="AN4165">
        <v>211.97550000000001</v>
      </c>
      <c r="AO4165">
        <v>0</v>
      </c>
      <c r="AP4165" s="13">
        <v>45704</v>
      </c>
      <c r="AQ4165">
        <v>3</v>
      </c>
      <c r="AR4165">
        <v>0</v>
      </c>
    </row>
    <row r="4166" spans="1:44" x14ac:dyDescent="0.35">
      <c r="A4166" s="12" t="s">
        <v>5094</v>
      </c>
      <c r="B4166" s="12" t="s">
        <v>544</v>
      </c>
      <c r="C4166" s="12" t="s">
        <v>545</v>
      </c>
      <c r="D4166" s="12" t="s">
        <v>175</v>
      </c>
      <c r="E4166" s="12" t="s">
        <v>65</v>
      </c>
      <c r="F4166">
        <v>3</v>
      </c>
      <c r="G4166">
        <v>5</v>
      </c>
      <c r="H4166">
        <v>0</v>
      </c>
      <c r="I4166" s="12" t="s">
        <v>66</v>
      </c>
      <c r="J4166" s="12" t="s">
        <v>67</v>
      </c>
      <c r="K4166" s="12" t="s">
        <v>68</v>
      </c>
      <c r="L4166" s="12" t="s">
        <v>69</v>
      </c>
      <c r="M4166">
        <v>17.66</v>
      </c>
      <c r="N4166" s="12" t="s">
        <v>145</v>
      </c>
      <c r="O4166" s="12" t="s">
        <v>146</v>
      </c>
      <c r="P4166" s="12" t="s">
        <v>109</v>
      </c>
      <c r="Q4166" s="13">
        <v>45666</v>
      </c>
      <c r="R4166" s="13">
        <v>45704</v>
      </c>
      <c r="S4166">
        <v>2025</v>
      </c>
      <c r="T4166" s="12" t="s">
        <v>5047</v>
      </c>
      <c r="U4166">
        <v>149</v>
      </c>
      <c r="V4166">
        <v>165.04820000000001</v>
      </c>
      <c r="W4166">
        <v>577.87</v>
      </c>
      <c r="X4166">
        <v>0</v>
      </c>
      <c r="Y4166">
        <v>0</v>
      </c>
      <c r="Z4166">
        <v>24592.18</v>
      </c>
      <c r="AA4166">
        <v>25170.05</v>
      </c>
      <c r="AB4166" s="12" t="s">
        <v>201</v>
      </c>
      <c r="AD4166">
        <v>0</v>
      </c>
      <c r="AE4166">
        <v>0</v>
      </c>
      <c r="AH4166">
        <v>149</v>
      </c>
      <c r="AI4166">
        <v>148</v>
      </c>
      <c r="AJ4166">
        <v>1</v>
      </c>
      <c r="AK4166">
        <v>1</v>
      </c>
      <c r="AL4166">
        <v>1</v>
      </c>
      <c r="AM4166">
        <v>99.33</v>
      </c>
      <c r="AN4166">
        <v>170.06790000000001</v>
      </c>
      <c r="AO4166">
        <v>165.05</v>
      </c>
      <c r="AP4166" s="13">
        <v>45702</v>
      </c>
      <c r="AQ4166">
        <v>-2</v>
      </c>
      <c r="AR4166">
        <v>1</v>
      </c>
    </row>
    <row r="4167" spans="1:44" x14ac:dyDescent="0.35">
      <c r="A4167" s="12" t="s">
        <v>5095</v>
      </c>
      <c r="B4167" s="12" t="s">
        <v>112</v>
      </c>
      <c r="C4167" s="12" t="s">
        <v>113</v>
      </c>
      <c r="D4167" s="12" t="s">
        <v>114</v>
      </c>
      <c r="E4167" s="12" t="s">
        <v>104</v>
      </c>
      <c r="F4167">
        <v>3</v>
      </c>
      <c r="G4167">
        <v>1</v>
      </c>
      <c r="H4167">
        <v>0</v>
      </c>
      <c r="I4167" s="12" t="s">
        <v>115</v>
      </c>
      <c r="J4167" s="12" t="s">
        <v>116</v>
      </c>
      <c r="K4167" s="12" t="s">
        <v>117</v>
      </c>
      <c r="L4167" s="12" t="s">
        <v>82</v>
      </c>
      <c r="M4167">
        <v>17.170000000000002</v>
      </c>
      <c r="N4167" s="12" t="s">
        <v>97</v>
      </c>
      <c r="O4167" s="12" t="s">
        <v>98</v>
      </c>
      <c r="P4167" s="12" t="s">
        <v>72</v>
      </c>
      <c r="Q4167" s="13">
        <v>45666</v>
      </c>
      <c r="R4167" s="13">
        <v>45678</v>
      </c>
      <c r="S4167">
        <v>2025</v>
      </c>
      <c r="T4167" s="12" t="s">
        <v>5047</v>
      </c>
      <c r="U4167">
        <v>11</v>
      </c>
      <c r="V4167">
        <v>276.68169999999998</v>
      </c>
      <c r="W4167">
        <v>67.75</v>
      </c>
      <c r="X4167">
        <v>0</v>
      </c>
      <c r="Y4167">
        <v>0</v>
      </c>
      <c r="Z4167">
        <v>3043.5</v>
      </c>
      <c r="AA4167">
        <v>3111.25</v>
      </c>
      <c r="AB4167" s="12" t="s">
        <v>3975</v>
      </c>
      <c r="AC4167">
        <v>260.83109999999999</v>
      </c>
      <c r="AD4167">
        <v>1</v>
      </c>
      <c r="AE4167">
        <v>1</v>
      </c>
      <c r="AF4167">
        <v>174.36</v>
      </c>
      <c r="AG4167">
        <v>2869.14</v>
      </c>
      <c r="AH4167">
        <v>11</v>
      </c>
      <c r="AI4167">
        <v>11</v>
      </c>
      <c r="AJ4167">
        <v>0</v>
      </c>
      <c r="AK4167">
        <v>1</v>
      </c>
      <c r="AL4167">
        <v>1</v>
      </c>
      <c r="AM4167">
        <v>100</v>
      </c>
      <c r="AN4167">
        <v>282.8408</v>
      </c>
      <c r="AO4167">
        <v>0</v>
      </c>
      <c r="AP4167" s="13">
        <v>45678</v>
      </c>
      <c r="AQ4167">
        <v>0</v>
      </c>
      <c r="AR4167">
        <v>1</v>
      </c>
    </row>
    <row r="4168" spans="1:44" x14ac:dyDescent="0.35">
      <c r="A4168" s="12" t="s">
        <v>5096</v>
      </c>
      <c r="B4168" s="12" t="s">
        <v>416</v>
      </c>
      <c r="C4168" s="12" t="s">
        <v>417</v>
      </c>
      <c r="D4168" s="12" t="s">
        <v>78</v>
      </c>
      <c r="E4168" s="12" t="s">
        <v>65</v>
      </c>
      <c r="F4168">
        <v>3</v>
      </c>
      <c r="G4168">
        <v>5</v>
      </c>
      <c r="H4168">
        <v>0</v>
      </c>
      <c r="I4168" s="12" t="s">
        <v>169</v>
      </c>
      <c r="J4168" s="12" t="s">
        <v>170</v>
      </c>
      <c r="K4168" s="12" t="s">
        <v>89</v>
      </c>
      <c r="L4168" s="12" t="s">
        <v>134</v>
      </c>
      <c r="M4168">
        <v>1.37</v>
      </c>
      <c r="N4168" s="12" t="s">
        <v>70</v>
      </c>
      <c r="O4168" s="12" t="s">
        <v>71</v>
      </c>
      <c r="P4168" s="12" t="s">
        <v>72</v>
      </c>
      <c r="Q4168" s="13">
        <v>45666</v>
      </c>
      <c r="R4168" s="13">
        <v>45703</v>
      </c>
      <c r="S4168">
        <v>2025</v>
      </c>
      <c r="T4168" s="12" t="s">
        <v>5047</v>
      </c>
      <c r="U4168">
        <v>276</v>
      </c>
      <c r="V4168">
        <v>136.4109</v>
      </c>
      <c r="W4168">
        <v>925.39</v>
      </c>
      <c r="X4168">
        <v>0</v>
      </c>
      <c r="Y4168">
        <v>0</v>
      </c>
      <c r="Z4168">
        <v>37649.410000000003</v>
      </c>
      <c r="AA4168">
        <v>38574.800000000003</v>
      </c>
      <c r="AB4168" s="12" t="s">
        <v>2980</v>
      </c>
      <c r="AC4168">
        <v>136.4109</v>
      </c>
      <c r="AD4168">
        <v>1</v>
      </c>
      <c r="AE4168">
        <v>1</v>
      </c>
      <c r="AF4168">
        <v>0</v>
      </c>
      <c r="AG4168">
        <v>37649.410000000003</v>
      </c>
      <c r="AH4168">
        <v>276</v>
      </c>
      <c r="AI4168">
        <v>269</v>
      </c>
      <c r="AJ4168">
        <v>7</v>
      </c>
      <c r="AK4168">
        <v>1</v>
      </c>
      <c r="AL4168">
        <v>1</v>
      </c>
      <c r="AM4168">
        <v>97.46</v>
      </c>
      <c r="AN4168">
        <v>143.4007</v>
      </c>
      <c r="AO4168">
        <v>954.88</v>
      </c>
      <c r="AP4168" s="13">
        <v>45701</v>
      </c>
      <c r="AQ4168">
        <v>-2</v>
      </c>
      <c r="AR4168">
        <v>1</v>
      </c>
    </row>
    <row r="4169" spans="1:44" x14ac:dyDescent="0.35">
      <c r="A4169" s="12" t="s">
        <v>5097</v>
      </c>
      <c r="B4169" s="12" t="s">
        <v>755</v>
      </c>
      <c r="C4169" s="12" t="s">
        <v>756</v>
      </c>
      <c r="D4169" s="12" t="s">
        <v>78</v>
      </c>
      <c r="E4169" s="12" t="s">
        <v>65</v>
      </c>
      <c r="F4169">
        <v>2</v>
      </c>
      <c r="G4169">
        <v>2</v>
      </c>
      <c r="H4169">
        <v>0</v>
      </c>
      <c r="I4169" s="12" t="s">
        <v>359</v>
      </c>
      <c r="J4169" s="12" t="s">
        <v>360</v>
      </c>
      <c r="K4169" s="12" t="s">
        <v>133</v>
      </c>
      <c r="L4169" s="12" t="s">
        <v>82</v>
      </c>
      <c r="M4169">
        <v>12.65</v>
      </c>
      <c r="N4169" s="12" t="s">
        <v>97</v>
      </c>
      <c r="O4169" s="12" t="s">
        <v>98</v>
      </c>
      <c r="P4169" s="12" t="s">
        <v>72</v>
      </c>
      <c r="Q4169" s="13">
        <v>45666</v>
      </c>
      <c r="R4169" s="13">
        <v>45699</v>
      </c>
      <c r="S4169">
        <v>2025</v>
      </c>
      <c r="T4169" s="12" t="s">
        <v>5047</v>
      </c>
      <c r="U4169">
        <v>216</v>
      </c>
      <c r="V4169">
        <v>43.122799999999998</v>
      </c>
      <c r="W4169">
        <v>125.49</v>
      </c>
      <c r="X4169">
        <v>0</v>
      </c>
      <c r="Y4169">
        <v>0</v>
      </c>
      <c r="Z4169">
        <v>9314.52</v>
      </c>
      <c r="AA4169">
        <v>9440.01</v>
      </c>
      <c r="AB4169" s="12" t="s">
        <v>3414</v>
      </c>
      <c r="AC4169">
        <v>43.122799999999998</v>
      </c>
      <c r="AD4169">
        <v>1</v>
      </c>
      <c r="AE4169">
        <v>1</v>
      </c>
      <c r="AF4169">
        <v>0</v>
      </c>
      <c r="AG4169">
        <v>9314.52</v>
      </c>
      <c r="AH4169">
        <v>216</v>
      </c>
      <c r="AI4169">
        <v>213</v>
      </c>
      <c r="AJ4169">
        <v>3</v>
      </c>
      <c r="AK4169">
        <v>1</v>
      </c>
      <c r="AL4169">
        <v>1</v>
      </c>
      <c r="AM4169">
        <v>98.61</v>
      </c>
      <c r="AN4169">
        <v>44.319299999999998</v>
      </c>
      <c r="AO4169">
        <v>129.37</v>
      </c>
      <c r="AP4169" s="13">
        <v>45699</v>
      </c>
      <c r="AQ4169">
        <v>0</v>
      </c>
      <c r="AR4169">
        <v>1</v>
      </c>
    </row>
    <row r="4170" spans="1:44" x14ac:dyDescent="0.35">
      <c r="A4170" s="12" t="s">
        <v>5098</v>
      </c>
      <c r="B4170" s="12" t="s">
        <v>128</v>
      </c>
      <c r="C4170" s="12" t="s">
        <v>129</v>
      </c>
      <c r="D4170" s="12" t="s">
        <v>130</v>
      </c>
      <c r="E4170" s="12" t="s">
        <v>65</v>
      </c>
      <c r="F4170">
        <v>3</v>
      </c>
      <c r="G4170">
        <v>5</v>
      </c>
      <c r="H4170">
        <v>0</v>
      </c>
      <c r="I4170" s="12" t="s">
        <v>131</v>
      </c>
      <c r="J4170" s="12" t="s">
        <v>132</v>
      </c>
      <c r="K4170" s="12" t="s">
        <v>133</v>
      </c>
      <c r="L4170" s="12" t="s">
        <v>134</v>
      </c>
      <c r="M4170">
        <v>1.51</v>
      </c>
      <c r="N4170" s="12" t="s">
        <v>135</v>
      </c>
      <c r="O4170" s="12" t="s">
        <v>136</v>
      </c>
      <c r="P4170" s="12" t="s">
        <v>137</v>
      </c>
      <c r="Q4170" s="13">
        <v>45666</v>
      </c>
      <c r="R4170" s="13">
        <v>45695</v>
      </c>
      <c r="S4170">
        <v>2025</v>
      </c>
      <c r="T4170" s="12" t="s">
        <v>5047</v>
      </c>
      <c r="U4170">
        <v>78</v>
      </c>
      <c r="V4170">
        <v>393.95740000000001</v>
      </c>
      <c r="W4170">
        <v>713.74</v>
      </c>
      <c r="X4170">
        <v>0</v>
      </c>
      <c r="Y4170">
        <v>0</v>
      </c>
      <c r="Z4170">
        <v>30728.68</v>
      </c>
      <c r="AA4170">
        <v>31442.42</v>
      </c>
      <c r="AB4170" s="12" t="s">
        <v>201</v>
      </c>
      <c r="AD4170">
        <v>0</v>
      </c>
      <c r="AE4170">
        <v>0</v>
      </c>
      <c r="AH4170">
        <v>78</v>
      </c>
      <c r="AI4170">
        <v>70</v>
      </c>
      <c r="AJ4170">
        <v>8</v>
      </c>
      <c r="AK4170">
        <v>1</v>
      </c>
      <c r="AL4170">
        <v>1</v>
      </c>
      <c r="AM4170">
        <v>89.74</v>
      </c>
      <c r="AN4170">
        <v>449.17739999999998</v>
      </c>
      <c r="AO4170">
        <v>3151.66</v>
      </c>
      <c r="AP4170" s="13">
        <v>45691</v>
      </c>
      <c r="AQ4170">
        <v>-4</v>
      </c>
      <c r="AR4170">
        <v>1</v>
      </c>
    </row>
    <row r="4171" spans="1:44" x14ac:dyDescent="0.35">
      <c r="A4171" s="12" t="s">
        <v>5099</v>
      </c>
      <c r="B4171" s="12" t="s">
        <v>855</v>
      </c>
      <c r="C4171" s="12" t="s">
        <v>856</v>
      </c>
      <c r="D4171" s="12" t="s">
        <v>269</v>
      </c>
      <c r="E4171" s="12" t="s">
        <v>65</v>
      </c>
      <c r="F4171">
        <v>3</v>
      </c>
      <c r="G4171">
        <v>5</v>
      </c>
      <c r="H4171">
        <v>0</v>
      </c>
      <c r="I4171" s="12" t="s">
        <v>66</v>
      </c>
      <c r="J4171" s="12" t="s">
        <v>67</v>
      </c>
      <c r="K4171" s="12" t="s">
        <v>68</v>
      </c>
      <c r="L4171" s="12" t="s">
        <v>69</v>
      </c>
      <c r="M4171">
        <v>17.66</v>
      </c>
      <c r="N4171" s="12" t="s">
        <v>159</v>
      </c>
      <c r="O4171" s="12" t="s">
        <v>160</v>
      </c>
      <c r="P4171" s="12" t="s">
        <v>137</v>
      </c>
      <c r="Q4171" s="13">
        <v>45666</v>
      </c>
      <c r="R4171" s="13">
        <v>45701</v>
      </c>
      <c r="S4171">
        <v>2025</v>
      </c>
      <c r="T4171" s="12" t="s">
        <v>5047</v>
      </c>
      <c r="U4171">
        <v>123</v>
      </c>
      <c r="V4171">
        <v>460.41379999999998</v>
      </c>
      <c r="W4171">
        <v>343.4</v>
      </c>
      <c r="X4171">
        <v>0</v>
      </c>
      <c r="Y4171">
        <v>0</v>
      </c>
      <c r="Z4171">
        <v>56630.9</v>
      </c>
      <c r="AA4171">
        <v>56974.3</v>
      </c>
      <c r="AB4171" s="12" t="s">
        <v>3264</v>
      </c>
      <c r="AC4171">
        <v>460.41379999999998</v>
      </c>
      <c r="AD4171">
        <v>1</v>
      </c>
      <c r="AE4171">
        <v>1</v>
      </c>
      <c r="AF4171">
        <v>0</v>
      </c>
      <c r="AG4171">
        <v>56630.9</v>
      </c>
      <c r="AH4171">
        <v>123</v>
      </c>
      <c r="AI4171">
        <v>122</v>
      </c>
      <c r="AJ4171">
        <v>1</v>
      </c>
      <c r="AK4171">
        <v>1</v>
      </c>
      <c r="AL4171">
        <v>1</v>
      </c>
      <c r="AM4171">
        <v>99.19</v>
      </c>
      <c r="AN4171">
        <v>467.00240000000002</v>
      </c>
      <c r="AO4171">
        <v>460.41</v>
      </c>
      <c r="AP4171" s="13">
        <v>45701</v>
      </c>
      <c r="AQ4171">
        <v>0</v>
      </c>
      <c r="AR4171">
        <v>1</v>
      </c>
    </row>
    <row r="4172" spans="1:44" x14ac:dyDescent="0.35">
      <c r="A4172" s="12" t="s">
        <v>5100</v>
      </c>
      <c r="B4172" s="12" t="s">
        <v>140</v>
      </c>
      <c r="C4172" s="12" t="s">
        <v>141</v>
      </c>
      <c r="D4172" s="12" t="s">
        <v>103</v>
      </c>
      <c r="E4172" s="12" t="s">
        <v>142</v>
      </c>
      <c r="F4172">
        <v>1</v>
      </c>
      <c r="G4172">
        <v>7</v>
      </c>
      <c r="H4172">
        <v>1</v>
      </c>
      <c r="I4172" s="12" t="s">
        <v>143</v>
      </c>
      <c r="J4172" s="12" t="s">
        <v>144</v>
      </c>
      <c r="K4172" s="12" t="s">
        <v>133</v>
      </c>
      <c r="L4172" s="12" t="s">
        <v>96</v>
      </c>
      <c r="M4172">
        <v>5.43</v>
      </c>
      <c r="N4172" s="12" t="s">
        <v>107</v>
      </c>
      <c r="O4172" s="12" t="s">
        <v>108</v>
      </c>
      <c r="P4172" s="12" t="s">
        <v>109</v>
      </c>
      <c r="Q4172" s="13">
        <v>45666</v>
      </c>
      <c r="R4172" s="13">
        <v>45708</v>
      </c>
      <c r="S4172">
        <v>2025</v>
      </c>
      <c r="T4172" s="12" t="s">
        <v>5047</v>
      </c>
      <c r="U4172">
        <v>65</v>
      </c>
      <c r="V4172">
        <v>211.35810000000001</v>
      </c>
      <c r="W4172">
        <v>149.41</v>
      </c>
      <c r="X4172">
        <v>0</v>
      </c>
      <c r="Y4172">
        <v>0</v>
      </c>
      <c r="Z4172">
        <v>13738.28</v>
      </c>
      <c r="AA4172">
        <v>13887.69</v>
      </c>
      <c r="AB4172" s="12" t="s">
        <v>2815</v>
      </c>
      <c r="AC4172">
        <v>211.35810000000001</v>
      </c>
      <c r="AD4172">
        <v>1</v>
      </c>
      <c r="AE4172">
        <v>1</v>
      </c>
      <c r="AF4172">
        <v>0</v>
      </c>
      <c r="AG4172">
        <v>13738.28</v>
      </c>
      <c r="AH4172">
        <v>65</v>
      </c>
      <c r="AI4172">
        <v>65</v>
      </c>
      <c r="AJ4172">
        <v>0</v>
      </c>
      <c r="AK4172">
        <v>1</v>
      </c>
      <c r="AL4172">
        <v>1</v>
      </c>
      <c r="AM4172">
        <v>100</v>
      </c>
      <c r="AN4172">
        <v>213.6567</v>
      </c>
      <c r="AO4172">
        <v>0</v>
      </c>
      <c r="AP4172" s="13">
        <v>45706</v>
      </c>
      <c r="AQ4172">
        <v>-2</v>
      </c>
      <c r="AR4172">
        <v>1</v>
      </c>
    </row>
    <row r="4173" spans="1:44" x14ac:dyDescent="0.35">
      <c r="A4173" s="12" t="s">
        <v>5101</v>
      </c>
      <c r="B4173" s="12" t="s">
        <v>451</v>
      </c>
      <c r="C4173" s="12" t="s">
        <v>452</v>
      </c>
      <c r="D4173" s="12" t="s">
        <v>175</v>
      </c>
      <c r="E4173" s="12" t="s">
        <v>104</v>
      </c>
      <c r="F4173">
        <v>3</v>
      </c>
      <c r="G4173">
        <v>1</v>
      </c>
      <c r="H4173">
        <v>0</v>
      </c>
      <c r="I4173" s="12" t="s">
        <v>157</v>
      </c>
      <c r="J4173" s="12" t="s">
        <v>158</v>
      </c>
      <c r="K4173" s="12" t="s">
        <v>117</v>
      </c>
      <c r="L4173" s="12" t="s">
        <v>96</v>
      </c>
      <c r="M4173">
        <v>4.72</v>
      </c>
      <c r="N4173" s="12" t="s">
        <v>145</v>
      </c>
      <c r="O4173" s="12" t="s">
        <v>146</v>
      </c>
      <c r="P4173" s="12" t="s">
        <v>109</v>
      </c>
      <c r="Q4173" s="13">
        <v>45667</v>
      </c>
      <c r="R4173" s="13">
        <v>45686</v>
      </c>
      <c r="S4173">
        <v>2025</v>
      </c>
      <c r="T4173" s="12" t="s">
        <v>5047</v>
      </c>
      <c r="U4173">
        <v>69</v>
      </c>
      <c r="V4173">
        <v>233.14009999999999</v>
      </c>
      <c r="W4173">
        <v>139.5</v>
      </c>
      <c r="X4173">
        <v>0</v>
      </c>
      <c r="Y4173">
        <v>0</v>
      </c>
      <c r="Z4173">
        <v>16086.67</v>
      </c>
      <c r="AA4173">
        <v>16226.17</v>
      </c>
      <c r="AB4173" s="12" t="s">
        <v>201</v>
      </c>
      <c r="AD4173">
        <v>0</v>
      </c>
      <c r="AE4173">
        <v>0</v>
      </c>
      <c r="AH4173">
        <v>69</v>
      </c>
      <c r="AI4173">
        <v>68</v>
      </c>
      <c r="AJ4173">
        <v>1</v>
      </c>
      <c r="AK4173">
        <v>1</v>
      </c>
      <c r="AL4173">
        <v>1</v>
      </c>
      <c r="AM4173">
        <v>98.55</v>
      </c>
      <c r="AN4173">
        <v>238.62010000000001</v>
      </c>
      <c r="AO4173">
        <v>233.14</v>
      </c>
      <c r="AP4173" s="13">
        <v>45683</v>
      </c>
      <c r="AQ4173">
        <v>-3</v>
      </c>
      <c r="AR4173">
        <v>1</v>
      </c>
    </row>
    <row r="4174" spans="1:44" x14ac:dyDescent="0.35">
      <c r="A4174" s="12" t="s">
        <v>5102</v>
      </c>
      <c r="B4174" s="12" t="s">
        <v>640</v>
      </c>
      <c r="C4174" s="12" t="s">
        <v>641</v>
      </c>
      <c r="D4174" s="12" t="s">
        <v>130</v>
      </c>
      <c r="E4174" s="12" t="s">
        <v>104</v>
      </c>
      <c r="F4174">
        <v>3</v>
      </c>
      <c r="G4174">
        <v>0</v>
      </c>
      <c r="H4174">
        <v>0</v>
      </c>
      <c r="I4174" s="12" t="s">
        <v>209</v>
      </c>
      <c r="J4174" s="12" t="s">
        <v>210</v>
      </c>
      <c r="K4174" s="12" t="s">
        <v>133</v>
      </c>
      <c r="L4174" s="12" t="s">
        <v>96</v>
      </c>
      <c r="M4174">
        <v>7.82</v>
      </c>
      <c r="N4174" s="12" t="s">
        <v>135</v>
      </c>
      <c r="O4174" s="12" t="s">
        <v>136</v>
      </c>
      <c r="P4174" s="12" t="s">
        <v>137</v>
      </c>
      <c r="Q4174" s="13">
        <v>45667</v>
      </c>
      <c r="R4174" s="13">
        <v>45685</v>
      </c>
      <c r="S4174">
        <v>2025</v>
      </c>
      <c r="T4174" s="12" t="s">
        <v>5047</v>
      </c>
      <c r="U4174">
        <v>59</v>
      </c>
      <c r="V4174">
        <v>977.20889999999997</v>
      </c>
      <c r="W4174">
        <v>512.49</v>
      </c>
      <c r="X4174">
        <v>0</v>
      </c>
      <c r="Y4174">
        <v>0</v>
      </c>
      <c r="Z4174">
        <v>57655.33</v>
      </c>
      <c r="AA4174">
        <v>58167.82</v>
      </c>
      <c r="AB4174" s="12" t="s">
        <v>3211</v>
      </c>
      <c r="AC4174">
        <v>977.20889999999997</v>
      </c>
      <c r="AD4174">
        <v>1</v>
      </c>
      <c r="AE4174">
        <v>1</v>
      </c>
      <c r="AF4174">
        <v>0</v>
      </c>
      <c r="AG4174">
        <v>57655.33</v>
      </c>
      <c r="AH4174">
        <v>59</v>
      </c>
      <c r="AI4174">
        <v>58</v>
      </c>
      <c r="AJ4174">
        <v>1</v>
      </c>
      <c r="AK4174">
        <v>1</v>
      </c>
      <c r="AL4174">
        <v>1</v>
      </c>
      <c r="AM4174">
        <v>98.31</v>
      </c>
      <c r="AN4174">
        <v>1002.8934</v>
      </c>
      <c r="AO4174">
        <v>977.21</v>
      </c>
      <c r="AP4174" s="13">
        <v>45682</v>
      </c>
      <c r="AQ4174">
        <v>-3</v>
      </c>
      <c r="AR4174">
        <v>1</v>
      </c>
    </row>
    <row r="4175" spans="1:44" x14ac:dyDescent="0.35">
      <c r="A4175" s="12" t="s">
        <v>5103</v>
      </c>
      <c r="B4175" s="12" t="s">
        <v>509</v>
      </c>
      <c r="C4175" s="12" t="s">
        <v>510</v>
      </c>
      <c r="D4175" s="12" t="s">
        <v>78</v>
      </c>
      <c r="E4175" s="12" t="s">
        <v>142</v>
      </c>
      <c r="F4175">
        <v>3</v>
      </c>
      <c r="G4175">
        <v>11</v>
      </c>
      <c r="H4175">
        <v>0</v>
      </c>
      <c r="I4175" s="12" t="s">
        <v>275</v>
      </c>
      <c r="J4175" s="12" t="s">
        <v>276</v>
      </c>
      <c r="K4175" s="12" t="s">
        <v>89</v>
      </c>
      <c r="L4175" s="12" t="s">
        <v>82</v>
      </c>
      <c r="M4175">
        <v>14.26</v>
      </c>
      <c r="N4175" s="12" t="s">
        <v>97</v>
      </c>
      <c r="O4175" s="12" t="s">
        <v>98</v>
      </c>
      <c r="P4175" s="12" t="s">
        <v>72</v>
      </c>
      <c r="Q4175" s="13">
        <v>45667</v>
      </c>
      <c r="R4175" s="13">
        <v>45709</v>
      </c>
      <c r="S4175">
        <v>2025</v>
      </c>
      <c r="T4175" s="12" t="s">
        <v>5047</v>
      </c>
      <c r="U4175">
        <v>155</v>
      </c>
      <c r="V4175">
        <v>136.8672</v>
      </c>
      <c r="W4175">
        <v>362.08</v>
      </c>
      <c r="X4175">
        <v>0</v>
      </c>
      <c r="Y4175">
        <v>0</v>
      </c>
      <c r="Z4175">
        <v>21214.42</v>
      </c>
      <c r="AA4175">
        <v>21576.5</v>
      </c>
      <c r="AB4175" s="12" t="s">
        <v>3286</v>
      </c>
      <c r="AC4175">
        <v>136.8672</v>
      </c>
      <c r="AD4175">
        <v>1</v>
      </c>
      <c r="AE4175">
        <v>1</v>
      </c>
      <c r="AF4175">
        <v>0</v>
      </c>
      <c r="AG4175">
        <v>21214.42</v>
      </c>
      <c r="AH4175">
        <v>155</v>
      </c>
      <c r="AI4175">
        <v>153</v>
      </c>
      <c r="AJ4175">
        <v>2</v>
      </c>
      <c r="AK4175">
        <v>1</v>
      </c>
      <c r="AL4175">
        <v>1</v>
      </c>
      <c r="AM4175">
        <v>98.71</v>
      </c>
      <c r="AN4175">
        <v>141.02279999999999</v>
      </c>
      <c r="AO4175">
        <v>273.73</v>
      </c>
      <c r="AP4175" s="13">
        <v>45707</v>
      </c>
      <c r="AQ4175">
        <v>-2</v>
      </c>
      <c r="AR4175">
        <v>1</v>
      </c>
    </row>
    <row r="4176" spans="1:44" x14ac:dyDescent="0.35">
      <c r="A4176" s="12" t="s">
        <v>5104</v>
      </c>
      <c r="B4176" s="12" t="s">
        <v>404</v>
      </c>
      <c r="C4176" s="12" t="s">
        <v>405</v>
      </c>
      <c r="D4176" s="12" t="s">
        <v>269</v>
      </c>
      <c r="E4176" s="12" t="s">
        <v>65</v>
      </c>
      <c r="F4176">
        <v>3</v>
      </c>
      <c r="G4176">
        <v>5</v>
      </c>
      <c r="H4176">
        <v>0</v>
      </c>
      <c r="I4176" s="12" t="s">
        <v>79</v>
      </c>
      <c r="J4176" s="12" t="s">
        <v>80</v>
      </c>
      <c r="K4176" s="12" t="s">
        <v>81</v>
      </c>
      <c r="L4176" s="12" t="s">
        <v>82</v>
      </c>
      <c r="M4176">
        <v>12.07</v>
      </c>
      <c r="N4176" s="12" t="s">
        <v>159</v>
      </c>
      <c r="O4176" s="12" t="s">
        <v>160</v>
      </c>
      <c r="P4176" s="12" t="s">
        <v>137</v>
      </c>
      <c r="Q4176" s="13">
        <v>45670</v>
      </c>
      <c r="R4176" s="13">
        <v>45702</v>
      </c>
      <c r="S4176">
        <v>2025</v>
      </c>
      <c r="T4176" s="12" t="s">
        <v>5047</v>
      </c>
      <c r="U4176">
        <v>99</v>
      </c>
      <c r="V4176">
        <v>445.74270000000001</v>
      </c>
      <c r="W4176">
        <v>479.44</v>
      </c>
      <c r="X4176">
        <v>0</v>
      </c>
      <c r="Y4176">
        <v>0</v>
      </c>
      <c r="Z4176">
        <v>44128.53</v>
      </c>
      <c r="AA4176">
        <v>44607.97</v>
      </c>
      <c r="AB4176" s="12" t="s">
        <v>2910</v>
      </c>
      <c r="AC4176">
        <v>430.2559</v>
      </c>
      <c r="AD4176">
        <v>1</v>
      </c>
      <c r="AE4176">
        <v>1</v>
      </c>
      <c r="AF4176">
        <v>1533.19</v>
      </c>
      <c r="AG4176">
        <v>42595.33</v>
      </c>
      <c r="AH4176">
        <v>99</v>
      </c>
      <c r="AI4176">
        <v>98</v>
      </c>
      <c r="AJ4176">
        <v>1</v>
      </c>
      <c r="AK4176">
        <v>1</v>
      </c>
      <c r="AL4176">
        <v>1</v>
      </c>
      <c r="AM4176">
        <v>98.99</v>
      </c>
      <c r="AN4176">
        <v>455.18329999999997</v>
      </c>
      <c r="AO4176">
        <v>445.74</v>
      </c>
      <c r="AP4176" s="13">
        <v>45708</v>
      </c>
      <c r="AQ4176">
        <v>6</v>
      </c>
      <c r="AR4176">
        <v>0</v>
      </c>
    </row>
    <row r="4177" spans="1:44" x14ac:dyDescent="0.35">
      <c r="A4177" s="12" t="s">
        <v>5105</v>
      </c>
      <c r="B4177" s="12" t="s">
        <v>163</v>
      </c>
      <c r="C4177" s="12" t="s">
        <v>164</v>
      </c>
      <c r="D4177" s="12" t="s">
        <v>64</v>
      </c>
      <c r="E4177" s="12" t="s">
        <v>104</v>
      </c>
      <c r="F4177">
        <v>2</v>
      </c>
      <c r="G4177">
        <v>0</v>
      </c>
      <c r="H4177">
        <v>0</v>
      </c>
      <c r="I4177" s="12" t="s">
        <v>79</v>
      </c>
      <c r="J4177" s="12" t="s">
        <v>80</v>
      </c>
      <c r="K4177" s="12" t="s">
        <v>81</v>
      </c>
      <c r="L4177" s="12" t="s">
        <v>82</v>
      </c>
      <c r="M4177">
        <v>12.07</v>
      </c>
      <c r="N4177" s="12" t="s">
        <v>97</v>
      </c>
      <c r="O4177" s="12" t="s">
        <v>98</v>
      </c>
      <c r="P4177" s="12" t="s">
        <v>72</v>
      </c>
      <c r="Q4177" s="13">
        <v>45670</v>
      </c>
      <c r="R4177" s="13">
        <v>45688</v>
      </c>
      <c r="S4177">
        <v>2025</v>
      </c>
      <c r="T4177" s="12" t="s">
        <v>5047</v>
      </c>
      <c r="U4177">
        <v>438</v>
      </c>
      <c r="V4177">
        <v>11.6143</v>
      </c>
      <c r="W4177">
        <v>105.81</v>
      </c>
      <c r="X4177">
        <v>0</v>
      </c>
      <c r="Y4177">
        <v>0</v>
      </c>
      <c r="Z4177">
        <v>5087.0600000000004</v>
      </c>
      <c r="AA4177">
        <v>5192.87</v>
      </c>
      <c r="AB4177" s="12" t="s">
        <v>2780</v>
      </c>
      <c r="AC4177">
        <v>11.6143</v>
      </c>
      <c r="AD4177">
        <v>1</v>
      </c>
      <c r="AE4177">
        <v>1</v>
      </c>
      <c r="AF4177">
        <v>0</v>
      </c>
      <c r="AG4177">
        <v>5087.0600000000004</v>
      </c>
      <c r="AH4177">
        <v>438</v>
      </c>
      <c r="AI4177">
        <v>434</v>
      </c>
      <c r="AJ4177">
        <v>4</v>
      </c>
      <c r="AK4177">
        <v>1</v>
      </c>
      <c r="AL4177">
        <v>1</v>
      </c>
      <c r="AM4177">
        <v>99.09</v>
      </c>
      <c r="AN4177">
        <v>11.9651</v>
      </c>
      <c r="AO4177">
        <v>46.46</v>
      </c>
      <c r="AP4177" s="13">
        <v>45688</v>
      </c>
      <c r="AQ4177">
        <v>0</v>
      </c>
      <c r="AR4177">
        <v>1</v>
      </c>
    </row>
    <row r="4178" spans="1:44" x14ac:dyDescent="0.35">
      <c r="A4178" s="12" t="s">
        <v>5106</v>
      </c>
      <c r="B4178" s="12" t="s">
        <v>261</v>
      </c>
      <c r="C4178" s="12" t="s">
        <v>262</v>
      </c>
      <c r="D4178" s="12" t="s">
        <v>114</v>
      </c>
      <c r="E4178" s="12" t="s">
        <v>142</v>
      </c>
      <c r="F4178">
        <v>1</v>
      </c>
      <c r="G4178">
        <v>8</v>
      </c>
      <c r="H4178">
        <v>1</v>
      </c>
      <c r="I4178" s="12" t="s">
        <v>263</v>
      </c>
      <c r="J4178" s="12" t="s">
        <v>264</v>
      </c>
      <c r="K4178" s="12" t="s">
        <v>125</v>
      </c>
      <c r="L4178" s="12" t="s">
        <v>82</v>
      </c>
      <c r="M4178">
        <v>10.210000000000001</v>
      </c>
      <c r="N4178" s="12" t="s">
        <v>97</v>
      </c>
      <c r="O4178" s="12" t="s">
        <v>98</v>
      </c>
      <c r="P4178" s="12" t="s">
        <v>72</v>
      </c>
      <c r="Q4178" s="13">
        <v>45670</v>
      </c>
      <c r="R4178" s="13">
        <v>45716</v>
      </c>
      <c r="S4178">
        <v>2025</v>
      </c>
      <c r="T4178" s="12" t="s">
        <v>5047</v>
      </c>
      <c r="U4178">
        <v>97</v>
      </c>
      <c r="V4178">
        <v>137.84569999999999</v>
      </c>
      <c r="W4178">
        <v>144.5</v>
      </c>
      <c r="X4178">
        <v>0</v>
      </c>
      <c r="Y4178">
        <v>0</v>
      </c>
      <c r="Z4178">
        <v>13371.03</v>
      </c>
      <c r="AA4178">
        <v>13515.53</v>
      </c>
      <c r="AB4178" s="12" t="s">
        <v>2655</v>
      </c>
      <c r="AC4178">
        <v>137.84569999999999</v>
      </c>
      <c r="AD4178">
        <v>1</v>
      </c>
      <c r="AE4178">
        <v>1</v>
      </c>
      <c r="AF4178">
        <v>0</v>
      </c>
      <c r="AG4178">
        <v>13371.03</v>
      </c>
      <c r="AH4178">
        <v>97</v>
      </c>
      <c r="AI4178">
        <v>96</v>
      </c>
      <c r="AJ4178">
        <v>1</v>
      </c>
      <c r="AK4178">
        <v>1</v>
      </c>
      <c r="AL4178">
        <v>1</v>
      </c>
      <c r="AM4178">
        <v>98.97</v>
      </c>
      <c r="AN4178">
        <v>140.7868</v>
      </c>
      <c r="AO4178">
        <v>137.85</v>
      </c>
      <c r="AP4178" s="13">
        <v>45712</v>
      </c>
      <c r="AQ4178">
        <v>-4</v>
      </c>
      <c r="AR4178">
        <v>1</v>
      </c>
    </row>
    <row r="4179" spans="1:44" x14ac:dyDescent="0.35">
      <c r="A4179" s="12" t="s">
        <v>5107</v>
      </c>
      <c r="B4179" s="12" t="s">
        <v>827</v>
      </c>
      <c r="C4179" s="12" t="s">
        <v>828</v>
      </c>
      <c r="D4179" s="12" t="s">
        <v>175</v>
      </c>
      <c r="E4179" s="12" t="s">
        <v>104</v>
      </c>
      <c r="F4179">
        <v>2</v>
      </c>
      <c r="G4179">
        <v>0</v>
      </c>
      <c r="H4179">
        <v>0</v>
      </c>
      <c r="I4179" s="12" t="s">
        <v>183</v>
      </c>
      <c r="J4179" s="12" t="s">
        <v>184</v>
      </c>
      <c r="K4179" s="12" t="s">
        <v>133</v>
      </c>
      <c r="L4179" s="12" t="s">
        <v>82</v>
      </c>
      <c r="M4179">
        <v>8.6199999999999992</v>
      </c>
      <c r="N4179" s="12" t="s">
        <v>145</v>
      </c>
      <c r="O4179" s="12" t="s">
        <v>146</v>
      </c>
      <c r="P4179" s="12" t="s">
        <v>109</v>
      </c>
      <c r="Q4179" s="13">
        <v>45670</v>
      </c>
      <c r="R4179" s="13">
        <v>45687</v>
      </c>
      <c r="S4179">
        <v>2025</v>
      </c>
      <c r="T4179" s="12" t="s">
        <v>5047</v>
      </c>
      <c r="U4179">
        <v>52</v>
      </c>
      <c r="V4179">
        <v>101.62560000000001</v>
      </c>
      <c r="W4179">
        <v>120.46</v>
      </c>
      <c r="X4179">
        <v>0</v>
      </c>
      <c r="Y4179">
        <v>0</v>
      </c>
      <c r="Z4179">
        <v>5284.53</v>
      </c>
      <c r="AA4179">
        <v>5404.99</v>
      </c>
      <c r="AB4179" s="12" t="s">
        <v>3394</v>
      </c>
      <c r="AC4179">
        <v>101.62560000000001</v>
      </c>
      <c r="AD4179">
        <v>1</v>
      </c>
      <c r="AE4179">
        <v>1</v>
      </c>
      <c r="AF4179">
        <v>0</v>
      </c>
      <c r="AG4179">
        <v>5284.53</v>
      </c>
      <c r="AH4179">
        <v>52</v>
      </c>
      <c r="AI4179">
        <v>52</v>
      </c>
      <c r="AJ4179">
        <v>0</v>
      </c>
      <c r="AK4179">
        <v>1</v>
      </c>
      <c r="AL4179">
        <v>1</v>
      </c>
      <c r="AM4179">
        <v>100</v>
      </c>
      <c r="AN4179">
        <v>103.9421</v>
      </c>
      <c r="AO4179">
        <v>0</v>
      </c>
      <c r="AP4179" s="13">
        <v>45692</v>
      </c>
      <c r="AQ4179">
        <v>5</v>
      </c>
      <c r="AR4179">
        <v>0</v>
      </c>
    </row>
    <row r="4180" spans="1:44" x14ac:dyDescent="0.35">
      <c r="A4180" s="12" t="s">
        <v>5108</v>
      </c>
      <c r="B4180" s="12" t="s">
        <v>732</v>
      </c>
      <c r="C4180" s="12" t="s">
        <v>733</v>
      </c>
      <c r="D4180" s="12" t="s">
        <v>114</v>
      </c>
      <c r="E4180" s="12" t="s">
        <v>104</v>
      </c>
      <c r="F4180">
        <v>3</v>
      </c>
      <c r="G4180">
        <v>1</v>
      </c>
      <c r="H4180">
        <v>0</v>
      </c>
      <c r="I4180" s="12" t="s">
        <v>199</v>
      </c>
      <c r="J4180" s="12" t="s">
        <v>200</v>
      </c>
      <c r="K4180" s="12" t="s">
        <v>68</v>
      </c>
      <c r="L4180" s="12" t="s">
        <v>96</v>
      </c>
      <c r="M4180">
        <v>9.4700000000000006</v>
      </c>
      <c r="N4180" s="12" t="s">
        <v>70</v>
      </c>
      <c r="O4180" s="12" t="s">
        <v>71</v>
      </c>
      <c r="P4180" s="12" t="s">
        <v>72</v>
      </c>
      <c r="Q4180" s="13">
        <v>45670</v>
      </c>
      <c r="R4180" s="13">
        <v>45688</v>
      </c>
      <c r="S4180">
        <v>2025</v>
      </c>
      <c r="T4180" s="12" t="s">
        <v>5047</v>
      </c>
      <c r="U4180">
        <v>61</v>
      </c>
      <c r="V4180">
        <v>304.28100000000001</v>
      </c>
      <c r="W4180">
        <v>132.88999999999999</v>
      </c>
      <c r="X4180">
        <v>0</v>
      </c>
      <c r="Y4180">
        <v>0</v>
      </c>
      <c r="Z4180">
        <v>18561.14</v>
      </c>
      <c r="AA4180">
        <v>18694.03</v>
      </c>
      <c r="AB4180" s="12" t="s">
        <v>3295</v>
      </c>
      <c r="AC4180">
        <v>304.28100000000001</v>
      </c>
      <c r="AD4180">
        <v>1</v>
      </c>
      <c r="AE4180">
        <v>1</v>
      </c>
      <c r="AF4180">
        <v>0</v>
      </c>
      <c r="AG4180">
        <v>18561.14</v>
      </c>
      <c r="AH4180">
        <v>61</v>
      </c>
      <c r="AI4180">
        <v>61</v>
      </c>
      <c r="AJ4180">
        <v>0</v>
      </c>
      <c r="AK4180">
        <v>1</v>
      </c>
      <c r="AL4180">
        <v>1</v>
      </c>
      <c r="AM4180">
        <v>100</v>
      </c>
      <c r="AN4180">
        <v>306.45949999999999</v>
      </c>
      <c r="AO4180">
        <v>0</v>
      </c>
      <c r="AP4180" s="13">
        <v>45690</v>
      </c>
      <c r="AQ4180">
        <v>2</v>
      </c>
      <c r="AR4180">
        <v>0</v>
      </c>
    </row>
    <row r="4181" spans="1:44" x14ac:dyDescent="0.35">
      <c r="A4181" s="12" t="s">
        <v>5109</v>
      </c>
      <c r="B4181" s="12" t="s">
        <v>92</v>
      </c>
      <c r="C4181" s="12" t="s">
        <v>93</v>
      </c>
      <c r="D4181" s="12" t="s">
        <v>64</v>
      </c>
      <c r="E4181" s="12" t="s">
        <v>65</v>
      </c>
      <c r="F4181">
        <v>3</v>
      </c>
      <c r="G4181">
        <v>5</v>
      </c>
      <c r="H4181">
        <v>0</v>
      </c>
      <c r="I4181" s="12" t="s">
        <v>94</v>
      </c>
      <c r="J4181" s="12" t="s">
        <v>95</v>
      </c>
      <c r="K4181" s="12" t="s">
        <v>81</v>
      </c>
      <c r="L4181" s="12" t="s">
        <v>96</v>
      </c>
      <c r="M4181">
        <v>4.8099999999999996</v>
      </c>
      <c r="N4181" s="12" t="s">
        <v>97</v>
      </c>
      <c r="O4181" s="12" t="s">
        <v>98</v>
      </c>
      <c r="P4181" s="12" t="s">
        <v>72</v>
      </c>
      <c r="Q4181" s="13">
        <v>45670</v>
      </c>
      <c r="R4181" s="13">
        <v>45707</v>
      </c>
      <c r="S4181">
        <v>2025</v>
      </c>
      <c r="T4181" s="12" t="s">
        <v>5047</v>
      </c>
      <c r="U4181">
        <v>937</v>
      </c>
      <c r="V4181">
        <v>23.1553</v>
      </c>
      <c r="W4181">
        <v>256.33999999999997</v>
      </c>
      <c r="X4181">
        <v>0</v>
      </c>
      <c r="Y4181">
        <v>0</v>
      </c>
      <c r="Z4181">
        <v>21696.52</v>
      </c>
      <c r="AA4181">
        <v>21952.86</v>
      </c>
      <c r="AB4181" s="12" t="s">
        <v>5110</v>
      </c>
      <c r="AC4181">
        <v>23.1553</v>
      </c>
      <c r="AD4181">
        <v>1</v>
      </c>
      <c r="AE4181">
        <v>1</v>
      </c>
      <c r="AF4181">
        <v>0</v>
      </c>
      <c r="AG4181">
        <v>21696.52</v>
      </c>
      <c r="AH4181">
        <v>937</v>
      </c>
      <c r="AI4181">
        <v>923</v>
      </c>
      <c r="AJ4181">
        <v>14</v>
      </c>
      <c r="AK4181">
        <v>1</v>
      </c>
      <c r="AL4181">
        <v>1</v>
      </c>
      <c r="AM4181">
        <v>98.51</v>
      </c>
      <c r="AN4181">
        <v>23.784199999999998</v>
      </c>
      <c r="AO4181">
        <v>324.17</v>
      </c>
      <c r="AP4181" s="13">
        <v>45704</v>
      </c>
      <c r="AQ4181">
        <v>-3</v>
      </c>
      <c r="AR4181">
        <v>1</v>
      </c>
    </row>
    <row r="4182" spans="1:44" x14ac:dyDescent="0.35">
      <c r="A4182" s="12" t="s">
        <v>5111</v>
      </c>
      <c r="B4182" s="12" t="s">
        <v>957</v>
      </c>
      <c r="C4182" s="12" t="s">
        <v>958</v>
      </c>
      <c r="D4182" s="12" t="s">
        <v>103</v>
      </c>
      <c r="E4182" s="12" t="s">
        <v>142</v>
      </c>
      <c r="F4182">
        <v>1</v>
      </c>
      <c r="G4182">
        <v>7</v>
      </c>
      <c r="H4182">
        <v>1</v>
      </c>
      <c r="I4182" s="12" t="s">
        <v>183</v>
      </c>
      <c r="J4182" s="12" t="s">
        <v>184</v>
      </c>
      <c r="K4182" s="12" t="s">
        <v>133</v>
      </c>
      <c r="L4182" s="12" t="s">
        <v>82</v>
      </c>
      <c r="M4182">
        <v>8.6199999999999992</v>
      </c>
      <c r="N4182" s="12" t="s">
        <v>145</v>
      </c>
      <c r="O4182" s="12" t="s">
        <v>146</v>
      </c>
      <c r="P4182" s="12" t="s">
        <v>109</v>
      </c>
      <c r="Q4182" s="13">
        <v>45670</v>
      </c>
      <c r="R4182" s="13">
        <v>45717</v>
      </c>
      <c r="S4182">
        <v>2025</v>
      </c>
      <c r="T4182" s="12" t="s">
        <v>5047</v>
      </c>
      <c r="U4182">
        <v>106</v>
      </c>
      <c r="V4182">
        <v>193.65539999999999</v>
      </c>
      <c r="W4182">
        <v>496.97</v>
      </c>
      <c r="X4182">
        <v>0</v>
      </c>
      <c r="Y4182">
        <v>0</v>
      </c>
      <c r="Z4182">
        <v>20527.47</v>
      </c>
      <c r="AA4182">
        <v>21024.44</v>
      </c>
      <c r="AB4182" s="12" t="s">
        <v>3249</v>
      </c>
      <c r="AC4182">
        <v>193.65539999999999</v>
      </c>
      <c r="AD4182">
        <v>1</v>
      </c>
      <c r="AE4182">
        <v>1</v>
      </c>
      <c r="AF4182">
        <v>0</v>
      </c>
      <c r="AG4182">
        <v>20527.47</v>
      </c>
      <c r="AH4182">
        <v>106</v>
      </c>
      <c r="AI4182">
        <v>105</v>
      </c>
      <c r="AJ4182">
        <v>1</v>
      </c>
      <c r="AK4182">
        <v>1</v>
      </c>
      <c r="AL4182">
        <v>1</v>
      </c>
      <c r="AM4182">
        <v>99.06</v>
      </c>
      <c r="AN4182">
        <v>200.2328</v>
      </c>
      <c r="AO4182">
        <v>193.66</v>
      </c>
      <c r="AP4182" s="13">
        <v>45726</v>
      </c>
      <c r="AQ4182">
        <v>9</v>
      </c>
      <c r="AR4182">
        <v>0</v>
      </c>
    </row>
    <row r="4183" spans="1:44" x14ac:dyDescent="0.35">
      <c r="A4183" s="12" t="s">
        <v>5112</v>
      </c>
      <c r="B4183" s="12" t="s">
        <v>1134</v>
      </c>
      <c r="C4183" s="12" t="s">
        <v>1135</v>
      </c>
      <c r="D4183" s="12" t="s">
        <v>269</v>
      </c>
      <c r="E4183" s="12" t="s">
        <v>104</v>
      </c>
      <c r="F4183">
        <v>2</v>
      </c>
      <c r="G4183">
        <v>0</v>
      </c>
      <c r="H4183">
        <v>0</v>
      </c>
      <c r="I4183" s="12" t="s">
        <v>380</v>
      </c>
      <c r="J4183" s="12" t="s">
        <v>381</v>
      </c>
      <c r="K4183" s="12" t="s">
        <v>89</v>
      </c>
      <c r="L4183" s="12" t="s">
        <v>96</v>
      </c>
      <c r="M4183">
        <v>10.210000000000001</v>
      </c>
      <c r="N4183" s="12" t="s">
        <v>135</v>
      </c>
      <c r="O4183" s="12" t="s">
        <v>136</v>
      </c>
      <c r="P4183" s="12" t="s">
        <v>137</v>
      </c>
      <c r="Q4183" s="13">
        <v>45670</v>
      </c>
      <c r="R4183" s="13">
        <v>45691</v>
      </c>
      <c r="S4183">
        <v>2025</v>
      </c>
      <c r="T4183" s="12" t="s">
        <v>5047</v>
      </c>
      <c r="U4183">
        <v>87</v>
      </c>
      <c r="V4183">
        <v>100.0123</v>
      </c>
      <c r="W4183">
        <v>93.26</v>
      </c>
      <c r="X4183">
        <v>0</v>
      </c>
      <c r="Y4183">
        <v>0</v>
      </c>
      <c r="Z4183">
        <v>8701.07</v>
      </c>
      <c r="AA4183">
        <v>8794.33</v>
      </c>
      <c r="AB4183" s="12" t="s">
        <v>3615</v>
      </c>
      <c r="AC4183">
        <v>100.0123</v>
      </c>
      <c r="AD4183">
        <v>1</v>
      </c>
      <c r="AE4183">
        <v>1</v>
      </c>
      <c r="AF4183">
        <v>0</v>
      </c>
      <c r="AG4183">
        <v>8701.07</v>
      </c>
      <c r="AH4183">
        <v>87</v>
      </c>
      <c r="AI4183">
        <v>86</v>
      </c>
      <c r="AJ4183">
        <v>1</v>
      </c>
      <c r="AK4183">
        <v>1</v>
      </c>
      <c r="AL4183">
        <v>1</v>
      </c>
      <c r="AM4183">
        <v>98.85</v>
      </c>
      <c r="AN4183">
        <v>102.2597</v>
      </c>
      <c r="AO4183">
        <v>100.01</v>
      </c>
      <c r="AP4183" s="13">
        <v>45695</v>
      </c>
      <c r="AQ4183">
        <v>4</v>
      </c>
      <c r="AR4183">
        <v>0</v>
      </c>
    </row>
    <row r="4184" spans="1:44" x14ac:dyDescent="0.35">
      <c r="A4184" s="12" t="s">
        <v>5113</v>
      </c>
      <c r="B4184" s="12" t="s">
        <v>1179</v>
      </c>
      <c r="C4184" s="12" t="s">
        <v>1180</v>
      </c>
      <c r="D4184" s="12" t="s">
        <v>122</v>
      </c>
      <c r="E4184" s="12" t="s">
        <v>142</v>
      </c>
      <c r="F4184">
        <v>1</v>
      </c>
      <c r="G4184">
        <v>8</v>
      </c>
      <c r="H4184">
        <v>1</v>
      </c>
      <c r="I4184" s="12" t="s">
        <v>143</v>
      </c>
      <c r="J4184" s="12" t="s">
        <v>144</v>
      </c>
      <c r="K4184" s="12" t="s">
        <v>133</v>
      </c>
      <c r="L4184" s="12" t="s">
        <v>96</v>
      </c>
      <c r="M4184">
        <v>5.43</v>
      </c>
      <c r="N4184" s="12" t="s">
        <v>70</v>
      </c>
      <c r="O4184" s="12" t="s">
        <v>71</v>
      </c>
      <c r="P4184" s="12" t="s">
        <v>72</v>
      </c>
      <c r="Q4184" s="13">
        <v>45670</v>
      </c>
      <c r="R4184" s="13">
        <v>45707</v>
      </c>
      <c r="S4184">
        <v>2025</v>
      </c>
      <c r="T4184" s="12" t="s">
        <v>5047</v>
      </c>
      <c r="U4184">
        <v>405</v>
      </c>
      <c r="V4184">
        <v>52.441499999999998</v>
      </c>
      <c r="W4184">
        <v>287.69</v>
      </c>
      <c r="X4184">
        <v>0</v>
      </c>
      <c r="Y4184">
        <v>0</v>
      </c>
      <c r="Z4184">
        <v>21238.81</v>
      </c>
      <c r="AA4184">
        <v>21526.5</v>
      </c>
      <c r="AB4184" s="12" t="s">
        <v>3049</v>
      </c>
      <c r="AC4184">
        <v>52.441499999999998</v>
      </c>
      <c r="AD4184">
        <v>1</v>
      </c>
      <c r="AE4184">
        <v>1</v>
      </c>
      <c r="AF4184">
        <v>0</v>
      </c>
      <c r="AG4184">
        <v>21238.81</v>
      </c>
      <c r="AH4184">
        <v>405</v>
      </c>
      <c r="AI4184">
        <v>402</v>
      </c>
      <c r="AJ4184">
        <v>3</v>
      </c>
      <c r="AK4184">
        <v>1</v>
      </c>
      <c r="AL4184">
        <v>1</v>
      </c>
      <c r="AM4184">
        <v>99.26</v>
      </c>
      <c r="AN4184">
        <v>53.548499999999997</v>
      </c>
      <c r="AO4184">
        <v>157.32</v>
      </c>
      <c r="AP4184" s="13">
        <v>45704</v>
      </c>
      <c r="AQ4184">
        <v>-3</v>
      </c>
      <c r="AR4184">
        <v>1</v>
      </c>
    </row>
    <row r="4185" spans="1:44" x14ac:dyDescent="0.35">
      <c r="A4185" s="12" t="s">
        <v>5114</v>
      </c>
      <c r="B4185" s="12" t="s">
        <v>1013</v>
      </c>
      <c r="C4185" s="12" t="s">
        <v>1014</v>
      </c>
      <c r="D4185" s="12" t="s">
        <v>78</v>
      </c>
      <c r="E4185" s="12" t="s">
        <v>65</v>
      </c>
      <c r="F4185">
        <v>2</v>
      </c>
      <c r="G4185">
        <v>3</v>
      </c>
      <c r="H4185">
        <v>0</v>
      </c>
      <c r="I4185" s="12" t="s">
        <v>123</v>
      </c>
      <c r="J4185" s="12" t="s">
        <v>124</v>
      </c>
      <c r="K4185" s="12" t="s">
        <v>125</v>
      </c>
      <c r="L4185" s="12" t="s">
        <v>82</v>
      </c>
      <c r="M4185">
        <v>6.75</v>
      </c>
      <c r="N4185" s="12" t="s">
        <v>70</v>
      </c>
      <c r="O4185" s="12" t="s">
        <v>71</v>
      </c>
      <c r="P4185" s="12" t="s">
        <v>72</v>
      </c>
      <c r="Q4185" s="13">
        <v>45670</v>
      </c>
      <c r="R4185" s="13">
        <v>45704</v>
      </c>
      <c r="S4185">
        <v>2025</v>
      </c>
      <c r="T4185" s="12" t="s">
        <v>5047</v>
      </c>
      <c r="U4185">
        <v>229</v>
      </c>
      <c r="V4185">
        <v>125.10590000000001</v>
      </c>
      <c r="W4185">
        <v>254.65</v>
      </c>
      <c r="X4185">
        <v>0</v>
      </c>
      <c r="Y4185">
        <v>0</v>
      </c>
      <c r="Z4185">
        <v>28649.25</v>
      </c>
      <c r="AA4185">
        <v>28903.9</v>
      </c>
      <c r="AB4185" s="12" t="s">
        <v>3398</v>
      </c>
      <c r="AC4185">
        <v>125.10590000000001</v>
      </c>
      <c r="AD4185">
        <v>1</v>
      </c>
      <c r="AE4185">
        <v>1</v>
      </c>
      <c r="AF4185">
        <v>0</v>
      </c>
      <c r="AG4185">
        <v>28649.25</v>
      </c>
      <c r="AH4185">
        <v>229</v>
      </c>
      <c r="AI4185">
        <v>226</v>
      </c>
      <c r="AJ4185">
        <v>3</v>
      </c>
      <c r="AK4185">
        <v>1</v>
      </c>
      <c r="AL4185">
        <v>1</v>
      </c>
      <c r="AM4185">
        <v>98.69</v>
      </c>
      <c r="AN4185">
        <v>127.8934</v>
      </c>
      <c r="AO4185">
        <v>375.32</v>
      </c>
      <c r="AP4185" s="13">
        <v>45702</v>
      </c>
      <c r="AQ4185">
        <v>-2</v>
      </c>
      <c r="AR4185">
        <v>1</v>
      </c>
    </row>
    <row r="4186" spans="1:44" x14ac:dyDescent="0.35">
      <c r="A4186" s="12" t="s">
        <v>5115</v>
      </c>
      <c r="B4186" s="12" t="s">
        <v>1013</v>
      </c>
      <c r="C4186" s="12" t="s">
        <v>1014</v>
      </c>
      <c r="D4186" s="12" t="s">
        <v>78</v>
      </c>
      <c r="E4186" s="12" t="s">
        <v>65</v>
      </c>
      <c r="F4186">
        <v>2</v>
      </c>
      <c r="G4186">
        <v>3</v>
      </c>
      <c r="H4186">
        <v>0</v>
      </c>
      <c r="I4186" s="12" t="s">
        <v>123</v>
      </c>
      <c r="J4186" s="12" t="s">
        <v>124</v>
      </c>
      <c r="K4186" s="12" t="s">
        <v>125</v>
      </c>
      <c r="L4186" s="12" t="s">
        <v>82</v>
      </c>
      <c r="M4186">
        <v>6.75</v>
      </c>
      <c r="N4186" s="12" t="s">
        <v>70</v>
      </c>
      <c r="O4186" s="12" t="s">
        <v>71</v>
      </c>
      <c r="P4186" s="12" t="s">
        <v>72</v>
      </c>
      <c r="Q4186" s="13">
        <v>45670</v>
      </c>
      <c r="R4186" s="13">
        <v>45708</v>
      </c>
      <c r="S4186">
        <v>2025</v>
      </c>
      <c r="T4186" s="12" t="s">
        <v>5047</v>
      </c>
      <c r="U4186">
        <v>296</v>
      </c>
      <c r="V4186">
        <v>125.10590000000001</v>
      </c>
      <c r="W4186">
        <v>366.14</v>
      </c>
      <c r="X4186">
        <v>0</v>
      </c>
      <c r="Y4186">
        <v>0</v>
      </c>
      <c r="Z4186">
        <v>37031.35</v>
      </c>
      <c r="AA4186">
        <v>37397.49</v>
      </c>
      <c r="AB4186" s="12" t="s">
        <v>3398</v>
      </c>
      <c r="AC4186">
        <v>125.10590000000001</v>
      </c>
      <c r="AD4186">
        <v>1</v>
      </c>
      <c r="AE4186">
        <v>1</v>
      </c>
      <c r="AF4186">
        <v>0</v>
      </c>
      <c r="AG4186">
        <v>37031.35</v>
      </c>
      <c r="AH4186">
        <v>296</v>
      </c>
      <c r="AI4186">
        <v>290</v>
      </c>
      <c r="AJ4186">
        <v>6</v>
      </c>
      <c r="AK4186">
        <v>1</v>
      </c>
      <c r="AL4186">
        <v>1</v>
      </c>
      <c r="AM4186">
        <v>97.97</v>
      </c>
      <c r="AN4186">
        <v>128.95679999999999</v>
      </c>
      <c r="AO4186">
        <v>750.64</v>
      </c>
      <c r="AP4186" s="13">
        <v>45705</v>
      </c>
      <c r="AQ4186">
        <v>-3</v>
      </c>
      <c r="AR4186">
        <v>1</v>
      </c>
    </row>
    <row r="4187" spans="1:44" x14ac:dyDescent="0.35">
      <c r="A4187" s="12" t="s">
        <v>5116</v>
      </c>
      <c r="B4187" s="12" t="s">
        <v>630</v>
      </c>
      <c r="C4187" s="12" t="s">
        <v>631</v>
      </c>
      <c r="D4187" s="12" t="s">
        <v>130</v>
      </c>
      <c r="E4187" s="12" t="s">
        <v>65</v>
      </c>
      <c r="F4187">
        <v>1</v>
      </c>
      <c r="G4187">
        <v>2</v>
      </c>
      <c r="H4187">
        <v>1</v>
      </c>
      <c r="I4187" s="12" t="s">
        <v>335</v>
      </c>
      <c r="J4187" s="12" t="s">
        <v>336</v>
      </c>
      <c r="K4187" s="12" t="s">
        <v>89</v>
      </c>
      <c r="L4187" s="12" t="s">
        <v>82</v>
      </c>
      <c r="M4187">
        <v>16</v>
      </c>
      <c r="N4187" s="12" t="s">
        <v>159</v>
      </c>
      <c r="O4187" s="12" t="s">
        <v>160</v>
      </c>
      <c r="P4187" s="12" t="s">
        <v>137</v>
      </c>
      <c r="Q4187" s="13">
        <v>45671</v>
      </c>
      <c r="R4187" s="13">
        <v>45701</v>
      </c>
      <c r="S4187">
        <v>2025</v>
      </c>
      <c r="T4187" s="12" t="s">
        <v>5047</v>
      </c>
      <c r="U4187">
        <v>84</v>
      </c>
      <c r="V4187">
        <v>446.36720000000003</v>
      </c>
      <c r="W4187">
        <v>325.2</v>
      </c>
      <c r="X4187">
        <v>0</v>
      </c>
      <c r="Y4187">
        <v>0</v>
      </c>
      <c r="Z4187">
        <v>37494.839999999997</v>
      </c>
      <c r="AA4187">
        <v>37820.04</v>
      </c>
      <c r="AB4187" s="12" t="s">
        <v>2944</v>
      </c>
      <c r="AC4187">
        <v>446.36720000000003</v>
      </c>
      <c r="AD4187">
        <v>1</v>
      </c>
      <c r="AE4187">
        <v>1</v>
      </c>
      <c r="AF4187">
        <v>0</v>
      </c>
      <c r="AG4187">
        <v>37494.839999999997</v>
      </c>
      <c r="AH4187">
        <v>84</v>
      </c>
      <c r="AI4187">
        <v>83</v>
      </c>
      <c r="AJ4187">
        <v>1</v>
      </c>
      <c r="AK4187">
        <v>1</v>
      </c>
      <c r="AL4187">
        <v>1</v>
      </c>
      <c r="AM4187">
        <v>98.81</v>
      </c>
      <c r="AN4187">
        <v>455.66320000000002</v>
      </c>
      <c r="AO4187">
        <v>446.37</v>
      </c>
      <c r="AP4187" s="13">
        <v>45706</v>
      </c>
      <c r="AQ4187">
        <v>5</v>
      </c>
      <c r="AR4187">
        <v>0</v>
      </c>
    </row>
    <row r="4188" spans="1:44" x14ac:dyDescent="0.35">
      <c r="A4188" s="12" t="s">
        <v>5117</v>
      </c>
      <c r="B4188" s="12" t="s">
        <v>613</v>
      </c>
      <c r="C4188" s="12" t="s">
        <v>614</v>
      </c>
      <c r="D4188" s="12" t="s">
        <v>130</v>
      </c>
      <c r="E4188" s="12" t="s">
        <v>104</v>
      </c>
      <c r="F4188">
        <v>3</v>
      </c>
      <c r="G4188">
        <v>1</v>
      </c>
      <c r="H4188">
        <v>0</v>
      </c>
      <c r="I4188" s="12" t="s">
        <v>66</v>
      </c>
      <c r="J4188" s="12" t="s">
        <v>67</v>
      </c>
      <c r="K4188" s="12" t="s">
        <v>68</v>
      </c>
      <c r="L4188" s="12" t="s">
        <v>69</v>
      </c>
      <c r="M4188">
        <v>17.66</v>
      </c>
      <c r="N4188" s="12" t="s">
        <v>135</v>
      </c>
      <c r="O4188" s="12" t="s">
        <v>136</v>
      </c>
      <c r="P4188" s="12" t="s">
        <v>137</v>
      </c>
      <c r="Q4188" s="13">
        <v>45671</v>
      </c>
      <c r="R4188" s="13">
        <v>45698</v>
      </c>
      <c r="S4188">
        <v>2025</v>
      </c>
      <c r="T4188" s="12" t="s">
        <v>5047</v>
      </c>
      <c r="U4188">
        <v>131</v>
      </c>
      <c r="V4188">
        <v>173.59219999999999</v>
      </c>
      <c r="W4188">
        <v>468.84</v>
      </c>
      <c r="X4188">
        <v>0</v>
      </c>
      <c r="Y4188">
        <v>0</v>
      </c>
      <c r="Z4188">
        <v>22740.58</v>
      </c>
      <c r="AA4188">
        <v>23209.42</v>
      </c>
      <c r="AB4188" s="12" t="s">
        <v>3097</v>
      </c>
      <c r="AC4188">
        <v>173.59219999999999</v>
      </c>
      <c r="AD4188">
        <v>1</v>
      </c>
      <c r="AE4188">
        <v>1</v>
      </c>
      <c r="AF4188">
        <v>0</v>
      </c>
      <c r="AG4188">
        <v>22740.58</v>
      </c>
      <c r="AH4188">
        <v>131</v>
      </c>
      <c r="AI4188">
        <v>130</v>
      </c>
      <c r="AJ4188">
        <v>1</v>
      </c>
      <c r="AK4188">
        <v>1</v>
      </c>
      <c r="AL4188">
        <v>1</v>
      </c>
      <c r="AM4188">
        <v>99.24</v>
      </c>
      <c r="AN4188">
        <v>178.53399999999999</v>
      </c>
      <c r="AO4188">
        <v>173.59</v>
      </c>
      <c r="AP4188" s="13">
        <v>45696</v>
      </c>
      <c r="AQ4188">
        <v>-2</v>
      </c>
      <c r="AR4188">
        <v>1</v>
      </c>
    </row>
    <row r="4189" spans="1:44" x14ac:dyDescent="0.35">
      <c r="A4189" s="12" t="s">
        <v>5118</v>
      </c>
      <c r="B4189" s="12" t="s">
        <v>62</v>
      </c>
      <c r="C4189" s="12" t="s">
        <v>63</v>
      </c>
      <c r="D4189" s="12" t="s">
        <v>64</v>
      </c>
      <c r="E4189" s="12" t="s">
        <v>65</v>
      </c>
      <c r="F4189">
        <v>1</v>
      </c>
      <c r="G4189">
        <v>2</v>
      </c>
      <c r="H4189">
        <v>1</v>
      </c>
      <c r="I4189" s="12" t="s">
        <v>66</v>
      </c>
      <c r="J4189" s="12" t="s">
        <v>67</v>
      </c>
      <c r="K4189" s="12" t="s">
        <v>68</v>
      </c>
      <c r="L4189" s="12" t="s">
        <v>69</v>
      </c>
      <c r="M4189">
        <v>17.66</v>
      </c>
      <c r="N4189" s="12" t="s">
        <v>97</v>
      </c>
      <c r="O4189" s="12" t="s">
        <v>98</v>
      </c>
      <c r="P4189" s="12" t="s">
        <v>72</v>
      </c>
      <c r="Q4189" s="13">
        <v>45671</v>
      </c>
      <c r="R4189" s="13">
        <v>45700</v>
      </c>
      <c r="S4189">
        <v>2025</v>
      </c>
      <c r="T4189" s="12" t="s">
        <v>5047</v>
      </c>
      <c r="U4189">
        <v>543</v>
      </c>
      <c r="V4189">
        <v>24.018699999999999</v>
      </c>
      <c r="W4189">
        <v>106.24</v>
      </c>
      <c r="X4189">
        <v>0</v>
      </c>
      <c r="Y4189">
        <v>0</v>
      </c>
      <c r="Z4189">
        <v>13042.15</v>
      </c>
      <c r="AA4189">
        <v>13148.39</v>
      </c>
      <c r="AB4189" s="12" t="s">
        <v>201</v>
      </c>
      <c r="AD4189">
        <v>0</v>
      </c>
      <c r="AE4189">
        <v>0</v>
      </c>
      <c r="AH4189">
        <v>543</v>
      </c>
      <c r="AI4189">
        <v>535</v>
      </c>
      <c r="AJ4189">
        <v>8</v>
      </c>
      <c r="AK4189">
        <v>1</v>
      </c>
      <c r="AL4189">
        <v>1</v>
      </c>
      <c r="AM4189">
        <v>98.53</v>
      </c>
      <c r="AN4189">
        <v>24.5764</v>
      </c>
      <c r="AO4189">
        <v>192.15</v>
      </c>
      <c r="AP4189" s="13">
        <v>45698</v>
      </c>
      <c r="AQ4189">
        <v>-2</v>
      </c>
      <c r="AR4189">
        <v>1</v>
      </c>
    </row>
    <row r="4190" spans="1:44" x14ac:dyDescent="0.35">
      <c r="A4190" s="12" t="s">
        <v>5119</v>
      </c>
      <c r="B4190" s="12" t="s">
        <v>408</v>
      </c>
      <c r="C4190" s="12" t="s">
        <v>409</v>
      </c>
      <c r="D4190" s="12" t="s">
        <v>130</v>
      </c>
      <c r="E4190" s="12" t="s">
        <v>65</v>
      </c>
      <c r="F4190">
        <v>3</v>
      </c>
      <c r="G4190">
        <v>5</v>
      </c>
      <c r="H4190">
        <v>0</v>
      </c>
      <c r="I4190" s="12" t="s">
        <v>105</v>
      </c>
      <c r="J4190" s="12" t="s">
        <v>106</v>
      </c>
      <c r="K4190" s="12" t="s">
        <v>81</v>
      </c>
      <c r="L4190" s="12" t="s">
        <v>96</v>
      </c>
      <c r="M4190">
        <v>5.01</v>
      </c>
      <c r="N4190" s="12" t="s">
        <v>135</v>
      </c>
      <c r="O4190" s="12" t="s">
        <v>136</v>
      </c>
      <c r="P4190" s="12" t="s">
        <v>137</v>
      </c>
      <c r="Q4190" s="13">
        <v>45671</v>
      </c>
      <c r="R4190" s="13">
        <v>45694</v>
      </c>
      <c r="S4190">
        <v>2025</v>
      </c>
      <c r="T4190" s="12" t="s">
        <v>5047</v>
      </c>
      <c r="U4190">
        <v>31</v>
      </c>
      <c r="V4190">
        <v>746.87909999999999</v>
      </c>
      <c r="W4190">
        <v>242.99</v>
      </c>
      <c r="X4190">
        <v>0</v>
      </c>
      <c r="Y4190">
        <v>0</v>
      </c>
      <c r="Z4190">
        <v>23153.25</v>
      </c>
      <c r="AA4190">
        <v>23396.240000000002</v>
      </c>
      <c r="AB4190" s="12" t="s">
        <v>3038</v>
      </c>
      <c r="AC4190">
        <v>746.87909999999999</v>
      </c>
      <c r="AD4190">
        <v>1</v>
      </c>
      <c r="AE4190">
        <v>1</v>
      </c>
      <c r="AF4190">
        <v>0</v>
      </c>
      <c r="AG4190">
        <v>23153.25</v>
      </c>
      <c r="AH4190">
        <v>31</v>
      </c>
      <c r="AI4190">
        <v>31</v>
      </c>
      <c r="AJ4190">
        <v>0</v>
      </c>
      <c r="AK4190">
        <v>1</v>
      </c>
      <c r="AL4190">
        <v>1</v>
      </c>
      <c r="AM4190">
        <v>100</v>
      </c>
      <c r="AN4190">
        <v>754.71749999999997</v>
      </c>
      <c r="AO4190">
        <v>0</v>
      </c>
      <c r="AP4190" s="13">
        <v>45700</v>
      </c>
      <c r="AQ4190">
        <v>6</v>
      </c>
      <c r="AR4190">
        <v>0</v>
      </c>
    </row>
    <row r="4191" spans="1:44" x14ac:dyDescent="0.35">
      <c r="A4191" s="12" t="s">
        <v>5120</v>
      </c>
      <c r="B4191" s="12" t="s">
        <v>167</v>
      </c>
      <c r="C4191" s="12" t="s">
        <v>168</v>
      </c>
      <c r="D4191" s="12" t="s">
        <v>64</v>
      </c>
      <c r="E4191" s="12" t="s">
        <v>104</v>
      </c>
      <c r="F4191">
        <v>3</v>
      </c>
      <c r="G4191">
        <v>1</v>
      </c>
      <c r="H4191">
        <v>0</v>
      </c>
      <c r="I4191" s="12" t="s">
        <v>243</v>
      </c>
      <c r="J4191" s="12" t="s">
        <v>244</v>
      </c>
      <c r="K4191" s="12" t="s">
        <v>81</v>
      </c>
      <c r="L4191" s="12" t="s">
        <v>82</v>
      </c>
      <c r="M4191">
        <v>9.2200000000000006</v>
      </c>
      <c r="N4191" s="12" t="s">
        <v>97</v>
      </c>
      <c r="O4191" s="12" t="s">
        <v>98</v>
      </c>
      <c r="P4191" s="12" t="s">
        <v>72</v>
      </c>
      <c r="Q4191" s="13">
        <v>45671</v>
      </c>
      <c r="R4191" s="13">
        <v>45692</v>
      </c>
      <c r="S4191">
        <v>2025</v>
      </c>
      <c r="T4191" s="12" t="s">
        <v>5047</v>
      </c>
      <c r="U4191">
        <v>570</v>
      </c>
      <c r="V4191">
        <v>26.9526</v>
      </c>
      <c r="W4191">
        <v>310.67</v>
      </c>
      <c r="X4191">
        <v>0</v>
      </c>
      <c r="Y4191">
        <v>0</v>
      </c>
      <c r="Z4191">
        <v>15362.98</v>
      </c>
      <c r="AA4191">
        <v>15673.65</v>
      </c>
      <c r="AB4191" s="12" t="s">
        <v>201</v>
      </c>
      <c r="AD4191">
        <v>0</v>
      </c>
      <c r="AE4191">
        <v>0</v>
      </c>
      <c r="AH4191">
        <v>570</v>
      </c>
      <c r="AI4191">
        <v>564</v>
      </c>
      <c r="AJ4191">
        <v>6</v>
      </c>
      <c r="AK4191">
        <v>1</v>
      </c>
      <c r="AL4191">
        <v>1</v>
      </c>
      <c r="AM4191">
        <v>98.95</v>
      </c>
      <c r="AN4191">
        <v>27.790199999999999</v>
      </c>
      <c r="AO4191">
        <v>161.72</v>
      </c>
      <c r="AP4191" s="13">
        <v>45700</v>
      </c>
      <c r="AQ4191">
        <v>8</v>
      </c>
      <c r="AR4191">
        <v>0</v>
      </c>
    </row>
    <row r="4192" spans="1:44" x14ac:dyDescent="0.35">
      <c r="A4192" s="12" t="s">
        <v>5121</v>
      </c>
      <c r="B4192" s="12" t="s">
        <v>120</v>
      </c>
      <c r="C4192" s="12" t="s">
        <v>121</v>
      </c>
      <c r="D4192" s="12" t="s">
        <v>122</v>
      </c>
      <c r="E4192" s="12" t="s">
        <v>65</v>
      </c>
      <c r="F4192">
        <v>3</v>
      </c>
      <c r="G4192">
        <v>4</v>
      </c>
      <c r="H4192">
        <v>0</v>
      </c>
      <c r="I4192" s="12" t="s">
        <v>123</v>
      </c>
      <c r="J4192" s="12" t="s">
        <v>124</v>
      </c>
      <c r="K4192" s="12" t="s">
        <v>125</v>
      </c>
      <c r="L4192" s="12" t="s">
        <v>82</v>
      </c>
      <c r="M4192">
        <v>6.75</v>
      </c>
      <c r="N4192" s="12" t="s">
        <v>70</v>
      </c>
      <c r="O4192" s="12" t="s">
        <v>71</v>
      </c>
      <c r="P4192" s="12" t="s">
        <v>72</v>
      </c>
      <c r="Q4192" s="13">
        <v>45671</v>
      </c>
      <c r="R4192" s="13">
        <v>45692</v>
      </c>
      <c r="S4192">
        <v>2025</v>
      </c>
      <c r="T4192" s="12" t="s">
        <v>5047</v>
      </c>
      <c r="U4192">
        <v>228</v>
      </c>
      <c r="V4192">
        <v>50.154899999999998</v>
      </c>
      <c r="W4192">
        <v>252.29</v>
      </c>
      <c r="X4192">
        <v>0</v>
      </c>
      <c r="Y4192">
        <v>0</v>
      </c>
      <c r="Z4192">
        <v>11435.32</v>
      </c>
      <c r="AA4192">
        <v>11687.61</v>
      </c>
      <c r="AB4192" s="12" t="s">
        <v>2728</v>
      </c>
      <c r="AC4192">
        <v>53.214500000000001</v>
      </c>
      <c r="AD4192">
        <v>1</v>
      </c>
      <c r="AE4192">
        <v>1</v>
      </c>
      <c r="AF4192">
        <v>-697.59</v>
      </c>
      <c r="AG4192">
        <v>12132.91</v>
      </c>
      <c r="AH4192">
        <v>228</v>
      </c>
      <c r="AI4192">
        <v>226</v>
      </c>
      <c r="AJ4192">
        <v>2</v>
      </c>
      <c r="AK4192">
        <v>1</v>
      </c>
      <c r="AL4192">
        <v>1</v>
      </c>
      <c r="AM4192">
        <v>99.12</v>
      </c>
      <c r="AN4192">
        <v>51.7151</v>
      </c>
      <c r="AO4192">
        <v>100.31</v>
      </c>
      <c r="AP4192" s="13">
        <v>45692</v>
      </c>
      <c r="AQ4192">
        <v>0</v>
      </c>
      <c r="AR4192">
        <v>1</v>
      </c>
    </row>
    <row r="4193" spans="1:44" x14ac:dyDescent="0.35">
      <c r="A4193" s="12" t="s">
        <v>5122</v>
      </c>
      <c r="B4193" s="12" t="s">
        <v>621</v>
      </c>
      <c r="C4193" s="12" t="s">
        <v>622</v>
      </c>
      <c r="D4193" s="12" t="s">
        <v>103</v>
      </c>
      <c r="E4193" s="12" t="s">
        <v>65</v>
      </c>
      <c r="F4193">
        <v>1</v>
      </c>
      <c r="G4193">
        <v>2</v>
      </c>
      <c r="H4193">
        <v>1</v>
      </c>
      <c r="I4193" s="12" t="s">
        <v>486</v>
      </c>
      <c r="J4193" s="12" t="s">
        <v>487</v>
      </c>
      <c r="K4193" s="12" t="s">
        <v>125</v>
      </c>
      <c r="L4193" s="12" t="s">
        <v>69</v>
      </c>
      <c r="M4193">
        <v>36.86</v>
      </c>
      <c r="N4193" s="12" t="s">
        <v>145</v>
      </c>
      <c r="O4193" s="12" t="s">
        <v>146</v>
      </c>
      <c r="P4193" s="12" t="s">
        <v>109</v>
      </c>
      <c r="Q4193" s="13">
        <v>45671</v>
      </c>
      <c r="R4193" s="13">
        <v>45709</v>
      </c>
      <c r="S4193">
        <v>2025</v>
      </c>
      <c r="T4193" s="12" t="s">
        <v>5047</v>
      </c>
      <c r="U4193">
        <v>149</v>
      </c>
      <c r="V4193">
        <v>208.30590000000001</v>
      </c>
      <c r="W4193">
        <v>563.53</v>
      </c>
      <c r="X4193">
        <v>0</v>
      </c>
      <c r="Y4193">
        <v>0</v>
      </c>
      <c r="Z4193">
        <v>31037.58</v>
      </c>
      <c r="AA4193">
        <v>31601.11</v>
      </c>
      <c r="AB4193" s="12" t="s">
        <v>5123</v>
      </c>
      <c r="AC4193">
        <v>200.7516</v>
      </c>
      <c r="AD4193">
        <v>1</v>
      </c>
      <c r="AE4193">
        <v>1</v>
      </c>
      <c r="AF4193">
        <v>1125.5899999999999</v>
      </c>
      <c r="AG4193">
        <v>29911.99</v>
      </c>
      <c r="AH4193">
        <v>149</v>
      </c>
      <c r="AI4193">
        <v>149</v>
      </c>
      <c r="AJ4193">
        <v>0</v>
      </c>
      <c r="AK4193">
        <v>1</v>
      </c>
      <c r="AL4193">
        <v>1</v>
      </c>
      <c r="AM4193">
        <v>100</v>
      </c>
      <c r="AN4193">
        <v>212.08799999999999</v>
      </c>
      <c r="AO4193">
        <v>0</v>
      </c>
      <c r="AP4193" s="13">
        <v>45707</v>
      </c>
      <c r="AQ4193">
        <v>-2</v>
      </c>
      <c r="AR4193">
        <v>1</v>
      </c>
    </row>
    <row r="4194" spans="1:44" x14ac:dyDescent="0.35">
      <c r="A4194" s="12" t="s">
        <v>5124</v>
      </c>
      <c r="B4194" s="12" t="s">
        <v>773</v>
      </c>
      <c r="C4194" s="12" t="s">
        <v>774</v>
      </c>
      <c r="D4194" s="12" t="s">
        <v>64</v>
      </c>
      <c r="E4194" s="12" t="s">
        <v>142</v>
      </c>
      <c r="F4194">
        <v>1</v>
      </c>
      <c r="G4194">
        <v>7</v>
      </c>
      <c r="H4194">
        <v>1</v>
      </c>
      <c r="I4194" s="12" t="s">
        <v>251</v>
      </c>
      <c r="J4194" s="12" t="s">
        <v>252</v>
      </c>
      <c r="K4194" s="12" t="s">
        <v>133</v>
      </c>
      <c r="L4194" s="12" t="s">
        <v>69</v>
      </c>
      <c r="M4194">
        <v>34.49</v>
      </c>
      <c r="N4194" s="12" t="s">
        <v>70</v>
      </c>
      <c r="O4194" s="12" t="s">
        <v>71</v>
      </c>
      <c r="P4194" s="12" t="s">
        <v>72</v>
      </c>
      <c r="Q4194" s="13">
        <v>45671</v>
      </c>
      <c r="R4194" s="13">
        <v>45717</v>
      </c>
      <c r="S4194">
        <v>2025</v>
      </c>
      <c r="T4194" s="12" t="s">
        <v>5047</v>
      </c>
      <c r="U4194">
        <v>681</v>
      </c>
      <c r="V4194">
        <v>10.022600000000001</v>
      </c>
      <c r="W4194">
        <v>87.31</v>
      </c>
      <c r="X4194">
        <v>212.28</v>
      </c>
      <c r="Y4194">
        <v>1</v>
      </c>
      <c r="Z4194">
        <v>6825.39</v>
      </c>
      <c r="AA4194">
        <v>7124.98</v>
      </c>
      <c r="AB4194" s="12" t="s">
        <v>3354</v>
      </c>
      <c r="AC4194">
        <v>10.022600000000001</v>
      </c>
      <c r="AD4194">
        <v>1</v>
      </c>
      <c r="AE4194">
        <v>1</v>
      </c>
      <c r="AF4194">
        <v>0</v>
      </c>
      <c r="AG4194">
        <v>6825.39</v>
      </c>
      <c r="AH4194">
        <v>681</v>
      </c>
      <c r="AI4194">
        <v>678</v>
      </c>
      <c r="AJ4194">
        <v>3</v>
      </c>
      <c r="AK4194">
        <v>1</v>
      </c>
      <c r="AL4194">
        <v>1</v>
      </c>
      <c r="AM4194">
        <v>99.56</v>
      </c>
      <c r="AN4194">
        <v>10.508800000000001</v>
      </c>
      <c r="AO4194">
        <v>30.07</v>
      </c>
      <c r="AP4194" s="13">
        <v>45715</v>
      </c>
      <c r="AQ4194">
        <v>-2</v>
      </c>
      <c r="AR4194">
        <v>1</v>
      </c>
    </row>
    <row r="4195" spans="1:44" x14ac:dyDescent="0.35">
      <c r="A4195" s="12" t="s">
        <v>5125</v>
      </c>
      <c r="B4195" s="12" t="s">
        <v>140</v>
      </c>
      <c r="C4195" s="12" t="s">
        <v>141</v>
      </c>
      <c r="D4195" s="12" t="s">
        <v>103</v>
      </c>
      <c r="E4195" s="12" t="s">
        <v>142</v>
      </c>
      <c r="F4195">
        <v>1</v>
      </c>
      <c r="G4195">
        <v>7</v>
      </c>
      <c r="H4195">
        <v>1</v>
      </c>
      <c r="I4195" s="12" t="s">
        <v>143</v>
      </c>
      <c r="J4195" s="12" t="s">
        <v>144</v>
      </c>
      <c r="K4195" s="12" t="s">
        <v>133</v>
      </c>
      <c r="L4195" s="12" t="s">
        <v>96</v>
      </c>
      <c r="M4195">
        <v>5.43</v>
      </c>
      <c r="N4195" s="12" t="s">
        <v>145</v>
      </c>
      <c r="O4195" s="12" t="s">
        <v>146</v>
      </c>
      <c r="P4195" s="12" t="s">
        <v>109</v>
      </c>
      <c r="Q4195" s="13">
        <v>45671</v>
      </c>
      <c r="R4195" s="13">
        <v>45706</v>
      </c>
      <c r="S4195">
        <v>2025</v>
      </c>
      <c r="T4195" s="12" t="s">
        <v>5047</v>
      </c>
      <c r="U4195">
        <v>10</v>
      </c>
      <c r="V4195">
        <v>198.43430000000001</v>
      </c>
      <c r="W4195">
        <v>32.590000000000003</v>
      </c>
      <c r="X4195">
        <v>0</v>
      </c>
      <c r="Y4195">
        <v>0</v>
      </c>
      <c r="Z4195">
        <v>1984.34</v>
      </c>
      <c r="AA4195">
        <v>2016.93</v>
      </c>
      <c r="AB4195" s="12" t="s">
        <v>5126</v>
      </c>
      <c r="AC4195">
        <v>210.93029999999999</v>
      </c>
      <c r="AD4195">
        <v>1</v>
      </c>
      <c r="AE4195">
        <v>1</v>
      </c>
      <c r="AF4195">
        <v>-124.96</v>
      </c>
      <c r="AG4195">
        <v>2109.3000000000002</v>
      </c>
      <c r="AH4195">
        <v>10</v>
      </c>
      <c r="AI4195">
        <v>10</v>
      </c>
      <c r="AJ4195">
        <v>0</v>
      </c>
      <c r="AK4195">
        <v>1</v>
      </c>
      <c r="AL4195">
        <v>1</v>
      </c>
      <c r="AM4195">
        <v>100</v>
      </c>
      <c r="AN4195">
        <v>201.69329999999999</v>
      </c>
      <c r="AO4195">
        <v>0</v>
      </c>
      <c r="AP4195" s="13">
        <v>45705</v>
      </c>
      <c r="AQ4195">
        <v>-1</v>
      </c>
      <c r="AR4195">
        <v>1</v>
      </c>
    </row>
    <row r="4196" spans="1:44" x14ac:dyDescent="0.35">
      <c r="A4196" s="12" t="s">
        <v>5127</v>
      </c>
      <c r="B4196" s="12" t="s">
        <v>740</v>
      </c>
      <c r="C4196" s="12" t="s">
        <v>741</v>
      </c>
      <c r="D4196" s="12" t="s">
        <v>64</v>
      </c>
      <c r="E4196" s="12" t="s">
        <v>104</v>
      </c>
      <c r="F4196">
        <v>2</v>
      </c>
      <c r="G4196">
        <v>0</v>
      </c>
      <c r="H4196">
        <v>0</v>
      </c>
      <c r="I4196" s="12" t="s">
        <v>151</v>
      </c>
      <c r="J4196" s="12" t="s">
        <v>152</v>
      </c>
      <c r="K4196" s="12" t="s">
        <v>125</v>
      </c>
      <c r="L4196" s="12" t="s">
        <v>69</v>
      </c>
      <c r="M4196">
        <v>36.479999999999997</v>
      </c>
      <c r="N4196" s="12" t="s">
        <v>97</v>
      </c>
      <c r="O4196" s="12" t="s">
        <v>98</v>
      </c>
      <c r="P4196" s="12" t="s">
        <v>72</v>
      </c>
      <c r="Q4196" s="13">
        <v>45671</v>
      </c>
      <c r="R4196" s="13">
        <v>45688</v>
      </c>
      <c r="S4196">
        <v>2025</v>
      </c>
      <c r="T4196" s="12" t="s">
        <v>5047</v>
      </c>
      <c r="U4196">
        <v>358</v>
      </c>
      <c r="V4196">
        <v>39.821100000000001</v>
      </c>
      <c r="W4196">
        <v>205.34</v>
      </c>
      <c r="X4196">
        <v>0</v>
      </c>
      <c r="Y4196">
        <v>0</v>
      </c>
      <c r="Z4196">
        <v>14255.95</v>
      </c>
      <c r="AA4196">
        <v>14461.29</v>
      </c>
      <c r="AB4196" s="12" t="s">
        <v>3064</v>
      </c>
      <c r="AC4196">
        <v>39.821100000000001</v>
      </c>
      <c r="AD4196">
        <v>1</v>
      </c>
      <c r="AE4196">
        <v>1</v>
      </c>
      <c r="AF4196">
        <v>0</v>
      </c>
      <c r="AG4196">
        <v>14255.95</v>
      </c>
      <c r="AH4196">
        <v>358</v>
      </c>
      <c r="AI4196">
        <v>356</v>
      </c>
      <c r="AJ4196">
        <v>2</v>
      </c>
      <c r="AK4196">
        <v>1</v>
      </c>
      <c r="AL4196">
        <v>1</v>
      </c>
      <c r="AM4196">
        <v>99.44</v>
      </c>
      <c r="AN4196">
        <v>40.621600000000001</v>
      </c>
      <c r="AO4196">
        <v>79.64</v>
      </c>
      <c r="AP4196" s="13">
        <v>45695</v>
      </c>
      <c r="AQ4196">
        <v>7</v>
      </c>
      <c r="AR4196">
        <v>0</v>
      </c>
    </row>
    <row r="4197" spans="1:44" x14ac:dyDescent="0.35">
      <c r="A4197" s="12" t="s">
        <v>5128</v>
      </c>
      <c r="B4197" s="12" t="s">
        <v>149</v>
      </c>
      <c r="C4197" s="12" t="s">
        <v>150</v>
      </c>
      <c r="D4197" s="12" t="s">
        <v>78</v>
      </c>
      <c r="E4197" s="12" t="s">
        <v>65</v>
      </c>
      <c r="F4197">
        <v>2</v>
      </c>
      <c r="G4197">
        <v>2</v>
      </c>
      <c r="H4197">
        <v>0</v>
      </c>
      <c r="I4197" s="12" t="s">
        <v>151</v>
      </c>
      <c r="J4197" s="12" t="s">
        <v>152</v>
      </c>
      <c r="K4197" s="12" t="s">
        <v>125</v>
      </c>
      <c r="L4197" s="12" t="s">
        <v>69</v>
      </c>
      <c r="M4197">
        <v>36.479999999999997</v>
      </c>
      <c r="N4197" s="12" t="s">
        <v>70</v>
      </c>
      <c r="O4197" s="12" t="s">
        <v>71</v>
      </c>
      <c r="P4197" s="12" t="s">
        <v>72</v>
      </c>
      <c r="Q4197" s="13">
        <v>45672</v>
      </c>
      <c r="R4197" s="13">
        <v>45710</v>
      </c>
      <c r="S4197">
        <v>2025</v>
      </c>
      <c r="T4197" s="12" t="s">
        <v>5047</v>
      </c>
      <c r="U4197">
        <v>298</v>
      </c>
      <c r="V4197">
        <v>62.020299999999999</v>
      </c>
      <c r="W4197">
        <v>282.52</v>
      </c>
      <c r="X4197">
        <v>0</v>
      </c>
      <c r="Y4197">
        <v>0</v>
      </c>
      <c r="Z4197">
        <v>18482.05</v>
      </c>
      <c r="AA4197">
        <v>18764.57</v>
      </c>
      <c r="AB4197" s="12" t="s">
        <v>5076</v>
      </c>
      <c r="AC4197">
        <v>65.934700000000007</v>
      </c>
      <c r="AD4197">
        <v>1</v>
      </c>
      <c r="AE4197">
        <v>1</v>
      </c>
      <c r="AF4197">
        <v>-1166.49</v>
      </c>
      <c r="AG4197">
        <v>19648.54</v>
      </c>
      <c r="AH4197">
        <v>298</v>
      </c>
      <c r="AI4197">
        <v>290</v>
      </c>
      <c r="AJ4197">
        <v>8</v>
      </c>
      <c r="AK4197">
        <v>1</v>
      </c>
      <c r="AL4197">
        <v>1</v>
      </c>
      <c r="AM4197">
        <v>97.32</v>
      </c>
      <c r="AN4197">
        <v>64.705399999999997</v>
      </c>
      <c r="AO4197">
        <v>496.16</v>
      </c>
      <c r="AP4197" s="13">
        <v>45712</v>
      </c>
      <c r="AQ4197">
        <v>2</v>
      </c>
      <c r="AR4197">
        <v>0</v>
      </c>
    </row>
    <row r="4198" spans="1:44" x14ac:dyDescent="0.35">
      <c r="A4198" s="12" t="s">
        <v>5129</v>
      </c>
      <c r="B4198" s="12" t="s">
        <v>1054</v>
      </c>
      <c r="C4198" s="12" t="s">
        <v>1055</v>
      </c>
      <c r="D4198" s="12" t="s">
        <v>122</v>
      </c>
      <c r="E4198" s="12" t="s">
        <v>65</v>
      </c>
      <c r="F4198">
        <v>1</v>
      </c>
      <c r="G4198">
        <v>2</v>
      </c>
      <c r="H4198">
        <v>1</v>
      </c>
      <c r="I4198" s="12" t="s">
        <v>176</v>
      </c>
      <c r="J4198" s="12" t="s">
        <v>177</v>
      </c>
      <c r="K4198" s="12" t="s">
        <v>125</v>
      </c>
      <c r="L4198" s="12" t="s">
        <v>134</v>
      </c>
      <c r="M4198">
        <v>1.75</v>
      </c>
      <c r="N4198" s="12" t="s">
        <v>70</v>
      </c>
      <c r="O4198" s="12" t="s">
        <v>71</v>
      </c>
      <c r="P4198" s="12" t="s">
        <v>72</v>
      </c>
      <c r="Q4198" s="13">
        <v>45672</v>
      </c>
      <c r="R4198" s="13">
        <v>45703</v>
      </c>
      <c r="S4198">
        <v>2025</v>
      </c>
      <c r="T4198" s="12" t="s">
        <v>5047</v>
      </c>
      <c r="U4198">
        <v>1289</v>
      </c>
      <c r="V4198">
        <v>45.850499999999997</v>
      </c>
      <c r="W4198">
        <v>513.63</v>
      </c>
      <c r="X4198">
        <v>0</v>
      </c>
      <c r="Y4198">
        <v>0</v>
      </c>
      <c r="Z4198">
        <v>59101.29</v>
      </c>
      <c r="AA4198">
        <v>59614.92</v>
      </c>
      <c r="AB4198" s="12" t="s">
        <v>3227</v>
      </c>
      <c r="AC4198">
        <v>45.850499999999997</v>
      </c>
      <c r="AD4198">
        <v>1</v>
      </c>
      <c r="AE4198">
        <v>1</v>
      </c>
      <c r="AF4198">
        <v>0</v>
      </c>
      <c r="AG4198">
        <v>59101.29</v>
      </c>
      <c r="AH4198">
        <v>1289</v>
      </c>
      <c r="AI4198">
        <v>1281</v>
      </c>
      <c r="AJ4198">
        <v>8</v>
      </c>
      <c r="AK4198">
        <v>1</v>
      </c>
      <c r="AL4198">
        <v>1</v>
      </c>
      <c r="AM4198">
        <v>99.38</v>
      </c>
      <c r="AN4198">
        <v>46.537799999999997</v>
      </c>
      <c r="AO4198">
        <v>366.8</v>
      </c>
      <c r="AP4198" s="13">
        <v>45706</v>
      </c>
      <c r="AQ4198">
        <v>3</v>
      </c>
      <c r="AR4198">
        <v>0</v>
      </c>
    </row>
    <row r="4199" spans="1:44" x14ac:dyDescent="0.35">
      <c r="A4199" s="12" t="s">
        <v>5130</v>
      </c>
      <c r="B4199" s="12" t="s">
        <v>747</v>
      </c>
      <c r="C4199" s="12" t="s">
        <v>748</v>
      </c>
      <c r="D4199" s="12" t="s">
        <v>114</v>
      </c>
      <c r="E4199" s="12" t="s">
        <v>104</v>
      </c>
      <c r="F4199">
        <v>2</v>
      </c>
      <c r="G4199">
        <v>0</v>
      </c>
      <c r="H4199">
        <v>0</v>
      </c>
      <c r="I4199" s="12" t="s">
        <v>380</v>
      </c>
      <c r="J4199" s="12" t="s">
        <v>381</v>
      </c>
      <c r="K4199" s="12" t="s">
        <v>89</v>
      </c>
      <c r="L4199" s="12" t="s">
        <v>96</v>
      </c>
      <c r="M4199">
        <v>10.210000000000001</v>
      </c>
      <c r="N4199" s="12" t="s">
        <v>70</v>
      </c>
      <c r="O4199" s="12" t="s">
        <v>71</v>
      </c>
      <c r="P4199" s="12" t="s">
        <v>72</v>
      </c>
      <c r="Q4199" s="13">
        <v>45672</v>
      </c>
      <c r="R4199" s="13">
        <v>45697</v>
      </c>
      <c r="S4199">
        <v>2025</v>
      </c>
      <c r="T4199" s="12" t="s">
        <v>5047</v>
      </c>
      <c r="U4199">
        <v>114</v>
      </c>
      <c r="V4199">
        <v>242.0575</v>
      </c>
      <c r="W4199">
        <v>615.57000000000005</v>
      </c>
      <c r="X4199">
        <v>0</v>
      </c>
      <c r="Y4199">
        <v>0</v>
      </c>
      <c r="Z4199">
        <v>27594.560000000001</v>
      </c>
      <c r="AA4199">
        <v>28210.13</v>
      </c>
      <c r="AB4199" s="12" t="s">
        <v>3072</v>
      </c>
      <c r="AC4199">
        <v>242.0575</v>
      </c>
      <c r="AD4199">
        <v>1</v>
      </c>
      <c r="AE4199">
        <v>1</v>
      </c>
      <c r="AF4199">
        <v>0</v>
      </c>
      <c r="AG4199">
        <v>27594.560000000001</v>
      </c>
      <c r="AH4199">
        <v>114</v>
      </c>
      <c r="AI4199">
        <v>113</v>
      </c>
      <c r="AJ4199">
        <v>1</v>
      </c>
      <c r="AK4199">
        <v>1</v>
      </c>
      <c r="AL4199">
        <v>1</v>
      </c>
      <c r="AM4199">
        <v>99.12</v>
      </c>
      <c r="AN4199">
        <v>249.64709999999999</v>
      </c>
      <c r="AO4199">
        <v>242.06</v>
      </c>
      <c r="AP4199" s="13">
        <v>45706</v>
      </c>
      <c r="AQ4199">
        <v>9</v>
      </c>
      <c r="AR4199">
        <v>0</v>
      </c>
    </row>
    <row r="4200" spans="1:44" x14ac:dyDescent="0.35">
      <c r="A4200" s="12" t="s">
        <v>5131</v>
      </c>
      <c r="B4200" s="12" t="s">
        <v>823</v>
      </c>
      <c r="C4200" s="12" t="s">
        <v>824</v>
      </c>
      <c r="D4200" s="12" t="s">
        <v>114</v>
      </c>
      <c r="E4200" s="12" t="s">
        <v>142</v>
      </c>
      <c r="F4200">
        <v>1</v>
      </c>
      <c r="G4200">
        <v>8</v>
      </c>
      <c r="H4200">
        <v>1</v>
      </c>
      <c r="I4200" s="12" t="s">
        <v>515</v>
      </c>
      <c r="J4200" s="12" t="s">
        <v>516</v>
      </c>
      <c r="K4200" s="12" t="s">
        <v>68</v>
      </c>
      <c r="L4200" s="12" t="s">
        <v>134</v>
      </c>
      <c r="M4200">
        <v>3.69</v>
      </c>
      <c r="N4200" s="12" t="s">
        <v>70</v>
      </c>
      <c r="O4200" s="12" t="s">
        <v>71</v>
      </c>
      <c r="P4200" s="12" t="s">
        <v>72</v>
      </c>
      <c r="Q4200" s="13">
        <v>45672</v>
      </c>
      <c r="R4200" s="13">
        <v>45722</v>
      </c>
      <c r="S4200">
        <v>2025</v>
      </c>
      <c r="T4200" s="12" t="s">
        <v>5047</v>
      </c>
      <c r="U4200">
        <v>129</v>
      </c>
      <c r="V4200">
        <v>361.71230000000003</v>
      </c>
      <c r="W4200">
        <v>746.85</v>
      </c>
      <c r="X4200">
        <v>0</v>
      </c>
      <c r="Y4200">
        <v>0</v>
      </c>
      <c r="Z4200">
        <v>46660.89</v>
      </c>
      <c r="AA4200">
        <v>47407.74</v>
      </c>
      <c r="AB4200" s="12" t="s">
        <v>3483</v>
      </c>
      <c r="AC4200">
        <v>361.71230000000003</v>
      </c>
      <c r="AD4200">
        <v>1</v>
      </c>
      <c r="AE4200">
        <v>1</v>
      </c>
      <c r="AF4200">
        <v>0</v>
      </c>
      <c r="AG4200">
        <v>46660.89</v>
      </c>
      <c r="AH4200">
        <v>129</v>
      </c>
      <c r="AI4200">
        <v>128</v>
      </c>
      <c r="AJ4200">
        <v>1</v>
      </c>
      <c r="AK4200">
        <v>1</v>
      </c>
      <c r="AL4200">
        <v>1</v>
      </c>
      <c r="AM4200">
        <v>99.22</v>
      </c>
      <c r="AN4200">
        <v>370.37290000000002</v>
      </c>
      <c r="AO4200">
        <v>361.71</v>
      </c>
      <c r="AP4200" s="13">
        <v>45722</v>
      </c>
      <c r="AQ4200">
        <v>0</v>
      </c>
      <c r="AR4200">
        <v>1</v>
      </c>
    </row>
    <row r="4201" spans="1:44" x14ac:dyDescent="0.35">
      <c r="A4201" s="12" t="s">
        <v>5132</v>
      </c>
      <c r="B4201" s="12" t="s">
        <v>92</v>
      </c>
      <c r="C4201" s="12" t="s">
        <v>93</v>
      </c>
      <c r="D4201" s="12" t="s">
        <v>64</v>
      </c>
      <c r="E4201" s="12" t="s">
        <v>65</v>
      </c>
      <c r="F4201">
        <v>3</v>
      </c>
      <c r="G4201">
        <v>5</v>
      </c>
      <c r="H4201">
        <v>0</v>
      </c>
      <c r="I4201" s="12" t="s">
        <v>94</v>
      </c>
      <c r="J4201" s="12" t="s">
        <v>95</v>
      </c>
      <c r="K4201" s="12" t="s">
        <v>81</v>
      </c>
      <c r="L4201" s="12" t="s">
        <v>96</v>
      </c>
      <c r="M4201">
        <v>4.8099999999999996</v>
      </c>
      <c r="N4201" s="12" t="s">
        <v>70</v>
      </c>
      <c r="O4201" s="12" t="s">
        <v>71</v>
      </c>
      <c r="P4201" s="12" t="s">
        <v>72</v>
      </c>
      <c r="Q4201" s="13">
        <v>45672</v>
      </c>
      <c r="R4201" s="13">
        <v>45706</v>
      </c>
      <c r="S4201">
        <v>2025</v>
      </c>
      <c r="T4201" s="12" t="s">
        <v>5047</v>
      </c>
      <c r="U4201">
        <v>763</v>
      </c>
      <c r="V4201">
        <v>23.1553</v>
      </c>
      <c r="W4201">
        <v>197.89</v>
      </c>
      <c r="X4201">
        <v>0</v>
      </c>
      <c r="Y4201">
        <v>0</v>
      </c>
      <c r="Z4201">
        <v>17667.490000000002</v>
      </c>
      <c r="AA4201">
        <v>17865.38</v>
      </c>
      <c r="AB4201" s="12" t="s">
        <v>5110</v>
      </c>
      <c r="AC4201">
        <v>23.1553</v>
      </c>
      <c r="AD4201">
        <v>1</v>
      </c>
      <c r="AE4201">
        <v>1</v>
      </c>
      <c r="AF4201">
        <v>0</v>
      </c>
      <c r="AG4201">
        <v>17667.490000000002</v>
      </c>
      <c r="AH4201">
        <v>763</v>
      </c>
      <c r="AI4201">
        <v>761</v>
      </c>
      <c r="AJ4201">
        <v>2</v>
      </c>
      <c r="AK4201">
        <v>1</v>
      </c>
      <c r="AL4201">
        <v>1</v>
      </c>
      <c r="AM4201">
        <v>99.74</v>
      </c>
      <c r="AN4201">
        <v>23.476199999999999</v>
      </c>
      <c r="AO4201">
        <v>46.31</v>
      </c>
      <c r="AP4201" s="13">
        <v>45706</v>
      </c>
      <c r="AQ4201">
        <v>0</v>
      </c>
      <c r="AR4201">
        <v>1</v>
      </c>
    </row>
    <row r="4202" spans="1:44" x14ac:dyDescent="0.35">
      <c r="A4202" s="12" t="s">
        <v>5133</v>
      </c>
      <c r="B4202" s="12" t="s">
        <v>661</v>
      </c>
      <c r="C4202" s="12" t="s">
        <v>662</v>
      </c>
      <c r="D4202" s="12" t="s">
        <v>175</v>
      </c>
      <c r="E4202" s="12" t="s">
        <v>104</v>
      </c>
      <c r="F4202">
        <v>1</v>
      </c>
      <c r="G4202">
        <v>0</v>
      </c>
      <c r="H4202">
        <v>1</v>
      </c>
      <c r="I4202" s="12" t="s">
        <v>183</v>
      </c>
      <c r="J4202" s="12" t="s">
        <v>184</v>
      </c>
      <c r="K4202" s="12" t="s">
        <v>133</v>
      </c>
      <c r="L4202" s="12" t="s">
        <v>82</v>
      </c>
      <c r="M4202">
        <v>8.6199999999999992</v>
      </c>
      <c r="N4202" s="12" t="s">
        <v>145</v>
      </c>
      <c r="O4202" s="12" t="s">
        <v>146</v>
      </c>
      <c r="P4202" s="12" t="s">
        <v>109</v>
      </c>
      <c r="Q4202" s="13">
        <v>45672</v>
      </c>
      <c r="R4202" s="13">
        <v>45695</v>
      </c>
      <c r="S4202">
        <v>2025</v>
      </c>
      <c r="T4202" s="12" t="s">
        <v>5047</v>
      </c>
      <c r="U4202">
        <v>103</v>
      </c>
      <c r="V4202">
        <v>180.0376</v>
      </c>
      <c r="W4202">
        <v>246.05</v>
      </c>
      <c r="X4202">
        <v>578.61</v>
      </c>
      <c r="Y4202">
        <v>1</v>
      </c>
      <c r="Z4202">
        <v>18543.87</v>
      </c>
      <c r="AA4202">
        <v>19368.53</v>
      </c>
      <c r="AB4202" s="12" t="s">
        <v>2851</v>
      </c>
      <c r="AC4202">
        <v>180.0376</v>
      </c>
      <c r="AD4202">
        <v>1</v>
      </c>
      <c r="AE4202">
        <v>1</v>
      </c>
      <c r="AF4202">
        <v>0</v>
      </c>
      <c r="AG4202">
        <v>18543.87</v>
      </c>
      <c r="AH4202">
        <v>103</v>
      </c>
      <c r="AI4202">
        <v>102</v>
      </c>
      <c r="AJ4202">
        <v>1</v>
      </c>
      <c r="AK4202">
        <v>1</v>
      </c>
      <c r="AL4202">
        <v>1</v>
      </c>
      <c r="AM4202">
        <v>99.03</v>
      </c>
      <c r="AN4202">
        <v>189.88759999999999</v>
      </c>
      <c r="AO4202">
        <v>180.04</v>
      </c>
      <c r="AP4202" s="13">
        <v>45692</v>
      </c>
      <c r="AQ4202">
        <v>-3</v>
      </c>
      <c r="AR4202">
        <v>1</v>
      </c>
    </row>
    <row r="4203" spans="1:44" x14ac:dyDescent="0.35">
      <c r="A4203" s="12" t="s">
        <v>5134</v>
      </c>
      <c r="B4203" s="12" t="s">
        <v>957</v>
      </c>
      <c r="C4203" s="12" t="s">
        <v>958</v>
      </c>
      <c r="D4203" s="12" t="s">
        <v>103</v>
      </c>
      <c r="E4203" s="12" t="s">
        <v>142</v>
      </c>
      <c r="F4203">
        <v>1</v>
      </c>
      <c r="G4203">
        <v>7</v>
      </c>
      <c r="H4203">
        <v>1</v>
      </c>
      <c r="I4203" s="12" t="s">
        <v>183</v>
      </c>
      <c r="J4203" s="12" t="s">
        <v>184</v>
      </c>
      <c r="K4203" s="12" t="s">
        <v>133</v>
      </c>
      <c r="L4203" s="12" t="s">
        <v>82</v>
      </c>
      <c r="M4203">
        <v>8.6199999999999992</v>
      </c>
      <c r="N4203" s="12" t="s">
        <v>107</v>
      </c>
      <c r="O4203" s="12" t="s">
        <v>108</v>
      </c>
      <c r="P4203" s="12" t="s">
        <v>109</v>
      </c>
      <c r="Q4203" s="13">
        <v>45672</v>
      </c>
      <c r="R4203" s="13">
        <v>45707</v>
      </c>
      <c r="S4203">
        <v>2025</v>
      </c>
      <c r="T4203" s="12" t="s">
        <v>5047</v>
      </c>
      <c r="U4203">
        <v>16</v>
      </c>
      <c r="V4203">
        <v>193.65539999999999</v>
      </c>
      <c r="W4203">
        <v>78.010000000000005</v>
      </c>
      <c r="X4203">
        <v>0</v>
      </c>
      <c r="Y4203">
        <v>0</v>
      </c>
      <c r="Z4203">
        <v>3098.49</v>
      </c>
      <c r="AA4203">
        <v>3176.5</v>
      </c>
      <c r="AB4203" s="12" t="s">
        <v>3249</v>
      </c>
      <c r="AC4203">
        <v>193.65539999999999</v>
      </c>
      <c r="AD4203">
        <v>1</v>
      </c>
      <c r="AE4203">
        <v>1</v>
      </c>
      <c r="AF4203">
        <v>0</v>
      </c>
      <c r="AG4203">
        <v>3098.49</v>
      </c>
      <c r="AH4203">
        <v>16</v>
      </c>
      <c r="AI4203">
        <v>16</v>
      </c>
      <c r="AJ4203">
        <v>0</v>
      </c>
      <c r="AK4203">
        <v>1</v>
      </c>
      <c r="AL4203">
        <v>1</v>
      </c>
      <c r="AM4203">
        <v>100</v>
      </c>
      <c r="AN4203">
        <v>198.53100000000001</v>
      </c>
      <c r="AO4203">
        <v>0</v>
      </c>
      <c r="AP4203" s="13">
        <v>45706</v>
      </c>
      <c r="AQ4203">
        <v>-1</v>
      </c>
      <c r="AR4203">
        <v>1</v>
      </c>
    </row>
    <row r="4204" spans="1:44" x14ac:dyDescent="0.35">
      <c r="A4204" s="12" t="s">
        <v>5135</v>
      </c>
      <c r="B4204" s="12" t="s">
        <v>509</v>
      </c>
      <c r="C4204" s="12" t="s">
        <v>510</v>
      </c>
      <c r="D4204" s="12" t="s">
        <v>78</v>
      </c>
      <c r="E4204" s="12" t="s">
        <v>142</v>
      </c>
      <c r="F4204">
        <v>3</v>
      </c>
      <c r="G4204">
        <v>11</v>
      </c>
      <c r="H4204">
        <v>0</v>
      </c>
      <c r="I4204" s="12" t="s">
        <v>176</v>
      </c>
      <c r="J4204" s="12" t="s">
        <v>177</v>
      </c>
      <c r="K4204" s="12" t="s">
        <v>125</v>
      </c>
      <c r="L4204" s="12" t="s">
        <v>134</v>
      </c>
      <c r="M4204">
        <v>1.75</v>
      </c>
      <c r="N4204" s="12" t="s">
        <v>70</v>
      </c>
      <c r="O4204" s="12" t="s">
        <v>71</v>
      </c>
      <c r="P4204" s="12" t="s">
        <v>72</v>
      </c>
      <c r="Q4204" s="13">
        <v>45672</v>
      </c>
      <c r="R4204" s="13">
        <v>45712</v>
      </c>
      <c r="S4204">
        <v>2025</v>
      </c>
      <c r="T4204" s="12" t="s">
        <v>5047</v>
      </c>
      <c r="U4204">
        <v>123</v>
      </c>
      <c r="V4204">
        <v>144.2004</v>
      </c>
      <c r="W4204">
        <v>441.64</v>
      </c>
      <c r="X4204">
        <v>0</v>
      </c>
      <c r="Y4204">
        <v>0</v>
      </c>
      <c r="Z4204">
        <v>17736.650000000001</v>
      </c>
      <c r="AA4204">
        <v>18178.29</v>
      </c>
      <c r="AB4204" s="12" t="s">
        <v>201</v>
      </c>
      <c r="AD4204">
        <v>0</v>
      </c>
      <c r="AE4204">
        <v>0</v>
      </c>
      <c r="AH4204">
        <v>123</v>
      </c>
      <c r="AI4204">
        <v>122</v>
      </c>
      <c r="AJ4204">
        <v>1</v>
      </c>
      <c r="AK4204">
        <v>1</v>
      </c>
      <c r="AL4204">
        <v>1</v>
      </c>
      <c r="AM4204">
        <v>99.19</v>
      </c>
      <c r="AN4204">
        <v>149.00239999999999</v>
      </c>
      <c r="AO4204">
        <v>144.19999999999999</v>
      </c>
      <c r="AP4204" s="13">
        <v>45709</v>
      </c>
      <c r="AQ4204">
        <v>-3</v>
      </c>
      <c r="AR4204">
        <v>1</v>
      </c>
    </row>
    <row r="4205" spans="1:44" x14ac:dyDescent="0.35">
      <c r="A4205" s="12" t="s">
        <v>5136</v>
      </c>
      <c r="B4205" s="12" t="s">
        <v>843</v>
      </c>
      <c r="C4205" s="12" t="s">
        <v>844</v>
      </c>
      <c r="D4205" s="12" t="s">
        <v>175</v>
      </c>
      <c r="E4205" s="12" t="s">
        <v>65</v>
      </c>
      <c r="F4205">
        <v>3</v>
      </c>
      <c r="G4205">
        <v>5</v>
      </c>
      <c r="H4205">
        <v>0</v>
      </c>
      <c r="I4205" s="12" t="s">
        <v>79</v>
      </c>
      <c r="J4205" s="12" t="s">
        <v>80</v>
      </c>
      <c r="K4205" s="12" t="s">
        <v>81</v>
      </c>
      <c r="L4205" s="12" t="s">
        <v>82</v>
      </c>
      <c r="M4205">
        <v>12.07</v>
      </c>
      <c r="N4205" s="12" t="s">
        <v>145</v>
      </c>
      <c r="O4205" s="12" t="s">
        <v>146</v>
      </c>
      <c r="P4205" s="12" t="s">
        <v>109</v>
      </c>
      <c r="Q4205" s="13">
        <v>45673</v>
      </c>
      <c r="R4205" s="13">
        <v>45706</v>
      </c>
      <c r="S4205">
        <v>2025</v>
      </c>
      <c r="T4205" s="12" t="s">
        <v>5047</v>
      </c>
      <c r="U4205">
        <v>105</v>
      </c>
      <c r="V4205">
        <v>251.68450000000001</v>
      </c>
      <c r="W4205">
        <v>409.52</v>
      </c>
      <c r="X4205">
        <v>0</v>
      </c>
      <c r="Y4205">
        <v>0</v>
      </c>
      <c r="Z4205">
        <v>26426.87</v>
      </c>
      <c r="AA4205">
        <v>26836.39</v>
      </c>
      <c r="AB4205" s="12" t="s">
        <v>3871</v>
      </c>
      <c r="AC4205">
        <v>251.68450000000001</v>
      </c>
      <c r="AD4205">
        <v>1</v>
      </c>
      <c r="AE4205">
        <v>1</v>
      </c>
      <c r="AF4205">
        <v>0</v>
      </c>
      <c r="AG4205">
        <v>26426.87</v>
      </c>
      <c r="AH4205">
        <v>105</v>
      </c>
      <c r="AI4205">
        <v>104</v>
      </c>
      <c r="AJ4205">
        <v>1</v>
      </c>
      <c r="AK4205">
        <v>1</v>
      </c>
      <c r="AL4205">
        <v>1</v>
      </c>
      <c r="AM4205">
        <v>99.05</v>
      </c>
      <c r="AN4205">
        <v>258.04219999999998</v>
      </c>
      <c r="AO4205">
        <v>251.68</v>
      </c>
      <c r="AP4205" s="13">
        <v>45705</v>
      </c>
      <c r="AQ4205">
        <v>-1</v>
      </c>
      <c r="AR4205">
        <v>1</v>
      </c>
    </row>
    <row r="4206" spans="1:44" x14ac:dyDescent="0.35">
      <c r="A4206" s="12" t="s">
        <v>5137</v>
      </c>
      <c r="B4206" s="12" t="s">
        <v>308</v>
      </c>
      <c r="C4206" s="12" t="s">
        <v>309</v>
      </c>
      <c r="D4206" s="12" t="s">
        <v>122</v>
      </c>
      <c r="E4206" s="12" t="s">
        <v>142</v>
      </c>
      <c r="F4206">
        <v>1</v>
      </c>
      <c r="G4206">
        <v>6</v>
      </c>
      <c r="H4206">
        <v>1</v>
      </c>
      <c r="I4206" s="12" t="s">
        <v>310</v>
      </c>
      <c r="J4206" s="12" t="s">
        <v>311</v>
      </c>
      <c r="K4206" s="12" t="s">
        <v>81</v>
      </c>
      <c r="L4206" s="12" t="s">
        <v>69</v>
      </c>
      <c r="M4206">
        <v>28.3</v>
      </c>
      <c r="N4206" s="12" t="s">
        <v>70</v>
      </c>
      <c r="O4206" s="12" t="s">
        <v>71</v>
      </c>
      <c r="P4206" s="12" t="s">
        <v>72</v>
      </c>
      <c r="Q4206" s="13">
        <v>45673</v>
      </c>
      <c r="R4206" s="13">
        <v>45716</v>
      </c>
      <c r="S4206">
        <v>2025</v>
      </c>
      <c r="T4206" s="12" t="s">
        <v>5047</v>
      </c>
      <c r="U4206">
        <v>1015</v>
      </c>
      <c r="V4206">
        <v>58.086399999999998</v>
      </c>
      <c r="W4206">
        <v>890.09</v>
      </c>
      <c r="X4206">
        <v>0</v>
      </c>
      <c r="Y4206">
        <v>0</v>
      </c>
      <c r="Z4206">
        <v>58957.7</v>
      </c>
      <c r="AA4206">
        <v>59847.79</v>
      </c>
      <c r="AB4206" s="12" t="s">
        <v>2726</v>
      </c>
      <c r="AC4206">
        <v>58.086399999999998</v>
      </c>
      <c r="AD4206">
        <v>1</v>
      </c>
      <c r="AE4206">
        <v>1</v>
      </c>
      <c r="AF4206">
        <v>0</v>
      </c>
      <c r="AG4206">
        <v>58957.7</v>
      </c>
      <c r="AH4206">
        <v>1015</v>
      </c>
      <c r="AI4206">
        <v>1011</v>
      </c>
      <c r="AJ4206">
        <v>4</v>
      </c>
      <c r="AK4206">
        <v>1</v>
      </c>
      <c r="AL4206">
        <v>1</v>
      </c>
      <c r="AM4206">
        <v>99.61</v>
      </c>
      <c r="AN4206">
        <v>59.196599999999997</v>
      </c>
      <c r="AO4206">
        <v>232.35</v>
      </c>
      <c r="AP4206" s="13">
        <v>45715</v>
      </c>
      <c r="AQ4206">
        <v>-1</v>
      </c>
      <c r="AR4206">
        <v>1</v>
      </c>
    </row>
    <row r="4207" spans="1:44" x14ac:dyDescent="0.35">
      <c r="A4207" s="12" t="s">
        <v>5138</v>
      </c>
      <c r="B4207" s="12" t="s">
        <v>120</v>
      </c>
      <c r="C4207" s="12" t="s">
        <v>121</v>
      </c>
      <c r="D4207" s="12" t="s">
        <v>122</v>
      </c>
      <c r="E4207" s="12" t="s">
        <v>65</v>
      </c>
      <c r="F4207">
        <v>3</v>
      </c>
      <c r="G4207">
        <v>4</v>
      </c>
      <c r="H4207">
        <v>0</v>
      </c>
      <c r="I4207" s="12" t="s">
        <v>123</v>
      </c>
      <c r="J4207" s="12" t="s">
        <v>124</v>
      </c>
      <c r="K4207" s="12" t="s">
        <v>125</v>
      </c>
      <c r="L4207" s="12" t="s">
        <v>82</v>
      </c>
      <c r="M4207">
        <v>6.75</v>
      </c>
      <c r="N4207" s="12" t="s">
        <v>70</v>
      </c>
      <c r="O4207" s="12" t="s">
        <v>71</v>
      </c>
      <c r="P4207" s="12" t="s">
        <v>72</v>
      </c>
      <c r="Q4207" s="13">
        <v>45673</v>
      </c>
      <c r="R4207" s="13">
        <v>45704</v>
      </c>
      <c r="S4207">
        <v>2025</v>
      </c>
      <c r="T4207" s="12" t="s">
        <v>5047</v>
      </c>
      <c r="U4207">
        <v>1225</v>
      </c>
      <c r="V4207">
        <v>47.974899999999998</v>
      </c>
      <c r="W4207">
        <v>1111.97</v>
      </c>
      <c r="X4207">
        <v>0</v>
      </c>
      <c r="Y4207">
        <v>0</v>
      </c>
      <c r="Z4207">
        <v>58769.25</v>
      </c>
      <c r="AA4207">
        <v>59881.22</v>
      </c>
      <c r="AB4207" s="12" t="s">
        <v>5139</v>
      </c>
      <c r="AC4207">
        <v>50.976100000000002</v>
      </c>
      <c r="AD4207">
        <v>1</v>
      </c>
      <c r="AE4207">
        <v>1</v>
      </c>
      <c r="AF4207">
        <v>-3676.47</v>
      </c>
      <c r="AG4207">
        <v>62445.72</v>
      </c>
      <c r="AH4207">
        <v>1225</v>
      </c>
      <c r="AI4207">
        <v>1215</v>
      </c>
      <c r="AJ4207">
        <v>10</v>
      </c>
      <c r="AK4207">
        <v>1</v>
      </c>
      <c r="AL4207">
        <v>1</v>
      </c>
      <c r="AM4207">
        <v>99.18</v>
      </c>
      <c r="AN4207">
        <v>49.284999999999997</v>
      </c>
      <c r="AO4207">
        <v>479.75</v>
      </c>
      <c r="AP4207" s="13">
        <v>45702</v>
      </c>
      <c r="AQ4207">
        <v>-2</v>
      </c>
      <c r="AR4207">
        <v>1</v>
      </c>
    </row>
    <row r="4208" spans="1:44" x14ac:dyDescent="0.35">
      <c r="A4208" s="12" t="s">
        <v>5140</v>
      </c>
      <c r="B4208" s="12" t="s">
        <v>339</v>
      </c>
      <c r="C4208" s="12" t="s">
        <v>340</v>
      </c>
      <c r="D4208" s="12" t="s">
        <v>103</v>
      </c>
      <c r="E4208" s="12" t="s">
        <v>142</v>
      </c>
      <c r="F4208">
        <v>2</v>
      </c>
      <c r="G4208">
        <v>9</v>
      </c>
      <c r="H4208">
        <v>0</v>
      </c>
      <c r="I4208" s="12" t="s">
        <v>341</v>
      </c>
      <c r="J4208" s="12" t="s">
        <v>342</v>
      </c>
      <c r="K4208" s="12" t="s">
        <v>117</v>
      </c>
      <c r="L4208" s="12" t="s">
        <v>82</v>
      </c>
      <c r="M4208">
        <v>18.36</v>
      </c>
      <c r="N4208" s="12" t="s">
        <v>145</v>
      </c>
      <c r="O4208" s="12" t="s">
        <v>146</v>
      </c>
      <c r="P4208" s="12" t="s">
        <v>109</v>
      </c>
      <c r="Q4208" s="13">
        <v>45673</v>
      </c>
      <c r="R4208" s="13">
        <v>45713</v>
      </c>
      <c r="S4208">
        <v>2025</v>
      </c>
      <c r="T4208" s="12" t="s">
        <v>5047</v>
      </c>
      <c r="U4208">
        <v>56</v>
      </c>
      <c r="V4208">
        <v>243.0204</v>
      </c>
      <c r="W4208">
        <v>217.38</v>
      </c>
      <c r="X4208">
        <v>0</v>
      </c>
      <c r="Y4208">
        <v>0</v>
      </c>
      <c r="Z4208">
        <v>13609.14</v>
      </c>
      <c r="AA4208">
        <v>13826.52</v>
      </c>
      <c r="AB4208" s="12" t="s">
        <v>2954</v>
      </c>
      <c r="AC4208">
        <v>243.0204</v>
      </c>
      <c r="AD4208">
        <v>1</v>
      </c>
      <c r="AE4208">
        <v>1</v>
      </c>
      <c r="AF4208">
        <v>0</v>
      </c>
      <c r="AG4208">
        <v>13609.14</v>
      </c>
      <c r="AH4208">
        <v>56</v>
      </c>
      <c r="AI4208">
        <v>55</v>
      </c>
      <c r="AJ4208">
        <v>1</v>
      </c>
      <c r="AK4208">
        <v>1</v>
      </c>
      <c r="AL4208">
        <v>1</v>
      </c>
      <c r="AM4208">
        <v>98.21</v>
      </c>
      <c r="AN4208">
        <v>251.3913</v>
      </c>
      <c r="AO4208">
        <v>243.02</v>
      </c>
      <c r="AP4208" s="13">
        <v>45712</v>
      </c>
      <c r="AQ4208">
        <v>-1</v>
      </c>
      <c r="AR4208">
        <v>1</v>
      </c>
    </row>
    <row r="4209" spans="1:44" x14ac:dyDescent="0.35">
      <c r="A4209" s="12" t="s">
        <v>5141</v>
      </c>
      <c r="B4209" s="12" t="s">
        <v>362</v>
      </c>
      <c r="C4209" s="12" t="s">
        <v>363</v>
      </c>
      <c r="D4209" s="12" t="s">
        <v>78</v>
      </c>
      <c r="E4209" s="12" t="s">
        <v>104</v>
      </c>
      <c r="F4209">
        <v>3</v>
      </c>
      <c r="G4209">
        <v>0</v>
      </c>
      <c r="H4209">
        <v>0</v>
      </c>
      <c r="I4209" s="12" t="s">
        <v>157</v>
      </c>
      <c r="J4209" s="12" t="s">
        <v>158</v>
      </c>
      <c r="K4209" s="12" t="s">
        <v>117</v>
      </c>
      <c r="L4209" s="12" t="s">
        <v>96</v>
      </c>
      <c r="M4209">
        <v>4.72</v>
      </c>
      <c r="N4209" s="12" t="s">
        <v>97</v>
      </c>
      <c r="O4209" s="12" t="s">
        <v>98</v>
      </c>
      <c r="P4209" s="12" t="s">
        <v>72</v>
      </c>
      <c r="Q4209" s="13">
        <v>45673</v>
      </c>
      <c r="R4209" s="13">
        <v>45695</v>
      </c>
      <c r="S4209">
        <v>2025</v>
      </c>
      <c r="T4209" s="12" t="s">
        <v>5047</v>
      </c>
      <c r="U4209">
        <v>197</v>
      </c>
      <c r="V4209">
        <v>59.830500000000001</v>
      </c>
      <c r="W4209">
        <v>182.27</v>
      </c>
      <c r="X4209">
        <v>0</v>
      </c>
      <c r="Y4209">
        <v>0</v>
      </c>
      <c r="Z4209">
        <v>11786.61</v>
      </c>
      <c r="AA4209">
        <v>11968.88</v>
      </c>
      <c r="AB4209" s="12" t="s">
        <v>3185</v>
      </c>
      <c r="AC4209">
        <v>59.830500000000001</v>
      </c>
      <c r="AD4209">
        <v>1</v>
      </c>
      <c r="AE4209">
        <v>1</v>
      </c>
      <c r="AF4209">
        <v>0</v>
      </c>
      <c r="AG4209">
        <v>11786.61</v>
      </c>
      <c r="AH4209">
        <v>197</v>
      </c>
      <c r="AI4209">
        <v>194</v>
      </c>
      <c r="AJ4209">
        <v>3</v>
      </c>
      <c r="AK4209">
        <v>1</v>
      </c>
      <c r="AL4209">
        <v>1</v>
      </c>
      <c r="AM4209">
        <v>98.48</v>
      </c>
      <c r="AN4209">
        <v>61.695300000000003</v>
      </c>
      <c r="AO4209">
        <v>179.49</v>
      </c>
      <c r="AP4209" s="13">
        <v>45693</v>
      </c>
      <c r="AQ4209">
        <v>-2</v>
      </c>
      <c r="AR4209">
        <v>1</v>
      </c>
    </row>
    <row r="4210" spans="1:44" x14ac:dyDescent="0.35">
      <c r="A4210" s="12" t="s">
        <v>5142</v>
      </c>
      <c r="B4210" s="12" t="s">
        <v>193</v>
      </c>
      <c r="C4210" s="12" t="s">
        <v>194</v>
      </c>
      <c r="D4210" s="12" t="s">
        <v>114</v>
      </c>
      <c r="E4210" s="12" t="s">
        <v>65</v>
      </c>
      <c r="F4210">
        <v>3</v>
      </c>
      <c r="G4210">
        <v>4</v>
      </c>
      <c r="H4210">
        <v>0</v>
      </c>
      <c r="I4210" s="12" t="s">
        <v>143</v>
      </c>
      <c r="J4210" s="12" t="s">
        <v>144</v>
      </c>
      <c r="K4210" s="12" t="s">
        <v>133</v>
      </c>
      <c r="L4210" s="12" t="s">
        <v>96</v>
      </c>
      <c r="M4210">
        <v>5.43</v>
      </c>
      <c r="N4210" s="12" t="s">
        <v>97</v>
      </c>
      <c r="O4210" s="12" t="s">
        <v>98</v>
      </c>
      <c r="P4210" s="12" t="s">
        <v>72</v>
      </c>
      <c r="Q4210" s="13">
        <v>45673</v>
      </c>
      <c r="R4210" s="13">
        <v>45706</v>
      </c>
      <c r="S4210">
        <v>2025</v>
      </c>
      <c r="T4210" s="12" t="s">
        <v>5047</v>
      </c>
      <c r="U4210">
        <v>110</v>
      </c>
      <c r="V4210">
        <v>105.8665</v>
      </c>
      <c r="W4210">
        <v>175.33</v>
      </c>
      <c r="X4210">
        <v>0</v>
      </c>
      <c r="Y4210">
        <v>0</v>
      </c>
      <c r="Z4210">
        <v>11645.32</v>
      </c>
      <c r="AA4210">
        <v>11820.65</v>
      </c>
      <c r="AB4210" s="12" t="s">
        <v>2888</v>
      </c>
      <c r="AC4210">
        <v>105.8665</v>
      </c>
      <c r="AD4210">
        <v>1</v>
      </c>
      <c r="AE4210">
        <v>1</v>
      </c>
      <c r="AF4210">
        <v>0</v>
      </c>
      <c r="AG4210">
        <v>11645.32</v>
      </c>
      <c r="AH4210">
        <v>110</v>
      </c>
      <c r="AI4210">
        <v>109</v>
      </c>
      <c r="AJ4210">
        <v>1</v>
      </c>
      <c r="AK4210">
        <v>1</v>
      </c>
      <c r="AL4210">
        <v>1</v>
      </c>
      <c r="AM4210">
        <v>99.09</v>
      </c>
      <c r="AN4210">
        <v>108.44629999999999</v>
      </c>
      <c r="AO4210">
        <v>105.87</v>
      </c>
      <c r="AP4210" s="13">
        <v>45705</v>
      </c>
      <c r="AQ4210">
        <v>-1</v>
      </c>
      <c r="AR4210">
        <v>1</v>
      </c>
    </row>
    <row r="4211" spans="1:44" x14ac:dyDescent="0.35">
      <c r="A4211" s="12" t="s">
        <v>5143</v>
      </c>
      <c r="B4211" s="12" t="s">
        <v>587</v>
      </c>
      <c r="C4211" s="12" t="s">
        <v>588</v>
      </c>
      <c r="D4211" s="12" t="s">
        <v>122</v>
      </c>
      <c r="E4211" s="12" t="s">
        <v>104</v>
      </c>
      <c r="F4211">
        <v>2</v>
      </c>
      <c r="G4211">
        <v>0</v>
      </c>
      <c r="H4211">
        <v>0</v>
      </c>
      <c r="I4211" s="12" t="s">
        <v>486</v>
      </c>
      <c r="J4211" s="12" t="s">
        <v>487</v>
      </c>
      <c r="K4211" s="12" t="s">
        <v>125</v>
      </c>
      <c r="L4211" s="12" t="s">
        <v>69</v>
      </c>
      <c r="M4211">
        <v>36.86</v>
      </c>
      <c r="N4211" s="12" t="s">
        <v>97</v>
      </c>
      <c r="O4211" s="12" t="s">
        <v>98</v>
      </c>
      <c r="P4211" s="12" t="s">
        <v>72</v>
      </c>
      <c r="Q4211" s="13">
        <v>45673</v>
      </c>
      <c r="R4211" s="13">
        <v>45686</v>
      </c>
      <c r="S4211">
        <v>2025</v>
      </c>
      <c r="T4211" s="12" t="s">
        <v>5047</v>
      </c>
      <c r="U4211">
        <v>307</v>
      </c>
      <c r="V4211">
        <v>11.9803</v>
      </c>
      <c r="W4211">
        <v>54.19</v>
      </c>
      <c r="X4211">
        <v>0</v>
      </c>
      <c r="Y4211">
        <v>0</v>
      </c>
      <c r="Z4211">
        <v>3677.95</v>
      </c>
      <c r="AA4211">
        <v>3732.14</v>
      </c>
      <c r="AB4211" s="12" t="s">
        <v>3188</v>
      </c>
      <c r="AC4211">
        <v>11.9803</v>
      </c>
      <c r="AD4211">
        <v>1</v>
      </c>
      <c r="AE4211">
        <v>1</v>
      </c>
      <c r="AF4211">
        <v>0</v>
      </c>
      <c r="AG4211">
        <v>3677.95</v>
      </c>
      <c r="AH4211">
        <v>307</v>
      </c>
      <c r="AI4211">
        <v>306</v>
      </c>
      <c r="AJ4211">
        <v>1</v>
      </c>
      <c r="AK4211">
        <v>1</v>
      </c>
      <c r="AL4211">
        <v>1</v>
      </c>
      <c r="AM4211">
        <v>99.67</v>
      </c>
      <c r="AN4211">
        <v>12.1965</v>
      </c>
      <c r="AO4211">
        <v>11.98</v>
      </c>
      <c r="AP4211" s="13">
        <v>45694</v>
      </c>
      <c r="AQ4211">
        <v>8</v>
      </c>
      <c r="AR4211">
        <v>0</v>
      </c>
    </row>
    <row r="4212" spans="1:44" x14ac:dyDescent="0.35">
      <c r="A4212" s="12" t="s">
        <v>5144</v>
      </c>
      <c r="B4212" s="12" t="s">
        <v>802</v>
      </c>
      <c r="C4212" s="12" t="s">
        <v>803</v>
      </c>
      <c r="D4212" s="12" t="s">
        <v>114</v>
      </c>
      <c r="E4212" s="12" t="s">
        <v>65</v>
      </c>
      <c r="F4212">
        <v>3</v>
      </c>
      <c r="G4212">
        <v>5</v>
      </c>
      <c r="H4212">
        <v>0</v>
      </c>
      <c r="I4212" s="12" t="s">
        <v>804</v>
      </c>
      <c r="J4212" s="12" t="s">
        <v>342</v>
      </c>
      <c r="K4212" s="12" t="s">
        <v>117</v>
      </c>
      <c r="L4212" s="12" t="s">
        <v>69</v>
      </c>
      <c r="M4212">
        <v>30.07</v>
      </c>
      <c r="N4212" s="12" t="s">
        <v>70</v>
      </c>
      <c r="O4212" s="12" t="s">
        <v>71</v>
      </c>
      <c r="P4212" s="12" t="s">
        <v>72</v>
      </c>
      <c r="Q4212" s="13">
        <v>45674</v>
      </c>
      <c r="R4212" s="13">
        <v>45695</v>
      </c>
      <c r="S4212">
        <v>2025</v>
      </c>
      <c r="T4212" s="12" t="s">
        <v>5047</v>
      </c>
      <c r="U4212">
        <v>11</v>
      </c>
      <c r="V4212">
        <v>383.4504</v>
      </c>
      <c r="W4212">
        <v>87.78</v>
      </c>
      <c r="X4212">
        <v>0</v>
      </c>
      <c r="Y4212">
        <v>0</v>
      </c>
      <c r="Z4212">
        <v>4217.95</v>
      </c>
      <c r="AA4212">
        <v>4305.7299999999996</v>
      </c>
      <c r="AB4212" s="12" t="s">
        <v>201</v>
      </c>
      <c r="AD4212">
        <v>0</v>
      </c>
      <c r="AE4212">
        <v>0</v>
      </c>
      <c r="AH4212">
        <v>11</v>
      </c>
      <c r="AI4212">
        <v>11</v>
      </c>
      <c r="AJ4212">
        <v>0</v>
      </c>
      <c r="AK4212">
        <v>1</v>
      </c>
      <c r="AL4212">
        <v>1</v>
      </c>
      <c r="AM4212">
        <v>100</v>
      </c>
      <c r="AN4212">
        <v>391.43040000000002</v>
      </c>
      <c r="AO4212">
        <v>0</v>
      </c>
      <c r="AP4212" s="13">
        <v>45699</v>
      </c>
      <c r="AQ4212">
        <v>4</v>
      </c>
      <c r="AR4212">
        <v>0</v>
      </c>
    </row>
    <row r="4213" spans="1:44" x14ac:dyDescent="0.35">
      <c r="A4213" s="12" t="s">
        <v>5145</v>
      </c>
      <c r="B4213" s="12" t="s">
        <v>728</v>
      </c>
      <c r="C4213" s="12" t="s">
        <v>729</v>
      </c>
      <c r="D4213" s="12" t="s">
        <v>269</v>
      </c>
      <c r="E4213" s="12" t="s">
        <v>65</v>
      </c>
      <c r="F4213">
        <v>2</v>
      </c>
      <c r="G4213">
        <v>3</v>
      </c>
      <c r="H4213">
        <v>0</v>
      </c>
      <c r="I4213" s="12" t="s">
        <v>310</v>
      </c>
      <c r="J4213" s="12" t="s">
        <v>311</v>
      </c>
      <c r="K4213" s="12" t="s">
        <v>81</v>
      </c>
      <c r="L4213" s="12" t="s">
        <v>69</v>
      </c>
      <c r="M4213">
        <v>28.3</v>
      </c>
      <c r="N4213" s="12" t="s">
        <v>159</v>
      </c>
      <c r="O4213" s="12" t="s">
        <v>160</v>
      </c>
      <c r="P4213" s="12" t="s">
        <v>137</v>
      </c>
      <c r="Q4213" s="13">
        <v>45674</v>
      </c>
      <c r="R4213" s="13">
        <v>45711</v>
      </c>
      <c r="S4213">
        <v>2025</v>
      </c>
      <c r="T4213" s="12" t="s">
        <v>5047</v>
      </c>
      <c r="U4213">
        <v>141</v>
      </c>
      <c r="V4213">
        <v>364.55509999999998</v>
      </c>
      <c r="W4213">
        <v>311.35000000000002</v>
      </c>
      <c r="X4213">
        <v>0</v>
      </c>
      <c r="Y4213">
        <v>0</v>
      </c>
      <c r="Z4213">
        <v>51402.27</v>
      </c>
      <c r="AA4213">
        <v>51713.62</v>
      </c>
      <c r="AB4213" s="12" t="s">
        <v>3329</v>
      </c>
      <c r="AC4213">
        <v>364.55509999999998</v>
      </c>
      <c r="AD4213">
        <v>1</v>
      </c>
      <c r="AE4213">
        <v>1</v>
      </c>
      <c r="AF4213">
        <v>0</v>
      </c>
      <c r="AG4213">
        <v>51402.27</v>
      </c>
      <c r="AH4213">
        <v>141</v>
      </c>
      <c r="AI4213">
        <v>141</v>
      </c>
      <c r="AJ4213">
        <v>0</v>
      </c>
      <c r="AK4213">
        <v>1</v>
      </c>
      <c r="AL4213">
        <v>1</v>
      </c>
      <c r="AM4213">
        <v>100</v>
      </c>
      <c r="AN4213">
        <v>366.76330000000002</v>
      </c>
      <c r="AO4213">
        <v>0</v>
      </c>
      <c r="AP4213" s="13">
        <v>45711</v>
      </c>
      <c r="AQ4213">
        <v>0</v>
      </c>
      <c r="AR4213">
        <v>1</v>
      </c>
    </row>
    <row r="4214" spans="1:44" x14ac:dyDescent="0.35">
      <c r="A4214" s="12" t="s">
        <v>5146</v>
      </c>
      <c r="B4214" s="12" t="s">
        <v>289</v>
      </c>
      <c r="C4214" s="12" t="s">
        <v>290</v>
      </c>
      <c r="D4214" s="12" t="s">
        <v>175</v>
      </c>
      <c r="E4214" s="12" t="s">
        <v>104</v>
      </c>
      <c r="F4214">
        <v>3</v>
      </c>
      <c r="G4214">
        <v>1</v>
      </c>
      <c r="H4214">
        <v>0</v>
      </c>
      <c r="I4214" s="12" t="s">
        <v>157</v>
      </c>
      <c r="J4214" s="12" t="s">
        <v>158</v>
      </c>
      <c r="K4214" s="12" t="s">
        <v>117</v>
      </c>
      <c r="L4214" s="12" t="s">
        <v>96</v>
      </c>
      <c r="M4214">
        <v>4.72</v>
      </c>
      <c r="N4214" s="12" t="s">
        <v>107</v>
      </c>
      <c r="O4214" s="12" t="s">
        <v>108</v>
      </c>
      <c r="P4214" s="12" t="s">
        <v>109</v>
      </c>
      <c r="Q4214" s="13">
        <v>45674</v>
      </c>
      <c r="R4214" s="13">
        <v>45693</v>
      </c>
      <c r="S4214">
        <v>2025</v>
      </c>
      <c r="T4214" s="12" t="s">
        <v>5047</v>
      </c>
      <c r="U4214">
        <v>65</v>
      </c>
      <c r="V4214">
        <v>191.6302</v>
      </c>
      <c r="W4214">
        <v>185.98</v>
      </c>
      <c r="X4214">
        <v>0</v>
      </c>
      <c r="Y4214">
        <v>0</v>
      </c>
      <c r="Z4214">
        <v>12455.96</v>
      </c>
      <c r="AA4214">
        <v>12641.94</v>
      </c>
      <c r="AB4214" s="12" t="s">
        <v>201</v>
      </c>
      <c r="AD4214">
        <v>0</v>
      </c>
      <c r="AE4214">
        <v>0</v>
      </c>
      <c r="AH4214">
        <v>65</v>
      </c>
      <c r="AI4214">
        <v>64</v>
      </c>
      <c r="AJ4214">
        <v>1</v>
      </c>
      <c r="AK4214">
        <v>1</v>
      </c>
      <c r="AL4214">
        <v>1</v>
      </c>
      <c r="AM4214">
        <v>98.46</v>
      </c>
      <c r="AN4214">
        <v>197.53039999999999</v>
      </c>
      <c r="AO4214">
        <v>191.63</v>
      </c>
      <c r="AP4214" s="13">
        <v>45689</v>
      </c>
      <c r="AQ4214">
        <v>-4</v>
      </c>
      <c r="AR4214">
        <v>1</v>
      </c>
    </row>
    <row r="4215" spans="1:44" x14ac:dyDescent="0.35">
      <c r="A4215" s="12" t="s">
        <v>5147</v>
      </c>
      <c r="B4215" s="12" t="s">
        <v>869</v>
      </c>
      <c r="C4215" s="12" t="s">
        <v>870</v>
      </c>
      <c r="D4215" s="12" t="s">
        <v>130</v>
      </c>
      <c r="E4215" s="12" t="s">
        <v>104</v>
      </c>
      <c r="F4215">
        <v>2</v>
      </c>
      <c r="G4215">
        <v>0</v>
      </c>
      <c r="H4215">
        <v>0</v>
      </c>
      <c r="I4215" s="12" t="s">
        <v>515</v>
      </c>
      <c r="J4215" s="12" t="s">
        <v>516</v>
      </c>
      <c r="K4215" s="12" t="s">
        <v>68</v>
      </c>
      <c r="L4215" s="12" t="s">
        <v>134</v>
      </c>
      <c r="M4215">
        <v>3.69</v>
      </c>
      <c r="N4215" s="12" t="s">
        <v>159</v>
      </c>
      <c r="O4215" s="12" t="s">
        <v>160</v>
      </c>
      <c r="P4215" s="12" t="s">
        <v>137</v>
      </c>
      <c r="Q4215" s="13">
        <v>45674</v>
      </c>
      <c r="R4215" s="13">
        <v>45702</v>
      </c>
      <c r="S4215">
        <v>2025</v>
      </c>
      <c r="T4215" s="12" t="s">
        <v>5047</v>
      </c>
      <c r="U4215">
        <v>138</v>
      </c>
      <c r="V4215">
        <v>644.72249999999997</v>
      </c>
      <c r="W4215">
        <v>1450.62</v>
      </c>
      <c r="X4215">
        <v>0</v>
      </c>
      <c r="Y4215">
        <v>0</v>
      </c>
      <c r="Z4215">
        <v>88971.71</v>
      </c>
      <c r="AA4215">
        <v>90422.33</v>
      </c>
      <c r="AB4215" s="12" t="s">
        <v>201</v>
      </c>
      <c r="AD4215">
        <v>0</v>
      </c>
      <c r="AE4215">
        <v>0</v>
      </c>
      <c r="AH4215">
        <v>138</v>
      </c>
      <c r="AI4215">
        <v>137</v>
      </c>
      <c r="AJ4215">
        <v>1</v>
      </c>
      <c r="AK4215">
        <v>1</v>
      </c>
      <c r="AL4215">
        <v>1</v>
      </c>
      <c r="AM4215">
        <v>99.28</v>
      </c>
      <c r="AN4215">
        <v>660.01700000000005</v>
      </c>
      <c r="AO4215">
        <v>644.72</v>
      </c>
      <c r="AP4215" s="13">
        <v>45699</v>
      </c>
      <c r="AQ4215">
        <v>-3</v>
      </c>
      <c r="AR4215">
        <v>1</v>
      </c>
    </row>
    <row r="4216" spans="1:44" x14ac:dyDescent="0.35">
      <c r="A4216" s="12" t="s">
        <v>5148</v>
      </c>
      <c r="B4216" s="12" t="s">
        <v>494</v>
      </c>
      <c r="C4216" s="12" t="s">
        <v>495</v>
      </c>
      <c r="D4216" s="12" t="s">
        <v>175</v>
      </c>
      <c r="E4216" s="12" t="s">
        <v>65</v>
      </c>
      <c r="F4216">
        <v>2</v>
      </c>
      <c r="G4216">
        <v>3</v>
      </c>
      <c r="H4216">
        <v>0</v>
      </c>
      <c r="I4216" s="12" t="s">
        <v>515</v>
      </c>
      <c r="J4216" s="12" t="s">
        <v>516</v>
      </c>
      <c r="K4216" s="12" t="s">
        <v>68</v>
      </c>
      <c r="L4216" s="12" t="s">
        <v>134</v>
      </c>
      <c r="M4216">
        <v>3.69</v>
      </c>
      <c r="N4216" s="12" t="s">
        <v>107</v>
      </c>
      <c r="O4216" s="12" t="s">
        <v>108</v>
      </c>
      <c r="P4216" s="12" t="s">
        <v>109</v>
      </c>
      <c r="Q4216" s="13">
        <v>45674</v>
      </c>
      <c r="R4216" s="13">
        <v>45708</v>
      </c>
      <c r="S4216">
        <v>2025</v>
      </c>
      <c r="T4216" s="12" t="s">
        <v>5047</v>
      </c>
      <c r="U4216">
        <v>117</v>
      </c>
      <c r="V4216">
        <v>157.60329999999999</v>
      </c>
      <c r="W4216">
        <v>183.24</v>
      </c>
      <c r="X4216">
        <v>0</v>
      </c>
      <c r="Y4216">
        <v>0</v>
      </c>
      <c r="Z4216">
        <v>18439.59</v>
      </c>
      <c r="AA4216">
        <v>18622.830000000002</v>
      </c>
      <c r="AB4216" s="12" t="s">
        <v>2807</v>
      </c>
      <c r="AC4216">
        <v>157.60329999999999</v>
      </c>
      <c r="AD4216">
        <v>1</v>
      </c>
      <c r="AE4216">
        <v>1</v>
      </c>
      <c r="AF4216">
        <v>0</v>
      </c>
      <c r="AG4216">
        <v>18439.59</v>
      </c>
      <c r="AH4216">
        <v>117</v>
      </c>
      <c r="AI4216">
        <v>116</v>
      </c>
      <c r="AJ4216">
        <v>1</v>
      </c>
      <c r="AK4216">
        <v>1</v>
      </c>
      <c r="AL4216">
        <v>1</v>
      </c>
      <c r="AM4216">
        <v>99.15</v>
      </c>
      <c r="AN4216">
        <v>160.54159999999999</v>
      </c>
      <c r="AO4216">
        <v>157.6</v>
      </c>
      <c r="AP4216" s="13">
        <v>45706</v>
      </c>
      <c r="AQ4216">
        <v>-2</v>
      </c>
      <c r="AR4216">
        <v>1</v>
      </c>
    </row>
    <row r="4217" spans="1:44" x14ac:dyDescent="0.35">
      <c r="A4217" s="12" t="s">
        <v>5149</v>
      </c>
      <c r="B4217" s="12" t="s">
        <v>85</v>
      </c>
      <c r="C4217" s="12" t="s">
        <v>86</v>
      </c>
      <c r="D4217" s="12" t="s">
        <v>78</v>
      </c>
      <c r="E4217" s="12" t="s">
        <v>65</v>
      </c>
      <c r="F4217">
        <v>3</v>
      </c>
      <c r="G4217">
        <v>5</v>
      </c>
      <c r="H4217">
        <v>0</v>
      </c>
      <c r="I4217" s="12" t="s">
        <v>195</v>
      </c>
      <c r="J4217" s="12" t="s">
        <v>196</v>
      </c>
      <c r="K4217" s="12" t="s">
        <v>117</v>
      </c>
      <c r="L4217" s="12" t="s">
        <v>134</v>
      </c>
      <c r="M4217">
        <v>4.7699999999999996</v>
      </c>
      <c r="N4217" s="12" t="s">
        <v>97</v>
      </c>
      <c r="O4217" s="12" t="s">
        <v>98</v>
      </c>
      <c r="P4217" s="12" t="s">
        <v>72</v>
      </c>
      <c r="Q4217" s="13">
        <v>45674</v>
      </c>
      <c r="R4217" s="13">
        <v>45707</v>
      </c>
      <c r="S4217">
        <v>2025</v>
      </c>
      <c r="T4217" s="12" t="s">
        <v>5047</v>
      </c>
      <c r="U4217">
        <v>222</v>
      </c>
      <c r="V4217">
        <v>132.72290000000001</v>
      </c>
      <c r="W4217">
        <v>674.71</v>
      </c>
      <c r="X4217">
        <v>0</v>
      </c>
      <c r="Y4217">
        <v>0</v>
      </c>
      <c r="Z4217">
        <v>29464.48</v>
      </c>
      <c r="AA4217">
        <v>30139.19</v>
      </c>
      <c r="AB4217" s="12" t="s">
        <v>5150</v>
      </c>
      <c r="AC4217">
        <v>132.72290000000001</v>
      </c>
      <c r="AD4217">
        <v>1</v>
      </c>
      <c r="AE4217">
        <v>1</v>
      </c>
      <c r="AF4217">
        <v>0</v>
      </c>
      <c r="AG4217">
        <v>29464.48</v>
      </c>
      <c r="AH4217">
        <v>222</v>
      </c>
      <c r="AI4217">
        <v>219</v>
      </c>
      <c r="AJ4217">
        <v>3</v>
      </c>
      <c r="AK4217">
        <v>1</v>
      </c>
      <c r="AL4217">
        <v>1</v>
      </c>
      <c r="AM4217">
        <v>98.65</v>
      </c>
      <c r="AN4217">
        <v>137.62190000000001</v>
      </c>
      <c r="AO4217">
        <v>398.17</v>
      </c>
      <c r="AP4217" s="13">
        <v>45705</v>
      </c>
      <c r="AQ4217">
        <v>-2</v>
      </c>
      <c r="AR4217">
        <v>1</v>
      </c>
    </row>
    <row r="4218" spans="1:44" x14ac:dyDescent="0.35">
      <c r="A4218" s="12" t="s">
        <v>5151</v>
      </c>
      <c r="B4218" s="12" t="s">
        <v>674</v>
      </c>
      <c r="C4218" s="12" t="s">
        <v>675</v>
      </c>
      <c r="D4218" s="12" t="s">
        <v>269</v>
      </c>
      <c r="E4218" s="12" t="s">
        <v>142</v>
      </c>
      <c r="F4218">
        <v>1</v>
      </c>
      <c r="G4218">
        <v>7</v>
      </c>
      <c r="H4218">
        <v>1</v>
      </c>
      <c r="I4218" s="12" t="s">
        <v>676</v>
      </c>
      <c r="J4218" s="12" t="s">
        <v>677</v>
      </c>
      <c r="K4218" s="12" t="s">
        <v>68</v>
      </c>
      <c r="L4218" s="12" t="s">
        <v>96</v>
      </c>
      <c r="M4218">
        <v>3.57</v>
      </c>
      <c r="N4218" s="12" t="s">
        <v>135</v>
      </c>
      <c r="O4218" s="12" t="s">
        <v>136</v>
      </c>
      <c r="P4218" s="12" t="s">
        <v>137</v>
      </c>
      <c r="Q4218" s="13">
        <v>45677</v>
      </c>
      <c r="R4218" s="13">
        <v>45715</v>
      </c>
      <c r="S4218">
        <v>2025</v>
      </c>
      <c r="T4218" s="12" t="s">
        <v>5047</v>
      </c>
      <c r="U4218">
        <v>36</v>
      </c>
      <c r="V4218">
        <v>378.93040000000002</v>
      </c>
      <c r="W4218">
        <v>212.79</v>
      </c>
      <c r="X4218">
        <v>0</v>
      </c>
      <c r="Y4218">
        <v>0</v>
      </c>
      <c r="Z4218">
        <v>13641.49</v>
      </c>
      <c r="AA4218">
        <v>13854.28</v>
      </c>
      <c r="AB4218" s="12" t="s">
        <v>201</v>
      </c>
      <c r="AD4218">
        <v>0</v>
      </c>
      <c r="AE4218">
        <v>0</v>
      </c>
      <c r="AH4218">
        <v>36</v>
      </c>
      <c r="AI4218">
        <v>36</v>
      </c>
      <c r="AJ4218">
        <v>0</v>
      </c>
      <c r="AK4218">
        <v>1</v>
      </c>
      <c r="AL4218">
        <v>1</v>
      </c>
      <c r="AM4218">
        <v>100</v>
      </c>
      <c r="AN4218">
        <v>384.84120000000001</v>
      </c>
      <c r="AO4218">
        <v>0</v>
      </c>
      <c r="AP4218" s="13">
        <v>45713</v>
      </c>
      <c r="AQ4218">
        <v>-2</v>
      </c>
      <c r="AR4218">
        <v>1</v>
      </c>
    </row>
    <row r="4219" spans="1:44" x14ac:dyDescent="0.35">
      <c r="A4219" s="12" t="s">
        <v>5152</v>
      </c>
      <c r="B4219" s="12" t="s">
        <v>347</v>
      </c>
      <c r="C4219" s="12" t="s">
        <v>348</v>
      </c>
      <c r="D4219" s="12" t="s">
        <v>78</v>
      </c>
      <c r="E4219" s="12" t="s">
        <v>104</v>
      </c>
      <c r="F4219">
        <v>3</v>
      </c>
      <c r="G4219">
        <v>1</v>
      </c>
      <c r="H4219">
        <v>0</v>
      </c>
      <c r="I4219" s="12" t="s">
        <v>105</v>
      </c>
      <c r="J4219" s="12" t="s">
        <v>106</v>
      </c>
      <c r="K4219" s="12" t="s">
        <v>81</v>
      </c>
      <c r="L4219" s="12" t="s">
        <v>96</v>
      </c>
      <c r="M4219">
        <v>5.01</v>
      </c>
      <c r="N4219" s="12" t="s">
        <v>97</v>
      </c>
      <c r="O4219" s="12" t="s">
        <v>98</v>
      </c>
      <c r="P4219" s="12" t="s">
        <v>72</v>
      </c>
      <c r="Q4219" s="13">
        <v>45677</v>
      </c>
      <c r="R4219" s="13">
        <v>45700</v>
      </c>
      <c r="S4219">
        <v>2025</v>
      </c>
      <c r="T4219" s="12" t="s">
        <v>5047</v>
      </c>
      <c r="U4219">
        <v>206</v>
      </c>
      <c r="V4219">
        <v>100.28740000000001</v>
      </c>
      <c r="W4219">
        <v>131.04</v>
      </c>
      <c r="X4219">
        <v>670.53</v>
      </c>
      <c r="Y4219">
        <v>1</v>
      </c>
      <c r="Z4219">
        <v>20659.2</v>
      </c>
      <c r="AA4219">
        <v>21460.77</v>
      </c>
      <c r="AB4219" s="12" t="s">
        <v>2996</v>
      </c>
      <c r="AC4219">
        <v>100.28740000000001</v>
      </c>
      <c r="AD4219">
        <v>1</v>
      </c>
      <c r="AE4219">
        <v>1</v>
      </c>
      <c r="AF4219">
        <v>0</v>
      </c>
      <c r="AG4219">
        <v>20659.2</v>
      </c>
      <c r="AH4219">
        <v>206</v>
      </c>
      <c r="AI4219">
        <v>204</v>
      </c>
      <c r="AJ4219">
        <v>2</v>
      </c>
      <c r="AK4219">
        <v>1</v>
      </c>
      <c r="AL4219">
        <v>1</v>
      </c>
      <c r="AM4219">
        <v>99.03</v>
      </c>
      <c r="AN4219">
        <v>105.1999</v>
      </c>
      <c r="AO4219">
        <v>200.57</v>
      </c>
      <c r="AP4219" s="13">
        <v>45701</v>
      </c>
      <c r="AQ4219">
        <v>1</v>
      </c>
      <c r="AR4219">
        <v>0</v>
      </c>
    </row>
    <row r="4220" spans="1:44" x14ac:dyDescent="0.35">
      <c r="A4220" s="12" t="s">
        <v>5153</v>
      </c>
      <c r="B4220" s="12" t="s">
        <v>1034</v>
      </c>
      <c r="C4220" s="12" t="s">
        <v>1035</v>
      </c>
      <c r="D4220" s="12" t="s">
        <v>64</v>
      </c>
      <c r="E4220" s="12" t="s">
        <v>104</v>
      </c>
      <c r="F4220">
        <v>2</v>
      </c>
      <c r="G4220">
        <v>0</v>
      </c>
      <c r="H4220">
        <v>0</v>
      </c>
      <c r="I4220" s="12" t="s">
        <v>157</v>
      </c>
      <c r="J4220" s="12" t="s">
        <v>158</v>
      </c>
      <c r="K4220" s="12" t="s">
        <v>117</v>
      </c>
      <c r="L4220" s="12" t="s">
        <v>96</v>
      </c>
      <c r="M4220">
        <v>4.72</v>
      </c>
      <c r="N4220" s="12" t="s">
        <v>97</v>
      </c>
      <c r="O4220" s="12" t="s">
        <v>98</v>
      </c>
      <c r="P4220" s="12" t="s">
        <v>72</v>
      </c>
      <c r="Q4220" s="13">
        <v>45677</v>
      </c>
      <c r="R4220" s="13">
        <v>45703</v>
      </c>
      <c r="S4220">
        <v>2025</v>
      </c>
      <c r="T4220" s="12" t="s">
        <v>5047</v>
      </c>
      <c r="U4220">
        <v>840</v>
      </c>
      <c r="V4220">
        <v>9.2698</v>
      </c>
      <c r="W4220">
        <v>170.71</v>
      </c>
      <c r="X4220">
        <v>0</v>
      </c>
      <c r="Y4220">
        <v>0</v>
      </c>
      <c r="Z4220">
        <v>7786.63</v>
      </c>
      <c r="AA4220">
        <v>7957.34</v>
      </c>
      <c r="AB4220" s="12" t="s">
        <v>3309</v>
      </c>
      <c r="AC4220">
        <v>9.2698</v>
      </c>
      <c r="AD4220">
        <v>1</v>
      </c>
      <c r="AE4220">
        <v>1</v>
      </c>
      <c r="AF4220">
        <v>0</v>
      </c>
      <c r="AG4220">
        <v>7786.63</v>
      </c>
      <c r="AH4220">
        <v>840</v>
      </c>
      <c r="AI4220">
        <v>827</v>
      </c>
      <c r="AJ4220">
        <v>13</v>
      </c>
      <c r="AK4220">
        <v>1</v>
      </c>
      <c r="AL4220">
        <v>1</v>
      </c>
      <c r="AM4220">
        <v>98.45</v>
      </c>
      <c r="AN4220">
        <v>9.6219000000000001</v>
      </c>
      <c r="AO4220">
        <v>120.51</v>
      </c>
      <c r="AP4220" s="13">
        <v>45711</v>
      </c>
      <c r="AQ4220">
        <v>8</v>
      </c>
      <c r="AR4220">
        <v>0</v>
      </c>
    </row>
    <row r="4221" spans="1:44" x14ac:dyDescent="0.35">
      <c r="A4221" s="12" t="s">
        <v>5154</v>
      </c>
      <c r="B4221" s="12" t="s">
        <v>513</v>
      </c>
      <c r="C4221" s="12" t="s">
        <v>514</v>
      </c>
      <c r="D4221" s="12" t="s">
        <v>269</v>
      </c>
      <c r="E4221" s="12" t="s">
        <v>65</v>
      </c>
      <c r="F4221">
        <v>1</v>
      </c>
      <c r="G4221">
        <v>2</v>
      </c>
      <c r="H4221">
        <v>1</v>
      </c>
      <c r="I4221" s="12" t="s">
        <v>515</v>
      </c>
      <c r="J4221" s="12" t="s">
        <v>516</v>
      </c>
      <c r="K4221" s="12" t="s">
        <v>68</v>
      </c>
      <c r="L4221" s="12" t="s">
        <v>134</v>
      </c>
      <c r="M4221">
        <v>3.69</v>
      </c>
      <c r="N4221" s="12" t="s">
        <v>135</v>
      </c>
      <c r="O4221" s="12" t="s">
        <v>136</v>
      </c>
      <c r="P4221" s="12" t="s">
        <v>137</v>
      </c>
      <c r="Q4221" s="13">
        <v>45677</v>
      </c>
      <c r="R4221" s="13">
        <v>45712</v>
      </c>
      <c r="S4221">
        <v>2025</v>
      </c>
      <c r="T4221" s="12" t="s">
        <v>5047</v>
      </c>
      <c r="U4221">
        <v>124</v>
      </c>
      <c r="V4221">
        <v>223.32429999999999</v>
      </c>
      <c r="W4221">
        <v>385.94</v>
      </c>
      <c r="X4221">
        <v>0</v>
      </c>
      <c r="Y4221">
        <v>0</v>
      </c>
      <c r="Z4221">
        <v>27692.21</v>
      </c>
      <c r="AA4221">
        <v>28078.15</v>
      </c>
      <c r="AB4221" s="12" t="s">
        <v>201</v>
      </c>
      <c r="AD4221">
        <v>0</v>
      </c>
      <c r="AE4221">
        <v>0</v>
      </c>
      <c r="AH4221">
        <v>124</v>
      </c>
      <c r="AI4221">
        <v>122</v>
      </c>
      <c r="AJ4221">
        <v>2</v>
      </c>
      <c r="AK4221">
        <v>1</v>
      </c>
      <c r="AL4221">
        <v>1</v>
      </c>
      <c r="AM4221">
        <v>98.39</v>
      </c>
      <c r="AN4221">
        <v>230.14879999999999</v>
      </c>
      <c r="AO4221">
        <v>446.65</v>
      </c>
      <c r="AP4221" s="13">
        <v>45722</v>
      </c>
      <c r="AQ4221">
        <v>10</v>
      </c>
      <c r="AR4221">
        <v>0</v>
      </c>
    </row>
    <row r="4222" spans="1:44" x14ac:dyDescent="0.35">
      <c r="A4222" s="12" t="s">
        <v>5155</v>
      </c>
      <c r="B4222" s="12" t="s">
        <v>827</v>
      </c>
      <c r="C4222" s="12" t="s">
        <v>828</v>
      </c>
      <c r="D4222" s="12" t="s">
        <v>175</v>
      </c>
      <c r="E4222" s="12" t="s">
        <v>104</v>
      </c>
      <c r="F4222">
        <v>2</v>
      </c>
      <c r="G4222">
        <v>0</v>
      </c>
      <c r="H4222">
        <v>0</v>
      </c>
      <c r="I4222" s="12" t="s">
        <v>183</v>
      </c>
      <c r="J4222" s="12" t="s">
        <v>184</v>
      </c>
      <c r="K4222" s="12" t="s">
        <v>133</v>
      </c>
      <c r="L4222" s="12" t="s">
        <v>82</v>
      </c>
      <c r="M4222">
        <v>8.6199999999999992</v>
      </c>
      <c r="N4222" s="12" t="s">
        <v>145</v>
      </c>
      <c r="O4222" s="12" t="s">
        <v>146</v>
      </c>
      <c r="P4222" s="12" t="s">
        <v>109</v>
      </c>
      <c r="Q4222" s="13">
        <v>45677</v>
      </c>
      <c r="R4222" s="13">
        <v>45701</v>
      </c>
      <c r="S4222">
        <v>2025</v>
      </c>
      <c r="T4222" s="12" t="s">
        <v>5047</v>
      </c>
      <c r="U4222">
        <v>104</v>
      </c>
      <c r="V4222">
        <v>101.62560000000001</v>
      </c>
      <c r="W4222">
        <v>210.41</v>
      </c>
      <c r="X4222">
        <v>321.25</v>
      </c>
      <c r="Y4222">
        <v>1</v>
      </c>
      <c r="Z4222">
        <v>10569.06</v>
      </c>
      <c r="AA4222">
        <v>11100.72</v>
      </c>
      <c r="AB4222" s="12" t="s">
        <v>3394</v>
      </c>
      <c r="AC4222">
        <v>101.62560000000001</v>
      </c>
      <c r="AD4222">
        <v>1</v>
      </c>
      <c r="AE4222">
        <v>1</v>
      </c>
      <c r="AF4222">
        <v>0</v>
      </c>
      <c r="AG4222">
        <v>10569.06</v>
      </c>
      <c r="AH4222">
        <v>104</v>
      </c>
      <c r="AI4222">
        <v>103</v>
      </c>
      <c r="AJ4222">
        <v>1</v>
      </c>
      <c r="AK4222">
        <v>1</v>
      </c>
      <c r="AL4222">
        <v>1</v>
      </c>
      <c r="AM4222">
        <v>99.04</v>
      </c>
      <c r="AN4222">
        <v>107.774</v>
      </c>
      <c r="AO4222">
        <v>101.63</v>
      </c>
      <c r="AP4222" s="13">
        <v>45697</v>
      </c>
      <c r="AQ4222">
        <v>-4</v>
      </c>
      <c r="AR4222">
        <v>1</v>
      </c>
    </row>
    <row r="4223" spans="1:44" x14ac:dyDescent="0.35">
      <c r="A4223" s="12" t="s">
        <v>5156</v>
      </c>
      <c r="B4223" s="12" t="s">
        <v>362</v>
      </c>
      <c r="C4223" s="12" t="s">
        <v>363</v>
      </c>
      <c r="D4223" s="12" t="s">
        <v>78</v>
      </c>
      <c r="E4223" s="12" t="s">
        <v>104</v>
      </c>
      <c r="F4223">
        <v>3</v>
      </c>
      <c r="G4223">
        <v>0</v>
      </c>
      <c r="H4223">
        <v>0</v>
      </c>
      <c r="I4223" s="12" t="s">
        <v>105</v>
      </c>
      <c r="J4223" s="12" t="s">
        <v>106</v>
      </c>
      <c r="K4223" s="12" t="s">
        <v>81</v>
      </c>
      <c r="L4223" s="12" t="s">
        <v>96</v>
      </c>
      <c r="M4223">
        <v>5.01</v>
      </c>
      <c r="N4223" s="12" t="s">
        <v>97</v>
      </c>
      <c r="O4223" s="12" t="s">
        <v>98</v>
      </c>
      <c r="P4223" s="12" t="s">
        <v>72</v>
      </c>
      <c r="Q4223" s="13">
        <v>45677</v>
      </c>
      <c r="R4223" s="13">
        <v>45696</v>
      </c>
      <c r="S4223">
        <v>2025</v>
      </c>
      <c r="T4223" s="12" t="s">
        <v>5047</v>
      </c>
      <c r="U4223">
        <v>147</v>
      </c>
      <c r="V4223">
        <v>59.761699999999998</v>
      </c>
      <c r="W4223">
        <v>55.59</v>
      </c>
      <c r="X4223">
        <v>0</v>
      </c>
      <c r="Y4223">
        <v>0</v>
      </c>
      <c r="Z4223">
        <v>8784.9699999999993</v>
      </c>
      <c r="AA4223">
        <v>8840.56</v>
      </c>
      <c r="AB4223" s="12" t="s">
        <v>3906</v>
      </c>
      <c r="AC4223">
        <v>59.761699999999998</v>
      </c>
      <c r="AD4223">
        <v>1</v>
      </c>
      <c r="AE4223">
        <v>1</v>
      </c>
      <c r="AF4223">
        <v>0</v>
      </c>
      <c r="AG4223">
        <v>8784.9699999999993</v>
      </c>
      <c r="AH4223">
        <v>147</v>
      </c>
      <c r="AI4223">
        <v>144</v>
      </c>
      <c r="AJ4223">
        <v>3</v>
      </c>
      <c r="AK4223">
        <v>1</v>
      </c>
      <c r="AL4223">
        <v>1</v>
      </c>
      <c r="AM4223">
        <v>97.96</v>
      </c>
      <c r="AN4223">
        <v>61.392800000000001</v>
      </c>
      <c r="AO4223">
        <v>179.29</v>
      </c>
      <c r="AP4223" s="13">
        <v>45695</v>
      </c>
      <c r="AQ4223">
        <v>-1</v>
      </c>
      <c r="AR4223">
        <v>1</v>
      </c>
    </row>
    <row r="4224" spans="1:44" x14ac:dyDescent="0.35">
      <c r="A4224" s="12" t="s">
        <v>5157</v>
      </c>
      <c r="B4224" s="12" t="s">
        <v>957</v>
      </c>
      <c r="C4224" s="12" t="s">
        <v>958</v>
      </c>
      <c r="D4224" s="12" t="s">
        <v>103</v>
      </c>
      <c r="E4224" s="12" t="s">
        <v>142</v>
      </c>
      <c r="F4224">
        <v>1</v>
      </c>
      <c r="G4224">
        <v>7</v>
      </c>
      <c r="H4224">
        <v>1</v>
      </c>
      <c r="I4224" s="12" t="s">
        <v>183</v>
      </c>
      <c r="J4224" s="12" t="s">
        <v>184</v>
      </c>
      <c r="K4224" s="12" t="s">
        <v>133</v>
      </c>
      <c r="L4224" s="12" t="s">
        <v>82</v>
      </c>
      <c r="M4224">
        <v>8.6199999999999992</v>
      </c>
      <c r="N4224" s="12" t="s">
        <v>145</v>
      </c>
      <c r="O4224" s="12" t="s">
        <v>146</v>
      </c>
      <c r="P4224" s="12" t="s">
        <v>109</v>
      </c>
      <c r="Q4224" s="13">
        <v>45677</v>
      </c>
      <c r="R4224" s="13">
        <v>45714</v>
      </c>
      <c r="S4224">
        <v>2025</v>
      </c>
      <c r="T4224" s="12" t="s">
        <v>5047</v>
      </c>
      <c r="U4224">
        <v>26</v>
      </c>
      <c r="V4224">
        <v>193.65539999999999</v>
      </c>
      <c r="W4224">
        <v>125.77</v>
      </c>
      <c r="X4224">
        <v>0</v>
      </c>
      <c r="Y4224">
        <v>0</v>
      </c>
      <c r="Z4224">
        <v>5035.04</v>
      </c>
      <c r="AA4224">
        <v>5160.8100000000004</v>
      </c>
      <c r="AB4224" s="12" t="s">
        <v>3249</v>
      </c>
      <c r="AC4224">
        <v>193.65539999999999</v>
      </c>
      <c r="AD4224">
        <v>1</v>
      </c>
      <c r="AE4224">
        <v>1</v>
      </c>
      <c r="AF4224">
        <v>0</v>
      </c>
      <c r="AG4224">
        <v>5035.04</v>
      </c>
      <c r="AH4224">
        <v>26</v>
      </c>
      <c r="AI4224">
        <v>26</v>
      </c>
      <c r="AJ4224">
        <v>0</v>
      </c>
      <c r="AK4224">
        <v>1</v>
      </c>
      <c r="AL4224">
        <v>1</v>
      </c>
      <c r="AM4224">
        <v>100</v>
      </c>
      <c r="AN4224">
        <v>198.49270000000001</v>
      </c>
      <c r="AO4224">
        <v>0</v>
      </c>
      <c r="AP4224" s="13">
        <v>45713</v>
      </c>
      <c r="AQ4224">
        <v>-1</v>
      </c>
      <c r="AR4224">
        <v>1</v>
      </c>
    </row>
    <row r="4225" spans="1:44" x14ac:dyDescent="0.35">
      <c r="A4225" s="12" t="s">
        <v>5158</v>
      </c>
      <c r="B4225" s="12" t="s">
        <v>1134</v>
      </c>
      <c r="C4225" s="12" t="s">
        <v>1135</v>
      </c>
      <c r="D4225" s="12" t="s">
        <v>269</v>
      </c>
      <c r="E4225" s="12" t="s">
        <v>104</v>
      </c>
      <c r="F4225">
        <v>2</v>
      </c>
      <c r="G4225">
        <v>0</v>
      </c>
      <c r="H4225">
        <v>0</v>
      </c>
      <c r="I4225" s="12" t="s">
        <v>380</v>
      </c>
      <c r="J4225" s="12" t="s">
        <v>381</v>
      </c>
      <c r="K4225" s="12" t="s">
        <v>89</v>
      </c>
      <c r="L4225" s="12" t="s">
        <v>96</v>
      </c>
      <c r="M4225">
        <v>10.210000000000001</v>
      </c>
      <c r="N4225" s="12" t="s">
        <v>135</v>
      </c>
      <c r="O4225" s="12" t="s">
        <v>136</v>
      </c>
      <c r="P4225" s="12" t="s">
        <v>137</v>
      </c>
      <c r="Q4225" s="13">
        <v>45677</v>
      </c>
      <c r="R4225" s="13">
        <v>45689</v>
      </c>
      <c r="S4225">
        <v>2025</v>
      </c>
      <c r="T4225" s="12" t="s">
        <v>5047</v>
      </c>
      <c r="U4225">
        <v>10</v>
      </c>
      <c r="V4225">
        <v>94.130399999999995</v>
      </c>
      <c r="W4225">
        <v>7.78</v>
      </c>
      <c r="X4225">
        <v>0</v>
      </c>
      <c r="Y4225">
        <v>0</v>
      </c>
      <c r="Z4225">
        <v>941.3</v>
      </c>
      <c r="AA4225">
        <v>949.08</v>
      </c>
      <c r="AB4225" s="12" t="s">
        <v>3615</v>
      </c>
      <c r="AC4225">
        <v>100.0123</v>
      </c>
      <c r="AD4225">
        <v>1</v>
      </c>
      <c r="AE4225">
        <v>1</v>
      </c>
      <c r="AF4225">
        <v>-58.82</v>
      </c>
      <c r="AG4225">
        <v>1000.12</v>
      </c>
      <c r="AH4225">
        <v>10</v>
      </c>
      <c r="AI4225">
        <v>10</v>
      </c>
      <c r="AJ4225">
        <v>0</v>
      </c>
      <c r="AK4225">
        <v>1</v>
      </c>
      <c r="AL4225">
        <v>1</v>
      </c>
      <c r="AM4225">
        <v>100</v>
      </c>
      <c r="AN4225">
        <v>94.9084</v>
      </c>
      <c r="AO4225">
        <v>0</v>
      </c>
      <c r="AP4225" s="13">
        <v>45687</v>
      </c>
      <c r="AQ4225">
        <v>-2</v>
      </c>
      <c r="AR4225">
        <v>1</v>
      </c>
    </row>
    <row r="4226" spans="1:44" x14ac:dyDescent="0.35">
      <c r="A4226" s="12" t="s">
        <v>5159</v>
      </c>
      <c r="B4226" s="12" t="s">
        <v>1433</v>
      </c>
      <c r="C4226" s="12" t="s">
        <v>1434</v>
      </c>
      <c r="D4226" s="12" t="s">
        <v>269</v>
      </c>
      <c r="E4226" s="12" t="s">
        <v>65</v>
      </c>
      <c r="F4226">
        <v>3</v>
      </c>
      <c r="G4226">
        <v>5</v>
      </c>
      <c r="H4226">
        <v>0</v>
      </c>
      <c r="I4226" s="12" t="s">
        <v>115</v>
      </c>
      <c r="J4226" s="12" t="s">
        <v>116</v>
      </c>
      <c r="K4226" s="12" t="s">
        <v>117</v>
      </c>
      <c r="L4226" s="12" t="s">
        <v>82</v>
      </c>
      <c r="M4226">
        <v>17.170000000000002</v>
      </c>
      <c r="N4226" s="12" t="s">
        <v>159</v>
      </c>
      <c r="O4226" s="12" t="s">
        <v>160</v>
      </c>
      <c r="P4226" s="12" t="s">
        <v>137</v>
      </c>
      <c r="Q4226" s="13">
        <v>45677</v>
      </c>
      <c r="R4226" s="13">
        <v>45700</v>
      </c>
      <c r="S4226">
        <v>2025</v>
      </c>
      <c r="T4226" s="12" t="s">
        <v>5047</v>
      </c>
      <c r="U4226">
        <v>30</v>
      </c>
      <c r="V4226">
        <v>445.78800000000001</v>
      </c>
      <c r="W4226">
        <v>196.68</v>
      </c>
      <c r="X4226">
        <v>0</v>
      </c>
      <c r="Y4226">
        <v>0</v>
      </c>
      <c r="Z4226">
        <v>13373.64</v>
      </c>
      <c r="AA4226">
        <v>13570.32</v>
      </c>
      <c r="AB4226" s="12" t="s">
        <v>4061</v>
      </c>
      <c r="AC4226">
        <v>445.78800000000001</v>
      </c>
      <c r="AD4226">
        <v>1</v>
      </c>
      <c r="AE4226">
        <v>1</v>
      </c>
      <c r="AF4226">
        <v>0</v>
      </c>
      <c r="AG4226">
        <v>13373.64</v>
      </c>
      <c r="AH4226">
        <v>30</v>
      </c>
      <c r="AI4226">
        <v>30</v>
      </c>
      <c r="AJ4226">
        <v>0</v>
      </c>
      <c r="AK4226">
        <v>1</v>
      </c>
      <c r="AL4226">
        <v>1</v>
      </c>
      <c r="AM4226">
        <v>100</v>
      </c>
      <c r="AN4226">
        <v>452.34399999999999</v>
      </c>
      <c r="AO4226">
        <v>0</v>
      </c>
      <c r="AP4226" s="13">
        <v>45699</v>
      </c>
      <c r="AQ4226">
        <v>-1</v>
      </c>
      <c r="AR4226">
        <v>1</v>
      </c>
    </row>
    <row r="4227" spans="1:44" x14ac:dyDescent="0.35">
      <c r="A4227" s="12" t="s">
        <v>5160</v>
      </c>
      <c r="B4227" s="12" t="s">
        <v>416</v>
      </c>
      <c r="C4227" s="12" t="s">
        <v>417</v>
      </c>
      <c r="D4227" s="12" t="s">
        <v>78</v>
      </c>
      <c r="E4227" s="12" t="s">
        <v>65</v>
      </c>
      <c r="F4227">
        <v>3</v>
      </c>
      <c r="G4227">
        <v>5</v>
      </c>
      <c r="H4227">
        <v>0</v>
      </c>
      <c r="I4227" s="12" t="s">
        <v>169</v>
      </c>
      <c r="J4227" s="12" t="s">
        <v>170</v>
      </c>
      <c r="K4227" s="12" t="s">
        <v>89</v>
      </c>
      <c r="L4227" s="12" t="s">
        <v>134</v>
      </c>
      <c r="M4227">
        <v>1.37</v>
      </c>
      <c r="N4227" s="12" t="s">
        <v>70</v>
      </c>
      <c r="O4227" s="12" t="s">
        <v>71</v>
      </c>
      <c r="P4227" s="12" t="s">
        <v>72</v>
      </c>
      <c r="Q4227" s="13">
        <v>45678</v>
      </c>
      <c r="R4227" s="13">
        <v>45699</v>
      </c>
      <c r="S4227">
        <v>2025</v>
      </c>
      <c r="T4227" s="12" t="s">
        <v>5047</v>
      </c>
      <c r="U4227">
        <v>51</v>
      </c>
      <c r="V4227">
        <v>136.4109</v>
      </c>
      <c r="W4227">
        <v>115.9</v>
      </c>
      <c r="X4227">
        <v>0</v>
      </c>
      <c r="Y4227">
        <v>0</v>
      </c>
      <c r="Z4227">
        <v>6956.96</v>
      </c>
      <c r="AA4227">
        <v>7072.86</v>
      </c>
      <c r="AB4227" s="12" t="s">
        <v>2980</v>
      </c>
      <c r="AC4227">
        <v>136.4109</v>
      </c>
      <c r="AD4227">
        <v>1</v>
      </c>
      <c r="AE4227">
        <v>1</v>
      </c>
      <c r="AF4227">
        <v>0</v>
      </c>
      <c r="AG4227">
        <v>6956.96</v>
      </c>
      <c r="AH4227">
        <v>51</v>
      </c>
      <c r="AI4227">
        <v>50</v>
      </c>
      <c r="AJ4227">
        <v>1</v>
      </c>
      <c r="AK4227">
        <v>1</v>
      </c>
      <c r="AL4227">
        <v>1</v>
      </c>
      <c r="AM4227">
        <v>98.04</v>
      </c>
      <c r="AN4227">
        <v>141.4571</v>
      </c>
      <c r="AO4227">
        <v>136.41</v>
      </c>
      <c r="AP4227" s="13">
        <v>45696</v>
      </c>
      <c r="AQ4227">
        <v>-3</v>
      </c>
      <c r="AR4227">
        <v>1</v>
      </c>
    </row>
    <row r="4228" spans="1:44" x14ac:dyDescent="0.35">
      <c r="A4228" s="12" t="s">
        <v>5161</v>
      </c>
      <c r="B4228" s="12" t="s">
        <v>909</v>
      </c>
      <c r="C4228" s="12" t="s">
        <v>910</v>
      </c>
      <c r="D4228" s="12" t="s">
        <v>269</v>
      </c>
      <c r="E4228" s="12" t="s">
        <v>65</v>
      </c>
      <c r="F4228">
        <v>3</v>
      </c>
      <c r="G4228">
        <v>4</v>
      </c>
      <c r="H4228">
        <v>0</v>
      </c>
      <c r="I4228" s="12" t="s">
        <v>811</v>
      </c>
      <c r="J4228" s="12" t="s">
        <v>812</v>
      </c>
      <c r="K4228" s="12" t="s">
        <v>117</v>
      </c>
      <c r="L4228" s="12" t="s">
        <v>69</v>
      </c>
      <c r="M4228">
        <v>26.4</v>
      </c>
      <c r="N4228" s="12" t="s">
        <v>159</v>
      </c>
      <c r="O4228" s="12" t="s">
        <v>160</v>
      </c>
      <c r="P4228" s="12" t="s">
        <v>137</v>
      </c>
      <c r="Q4228" s="13">
        <v>45678</v>
      </c>
      <c r="R4228" s="13">
        <v>45715</v>
      </c>
      <c r="S4228">
        <v>2025</v>
      </c>
      <c r="T4228" s="12" t="s">
        <v>5047</v>
      </c>
      <c r="U4228">
        <v>138</v>
      </c>
      <c r="V4228">
        <v>100.77719999999999</v>
      </c>
      <c r="W4228">
        <v>317.7</v>
      </c>
      <c r="X4228">
        <v>0</v>
      </c>
      <c r="Y4228">
        <v>0</v>
      </c>
      <c r="Z4228">
        <v>13907.25</v>
      </c>
      <c r="AA4228">
        <v>14224.95</v>
      </c>
      <c r="AB4228" s="12" t="s">
        <v>5162</v>
      </c>
      <c r="AC4228">
        <v>100.77719999999999</v>
      </c>
      <c r="AD4228">
        <v>1</v>
      </c>
      <c r="AE4228">
        <v>1</v>
      </c>
      <c r="AF4228">
        <v>0</v>
      </c>
      <c r="AG4228">
        <v>13907.25</v>
      </c>
      <c r="AH4228">
        <v>138</v>
      </c>
      <c r="AI4228">
        <v>137</v>
      </c>
      <c r="AJ4228">
        <v>1</v>
      </c>
      <c r="AK4228">
        <v>1</v>
      </c>
      <c r="AL4228">
        <v>1</v>
      </c>
      <c r="AM4228">
        <v>99.28</v>
      </c>
      <c r="AN4228">
        <v>103.8318</v>
      </c>
      <c r="AO4228">
        <v>100.78</v>
      </c>
      <c r="AP4228" s="13">
        <v>45713</v>
      </c>
      <c r="AQ4228">
        <v>-2</v>
      </c>
      <c r="AR4228">
        <v>1</v>
      </c>
    </row>
    <row r="4229" spans="1:44" x14ac:dyDescent="0.35">
      <c r="A4229" s="12" t="s">
        <v>5163</v>
      </c>
      <c r="B4229" s="12" t="s">
        <v>732</v>
      </c>
      <c r="C4229" s="12" t="s">
        <v>733</v>
      </c>
      <c r="D4229" s="12" t="s">
        <v>114</v>
      </c>
      <c r="E4229" s="12" t="s">
        <v>104</v>
      </c>
      <c r="F4229">
        <v>3</v>
      </c>
      <c r="G4229">
        <v>1</v>
      </c>
      <c r="H4229">
        <v>0</v>
      </c>
      <c r="I4229" s="12" t="s">
        <v>199</v>
      </c>
      <c r="J4229" s="12" t="s">
        <v>200</v>
      </c>
      <c r="K4229" s="12" t="s">
        <v>68</v>
      </c>
      <c r="L4229" s="12" t="s">
        <v>96</v>
      </c>
      <c r="M4229">
        <v>9.4700000000000006</v>
      </c>
      <c r="N4229" s="12" t="s">
        <v>70</v>
      </c>
      <c r="O4229" s="12" t="s">
        <v>71</v>
      </c>
      <c r="P4229" s="12" t="s">
        <v>72</v>
      </c>
      <c r="Q4229" s="13">
        <v>45678</v>
      </c>
      <c r="R4229" s="13">
        <v>45691</v>
      </c>
      <c r="S4229">
        <v>2025</v>
      </c>
      <c r="T4229" s="12" t="s">
        <v>5047</v>
      </c>
      <c r="U4229">
        <v>23</v>
      </c>
      <c r="V4229">
        <v>304.28100000000001</v>
      </c>
      <c r="W4229">
        <v>153.91999999999999</v>
      </c>
      <c r="X4229">
        <v>0</v>
      </c>
      <c r="Y4229">
        <v>0</v>
      </c>
      <c r="Z4229">
        <v>6998.46</v>
      </c>
      <c r="AA4229">
        <v>7152.38</v>
      </c>
      <c r="AB4229" s="12" t="s">
        <v>3295</v>
      </c>
      <c r="AC4229">
        <v>304.28100000000001</v>
      </c>
      <c r="AD4229">
        <v>1</v>
      </c>
      <c r="AE4229">
        <v>1</v>
      </c>
      <c r="AF4229">
        <v>0</v>
      </c>
      <c r="AG4229">
        <v>6998.46</v>
      </c>
      <c r="AH4229">
        <v>23</v>
      </c>
      <c r="AI4229">
        <v>22</v>
      </c>
      <c r="AJ4229">
        <v>1</v>
      </c>
      <c r="AK4229">
        <v>1</v>
      </c>
      <c r="AL4229">
        <v>1</v>
      </c>
      <c r="AM4229">
        <v>95.65</v>
      </c>
      <c r="AN4229">
        <v>325.10829999999999</v>
      </c>
      <c r="AO4229">
        <v>304.27999999999997</v>
      </c>
      <c r="AP4229" s="13">
        <v>45689</v>
      </c>
      <c r="AQ4229">
        <v>-2</v>
      </c>
      <c r="AR4229">
        <v>1</v>
      </c>
    </row>
    <row r="4230" spans="1:44" x14ac:dyDescent="0.35">
      <c r="A4230" s="12" t="s">
        <v>5164</v>
      </c>
      <c r="B4230" s="12" t="s">
        <v>1134</v>
      </c>
      <c r="C4230" s="12" t="s">
        <v>1135</v>
      </c>
      <c r="D4230" s="12" t="s">
        <v>269</v>
      </c>
      <c r="E4230" s="12" t="s">
        <v>104</v>
      </c>
      <c r="F4230">
        <v>2</v>
      </c>
      <c r="G4230">
        <v>0</v>
      </c>
      <c r="H4230">
        <v>0</v>
      </c>
      <c r="I4230" s="12" t="s">
        <v>380</v>
      </c>
      <c r="J4230" s="12" t="s">
        <v>381</v>
      </c>
      <c r="K4230" s="12" t="s">
        <v>89</v>
      </c>
      <c r="L4230" s="12" t="s">
        <v>96</v>
      </c>
      <c r="M4230">
        <v>10.210000000000001</v>
      </c>
      <c r="N4230" s="12" t="s">
        <v>135</v>
      </c>
      <c r="O4230" s="12" t="s">
        <v>136</v>
      </c>
      <c r="P4230" s="12" t="s">
        <v>137</v>
      </c>
      <c r="Q4230" s="13">
        <v>45678</v>
      </c>
      <c r="R4230" s="13">
        <v>45699</v>
      </c>
      <c r="S4230">
        <v>2025</v>
      </c>
      <c r="T4230" s="12" t="s">
        <v>5047</v>
      </c>
      <c r="U4230">
        <v>81</v>
      </c>
      <c r="V4230">
        <v>100.0123</v>
      </c>
      <c r="W4230">
        <v>204.28</v>
      </c>
      <c r="X4230">
        <v>0</v>
      </c>
      <c r="Y4230">
        <v>0</v>
      </c>
      <c r="Z4230">
        <v>8101</v>
      </c>
      <c r="AA4230">
        <v>8305.2800000000007</v>
      </c>
      <c r="AB4230" s="12" t="s">
        <v>3615</v>
      </c>
      <c r="AC4230">
        <v>100.0123</v>
      </c>
      <c r="AD4230">
        <v>1</v>
      </c>
      <c r="AE4230">
        <v>1</v>
      </c>
      <c r="AF4230">
        <v>0</v>
      </c>
      <c r="AG4230">
        <v>8101</v>
      </c>
      <c r="AH4230">
        <v>81</v>
      </c>
      <c r="AI4230">
        <v>81</v>
      </c>
      <c r="AJ4230">
        <v>0</v>
      </c>
      <c r="AK4230">
        <v>1</v>
      </c>
      <c r="AL4230">
        <v>1</v>
      </c>
      <c r="AM4230">
        <v>100</v>
      </c>
      <c r="AN4230">
        <v>102.5343</v>
      </c>
      <c r="AO4230">
        <v>0</v>
      </c>
      <c r="AP4230" s="13">
        <v>45699</v>
      </c>
      <c r="AQ4230">
        <v>0</v>
      </c>
      <c r="AR4230">
        <v>1</v>
      </c>
    </row>
    <row r="4231" spans="1:44" x14ac:dyDescent="0.35">
      <c r="A4231" s="12" t="s">
        <v>5165</v>
      </c>
      <c r="B4231" s="12" t="s">
        <v>1013</v>
      </c>
      <c r="C4231" s="12" t="s">
        <v>1014</v>
      </c>
      <c r="D4231" s="12" t="s">
        <v>78</v>
      </c>
      <c r="E4231" s="12" t="s">
        <v>65</v>
      </c>
      <c r="F4231">
        <v>2</v>
      </c>
      <c r="G4231">
        <v>3</v>
      </c>
      <c r="H4231">
        <v>0</v>
      </c>
      <c r="I4231" s="12" t="s">
        <v>123</v>
      </c>
      <c r="J4231" s="12" t="s">
        <v>124</v>
      </c>
      <c r="K4231" s="12" t="s">
        <v>125</v>
      </c>
      <c r="L4231" s="12" t="s">
        <v>82</v>
      </c>
      <c r="M4231">
        <v>6.75</v>
      </c>
      <c r="N4231" s="12" t="s">
        <v>97</v>
      </c>
      <c r="O4231" s="12" t="s">
        <v>98</v>
      </c>
      <c r="P4231" s="12" t="s">
        <v>72</v>
      </c>
      <c r="Q4231" s="13">
        <v>45678</v>
      </c>
      <c r="R4231" s="13">
        <v>45710</v>
      </c>
      <c r="S4231">
        <v>2025</v>
      </c>
      <c r="T4231" s="12" t="s">
        <v>5047</v>
      </c>
      <c r="U4231">
        <v>202</v>
      </c>
      <c r="V4231">
        <v>125.10590000000001</v>
      </c>
      <c r="W4231">
        <v>360.66</v>
      </c>
      <c r="X4231">
        <v>0</v>
      </c>
      <c r="Y4231">
        <v>0</v>
      </c>
      <c r="Z4231">
        <v>25271.39</v>
      </c>
      <c r="AA4231">
        <v>25632.05</v>
      </c>
      <c r="AB4231" s="12" t="s">
        <v>3398</v>
      </c>
      <c r="AC4231">
        <v>125.10590000000001</v>
      </c>
      <c r="AD4231">
        <v>1</v>
      </c>
      <c r="AE4231">
        <v>1</v>
      </c>
      <c r="AF4231">
        <v>0</v>
      </c>
      <c r="AG4231">
        <v>25271.39</v>
      </c>
      <c r="AH4231">
        <v>202</v>
      </c>
      <c r="AI4231">
        <v>197</v>
      </c>
      <c r="AJ4231">
        <v>5</v>
      </c>
      <c r="AK4231">
        <v>1</v>
      </c>
      <c r="AL4231">
        <v>1</v>
      </c>
      <c r="AM4231">
        <v>97.52</v>
      </c>
      <c r="AN4231">
        <v>130.11189999999999</v>
      </c>
      <c r="AO4231">
        <v>625.53</v>
      </c>
      <c r="AP4231" s="13">
        <v>45709</v>
      </c>
      <c r="AQ4231">
        <v>-1</v>
      </c>
      <c r="AR4231">
        <v>1</v>
      </c>
    </row>
    <row r="4232" spans="1:44" x14ac:dyDescent="0.35">
      <c r="A4232" s="12" t="s">
        <v>5166</v>
      </c>
      <c r="B4232" s="12" t="s">
        <v>587</v>
      </c>
      <c r="C4232" s="12" t="s">
        <v>588</v>
      </c>
      <c r="D4232" s="12" t="s">
        <v>122</v>
      </c>
      <c r="E4232" s="12" t="s">
        <v>104</v>
      </c>
      <c r="F4232">
        <v>2</v>
      </c>
      <c r="G4232">
        <v>0</v>
      </c>
      <c r="H4232">
        <v>0</v>
      </c>
      <c r="I4232" s="12" t="s">
        <v>486</v>
      </c>
      <c r="J4232" s="12" t="s">
        <v>487</v>
      </c>
      <c r="K4232" s="12" t="s">
        <v>125</v>
      </c>
      <c r="L4232" s="12" t="s">
        <v>69</v>
      </c>
      <c r="M4232">
        <v>36.86</v>
      </c>
      <c r="N4232" s="12" t="s">
        <v>70</v>
      </c>
      <c r="O4232" s="12" t="s">
        <v>71</v>
      </c>
      <c r="P4232" s="12" t="s">
        <v>72</v>
      </c>
      <c r="Q4232" s="13">
        <v>45678</v>
      </c>
      <c r="R4232" s="13">
        <v>45706</v>
      </c>
      <c r="S4232">
        <v>2025</v>
      </c>
      <c r="T4232" s="12" t="s">
        <v>5047</v>
      </c>
      <c r="U4232">
        <v>1894</v>
      </c>
      <c r="V4232">
        <v>11.9803</v>
      </c>
      <c r="W4232">
        <v>571.37</v>
      </c>
      <c r="X4232">
        <v>0</v>
      </c>
      <c r="Y4232">
        <v>0</v>
      </c>
      <c r="Z4232">
        <v>22690.69</v>
      </c>
      <c r="AA4232">
        <v>23262.06</v>
      </c>
      <c r="AB4232" s="12" t="s">
        <v>3188</v>
      </c>
      <c r="AC4232">
        <v>11.9803</v>
      </c>
      <c r="AD4232">
        <v>1</v>
      </c>
      <c r="AE4232">
        <v>1</v>
      </c>
      <c r="AF4232">
        <v>0</v>
      </c>
      <c r="AG4232">
        <v>22690.69</v>
      </c>
      <c r="AH4232">
        <v>1894</v>
      </c>
      <c r="AI4232">
        <v>1881</v>
      </c>
      <c r="AJ4232">
        <v>13</v>
      </c>
      <c r="AK4232">
        <v>1</v>
      </c>
      <c r="AL4232">
        <v>1</v>
      </c>
      <c r="AM4232">
        <v>99.31</v>
      </c>
      <c r="AN4232">
        <v>12.366899999999999</v>
      </c>
      <c r="AO4232">
        <v>155.74</v>
      </c>
      <c r="AP4232" s="13">
        <v>45703</v>
      </c>
      <c r="AQ4232">
        <v>-3</v>
      </c>
      <c r="AR4232">
        <v>1</v>
      </c>
    </row>
    <row r="4233" spans="1:44" x14ac:dyDescent="0.35">
      <c r="A4233" s="12" t="s">
        <v>5167</v>
      </c>
      <c r="B4233" s="12" t="s">
        <v>85</v>
      </c>
      <c r="C4233" s="12" t="s">
        <v>86</v>
      </c>
      <c r="D4233" s="12" t="s">
        <v>78</v>
      </c>
      <c r="E4233" s="12" t="s">
        <v>65</v>
      </c>
      <c r="F4233">
        <v>3</v>
      </c>
      <c r="G4233">
        <v>5</v>
      </c>
      <c r="H4233">
        <v>0</v>
      </c>
      <c r="I4233" s="12" t="s">
        <v>195</v>
      </c>
      <c r="J4233" s="12" t="s">
        <v>196</v>
      </c>
      <c r="K4233" s="12" t="s">
        <v>117</v>
      </c>
      <c r="L4233" s="12" t="s">
        <v>134</v>
      </c>
      <c r="M4233">
        <v>4.7699999999999996</v>
      </c>
      <c r="N4233" s="12" t="s">
        <v>97</v>
      </c>
      <c r="O4233" s="12" t="s">
        <v>98</v>
      </c>
      <c r="P4233" s="12" t="s">
        <v>72</v>
      </c>
      <c r="Q4233" s="13">
        <v>45678</v>
      </c>
      <c r="R4233" s="13">
        <v>45706</v>
      </c>
      <c r="S4233">
        <v>2025</v>
      </c>
      <c r="T4233" s="12" t="s">
        <v>5047</v>
      </c>
      <c r="U4233">
        <v>142</v>
      </c>
      <c r="V4233">
        <v>132.72290000000001</v>
      </c>
      <c r="W4233">
        <v>163.63</v>
      </c>
      <c r="X4233">
        <v>0</v>
      </c>
      <c r="Y4233">
        <v>0</v>
      </c>
      <c r="Z4233">
        <v>18846.650000000001</v>
      </c>
      <c r="AA4233">
        <v>19010.28</v>
      </c>
      <c r="AB4233" s="12" t="s">
        <v>5150</v>
      </c>
      <c r="AC4233">
        <v>132.72290000000001</v>
      </c>
      <c r="AD4233">
        <v>1</v>
      </c>
      <c r="AE4233">
        <v>1</v>
      </c>
      <c r="AF4233">
        <v>0</v>
      </c>
      <c r="AG4233">
        <v>18846.650000000001</v>
      </c>
      <c r="AH4233">
        <v>142</v>
      </c>
      <c r="AI4233">
        <v>141</v>
      </c>
      <c r="AJ4233">
        <v>1</v>
      </c>
      <c r="AK4233">
        <v>1</v>
      </c>
      <c r="AL4233">
        <v>1</v>
      </c>
      <c r="AM4233">
        <v>99.3</v>
      </c>
      <c r="AN4233">
        <v>134.82470000000001</v>
      </c>
      <c r="AO4233">
        <v>132.72</v>
      </c>
      <c r="AP4233" s="13">
        <v>45705</v>
      </c>
      <c r="AQ4233">
        <v>-1</v>
      </c>
      <c r="AR4233">
        <v>1</v>
      </c>
    </row>
    <row r="4234" spans="1:44" x14ac:dyDescent="0.35">
      <c r="A4234" s="12" t="s">
        <v>5168</v>
      </c>
      <c r="B4234" s="12" t="s">
        <v>447</v>
      </c>
      <c r="C4234" s="12" t="s">
        <v>448</v>
      </c>
      <c r="D4234" s="12" t="s">
        <v>269</v>
      </c>
      <c r="E4234" s="12" t="s">
        <v>65</v>
      </c>
      <c r="F4234">
        <v>2</v>
      </c>
      <c r="G4234">
        <v>2</v>
      </c>
      <c r="H4234">
        <v>0</v>
      </c>
      <c r="I4234" s="12" t="s">
        <v>176</v>
      </c>
      <c r="J4234" s="12" t="s">
        <v>177</v>
      </c>
      <c r="K4234" s="12" t="s">
        <v>125</v>
      </c>
      <c r="L4234" s="12" t="s">
        <v>134</v>
      </c>
      <c r="M4234">
        <v>1.75</v>
      </c>
      <c r="N4234" s="12" t="s">
        <v>159</v>
      </c>
      <c r="O4234" s="12" t="s">
        <v>160</v>
      </c>
      <c r="P4234" s="12" t="s">
        <v>137</v>
      </c>
      <c r="Q4234" s="13">
        <v>45678</v>
      </c>
      <c r="R4234" s="13">
        <v>45712</v>
      </c>
      <c r="S4234">
        <v>2025</v>
      </c>
      <c r="T4234" s="12" t="s">
        <v>5047</v>
      </c>
      <c r="U4234">
        <v>112</v>
      </c>
      <c r="V4234">
        <v>377.7842</v>
      </c>
      <c r="W4234">
        <v>680.01</v>
      </c>
      <c r="X4234">
        <v>0</v>
      </c>
      <c r="Y4234">
        <v>0</v>
      </c>
      <c r="Z4234">
        <v>42311.83</v>
      </c>
      <c r="AA4234">
        <v>42991.839999999997</v>
      </c>
      <c r="AB4234" s="12" t="s">
        <v>3199</v>
      </c>
      <c r="AC4234">
        <v>377.7842</v>
      </c>
      <c r="AD4234">
        <v>1</v>
      </c>
      <c r="AE4234">
        <v>1</v>
      </c>
      <c r="AF4234">
        <v>0</v>
      </c>
      <c r="AG4234">
        <v>42311.83</v>
      </c>
      <c r="AH4234">
        <v>112</v>
      </c>
      <c r="AI4234">
        <v>111</v>
      </c>
      <c r="AJ4234">
        <v>1</v>
      </c>
      <c r="AK4234">
        <v>1</v>
      </c>
      <c r="AL4234">
        <v>1</v>
      </c>
      <c r="AM4234">
        <v>99.11</v>
      </c>
      <c r="AN4234">
        <v>387.31389999999999</v>
      </c>
      <c r="AO4234">
        <v>377.78</v>
      </c>
      <c r="AP4234" s="13">
        <v>45710</v>
      </c>
      <c r="AQ4234">
        <v>-2</v>
      </c>
      <c r="AR4234">
        <v>1</v>
      </c>
    </row>
    <row r="4235" spans="1:44" x14ac:dyDescent="0.35">
      <c r="A4235" s="12" t="s">
        <v>5169</v>
      </c>
      <c r="B4235" s="12" t="s">
        <v>498</v>
      </c>
      <c r="C4235" s="12" t="s">
        <v>499</v>
      </c>
      <c r="D4235" s="12" t="s">
        <v>175</v>
      </c>
      <c r="E4235" s="12" t="s">
        <v>104</v>
      </c>
      <c r="F4235">
        <v>3</v>
      </c>
      <c r="G4235">
        <v>1</v>
      </c>
      <c r="H4235">
        <v>0</v>
      </c>
      <c r="I4235" s="12" t="s">
        <v>676</v>
      </c>
      <c r="J4235" s="12" t="s">
        <v>677</v>
      </c>
      <c r="K4235" s="12" t="s">
        <v>68</v>
      </c>
      <c r="L4235" s="12" t="s">
        <v>96</v>
      </c>
      <c r="M4235">
        <v>3.57</v>
      </c>
      <c r="N4235" s="12" t="s">
        <v>145</v>
      </c>
      <c r="O4235" s="12" t="s">
        <v>146</v>
      </c>
      <c r="P4235" s="12" t="s">
        <v>109</v>
      </c>
      <c r="Q4235" s="13">
        <v>45678</v>
      </c>
      <c r="R4235" s="13">
        <v>45694</v>
      </c>
      <c r="S4235">
        <v>2025</v>
      </c>
      <c r="T4235" s="12" t="s">
        <v>5047</v>
      </c>
      <c r="U4235">
        <v>47</v>
      </c>
      <c r="V4235">
        <v>259.09370000000001</v>
      </c>
      <c r="W4235">
        <v>166.75</v>
      </c>
      <c r="X4235">
        <v>0</v>
      </c>
      <c r="Y4235">
        <v>0</v>
      </c>
      <c r="Z4235">
        <v>12177.4</v>
      </c>
      <c r="AA4235">
        <v>12344.15</v>
      </c>
      <c r="AB4235" s="12" t="s">
        <v>3179</v>
      </c>
      <c r="AC4235">
        <v>259.09370000000001</v>
      </c>
      <c r="AD4235">
        <v>1</v>
      </c>
      <c r="AE4235">
        <v>1</v>
      </c>
      <c r="AF4235">
        <v>0</v>
      </c>
      <c r="AG4235">
        <v>12177.4</v>
      </c>
      <c r="AH4235">
        <v>47</v>
      </c>
      <c r="AI4235">
        <v>47</v>
      </c>
      <c r="AJ4235">
        <v>0</v>
      </c>
      <c r="AK4235">
        <v>1</v>
      </c>
      <c r="AL4235">
        <v>1</v>
      </c>
      <c r="AM4235">
        <v>100</v>
      </c>
      <c r="AN4235">
        <v>262.64159999999998</v>
      </c>
      <c r="AO4235">
        <v>0</v>
      </c>
      <c r="AP4235" s="13">
        <v>45691</v>
      </c>
      <c r="AQ4235">
        <v>-3</v>
      </c>
      <c r="AR4235">
        <v>1</v>
      </c>
    </row>
    <row r="4236" spans="1:44" x14ac:dyDescent="0.35">
      <c r="A4236" s="12" t="s">
        <v>5170</v>
      </c>
      <c r="B4236" s="12" t="s">
        <v>498</v>
      </c>
      <c r="C4236" s="12" t="s">
        <v>499</v>
      </c>
      <c r="D4236" s="12" t="s">
        <v>175</v>
      </c>
      <c r="E4236" s="12" t="s">
        <v>104</v>
      </c>
      <c r="F4236">
        <v>3</v>
      </c>
      <c r="G4236">
        <v>1</v>
      </c>
      <c r="H4236">
        <v>0</v>
      </c>
      <c r="I4236" s="12" t="s">
        <v>676</v>
      </c>
      <c r="J4236" s="12" t="s">
        <v>677</v>
      </c>
      <c r="K4236" s="12" t="s">
        <v>68</v>
      </c>
      <c r="L4236" s="12" t="s">
        <v>96</v>
      </c>
      <c r="M4236">
        <v>3.57</v>
      </c>
      <c r="N4236" s="12" t="s">
        <v>145</v>
      </c>
      <c r="O4236" s="12" t="s">
        <v>146</v>
      </c>
      <c r="P4236" s="12" t="s">
        <v>109</v>
      </c>
      <c r="Q4236" s="13">
        <v>45678</v>
      </c>
      <c r="R4236" s="13">
        <v>45694</v>
      </c>
      <c r="S4236">
        <v>2025</v>
      </c>
      <c r="T4236" s="12" t="s">
        <v>5047</v>
      </c>
      <c r="U4236">
        <v>47</v>
      </c>
      <c r="V4236">
        <v>259.09370000000001</v>
      </c>
      <c r="W4236">
        <v>166.75</v>
      </c>
      <c r="X4236">
        <v>0</v>
      </c>
      <c r="Y4236">
        <v>0</v>
      </c>
      <c r="Z4236">
        <v>12177.4</v>
      </c>
      <c r="AA4236">
        <v>12344.15</v>
      </c>
      <c r="AB4236" s="12" t="s">
        <v>3179</v>
      </c>
      <c r="AC4236">
        <v>259.09370000000001</v>
      </c>
      <c r="AD4236">
        <v>1</v>
      </c>
      <c r="AE4236">
        <v>1</v>
      </c>
      <c r="AF4236">
        <v>0</v>
      </c>
      <c r="AG4236">
        <v>12177.4</v>
      </c>
      <c r="AK4236">
        <v>0</v>
      </c>
      <c r="AL4236">
        <v>0</v>
      </c>
      <c r="AO4236">
        <v>0</v>
      </c>
      <c r="AP4236" s="13"/>
    </row>
    <row r="4237" spans="1:44" x14ac:dyDescent="0.35">
      <c r="A4237" s="12" t="s">
        <v>5171</v>
      </c>
      <c r="B4237" s="12" t="s">
        <v>327</v>
      </c>
      <c r="C4237" s="12" t="s">
        <v>328</v>
      </c>
      <c r="D4237" s="12" t="s">
        <v>130</v>
      </c>
      <c r="E4237" s="12" t="s">
        <v>104</v>
      </c>
      <c r="F4237">
        <v>2</v>
      </c>
      <c r="G4237">
        <v>0</v>
      </c>
      <c r="H4237">
        <v>0</v>
      </c>
      <c r="I4237" s="12" t="s">
        <v>94</v>
      </c>
      <c r="J4237" s="12" t="s">
        <v>95</v>
      </c>
      <c r="K4237" s="12" t="s">
        <v>81</v>
      </c>
      <c r="L4237" s="12" t="s">
        <v>96</v>
      </c>
      <c r="M4237">
        <v>4.8099999999999996</v>
      </c>
      <c r="N4237" s="12" t="s">
        <v>159</v>
      </c>
      <c r="O4237" s="12" t="s">
        <v>160</v>
      </c>
      <c r="P4237" s="12" t="s">
        <v>137</v>
      </c>
      <c r="Q4237" s="13">
        <v>45679</v>
      </c>
      <c r="R4237" s="13">
        <v>45693</v>
      </c>
      <c r="S4237">
        <v>2025</v>
      </c>
      <c r="T4237" s="12" t="s">
        <v>5047</v>
      </c>
      <c r="U4237">
        <v>29</v>
      </c>
      <c r="V4237">
        <v>697.23929999999996</v>
      </c>
      <c r="W4237">
        <v>414.63</v>
      </c>
      <c r="X4237">
        <v>0</v>
      </c>
      <c r="Y4237">
        <v>0</v>
      </c>
      <c r="Z4237">
        <v>20219.939999999999</v>
      </c>
      <c r="AA4237">
        <v>20634.57</v>
      </c>
      <c r="AB4237" s="12" t="s">
        <v>3016</v>
      </c>
      <c r="AC4237">
        <v>697.23929999999996</v>
      </c>
      <c r="AD4237">
        <v>1</v>
      </c>
      <c r="AE4237">
        <v>1</v>
      </c>
      <c r="AF4237">
        <v>0</v>
      </c>
      <c r="AG4237">
        <v>20219.939999999999</v>
      </c>
      <c r="AH4237">
        <v>29</v>
      </c>
      <c r="AI4237">
        <v>29</v>
      </c>
      <c r="AJ4237">
        <v>0</v>
      </c>
      <c r="AK4237">
        <v>1</v>
      </c>
      <c r="AL4237">
        <v>1</v>
      </c>
      <c r="AM4237">
        <v>100</v>
      </c>
      <c r="AN4237">
        <v>711.53689999999995</v>
      </c>
      <c r="AO4237">
        <v>0</v>
      </c>
      <c r="AP4237" s="13">
        <v>45691</v>
      </c>
      <c r="AQ4237">
        <v>-2</v>
      </c>
      <c r="AR4237">
        <v>1</v>
      </c>
    </row>
    <row r="4238" spans="1:44" x14ac:dyDescent="0.35">
      <c r="A4238" s="12" t="s">
        <v>5172</v>
      </c>
      <c r="B4238" s="12" t="s">
        <v>101</v>
      </c>
      <c r="C4238" s="12" t="s">
        <v>102</v>
      </c>
      <c r="D4238" s="12" t="s">
        <v>103</v>
      </c>
      <c r="E4238" s="12" t="s">
        <v>104</v>
      </c>
      <c r="F4238">
        <v>1</v>
      </c>
      <c r="G4238">
        <v>0</v>
      </c>
      <c r="H4238">
        <v>1</v>
      </c>
      <c r="I4238" s="12" t="s">
        <v>105</v>
      </c>
      <c r="J4238" s="12" t="s">
        <v>106</v>
      </c>
      <c r="K4238" s="12" t="s">
        <v>81</v>
      </c>
      <c r="L4238" s="12" t="s">
        <v>96</v>
      </c>
      <c r="M4238">
        <v>5.01</v>
      </c>
      <c r="N4238" s="12" t="s">
        <v>145</v>
      </c>
      <c r="O4238" s="12" t="s">
        <v>146</v>
      </c>
      <c r="P4238" s="12" t="s">
        <v>109</v>
      </c>
      <c r="Q4238" s="13">
        <v>45679</v>
      </c>
      <c r="R4238" s="13">
        <v>45693</v>
      </c>
      <c r="S4238">
        <v>2025</v>
      </c>
      <c r="T4238" s="12" t="s">
        <v>5047</v>
      </c>
      <c r="U4238">
        <v>33</v>
      </c>
      <c r="V4238">
        <v>203.18520000000001</v>
      </c>
      <c r="W4238">
        <v>75.849999999999994</v>
      </c>
      <c r="X4238">
        <v>204.42</v>
      </c>
      <c r="Y4238">
        <v>1</v>
      </c>
      <c r="Z4238">
        <v>6705.11</v>
      </c>
      <c r="AA4238">
        <v>6985.38</v>
      </c>
      <c r="AB4238" s="12" t="s">
        <v>5173</v>
      </c>
      <c r="AC4238">
        <v>203.18520000000001</v>
      </c>
      <c r="AD4238">
        <v>1</v>
      </c>
      <c r="AE4238">
        <v>1</v>
      </c>
      <c r="AF4238">
        <v>0</v>
      </c>
      <c r="AG4238">
        <v>6705.11</v>
      </c>
      <c r="AH4238">
        <v>33</v>
      </c>
      <c r="AI4238">
        <v>33</v>
      </c>
      <c r="AJ4238">
        <v>0</v>
      </c>
      <c r="AK4238">
        <v>1</v>
      </c>
      <c r="AL4238">
        <v>1</v>
      </c>
      <c r="AM4238">
        <v>100</v>
      </c>
      <c r="AN4238">
        <v>211.6782</v>
      </c>
      <c r="AO4238">
        <v>0</v>
      </c>
      <c r="AP4238" s="13">
        <v>45690</v>
      </c>
      <c r="AQ4238">
        <v>-3</v>
      </c>
      <c r="AR4238">
        <v>1</v>
      </c>
    </row>
    <row r="4239" spans="1:44" x14ac:dyDescent="0.35">
      <c r="A4239" s="12" t="s">
        <v>5174</v>
      </c>
      <c r="B4239" s="12" t="s">
        <v>766</v>
      </c>
      <c r="C4239" s="12" t="s">
        <v>767</v>
      </c>
      <c r="D4239" s="12" t="s">
        <v>175</v>
      </c>
      <c r="E4239" s="12" t="s">
        <v>65</v>
      </c>
      <c r="F4239">
        <v>3</v>
      </c>
      <c r="G4239">
        <v>5</v>
      </c>
      <c r="H4239">
        <v>0</v>
      </c>
      <c r="I4239" s="12" t="s">
        <v>87</v>
      </c>
      <c r="J4239" s="12" t="s">
        <v>88</v>
      </c>
      <c r="K4239" s="12" t="s">
        <v>89</v>
      </c>
      <c r="L4239" s="12" t="s">
        <v>69</v>
      </c>
      <c r="M4239">
        <v>14.93</v>
      </c>
      <c r="N4239" s="12" t="s">
        <v>107</v>
      </c>
      <c r="O4239" s="12" t="s">
        <v>108</v>
      </c>
      <c r="P4239" s="12" t="s">
        <v>109</v>
      </c>
      <c r="Q4239" s="13">
        <v>45679</v>
      </c>
      <c r="R4239" s="13">
        <v>45717</v>
      </c>
      <c r="S4239">
        <v>2025</v>
      </c>
      <c r="T4239" s="12" t="s">
        <v>5047</v>
      </c>
      <c r="U4239">
        <v>147</v>
      </c>
      <c r="V4239">
        <v>81.825500000000005</v>
      </c>
      <c r="W4239">
        <v>248.44</v>
      </c>
      <c r="X4239">
        <v>0</v>
      </c>
      <c r="Y4239">
        <v>0</v>
      </c>
      <c r="Z4239">
        <v>12028.35</v>
      </c>
      <c r="AA4239">
        <v>12276.79</v>
      </c>
      <c r="AB4239" s="12" t="s">
        <v>3225</v>
      </c>
      <c r="AC4239">
        <v>81.825500000000005</v>
      </c>
      <c r="AD4239">
        <v>1</v>
      </c>
      <c r="AE4239">
        <v>1</v>
      </c>
      <c r="AF4239">
        <v>0</v>
      </c>
      <c r="AG4239">
        <v>12028.35</v>
      </c>
      <c r="AH4239">
        <v>147</v>
      </c>
      <c r="AI4239">
        <v>146</v>
      </c>
      <c r="AJ4239">
        <v>1</v>
      </c>
      <c r="AK4239">
        <v>1</v>
      </c>
      <c r="AL4239">
        <v>1</v>
      </c>
      <c r="AM4239">
        <v>99.32</v>
      </c>
      <c r="AN4239">
        <v>84.087599999999995</v>
      </c>
      <c r="AO4239">
        <v>81.83</v>
      </c>
      <c r="AP4239" s="13">
        <v>45714</v>
      </c>
      <c r="AQ4239">
        <v>-3</v>
      </c>
      <c r="AR4239">
        <v>1</v>
      </c>
    </row>
    <row r="4240" spans="1:44" x14ac:dyDescent="0.35">
      <c r="A4240" s="12" t="s">
        <v>5175</v>
      </c>
      <c r="B4240" s="12" t="s">
        <v>1108</v>
      </c>
      <c r="C4240" s="12" t="s">
        <v>1109</v>
      </c>
      <c r="D4240" s="12" t="s">
        <v>103</v>
      </c>
      <c r="E4240" s="12" t="s">
        <v>65</v>
      </c>
      <c r="F4240">
        <v>3</v>
      </c>
      <c r="G4240">
        <v>4</v>
      </c>
      <c r="H4240">
        <v>0</v>
      </c>
      <c r="I4240" s="12" t="s">
        <v>176</v>
      </c>
      <c r="J4240" s="12" t="s">
        <v>177</v>
      </c>
      <c r="K4240" s="12" t="s">
        <v>125</v>
      </c>
      <c r="L4240" s="12" t="s">
        <v>134</v>
      </c>
      <c r="M4240">
        <v>1.75</v>
      </c>
      <c r="N4240" s="12" t="s">
        <v>145</v>
      </c>
      <c r="O4240" s="12" t="s">
        <v>146</v>
      </c>
      <c r="P4240" s="12" t="s">
        <v>109</v>
      </c>
      <c r="Q4240" s="13">
        <v>45679</v>
      </c>
      <c r="R4240" s="13">
        <v>45714</v>
      </c>
      <c r="S4240">
        <v>2025</v>
      </c>
      <c r="T4240" s="12" t="s">
        <v>5047</v>
      </c>
      <c r="U4240">
        <v>125</v>
      </c>
      <c r="V4240">
        <v>87.834999999999994</v>
      </c>
      <c r="W4240">
        <v>72.33</v>
      </c>
      <c r="X4240">
        <v>0</v>
      </c>
      <c r="Y4240">
        <v>0</v>
      </c>
      <c r="Z4240">
        <v>10979.38</v>
      </c>
      <c r="AA4240">
        <v>11051.71</v>
      </c>
      <c r="AB4240" s="12" t="s">
        <v>201</v>
      </c>
      <c r="AD4240">
        <v>0</v>
      </c>
      <c r="AE4240">
        <v>0</v>
      </c>
      <c r="AH4240">
        <v>125</v>
      </c>
      <c r="AI4240">
        <v>123</v>
      </c>
      <c r="AJ4240">
        <v>2</v>
      </c>
      <c r="AK4240">
        <v>1</v>
      </c>
      <c r="AL4240">
        <v>1</v>
      </c>
      <c r="AM4240">
        <v>98.4</v>
      </c>
      <c r="AN4240">
        <v>89.851299999999995</v>
      </c>
      <c r="AO4240">
        <v>175.67</v>
      </c>
      <c r="AP4240" s="13">
        <v>45714</v>
      </c>
      <c r="AQ4240">
        <v>0</v>
      </c>
      <c r="AR4240">
        <v>1</v>
      </c>
    </row>
    <row r="4241" spans="1:44" x14ac:dyDescent="0.35">
      <c r="A4241" s="12" t="s">
        <v>5176</v>
      </c>
      <c r="B4241" s="12" t="s">
        <v>241</v>
      </c>
      <c r="C4241" s="12" t="s">
        <v>242</v>
      </c>
      <c r="D4241" s="12" t="s">
        <v>103</v>
      </c>
      <c r="E4241" s="12" t="s">
        <v>142</v>
      </c>
      <c r="F4241">
        <v>3</v>
      </c>
      <c r="G4241">
        <v>11</v>
      </c>
      <c r="H4241">
        <v>0</v>
      </c>
      <c r="I4241" s="12" t="s">
        <v>243</v>
      </c>
      <c r="J4241" s="12" t="s">
        <v>244</v>
      </c>
      <c r="K4241" s="12" t="s">
        <v>81</v>
      </c>
      <c r="L4241" s="12" t="s">
        <v>82</v>
      </c>
      <c r="M4241">
        <v>9.2200000000000006</v>
      </c>
      <c r="N4241" s="12" t="s">
        <v>145</v>
      </c>
      <c r="O4241" s="12" t="s">
        <v>146</v>
      </c>
      <c r="P4241" s="12" t="s">
        <v>109</v>
      </c>
      <c r="Q4241" s="13">
        <v>45679</v>
      </c>
      <c r="R4241" s="13">
        <v>45722</v>
      </c>
      <c r="S4241">
        <v>2025</v>
      </c>
      <c r="T4241" s="12" t="s">
        <v>5047</v>
      </c>
      <c r="U4241">
        <v>76</v>
      </c>
      <c r="V4241">
        <v>174.06460000000001</v>
      </c>
      <c r="W4241">
        <v>99.52</v>
      </c>
      <c r="X4241">
        <v>0</v>
      </c>
      <c r="Y4241">
        <v>0</v>
      </c>
      <c r="Z4241">
        <v>13228.91</v>
      </c>
      <c r="AA4241">
        <v>13328.43</v>
      </c>
      <c r="AB4241" s="12" t="s">
        <v>201</v>
      </c>
      <c r="AD4241">
        <v>0</v>
      </c>
      <c r="AE4241">
        <v>0</v>
      </c>
      <c r="AH4241">
        <v>76</v>
      </c>
      <c r="AI4241">
        <v>75</v>
      </c>
      <c r="AJ4241">
        <v>1</v>
      </c>
      <c r="AK4241">
        <v>1</v>
      </c>
      <c r="AL4241">
        <v>1</v>
      </c>
      <c r="AM4241">
        <v>98.68</v>
      </c>
      <c r="AN4241">
        <v>177.7124</v>
      </c>
      <c r="AO4241">
        <v>174.06</v>
      </c>
      <c r="AP4241" s="13">
        <v>45719</v>
      </c>
      <c r="AQ4241">
        <v>-3</v>
      </c>
      <c r="AR4241">
        <v>1</v>
      </c>
    </row>
    <row r="4242" spans="1:44" x14ac:dyDescent="0.35">
      <c r="A4242" s="12" t="s">
        <v>5177</v>
      </c>
      <c r="B4242" s="12" t="s">
        <v>249</v>
      </c>
      <c r="C4242" s="12" t="s">
        <v>250</v>
      </c>
      <c r="D4242" s="12" t="s">
        <v>64</v>
      </c>
      <c r="E4242" s="12" t="s">
        <v>65</v>
      </c>
      <c r="F4242">
        <v>2</v>
      </c>
      <c r="G4242">
        <v>3</v>
      </c>
      <c r="H4242">
        <v>0</v>
      </c>
      <c r="I4242" s="12" t="s">
        <v>251</v>
      </c>
      <c r="J4242" s="12" t="s">
        <v>252</v>
      </c>
      <c r="K4242" s="12" t="s">
        <v>133</v>
      </c>
      <c r="L4242" s="12" t="s">
        <v>69</v>
      </c>
      <c r="M4242">
        <v>34.49</v>
      </c>
      <c r="N4242" s="12" t="s">
        <v>70</v>
      </c>
      <c r="O4242" s="12" t="s">
        <v>71</v>
      </c>
      <c r="P4242" s="12" t="s">
        <v>72</v>
      </c>
      <c r="Q4242" s="13">
        <v>45679</v>
      </c>
      <c r="R4242" s="13">
        <v>45709</v>
      </c>
      <c r="S4242">
        <v>2025</v>
      </c>
      <c r="T4242" s="12" t="s">
        <v>5047</v>
      </c>
      <c r="U4242">
        <v>588</v>
      </c>
      <c r="V4242">
        <v>10.292</v>
      </c>
      <c r="W4242">
        <v>38.4</v>
      </c>
      <c r="X4242">
        <v>0</v>
      </c>
      <c r="Y4242">
        <v>0</v>
      </c>
      <c r="Z4242">
        <v>6051.7</v>
      </c>
      <c r="AA4242">
        <v>6090.1</v>
      </c>
      <c r="AB4242" s="12" t="s">
        <v>2747</v>
      </c>
      <c r="AC4242">
        <v>10.292</v>
      </c>
      <c r="AD4242">
        <v>1</v>
      </c>
      <c r="AE4242">
        <v>1</v>
      </c>
      <c r="AF4242">
        <v>0</v>
      </c>
      <c r="AG4242">
        <v>6051.7</v>
      </c>
      <c r="AH4242">
        <v>588</v>
      </c>
      <c r="AI4242">
        <v>579</v>
      </c>
      <c r="AJ4242">
        <v>9</v>
      </c>
      <c r="AK4242">
        <v>1</v>
      </c>
      <c r="AL4242">
        <v>1</v>
      </c>
      <c r="AM4242">
        <v>98.47</v>
      </c>
      <c r="AN4242">
        <v>10.5183</v>
      </c>
      <c r="AO4242">
        <v>92.63</v>
      </c>
      <c r="AP4242" s="13">
        <v>45708</v>
      </c>
      <c r="AQ4242">
        <v>-1</v>
      </c>
      <c r="AR4242">
        <v>1</v>
      </c>
    </row>
    <row r="4243" spans="1:44" x14ac:dyDescent="0.35">
      <c r="A4243" s="12" t="s">
        <v>5178</v>
      </c>
      <c r="B4243" s="12" t="s">
        <v>454</v>
      </c>
      <c r="C4243" s="12" t="s">
        <v>455</v>
      </c>
      <c r="D4243" s="12" t="s">
        <v>122</v>
      </c>
      <c r="E4243" s="12" t="s">
        <v>104</v>
      </c>
      <c r="F4243">
        <v>3</v>
      </c>
      <c r="G4243">
        <v>1</v>
      </c>
      <c r="H4243">
        <v>0</v>
      </c>
      <c r="I4243" s="12" t="s">
        <v>243</v>
      </c>
      <c r="J4243" s="12" t="s">
        <v>244</v>
      </c>
      <c r="K4243" s="12" t="s">
        <v>81</v>
      </c>
      <c r="L4243" s="12" t="s">
        <v>82</v>
      </c>
      <c r="M4243">
        <v>9.2200000000000006</v>
      </c>
      <c r="N4243" s="12" t="s">
        <v>97</v>
      </c>
      <c r="O4243" s="12" t="s">
        <v>98</v>
      </c>
      <c r="P4243" s="12" t="s">
        <v>72</v>
      </c>
      <c r="Q4243" s="13">
        <v>45679</v>
      </c>
      <c r="R4243" s="13">
        <v>45707</v>
      </c>
      <c r="S4243">
        <v>2025</v>
      </c>
      <c r="T4243" s="12" t="s">
        <v>5047</v>
      </c>
      <c r="U4243">
        <v>1871</v>
      </c>
      <c r="V4243">
        <v>21.8934</v>
      </c>
      <c r="W4243">
        <v>763.94</v>
      </c>
      <c r="X4243">
        <v>0</v>
      </c>
      <c r="Y4243">
        <v>0</v>
      </c>
      <c r="Z4243">
        <v>40962.550000000003</v>
      </c>
      <c r="AA4243">
        <v>41726.49</v>
      </c>
      <c r="AB4243" s="12" t="s">
        <v>201</v>
      </c>
      <c r="AD4243">
        <v>0</v>
      </c>
      <c r="AE4243">
        <v>0</v>
      </c>
      <c r="AH4243">
        <v>1871</v>
      </c>
      <c r="AI4243">
        <v>1866</v>
      </c>
      <c r="AJ4243">
        <v>5</v>
      </c>
      <c r="AK4243">
        <v>1</v>
      </c>
      <c r="AL4243">
        <v>1</v>
      </c>
      <c r="AM4243">
        <v>99.73</v>
      </c>
      <c r="AN4243">
        <v>22.361499999999999</v>
      </c>
      <c r="AO4243">
        <v>109.47</v>
      </c>
      <c r="AP4243" s="13">
        <v>45706</v>
      </c>
      <c r="AQ4243">
        <v>-1</v>
      </c>
      <c r="AR4243">
        <v>1</v>
      </c>
    </row>
    <row r="4244" spans="1:44" x14ac:dyDescent="0.35">
      <c r="A4244" s="12" t="s">
        <v>5179</v>
      </c>
      <c r="B4244" s="12" t="s">
        <v>289</v>
      </c>
      <c r="C4244" s="12" t="s">
        <v>290</v>
      </c>
      <c r="D4244" s="12" t="s">
        <v>175</v>
      </c>
      <c r="E4244" s="12" t="s">
        <v>104</v>
      </c>
      <c r="F4244">
        <v>3</v>
      </c>
      <c r="G4244">
        <v>1</v>
      </c>
      <c r="H4244">
        <v>0</v>
      </c>
      <c r="I4244" s="12" t="s">
        <v>157</v>
      </c>
      <c r="J4244" s="12" t="s">
        <v>158</v>
      </c>
      <c r="K4244" s="12" t="s">
        <v>117</v>
      </c>
      <c r="L4244" s="12" t="s">
        <v>96</v>
      </c>
      <c r="M4244">
        <v>4.72</v>
      </c>
      <c r="N4244" s="12" t="s">
        <v>107</v>
      </c>
      <c r="O4244" s="12" t="s">
        <v>108</v>
      </c>
      <c r="P4244" s="12" t="s">
        <v>109</v>
      </c>
      <c r="Q4244" s="13">
        <v>45679</v>
      </c>
      <c r="R4244" s="13">
        <v>45708</v>
      </c>
      <c r="S4244">
        <v>2025</v>
      </c>
      <c r="T4244" s="12" t="s">
        <v>5047</v>
      </c>
      <c r="U4244">
        <v>144</v>
      </c>
      <c r="V4244">
        <v>203.68860000000001</v>
      </c>
      <c r="W4244">
        <v>517.26</v>
      </c>
      <c r="X4244">
        <v>0</v>
      </c>
      <c r="Y4244">
        <v>0</v>
      </c>
      <c r="Z4244">
        <v>29331.16</v>
      </c>
      <c r="AA4244">
        <v>29848.42</v>
      </c>
      <c r="AB4244" s="12" t="s">
        <v>201</v>
      </c>
      <c r="AD4244">
        <v>0</v>
      </c>
      <c r="AE4244">
        <v>0</v>
      </c>
      <c r="AH4244">
        <v>144</v>
      </c>
      <c r="AI4244">
        <v>142</v>
      </c>
      <c r="AJ4244">
        <v>2</v>
      </c>
      <c r="AK4244">
        <v>1</v>
      </c>
      <c r="AL4244">
        <v>1</v>
      </c>
      <c r="AM4244">
        <v>98.61</v>
      </c>
      <c r="AN4244">
        <v>210.20009999999999</v>
      </c>
      <c r="AO4244">
        <v>407.38</v>
      </c>
      <c r="AP4244" s="13">
        <v>45706</v>
      </c>
      <c r="AQ4244">
        <v>-2</v>
      </c>
      <c r="AR4244">
        <v>1</v>
      </c>
    </row>
    <row r="4245" spans="1:44" x14ac:dyDescent="0.35">
      <c r="A4245" s="12" t="s">
        <v>5180</v>
      </c>
      <c r="B4245" s="12" t="s">
        <v>941</v>
      </c>
      <c r="C4245" s="12" t="s">
        <v>942</v>
      </c>
      <c r="D4245" s="12" t="s">
        <v>130</v>
      </c>
      <c r="E4245" s="12" t="s">
        <v>104</v>
      </c>
      <c r="F4245">
        <v>2</v>
      </c>
      <c r="G4245">
        <v>0</v>
      </c>
      <c r="H4245">
        <v>0</v>
      </c>
      <c r="I4245" s="12" t="s">
        <v>131</v>
      </c>
      <c r="J4245" s="12" t="s">
        <v>132</v>
      </c>
      <c r="K4245" s="12" t="s">
        <v>133</v>
      </c>
      <c r="L4245" s="12" t="s">
        <v>134</v>
      </c>
      <c r="M4245">
        <v>1.51</v>
      </c>
      <c r="N4245" s="12" t="s">
        <v>135</v>
      </c>
      <c r="O4245" s="12" t="s">
        <v>136</v>
      </c>
      <c r="P4245" s="12" t="s">
        <v>137</v>
      </c>
      <c r="Q4245" s="13">
        <v>45679</v>
      </c>
      <c r="R4245" s="13">
        <v>45702</v>
      </c>
      <c r="S4245">
        <v>2025</v>
      </c>
      <c r="T4245" s="12" t="s">
        <v>5047</v>
      </c>
      <c r="U4245">
        <v>98</v>
      </c>
      <c r="V4245">
        <v>839.4819</v>
      </c>
      <c r="W4245">
        <v>840.02</v>
      </c>
      <c r="X4245">
        <v>2534.67</v>
      </c>
      <c r="Y4245">
        <v>1</v>
      </c>
      <c r="Z4245">
        <v>82269.23</v>
      </c>
      <c r="AA4245">
        <v>85643.92</v>
      </c>
      <c r="AB4245" s="12" t="s">
        <v>3518</v>
      </c>
      <c r="AC4245">
        <v>839.4819</v>
      </c>
      <c r="AD4245">
        <v>1</v>
      </c>
      <c r="AE4245">
        <v>1</v>
      </c>
      <c r="AF4245">
        <v>0</v>
      </c>
      <c r="AG4245">
        <v>82269.23</v>
      </c>
      <c r="AH4245">
        <v>98</v>
      </c>
      <c r="AI4245">
        <v>90</v>
      </c>
      <c r="AJ4245">
        <v>8</v>
      </c>
      <c r="AK4245">
        <v>1</v>
      </c>
      <c r="AL4245">
        <v>1</v>
      </c>
      <c r="AM4245">
        <v>91.84</v>
      </c>
      <c r="AN4245">
        <v>951.59910000000002</v>
      </c>
      <c r="AO4245">
        <v>6715.86</v>
      </c>
      <c r="AP4245" s="13">
        <v>45701</v>
      </c>
      <c r="AQ4245">
        <v>-1</v>
      </c>
      <c r="AR4245">
        <v>1</v>
      </c>
    </row>
    <row r="4246" spans="1:44" x14ac:dyDescent="0.35">
      <c r="A4246" s="12" t="s">
        <v>5181</v>
      </c>
      <c r="B4246" s="12" t="s">
        <v>602</v>
      </c>
      <c r="C4246" s="12" t="s">
        <v>603</v>
      </c>
      <c r="D4246" s="12" t="s">
        <v>114</v>
      </c>
      <c r="E4246" s="12" t="s">
        <v>142</v>
      </c>
      <c r="F4246">
        <v>2</v>
      </c>
      <c r="G4246">
        <v>10</v>
      </c>
      <c r="H4246">
        <v>0</v>
      </c>
      <c r="I4246" s="12" t="s">
        <v>263</v>
      </c>
      <c r="J4246" s="12" t="s">
        <v>264</v>
      </c>
      <c r="K4246" s="12" t="s">
        <v>125</v>
      </c>
      <c r="L4246" s="12" t="s">
        <v>82</v>
      </c>
      <c r="M4246">
        <v>10.210000000000001</v>
      </c>
      <c r="N4246" s="12" t="s">
        <v>97</v>
      </c>
      <c r="O4246" s="12" t="s">
        <v>98</v>
      </c>
      <c r="P4246" s="12" t="s">
        <v>72</v>
      </c>
      <c r="Q4246" s="13">
        <v>45679</v>
      </c>
      <c r="R4246" s="13">
        <v>45730</v>
      </c>
      <c r="S4246">
        <v>2025</v>
      </c>
      <c r="T4246" s="12" t="s">
        <v>5047</v>
      </c>
      <c r="U4246">
        <v>136</v>
      </c>
      <c r="V4246">
        <v>210.69990000000001</v>
      </c>
      <c r="W4246">
        <v>705.23</v>
      </c>
      <c r="X4246">
        <v>0</v>
      </c>
      <c r="Y4246">
        <v>0</v>
      </c>
      <c r="Z4246">
        <v>28655.19</v>
      </c>
      <c r="AA4246">
        <v>29360.42</v>
      </c>
      <c r="AB4246" s="12" t="s">
        <v>2790</v>
      </c>
      <c r="AC4246">
        <v>210.69990000000001</v>
      </c>
      <c r="AD4246">
        <v>1</v>
      </c>
      <c r="AE4246">
        <v>1</v>
      </c>
      <c r="AF4246">
        <v>0</v>
      </c>
      <c r="AG4246">
        <v>28655.19</v>
      </c>
      <c r="AH4246">
        <v>136</v>
      </c>
      <c r="AI4246">
        <v>135</v>
      </c>
      <c r="AJ4246">
        <v>1</v>
      </c>
      <c r="AK4246">
        <v>1</v>
      </c>
      <c r="AL4246">
        <v>1</v>
      </c>
      <c r="AM4246">
        <v>99.26</v>
      </c>
      <c r="AN4246">
        <v>217.4846</v>
      </c>
      <c r="AO4246">
        <v>210.7</v>
      </c>
      <c r="AP4246" s="13">
        <v>45730</v>
      </c>
      <c r="AQ4246">
        <v>0</v>
      </c>
      <c r="AR4246">
        <v>1</v>
      </c>
    </row>
    <row r="4247" spans="1:44" x14ac:dyDescent="0.35">
      <c r="A4247" s="12" t="s">
        <v>5182</v>
      </c>
      <c r="B4247" s="12" t="s">
        <v>837</v>
      </c>
      <c r="C4247" s="12" t="s">
        <v>838</v>
      </c>
      <c r="D4247" s="12" t="s">
        <v>114</v>
      </c>
      <c r="E4247" s="12" t="s">
        <v>104</v>
      </c>
      <c r="F4247">
        <v>2</v>
      </c>
      <c r="G4247">
        <v>0</v>
      </c>
      <c r="H4247">
        <v>0</v>
      </c>
      <c r="I4247" s="12" t="s">
        <v>199</v>
      </c>
      <c r="J4247" s="12" t="s">
        <v>200</v>
      </c>
      <c r="K4247" s="12" t="s">
        <v>68</v>
      </c>
      <c r="L4247" s="12" t="s">
        <v>96</v>
      </c>
      <c r="M4247">
        <v>9.4700000000000006</v>
      </c>
      <c r="N4247" s="12" t="s">
        <v>97</v>
      </c>
      <c r="O4247" s="12" t="s">
        <v>98</v>
      </c>
      <c r="P4247" s="12" t="s">
        <v>72</v>
      </c>
      <c r="Q4247" s="13">
        <v>45680</v>
      </c>
      <c r="R4247" s="13">
        <v>45694</v>
      </c>
      <c r="S4247">
        <v>2025</v>
      </c>
      <c r="T4247" s="12" t="s">
        <v>5047</v>
      </c>
      <c r="U4247">
        <v>29</v>
      </c>
      <c r="V4247">
        <v>68.916300000000007</v>
      </c>
      <c r="W4247">
        <v>44.14</v>
      </c>
      <c r="X4247">
        <v>0</v>
      </c>
      <c r="Y4247">
        <v>0</v>
      </c>
      <c r="Z4247">
        <v>1998.57</v>
      </c>
      <c r="AA4247">
        <v>2042.71</v>
      </c>
      <c r="AB4247" s="12" t="s">
        <v>3432</v>
      </c>
      <c r="AC4247">
        <v>68.916300000000007</v>
      </c>
      <c r="AD4247">
        <v>1</v>
      </c>
      <c r="AE4247">
        <v>1</v>
      </c>
      <c r="AF4247">
        <v>0</v>
      </c>
      <c r="AG4247">
        <v>1998.57</v>
      </c>
      <c r="AH4247">
        <v>29</v>
      </c>
      <c r="AI4247">
        <v>29</v>
      </c>
      <c r="AJ4247">
        <v>0</v>
      </c>
      <c r="AK4247">
        <v>1</v>
      </c>
      <c r="AL4247">
        <v>1</v>
      </c>
      <c r="AM4247">
        <v>100</v>
      </c>
      <c r="AN4247">
        <v>70.438400000000001</v>
      </c>
      <c r="AO4247">
        <v>0</v>
      </c>
      <c r="AP4247" s="13">
        <v>45697</v>
      </c>
      <c r="AQ4247">
        <v>3</v>
      </c>
      <c r="AR4247">
        <v>0</v>
      </c>
    </row>
    <row r="4248" spans="1:44" x14ac:dyDescent="0.35">
      <c r="A4248" s="12" t="s">
        <v>5183</v>
      </c>
      <c r="B4248" s="12" t="s">
        <v>802</v>
      </c>
      <c r="C4248" s="12" t="s">
        <v>803</v>
      </c>
      <c r="D4248" s="12" t="s">
        <v>114</v>
      </c>
      <c r="E4248" s="12" t="s">
        <v>65</v>
      </c>
      <c r="F4248">
        <v>3</v>
      </c>
      <c r="G4248">
        <v>5</v>
      </c>
      <c r="H4248">
        <v>0</v>
      </c>
      <c r="I4248" s="12" t="s">
        <v>804</v>
      </c>
      <c r="J4248" s="12" t="s">
        <v>342</v>
      </c>
      <c r="K4248" s="12" t="s">
        <v>117</v>
      </c>
      <c r="L4248" s="12" t="s">
        <v>69</v>
      </c>
      <c r="M4248">
        <v>30.07</v>
      </c>
      <c r="N4248" s="12" t="s">
        <v>70</v>
      </c>
      <c r="O4248" s="12" t="s">
        <v>71</v>
      </c>
      <c r="P4248" s="12" t="s">
        <v>72</v>
      </c>
      <c r="Q4248" s="13">
        <v>45680</v>
      </c>
      <c r="R4248" s="13">
        <v>45715</v>
      </c>
      <c r="S4248">
        <v>2025</v>
      </c>
      <c r="T4248" s="12" t="s">
        <v>5047</v>
      </c>
      <c r="U4248">
        <v>124</v>
      </c>
      <c r="V4248">
        <v>341.63400000000001</v>
      </c>
      <c r="W4248">
        <v>432</v>
      </c>
      <c r="X4248">
        <v>0</v>
      </c>
      <c r="Y4248">
        <v>0</v>
      </c>
      <c r="Z4248">
        <v>42362.62</v>
      </c>
      <c r="AA4248">
        <v>42794.62</v>
      </c>
      <c r="AB4248" s="12" t="s">
        <v>201</v>
      </c>
      <c r="AD4248">
        <v>0</v>
      </c>
      <c r="AE4248">
        <v>0</v>
      </c>
      <c r="AH4248">
        <v>124</v>
      </c>
      <c r="AI4248">
        <v>123</v>
      </c>
      <c r="AJ4248">
        <v>1</v>
      </c>
      <c r="AK4248">
        <v>1</v>
      </c>
      <c r="AL4248">
        <v>1</v>
      </c>
      <c r="AM4248">
        <v>99.19</v>
      </c>
      <c r="AN4248">
        <v>347.9237</v>
      </c>
      <c r="AO4248">
        <v>341.63</v>
      </c>
      <c r="AP4248" s="13">
        <v>45713</v>
      </c>
      <c r="AQ4248">
        <v>-2</v>
      </c>
      <c r="AR4248">
        <v>1</v>
      </c>
    </row>
    <row r="4249" spans="1:44" x14ac:dyDescent="0.35">
      <c r="A4249" s="12" t="s">
        <v>5184</v>
      </c>
      <c r="B4249" s="12" t="s">
        <v>694</v>
      </c>
      <c r="C4249" s="12" t="s">
        <v>695</v>
      </c>
      <c r="D4249" s="12" t="s">
        <v>103</v>
      </c>
      <c r="E4249" s="12" t="s">
        <v>65</v>
      </c>
      <c r="F4249">
        <v>2</v>
      </c>
      <c r="G4249">
        <v>3</v>
      </c>
      <c r="H4249">
        <v>0</v>
      </c>
      <c r="I4249" s="12" t="s">
        <v>263</v>
      </c>
      <c r="J4249" s="12" t="s">
        <v>264</v>
      </c>
      <c r="K4249" s="12" t="s">
        <v>125</v>
      </c>
      <c r="L4249" s="12" t="s">
        <v>82</v>
      </c>
      <c r="M4249">
        <v>10.210000000000001</v>
      </c>
      <c r="N4249" s="12" t="s">
        <v>107</v>
      </c>
      <c r="O4249" s="12" t="s">
        <v>108</v>
      </c>
      <c r="P4249" s="12" t="s">
        <v>109</v>
      </c>
      <c r="Q4249" s="13">
        <v>45680</v>
      </c>
      <c r="R4249" s="13">
        <v>45715</v>
      </c>
      <c r="S4249">
        <v>2025</v>
      </c>
      <c r="T4249" s="12" t="s">
        <v>5047</v>
      </c>
      <c r="U4249">
        <v>121</v>
      </c>
      <c r="V4249">
        <v>211.1463</v>
      </c>
      <c r="W4249">
        <v>604.70000000000005</v>
      </c>
      <c r="X4249">
        <v>0</v>
      </c>
      <c r="Y4249">
        <v>0</v>
      </c>
      <c r="Z4249">
        <v>25548.7</v>
      </c>
      <c r="AA4249">
        <v>26153.4</v>
      </c>
      <c r="AB4249" s="12" t="s">
        <v>3377</v>
      </c>
      <c r="AC4249">
        <v>211.1463</v>
      </c>
      <c r="AD4249">
        <v>1</v>
      </c>
      <c r="AE4249">
        <v>1</v>
      </c>
      <c r="AF4249">
        <v>0</v>
      </c>
      <c r="AG4249">
        <v>25548.7</v>
      </c>
      <c r="AH4249">
        <v>121</v>
      </c>
      <c r="AI4249">
        <v>120</v>
      </c>
      <c r="AJ4249">
        <v>1</v>
      </c>
      <c r="AK4249">
        <v>1</v>
      </c>
      <c r="AL4249">
        <v>1</v>
      </c>
      <c r="AM4249">
        <v>99.17</v>
      </c>
      <c r="AN4249">
        <v>217.94499999999999</v>
      </c>
      <c r="AO4249">
        <v>211.15</v>
      </c>
      <c r="AP4249" s="13">
        <v>45714</v>
      </c>
      <c r="AQ4249">
        <v>-1</v>
      </c>
      <c r="AR4249">
        <v>1</v>
      </c>
    </row>
    <row r="4250" spans="1:44" x14ac:dyDescent="0.35">
      <c r="A4250" s="12" t="s">
        <v>5185</v>
      </c>
      <c r="B4250" s="12" t="s">
        <v>569</v>
      </c>
      <c r="C4250" s="12" t="s">
        <v>570</v>
      </c>
      <c r="D4250" s="12" t="s">
        <v>114</v>
      </c>
      <c r="E4250" s="12" t="s">
        <v>142</v>
      </c>
      <c r="F4250">
        <v>1</v>
      </c>
      <c r="G4250">
        <v>6</v>
      </c>
      <c r="H4250">
        <v>1</v>
      </c>
      <c r="I4250" s="12" t="s">
        <v>123</v>
      </c>
      <c r="J4250" s="12" t="s">
        <v>124</v>
      </c>
      <c r="K4250" s="12" t="s">
        <v>125</v>
      </c>
      <c r="L4250" s="12" t="s">
        <v>82</v>
      </c>
      <c r="M4250">
        <v>6.75</v>
      </c>
      <c r="N4250" s="12" t="s">
        <v>97</v>
      </c>
      <c r="O4250" s="12" t="s">
        <v>98</v>
      </c>
      <c r="P4250" s="12" t="s">
        <v>72</v>
      </c>
      <c r="Q4250" s="13">
        <v>45680</v>
      </c>
      <c r="R4250" s="13">
        <v>45720</v>
      </c>
      <c r="S4250">
        <v>2025</v>
      </c>
      <c r="T4250" s="12" t="s">
        <v>5047</v>
      </c>
      <c r="U4250">
        <v>50</v>
      </c>
      <c r="V4250">
        <v>328.54320000000001</v>
      </c>
      <c r="W4250">
        <v>314.02</v>
      </c>
      <c r="X4250">
        <v>0</v>
      </c>
      <c r="Y4250">
        <v>0</v>
      </c>
      <c r="Z4250">
        <v>16427.16</v>
      </c>
      <c r="AA4250">
        <v>16741.18</v>
      </c>
      <c r="AB4250" s="12" t="s">
        <v>3205</v>
      </c>
      <c r="AC4250">
        <v>349.07319999999999</v>
      </c>
      <c r="AD4250">
        <v>1</v>
      </c>
      <c r="AE4250">
        <v>1</v>
      </c>
      <c r="AF4250">
        <v>-1026.5</v>
      </c>
      <c r="AG4250">
        <v>17453.66</v>
      </c>
      <c r="AH4250">
        <v>50</v>
      </c>
      <c r="AI4250">
        <v>49</v>
      </c>
      <c r="AJ4250">
        <v>1</v>
      </c>
      <c r="AK4250">
        <v>1</v>
      </c>
      <c r="AL4250">
        <v>1</v>
      </c>
      <c r="AM4250">
        <v>98</v>
      </c>
      <c r="AN4250">
        <v>341.6567</v>
      </c>
      <c r="AO4250">
        <v>328.54</v>
      </c>
      <c r="AP4250" s="13">
        <v>45720</v>
      </c>
      <c r="AQ4250">
        <v>0</v>
      </c>
      <c r="AR4250">
        <v>1</v>
      </c>
    </row>
    <row r="4251" spans="1:44" x14ac:dyDescent="0.35">
      <c r="A4251" s="12" t="s">
        <v>5186</v>
      </c>
      <c r="B4251" s="12" t="s">
        <v>128</v>
      </c>
      <c r="C4251" s="12" t="s">
        <v>129</v>
      </c>
      <c r="D4251" s="12" t="s">
        <v>130</v>
      </c>
      <c r="E4251" s="12" t="s">
        <v>65</v>
      </c>
      <c r="F4251">
        <v>3</v>
      </c>
      <c r="G4251">
        <v>5</v>
      </c>
      <c r="H4251">
        <v>0</v>
      </c>
      <c r="I4251" s="12" t="s">
        <v>131</v>
      </c>
      <c r="J4251" s="12" t="s">
        <v>132</v>
      </c>
      <c r="K4251" s="12" t="s">
        <v>133</v>
      </c>
      <c r="L4251" s="12" t="s">
        <v>134</v>
      </c>
      <c r="M4251">
        <v>1.51</v>
      </c>
      <c r="N4251" s="12" t="s">
        <v>159</v>
      </c>
      <c r="O4251" s="12" t="s">
        <v>160</v>
      </c>
      <c r="P4251" s="12" t="s">
        <v>137</v>
      </c>
      <c r="Q4251" s="13">
        <v>45680</v>
      </c>
      <c r="R4251" s="13">
        <v>45714</v>
      </c>
      <c r="S4251">
        <v>2025</v>
      </c>
      <c r="T4251" s="12" t="s">
        <v>5047</v>
      </c>
      <c r="U4251">
        <v>116</v>
      </c>
      <c r="V4251">
        <v>387.25619999999998</v>
      </c>
      <c r="W4251">
        <v>991.14</v>
      </c>
      <c r="X4251">
        <v>0</v>
      </c>
      <c r="Y4251">
        <v>0</v>
      </c>
      <c r="Z4251">
        <v>44921.72</v>
      </c>
      <c r="AA4251">
        <v>45912.86</v>
      </c>
      <c r="AB4251" s="12" t="s">
        <v>201</v>
      </c>
      <c r="AD4251">
        <v>0</v>
      </c>
      <c r="AE4251">
        <v>0</v>
      </c>
      <c r="AH4251">
        <v>116</v>
      </c>
      <c r="AI4251">
        <v>105</v>
      </c>
      <c r="AJ4251">
        <v>11</v>
      </c>
      <c r="AK4251">
        <v>1</v>
      </c>
      <c r="AL4251">
        <v>1</v>
      </c>
      <c r="AM4251">
        <v>90.52</v>
      </c>
      <c r="AN4251">
        <v>437.26530000000002</v>
      </c>
      <c r="AO4251">
        <v>4259.82</v>
      </c>
      <c r="AP4251" s="13">
        <v>45722</v>
      </c>
      <c r="AQ4251">
        <v>8</v>
      </c>
      <c r="AR4251">
        <v>0</v>
      </c>
    </row>
    <row r="4252" spans="1:44" x14ac:dyDescent="0.35">
      <c r="A4252" s="12" t="s">
        <v>5187</v>
      </c>
      <c r="B4252" s="12" t="s">
        <v>255</v>
      </c>
      <c r="C4252" s="12" t="s">
        <v>256</v>
      </c>
      <c r="D4252" s="12" t="s">
        <v>103</v>
      </c>
      <c r="E4252" s="12" t="s">
        <v>65</v>
      </c>
      <c r="F4252">
        <v>2</v>
      </c>
      <c r="G4252">
        <v>4</v>
      </c>
      <c r="H4252">
        <v>0</v>
      </c>
      <c r="I4252" s="12" t="s">
        <v>143</v>
      </c>
      <c r="J4252" s="12" t="s">
        <v>144</v>
      </c>
      <c r="K4252" s="12" t="s">
        <v>133</v>
      </c>
      <c r="L4252" s="12" t="s">
        <v>96</v>
      </c>
      <c r="M4252">
        <v>5.43</v>
      </c>
      <c r="N4252" s="12" t="s">
        <v>107</v>
      </c>
      <c r="O4252" s="12" t="s">
        <v>108</v>
      </c>
      <c r="P4252" s="12" t="s">
        <v>109</v>
      </c>
      <c r="Q4252" s="13">
        <v>45680</v>
      </c>
      <c r="R4252" s="13">
        <v>45714</v>
      </c>
      <c r="S4252">
        <v>2025</v>
      </c>
      <c r="T4252" s="12" t="s">
        <v>5047</v>
      </c>
      <c r="U4252">
        <v>116</v>
      </c>
      <c r="V4252">
        <v>95.061000000000007</v>
      </c>
      <c r="W4252">
        <v>248.45</v>
      </c>
      <c r="X4252">
        <v>0</v>
      </c>
      <c r="Y4252">
        <v>0</v>
      </c>
      <c r="Z4252">
        <v>11027.08</v>
      </c>
      <c r="AA4252">
        <v>11275.53</v>
      </c>
      <c r="AB4252" s="12" t="s">
        <v>5188</v>
      </c>
      <c r="AC4252">
        <v>95.061000000000007</v>
      </c>
      <c r="AD4252">
        <v>1</v>
      </c>
      <c r="AE4252">
        <v>1</v>
      </c>
      <c r="AF4252">
        <v>0</v>
      </c>
      <c r="AG4252">
        <v>11027.08</v>
      </c>
      <c r="AH4252">
        <v>116</v>
      </c>
      <c r="AI4252">
        <v>115</v>
      </c>
      <c r="AJ4252">
        <v>1</v>
      </c>
      <c r="AK4252">
        <v>1</v>
      </c>
      <c r="AL4252">
        <v>1</v>
      </c>
      <c r="AM4252">
        <v>99.14</v>
      </c>
      <c r="AN4252">
        <v>98.048100000000005</v>
      </c>
      <c r="AO4252">
        <v>95.06</v>
      </c>
      <c r="AP4252" s="13">
        <v>45711</v>
      </c>
      <c r="AQ4252">
        <v>-3</v>
      </c>
      <c r="AR4252">
        <v>1</v>
      </c>
    </row>
    <row r="4253" spans="1:44" x14ac:dyDescent="0.35">
      <c r="A4253" s="12" t="s">
        <v>5189</v>
      </c>
      <c r="B4253" s="12" t="s">
        <v>293</v>
      </c>
      <c r="C4253" s="12" t="s">
        <v>294</v>
      </c>
      <c r="D4253" s="12" t="s">
        <v>114</v>
      </c>
      <c r="E4253" s="12" t="s">
        <v>142</v>
      </c>
      <c r="F4253">
        <v>1</v>
      </c>
      <c r="G4253">
        <v>6</v>
      </c>
      <c r="H4253">
        <v>1</v>
      </c>
      <c r="I4253" s="12" t="s">
        <v>195</v>
      </c>
      <c r="J4253" s="12" t="s">
        <v>196</v>
      </c>
      <c r="K4253" s="12" t="s">
        <v>117</v>
      </c>
      <c r="L4253" s="12" t="s">
        <v>134</v>
      </c>
      <c r="M4253">
        <v>4.7699999999999996</v>
      </c>
      <c r="N4253" s="12" t="s">
        <v>97</v>
      </c>
      <c r="O4253" s="12" t="s">
        <v>98</v>
      </c>
      <c r="P4253" s="12" t="s">
        <v>72</v>
      </c>
      <c r="Q4253" s="13">
        <v>45680</v>
      </c>
      <c r="R4253" s="13">
        <v>45723</v>
      </c>
      <c r="S4253">
        <v>2025</v>
      </c>
      <c r="T4253" s="12" t="s">
        <v>5047</v>
      </c>
      <c r="U4253">
        <v>73</v>
      </c>
      <c r="V4253">
        <v>199.8203</v>
      </c>
      <c r="W4253">
        <v>243.6</v>
      </c>
      <c r="X4253">
        <v>0</v>
      </c>
      <c r="Y4253">
        <v>0</v>
      </c>
      <c r="Z4253">
        <v>14586.88</v>
      </c>
      <c r="AA4253">
        <v>14830.48</v>
      </c>
      <c r="AB4253" s="12" t="s">
        <v>5190</v>
      </c>
      <c r="AC4253">
        <v>199.8203</v>
      </c>
      <c r="AD4253">
        <v>1</v>
      </c>
      <c r="AE4253">
        <v>1</v>
      </c>
      <c r="AF4253">
        <v>0</v>
      </c>
      <c r="AG4253">
        <v>14586.88</v>
      </c>
      <c r="AH4253">
        <v>73</v>
      </c>
      <c r="AI4253">
        <v>72</v>
      </c>
      <c r="AJ4253">
        <v>1</v>
      </c>
      <c r="AK4253">
        <v>1</v>
      </c>
      <c r="AL4253">
        <v>1</v>
      </c>
      <c r="AM4253">
        <v>98.63</v>
      </c>
      <c r="AN4253">
        <v>205.97890000000001</v>
      </c>
      <c r="AO4253">
        <v>199.82</v>
      </c>
      <c r="AP4253" s="13">
        <v>45721</v>
      </c>
      <c r="AQ4253">
        <v>-2</v>
      </c>
      <c r="AR4253">
        <v>1</v>
      </c>
    </row>
    <row r="4254" spans="1:44" x14ac:dyDescent="0.35">
      <c r="A4254" s="12" t="s">
        <v>5191</v>
      </c>
      <c r="B4254" s="12" t="s">
        <v>509</v>
      </c>
      <c r="C4254" s="12" t="s">
        <v>510</v>
      </c>
      <c r="D4254" s="12" t="s">
        <v>78</v>
      </c>
      <c r="E4254" s="12" t="s">
        <v>142</v>
      </c>
      <c r="F4254">
        <v>3</v>
      </c>
      <c r="G4254">
        <v>11</v>
      </c>
      <c r="H4254">
        <v>0</v>
      </c>
      <c r="I4254" s="12" t="s">
        <v>176</v>
      </c>
      <c r="J4254" s="12" t="s">
        <v>177</v>
      </c>
      <c r="K4254" s="12" t="s">
        <v>125</v>
      </c>
      <c r="L4254" s="12" t="s">
        <v>134</v>
      </c>
      <c r="M4254">
        <v>1.75</v>
      </c>
      <c r="N4254" s="12" t="s">
        <v>97</v>
      </c>
      <c r="O4254" s="12" t="s">
        <v>98</v>
      </c>
      <c r="P4254" s="12" t="s">
        <v>72</v>
      </c>
      <c r="Q4254" s="13">
        <v>45680</v>
      </c>
      <c r="R4254" s="13">
        <v>45731</v>
      </c>
      <c r="S4254">
        <v>2025</v>
      </c>
      <c r="T4254" s="12" t="s">
        <v>5047</v>
      </c>
      <c r="U4254">
        <v>279</v>
      </c>
      <c r="V4254">
        <v>139.5693</v>
      </c>
      <c r="W4254">
        <v>608.01</v>
      </c>
      <c r="X4254">
        <v>0</v>
      </c>
      <c r="Y4254">
        <v>0</v>
      </c>
      <c r="Z4254">
        <v>38939.83</v>
      </c>
      <c r="AA4254">
        <v>39547.839999999997</v>
      </c>
      <c r="AB4254" s="12" t="s">
        <v>201</v>
      </c>
      <c r="AD4254">
        <v>0</v>
      </c>
      <c r="AE4254">
        <v>0</v>
      </c>
      <c r="AH4254">
        <v>279</v>
      </c>
      <c r="AI4254">
        <v>276</v>
      </c>
      <c r="AJ4254">
        <v>3</v>
      </c>
      <c r="AK4254">
        <v>1</v>
      </c>
      <c r="AL4254">
        <v>1</v>
      </c>
      <c r="AM4254">
        <v>98.92</v>
      </c>
      <c r="AN4254">
        <v>143.2893</v>
      </c>
      <c r="AO4254">
        <v>418.71</v>
      </c>
      <c r="AP4254" s="13">
        <v>45739</v>
      </c>
      <c r="AQ4254">
        <v>8</v>
      </c>
      <c r="AR4254">
        <v>0</v>
      </c>
    </row>
    <row r="4255" spans="1:44" x14ac:dyDescent="0.35">
      <c r="A4255" s="12" t="s">
        <v>5192</v>
      </c>
      <c r="B4255" s="12" t="s">
        <v>990</v>
      </c>
      <c r="C4255" s="12" t="s">
        <v>991</v>
      </c>
      <c r="D4255" s="12" t="s">
        <v>122</v>
      </c>
      <c r="E4255" s="12" t="s">
        <v>142</v>
      </c>
      <c r="F4255">
        <v>1</v>
      </c>
      <c r="G4255">
        <v>6</v>
      </c>
      <c r="H4255">
        <v>1</v>
      </c>
      <c r="I4255" s="12" t="s">
        <v>217</v>
      </c>
      <c r="J4255" s="12" t="s">
        <v>218</v>
      </c>
      <c r="K4255" s="12" t="s">
        <v>68</v>
      </c>
      <c r="L4255" s="12" t="s">
        <v>82</v>
      </c>
      <c r="M4255">
        <v>14.24</v>
      </c>
      <c r="N4255" s="12" t="s">
        <v>70</v>
      </c>
      <c r="O4255" s="12" t="s">
        <v>71</v>
      </c>
      <c r="P4255" s="12" t="s">
        <v>72</v>
      </c>
      <c r="Q4255" s="13">
        <v>45681</v>
      </c>
      <c r="R4255" s="13">
        <v>45732</v>
      </c>
      <c r="S4255">
        <v>2025</v>
      </c>
      <c r="T4255" s="12" t="s">
        <v>5047</v>
      </c>
      <c r="U4255">
        <v>1809</v>
      </c>
      <c r="V4255">
        <v>33.6252</v>
      </c>
      <c r="W4255">
        <v>904.67</v>
      </c>
      <c r="X4255">
        <v>0</v>
      </c>
      <c r="Y4255">
        <v>0</v>
      </c>
      <c r="Z4255">
        <v>60827.99</v>
      </c>
      <c r="AA4255">
        <v>61732.66</v>
      </c>
      <c r="AB4255" s="12" t="s">
        <v>3368</v>
      </c>
      <c r="AC4255">
        <v>33.6252</v>
      </c>
      <c r="AD4255">
        <v>1</v>
      </c>
      <c r="AE4255">
        <v>1</v>
      </c>
      <c r="AF4255">
        <v>0</v>
      </c>
      <c r="AG4255">
        <v>60827.99</v>
      </c>
      <c r="AH4255">
        <v>1809</v>
      </c>
      <c r="AI4255">
        <v>1791</v>
      </c>
      <c r="AJ4255">
        <v>18</v>
      </c>
      <c r="AK4255">
        <v>1</v>
      </c>
      <c r="AL4255">
        <v>1</v>
      </c>
      <c r="AM4255">
        <v>99</v>
      </c>
      <c r="AN4255">
        <v>34.468299999999999</v>
      </c>
      <c r="AO4255">
        <v>605.25</v>
      </c>
      <c r="AP4255" s="13">
        <v>45730</v>
      </c>
      <c r="AQ4255">
        <v>-2</v>
      </c>
      <c r="AR4255">
        <v>1</v>
      </c>
    </row>
    <row r="4256" spans="1:44" x14ac:dyDescent="0.35">
      <c r="A4256" s="12" t="s">
        <v>5193</v>
      </c>
      <c r="B4256" s="12" t="s">
        <v>1666</v>
      </c>
      <c r="C4256" s="12" t="s">
        <v>1667</v>
      </c>
      <c r="D4256" s="12" t="s">
        <v>78</v>
      </c>
      <c r="E4256" s="12" t="s">
        <v>65</v>
      </c>
      <c r="F4256">
        <v>2</v>
      </c>
      <c r="G4256">
        <v>3</v>
      </c>
      <c r="H4256">
        <v>0</v>
      </c>
      <c r="I4256" s="12" t="s">
        <v>176</v>
      </c>
      <c r="J4256" s="12" t="s">
        <v>177</v>
      </c>
      <c r="K4256" s="12" t="s">
        <v>125</v>
      </c>
      <c r="L4256" s="12" t="s">
        <v>134</v>
      </c>
      <c r="M4256">
        <v>1.75</v>
      </c>
      <c r="N4256" s="12" t="s">
        <v>97</v>
      </c>
      <c r="O4256" s="12" t="s">
        <v>98</v>
      </c>
      <c r="P4256" s="12" t="s">
        <v>72</v>
      </c>
      <c r="Q4256" s="13">
        <v>45681</v>
      </c>
      <c r="R4256" s="13">
        <v>45711</v>
      </c>
      <c r="S4256">
        <v>2025</v>
      </c>
      <c r="T4256" s="12" t="s">
        <v>5047</v>
      </c>
      <c r="U4256">
        <v>177</v>
      </c>
      <c r="V4256">
        <v>71.254000000000005</v>
      </c>
      <c r="W4256">
        <v>217.19</v>
      </c>
      <c r="X4256">
        <v>0</v>
      </c>
      <c r="Y4256">
        <v>0</v>
      </c>
      <c r="Z4256">
        <v>12611.96</v>
      </c>
      <c r="AA4256">
        <v>12829.15</v>
      </c>
      <c r="AB4256" s="12" t="s">
        <v>3074</v>
      </c>
      <c r="AC4256">
        <v>71.254000000000005</v>
      </c>
      <c r="AD4256">
        <v>1</v>
      </c>
      <c r="AE4256">
        <v>1</v>
      </c>
      <c r="AF4256">
        <v>0</v>
      </c>
      <c r="AG4256">
        <v>12611.96</v>
      </c>
      <c r="AH4256">
        <v>177</v>
      </c>
      <c r="AI4256">
        <v>175</v>
      </c>
      <c r="AJ4256">
        <v>2</v>
      </c>
      <c r="AK4256">
        <v>1</v>
      </c>
      <c r="AL4256">
        <v>1</v>
      </c>
      <c r="AM4256">
        <v>98.87</v>
      </c>
      <c r="AN4256">
        <v>73.309399999999997</v>
      </c>
      <c r="AO4256">
        <v>142.51</v>
      </c>
      <c r="AP4256" s="13">
        <v>45707</v>
      </c>
      <c r="AQ4256">
        <v>-4</v>
      </c>
      <c r="AR4256">
        <v>1</v>
      </c>
    </row>
    <row r="4257" spans="1:44" x14ac:dyDescent="0.35">
      <c r="A4257" s="12" t="s">
        <v>5194</v>
      </c>
      <c r="B4257" s="12" t="s">
        <v>773</v>
      </c>
      <c r="C4257" s="12" t="s">
        <v>774</v>
      </c>
      <c r="D4257" s="12" t="s">
        <v>64</v>
      </c>
      <c r="E4257" s="12" t="s">
        <v>142</v>
      </c>
      <c r="F4257">
        <v>1</v>
      </c>
      <c r="G4257">
        <v>7</v>
      </c>
      <c r="H4257">
        <v>1</v>
      </c>
      <c r="I4257" s="12" t="s">
        <v>251</v>
      </c>
      <c r="J4257" s="12" t="s">
        <v>252</v>
      </c>
      <c r="K4257" s="12" t="s">
        <v>133</v>
      </c>
      <c r="L4257" s="12" t="s">
        <v>69</v>
      </c>
      <c r="M4257">
        <v>34.49</v>
      </c>
      <c r="N4257" s="12" t="s">
        <v>97</v>
      </c>
      <c r="O4257" s="12" t="s">
        <v>98</v>
      </c>
      <c r="P4257" s="12" t="s">
        <v>72</v>
      </c>
      <c r="Q4257" s="13">
        <v>45681</v>
      </c>
      <c r="R4257" s="13">
        <v>45722</v>
      </c>
      <c r="S4257">
        <v>2025</v>
      </c>
      <c r="T4257" s="12" t="s">
        <v>5047</v>
      </c>
      <c r="U4257">
        <v>406</v>
      </c>
      <c r="V4257">
        <v>10.022600000000001</v>
      </c>
      <c r="W4257">
        <v>72.14</v>
      </c>
      <c r="X4257">
        <v>0</v>
      </c>
      <c r="Y4257">
        <v>0</v>
      </c>
      <c r="Z4257">
        <v>4069.18</v>
      </c>
      <c r="AA4257">
        <v>4141.32</v>
      </c>
      <c r="AB4257" s="12" t="s">
        <v>3354</v>
      </c>
      <c r="AC4257">
        <v>10.022600000000001</v>
      </c>
      <c r="AD4257">
        <v>1</v>
      </c>
      <c r="AE4257">
        <v>1</v>
      </c>
      <c r="AF4257">
        <v>0</v>
      </c>
      <c r="AG4257">
        <v>4069.18</v>
      </c>
      <c r="AH4257">
        <v>406</v>
      </c>
      <c r="AI4257">
        <v>405</v>
      </c>
      <c r="AJ4257">
        <v>1</v>
      </c>
      <c r="AK4257">
        <v>1</v>
      </c>
      <c r="AL4257">
        <v>1</v>
      </c>
      <c r="AM4257">
        <v>99.75</v>
      </c>
      <c r="AN4257">
        <v>10.2255</v>
      </c>
      <c r="AO4257">
        <v>10.02</v>
      </c>
      <c r="AP4257" s="13">
        <v>45721</v>
      </c>
      <c r="AQ4257">
        <v>-1</v>
      </c>
      <c r="AR4257">
        <v>1</v>
      </c>
    </row>
    <row r="4258" spans="1:44" x14ac:dyDescent="0.35">
      <c r="A4258" s="12" t="s">
        <v>5195</v>
      </c>
      <c r="B4258" s="12" t="s">
        <v>207</v>
      </c>
      <c r="C4258" s="12" t="s">
        <v>208</v>
      </c>
      <c r="D4258" s="12" t="s">
        <v>78</v>
      </c>
      <c r="E4258" s="12" t="s">
        <v>65</v>
      </c>
      <c r="F4258">
        <v>2</v>
      </c>
      <c r="G4258">
        <v>3</v>
      </c>
      <c r="H4258">
        <v>0</v>
      </c>
      <c r="I4258" s="12" t="s">
        <v>209</v>
      </c>
      <c r="J4258" s="12" t="s">
        <v>210</v>
      </c>
      <c r="K4258" s="12" t="s">
        <v>133</v>
      </c>
      <c r="L4258" s="12" t="s">
        <v>96</v>
      </c>
      <c r="M4258">
        <v>7.82</v>
      </c>
      <c r="N4258" s="12" t="s">
        <v>70</v>
      </c>
      <c r="O4258" s="12" t="s">
        <v>71</v>
      </c>
      <c r="P4258" s="12" t="s">
        <v>72</v>
      </c>
      <c r="Q4258" s="13">
        <v>45681</v>
      </c>
      <c r="R4258" s="13">
        <v>45710</v>
      </c>
      <c r="S4258">
        <v>2025</v>
      </c>
      <c r="T4258" s="12" t="s">
        <v>5047</v>
      </c>
      <c r="U4258">
        <v>166</v>
      </c>
      <c r="V4258">
        <v>145.1729</v>
      </c>
      <c r="W4258">
        <v>147</v>
      </c>
      <c r="X4258">
        <v>0</v>
      </c>
      <c r="Y4258">
        <v>0</v>
      </c>
      <c r="Z4258">
        <v>24098.7</v>
      </c>
      <c r="AA4258">
        <v>24245.7</v>
      </c>
      <c r="AB4258" s="12" t="s">
        <v>5196</v>
      </c>
      <c r="AC4258">
        <v>145.1729</v>
      </c>
      <c r="AD4258">
        <v>1</v>
      </c>
      <c r="AE4258">
        <v>1</v>
      </c>
      <c r="AF4258">
        <v>0</v>
      </c>
      <c r="AG4258">
        <v>24098.7</v>
      </c>
      <c r="AH4258">
        <v>166</v>
      </c>
      <c r="AI4258">
        <v>164</v>
      </c>
      <c r="AJ4258">
        <v>2</v>
      </c>
      <c r="AK4258">
        <v>1</v>
      </c>
      <c r="AL4258">
        <v>1</v>
      </c>
      <c r="AM4258">
        <v>98.8</v>
      </c>
      <c r="AN4258">
        <v>147.83959999999999</v>
      </c>
      <c r="AO4258">
        <v>290.35000000000002</v>
      </c>
      <c r="AP4258" s="13">
        <v>45718</v>
      </c>
      <c r="AQ4258">
        <v>8</v>
      </c>
      <c r="AR4258">
        <v>0</v>
      </c>
    </row>
    <row r="4259" spans="1:44" x14ac:dyDescent="0.35">
      <c r="A4259" s="12" t="s">
        <v>5197</v>
      </c>
      <c r="B4259" s="12" t="s">
        <v>231</v>
      </c>
      <c r="C4259" s="12" t="s">
        <v>232</v>
      </c>
      <c r="D4259" s="12" t="s">
        <v>130</v>
      </c>
      <c r="E4259" s="12" t="s">
        <v>65</v>
      </c>
      <c r="F4259">
        <v>1</v>
      </c>
      <c r="G4259">
        <v>2</v>
      </c>
      <c r="H4259">
        <v>1</v>
      </c>
      <c r="I4259" s="12" t="s">
        <v>233</v>
      </c>
      <c r="J4259" s="12" t="s">
        <v>234</v>
      </c>
      <c r="K4259" s="12" t="s">
        <v>125</v>
      </c>
      <c r="L4259" s="12" t="s">
        <v>96</v>
      </c>
      <c r="M4259">
        <v>3.73</v>
      </c>
      <c r="N4259" s="12" t="s">
        <v>159</v>
      </c>
      <c r="O4259" s="12" t="s">
        <v>160</v>
      </c>
      <c r="P4259" s="12" t="s">
        <v>137</v>
      </c>
      <c r="Q4259" s="13">
        <v>45681</v>
      </c>
      <c r="R4259" s="13">
        <v>45716</v>
      </c>
      <c r="S4259">
        <v>2025</v>
      </c>
      <c r="T4259" s="12" t="s">
        <v>5047</v>
      </c>
      <c r="U4259">
        <v>122</v>
      </c>
      <c r="V4259">
        <v>449.53</v>
      </c>
      <c r="W4259">
        <v>1251.8399999999999</v>
      </c>
      <c r="X4259">
        <v>1658.17</v>
      </c>
      <c r="Y4259">
        <v>1</v>
      </c>
      <c r="Z4259">
        <v>54842.66</v>
      </c>
      <c r="AA4259">
        <v>57752.67</v>
      </c>
      <c r="AB4259" s="12" t="s">
        <v>201</v>
      </c>
      <c r="AD4259">
        <v>0</v>
      </c>
      <c r="AE4259">
        <v>0</v>
      </c>
      <c r="AH4259">
        <v>122</v>
      </c>
      <c r="AI4259">
        <v>121</v>
      </c>
      <c r="AJ4259">
        <v>1</v>
      </c>
      <c r="AK4259">
        <v>1</v>
      </c>
      <c r="AL4259">
        <v>1</v>
      </c>
      <c r="AM4259">
        <v>99.18</v>
      </c>
      <c r="AN4259">
        <v>477.29480000000001</v>
      </c>
      <c r="AO4259">
        <v>449.53</v>
      </c>
      <c r="AP4259" s="13">
        <v>45723</v>
      </c>
      <c r="AQ4259">
        <v>7</v>
      </c>
      <c r="AR4259">
        <v>0</v>
      </c>
    </row>
    <row r="4260" spans="1:44" x14ac:dyDescent="0.35">
      <c r="A4260" s="12" t="s">
        <v>5198</v>
      </c>
      <c r="B4260" s="12" t="s">
        <v>1134</v>
      </c>
      <c r="C4260" s="12" t="s">
        <v>1135</v>
      </c>
      <c r="D4260" s="12" t="s">
        <v>269</v>
      </c>
      <c r="E4260" s="12" t="s">
        <v>104</v>
      </c>
      <c r="F4260">
        <v>2</v>
      </c>
      <c r="G4260">
        <v>0</v>
      </c>
      <c r="H4260">
        <v>0</v>
      </c>
      <c r="I4260" s="12" t="s">
        <v>380</v>
      </c>
      <c r="J4260" s="12" t="s">
        <v>381</v>
      </c>
      <c r="K4260" s="12" t="s">
        <v>89</v>
      </c>
      <c r="L4260" s="12" t="s">
        <v>96</v>
      </c>
      <c r="M4260">
        <v>10.210000000000001</v>
      </c>
      <c r="N4260" s="12" t="s">
        <v>135</v>
      </c>
      <c r="O4260" s="12" t="s">
        <v>136</v>
      </c>
      <c r="P4260" s="12" t="s">
        <v>137</v>
      </c>
      <c r="Q4260" s="13">
        <v>45681</v>
      </c>
      <c r="R4260" s="13">
        <v>45703</v>
      </c>
      <c r="S4260">
        <v>2025</v>
      </c>
      <c r="T4260" s="12" t="s">
        <v>5047</v>
      </c>
      <c r="U4260">
        <v>90</v>
      </c>
      <c r="V4260">
        <v>100.0123</v>
      </c>
      <c r="W4260">
        <v>81.2</v>
      </c>
      <c r="X4260">
        <v>0</v>
      </c>
      <c r="Y4260">
        <v>0</v>
      </c>
      <c r="Z4260">
        <v>9001.11</v>
      </c>
      <c r="AA4260">
        <v>9082.31</v>
      </c>
      <c r="AB4260" s="12" t="s">
        <v>3615</v>
      </c>
      <c r="AC4260">
        <v>100.0123</v>
      </c>
      <c r="AD4260">
        <v>1</v>
      </c>
      <c r="AE4260">
        <v>1</v>
      </c>
      <c r="AF4260">
        <v>0</v>
      </c>
      <c r="AG4260">
        <v>9001.11</v>
      </c>
      <c r="AH4260">
        <v>90</v>
      </c>
      <c r="AI4260">
        <v>89</v>
      </c>
      <c r="AJ4260">
        <v>1</v>
      </c>
      <c r="AK4260">
        <v>1</v>
      </c>
      <c r="AL4260">
        <v>1</v>
      </c>
      <c r="AM4260">
        <v>98.89</v>
      </c>
      <c r="AN4260">
        <v>102.0484</v>
      </c>
      <c r="AO4260">
        <v>100.01</v>
      </c>
      <c r="AP4260" s="13">
        <v>45700</v>
      </c>
      <c r="AQ4260">
        <v>-3</v>
      </c>
      <c r="AR4260">
        <v>1</v>
      </c>
    </row>
    <row r="4261" spans="1:44" x14ac:dyDescent="0.35">
      <c r="A4261" s="12" t="s">
        <v>5199</v>
      </c>
      <c r="B4261" s="12" t="s">
        <v>712</v>
      </c>
      <c r="C4261" s="12" t="s">
        <v>713</v>
      </c>
      <c r="D4261" s="12" t="s">
        <v>103</v>
      </c>
      <c r="E4261" s="12" t="s">
        <v>104</v>
      </c>
      <c r="F4261">
        <v>2</v>
      </c>
      <c r="G4261">
        <v>0</v>
      </c>
      <c r="H4261">
        <v>0</v>
      </c>
      <c r="I4261" s="12" t="s">
        <v>105</v>
      </c>
      <c r="J4261" s="12" t="s">
        <v>106</v>
      </c>
      <c r="K4261" s="12" t="s">
        <v>81</v>
      </c>
      <c r="L4261" s="12" t="s">
        <v>96</v>
      </c>
      <c r="M4261">
        <v>5.01</v>
      </c>
      <c r="N4261" s="12" t="s">
        <v>145</v>
      </c>
      <c r="O4261" s="12" t="s">
        <v>146</v>
      </c>
      <c r="P4261" s="12" t="s">
        <v>109</v>
      </c>
      <c r="Q4261" s="13">
        <v>45681</v>
      </c>
      <c r="R4261" s="13">
        <v>45695</v>
      </c>
      <c r="S4261">
        <v>2025</v>
      </c>
      <c r="T4261" s="12" t="s">
        <v>5047</v>
      </c>
      <c r="U4261">
        <v>30</v>
      </c>
      <c r="V4261">
        <v>196.79769999999999</v>
      </c>
      <c r="W4261">
        <v>47.39</v>
      </c>
      <c r="X4261">
        <v>0</v>
      </c>
      <c r="Y4261">
        <v>0</v>
      </c>
      <c r="Z4261">
        <v>5903.93</v>
      </c>
      <c r="AA4261">
        <v>5951.32</v>
      </c>
      <c r="AB4261" s="12" t="s">
        <v>3984</v>
      </c>
      <c r="AC4261">
        <v>196.79769999999999</v>
      </c>
      <c r="AD4261">
        <v>1</v>
      </c>
      <c r="AE4261">
        <v>1</v>
      </c>
      <c r="AF4261">
        <v>0</v>
      </c>
      <c r="AG4261">
        <v>5903.93</v>
      </c>
      <c r="AH4261">
        <v>30</v>
      </c>
      <c r="AI4261">
        <v>30</v>
      </c>
      <c r="AJ4261">
        <v>0</v>
      </c>
      <c r="AK4261">
        <v>1</v>
      </c>
      <c r="AL4261">
        <v>1</v>
      </c>
      <c r="AM4261">
        <v>100</v>
      </c>
      <c r="AN4261">
        <v>198.37739999999999</v>
      </c>
      <c r="AO4261">
        <v>0</v>
      </c>
      <c r="AP4261" s="13">
        <v>45693</v>
      </c>
      <c r="AQ4261">
        <v>-2</v>
      </c>
      <c r="AR4261">
        <v>1</v>
      </c>
    </row>
    <row r="4262" spans="1:44" x14ac:dyDescent="0.35">
      <c r="A4262" s="12" t="s">
        <v>5200</v>
      </c>
      <c r="B4262" s="12" t="s">
        <v>670</v>
      </c>
      <c r="C4262" s="12" t="s">
        <v>671</v>
      </c>
      <c r="D4262" s="12" t="s">
        <v>175</v>
      </c>
      <c r="E4262" s="12" t="s">
        <v>142</v>
      </c>
      <c r="F4262">
        <v>2</v>
      </c>
      <c r="G4262">
        <v>9</v>
      </c>
      <c r="H4262">
        <v>0</v>
      </c>
      <c r="I4262" s="12" t="s">
        <v>233</v>
      </c>
      <c r="J4262" s="12" t="s">
        <v>234</v>
      </c>
      <c r="K4262" s="12" t="s">
        <v>125</v>
      </c>
      <c r="L4262" s="12" t="s">
        <v>96</v>
      </c>
      <c r="M4262">
        <v>3.73</v>
      </c>
      <c r="N4262" s="12" t="s">
        <v>145</v>
      </c>
      <c r="O4262" s="12" t="s">
        <v>146</v>
      </c>
      <c r="P4262" s="12" t="s">
        <v>109</v>
      </c>
      <c r="Q4262" s="13">
        <v>45681</v>
      </c>
      <c r="R4262" s="13">
        <v>45720</v>
      </c>
      <c r="S4262">
        <v>2025</v>
      </c>
      <c r="T4262" s="12" t="s">
        <v>5047</v>
      </c>
      <c r="U4262">
        <v>45</v>
      </c>
      <c r="V4262">
        <v>147.6302</v>
      </c>
      <c r="W4262">
        <v>51.96</v>
      </c>
      <c r="X4262">
        <v>0</v>
      </c>
      <c r="Y4262">
        <v>0</v>
      </c>
      <c r="Z4262">
        <v>6643.36</v>
      </c>
      <c r="AA4262">
        <v>6695.32</v>
      </c>
      <c r="AB4262" s="12" t="s">
        <v>4026</v>
      </c>
      <c r="AC4262">
        <v>147.6302</v>
      </c>
      <c r="AD4262">
        <v>1</v>
      </c>
      <c r="AE4262">
        <v>1</v>
      </c>
      <c r="AF4262">
        <v>0</v>
      </c>
      <c r="AG4262">
        <v>6643.36</v>
      </c>
      <c r="AH4262">
        <v>45</v>
      </c>
      <c r="AI4262">
        <v>44</v>
      </c>
      <c r="AJ4262">
        <v>1</v>
      </c>
      <c r="AK4262">
        <v>1</v>
      </c>
      <c r="AL4262">
        <v>1</v>
      </c>
      <c r="AM4262">
        <v>97.78</v>
      </c>
      <c r="AN4262">
        <v>152.16630000000001</v>
      </c>
      <c r="AO4262">
        <v>147.63</v>
      </c>
      <c r="AP4262" s="13">
        <v>45717</v>
      </c>
      <c r="AQ4262">
        <v>-3</v>
      </c>
      <c r="AR4262">
        <v>1</v>
      </c>
    </row>
    <row r="4263" spans="1:44" x14ac:dyDescent="0.35">
      <c r="A4263" s="12" t="s">
        <v>5201</v>
      </c>
      <c r="B4263" s="12" t="s">
        <v>670</v>
      </c>
      <c r="C4263" s="12" t="s">
        <v>671</v>
      </c>
      <c r="D4263" s="12" t="s">
        <v>175</v>
      </c>
      <c r="E4263" s="12" t="s">
        <v>142</v>
      </c>
      <c r="F4263">
        <v>2</v>
      </c>
      <c r="G4263">
        <v>9</v>
      </c>
      <c r="H4263">
        <v>0</v>
      </c>
      <c r="I4263" s="12" t="s">
        <v>233</v>
      </c>
      <c r="J4263" s="12" t="s">
        <v>234</v>
      </c>
      <c r="K4263" s="12" t="s">
        <v>125</v>
      </c>
      <c r="L4263" s="12" t="s">
        <v>96</v>
      </c>
      <c r="M4263">
        <v>3.73</v>
      </c>
      <c r="N4263" s="12" t="s">
        <v>145</v>
      </c>
      <c r="O4263" s="12" t="s">
        <v>146</v>
      </c>
      <c r="P4263" s="12" t="s">
        <v>109</v>
      </c>
      <c r="Q4263" s="13">
        <v>45681</v>
      </c>
      <c r="R4263" s="13">
        <v>45731</v>
      </c>
      <c r="S4263">
        <v>2025</v>
      </c>
      <c r="T4263" s="12" t="s">
        <v>5047</v>
      </c>
      <c r="U4263">
        <v>133</v>
      </c>
      <c r="V4263">
        <v>147.6302</v>
      </c>
      <c r="W4263">
        <v>466.16</v>
      </c>
      <c r="X4263">
        <v>0</v>
      </c>
      <c r="Y4263">
        <v>0</v>
      </c>
      <c r="Z4263">
        <v>19634.82</v>
      </c>
      <c r="AA4263">
        <v>20100.98</v>
      </c>
      <c r="AB4263" s="12" t="s">
        <v>4026</v>
      </c>
      <c r="AC4263">
        <v>147.6302</v>
      </c>
      <c r="AD4263">
        <v>1</v>
      </c>
      <c r="AE4263">
        <v>1</v>
      </c>
      <c r="AF4263">
        <v>0</v>
      </c>
      <c r="AG4263">
        <v>19634.82</v>
      </c>
      <c r="AH4263">
        <v>133</v>
      </c>
      <c r="AI4263">
        <v>131</v>
      </c>
      <c r="AJ4263">
        <v>2</v>
      </c>
      <c r="AK4263">
        <v>1</v>
      </c>
      <c r="AL4263">
        <v>1</v>
      </c>
      <c r="AM4263">
        <v>98.5</v>
      </c>
      <c r="AN4263">
        <v>153.4426</v>
      </c>
      <c r="AO4263">
        <v>295.26</v>
      </c>
      <c r="AP4263" s="13">
        <v>45734</v>
      </c>
      <c r="AQ4263">
        <v>3</v>
      </c>
      <c r="AR4263">
        <v>0</v>
      </c>
    </row>
    <row r="4264" spans="1:44" x14ac:dyDescent="0.35">
      <c r="A4264" s="12" t="s">
        <v>5202</v>
      </c>
      <c r="B4264" s="12" t="s">
        <v>963</v>
      </c>
      <c r="C4264" s="12" t="s">
        <v>964</v>
      </c>
      <c r="D4264" s="12" t="s">
        <v>114</v>
      </c>
      <c r="E4264" s="12" t="s">
        <v>142</v>
      </c>
      <c r="F4264">
        <v>1</v>
      </c>
      <c r="G4264">
        <v>6</v>
      </c>
      <c r="H4264">
        <v>1</v>
      </c>
      <c r="I4264" s="12" t="s">
        <v>176</v>
      </c>
      <c r="J4264" s="12" t="s">
        <v>177</v>
      </c>
      <c r="K4264" s="12" t="s">
        <v>125</v>
      </c>
      <c r="L4264" s="12" t="s">
        <v>134</v>
      </c>
      <c r="M4264">
        <v>1.75</v>
      </c>
      <c r="N4264" s="12" t="s">
        <v>97</v>
      </c>
      <c r="O4264" s="12" t="s">
        <v>98</v>
      </c>
      <c r="P4264" s="12" t="s">
        <v>72</v>
      </c>
      <c r="Q4264" s="13">
        <v>45684</v>
      </c>
      <c r="R4264" s="13">
        <v>45721</v>
      </c>
      <c r="S4264">
        <v>2025</v>
      </c>
      <c r="T4264" s="12" t="s">
        <v>5047</v>
      </c>
      <c r="U4264">
        <v>26</v>
      </c>
      <c r="V4264">
        <v>194.16829999999999</v>
      </c>
      <c r="W4264">
        <v>109.42</v>
      </c>
      <c r="X4264">
        <v>0</v>
      </c>
      <c r="Y4264">
        <v>0</v>
      </c>
      <c r="Z4264">
        <v>5048.38</v>
      </c>
      <c r="AA4264">
        <v>5157.8</v>
      </c>
      <c r="AB4264" s="12" t="s">
        <v>3290</v>
      </c>
      <c r="AC4264">
        <v>194.16829999999999</v>
      </c>
      <c r="AD4264">
        <v>1</v>
      </c>
      <c r="AE4264">
        <v>1</v>
      </c>
      <c r="AF4264">
        <v>0</v>
      </c>
      <c r="AG4264">
        <v>5048.38</v>
      </c>
      <c r="AH4264">
        <v>26</v>
      </c>
      <c r="AI4264">
        <v>26</v>
      </c>
      <c r="AJ4264">
        <v>0</v>
      </c>
      <c r="AK4264">
        <v>1</v>
      </c>
      <c r="AL4264">
        <v>1</v>
      </c>
      <c r="AM4264">
        <v>100</v>
      </c>
      <c r="AN4264">
        <v>198.3768</v>
      </c>
      <c r="AO4264">
        <v>0</v>
      </c>
      <c r="AP4264" s="13">
        <v>45718</v>
      </c>
      <c r="AQ4264">
        <v>-3</v>
      </c>
      <c r="AR4264">
        <v>1</v>
      </c>
    </row>
    <row r="4265" spans="1:44" x14ac:dyDescent="0.35">
      <c r="A4265" s="12" t="s">
        <v>5203</v>
      </c>
      <c r="B4265" s="12" t="s">
        <v>1108</v>
      </c>
      <c r="C4265" s="12" t="s">
        <v>1109</v>
      </c>
      <c r="D4265" s="12" t="s">
        <v>103</v>
      </c>
      <c r="E4265" s="12" t="s">
        <v>65</v>
      </c>
      <c r="F4265">
        <v>3</v>
      </c>
      <c r="G4265">
        <v>4</v>
      </c>
      <c r="H4265">
        <v>0</v>
      </c>
      <c r="I4265" s="12" t="s">
        <v>79</v>
      </c>
      <c r="J4265" s="12" t="s">
        <v>80</v>
      </c>
      <c r="K4265" s="12" t="s">
        <v>81</v>
      </c>
      <c r="L4265" s="12" t="s">
        <v>82</v>
      </c>
      <c r="M4265">
        <v>12.07</v>
      </c>
      <c r="N4265" s="12" t="s">
        <v>107</v>
      </c>
      <c r="O4265" s="12" t="s">
        <v>108</v>
      </c>
      <c r="P4265" s="12" t="s">
        <v>109</v>
      </c>
      <c r="Q4265" s="13">
        <v>45684</v>
      </c>
      <c r="R4265" s="13">
        <v>45705</v>
      </c>
      <c r="S4265">
        <v>2025</v>
      </c>
      <c r="T4265" s="12" t="s">
        <v>5047</v>
      </c>
      <c r="U4265">
        <v>10</v>
      </c>
      <c r="V4265">
        <v>85.889600000000002</v>
      </c>
      <c r="W4265">
        <v>20.010000000000002</v>
      </c>
      <c r="X4265">
        <v>0</v>
      </c>
      <c r="Y4265">
        <v>0</v>
      </c>
      <c r="Z4265">
        <v>858.9</v>
      </c>
      <c r="AA4265">
        <v>878.91</v>
      </c>
      <c r="AB4265" s="12" t="s">
        <v>3269</v>
      </c>
      <c r="AC4265">
        <v>85.889600000000002</v>
      </c>
      <c r="AD4265">
        <v>1</v>
      </c>
      <c r="AE4265">
        <v>1</v>
      </c>
      <c r="AF4265">
        <v>0</v>
      </c>
      <c r="AG4265">
        <v>858.9</v>
      </c>
      <c r="AH4265">
        <v>10</v>
      </c>
      <c r="AI4265">
        <v>10</v>
      </c>
      <c r="AJ4265">
        <v>0</v>
      </c>
      <c r="AK4265">
        <v>1</v>
      </c>
      <c r="AL4265">
        <v>1</v>
      </c>
      <c r="AM4265">
        <v>100</v>
      </c>
      <c r="AN4265">
        <v>87.890600000000006</v>
      </c>
      <c r="AO4265">
        <v>0</v>
      </c>
      <c r="AP4265" s="13">
        <v>45713</v>
      </c>
      <c r="AQ4265">
        <v>8</v>
      </c>
      <c r="AR4265">
        <v>0</v>
      </c>
    </row>
    <row r="4266" spans="1:44" x14ac:dyDescent="0.35">
      <c r="A4266" s="12" t="s">
        <v>5204</v>
      </c>
      <c r="B4266" s="12" t="s">
        <v>308</v>
      </c>
      <c r="C4266" s="12" t="s">
        <v>309</v>
      </c>
      <c r="D4266" s="12" t="s">
        <v>122</v>
      </c>
      <c r="E4266" s="12" t="s">
        <v>142</v>
      </c>
      <c r="F4266">
        <v>1</v>
      </c>
      <c r="G4266">
        <v>6</v>
      </c>
      <c r="H4266">
        <v>1</v>
      </c>
      <c r="I4266" s="12" t="s">
        <v>310</v>
      </c>
      <c r="J4266" s="12" t="s">
        <v>311</v>
      </c>
      <c r="K4266" s="12" t="s">
        <v>81</v>
      </c>
      <c r="L4266" s="12" t="s">
        <v>69</v>
      </c>
      <c r="M4266">
        <v>28.3</v>
      </c>
      <c r="N4266" s="12" t="s">
        <v>97</v>
      </c>
      <c r="O4266" s="12" t="s">
        <v>98</v>
      </c>
      <c r="P4266" s="12" t="s">
        <v>72</v>
      </c>
      <c r="Q4266" s="13">
        <v>45684</v>
      </c>
      <c r="R4266" s="13">
        <v>45719</v>
      </c>
      <c r="S4266">
        <v>2025</v>
      </c>
      <c r="T4266" s="12" t="s">
        <v>5047</v>
      </c>
      <c r="U4266">
        <v>258</v>
      </c>
      <c r="V4266">
        <v>58.086399999999998</v>
      </c>
      <c r="W4266">
        <v>288.08</v>
      </c>
      <c r="X4266">
        <v>0</v>
      </c>
      <c r="Y4266">
        <v>0</v>
      </c>
      <c r="Z4266">
        <v>14986.29</v>
      </c>
      <c r="AA4266">
        <v>15274.37</v>
      </c>
      <c r="AB4266" s="12" t="s">
        <v>2726</v>
      </c>
      <c r="AC4266">
        <v>58.086399999999998</v>
      </c>
      <c r="AD4266">
        <v>1</v>
      </c>
      <c r="AE4266">
        <v>1</v>
      </c>
      <c r="AF4266">
        <v>0</v>
      </c>
      <c r="AG4266">
        <v>14986.29</v>
      </c>
      <c r="AH4266">
        <v>258</v>
      </c>
      <c r="AI4266">
        <v>257</v>
      </c>
      <c r="AJ4266">
        <v>1</v>
      </c>
      <c r="AK4266">
        <v>1</v>
      </c>
      <c r="AL4266">
        <v>1</v>
      </c>
      <c r="AM4266">
        <v>99.61</v>
      </c>
      <c r="AN4266">
        <v>59.433399999999999</v>
      </c>
      <c r="AO4266">
        <v>58.09</v>
      </c>
      <c r="AP4266" s="13">
        <v>45719</v>
      </c>
      <c r="AQ4266">
        <v>0</v>
      </c>
      <c r="AR4266">
        <v>1</v>
      </c>
    </row>
    <row r="4267" spans="1:44" x14ac:dyDescent="0.35">
      <c r="A4267" s="12" t="s">
        <v>5205</v>
      </c>
      <c r="B4267" s="12" t="s">
        <v>621</v>
      </c>
      <c r="C4267" s="12" t="s">
        <v>622</v>
      </c>
      <c r="D4267" s="12" t="s">
        <v>103</v>
      </c>
      <c r="E4267" s="12" t="s">
        <v>65</v>
      </c>
      <c r="F4267">
        <v>1</v>
      </c>
      <c r="G4267">
        <v>2</v>
      </c>
      <c r="H4267">
        <v>1</v>
      </c>
      <c r="I4267" s="12" t="s">
        <v>486</v>
      </c>
      <c r="J4267" s="12" t="s">
        <v>487</v>
      </c>
      <c r="K4267" s="12" t="s">
        <v>125</v>
      </c>
      <c r="L4267" s="12" t="s">
        <v>69</v>
      </c>
      <c r="M4267">
        <v>36.86</v>
      </c>
      <c r="N4267" s="12" t="s">
        <v>107</v>
      </c>
      <c r="O4267" s="12" t="s">
        <v>108</v>
      </c>
      <c r="P4267" s="12" t="s">
        <v>109</v>
      </c>
      <c r="Q4267" s="13">
        <v>45684</v>
      </c>
      <c r="R4267" s="13">
        <v>45710</v>
      </c>
      <c r="S4267">
        <v>2025</v>
      </c>
      <c r="T4267" s="12" t="s">
        <v>5047</v>
      </c>
      <c r="U4267">
        <v>54</v>
      </c>
      <c r="V4267">
        <v>200.7516</v>
      </c>
      <c r="W4267">
        <v>151.66</v>
      </c>
      <c r="X4267">
        <v>0</v>
      </c>
      <c r="Y4267">
        <v>0</v>
      </c>
      <c r="Z4267">
        <v>10840.59</v>
      </c>
      <c r="AA4267">
        <v>10992.25</v>
      </c>
      <c r="AB4267" s="12" t="s">
        <v>5123</v>
      </c>
      <c r="AC4267">
        <v>200.7516</v>
      </c>
      <c r="AD4267">
        <v>1</v>
      </c>
      <c r="AE4267">
        <v>1</v>
      </c>
      <c r="AF4267">
        <v>0</v>
      </c>
      <c r="AG4267">
        <v>10840.59</v>
      </c>
      <c r="AH4267">
        <v>54</v>
      </c>
      <c r="AI4267">
        <v>53</v>
      </c>
      <c r="AJ4267">
        <v>1</v>
      </c>
      <c r="AK4267">
        <v>1</v>
      </c>
      <c r="AL4267">
        <v>1</v>
      </c>
      <c r="AM4267">
        <v>98.15</v>
      </c>
      <c r="AN4267">
        <v>207.40090000000001</v>
      </c>
      <c r="AO4267">
        <v>200.75</v>
      </c>
      <c r="AP4267" s="13">
        <v>45712</v>
      </c>
      <c r="AQ4267">
        <v>2</v>
      </c>
      <c r="AR4267">
        <v>0</v>
      </c>
    </row>
    <row r="4268" spans="1:44" x14ac:dyDescent="0.35">
      <c r="A4268" s="12" t="s">
        <v>5206</v>
      </c>
      <c r="B4268" s="12" t="s">
        <v>249</v>
      </c>
      <c r="C4268" s="12" t="s">
        <v>250</v>
      </c>
      <c r="D4268" s="12" t="s">
        <v>64</v>
      </c>
      <c r="E4268" s="12" t="s">
        <v>65</v>
      </c>
      <c r="F4268">
        <v>2</v>
      </c>
      <c r="G4268">
        <v>3</v>
      </c>
      <c r="H4268">
        <v>0</v>
      </c>
      <c r="I4268" s="12" t="s">
        <v>251</v>
      </c>
      <c r="J4268" s="12" t="s">
        <v>252</v>
      </c>
      <c r="K4268" s="12" t="s">
        <v>133</v>
      </c>
      <c r="L4268" s="12" t="s">
        <v>69</v>
      </c>
      <c r="M4268">
        <v>34.49</v>
      </c>
      <c r="N4268" s="12" t="s">
        <v>97</v>
      </c>
      <c r="O4268" s="12" t="s">
        <v>98</v>
      </c>
      <c r="P4268" s="12" t="s">
        <v>72</v>
      </c>
      <c r="Q4268" s="13">
        <v>45684</v>
      </c>
      <c r="R4268" s="13">
        <v>45712</v>
      </c>
      <c r="S4268">
        <v>2025</v>
      </c>
      <c r="T4268" s="12" t="s">
        <v>5047</v>
      </c>
      <c r="U4268">
        <v>464</v>
      </c>
      <c r="V4268">
        <v>9.9464000000000006</v>
      </c>
      <c r="W4268">
        <v>52.57</v>
      </c>
      <c r="X4268">
        <v>0</v>
      </c>
      <c r="Y4268">
        <v>0</v>
      </c>
      <c r="Z4268">
        <v>4615.13</v>
      </c>
      <c r="AA4268">
        <v>4667.7</v>
      </c>
      <c r="AB4268" s="12" t="s">
        <v>5207</v>
      </c>
      <c r="AC4268">
        <v>9.9464000000000006</v>
      </c>
      <c r="AD4268">
        <v>1</v>
      </c>
      <c r="AE4268">
        <v>1</v>
      </c>
      <c r="AF4268">
        <v>0</v>
      </c>
      <c r="AG4268">
        <v>4615.13</v>
      </c>
      <c r="AH4268">
        <v>464</v>
      </c>
      <c r="AI4268">
        <v>457</v>
      </c>
      <c r="AJ4268">
        <v>7</v>
      </c>
      <c r="AK4268">
        <v>1</v>
      </c>
      <c r="AL4268">
        <v>1</v>
      </c>
      <c r="AM4268">
        <v>98.49</v>
      </c>
      <c r="AN4268">
        <v>10.213800000000001</v>
      </c>
      <c r="AO4268">
        <v>69.62</v>
      </c>
      <c r="AP4268" s="13">
        <v>45720</v>
      </c>
      <c r="AQ4268">
        <v>8</v>
      </c>
      <c r="AR4268">
        <v>0</v>
      </c>
    </row>
    <row r="4269" spans="1:44" x14ac:dyDescent="0.35">
      <c r="A4269" s="12" t="s">
        <v>5208</v>
      </c>
      <c r="B4269" s="12" t="s">
        <v>755</v>
      </c>
      <c r="C4269" s="12" t="s">
        <v>756</v>
      </c>
      <c r="D4269" s="12" t="s">
        <v>78</v>
      </c>
      <c r="E4269" s="12" t="s">
        <v>65</v>
      </c>
      <c r="F4269">
        <v>2</v>
      </c>
      <c r="G4269">
        <v>2</v>
      </c>
      <c r="H4269">
        <v>0</v>
      </c>
      <c r="I4269" s="12" t="s">
        <v>359</v>
      </c>
      <c r="J4269" s="12" t="s">
        <v>360</v>
      </c>
      <c r="K4269" s="12" t="s">
        <v>133</v>
      </c>
      <c r="L4269" s="12" t="s">
        <v>82</v>
      </c>
      <c r="M4269">
        <v>12.65</v>
      </c>
      <c r="N4269" s="12" t="s">
        <v>97</v>
      </c>
      <c r="O4269" s="12" t="s">
        <v>98</v>
      </c>
      <c r="P4269" s="12" t="s">
        <v>72</v>
      </c>
      <c r="Q4269" s="13">
        <v>45684</v>
      </c>
      <c r="R4269" s="13">
        <v>45722</v>
      </c>
      <c r="S4269">
        <v>2025</v>
      </c>
      <c r="T4269" s="12" t="s">
        <v>5047</v>
      </c>
      <c r="U4269">
        <v>293</v>
      </c>
      <c r="V4269">
        <v>45.234999999999999</v>
      </c>
      <c r="W4269">
        <v>299.81</v>
      </c>
      <c r="X4269">
        <v>0</v>
      </c>
      <c r="Y4269">
        <v>0</v>
      </c>
      <c r="Z4269">
        <v>13253.86</v>
      </c>
      <c r="AA4269">
        <v>13553.67</v>
      </c>
      <c r="AB4269" s="12" t="s">
        <v>3414</v>
      </c>
      <c r="AC4269">
        <v>43.122799999999998</v>
      </c>
      <c r="AD4269">
        <v>1</v>
      </c>
      <c r="AE4269">
        <v>1</v>
      </c>
      <c r="AF4269">
        <v>618.87</v>
      </c>
      <c r="AG4269">
        <v>12634.98</v>
      </c>
      <c r="AH4269">
        <v>293</v>
      </c>
      <c r="AI4269">
        <v>292</v>
      </c>
      <c r="AJ4269">
        <v>1</v>
      </c>
      <c r="AK4269">
        <v>1</v>
      </c>
      <c r="AL4269">
        <v>1</v>
      </c>
      <c r="AM4269">
        <v>99.66</v>
      </c>
      <c r="AN4269">
        <v>46.416699999999999</v>
      </c>
      <c r="AO4269">
        <v>45.24</v>
      </c>
      <c r="AP4269" s="13">
        <v>45720</v>
      </c>
      <c r="AQ4269">
        <v>-2</v>
      </c>
      <c r="AR4269">
        <v>1</v>
      </c>
    </row>
    <row r="4270" spans="1:44" x14ac:dyDescent="0.35">
      <c r="A4270" s="12" t="s">
        <v>5209</v>
      </c>
      <c r="B4270" s="12" t="s">
        <v>952</v>
      </c>
      <c r="C4270" s="12" t="s">
        <v>953</v>
      </c>
      <c r="D4270" s="12" t="s">
        <v>64</v>
      </c>
      <c r="E4270" s="12" t="s">
        <v>142</v>
      </c>
      <c r="F4270">
        <v>1</v>
      </c>
      <c r="G4270">
        <v>8</v>
      </c>
      <c r="H4270">
        <v>1</v>
      </c>
      <c r="I4270" s="12" t="s">
        <v>131</v>
      </c>
      <c r="J4270" s="12" t="s">
        <v>132</v>
      </c>
      <c r="K4270" s="12" t="s">
        <v>133</v>
      </c>
      <c r="L4270" s="12" t="s">
        <v>134</v>
      </c>
      <c r="M4270">
        <v>1.51</v>
      </c>
      <c r="N4270" s="12" t="s">
        <v>97</v>
      </c>
      <c r="O4270" s="12" t="s">
        <v>98</v>
      </c>
      <c r="P4270" s="12" t="s">
        <v>72</v>
      </c>
      <c r="Q4270" s="13">
        <v>45684</v>
      </c>
      <c r="R4270" s="13">
        <v>45721</v>
      </c>
      <c r="S4270">
        <v>2025</v>
      </c>
      <c r="T4270" s="12" t="s">
        <v>5047</v>
      </c>
      <c r="U4270">
        <v>201</v>
      </c>
      <c r="V4270">
        <v>31.110399999999998</v>
      </c>
      <c r="W4270">
        <v>89.76</v>
      </c>
      <c r="X4270">
        <v>0</v>
      </c>
      <c r="Y4270">
        <v>0</v>
      </c>
      <c r="Z4270">
        <v>6253.19</v>
      </c>
      <c r="AA4270">
        <v>6342.95</v>
      </c>
      <c r="AB4270" s="12" t="s">
        <v>3261</v>
      </c>
      <c r="AC4270">
        <v>31.110399999999998</v>
      </c>
      <c r="AD4270">
        <v>1</v>
      </c>
      <c r="AE4270">
        <v>1</v>
      </c>
      <c r="AF4270">
        <v>0</v>
      </c>
      <c r="AG4270">
        <v>6253.19</v>
      </c>
      <c r="AH4270">
        <v>201</v>
      </c>
      <c r="AI4270">
        <v>198</v>
      </c>
      <c r="AJ4270">
        <v>3</v>
      </c>
      <c r="AK4270">
        <v>1</v>
      </c>
      <c r="AL4270">
        <v>1</v>
      </c>
      <c r="AM4270">
        <v>98.51</v>
      </c>
      <c r="AN4270">
        <v>32.0351</v>
      </c>
      <c r="AO4270">
        <v>93.33</v>
      </c>
      <c r="AP4270" s="13">
        <v>45720</v>
      </c>
      <c r="AQ4270">
        <v>-1</v>
      </c>
      <c r="AR4270">
        <v>1</v>
      </c>
    </row>
    <row r="4271" spans="1:44" x14ac:dyDescent="0.35">
      <c r="A4271" s="12" t="s">
        <v>5210</v>
      </c>
      <c r="B4271" s="12" t="s">
        <v>827</v>
      </c>
      <c r="C4271" s="12" t="s">
        <v>828</v>
      </c>
      <c r="D4271" s="12" t="s">
        <v>175</v>
      </c>
      <c r="E4271" s="12" t="s">
        <v>104</v>
      </c>
      <c r="F4271">
        <v>2</v>
      </c>
      <c r="G4271">
        <v>0</v>
      </c>
      <c r="H4271">
        <v>0</v>
      </c>
      <c r="I4271" s="12" t="s">
        <v>183</v>
      </c>
      <c r="J4271" s="12" t="s">
        <v>184</v>
      </c>
      <c r="K4271" s="12" t="s">
        <v>133</v>
      </c>
      <c r="L4271" s="12" t="s">
        <v>82</v>
      </c>
      <c r="M4271">
        <v>8.6199999999999992</v>
      </c>
      <c r="N4271" s="12" t="s">
        <v>107</v>
      </c>
      <c r="O4271" s="12" t="s">
        <v>108</v>
      </c>
      <c r="P4271" s="12" t="s">
        <v>109</v>
      </c>
      <c r="Q4271" s="13">
        <v>45684</v>
      </c>
      <c r="R4271" s="13">
        <v>45703</v>
      </c>
      <c r="S4271">
        <v>2025</v>
      </c>
      <c r="T4271" s="12" t="s">
        <v>5047</v>
      </c>
      <c r="U4271">
        <v>65</v>
      </c>
      <c r="V4271">
        <v>101.62560000000001</v>
      </c>
      <c r="W4271">
        <v>58.99</v>
      </c>
      <c r="X4271">
        <v>216.03</v>
      </c>
      <c r="Y4271">
        <v>1</v>
      </c>
      <c r="Z4271">
        <v>6605.66</v>
      </c>
      <c r="AA4271">
        <v>6880.68</v>
      </c>
      <c r="AB4271" s="12" t="s">
        <v>3394</v>
      </c>
      <c r="AC4271">
        <v>101.62560000000001</v>
      </c>
      <c r="AD4271">
        <v>1</v>
      </c>
      <c r="AE4271">
        <v>1</v>
      </c>
      <c r="AF4271">
        <v>0</v>
      </c>
      <c r="AG4271">
        <v>6605.66</v>
      </c>
      <c r="AH4271">
        <v>65</v>
      </c>
      <c r="AI4271">
        <v>65</v>
      </c>
      <c r="AJ4271">
        <v>0</v>
      </c>
      <c r="AK4271">
        <v>1</v>
      </c>
      <c r="AL4271">
        <v>1</v>
      </c>
      <c r="AM4271">
        <v>100</v>
      </c>
      <c r="AN4271">
        <v>105.8567</v>
      </c>
      <c r="AO4271">
        <v>0</v>
      </c>
      <c r="AP4271" s="13">
        <v>45701</v>
      </c>
      <c r="AQ4271">
        <v>-2</v>
      </c>
      <c r="AR4271">
        <v>1</v>
      </c>
    </row>
    <row r="4272" spans="1:44" x14ac:dyDescent="0.35">
      <c r="A4272" s="12" t="s">
        <v>5211</v>
      </c>
      <c r="B4272" s="12" t="s">
        <v>957</v>
      </c>
      <c r="C4272" s="12" t="s">
        <v>958</v>
      </c>
      <c r="D4272" s="12" t="s">
        <v>103</v>
      </c>
      <c r="E4272" s="12" t="s">
        <v>142</v>
      </c>
      <c r="F4272">
        <v>1</v>
      </c>
      <c r="G4272">
        <v>7</v>
      </c>
      <c r="H4272">
        <v>1</v>
      </c>
      <c r="I4272" s="12" t="s">
        <v>183</v>
      </c>
      <c r="J4272" s="12" t="s">
        <v>184</v>
      </c>
      <c r="K4272" s="12" t="s">
        <v>133</v>
      </c>
      <c r="L4272" s="12" t="s">
        <v>82</v>
      </c>
      <c r="M4272">
        <v>8.6199999999999992</v>
      </c>
      <c r="N4272" s="12" t="s">
        <v>145</v>
      </c>
      <c r="O4272" s="12" t="s">
        <v>146</v>
      </c>
      <c r="P4272" s="12" t="s">
        <v>109</v>
      </c>
      <c r="Q4272" s="13">
        <v>45684</v>
      </c>
      <c r="R4272" s="13">
        <v>45728</v>
      </c>
      <c r="S4272">
        <v>2025</v>
      </c>
      <c r="T4272" s="12" t="s">
        <v>5047</v>
      </c>
      <c r="U4272">
        <v>80</v>
      </c>
      <c r="V4272">
        <v>204.07689999999999</v>
      </c>
      <c r="W4272">
        <v>191.22</v>
      </c>
      <c r="X4272">
        <v>0</v>
      </c>
      <c r="Y4272">
        <v>0</v>
      </c>
      <c r="Z4272">
        <v>16326.15</v>
      </c>
      <c r="AA4272">
        <v>16517.37</v>
      </c>
      <c r="AB4272" s="12" t="s">
        <v>3249</v>
      </c>
      <c r="AC4272">
        <v>193.65539999999999</v>
      </c>
      <c r="AD4272">
        <v>1</v>
      </c>
      <c r="AE4272">
        <v>1</v>
      </c>
      <c r="AF4272">
        <v>833.72</v>
      </c>
      <c r="AG4272">
        <v>15492.43</v>
      </c>
      <c r="AH4272">
        <v>80</v>
      </c>
      <c r="AI4272">
        <v>79</v>
      </c>
      <c r="AJ4272">
        <v>1</v>
      </c>
      <c r="AK4272">
        <v>1</v>
      </c>
      <c r="AL4272">
        <v>1</v>
      </c>
      <c r="AM4272">
        <v>98.75</v>
      </c>
      <c r="AN4272">
        <v>209.08070000000001</v>
      </c>
      <c r="AO4272">
        <v>204.08</v>
      </c>
      <c r="AP4272" s="13">
        <v>45725</v>
      </c>
      <c r="AQ4272">
        <v>-3</v>
      </c>
      <c r="AR4272">
        <v>1</v>
      </c>
    </row>
    <row r="4273" spans="1:44" x14ac:dyDescent="0.35">
      <c r="A4273" s="12" t="s">
        <v>5212</v>
      </c>
      <c r="B4273" s="12" t="s">
        <v>1013</v>
      </c>
      <c r="C4273" s="12" t="s">
        <v>1014</v>
      </c>
      <c r="D4273" s="12" t="s">
        <v>78</v>
      </c>
      <c r="E4273" s="12" t="s">
        <v>65</v>
      </c>
      <c r="F4273">
        <v>2</v>
      </c>
      <c r="G4273">
        <v>3</v>
      </c>
      <c r="H4273">
        <v>0</v>
      </c>
      <c r="I4273" s="12" t="s">
        <v>359</v>
      </c>
      <c r="J4273" s="12" t="s">
        <v>360</v>
      </c>
      <c r="K4273" s="12" t="s">
        <v>133</v>
      </c>
      <c r="L4273" s="12" t="s">
        <v>82</v>
      </c>
      <c r="M4273">
        <v>12.65</v>
      </c>
      <c r="N4273" s="12" t="s">
        <v>97</v>
      </c>
      <c r="O4273" s="12" t="s">
        <v>98</v>
      </c>
      <c r="P4273" s="12" t="s">
        <v>72</v>
      </c>
      <c r="Q4273" s="13">
        <v>45684</v>
      </c>
      <c r="R4273" s="13">
        <v>45711</v>
      </c>
      <c r="S4273">
        <v>2025</v>
      </c>
      <c r="T4273" s="12" t="s">
        <v>5047</v>
      </c>
      <c r="U4273">
        <v>133</v>
      </c>
      <c r="V4273">
        <v>118.70959999999999</v>
      </c>
      <c r="W4273">
        <v>373.67</v>
      </c>
      <c r="X4273">
        <v>0</v>
      </c>
      <c r="Y4273">
        <v>0</v>
      </c>
      <c r="Z4273">
        <v>15788.38</v>
      </c>
      <c r="AA4273">
        <v>16162.05</v>
      </c>
      <c r="AB4273" s="12" t="s">
        <v>4936</v>
      </c>
      <c r="AC4273">
        <v>118.70959999999999</v>
      </c>
      <c r="AD4273">
        <v>1</v>
      </c>
      <c r="AE4273">
        <v>1</v>
      </c>
      <c r="AF4273">
        <v>0</v>
      </c>
      <c r="AG4273">
        <v>15788.38</v>
      </c>
      <c r="AH4273">
        <v>133</v>
      </c>
      <c r="AI4273">
        <v>131</v>
      </c>
      <c r="AJ4273">
        <v>2</v>
      </c>
      <c r="AK4273">
        <v>1</v>
      </c>
      <c r="AL4273">
        <v>1</v>
      </c>
      <c r="AM4273">
        <v>98.5</v>
      </c>
      <c r="AN4273">
        <v>123.37439999999999</v>
      </c>
      <c r="AO4273">
        <v>237.42</v>
      </c>
      <c r="AP4273" s="13">
        <v>45711</v>
      </c>
      <c r="AQ4273">
        <v>0</v>
      </c>
      <c r="AR4273">
        <v>1</v>
      </c>
    </row>
    <row r="4274" spans="1:44" x14ac:dyDescent="0.35">
      <c r="A4274" s="12" t="s">
        <v>5213</v>
      </c>
      <c r="B4274" s="12" t="s">
        <v>238</v>
      </c>
      <c r="C4274" s="12" t="s">
        <v>239</v>
      </c>
      <c r="D4274" s="12" t="s">
        <v>122</v>
      </c>
      <c r="E4274" s="12" t="s">
        <v>65</v>
      </c>
      <c r="F4274">
        <v>3</v>
      </c>
      <c r="G4274">
        <v>4</v>
      </c>
      <c r="H4274">
        <v>0</v>
      </c>
      <c r="I4274" s="12" t="s">
        <v>79</v>
      </c>
      <c r="J4274" s="12" t="s">
        <v>80</v>
      </c>
      <c r="K4274" s="12" t="s">
        <v>81</v>
      </c>
      <c r="L4274" s="12" t="s">
        <v>82</v>
      </c>
      <c r="M4274">
        <v>12.07</v>
      </c>
      <c r="N4274" s="12" t="s">
        <v>70</v>
      </c>
      <c r="O4274" s="12" t="s">
        <v>71</v>
      </c>
      <c r="P4274" s="12" t="s">
        <v>72</v>
      </c>
      <c r="Q4274" s="13">
        <v>45684</v>
      </c>
      <c r="R4274" s="13">
        <v>45717</v>
      </c>
      <c r="S4274">
        <v>2025</v>
      </c>
      <c r="T4274" s="12" t="s">
        <v>5047</v>
      </c>
      <c r="U4274">
        <v>1409</v>
      </c>
      <c r="V4274">
        <v>34.205399999999997</v>
      </c>
      <c r="W4274">
        <v>984.29</v>
      </c>
      <c r="X4274">
        <v>1535.42</v>
      </c>
      <c r="Y4274">
        <v>1</v>
      </c>
      <c r="Z4274">
        <v>48195.41</v>
      </c>
      <c r="AA4274">
        <v>50715.12</v>
      </c>
      <c r="AB4274" s="12" t="s">
        <v>5214</v>
      </c>
      <c r="AC4274">
        <v>34.205399999999997</v>
      </c>
      <c r="AD4274">
        <v>1</v>
      </c>
      <c r="AE4274">
        <v>1</v>
      </c>
      <c r="AF4274">
        <v>0</v>
      </c>
      <c r="AG4274">
        <v>48195.41</v>
      </c>
      <c r="AH4274">
        <v>1409</v>
      </c>
      <c r="AI4274">
        <v>1399</v>
      </c>
      <c r="AJ4274">
        <v>10</v>
      </c>
      <c r="AK4274">
        <v>1</v>
      </c>
      <c r="AL4274">
        <v>1</v>
      </c>
      <c r="AM4274">
        <v>99.29</v>
      </c>
      <c r="AN4274">
        <v>36.250999999999998</v>
      </c>
      <c r="AO4274">
        <v>342.05</v>
      </c>
      <c r="AP4274" s="13">
        <v>45716</v>
      </c>
      <c r="AQ4274">
        <v>-1</v>
      </c>
      <c r="AR4274">
        <v>1</v>
      </c>
    </row>
    <row r="4275" spans="1:44" x14ac:dyDescent="0.35">
      <c r="A4275" s="12" t="s">
        <v>5215</v>
      </c>
      <c r="B4275" s="12" t="s">
        <v>837</v>
      </c>
      <c r="C4275" s="12" t="s">
        <v>838</v>
      </c>
      <c r="D4275" s="12" t="s">
        <v>114</v>
      </c>
      <c r="E4275" s="12" t="s">
        <v>104</v>
      </c>
      <c r="F4275">
        <v>2</v>
      </c>
      <c r="G4275">
        <v>0</v>
      </c>
      <c r="H4275">
        <v>0</v>
      </c>
      <c r="I4275" s="12" t="s">
        <v>199</v>
      </c>
      <c r="J4275" s="12" t="s">
        <v>200</v>
      </c>
      <c r="K4275" s="12" t="s">
        <v>68</v>
      </c>
      <c r="L4275" s="12" t="s">
        <v>96</v>
      </c>
      <c r="M4275">
        <v>9.4700000000000006</v>
      </c>
      <c r="N4275" s="12" t="s">
        <v>70</v>
      </c>
      <c r="O4275" s="12" t="s">
        <v>71</v>
      </c>
      <c r="P4275" s="12" t="s">
        <v>72</v>
      </c>
      <c r="Q4275" s="13">
        <v>45685</v>
      </c>
      <c r="R4275" s="13">
        <v>45704</v>
      </c>
      <c r="S4275">
        <v>2025</v>
      </c>
      <c r="T4275" s="12" t="s">
        <v>5047</v>
      </c>
      <c r="U4275">
        <v>66</v>
      </c>
      <c r="V4275">
        <v>68.916300000000007</v>
      </c>
      <c r="W4275">
        <v>99.88</v>
      </c>
      <c r="X4275">
        <v>0</v>
      </c>
      <c r="Y4275">
        <v>0</v>
      </c>
      <c r="Z4275">
        <v>4548.4799999999996</v>
      </c>
      <c r="AA4275">
        <v>4648.3599999999997</v>
      </c>
      <c r="AB4275" s="12" t="s">
        <v>3432</v>
      </c>
      <c r="AC4275">
        <v>68.916300000000007</v>
      </c>
      <c r="AD4275">
        <v>1</v>
      </c>
      <c r="AE4275">
        <v>1</v>
      </c>
      <c r="AF4275">
        <v>0</v>
      </c>
      <c r="AG4275">
        <v>4548.4799999999996</v>
      </c>
      <c r="AH4275">
        <v>66</v>
      </c>
      <c r="AI4275">
        <v>65</v>
      </c>
      <c r="AJ4275">
        <v>1</v>
      </c>
      <c r="AK4275">
        <v>1</v>
      </c>
      <c r="AL4275">
        <v>1</v>
      </c>
      <c r="AM4275">
        <v>98.48</v>
      </c>
      <c r="AN4275">
        <v>71.513199999999998</v>
      </c>
      <c r="AO4275">
        <v>68.92</v>
      </c>
      <c r="AP4275" s="13">
        <v>45706</v>
      </c>
      <c r="AQ4275">
        <v>2</v>
      </c>
      <c r="AR4275">
        <v>0</v>
      </c>
    </row>
    <row r="4276" spans="1:44" x14ac:dyDescent="0.35">
      <c r="A4276" s="12" t="s">
        <v>5216</v>
      </c>
      <c r="B4276" s="12" t="s">
        <v>347</v>
      </c>
      <c r="C4276" s="12" t="s">
        <v>348</v>
      </c>
      <c r="D4276" s="12" t="s">
        <v>78</v>
      </c>
      <c r="E4276" s="12" t="s">
        <v>104</v>
      </c>
      <c r="F4276">
        <v>3</v>
      </c>
      <c r="G4276">
        <v>1</v>
      </c>
      <c r="H4276">
        <v>0</v>
      </c>
      <c r="I4276" s="12" t="s">
        <v>105</v>
      </c>
      <c r="J4276" s="12" t="s">
        <v>106</v>
      </c>
      <c r="K4276" s="12" t="s">
        <v>81</v>
      </c>
      <c r="L4276" s="12" t="s">
        <v>96</v>
      </c>
      <c r="M4276">
        <v>5.01</v>
      </c>
      <c r="N4276" s="12" t="s">
        <v>70</v>
      </c>
      <c r="O4276" s="12" t="s">
        <v>71</v>
      </c>
      <c r="P4276" s="12" t="s">
        <v>72</v>
      </c>
      <c r="Q4276" s="13">
        <v>45685</v>
      </c>
      <c r="R4276" s="13">
        <v>45711</v>
      </c>
      <c r="S4276">
        <v>2025</v>
      </c>
      <c r="T4276" s="12" t="s">
        <v>5047</v>
      </c>
      <c r="U4276">
        <v>249</v>
      </c>
      <c r="V4276">
        <v>100.28740000000001</v>
      </c>
      <c r="W4276">
        <v>222.04</v>
      </c>
      <c r="X4276">
        <v>0</v>
      </c>
      <c r="Y4276">
        <v>0</v>
      </c>
      <c r="Z4276">
        <v>24971.56</v>
      </c>
      <c r="AA4276">
        <v>25193.599999999999</v>
      </c>
      <c r="AB4276" s="12" t="s">
        <v>2996</v>
      </c>
      <c r="AC4276">
        <v>100.28740000000001</v>
      </c>
      <c r="AD4276">
        <v>1</v>
      </c>
      <c r="AE4276">
        <v>1</v>
      </c>
      <c r="AF4276">
        <v>0</v>
      </c>
      <c r="AG4276">
        <v>24971.56</v>
      </c>
      <c r="AH4276">
        <v>249</v>
      </c>
      <c r="AI4276">
        <v>247</v>
      </c>
      <c r="AJ4276">
        <v>2</v>
      </c>
      <c r="AK4276">
        <v>1</v>
      </c>
      <c r="AL4276">
        <v>1</v>
      </c>
      <c r="AM4276">
        <v>99.2</v>
      </c>
      <c r="AN4276">
        <v>101.9984</v>
      </c>
      <c r="AO4276">
        <v>200.57</v>
      </c>
      <c r="AP4276" s="13">
        <v>45720</v>
      </c>
      <c r="AQ4276">
        <v>9</v>
      </c>
      <c r="AR4276">
        <v>0</v>
      </c>
    </row>
    <row r="4277" spans="1:44" x14ac:dyDescent="0.35">
      <c r="A4277" s="12" t="s">
        <v>5217</v>
      </c>
      <c r="B4277" s="12" t="s">
        <v>442</v>
      </c>
      <c r="C4277" s="12" t="s">
        <v>443</v>
      </c>
      <c r="D4277" s="12" t="s">
        <v>130</v>
      </c>
      <c r="E4277" s="12" t="s">
        <v>65</v>
      </c>
      <c r="F4277">
        <v>3</v>
      </c>
      <c r="G4277">
        <v>4</v>
      </c>
      <c r="H4277">
        <v>0</v>
      </c>
      <c r="I4277" s="12" t="s">
        <v>251</v>
      </c>
      <c r="J4277" s="12" t="s">
        <v>252</v>
      </c>
      <c r="K4277" s="12" t="s">
        <v>133</v>
      </c>
      <c r="L4277" s="12" t="s">
        <v>69</v>
      </c>
      <c r="M4277">
        <v>34.49</v>
      </c>
      <c r="N4277" s="12" t="s">
        <v>135</v>
      </c>
      <c r="O4277" s="12" t="s">
        <v>136</v>
      </c>
      <c r="P4277" s="12" t="s">
        <v>137</v>
      </c>
      <c r="Q4277" s="13">
        <v>45685</v>
      </c>
      <c r="R4277" s="13">
        <v>45706</v>
      </c>
      <c r="S4277">
        <v>2025</v>
      </c>
      <c r="T4277" s="12" t="s">
        <v>5047</v>
      </c>
      <c r="U4277">
        <v>14</v>
      </c>
      <c r="V4277">
        <v>514.42409999999995</v>
      </c>
      <c r="W4277">
        <v>109.76</v>
      </c>
      <c r="X4277">
        <v>0</v>
      </c>
      <c r="Y4277">
        <v>0</v>
      </c>
      <c r="Z4277">
        <v>7201.94</v>
      </c>
      <c r="AA4277">
        <v>7311.7</v>
      </c>
      <c r="AB4277" s="12" t="s">
        <v>5218</v>
      </c>
      <c r="AC4277">
        <v>514.42409999999995</v>
      </c>
      <c r="AD4277">
        <v>1</v>
      </c>
      <c r="AE4277">
        <v>1</v>
      </c>
      <c r="AF4277">
        <v>0</v>
      </c>
      <c r="AG4277">
        <v>7201.94</v>
      </c>
      <c r="AH4277">
        <v>14</v>
      </c>
      <c r="AI4277">
        <v>14</v>
      </c>
      <c r="AJ4277">
        <v>0</v>
      </c>
      <c r="AK4277">
        <v>1</v>
      </c>
      <c r="AL4277">
        <v>1</v>
      </c>
      <c r="AM4277">
        <v>100</v>
      </c>
      <c r="AN4277">
        <v>522.26409999999998</v>
      </c>
      <c r="AO4277">
        <v>0</v>
      </c>
      <c r="AP4277" s="13">
        <v>45710</v>
      </c>
      <c r="AQ4277">
        <v>4</v>
      </c>
      <c r="AR4277">
        <v>0</v>
      </c>
    </row>
    <row r="4278" spans="1:44" x14ac:dyDescent="0.35">
      <c r="A4278" s="12" t="s">
        <v>5219</v>
      </c>
      <c r="B4278" s="12" t="s">
        <v>519</v>
      </c>
      <c r="C4278" s="12" t="s">
        <v>520</v>
      </c>
      <c r="D4278" s="12" t="s">
        <v>78</v>
      </c>
      <c r="E4278" s="12" t="s">
        <v>65</v>
      </c>
      <c r="F4278">
        <v>2</v>
      </c>
      <c r="G4278">
        <v>3</v>
      </c>
      <c r="H4278">
        <v>0</v>
      </c>
      <c r="I4278" s="12" t="s">
        <v>143</v>
      </c>
      <c r="J4278" s="12" t="s">
        <v>144</v>
      </c>
      <c r="K4278" s="12" t="s">
        <v>133</v>
      </c>
      <c r="L4278" s="12" t="s">
        <v>96</v>
      </c>
      <c r="M4278">
        <v>5.43</v>
      </c>
      <c r="N4278" s="12" t="s">
        <v>70</v>
      </c>
      <c r="O4278" s="12" t="s">
        <v>71</v>
      </c>
      <c r="P4278" s="12" t="s">
        <v>72</v>
      </c>
      <c r="Q4278" s="13">
        <v>45685</v>
      </c>
      <c r="R4278" s="13">
        <v>45721</v>
      </c>
      <c r="S4278">
        <v>2025</v>
      </c>
      <c r="T4278" s="12" t="s">
        <v>5047</v>
      </c>
      <c r="U4278">
        <v>265</v>
      </c>
      <c r="V4278">
        <v>28.369</v>
      </c>
      <c r="W4278">
        <v>94.35</v>
      </c>
      <c r="X4278">
        <v>0</v>
      </c>
      <c r="Y4278">
        <v>0</v>
      </c>
      <c r="Z4278">
        <v>7517.79</v>
      </c>
      <c r="AA4278">
        <v>7612.14</v>
      </c>
      <c r="AB4278" s="12" t="s">
        <v>3130</v>
      </c>
      <c r="AC4278">
        <v>30.1342</v>
      </c>
      <c r="AD4278">
        <v>1</v>
      </c>
      <c r="AE4278">
        <v>1</v>
      </c>
      <c r="AF4278">
        <v>-467.78</v>
      </c>
      <c r="AG4278">
        <v>7985.56</v>
      </c>
      <c r="AH4278">
        <v>265</v>
      </c>
      <c r="AI4278">
        <v>263</v>
      </c>
      <c r="AJ4278">
        <v>2</v>
      </c>
      <c r="AK4278">
        <v>1</v>
      </c>
      <c r="AL4278">
        <v>1</v>
      </c>
      <c r="AM4278">
        <v>99.25</v>
      </c>
      <c r="AN4278">
        <v>28.9435</v>
      </c>
      <c r="AO4278">
        <v>56.74</v>
      </c>
      <c r="AP4278" s="13">
        <v>45719</v>
      </c>
      <c r="AQ4278">
        <v>-2</v>
      </c>
      <c r="AR4278">
        <v>1</v>
      </c>
    </row>
    <row r="4279" spans="1:44" x14ac:dyDescent="0.35">
      <c r="A4279" s="12" t="s">
        <v>5220</v>
      </c>
      <c r="B4279" s="12" t="s">
        <v>173</v>
      </c>
      <c r="C4279" s="12" t="s">
        <v>174</v>
      </c>
      <c r="D4279" s="12" t="s">
        <v>175</v>
      </c>
      <c r="E4279" s="12" t="s">
        <v>104</v>
      </c>
      <c r="F4279">
        <v>3</v>
      </c>
      <c r="G4279">
        <v>1</v>
      </c>
      <c r="H4279">
        <v>0</v>
      </c>
      <c r="I4279" s="12" t="s">
        <v>176</v>
      </c>
      <c r="J4279" s="12" t="s">
        <v>177</v>
      </c>
      <c r="K4279" s="12" t="s">
        <v>125</v>
      </c>
      <c r="L4279" s="12" t="s">
        <v>134</v>
      </c>
      <c r="M4279">
        <v>1.75</v>
      </c>
      <c r="N4279" s="12" t="s">
        <v>107</v>
      </c>
      <c r="O4279" s="12" t="s">
        <v>108</v>
      </c>
      <c r="P4279" s="12" t="s">
        <v>109</v>
      </c>
      <c r="Q4279" s="13">
        <v>45685</v>
      </c>
      <c r="R4279" s="13">
        <v>45711</v>
      </c>
      <c r="S4279">
        <v>2025</v>
      </c>
      <c r="T4279" s="12" t="s">
        <v>5047</v>
      </c>
      <c r="U4279">
        <v>121</v>
      </c>
      <c r="V4279">
        <v>71.519599999999997</v>
      </c>
      <c r="W4279">
        <v>112.97</v>
      </c>
      <c r="X4279">
        <v>271.02999999999997</v>
      </c>
      <c r="Y4279">
        <v>1</v>
      </c>
      <c r="Z4279">
        <v>8653.8700000000008</v>
      </c>
      <c r="AA4279">
        <v>9037.8700000000008</v>
      </c>
      <c r="AB4279" s="12" t="s">
        <v>5221</v>
      </c>
      <c r="AC4279">
        <v>71.519599999999997</v>
      </c>
      <c r="AD4279">
        <v>1</v>
      </c>
      <c r="AE4279">
        <v>1</v>
      </c>
      <c r="AF4279">
        <v>0</v>
      </c>
      <c r="AG4279">
        <v>8653.8700000000008</v>
      </c>
      <c r="AH4279">
        <v>121</v>
      </c>
      <c r="AI4279">
        <v>120</v>
      </c>
      <c r="AJ4279">
        <v>1</v>
      </c>
      <c r="AK4279">
        <v>1</v>
      </c>
      <c r="AL4279">
        <v>1</v>
      </c>
      <c r="AM4279">
        <v>99.17</v>
      </c>
      <c r="AN4279">
        <v>75.315600000000003</v>
      </c>
      <c r="AO4279">
        <v>71.52</v>
      </c>
      <c r="AP4279" s="13">
        <v>45708</v>
      </c>
      <c r="AQ4279">
        <v>-3</v>
      </c>
      <c r="AR4279">
        <v>1</v>
      </c>
    </row>
    <row r="4280" spans="1:44" x14ac:dyDescent="0.35">
      <c r="A4280" s="12" t="s">
        <v>5222</v>
      </c>
      <c r="B4280" s="12" t="s">
        <v>809</v>
      </c>
      <c r="C4280" s="12" t="s">
        <v>810</v>
      </c>
      <c r="D4280" s="12" t="s">
        <v>114</v>
      </c>
      <c r="E4280" s="12" t="s">
        <v>65</v>
      </c>
      <c r="F4280">
        <v>3</v>
      </c>
      <c r="G4280">
        <v>5</v>
      </c>
      <c r="H4280">
        <v>0</v>
      </c>
      <c r="I4280" s="12" t="s">
        <v>804</v>
      </c>
      <c r="J4280" s="12" t="s">
        <v>342</v>
      </c>
      <c r="K4280" s="12" t="s">
        <v>117</v>
      </c>
      <c r="L4280" s="12" t="s">
        <v>69</v>
      </c>
      <c r="M4280">
        <v>30.07</v>
      </c>
      <c r="N4280" s="12" t="s">
        <v>70</v>
      </c>
      <c r="O4280" s="12" t="s">
        <v>71</v>
      </c>
      <c r="P4280" s="12" t="s">
        <v>72</v>
      </c>
      <c r="Q4280" s="13">
        <v>45685</v>
      </c>
      <c r="R4280" s="13">
        <v>45715</v>
      </c>
      <c r="S4280">
        <v>2025</v>
      </c>
      <c r="T4280" s="12" t="s">
        <v>5047</v>
      </c>
      <c r="U4280">
        <v>83</v>
      </c>
      <c r="V4280">
        <v>325.50650000000002</v>
      </c>
      <c r="W4280">
        <v>188.98</v>
      </c>
      <c r="X4280">
        <v>0</v>
      </c>
      <c r="Y4280">
        <v>0</v>
      </c>
      <c r="Z4280">
        <v>27017.040000000001</v>
      </c>
      <c r="AA4280">
        <v>27206.02</v>
      </c>
      <c r="AB4280" s="12" t="s">
        <v>3416</v>
      </c>
      <c r="AC4280">
        <v>312.78919999999999</v>
      </c>
      <c r="AD4280">
        <v>1</v>
      </c>
      <c r="AE4280">
        <v>1</v>
      </c>
      <c r="AF4280">
        <v>1055.54</v>
      </c>
      <c r="AG4280">
        <v>25961.5</v>
      </c>
      <c r="AH4280">
        <v>83</v>
      </c>
      <c r="AI4280">
        <v>82</v>
      </c>
      <c r="AJ4280">
        <v>1</v>
      </c>
      <c r="AK4280">
        <v>1</v>
      </c>
      <c r="AL4280">
        <v>1</v>
      </c>
      <c r="AM4280">
        <v>98.8</v>
      </c>
      <c r="AN4280">
        <v>331.78070000000002</v>
      </c>
      <c r="AO4280">
        <v>325.51</v>
      </c>
      <c r="AP4280" s="13">
        <v>45724</v>
      </c>
      <c r="AQ4280">
        <v>9</v>
      </c>
      <c r="AR4280">
        <v>0</v>
      </c>
    </row>
    <row r="4281" spans="1:44" x14ac:dyDescent="0.35">
      <c r="A4281" s="12" t="s">
        <v>5223</v>
      </c>
      <c r="B4281" s="12" t="s">
        <v>458</v>
      </c>
      <c r="C4281" s="12" t="s">
        <v>459</v>
      </c>
      <c r="D4281" s="12" t="s">
        <v>64</v>
      </c>
      <c r="E4281" s="12" t="s">
        <v>104</v>
      </c>
      <c r="F4281">
        <v>2</v>
      </c>
      <c r="G4281">
        <v>0</v>
      </c>
      <c r="H4281">
        <v>0</v>
      </c>
      <c r="I4281" s="12" t="s">
        <v>199</v>
      </c>
      <c r="J4281" s="12" t="s">
        <v>200</v>
      </c>
      <c r="K4281" s="12" t="s">
        <v>68</v>
      </c>
      <c r="L4281" s="12" t="s">
        <v>96</v>
      </c>
      <c r="M4281">
        <v>9.4700000000000006</v>
      </c>
      <c r="N4281" s="12" t="s">
        <v>97</v>
      </c>
      <c r="O4281" s="12" t="s">
        <v>98</v>
      </c>
      <c r="P4281" s="12" t="s">
        <v>72</v>
      </c>
      <c r="Q4281" s="13">
        <v>45685</v>
      </c>
      <c r="R4281" s="13">
        <v>45713</v>
      </c>
      <c r="S4281">
        <v>2025</v>
      </c>
      <c r="T4281" s="12" t="s">
        <v>5047</v>
      </c>
      <c r="U4281">
        <v>949</v>
      </c>
      <c r="V4281">
        <v>23.0014</v>
      </c>
      <c r="W4281">
        <v>244.68</v>
      </c>
      <c r="X4281">
        <v>0</v>
      </c>
      <c r="Y4281">
        <v>0</v>
      </c>
      <c r="Z4281">
        <v>21828.33</v>
      </c>
      <c r="AA4281">
        <v>22073.01</v>
      </c>
      <c r="AB4281" s="12" t="s">
        <v>3341</v>
      </c>
      <c r="AC4281">
        <v>23.0014</v>
      </c>
      <c r="AD4281">
        <v>1</v>
      </c>
      <c r="AE4281">
        <v>1</v>
      </c>
      <c r="AF4281">
        <v>0</v>
      </c>
      <c r="AG4281">
        <v>21828.33</v>
      </c>
      <c r="AH4281">
        <v>949</v>
      </c>
      <c r="AI4281">
        <v>938</v>
      </c>
      <c r="AJ4281">
        <v>11</v>
      </c>
      <c r="AK4281">
        <v>1</v>
      </c>
      <c r="AL4281">
        <v>1</v>
      </c>
      <c r="AM4281">
        <v>98.84</v>
      </c>
      <c r="AN4281">
        <v>23.532</v>
      </c>
      <c r="AO4281">
        <v>253.02</v>
      </c>
      <c r="AP4281" s="13">
        <v>45713</v>
      </c>
      <c r="AQ4281">
        <v>0</v>
      </c>
      <c r="AR4281">
        <v>1</v>
      </c>
    </row>
    <row r="4282" spans="1:44" x14ac:dyDescent="0.35">
      <c r="A4282" s="12" t="s">
        <v>5224</v>
      </c>
      <c r="B4282" s="12" t="s">
        <v>869</v>
      </c>
      <c r="C4282" s="12" t="s">
        <v>870</v>
      </c>
      <c r="D4282" s="12" t="s">
        <v>130</v>
      </c>
      <c r="E4282" s="12" t="s">
        <v>104</v>
      </c>
      <c r="F4282">
        <v>2</v>
      </c>
      <c r="G4282">
        <v>0</v>
      </c>
      <c r="H4282">
        <v>0</v>
      </c>
      <c r="I4282" s="12" t="s">
        <v>359</v>
      </c>
      <c r="J4282" s="12" t="s">
        <v>360</v>
      </c>
      <c r="K4282" s="12" t="s">
        <v>133</v>
      </c>
      <c r="L4282" s="12" t="s">
        <v>82</v>
      </c>
      <c r="M4282">
        <v>12.65</v>
      </c>
      <c r="N4282" s="12" t="s">
        <v>159</v>
      </c>
      <c r="O4282" s="12" t="s">
        <v>160</v>
      </c>
      <c r="P4282" s="12" t="s">
        <v>137</v>
      </c>
      <c r="Q4282" s="13">
        <v>45685</v>
      </c>
      <c r="R4282" s="13">
        <v>45707</v>
      </c>
      <c r="S4282">
        <v>2025</v>
      </c>
      <c r="T4282" s="12" t="s">
        <v>5047</v>
      </c>
      <c r="U4282">
        <v>92</v>
      </c>
      <c r="V4282">
        <v>583.22540000000004</v>
      </c>
      <c r="W4282">
        <v>385.5</v>
      </c>
      <c r="X4282">
        <v>0</v>
      </c>
      <c r="Y4282">
        <v>0</v>
      </c>
      <c r="Z4282">
        <v>53656.74</v>
      </c>
      <c r="AA4282">
        <v>54042.239999999998</v>
      </c>
      <c r="AB4282" s="12" t="s">
        <v>4147</v>
      </c>
      <c r="AC4282">
        <v>583.22540000000004</v>
      </c>
      <c r="AD4282">
        <v>1</v>
      </c>
      <c r="AE4282">
        <v>1</v>
      </c>
      <c r="AF4282">
        <v>0</v>
      </c>
      <c r="AG4282">
        <v>53656.74</v>
      </c>
      <c r="AH4282">
        <v>92</v>
      </c>
      <c r="AI4282">
        <v>91</v>
      </c>
      <c r="AJ4282">
        <v>1</v>
      </c>
      <c r="AK4282">
        <v>1</v>
      </c>
      <c r="AL4282">
        <v>1</v>
      </c>
      <c r="AM4282">
        <v>98.91</v>
      </c>
      <c r="AN4282">
        <v>593.87070000000006</v>
      </c>
      <c r="AO4282">
        <v>583.23</v>
      </c>
      <c r="AP4282" s="13">
        <v>45705</v>
      </c>
      <c r="AQ4282">
        <v>-2</v>
      </c>
      <c r="AR4282">
        <v>1</v>
      </c>
    </row>
    <row r="4283" spans="1:44" x14ac:dyDescent="0.35">
      <c r="A4283" s="12" t="s">
        <v>5225</v>
      </c>
      <c r="B4283" s="12" t="s">
        <v>1166</v>
      </c>
      <c r="C4283" s="12" t="s">
        <v>1167</v>
      </c>
      <c r="D4283" s="12" t="s">
        <v>175</v>
      </c>
      <c r="E4283" s="12" t="s">
        <v>65</v>
      </c>
      <c r="F4283">
        <v>3</v>
      </c>
      <c r="G4283">
        <v>5</v>
      </c>
      <c r="H4283">
        <v>0</v>
      </c>
      <c r="I4283" s="12" t="s">
        <v>143</v>
      </c>
      <c r="J4283" s="12" t="s">
        <v>144</v>
      </c>
      <c r="K4283" s="12" t="s">
        <v>133</v>
      </c>
      <c r="L4283" s="12" t="s">
        <v>96</v>
      </c>
      <c r="M4283">
        <v>5.43</v>
      </c>
      <c r="N4283" s="12" t="s">
        <v>145</v>
      </c>
      <c r="O4283" s="12" t="s">
        <v>146</v>
      </c>
      <c r="P4283" s="12" t="s">
        <v>109</v>
      </c>
      <c r="Q4283" s="13">
        <v>45685</v>
      </c>
      <c r="R4283" s="13">
        <v>45713</v>
      </c>
      <c r="S4283">
        <v>2025</v>
      </c>
      <c r="T4283" s="12" t="s">
        <v>5047</v>
      </c>
      <c r="U4283">
        <v>68</v>
      </c>
      <c r="V4283">
        <v>233.8741</v>
      </c>
      <c r="W4283">
        <v>297.95999999999998</v>
      </c>
      <c r="X4283">
        <v>0</v>
      </c>
      <c r="Y4283">
        <v>0</v>
      </c>
      <c r="Z4283">
        <v>15903.44</v>
      </c>
      <c r="AA4283">
        <v>16201.4</v>
      </c>
      <c r="AB4283" s="12" t="s">
        <v>201</v>
      </c>
      <c r="AD4283">
        <v>0</v>
      </c>
      <c r="AE4283">
        <v>0</v>
      </c>
      <c r="AH4283">
        <v>68</v>
      </c>
      <c r="AI4283">
        <v>67</v>
      </c>
      <c r="AJ4283">
        <v>1</v>
      </c>
      <c r="AK4283">
        <v>1</v>
      </c>
      <c r="AL4283">
        <v>1</v>
      </c>
      <c r="AM4283">
        <v>98.53</v>
      </c>
      <c r="AN4283">
        <v>241.81190000000001</v>
      </c>
      <c r="AO4283">
        <v>233.87</v>
      </c>
      <c r="AP4283" s="13">
        <v>45722</v>
      </c>
      <c r="AQ4283">
        <v>9</v>
      </c>
      <c r="AR4283">
        <v>0</v>
      </c>
    </row>
    <row r="4284" spans="1:44" x14ac:dyDescent="0.35">
      <c r="A4284" s="12" t="s">
        <v>5226</v>
      </c>
      <c r="B4284" s="12" t="s">
        <v>787</v>
      </c>
      <c r="C4284" s="12" t="s">
        <v>788</v>
      </c>
      <c r="D4284" s="12" t="s">
        <v>269</v>
      </c>
      <c r="E4284" s="12" t="s">
        <v>65</v>
      </c>
      <c r="F4284">
        <v>2</v>
      </c>
      <c r="G4284">
        <v>3</v>
      </c>
      <c r="H4284">
        <v>0</v>
      </c>
      <c r="I4284" s="12" t="s">
        <v>263</v>
      </c>
      <c r="J4284" s="12" t="s">
        <v>264</v>
      </c>
      <c r="K4284" s="12" t="s">
        <v>125</v>
      </c>
      <c r="L4284" s="12" t="s">
        <v>82</v>
      </c>
      <c r="M4284">
        <v>10.210000000000001</v>
      </c>
      <c r="N4284" s="12" t="s">
        <v>159</v>
      </c>
      <c r="O4284" s="12" t="s">
        <v>160</v>
      </c>
      <c r="P4284" s="12" t="s">
        <v>137</v>
      </c>
      <c r="Q4284" s="13">
        <v>45685</v>
      </c>
      <c r="R4284" s="13">
        <v>45713</v>
      </c>
      <c r="S4284">
        <v>2025</v>
      </c>
      <c r="T4284" s="12" t="s">
        <v>5047</v>
      </c>
      <c r="U4284">
        <v>70</v>
      </c>
      <c r="V4284">
        <v>322.4162</v>
      </c>
      <c r="W4284">
        <v>181.74</v>
      </c>
      <c r="X4284">
        <v>0</v>
      </c>
      <c r="Y4284">
        <v>0</v>
      </c>
      <c r="Z4284">
        <v>22569.13</v>
      </c>
      <c r="AA4284">
        <v>22750.87</v>
      </c>
      <c r="AB4284" s="12" t="s">
        <v>3502</v>
      </c>
      <c r="AC4284">
        <v>322.4162</v>
      </c>
      <c r="AD4284">
        <v>1</v>
      </c>
      <c r="AE4284">
        <v>1</v>
      </c>
      <c r="AF4284">
        <v>0</v>
      </c>
      <c r="AG4284">
        <v>22569.13</v>
      </c>
      <c r="AH4284">
        <v>70</v>
      </c>
      <c r="AI4284">
        <v>70</v>
      </c>
      <c r="AJ4284">
        <v>0</v>
      </c>
      <c r="AK4284">
        <v>1</v>
      </c>
      <c r="AL4284">
        <v>1</v>
      </c>
      <c r="AM4284">
        <v>100</v>
      </c>
      <c r="AN4284">
        <v>325.01249999999999</v>
      </c>
      <c r="AO4284">
        <v>0</v>
      </c>
      <c r="AP4284" s="13">
        <v>45713</v>
      </c>
      <c r="AQ4284">
        <v>0</v>
      </c>
      <c r="AR4284">
        <v>1</v>
      </c>
    </row>
    <row r="4285" spans="1:44" x14ac:dyDescent="0.35">
      <c r="A4285" s="12" t="s">
        <v>5227</v>
      </c>
      <c r="B4285" s="12" t="s">
        <v>537</v>
      </c>
      <c r="C4285" s="12" t="s">
        <v>538</v>
      </c>
      <c r="D4285" s="12" t="s">
        <v>103</v>
      </c>
      <c r="E4285" s="12" t="s">
        <v>104</v>
      </c>
      <c r="F4285">
        <v>3</v>
      </c>
      <c r="G4285">
        <v>0</v>
      </c>
      <c r="H4285">
        <v>0</v>
      </c>
      <c r="I4285" s="12" t="s">
        <v>380</v>
      </c>
      <c r="J4285" s="12" t="s">
        <v>381</v>
      </c>
      <c r="K4285" s="12" t="s">
        <v>89</v>
      </c>
      <c r="L4285" s="12" t="s">
        <v>96</v>
      </c>
      <c r="M4285">
        <v>10.210000000000001</v>
      </c>
      <c r="N4285" s="12" t="s">
        <v>107</v>
      </c>
      <c r="O4285" s="12" t="s">
        <v>108</v>
      </c>
      <c r="P4285" s="12" t="s">
        <v>109</v>
      </c>
      <c r="Q4285" s="13">
        <v>45686</v>
      </c>
      <c r="R4285" s="13">
        <v>45704</v>
      </c>
      <c r="S4285">
        <v>2025</v>
      </c>
      <c r="T4285" s="12" t="s">
        <v>5047</v>
      </c>
      <c r="U4285">
        <v>58</v>
      </c>
      <c r="V4285">
        <v>242.5198</v>
      </c>
      <c r="W4285">
        <v>107.65</v>
      </c>
      <c r="X4285">
        <v>0</v>
      </c>
      <c r="Y4285">
        <v>0</v>
      </c>
      <c r="Z4285">
        <v>14066.15</v>
      </c>
      <c r="AA4285">
        <v>14173.8</v>
      </c>
      <c r="AB4285" s="12" t="s">
        <v>3095</v>
      </c>
      <c r="AC4285">
        <v>242.5198</v>
      </c>
      <c r="AD4285">
        <v>1</v>
      </c>
      <c r="AE4285">
        <v>1</v>
      </c>
      <c r="AF4285">
        <v>0</v>
      </c>
      <c r="AG4285">
        <v>14066.15</v>
      </c>
      <c r="AH4285">
        <v>58</v>
      </c>
      <c r="AI4285">
        <v>57</v>
      </c>
      <c r="AJ4285">
        <v>1</v>
      </c>
      <c r="AK4285">
        <v>1</v>
      </c>
      <c r="AL4285">
        <v>1</v>
      </c>
      <c r="AM4285">
        <v>98.28</v>
      </c>
      <c r="AN4285">
        <v>248.66309999999999</v>
      </c>
      <c r="AO4285">
        <v>242.52</v>
      </c>
      <c r="AP4285" s="13">
        <v>45704</v>
      </c>
      <c r="AQ4285">
        <v>0</v>
      </c>
      <c r="AR4285">
        <v>1</v>
      </c>
    </row>
    <row r="4286" spans="1:44" x14ac:dyDescent="0.35">
      <c r="A4286" s="12" t="s">
        <v>5228</v>
      </c>
      <c r="B4286" s="12" t="s">
        <v>1108</v>
      </c>
      <c r="C4286" s="12" t="s">
        <v>1109</v>
      </c>
      <c r="D4286" s="12" t="s">
        <v>103</v>
      </c>
      <c r="E4286" s="12" t="s">
        <v>65</v>
      </c>
      <c r="F4286">
        <v>3</v>
      </c>
      <c r="G4286">
        <v>4</v>
      </c>
      <c r="H4286">
        <v>0</v>
      </c>
      <c r="I4286" s="12" t="s">
        <v>79</v>
      </c>
      <c r="J4286" s="12" t="s">
        <v>80</v>
      </c>
      <c r="K4286" s="12" t="s">
        <v>81</v>
      </c>
      <c r="L4286" s="12" t="s">
        <v>82</v>
      </c>
      <c r="M4286">
        <v>12.07</v>
      </c>
      <c r="N4286" s="12" t="s">
        <v>107</v>
      </c>
      <c r="O4286" s="12" t="s">
        <v>108</v>
      </c>
      <c r="P4286" s="12" t="s">
        <v>109</v>
      </c>
      <c r="Q4286" s="13">
        <v>45686</v>
      </c>
      <c r="R4286" s="13">
        <v>45723</v>
      </c>
      <c r="S4286">
        <v>2025</v>
      </c>
      <c r="T4286" s="12" t="s">
        <v>5047</v>
      </c>
      <c r="U4286">
        <v>137</v>
      </c>
      <c r="V4286">
        <v>85.889600000000002</v>
      </c>
      <c r="W4286">
        <v>239.59</v>
      </c>
      <c r="X4286">
        <v>0</v>
      </c>
      <c r="Y4286">
        <v>0</v>
      </c>
      <c r="Z4286">
        <v>11766.88</v>
      </c>
      <c r="AA4286">
        <v>12006.47</v>
      </c>
      <c r="AB4286" s="12" t="s">
        <v>3269</v>
      </c>
      <c r="AC4286">
        <v>85.889600000000002</v>
      </c>
      <c r="AD4286">
        <v>1</v>
      </c>
      <c r="AE4286">
        <v>1</v>
      </c>
      <c r="AF4286">
        <v>0</v>
      </c>
      <c r="AG4286">
        <v>11766.88</v>
      </c>
      <c r="AH4286">
        <v>137</v>
      </c>
      <c r="AI4286">
        <v>136</v>
      </c>
      <c r="AJ4286">
        <v>1</v>
      </c>
      <c r="AK4286">
        <v>1</v>
      </c>
      <c r="AL4286">
        <v>1</v>
      </c>
      <c r="AM4286">
        <v>99.27</v>
      </c>
      <c r="AN4286">
        <v>88.282799999999995</v>
      </c>
      <c r="AO4286">
        <v>85.89</v>
      </c>
      <c r="AP4286" s="13">
        <v>45722</v>
      </c>
      <c r="AQ4286">
        <v>-1</v>
      </c>
      <c r="AR4286">
        <v>1</v>
      </c>
    </row>
    <row r="4287" spans="1:44" x14ac:dyDescent="0.35">
      <c r="A4287" s="12" t="s">
        <v>5229</v>
      </c>
      <c r="B4287" s="12" t="s">
        <v>472</v>
      </c>
      <c r="C4287" s="12" t="s">
        <v>473</v>
      </c>
      <c r="D4287" s="12" t="s">
        <v>122</v>
      </c>
      <c r="E4287" s="12" t="s">
        <v>142</v>
      </c>
      <c r="F4287">
        <v>2</v>
      </c>
      <c r="G4287">
        <v>9</v>
      </c>
      <c r="H4287">
        <v>0</v>
      </c>
      <c r="I4287" s="12" t="s">
        <v>209</v>
      </c>
      <c r="J4287" s="12" t="s">
        <v>210</v>
      </c>
      <c r="K4287" s="12" t="s">
        <v>133</v>
      </c>
      <c r="L4287" s="12" t="s">
        <v>96</v>
      </c>
      <c r="M4287">
        <v>7.82</v>
      </c>
      <c r="N4287" s="12" t="s">
        <v>97</v>
      </c>
      <c r="O4287" s="12" t="s">
        <v>98</v>
      </c>
      <c r="P4287" s="12" t="s">
        <v>72</v>
      </c>
      <c r="Q4287" s="13">
        <v>45686</v>
      </c>
      <c r="R4287" s="13">
        <v>45733</v>
      </c>
      <c r="S4287">
        <v>2025</v>
      </c>
      <c r="T4287" s="12" t="s">
        <v>5047</v>
      </c>
      <c r="U4287">
        <v>1442</v>
      </c>
      <c r="V4287">
        <v>46.789099999999998</v>
      </c>
      <c r="W4287">
        <v>684.8</v>
      </c>
      <c r="X4287">
        <v>0</v>
      </c>
      <c r="Y4287">
        <v>0</v>
      </c>
      <c r="Z4287">
        <v>67469.88</v>
      </c>
      <c r="AA4287">
        <v>68154.679999999993</v>
      </c>
      <c r="AB4287" s="12" t="s">
        <v>2966</v>
      </c>
      <c r="AC4287">
        <v>46.789099999999998</v>
      </c>
      <c r="AD4287">
        <v>1</v>
      </c>
      <c r="AE4287">
        <v>1</v>
      </c>
      <c r="AF4287">
        <v>0</v>
      </c>
      <c r="AG4287">
        <v>67469.88</v>
      </c>
      <c r="AH4287">
        <v>1442</v>
      </c>
      <c r="AI4287">
        <v>1426</v>
      </c>
      <c r="AJ4287">
        <v>16</v>
      </c>
      <c r="AK4287">
        <v>1</v>
      </c>
      <c r="AL4287">
        <v>1</v>
      </c>
      <c r="AM4287">
        <v>98.89</v>
      </c>
      <c r="AN4287">
        <v>47.7943</v>
      </c>
      <c r="AO4287">
        <v>748.63</v>
      </c>
      <c r="AP4287" s="13">
        <v>45732</v>
      </c>
      <c r="AQ4287">
        <v>-1</v>
      </c>
      <c r="AR4287">
        <v>1</v>
      </c>
    </row>
    <row r="4288" spans="1:44" x14ac:dyDescent="0.35">
      <c r="A4288" s="12" t="s">
        <v>5230</v>
      </c>
      <c r="B4288" s="12" t="s">
        <v>685</v>
      </c>
      <c r="C4288" s="12" t="s">
        <v>686</v>
      </c>
      <c r="D4288" s="12" t="s">
        <v>175</v>
      </c>
      <c r="E4288" s="12" t="s">
        <v>104</v>
      </c>
      <c r="F4288">
        <v>2</v>
      </c>
      <c r="G4288">
        <v>0</v>
      </c>
      <c r="H4288">
        <v>0</v>
      </c>
      <c r="I4288" s="12" t="s">
        <v>243</v>
      </c>
      <c r="J4288" s="12" t="s">
        <v>244</v>
      </c>
      <c r="K4288" s="12" t="s">
        <v>81</v>
      </c>
      <c r="L4288" s="12" t="s">
        <v>82</v>
      </c>
      <c r="M4288">
        <v>9.2200000000000006</v>
      </c>
      <c r="N4288" s="12" t="s">
        <v>145</v>
      </c>
      <c r="O4288" s="12" t="s">
        <v>146</v>
      </c>
      <c r="P4288" s="12" t="s">
        <v>109</v>
      </c>
      <c r="Q4288" s="13">
        <v>45686</v>
      </c>
      <c r="R4288" s="13">
        <v>45711</v>
      </c>
      <c r="S4288">
        <v>2025</v>
      </c>
      <c r="T4288" s="12" t="s">
        <v>5047</v>
      </c>
      <c r="U4288">
        <v>111</v>
      </c>
      <c r="V4288">
        <v>242.7379</v>
      </c>
      <c r="W4288">
        <v>644.87</v>
      </c>
      <c r="X4288">
        <v>0</v>
      </c>
      <c r="Y4288">
        <v>0</v>
      </c>
      <c r="Z4288">
        <v>26943.91</v>
      </c>
      <c r="AA4288">
        <v>27588.78</v>
      </c>
      <c r="AB4288" s="12" t="s">
        <v>201</v>
      </c>
      <c r="AD4288">
        <v>0</v>
      </c>
      <c r="AE4288">
        <v>0</v>
      </c>
      <c r="AH4288">
        <v>111</v>
      </c>
      <c r="AI4288">
        <v>110</v>
      </c>
      <c r="AJ4288">
        <v>1</v>
      </c>
      <c r="AK4288">
        <v>1</v>
      </c>
      <c r="AL4288">
        <v>1</v>
      </c>
      <c r="AM4288">
        <v>99.1</v>
      </c>
      <c r="AN4288">
        <v>250.80709999999999</v>
      </c>
      <c r="AO4288">
        <v>242.74</v>
      </c>
      <c r="AP4288" s="13">
        <v>45711</v>
      </c>
      <c r="AQ4288">
        <v>0</v>
      </c>
      <c r="AR4288">
        <v>1</v>
      </c>
    </row>
    <row r="4289" spans="1:44" x14ac:dyDescent="0.35">
      <c r="A4289" s="12" t="s">
        <v>5231</v>
      </c>
      <c r="B4289" s="12" t="s">
        <v>167</v>
      </c>
      <c r="C4289" s="12" t="s">
        <v>168</v>
      </c>
      <c r="D4289" s="12" t="s">
        <v>64</v>
      </c>
      <c r="E4289" s="12" t="s">
        <v>104</v>
      </c>
      <c r="F4289">
        <v>3</v>
      </c>
      <c r="G4289">
        <v>1</v>
      </c>
      <c r="H4289">
        <v>0</v>
      </c>
      <c r="I4289" s="12" t="s">
        <v>169</v>
      </c>
      <c r="J4289" s="12" t="s">
        <v>170</v>
      </c>
      <c r="K4289" s="12" t="s">
        <v>89</v>
      </c>
      <c r="L4289" s="12" t="s">
        <v>134</v>
      </c>
      <c r="M4289">
        <v>1.37</v>
      </c>
      <c r="N4289" s="12" t="s">
        <v>70</v>
      </c>
      <c r="O4289" s="12" t="s">
        <v>71</v>
      </c>
      <c r="P4289" s="12" t="s">
        <v>72</v>
      </c>
      <c r="Q4289" s="13">
        <v>45686</v>
      </c>
      <c r="R4289" s="13">
        <v>45703</v>
      </c>
      <c r="S4289">
        <v>2025</v>
      </c>
      <c r="T4289" s="12" t="s">
        <v>5047</v>
      </c>
      <c r="U4289">
        <v>386</v>
      </c>
      <c r="V4289">
        <v>23.097899999999999</v>
      </c>
      <c r="W4289">
        <v>179.8</v>
      </c>
      <c r="X4289">
        <v>0</v>
      </c>
      <c r="Y4289">
        <v>0</v>
      </c>
      <c r="Z4289">
        <v>8915.7900000000009</v>
      </c>
      <c r="AA4289">
        <v>9095.59</v>
      </c>
      <c r="AB4289" s="12" t="s">
        <v>5232</v>
      </c>
      <c r="AC4289">
        <v>24.557099999999998</v>
      </c>
      <c r="AD4289">
        <v>1</v>
      </c>
      <c r="AE4289">
        <v>1</v>
      </c>
      <c r="AF4289">
        <v>-563.25</v>
      </c>
      <c r="AG4289">
        <v>9479.0400000000009</v>
      </c>
      <c r="AH4289">
        <v>386</v>
      </c>
      <c r="AI4289">
        <v>381</v>
      </c>
      <c r="AJ4289">
        <v>5</v>
      </c>
      <c r="AK4289">
        <v>1</v>
      </c>
      <c r="AL4289">
        <v>1</v>
      </c>
      <c r="AM4289">
        <v>98.7</v>
      </c>
      <c r="AN4289">
        <v>23.872900000000001</v>
      </c>
      <c r="AO4289">
        <v>115.49</v>
      </c>
      <c r="AP4289" s="13">
        <v>45700</v>
      </c>
      <c r="AQ4289">
        <v>-3</v>
      </c>
      <c r="AR4289">
        <v>1</v>
      </c>
    </row>
    <row r="4290" spans="1:44" x14ac:dyDescent="0.35">
      <c r="A4290" s="12" t="s">
        <v>5233</v>
      </c>
      <c r="B4290" s="12" t="s">
        <v>331</v>
      </c>
      <c r="C4290" s="12" t="s">
        <v>332</v>
      </c>
      <c r="D4290" s="12" t="s">
        <v>122</v>
      </c>
      <c r="E4290" s="12" t="s">
        <v>142</v>
      </c>
      <c r="F4290">
        <v>3</v>
      </c>
      <c r="G4290">
        <v>11</v>
      </c>
      <c r="H4290">
        <v>0</v>
      </c>
      <c r="I4290" s="12" t="s">
        <v>263</v>
      </c>
      <c r="J4290" s="12" t="s">
        <v>264</v>
      </c>
      <c r="K4290" s="12" t="s">
        <v>125</v>
      </c>
      <c r="L4290" s="12" t="s">
        <v>82</v>
      </c>
      <c r="M4290">
        <v>10.210000000000001</v>
      </c>
      <c r="N4290" s="12" t="s">
        <v>70</v>
      </c>
      <c r="O4290" s="12" t="s">
        <v>71</v>
      </c>
      <c r="P4290" s="12" t="s">
        <v>72</v>
      </c>
      <c r="Q4290" s="13">
        <v>45686</v>
      </c>
      <c r="R4290" s="13">
        <v>45729</v>
      </c>
      <c r="S4290">
        <v>2025</v>
      </c>
      <c r="T4290" s="12" t="s">
        <v>5047</v>
      </c>
      <c r="U4290">
        <v>1073</v>
      </c>
      <c r="V4290">
        <v>23.664999999999999</v>
      </c>
      <c r="W4290">
        <v>464.79</v>
      </c>
      <c r="X4290">
        <v>0</v>
      </c>
      <c r="Y4290">
        <v>0</v>
      </c>
      <c r="Z4290">
        <v>25392.55</v>
      </c>
      <c r="AA4290">
        <v>25857.34</v>
      </c>
      <c r="AB4290" s="12" t="s">
        <v>5234</v>
      </c>
      <c r="AC4290">
        <v>23.006</v>
      </c>
      <c r="AD4290">
        <v>1</v>
      </c>
      <c r="AE4290">
        <v>1</v>
      </c>
      <c r="AF4290">
        <v>707.11</v>
      </c>
      <c r="AG4290">
        <v>24685.439999999999</v>
      </c>
      <c r="AH4290">
        <v>1073</v>
      </c>
      <c r="AI4290">
        <v>1067</v>
      </c>
      <c r="AJ4290">
        <v>6</v>
      </c>
      <c r="AK4290">
        <v>1</v>
      </c>
      <c r="AL4290">
        <v>1</v>
      </c>
      <c r="AM4290">
        <v>99.44</v>
      </c>
      <c r="AN4290">
        <v>24.233699999999999</v>
      </c>
      <c r="AO4290">
        <v>141.99</v>
      </c>
      <c r="AP4290" s="13">
        <v>45728</v>
      </c>
      <c r="AQ4290">
        <v>-1</v>
      </c>
      <c r="AR4290">
        <v>1</v>
      </c>
    </row>
    <row r="4291" spans="1:44" x14ac:dyDescent="0.35">
      <c r="A4291" s="12" t="s">
        <v>5235</v>
      </c>
      <c r="B4291" s="12" t="s">
        <v>289</v>
      </c>
      <c r="C4291" s="12" t="s">
        <v>290</v>
      </c>
      <c r="D4291" s="12" t="s">
        <v>175</v>
      </c>
      <c r="E4291" s="12" t="s">
        <v>104</v>
      </c>
      <c r="F4291">
        <v>3</v>
      </c>
      <c r="G4291">
        <v>1</v>
      </c>
      <c r="H4291">
        <v>0</v>
      </c>
      <c r="I4291" s="12" t="s">
        <v>157</v>
      </c>
      <c r="J4291" s="12" t="s">
        <v>158</v>
      </c>
      <c r="K4291" s="12" t="s">
        <v>117</v>
      </c>
      <c r="L4291" s="12" t="s">
        <v>96</v>
      </c>
      <c r="M4291">
        <v>4.72</v>
      </c>
      <c r="N4291" s="12" t="s">
        <v>145</v>
      </c>
      <c r="O4291" s="12" t="s">
        <v>146</v>
      </c>
      <c r="P4291" s="12" t="s">
        <v>109</v>
      </c>
      <c r="Q4291" s="13">
        <v>45686</v>
      </c>
      <c r="R4291" s="13">
        <v>45698</v>
      </c>
      <c r="S4291">
        <v>2025</v>
      </c>
      <c r="T4291" s="12" t="s">
        <v>5047</v>
      </c>
      <c r="U4291">
        <v>10</v>
      </c>
      <c r="V4291">
        <v>197.4922</v>
      </c>
      <c r="W4291">
        <v>17.79</v>
      </c>
      <c r="X4291">
        <v>0</v>
      </c>
      <c r="Y4291">
        <v>0</v>
      </c>
      <c r="Z4291">
        <v>1974.92</v>
      </c>
      <c r="AA4291">
        <v>1992.71</v>
      </c>
      <c r="AB4291" s="12" t="s">
        <v>201</v>
      </c>
      <c r="AD4291">
        <v>0</v>
      </c>
      <c r="AE4291">
        <v>0</v>
      </c>
      <c r="AH4291">
        <v>10</v>
      </c>
      <c r="AI4291">
        <v>10</v>
      </c>
      <c r="AJ4291">
        <v>0</v>
      </c>
      <c r="AK4291">
        <v>1</v>
      </c>
      <c r="AL4291">
        <v>1</v>
      </c>
      <c r="AM4291">
        <v>100</v>
      </c>
      <c r="AN4291">
        <v>199.27119999999999</v>
      </c>
      <c r="AO4291">
        <v>0</v>
      </c>
      <c r="AP4291" s="13">
        <v>45696</v>
      </c>
      <c r="AQ4291">
        <v>-2</v>
      </c>
      <c r="AR4291">
        <v>1</v>
      </c>
    </row>
    <row r="4292" spans="1:44" x14ac:dyDescent="0.35">
      <c r="A4292" s="12" t="s">
        <v>5236</v>
      </c>
      <c r="B4292" s="12" t="s">
        <v>1013</v>
      </c>
      <c r="C4292" s="12" t="s">
        <v>1014</v>
      </c>
      <c r="D4292" s="12" t="s">
        <v>78</v>
      </c>
      <c r="E4292" s="12" t="s">
        <v>65</v>
      </c>
      <c r="F4292">
        <v>2</v>
      </c>
      <c r="G4292">
        <v>3</v>
      </c>
      <c r="H4292">
        <v>0</v>
      </c>
      <c r="I4292" s="12" t="s">
        <v>359</v>
      </c>
      <c r="J4292" s="12" t="s">
        <v>360</v>
      </c>
      <c r="K4292" s="12" t="s">
        <v>133</v>
      </c>
      <c r="L4292" s="12" t="s">
        <v>82</v>
      </c>
      <c r="M4292">
        <v>12.65</v>
      </c>
      <c r="N4292" s="12" t="s">
        <v>97</v>
      </c>
      <c r="O4292" s="12" t="s">
        <v>98</v>
      </c>
      <c r="P4292" s="12" t="s">
        <v>72</v>
      </c>
      <c r="Q4292" s="13">
        <v>45686</v>
      </c>
      <c r="R4292" s="13">
        <v>45722</v>
      </c>
      <c r="S4292">
        <v>2025</v>
      </c>
      <c r="T4292" s="12" t="s">
        <v>5047</v>
      </c>
      <c r="U4292">
        <v>258</v>
      </c>
      <c r="V4292">
        <v>118.70959999999999</v>
      </c>
      <c r="W4292">
        <v>595.99</v>
      </c>
      <c r="X4292">
        <v>0</v>
      </c>
      <c r="Y4292">
        <v>0</v>
      </c>
      <c r="Z4292">
        <v>30627.08</v>
      </c>
      <c r="AA4292">
        <v>31223.07</v>
      </c>
      <c r="AB4292" s="12" t="s">
        <v>4936</v>
      </c>
      <c r="AC4292">
        <v>118.70959999999999</v>
      </c>
      <c r="AD4292">
        <v>1</v>
      </c>
      <c r="AE4292">
        <v>1</v>
      </c>
      <c r="AF4292">
        <v>0</v>
      </c>
      <c r="AG4292">
        <v>30627.08</v>
      </c>
      <c r="AH4292">
        <v>258</v>
      </c>
      <c r="AI4292">
        <v>257</v>
      </c>
      <c r="AJ4292">
        <v>1</v>
      </c>
      <c r="AK4292">
        <v>1</v>
      </c>
      <c r="AL4292">
        <v>1</v>
      </c>
      <c r="AM4292">
        <v>99.61</v>
      </c>
      <c r="AN4292">
        <v>121.4905</v>
      </c>
      <c r="AO4292">
        <v>118.71</v>
      </c>
      <c r="AP4292" s="13">
        <v>45721</v>
      </c>
      <c r="AQ4292">
        <v>-1</v>
      </c>
      <c r="AR4292">
        <v>1</v>
      </c>
    </row>
    <row r="4293" spans="1:44" x14ac:dyDescent="0.35">
      <c r="A4293" s="12" t="s">
        <v>5237</v>
      </c>
      <c r="B4293" s="12" t="s">
        <v>941</v>
      </c>
      <c r="C4293" s="12" t="s">
        <v>942</v>
      </c>
      <c r="D4293" s="12" t="s">
        <v>130</v>
      </c>
      <c r="E4293" s="12" t="s">
        <v>104</v>
      </c>
      <c r="F4293">
        <v>2</v>
      </c>
      <c r="G4293">
        <v>0</v>
      </c>
      <c r="H4293">
        <v>0</v>
      </c>
      <c r="I4293" s="12" t="s">
        <v>151</v>
      </c>
      <c r="J4293" s="12" t="s">
        <v>152</v>
      </c>
      <c r="K4293" s="12" t="s">
        <v>125</v>
      </c>
      <c r="L4293" s="12" t="s">
        <v>69</v>
      </c>
      <c r="M4293">
        <v>36.479999999999997</v>
      </c>
      <c r="N4293" s="12" t="s">
        <v>159</v>
      </c>
      <c r="O4293" s="12" t="s">
        <v>160</v>
      </c>
      <c r="P4293" s="12" t="s">
        <v>137</v>
      </c>
      <c r="Q4293" s="13">
        <v>45686</v>
      </c>
      <c r="R4293" s="13">
        <v>45707</v>
      </c>
      <c r="S4293">
        <v>2025</v>
      </c>
      <c r="T4293" s="12" t="s">
        <v>5047</v>
      </c>
      <c r="U4293">
        <v>81</v>
      </c>
      <c r="V4293">
        <v>954.04200000000003</v>
      </c>
      <c r="W4293">
        <v>1043.1400000000001</v>
      </c>
      <c r="X4293">
        <v>0</v>
      </c>
      <c r="Y4293">
        <v>0</v>
      </c>
      <c r="Z4293">
        <v>77277.399999999994</v>
      </c>
      <c r="AA4293">
        <v>78320.539999999994</v>
      </c>
      <c r="AB4293" s="12" t="s">
        <v>4232</v>
      </c>
      <c r="AC4293">
        <v>954.04200000000003</v>
      </c>
      <c r="AD4293">
        <v>1</v>
      </c>
      <c r="AE4293">
        <v>1</v>
      </c>
      <c r="AF4293">
        <v>0</v>
      </c>
      <c r="AG4293">
        <v>77277.399999999994</v>
      </c>
      <c r="AH4293">
        <v>81</v>
      </c>
      <c r="AI4293">
        <v>80</v>
      </c>
      <c r="AJ4293">
        <v>1</v>
      </c>
      <c r="AK4293">
        <v>1</v>
      </c>
      <c r="AL4293">
        <v>1</v>
      </c>
      <c r="AM4293">
        <v>98.77</v>
      </c>
      <c r="AN4293">
        <v>979.0068</v>
      </c>
      <c r="AO4293">
        <v>954.04</v>
      </c>
      <c r="AP4293" s="13">
        <v>45707</v>
      </c>
      <c r="AQ4293">
        <v>0</v>
      </c>
      <c r="AR4293">
        <v>1</v>
      </c>
    </row>
    <row r="4294" spans="1:44" x14ac:dyDescent="0.35">
      <c r="A4294" s="12" t="s">
        <v>5238</v>
      </c>
      <c r="B4294" s="12" t="s">
        <v>602</v>
      </c>
      <c r="C4294" s="12" t="s">
        <v>603</v>
      </c>
      <c r="D4294" s="12" t="s">
        <v>114</v>
      </c>
      <c r="E4294" s="12" t="s">
        <v>142</v>
      </c>
      <c r="F4294">
        <v>2</v>
      </c>
      <c r="G4294">
        <v>10</v>
      </c>
      <c r="H4294">
        <v>0</v>
      </c>
      <c r="I4294" s="12" t="s">
        <v>604</v>
      </c>
      <c r="J4294" s="12" t="s">
        <v>605</v>
      </c>
      <c r="K4294" s="12" t="s">
        <v>68</v>
      </c>
      <c r="L4294" s="12" t="s">
        <v>82</v>
      </c>
      <c r="M4294">
        <v>7.24</v>
      </c>
      <c r="N4294" s="12" t="s">
        <v>97</v>
      </c>
      <c r="O4294" s="12" t="s">
        <v>98</v>
      </c>
      <c r="P4294" s="12" t="s">
        <v>72</v>
      </c>
      <c r="Q4294" s="13">
        <v>45686</v>
      </c>
      <c r="R4294" s="13">
        <v>45729</v>
      </c>
      <c r="S4294">
        <v>2025</v>
      </c>
      <c r="T4294" s="12" t="s">
        <v>5047</v>
      </c>
      <c r="U4294">
        <v>79</v>
      </c>
      <c r="V4294">
        <v>213.23840000000001</v>
      </c>
      <c r="W4294">
        <v>187.12</v>
      </c>
      <c r="X4294">
        <v>0</v>
      </c>
      <c r="Y4294">
        <v>0</v>
      </c>
      <c r="Z4294">
        <v>16845.830000000002</v>
      </c>
      <c r="AA4294">
        <v>17032.95</v>
      </c>
      <c r="AB4294" s="12" t="s">
        <v>3467</v>
      </c>
      <c r="AC4294">
        <v>213.23840000000001</v>
      </c>
      <c r="AD4294">
        <v>1</v>
      </c>
      <c r="AE4294">
        <v>1</v>
      </c>
      <c r="AF4294">
        <v>0</v>
      </c>
      <c r="AG4294">
        <v>16845.830000000002</v>
      </c>
      <c r="AH4294">
        <v>79</v>
      </c>
      <c r="AI4294">
        <v>78</v>
      </c>
      <c r="AJ4294">
        <v>1</v>
      </c>
      <c r="AK4294">
        <v>1</v>
      </c>
      <c r="AL4294">
        <v>1</v>
      </c>
      <c r="AM4294">
        <v>98.73</v>
      </c>
      <c r="AN4294">
        <v>218.37119999999999</v>
      </c>
      <c r="AO4294">
        <v>213.24</v>
      </c>
      <c r="AP4294" s="13">
        <v>45729</v>
      </c>
      <c r="AQ4294">
        <v>0</v>
      </c>
      <c r="AR4294">
        <v>1</v>
      </c>
    </row>
    <row r="4295" spans="1:44" x14ac:dyDescent="0.35">
      <c r="A4295" s="12" t="s">
        <v>5239</v>
      </c>
      <c r="B4295" s="12" t="s">
        <v>327</v>
      </c>
      <c r="C4295" s="12" t="s">
        <v>328</v>
      </c>
      <c r="D4295" s="12" t="s">
        <v>130</v>
      </c>
      <c r="E4295" s="12" t="s">
        <v>104</v>
      </c>
      <c r="F4295">
        <v>2</v>
      </c>
      <c r="G4295">
        <v>0</v>
      </c>
      <c r="H4295">
        <v>0</v>
      </c>
      <c r="I4295" s="12" t="s">
        <v>94</v>
      </c>
      <c r="J4295" s="12" t="s">
        <v>95</v>
      </c>
      <c r="K4295" s="12" t="s">
        <v>81</v>
      </c>
      <c r="L4295" s="12" t="s">
        <v>96</v>
      </c>
      <c r="M4295">
        <v>4.8099999999999996</v>
      </c>
      <c r="N4295" s="12" t="s">
        <v>159</v>
      </c>
      <c r="O4295" s="12" t="s">
        <v>160</v>
      </c>
      <c r="P4295" s="12" t="s">
        <v>137</v>
      </c>
      <c r="Q4295" s="13">
        <v>45687</v>
      </c>
      <c r="R4295" s="13">
        <v>45715</v>
      </c>
      <c r="S4295">
        <v>2025</v>
      </c>
      <c r="T4295" s="12" t="s">
        <v>5047</v>
      </c>
      <c r="U4295">
        <v>136</v>
      </c>
      <c r="V4295">
        <v>697.23929999999996</v>
      </c>
      <c r="W4295">
        <v>1135.4100000000001</v>
      </c>
      <c r="X4295">
        <v>0</v>
      </c>
      <c r="Y4295">
        <v>0</v>
      </c>
      <c r="Z4295">
        <v>94824.54</v>
      </c>
      <c r="AA4295">
        <v>95959.95</v>
      </c>
      <c r="AB4295" s="12" t="s">
        <v>3016</v>
      </c>
      <c r="AC4295">
        <v>697.23929999999996</v>
      </c>
      <c r="AD4295">
        <v>1</v>
      </c>
      <c r="AE4295">
        <v>1</v>
      </c>
      <c r="AF4295">
        <v>0</v>
      </c>
      <c r="AG4295">
        <v>94824.54</v>
      </c>
      <c r="AH4295">
        <v>136</v>
      </c>
      <c r="AI4295">
        <v>135</v>
      </c>
      <c r="AJ4295">
        <v>1</v>
      </c>
      <c r="AK4295">
        <v>1</v>
      </c>
      <c r="AL4295">
        <v>1</v>
      </c>
      <c r="AM4295">
        <v>99.26</v>
      </c>
      <c r="AN4295">
        <v>710.81449999999995</v>
      </c>
      <c r="AO4295">
        <v>697.24</v>
      </c>
      <c r="AP4295" s="13">
        <v>45720</v>
      </c>
      <c r="AQ4295">
        <v>5</v>
      </c>
      <c r="AR4295">
        <v>0</v>
      </c>
    </row>
    <row r="4296" spans="1:44" x14ac:dyDescent="0.35">
      <c r="A4296" s="12" t="s">
        <v>5240</v>
      </c>
      <c r="B4296" s="12" t="s">
        <v>513</v>
      </c>
      <c r="C4296" s="12" t="s">
        <v>514</v>
      </c>
      <c r="D4296" s="12" t="s">
        <v>269</v>
      </c>
      <c r="E4296" s="12" t="s">
        <v>65</v>
      </c>
      <c r="F4296">
        <v>1</v>
      </c>
      <c r="G4296">
        <v>2</v>
      </c>
      <c r="H4296">
        <v>1</v>
      </c>
      <c r="I4296" s="12" t="s">
        <v>515</v>
      </c>
      <c r="J4296" s="12" t="s">
        <v>516</v>
      </c>
      <c r="K4296" s="12" t="s">
        <v>68</v>
      </c>
      <c r="L4296" s="12" t="s">
        <v>134</v>
      </c>
      <c r="M4296">
        <v>3.69</v>
      </c>
      <c r="N4296" s="12" t="s">
        <v>135</v>
      </c>
      <c r="O4296" s="12" t="s">
        <v>136</v>
      </c>
      <c r="P4296" s="12" t="s">
        <v>137</v>
      </c>
      <c r="Q4296" s="13">
        <v>45687</v>
      </c>
      <c r="R4296" s="13">
        <v>45713</v>
      </c>
      <c r="S4296">
        <v>2025</v>
      </c>
      <c r="T4296" s="12" t="s">
        <v>5047</v>
      </c>
      <c r="U4296">
        <v>56</v>
      </c>
      <c r="V4296">
        <v>214.97839999999999</v>
      </c>
      <c r="W4296">
        <v>146.56</v>
      </c>
      <c r="X4296">
        <v>0</v>
      </c>
      <c r="Y4296">
        <v>0</v>
      </c>
      <c r="Z4296">
        <v>12038.79</v>
      </c>
      <c r="AA4296">
        <v>12185.35</v>
      </c>
      <c r="AB4296" s="12" t="s">
        <v>201</v>
      </c>
      <c r="AD4296">
        <v>0</v>
      </c>
      <c r="AE4296">
        <v>0</v>
      </c>
      <c r="AH4296">
        <v>56</v>
      </c>
      <c r="AI4296">
        <v>55</v>
      </c>
      <c r="AJ4296">
        <v>1</v>
      </c>
      <c r="AK4296">
        <v>1</v>
      </c>
      <c r="AL4296">
        <v>1</v>
      </c>
      <c r="AM4296">
        <v>98.21</v>
      </c>
      <c r="AN4296">
        <v>221.55179999999999</v>
      </c>
      <c r="AO4296">
        <v>214.98</v>
      </c>
      <c r="AP4296" s="13">
        <v>45711</v>
      </c>
      <c r="AQ4296">
        <v>-2</v>
      </c>
      <c r="AR4296">
        <v>1</v>
      </c>
    </row>
    <row r="4297" spans="1:44" x14ac:dyDescent="0.35">
      <c r="A4297" s="12" t="s">
        <v>5241</v>
      </c>
      <c r="B4297" s="12" t="s">
        <v>261</v>
      </c>
      <c r="C4297" s="12" t="s">
        <v>262</v>
      </c>
      <c r="D4297" s="12" t="s">
        <v>114</v>
      </c>
      <c r="E4297" s="12" t="s">
        <v>142</v>
      </c>
      <c r="F4297">
        <v>1</v>
      </c>
      <c r="G4297">
        <v>8</v>
      </c>
      <c r="H4297">
        <v>1</v>
      </c>
      <c r="I4297" s="12" t="s">
        <v>263</v>
      </c>
      <c r="J4297" s="12" t="s">
        <v>264</v>
      </c>
      <c r="K4297" s="12" t="s">
        <v>125</v>
      </c>
      <c r="L4297" s="12" t="s">
        <v>82</v>
      </c>
      <c r="M4297">
        <v>10.210000000000001</v>
      </c>
      <c r="N4297" s="12" t="s">
        <v>70</v>
      </c>
      <c r="O4297" s="12" t="s">
        <v>71</v>
      </c>
      <c r="P4297" s="12" t="s">
        <v>72</v>
      </c>
      <c r="Q4297" s="13">
        <v>45687</v>
      </c>
      <c r="R4297" s="13">
        <v>45729</v>
      </c>
      <c r="S4297">
        <v>2025</v>
      </c>
      <c r="T4297" s="12" t="s">
        <v>5047</v>
      </c>
      <c r="U4297">
        <v>66</v>
      </c>
      <c r="V4297">
        <v>154.7414</v>
      </c>
      <c r="W4297">
        <v>146.94</v>
      </c>
      <c r="X4297">
        <v>0</v>
      </c>
      <c r="Y4297">
        <v>0</v>
      </c>
      <c r="Z4297">
        <v>10212.93</v>
      </c>
      <c r="AA4297">
        <v>10359.870000000001</v>
      </c>
      <c r="AB4297" s="12" t="s">
        <v>201</v>
      </c>
      <c r="AD4297">
        <v>0</v>
      </c>
      <c r="AE4297">
        <v>0</v>
      </c>
      <c r="AH4297">
        <v>66</v>
      </c>
      <c r="AI4297">
        <v>64</v>
      </c>
      <c r="AJ4297">
        <v>2</v>
      </c>
      <c r="AK4297">
        <v>1</v>
      </c>
      <c r="AL4297">
        <v>1</v>
      </c>
      <c r="AM4297">
        <v>96.97</v>
      </c>
      <c r="AN4297">
        <v>161.87299999999999</v>
      </c>
      <c r="AO4297">
        <v>309.48</v>
      </c>
      <c r="AP4297" s="13">
        <v>45730</v>
      </c>
      <c r="AQ4297">
        <v>1</v>
      </c>
      <c r="AR4297">
        <v>0</v>
      </c>
    </row>
    <row r="4298" spans="1:44" x14ac:dyDescent="0.35">
      <c r="A4298" s="12" t="s">
        <v>5242</v>
      </c>
      <c r="B4298" s="12" t="s">
        <v>249</v>
      </c>
      <c r="C4298" s="12" t="s">
        <v>250</v>
      </c>
      <c r="D4298" s="12" t="s">
        <v>64</v>
      </c>
      <c r="E4298" s="12" t="s">
        <v>65</v>
      </c>
      <c r="F4298">
        <v>2</v>
      </c>
      <c r="G4298">
        <v>3</v>
      </c>
      <c r="H4298">
        <v>0</v>
      </c>
      <c r="I4298" s="12" t="s">
        <v>251</v>
      </c>
      <c r="J4298" s="12" t="s">
        <v>252</v>
      </c>
      <c r="K4298" s="12" t="s">
        <v>133</v>
      </c>
      <c r="L4298" s="12" t="s">
        <v>69</v>
      </c>
      <c r="M4298">
        <v>34.49</v>
      </c>
      <c r="N4298" s="12" t="s">
        <v>70</v>
      </c>
      <c r="O4298" s="12" t="s">
        <v>71</v>
      </c>
      <c r="P4298" s="12" t="s">
        <v>72</v>
      </c>
      <c r="Q4298" s="13">
        <v>45687</v>
      </c>
      <c r="R4298" s="13">
        <v>45725</v>
      </c>
      <c r="S4298">
        <v>2025</v>
      </c>
      <c r="T4298" s="12" t="s">
        <v>5047</v>
      </c>
      <c r="U4298">
        <v>986</v>
      </c>
      <c r="V4298">
        <v>9.9464000000000006</v>
      </c>
      <c r="W4298">
        <v>209.85</v>
      </c>
      <c r="X4298">
        <v>0</v>
      </c>
      <c r="Y4298">
        <v>0</v>
      </c>
      <c r="Z4298">
        <v>9807.15</v>
      </c>
      <c r="AA4298">
        <v>10017</v>
      </c>
      <c r="AB4298" s="12" t="s">
        <v>5207</v>
      </c>
      <c r="AC4298">
        <v>9.9464000000000006</v>
      </c>
      <c r="AD4298">
        <v>1</v>
      </c>
      <c r="AE4298">
        <v>1</v>
      </c>
      <c r="AF4298">
        <v>0</v>
      </c>
      <c r="AG4298">
        <v>9807.15</v>
      </c>
      <c r="AH4298">
        <v>986</v>
      </c>
      <c r="AI4298">
        <v>983</v>
      </c>
      <c r="AJ4298">
        <v>3</v>
      </c>
      <c r="AK4298">
        <v>1</v>
      </c>
      <c r="AL4298">
        <v>1</v>
      </c>
      <c r="AM4298">
        <v>99.7</v>
      </c>
      <c r="AN4298">
        <v>10.190200000000001</v>
      </c>
      <c r="AO4298">
        <v>29.84</v>
      </c>
      <c r="AP4298" s="13">
        <v>45723</v>
      </c>
      <c r="AQ4298">
        <v>-2</v>
      </c>
      <c r="AR4298">
        <v>1</v>
      </c>
    </row>
    <row r="4299" spans="1:44" x14ac:dyDescent="0.35">
      <c r="A4299" s="12" t="s">
        <v>5243</v>
      </c>
      <c r="B4299" s="12" t="s">
        <v>451</v>
      </c>
      <c r="C4299" s="12" t="s">
        <v>452</v>
      </c>
      <c r="D4299" s="12" t="s">
        <v>175</v>
      </c>
      <c r="E4299" s="12" t="s">
        <v>104</v>
      </c>
      <c r="F4299">
        <v>3</v>
      </c>
      <c r="G4299">
        <v>1</v>
      </c>
      <c r="H4299">
        <v>0</v>
      </c>
      <c r="I4299" s="12" t="s">
        <v>359</v>
      </c>
      <c r="J4299" s="12" t="s">
        <v>360</v>
      </c>
      <c r="K4299" s="12" t="s">
        <v>133</v>
      </c>
      <c r="L4299" s="12" t="s">
        <v>82</v>
      </c>
      <c r="M4299">
        <v>12.65</v>
      </c>
      <c r="N4299" s="12" t="s">
        <v>145</v>
      </c>
      <c r="O4299" s="12" t="s">
        <v>146</v>
      </c>
      <c r="P4299" s="12" t="s">
        <v>109</v>
      </c>
      <c r="Q4299" s="13">
        <v>45687</v>
      </c>
      <c r="R4299" s="13">
        <v>45708</v>
      </c>
      <c r="S4299">
        <v>2025</v>
      </c>
      <c r="T4299" s="12" t="s">
        <v>5047</v>
      </c>
      <c r="U4299">
        <v>86</v>
      </c>
      <c r="V4299">
        <v>216.9588</v>
      </c>
      <c r="W4299">
        <v>228.25</v>
      </c>
      <c r="X4299">
        <v>0</v>
      </c>
      <c r="Y4299">
        <v>0</v>
      </c>
      <c r="Z4299">
        <v>18658.46</v>
      </c>
      <c r="AA4299">
        <v>18886.71</v>
      </c>
      <c r="AB4299" s="12" t="s">
        <v>5244</v>
      </c>
      <c r="AC4299">
        <v>216.9588</v>
      </c>
      <c r="AD4299">
        <v>1</v>
      </c>
      <c r="AE4299">
        <v>1</v>
      </c>
      <c r="AF4299">
        <v>0</v>
      </c>
      <c r="AG4299">
        <v>18658.46</v>
      </c>
      <c r="AH4299">
        <v>86</v>
      </c>
      <c r="AI4299">
        <v>85</v>
      </c>
      <c r="AJ4299">
        <v>1</v>
      </c>
      <c r="AK4299">
        <v>1</v>
      </c>
      <c r="AL4299">
        <v>1</v>
      </c>
      <c r="AM4299">
        <v>98.84</v>
      </c>
      <c r="AN4299">
        <v>222.19659999999999</v>
      </c>
      <c r="AO4299">
        <v>216.96</v>
      </c>
      <c r="AP4299" s="13">
        <v>45707</v>
      </c>
      <c r="AQ4299">
        <v>-1</v>
      </c>
      <c r="AR4299">
        <v>1</v>
      </c>
    </row>
    <row r="4300" spans="1:44" x14ac:dyDescent="0.35">
      <c r="A4300" s="12" t="s">
        <v>5245</v>
      </c>
      <c r="B4300" s="12" t="s">
        <v>957</v>
      </c>
      <c r="C4300" s="12" t="s">
        <v>958</v>
      </c>
      <c r="D4300" s="12" t="s">
        <v>103</v>
      </c>
      <c r="E4300" s="12" t="s">
        <v>142</v>
      </c>
      <c r="F4300">
        <v>1</v>
      </c>
      <c r="G4300">
        <v>7</v>
      </c>
      <c r="H4300">
        <v>1</v>
      </c>
      <c r="I4300" s="12" t="s">
        <v>183</v>
      </c>
      <c r="J4300" s="12" t="s">
        <v>184</v>
      </c>
      <c r="K4300" s="12" t="s">
        <v>133</v>
      </c>
      <c r="L4300" s="12" t="s">
        <v>82</v>
      </c>
      <c r="M4300">
        <v>8.6199999999999992</v>
      </c>
      <c r="N4300" s="12" t="s">
        <v>107</v>
      </c>
      <c r="O4300" s="12" t="s">
        <v>108</v>
      </c>
      <c r="P4300" s="12" t="s">
        <v>109</v>
      </c>
      <c r="Q4300" s="13">
        <v>45687</v>
      </c>
      <c r="R4300" s="13">
        <v>45727</v>
      </c>
      <c r="S4300">
        <v>2025</v>
      </c>
      <c r="T4300" s="12" t="s">
        <v>5047</v>
      </c>
      <c r="U4300">
        <v>56</v>
      </c>
      <c r="V4300">
        <v>193.65539999999999</v>
      </c>
      <c r="W4300">
        <v>117.16</v>
      </c>
      <c r="X4300">
        <v>0</v>
      </c>
      <c r="Y4300">
        <v>0</v>
      </c>
      <c r="Z4300">
        <v>10844.7</v>
      </c>
      <c r="AA4300">
        <v>10961.86</v>
      </c>
      <c r="AB4300" s="12" t="s">
        <v>3249</v>
      </c>
      <c r="AC4300">
        <v>193.65539999999999</v>
      </c>
      <c r="AD4300">
        <v>1</v>
      </c>
      <c r="AE4300">
        <v>1</v>
      </c>
      <c r="AF4300">
        <v>0</v>
      </c>
      <c r="AG4300">
        <v>10844.7</v>
      </c>
      <c r="AH4300">
        <v>56</v>
      </c>
      <c r="AI4300">
        <v>56</v>
      </c>
      <c r="AJ4300">
        <v>0</v>
      </c>
      <c r="AK4300">
        <v>1</v>
      </c>
      <c r="AL4300">
        <v>1</v>
      </c>
      <c r="AM4300">
        <v>100</v>
      </c>
      <c r="AN4300">
        <v>195.7475</v>
      </c>
      <c r="AO4300">
        <v>0</v>
      </c>
      <c r="AP4300" s="13">
        <v>45724</v>
      </c>
      <c r="AQ4300">
        <v>-3</v>
      </c>
      <c r="AR4300">
        <v>1</v>
      </c>
    </row>
    <row r="4301" spans="1:44" x14ac:dyDescent="0.35">
      <c r="A4301" s="12" t="s">
        <v>5246</v>
      </c>
      <c r="B4301" s="12" t="s">
        <v>482</v>
      </c>
      <c r="C4301" s="12" t="s">
        <v>483</v>
      </c>
      <c r="D4301" s="12" t="s">
        <v>78</v>
      </c>
      <c r="E4301" s="12" t="s">
        <v>142</v>
      </c>
      <c r="F4301">
        <v>2</v>
      </c>
      <c r="G4301">
        <v>9</v>
      </c>
      <c r="H4301">
        <v>0</v>
      </c>
      <c r="I4301" s="12" t="s">
        <v>87</v>
      </c>
      <c r="J4301" s="12" t="s">
        <v>88</v>
      </c>
      <c r="K4301" s="12" t="s">
        <v>89</v>
      </c>
      <c r="L4301" s="12" t="s">
        <v>69</v>
      </c>
      <c r="M4301">
        <v>14.93</v>
      </c>
      <c r="N4301" s="12" t="s">
        <v>97</v>
      </c>
      <c r="O4301" s="12" t="s">
        <v>98</v>
      </c>
      <c r="P4301" s="12" t="s">
        <v>72</v>
      </c>
      <c r="Q4301" s="13">
        <v>45687</v>
      </c>
      <c r="R4301" s="13">
        <v>45722</v>
      </c>
      <c r="S4301">
        <v>2025</v>
      </c>
      <c r="T4301" s="12" t="s">
        <v>5047</v>
      </c>
      <c r="U4301">
        <v>51</v>
      </c>
      <c r="V4301">
        <v>47.101599999999998</v>
      </c>
      <c r="W4301">
        <v>51.75</v>
      </c>
      <c r="X4301">
        <v>0</v>
      </c>
      <c r="Y4301">
        <v>0</v>
      </c>
      <c r="Z4301">
        <v>2402.1799999999998</v>
      </c>
      <c r="AA4301">
        <v>2453.9299999999998</v>
      </c>
      <c r="AB4301" s="12" t="s">
        <v>3145</v>
      </c>
      <c r="AC4301">
        <v>47.101599999999998</v>
      </c>
      <c r="AD4301">
        <v>1</v>
      </c>
      <c r="AE4301">
        <v>1</v>
      </c>
      <c r="AF4301">
        <v>0</v>
      </c>
      <c r="AG4301">
        <v>2402.1799999999998</v>
      </c>
      <c r="AH4301">
        <v>51</v>
      </c>
      <c r="AI4301">
        <v>50</v>
      </c>
      <c r="AJ4301">
        <v>1</v>
      </c>
      <c r="AK4301">
        <v>1</v>
      </c>
      <c r="AL4301">
        <v>1</v>
      </c>
      <c r="AM4301">
        <v>98.04</v>
      </c>
      <c r="AN4301">
        <v>49.078600000000002</v>
      </c>
      <c r="AO4301">
        <v>47.1</v>
      </c>
      <c r="AP4301" s="13">
        <v>45721</v>
      </c>
      <c r="AQ4301">
        <v>-1</v>
      </c>
      <c r="AR4301">
        <v>1</v>
      </c>
    </row>
    <row r="4302" spans="1:44" x14ac:dyDescent="0.35">
      <c r="A4302" s="12" t="s">
        <v>5247</v>
      </c>
      <c r="B4302" s="12" t="s">
        <v>447</v>
      </c>
      <c r="C4302" s="12" t="s">
        <v>448</v>
      </c>
      <c r="D4302" s="12" t="s">
        <v>269</v>
      </c>
      <c r="E4302" s="12" t="s">
        <v>65</v>
      </c>
      <c r="F4302">
        <v>2</v>
      </c>
      <c r="G4302">
        <v>2</v>
      </c>
      <c r="H4302">
        <v>0</v>
      </c>
      <c r="I4302" s="12" t="s">
        <v>176</v>
      </c>
      <c r="J4302" s="12" t="s">
        <v>177</v>
      </c>
      <c r="K4302" s="12" t="s">
        <v>125</v>
      </c>
      <c r="L4302" s="12" t="s">
        <v>134</v>
      </c>
      <c r="M4302">
        <v>1.75</v>
      </c>
      <c r="N4302" s="12" t="s">
        <v>159</v>
      </c>
      <c r="O4302" s="12" t="s">
        <v>160</v>
      </c>
      <c r="P4302" s="12" t="s">
        <v>137</v>
      </c>
      <c r="Q4302" s="13">
        <v>45687</v>
      </c>
      <c r="R4302" s="13">
        <v>45710</v>
      </c>
      <c r="S4302">
        <v>2025</v>
      </c>
      <c r="T4302" s="12" t="s">
        <v>5047</v>
      </c>
      <c r="U4302">
        <v>27</v>
      </c>
      <c r="V4302">
        <v>377.7842</v>
      </c>
      <c r="W4302">
        <v>170.58</v>
      </c>
      <c r="X4302">
        <v>0</v>
      </c>
      <c r="Y4302">
        <v>0</v>
      </c>
      <c r="Z4302">
        <v>10200.17</v>
      </c>
      <c r="AA4302">
        <v>10370.75</v>
      </c>
      <c r="AB4302" s="12" t="s">
        <v>3199</v>
      </c>
      <c r="AC4302">
        <v>377.7842</v>
      </c>
      <c r="AD4302">
        <v>1</v>
      </c>
      <c r="AE4302">
        <v>1</v>
      </c>
      <c r="AF4302">
        <v>0</v>
      </c>
      <c r="AG4302">
        <v>10200.17</v>
      </c>
      <c r="AH4302">
        <v>27</v>
      </c>
      <c r="AI4302">
        <v>27</v>
      </c>
      <c r="AJ4302">
        <v>0</v>
      </c>
      <c r="AK4302">
        <v>1</v>
      </c>
      <c r="AL4302">
        <v>1</v>
      </c>
      <c r="AM4302">
        <v>100</v>
      </c>
      <c r="AN4302">
        <v>384.10199999999998</v>
      </c>
      <c r="AO4302">
        <v>0</v>
      </c>
      <c r="AP4302" s="13">
        <v>45719</v>
      </c>
      <c r="AQ4302">
        <v>9</v>
      </c>
      <c r="AR4302">
        <v>0</v>
      </c>
    </row>
    <row r="4303" spans="1:44" x14ac:dyDescent="0.35">
      <c r="A4303" s="12" t="s">
        <v>5248</v>
      </c>
      <c r="B4303" s="12" t="s">
        <v>602</v>
      </c>
      <c r="C4303" s="12" t="s">
        <v>603</v>
      </c>
      <c r="D4303" s="12" t="s">
        <v>114</v>
      </c>
      <c r="E4303" s="12" t="s">
        <v>142</v>
      </c>
      <c r="F4303">
        <v>2</v>
      </c>
      <c r="G4303">
        <v>10</v>
      </c>
      <c r="H4303">
        <v>0</v>
      </c>
      <c r="I4303" s="12" t="s">
        <v>263</v>
      </c>
      <c r="J4303" s="12" t="s">
        <v>264</v>
      </c>
      <c r="K4303" s="12" t="s">
        <v>125</v>
      </c>
      <c r="L4303" s="12" t="s">
        <v>82</v>
      </c>
      <c r="M4303">
        <v>10.210000000000001</v>
      </c>
      <c r="N4303" s="12" t="s">
        <v>97</v>
      </c>
      <c r="O4303" s="12" t="s">
        <v>98</v>
      </c>
      <c r="P4303" s="12" t="s">
        <v>72</v>
      </c>
      <c r="Q4303" s="13">
        <v>45687</v>
      </c>
      <c r="R4303" s="13">
        <v>45737</v>
      </c>
      <c r="S4303">
        <v>2025</v>
      </c>
      <c r="T4303" s="12" t="s">
        <v>5047</v>
      </c>
      <c r="U4303">
        <v>132</v>
      </c>
      <c r="V4303">
        <v>210.69990000000001</v>
      </c>
      <c r="W4303">
        <v>540.95000000000005</v>
      </c>
      <c r="X4303">
        <v>0</v>
      </c>
      <c r="Y4303">
        <v>0</v>
      </c>
      <c r="Z4303">
        <v>27812.39</v>
      </c>
      <c r="AA4303">
        <v>28353.34</v>
      </c>
      <c r="AB4303" s="12" t="s">
        <v>2790</v>
      </c>
      <c r="AC4303">
        <v>210.69990000000001</v>
      </c>
      <c r="AD4303">
        <v>1</v>
      </c>
      <c r="AE4303">
        <v>1</v>
      </c>
      <c r="AF4303">
        <v>0</v>
      </c>
      <c r="AG4303">
        <v>27812.39</v>
      </c>
      <c r="AH4303">
        <v>132</v>
      </c>
      <c r="AI4303">
        <v>131</v>
      </c>
      <c r="AJ4303">
        <v>1</v>
      </c>
      <c r="AK4303">
        <v>1</v>
      </c>
      <c r="AL4303">
        <v>1</v>
      </c>
      <c r="AM4303">
        <v>99.24</v>
      </c>
      <c r="AN4303">
        <v>216.43770000000001</v>
      </c>
      <c r="AO4303">
        <v>210.7</v>
      </c>
      <c r="AP4303" s="13">
        <v>45737</v>
      </c>
      <c r="AQ4303">
        <v>0</v>
      </c>
      <c r="AR4303">
        <v>1</v>
      </c>
    </row>
    <row r="4304" spans="1:44" x14ac:dyDescent="0.35">
      <c r="A4304" s="12" t="s">
        <v>5249</v>
      </c>
      <c r="B4304" s="12" t="s">
        <v>537</v>
      </c>
      <c r="C4304" s="12" t="s">
        <v>538</v>
      </c>
      <c r="D4304" s="12" t="s">
        <v>103</v>
      </c>
      <c r="E4304" s="12" t="s">
        <v>104</v>
      </c>
      <c r="F4304">
        <v>3</v>
      </c>
      <c r="G4304">
        <v>0</v>
      </c>
      <c r="H4304">
        <v>0</v>
      </c>
      <c r="I4304" s="12" t="s">
        <v>380</v>
      </c>
      <c r="J4304" s="12" t="s">
        <v>381</v>
      </c>
      <c r="K4304" s="12" t="s">
        <v>89</v>
      </c>
      <c r="L4304" s="12" t="s">
        <v>96</v>
      </c>
      <c r="M4304">
        <v>10.210000000000001</v>
      </c>
      <c r="N4304" s="12" t="s">
        <v>145</v>
      </c>
      <c r="O4304" s="12" t="s">
        <v>146</v>
      </c>
      <c r="P4304" s="12" t="s">
        <v>109</v>
      </c>
      <c r="Q4304" s="13">
        <v>45688</v>
      </c>
      <c r="R4304" s="13">
        <v>45710</v>
      </c>
      <c r="S4304">
        <v>2025</v>
      </c>
      <c r="T4304" s="12" t="s">
        <v>5047</v>
      </c>
      <c r="U4304">
        <v>93</v>
      </c>
      <c r="V4304">
        <v>242.5198</v>
      </c>
      <c r="W4304">
        <v>441.33</v>
      </c>
      <c r="X4304">
        <v>0</v>
      </c>
      <c r="Y4304">
        <v>0</v>
      </c>
      <c r="Z4304">
        <v>22554.34</v>
      </c>
      <c r="AA4304">
        <v>22995.67</v>
      </c>
      <c r="AB4304" s="12" t="s">
        <v>3095</v>
      </c>
      <c r="AC4304">
        <v>242.5198</v>
      </c>
      <c r="AD4304">
        <v>1</v>
      </c>
      <c r="AE4304">
        <v>1</v>
      </c>
      <c r="AF4304">
        <v>0</v>
      </c>
      <c r="AG4304">
        <v>22554.34</v>
      </c>
      <c r="AH4304">
        <v>93</v>
      </c>
      <c r="AI4304">
        <v>93</v>
      </c>
      <c r="AJ4304">
        <v>0</v>
      </c>
      <c r="AK4304">
        <v>1</v>
      </c>
      <c r="AL4304">
        <v>1</v>
      </c>
      <c r="AM4304">
        <v>100</v>
      </c>
      <c r="AN4304">
        <v>247.2653</v>
      </c>
      <c r="AO4304">
        <v>0</v>
      </c>
      <c r="AP4304" s="13">
        <v>45713</v>
      </c>
      <c r="AQ4304">
        <v>3</v>
      </c>
      <c r="AR4304">
        <v>0</v>
      </c>
    </row>
    <row r="4305" spans="1:44" x14ac:dyDescent="0.35">
      <c r="A4305" s="12" t="s">
        <v>5250</v>
      </c>
      <c r="B4305" s="12" t="s">
        <v>963</v>
      </c>
      <c r="C4305" s="12" t="s">
        <v>964</v>
      </c>
      <c r="D4305" s="12" t="s">
        <v>114</v>
      </c>
      <c r="E4305" s="12" t="s">
        <v>142</v>
      </c>
      <c r="F4305">
        <v>1</v>
      </c>
      <c r="G4305">
        <v>6</v>
      </c>
      <c r="H4305">
        <v>1</v>
      </c>
      <c r="I4305" s="12" t="s">
        <v>176</v>
      </c>
      <c r="J4305" s="12" t="s">
        <v>177</v>
      </c>
      <c r="K4305" s="12" t="s">
        <v>125</v>
      </c>
      <c r="L4305" s="12" t="s">
        <v>134</v>
      </c>
      <c r="M4305">
        <v>1.75</v>
      </c>
      <c r="N4305" s="12" t="s">
        <v>97</v>
      </c>
      <c r="O4305" s="12" t="s">
        <v>98</v>
      </c>
      <c r="P4305" s="12" t="s">
        <v>72</v>
      </c>
      <c r="Q4305" s="13">
        <v>45688</v>
      </c>
      <c r="R4305" s="13">
        <v>45732</v>
      </c>
      <c r="S4305">
        <v>2025</v>
      </c>
      <c r="T4305" s="12" t="s">
        <v>5047</v>
      </c>
      <c r="U4305">
        <v>84</v>
      </c>
      <c r="V4305">
        <v>194.16829999999999</v>
      </c>
      <c r="W4305">
        <v>122.5</v>
      </c>
      <c r="X4305">
        <v>0</v>
      </c>
      <c r="Y4305">
        <v>0</v>
      </c>
      <c r="Z4305">
        <v>16310.14</v>
      </c>
      <c r="AA4305">
        <v>16432.64</v>
      </c>
      <c r="AB4305" s="12" t="s">
        <v>3290</v>
      </c>
      <c r="AC4305">
        <v>194.16829999999999</v>
      </c>
      <c r="AD4305">
        <v>1</v>
      </c>
      <c r="AE4305">
        <v>1</v>
      </c>
      <c r="AF4305">
        <v>0</v>
      </c>
      <c r="AG4305">
        <v>16310.14</v>
      </c>
      <c r="AH4305">
        <v>84</v>
      </c>
      <c r="AI4305">
        <v>83</v>
      </c>
      <c r="AJ4305">
        <v>1</v>
      </c>
      <c r="AK4305">
        <v>1</v>
      </c>
      <c r="AL4305">
        <v>1</v>
      </c>
      <c r="AM4305">
        <v>98.81</v>
      </c>
      <c r="AN4305">
        <v>197.9836</v>
      </c>
      <c r="AO4305">
        <v>194.17</v>
      </c>
      <c r="AP4305" s="13">
        <v>45729</v>
      </c>
      <c r="AQ4305">
        <v>-3</v>
      </c>
      <c r="AR4305">
        <v>1</v>
      </c>
    </row>
    <row r="4306" spans="1:44" x14ac:dyDescent="0.35">
      <c r="A4306" s="12" t="s">
        <v>5251</v>
      </c>
      <c r="B4306" s="12" t="s">
        <v>1108</v>
      </c>
      <c r="C4306" s="12" t="s">
        <v>1109</v>
      </c>
      <c r="D4306" s="12" t="s">
        <v>103</v>
      </c>
      <c r="E4306" s="12" t="s">
        <v>65</v>
      </c>
      <c r="F4306">
        <v>3</v>
      </c>
      <c r="G4306">
        <v>4</v>
      </c>
      <c r="H4306">
        <v>0</v>
      </c>
      <c r="I4306" s="12" t="s">
        <v>79</v>
      </c>
      <c r="J4306" s="12" t="s">
        <v>80</v>
      </c>
      <c r="K4306" s="12" t="s">
        <v>81</v>
      </c>
      <c r="L4306" s="12" t="s">
        <v>82</v>
      </c>
      <c r="M4306">
        <v>12.07</v>
      </c>
      <c r="N4306" s="12" t="s">
        <v>107</v>
      </c>
      <c r="O4306" s="12" t="s">
        <v>108</v>
      </c>
      <c r="P4306" s="12" t="s">
        <v>109</v>
      </c>
      <c r="Q4306" s="13">
        <v>45688</v>
      </c>
      <c r="R4306" s="13">
        <v>45723</v>
      </c>
      <c r="S4306">
        <v>2025</v>
      </c>
      <c r="T4306" s="12" t="s">
        <v>5047</v>
      </c>
      <c r="U4306">
        <v>126</v>
      </c>
      <c r="V4306">
        <v>85.889600000000002</v>
      </c>
      <c r="W4306">
        <v>259.18</v>
      </c>
      <c r="X4306">
        <v>0</v>
      </c>
      <c r="Y4306">
        <v>0</v>
      </c>
      <c r="Z4306">
        <v>10822.09</v>
      </c>
      <c r="AA4306">
        <v>11081.27</v>
      </c>
      <c r="AB4306" s="12" t="s">
        <v>3269</v>
      </c>
      <c r="AC4306">
        <v>85.889600000000002</v>
      </c>
      <c r="AD4306">
        <v>1</v>
      </c>
      <c r="AE4306">
        <v>1</v>
      </c>
      <c r="AF4306">
        <v>0</v>
      </c>
      <c r="AG4306">
        <v>10822.09</v>
      </c>
      <c r="AH4306">
        <v>126</v>
      </c>
      <c r="AI4306">
        <v>124</v>
      </c>
      <c r="AJ4306">
        <v>2</v>
      </c>
      <c r="AK4306">
        <v>1</v>
      </c>
      <c r="AL4306">
        <v>1</v>
      </c>
      <c r="AM4306">
        <v>98.41</v>
      </c>
      <c r="AN4306">
        <v>89.365099999999998</v>
      </c>
      <c r="AO4306">
        <v>171.78</v>
      </c>
      <c r="AP4306" s="13">
        <v>45720</v>
      </c>
      <c r="AQ4306">
        <v>-3</v>
      </c>
      <c r="AR4306">
        <v>1</v>
      </c>
    </row>
    <row r="4307" spans="1:44" x14ac:dyDescent="0.35">
      <c r="A4307" s="12" t="s">
        <v>5252</v>
      </c>
      <c r="B4307" s="12" t="s">
        <v>408</v>
      </c>
      <c r="C4307" s="12" t="s">
        <v>409</v>
      </c>
      <c r="D4307" s="12" t="s">
        <v>130</v>
      </c>
      <c r="E4307" s="12" t="s">
        <v>65</v>
      </c>
      <c r="F4307">
        <v>3</v>
      </c>
      <c r="G4307">
        <v>5</v>
      </c>
      <c r="H4307">
        <v>0</v>
      </c>
      <c r="I4307" s="12" t="s">
        <v>105</v>
      </c>
      <c r="J4307" s="12" t="s">
        <v>106</v>
      </c>
      <c r="K4307" s="12" t="s">
        <v>81</v>
      </c>
      <c r="L4307" s="12" t="s">
        <v>96</v>
      </c>
      <c r="M4307">
        <v>5.01</v>
      </c>
      <c r="N4307" s="12" t="s">
        <v>135</v>
      </c>
      <c r="O4307" s="12" t="s">
        <v>136</v>
      </c>
      <c r="P4307" s="12" t="s">
        <v>137</v>
      </c>
      <c r="Q4307" s="13">
        <v>45688</v>
      </c>
      <c r="R4307" s="13">
        <v>45716</v>
      </c>
      <c r="S4307">
        <v>2025</v>
      </c>
      <c r="T4307" s="12" t="s">
        <v>5047</v>
      </c>
      <c r="U4307">
        <v>66</v>
      </c>
      <c r="V4307">
        <v>746.87909999999999</v>
      </c>
      <c r="W4307">
        <v>480.42</v>
      </c>
      <c r="X4307">
        <v>0</v>
      </c>
      <c r="Y4307">
        <v>0</v>
      </c>
      <c r="Z4307">
        <v>49294.02</v>
      </c>
      <c r="AA4307">
        <v>49774.44</v>
      </c>
      <c r="AB4307" s="12" t="s">
        <v>3038</v>
      </c>
      <c r="AC4307">
        <v>746.87909999999999</v>
      </c>
      <c r="AD4307">
        <v>1</v>
      </c>
      <c r="AE4307">
        <v>1</v>
      </c>
      <c r="AF4307">
        <v>0</v>
      </c>
      <c r="AG4307">
        <v>49294.02</v>
      </c>
      <c r="AH4307">
        <v>66</v>
      </c>
      <c r="AI4307">
        <v>65</v>
      </c>
      <c r="AJ4307">
        <v>1</v>
      </c>
      <c r="AK4307">
        <v>1</v>
      </c>
      <c r="AL4307">
        <v>1</v>
      </c>
      <c r="AM4307">
        <v>98.48</v>
      </c>
      <c r="AN4307">
        <v>765.76059999999995</v>
      </c>
      <c r="AO4307">
        <v>746.88</v>
      </c>
      <c r="AP4307" s="13">
        <v>45726</v>
      </c>
      <c r="AQ4307">
        <v>10</v>
      </c>
      <c r="AR4307">
        <v>0</v>
      </c>
    </row>
    <row r="4308" spans="1:44" x14ac:dyDescent="0.35">
      <c r="A4308" s="12" t="s">
        <v>5253</v>
      </c>
      <c r="B4308" s="12" t="s">
        <v>598</v>
      </c>
      <c r="C4308" s="12" t="s">
        <v>599</v>
      </c>
      <c r="D4308" s="12" t="s">
        <v>269</v>
      </c>
      <c r="E4308" s="12" t="s">
        <v>65</v>
      </c>
      <c r="F4308">
        <v>1</v>
      </c>
      <c r="G4308">
        <v>2</v>
      </c>
      <c r="H4308">
        <v>1</v>
      </c>
      <c r="I4308" s="12" t="s">
        <v>176</v>
      </c>
      <c r="J4308" s="12" t="s">
        <v>177</v>
      </c>
      <c r="K4308" s="12" t="s">
        <v>125</v>
      </c>
      <c r="L4308" s="12" t="s">
        <v>134</v>
      </c>
      <c r="M4308">
        <v>1.75</v>
      </c>
      <c r="N4308" s="12" t="s">
        <v>159</v>
      </c>
      <c r="O4308" s="12" t="s">
        <v>160</v>
      </c>
      <c r="P4308" s="12" t="s">
        <v>137</v>
      </c>
      <c r="Q4308" s="13">
        <v>45688</v>
      </c>
      <c r="R4308" s="13">
        <v>45710</v>
      </c>
      <c r="S4308">
        <v>2025</v>
      </c>
      <c r="T4308" s="12" t="s">
        <v>5047</v>
      </c>
      <c r="U4308">
        <v>25</v>
      </c>
      <c r="V4308">
        <v>454.53089999999997</v>
      </c>
      <c r="W4308">
        <v>141.82</v>
      </c>
      <c r="X4308">
        <v>0</v>
      </c>
      <c r="Y4308">
        <v>0</v>
      </c>
      <c r="Z4308">
        <v>11363.27</v>
      </c>
      <c r="AA4308">
        <v>11505.09</v>
      </c>
      <c r="AB4308" s="12" t="s">
        <v>3102</v>
      </c>
      <c r="AC4308">
        <v>454.53089999999997</v>
      </c>
      <c r="AD4308">
        <v>1</v>
      </c>
      <c r="AE4308">
        <v>1</v>
      </c>
      <c r="AF4308">
        <v>0</v>
      </c>
      <c r="AG4308">
        <v>11363.27</v>
      </c>
      <c r="AH4308">
        <v>25</v>
      </c>
      <c r="AI4308">
        <v>25</v>
      </c>
      <c r="AJ4308">
        <v>0</v>
      </c>
      <c r="AK4308">
        <v>1</v>
      </c>
      <c r="AL4308">
        <v>1</v>
      </c>
      <c r="AM4308">
        <v>100</v>
      </c>
      <c r="AN4308">
        <v>460.20370000000003</v>
      </c>
      <c r="AO4308">
        <v>0</v>
      </c>
      <c r="AP4308" s="13">
        <v>45707</v>
      </c>
      <c r="AQ4308">
        <v>-3</v>
      </c>
      <c r="AR4308">
        <v>1</v>
      </c>
    </row>
    <row r="4309" spans="1:44" x14ac:dyDescent="0.35">
      <c r="A4309" s="12" t="s">
        <v>5254</v>
      </c>
      <c r="B4309" s="12" t="s">
        <v>378</v>
      </c>
      <c r="C4309" s="12" t="s">
        <v>379</v>
      </c>
      <c r="D4309" s="12" t="s">
        <v>64</v>
      </c>
      <c r="E4309" s="12" t="s">
        <v>104</v>
      </c>
      <c r="F4309">
        <v>3</v>
      </c>
      <c r="G4309">
        <v>1</v>
      </c>
      <c r="H4309">
        <v>0</v>
      </c>
      <c r="I4309" s="12" t="s">
        <v>380</v>
      </c>
      <c r="J4309" s="12" t="s">
        <v>381</v>
      </c>
      <c r="K4309" s="12" t="s">
        <v>89</v>
      </c>
      <c r="L4309" s="12" t="s">
        <v>96</v>
      </c>
      <c r="M4309">
        <v>10.210000000000001</v>
      </c>
      <c r="N4309" s="12" t="s">
        <v>97</v>
      </c>
      <c r="O4309" s="12" t="s">
        <v>98</v>
      </c>
      <c r="P4309" s="12" t="s">
        <v>72</v>
      </c>
      <c r="Q4309" s="13">
        <v>45688</v>
      </c>
      <c r="R4309" s="13">
        <v>45708</v>
      </c>
      <c r="S4309">
        <v>2025</v>
      </c>
      <c r="T4309" s="12" t="s">
        <v>5047</v>
      </c>
      <c r="U4309">
        <v>520</v>
      </c>
      <c r="V4309">
        <v>15.734999999999999</v>
      </c>
      <c r="W4309">
        <v>90.9</v>
      </c>
      <c r="X4309">
        <v>0</v>
      </c>
      <c r="Y4309">
        <v>0</v>
      </c>
      <c r="Z4309">
        <v>8182.2</v>
      </c>
      <c r="AA4309">
        <v>8273.1</v>
      </c>
      <c r="AB4309" s="12" t="s">
        <v>2847</v>
      </c>
      <c r="AC4309">
        <v>15.734999999999999</v>
      </c>
      <c r="AD4309">
        <v>1</v>
      </c>
      <c r="AE4309">
        <v>1</v>
      </c>
      <c r="AF4309">
        <v>0</v>
      </c>
      <c r="AG4309">
        <v>8182.2</v>
      </c>
      <c r="AH4309">
        <v>520</v>
      </c>
      <c r="AI4309">
        <v>518</v>
      </c>
      <c r="AJ4309">
        <v>2</v>
      </c>
      <c r="AK4309">
        <v>1</v>
      </c>
      <c r="AL4309">
        <v>1</v>
      </c>
      <c r="AM4309">
        <v>99.62</v>
      </c>
      <c r="AN4309">
        <v>15.9712</v>
      </c>
      <c r="AO4309">
        <v>31.47</v>
      </c>
      <c r="AP4309" s="13">
        <v>45705</v>
      </c>
      <c r="AQ4309">
        <v>-3</v>
      </c>
      <c r="AR4309">
        <v>1</v>
      </c>
    </row>
    <row r="4310" spans="1:44" x14ac:dyDescent="0.35">
      <c r="A4310" s="12" t="s">
        <v>5255</v>
      </c>
      <c r="B4310" s="12" t="s">
        <v>155</v>
      </c>
      <c r="C4310" s="12" t="s">
        <v>156</v>
      </c>
      <c r="D4310" s="12" t="s">
        <v>130</v>
      </c>
      <c r="E4310" s="12" t="s">
        <v>104</v>
      </c>
      <c r="F4310">
        <v>3</v>
      </c>
      <c r="G4310">
        <v>1</v>
      </c>
      <c r="H4310">
        <v>0</v>
      </c>
      <c r="I4310" s="12" t="s">
        <v>157</v>
      </c>
      <c r="J4310" s="12" t="s">
        <v>158</v>
      </c>
      <c r="K4310" s="12" t="s">
        <v>117</v>
      </c>
      <c r="L4310" s="12" t="s">
        <v>96</v>
      </c>
      <c r="M4310">
        <v>4.72</v>
      </c>
      <c r="N4310" s="12" t="s">
        <v>135</v>
      </c>
      <c r="O4310" s="12" t="s">
        <v>136</v>
      </c>
      <c r="P4310" s="12" t="s">
        <v>137</v>
      </c>
      <c r="Q4310" s="13">
        <v>45688</v>
      </c>
      <c r="R4310" s="13">
        <v>45717</v>
      </c>
      <c r="S4310">
        <v>2025</v>
      </c>
      <c r="T4310" s="12" t="s">
        <v>5047</v>
      </c>
      <c r="U4310">
        <v>144</v>
      </c>
      <c r="V4310">
        <v>192.63730000000001</v>
      </c>
      <c r="W4310">
        <v>266.66000000000003</v>
      </c>
      <c r="X4310">
        <v>0</v>
      </c>
      <c r="Y4310">
        <v>0</v>
      </c>
      <c r="Z4310">
        <v>27739.77</v>
      </c>
      <c r="AA4310">
        <v>28006.43</v>
      </c>
      <c r="AB4310" s="12" t="s">
        <v>201</v>
      </c>
      <c r="AD4310">
        <v>0</v>
      </c>
      <c r="AE4310">
        <v>0</v>
      </c>
      <c r="AH4310">
        <v>144</v>
      </c>
      <c r="AI4310">
        <v>142</v>
      </c>
      <c r="AJ4310">
        <v>2</v>
      </c>
      <c r="AK4310">
        <v>1</v>
      </c>
      <c r="AL4310">
        <v>1</v>
      </c>
      <c r="AM4310">
        <v>98.61</v>
      </c>
      <c r="AN4310">
        <v>197.22839999999999</v>
      </c>
      <c r="AO4310">
        <v>385.27</v>
      </c>
      <c r="AP4310" s="13">
        <v>45715</v>
      </c>
      <c r="AQ4310">
        <v>-2</v>
      </c>
      <c r="AR4310">
        <v>1</v>
      </c>
    </row>
    <row r="4311" spans="1:44" x14ac:dyDescent="0.35">
      <c r="A4311" s="12" t="s">
        <v>5256</v>
      </c>
      <c r="B4311" s="12" t="s">
        <v>128</v>
      </c>
      <c r="C4311" s="12" t="s">
        <v>129</v>
      </c>
      <c r="D4311" s="12" t="s">
        <v>130</v>
      </c>
      <c r="E4311" s="12" t="s">
        <v>65</v>
      </c>
      <c r="F4311">
        <v>3</v>
      </c>
      <c r="G4311">
        <v>5</v>
      </c>
      <c r="H4311">
        <v>0</v>
      </c>
      <c r="I4311" s="12" t="s">
        <v>131</v>
      </c>
      <c r="J4311" s="12" t="s">
        <v>132</v>
      </c>
      <c r="K4311" s="12" t="s">
        <v>133</v>
      </c>
      <c r="L4311" s="12" t="s">
        <v>134</v>
      </c>
      <c r="M4311">
        <v>1.51</v>
      </c>
      <c r="N4311" s="12" t="s">
        <v>159</v>
      </c>
      <c r="O4311" s="12" t="s">
        <v>160</v>
      </c>
      <c r="P4311" s="12" t="s">
        <v>137</v>
      </c>
      <c r="Q4311" s="13">
        <v>45688</v>
      </c>
      <c r="R4311" s="13">
        <v>45721</v>
      </c>
      <c r="S4311">
        <v>2025</v>
      </c>
      <c r="T4311" s="12" t="s">
        <v>5047</v>
      </c>
      <c r="U4311">
        <v>105</v>
      </c>
      <c r="V4311">
        <v>369.86649999999997</v>
      </c>
      <c r="W4311">
        <v>323.77</v>
      </c>
      <c r="X4311">
        <v>0</v>
      </c>
      <c r="Y4311">
        <v>0</v>
      </c>
      <c r="Z4311">
        <v>38835.980000000003</v>
      </c>
      <c r="AA4311">
        <v>39159.75</v>
      </c>
      <c r="AB4311" s="12" t="s">
        <v>201</v>
      </c>
      <c r="AD4311">
        <v>0</v>
      </c>
      <c r="AE4311">
        <v>0</v>
      </c>
      <c r="AH4311">
        <v>105</v>
      </c>
      <c r="AI4311">
        <v>94</v>
      </c>
      <c r="AJ4311">
        <v>11</v>
      </c>
      <c r="AK4311">
        <v>1</v>
      </c>
      <c r="AL4311">
        <v>1</v>
      </c>
      <c r="AM4311">
        <v>89.52</v>
      </c>
      <c r="AN4311">
        <v>416.59309999999999</v>
      </c>
      <c r="AO4311">
        <v>4068.53</v>
      </c>
      <c r="AP4311" s="13">
        <v>45720</v>
      </c>
      <c r="AQ4311">
        <v>-1</v>
      </c>
      <c r="AR4311">
        <v>1</v>
      </c>
    </row>
    <row r="4312" spans="1:44" x14ac:dyDescent="0.35">
      <c r="A4312" s="12" t="s">
        <v>5257</v>
      </c>
      <c r="B4312" s="12" t="s">
        <v>193</v>
      </c>
      <c r="C4312" s="12" t="s">
        <v>194</v>
      </c>
      <c r="D4312" s="12" t="s">
        <v>114</v>
      </c>
      <c r="E4312" s="12" t="s">
        <v>65</v>
      </c>
      <c r="F4312">
        <v>3</v>
      </c>
      <c r="G4312">
        <v>4</v>
      </c>
      <c r="H4312">
        <v>0</v>
      </c>
      <c r="I4312" s="12" t="s">
        <v>195</v>
      </c>
      <c r="J4312" s="12" t="s">
        <v>196</v>
      </c>
      <c r="K4312" s="12" t="s">
        <v>117</v>
      </c>
      <c r="L4312" s="12" t="s">
        <v>134</v>
      </c>
      <c r="M4312">
        <v>4.7699999999999996</v>
      </c>
      <c r="N4312" s="12" t="s">
        <v>70</v>
      </c>
      <c r="O4312" s="12" t="s">
        <v>71</v>
      </c>
      <c r="P4312" s="12" t="s">
        <v>72</v>
      </c>
      <c r="Q4312" s="13">
        <v>45688</v>
      </c>
      <c r="R4312" s="13">
        <v>45710</v>
      </c>
      <c r="S4312">
        <v>2025</v>
      </c>
      <c r="T4312" s="12" t="s">
        <v>5047</v>
      </c>
      <c r="U4312">
        <v>22</v>
      </c>
      <c r="V4312">
        <v>108.66</v>
      </c>
      <c r="W4312">
        <v>25.23</v>
      </c>
      <c r="X4312">
        <v>0</v>
      </c>
      <c r="Y4312">
        <v>0</v>
      </c>
      <c r="Z4312">
        <v>2390.52</v>
      </c>
      <c r="AA4312">
        <v>2415.75</v>
      </c>
      <c r="AB4312" s="12" t="s">
        <v>5258</v>
      </c>
      <c r="AC4312">
        <v>104.5202</v>
      </c>
      <c r="AD4312">
        <v>1</v>
      </c>
      <c r="AE4312">
        <v>1</v>
      </c>
      <c r="AF4312">
        <v>91.08</v>
      </c>
      <c r="AG4312">
        <v>2299.44</v>
      </c>
      <c r="AH4312">
        <v>22</v>
      </c>
      <c r="AI4312">
        <v>22</v>
      </c>
      <c r="AJ4312">
        <v>0</v>
      </c>
      <c r="AK4312">
        <v>1</v>
      </c>
      <c r="AL4312">
        <v>1</v>
      </c>
      <c r="AM4312">
        <v>100</v>
      </c>
      <c r="AN4312">
        <v>109.8068</v>
      </c>
      <c r="AO4312">
        <v>0</v>
      </c>
      <c r="AP4312" s="13">
        <v>45707</v>
      </c>
      <c r="AQ4312">
        <v>-3</v>
      </c>
      <c r="AR4312">
        <v>1</v>
      </c>
    </row>
    <row r="4313" spans="1:44" x14ac:dyDescent="0.35">
      <c r="A4313" s="12" t="s">
        <v>5259</v>
      </c>
      <c r="B4313" s="12" t="s">
        <v>674</v>
      </c>
      <c r="C4313" s="12" t="s">
        <v>675</v>
      </c>
      <c r="D4313" s="12" t="s">
        <v>269</v>
      </c>
      <c r="E4313" s="12" t="s">
        <v>142</v>
      </c>
      <c r="F4313">
        <v>1</v>
      </c>
      <c r="G4313">
        <v>7</v>
      </c>
      <c r="H4313">
        <v>1</v>
      </c>
      <c r="I4313" s="12" t="s">
        <v>676</v>
      </c>
      <c r="J4313" s="12" t="s">
        <v>677</v>
      </c>
      <c r="K4313" s="12" t="s">
        <v>68</v>
      </c>
      <c r="L4313" s="12" t="s">
        <v>96</v>
      </c>
      <c r="M4313">
        <v>3.57</v>
      </c>
      <c r="N4313" s="12" t="s">
        <v>159</v>
      </c>
      <c r="O4313" s="12" t="s">
        <v>160</v>
      </c>
      <c r="P4313" s="12" t="s">
        <v>137</v>
      </c>
      <c r="Q4313" s="13">
        <v>45691</v>
      </c>
      <c r="R4313" s="13">
        <v>45730</v>
      </c>
      <c r="S4313">
        <v>2025</v>
      </c>
      <c r="T4313" s="12" t="s">
        <v>5260</v>
      </c>
      <c r="U4313">
        <v>47</v>
      </c>
      <c r="V4313">
        <v>358.21519999999998</v>
      </c>
      <c r="W4313">
        <v>143.38999999999999</v>
      </c>
      <c r="X4313">
        <v>0</v>
      </c>
      <c r="Y4313">
        <v>0</v>
      </c>
      <c r="Z4313">
        <v>16836.11</v>
      </c>
      <c r="AA4313">
        <v>16979.5</v>
      </c>
      <c r="AB4313" s="12" t="s">
        <v>201</v>
      </c>
      <c r="AD4313">
        <v>0</v>
      </c>
      <c r="AE4313">
        <v>0</v>
      </c>
      <c r="AH4313">
        <v>47</v>
      </c>
      <c r="AI4313">
        <v>46</v>
      </c>
      <c r="AJ4313">
        <v>1</v>
      </c>
      <c r="AK4313">
        <v>1</v>
      </c>
      <c r="AL4313">
        <v>1</v>
      </c>
      <c r="AM4313">
        <v>97.87</v>
      </c>
      <c r="AN4313">
        <v>369.11970000000002</v>
      </c>
      <c r="AO4313">
        <v>358.22</v>
      </c>
      <c r="AP4313" s="13">
        <v>45729</v>
      </c>
      <c r="AQ4313">
        <v>-1</v>
      </c>
      <c r="AR4313">
        <v>1</v>
      </c>
    </row>
    <row r="4314" spans="1:44" x14ac:dyDescent="0.35">
      <c r="A4314" s="12" t="s">
        <v>5261</v>
      </c>
      <c r="B4314" s="12" t="s">
        <v>706</v>
      </c>
      <c r="C4314" s="12" t="s">
        <v>707</v>
      </c>
      <c r="D4314" s="12" t="s">
        <v>130</v>
      </c>
      <c r="E4314" s="12" t="s">
        <v>142</v>
      </c>
      <c r="F4314">
        <v>1</v>
      </c>
      <c r="G4314">
        <v>8</v>
      </c>
      <c r="H4314">
        <v>1</v>
      </c>
      <c r="I4314" s="12" t="s">
        <v>263</v>
      </c>
      <c r="J4314" s="12" t="s">
        <v>264</v>
      </c>
      <c r="K4314" s="12" t="s">
        <v>125</v>
      </c>
      <c r="L4314" s="12" t="s">
        <v>82</v>
      </c>
      <c r="M4314">
        <v>10.210000000000001</v>
      </c>
      <c r="N4314" s="12" t="s">
        <v>135</v>
      </c>
      <c r="O4314" s="12" t="s">
        <v>136</v>
      </c>
      <c r="P4314" s="12" t="s">
        <v>137</v>
      </c>
      <c r="Q4314" s="13">
        <v>45691</v>
      </c>
      <c r="R4314" s="13">
        <v>45726</v>
      </c>
      <c r="S4314">
        <v>2025</v>
      </c>
      <c r="T4314" s="12" t="s">
        <v>5260</v>
      </c>
      <c r="U4314">
        <v>10</v>
      </c>
      <c r="V4314">
        <v>277.214</v>
      </c>
      <c r="W4314">
        <v>49.95</v>
      </c>
      <c r="X4314">
        <v>0</v>
      </c>
      <c r="Y4314">
        <v>0</v>
      </c>
      <c r="Z4314">
        <v>2772.14</v>
      </c>
      <c r="AA4314">
        <v>2822.09</v>
      </c>
      <c r="AB4314" s="12" t="s">
        <v>3434</v>
      </c>
      <c r="AC4314">
        <v>277.214</v>
      </c>
      <c r="AD4314">
        <v>1</v>
      </c>
      <c r="AE4314">
        <v>1</v>
      </c>
      <c r="AF4314">
        <v>0</v>
      </c>
      <c r="AG4314">
        <v>2772.14</v>
      </c>
      <c r="AH4314">
        <v>10</v>
      </c>
      <c r="AI4314">
        <v>10</v>
      </c>
      <c r="AJ4314">
        <v>0</v>
      </c>
      <c r="AK4314">
        <v>1</v>
      </c>
      <c r="AL4314">
        <v>1</v>
      </c>
      <c r="AM4314">
        <v>100</v>
      </c>
      <c r="AN4314">
        <v>282.209</v>
      </c>
      <c r="AO4314">
        <v>0</v>
      </c>
      <c r="AP4314" s="13">
        <v>45725</v>
      </c>
      <c r="AQ4314">
        <v>-1</v>
      </c>
      <c r="AR4314">
        <v>1</v>
      </c>
    </row>
    <row r="4315" spans="1:44" x14ac:dyDescent="0.35">
      <c r="A4315" s="12" t="s">
        <v>5262</v>
      </c>
      <c r="B4315" s="12" t="s">
        <v>261</v>
      </c>
      <c r="C4315" s="12" t="s">
        <v>262</v>
      </c>
      <c r="D4315" s="12" t="s">
        <v>114</v>
      </c>
      <c r="E4315" s="12" t="s">
        <v>142</v>
      </c>
      <c r="F4315">
        <v>1</v>
      </c>
      <c r="G4315">
        <v>8</v>
      </c>
      <c r="H4315">
        <v>1</v>
      </c>
      <c r="I4315" s="12" t="s">
        <v>263</v>
      </c>
      <c r="J4315" s="12" t="s">
        <v>264</v>
      </c>
      <c r="K4315" s="12" t="s">
        <v>125</v>
      </c>
      <c r="L4315" s="12" t="s">
        <v>82</v>
      </c>
      <c r="M4315">
        <v>10.210000000000001</v>
      </c>
      <c r="N4315" s="12" t="s">
        <v>70</v>
      </c>
      <c r="O4315" s="12" t="s">
        <v>71</v>
      </c>
      <c r="P4315" s="12" t="s">
        <v>72</v>
      </c>
      <c r="Q4315" s="13">
        <v>45691</v>
      </c>
      <c r="R4315" s="13">
        <v>45738</v>
      </c>
      <c r="S4315">
        <v>2025</v>
      </c>
      <c r="T4315" s="12" t="s">
        <v>5260</v>
      </c>
      <c r="U4315">
        <v>106</v>
      </c>
      <c r="V4315">
        <v>157.67019999999999</v>
      </c>
      <c r="W4315">
        <v>327.84</v>
      </c>
      <c r="X4315">
        <v>0</v>
      </c>
      <c r="Y4315">
        <v>0</v>
      </c>
      <c r="Z4315">
        <v>16713.04</v>
      </c>
      <c r="AA4315">
        <v>17040.88</v>
      </c>
      <c r="AB4315" s="12" t="s">
        <v>201</v>
      </c>
      <c r="AD4315">
        <v>0</v>
      </c>
      <c r="AE4315">
        <v>0</v>
      </c>
      <c r="AH4315">
        <v>106</v>
      </c>
      <c r="AI4315">
        <v>105</v>
      </c>
      <c r="AJ4315">
        <v>1</v>
      </c>
      <c r="AK4315">
        <v>1</v>
      </c>
      <c r="AL4315">
        <v>1</v>
      </c>
      <c r="AM4315">
        <v>99.06</v>
      </c>
      <c r="AN4315">
        <v>162.29409999999999</v>
      </c>
      <c r="AO4315">
        <v>157.66999999999999</v>
      </c>
      <c r="AP4315" s="13">
        <v>45737</v>
      </c>
      <c r="AQ4315">
        <v>-1</v>
      </c>
      <c r="AR4315">
        <v>1</v>
      </c>
    </row>
    <row r="4316" spans="1:44" x14ac:dyDescent="0.35">
      <c r="A4316" s="12" t="s">
        <v>5263</v>
      </c>
      <c r="B4316" s="12" t="s">
        <v>694</v>
      </c>
      <c r="C4316" s="12" t="s">
        <v>695</v>
      </c>
      <c r="D4316" s="12" t="s">
        <v>103</v>
      </c>
      <c r="E4316" s="12" t="s">
        <v>65</v>
      </c>
      <c r="F4316">
        <v>2</v>
      </c>
      <c r="G4316">
        <v>3</v>
      </c>
      <c r="H4316">
        <v>0</v>
      </c>
      <c r="I4316" s="12" t="s">
        <v>263</v>
      </c>
      <c r="J4316" s="12" t="s">
        <v>264</v>
      </c>
      <c r="K4316" s="12" t="s">
        <v>125</v>
      </c>
      <c r="L4316" s="12" t="s">
        <v>82</v>
      </c>
      <c r="M4316">
        <v>10.210000000000001</v>
      </c>
      <c r="N4316" s="12" t="s">
        <v>145</v>
      </c>
      <c r="O4316" s="12" t="s">
        <v>146</v>
      </c>
      <c r="P4316" s="12" t="s">
        <v>109</v>
      </c>
      <c r="Q4316" s="13">
        <v>45691</v>
      </c>
      <c r="R4316" s="13">
        <v>45720</v>
      </c>
      <c r="S4316">
        <v>2025</v>
      </c>
      <c r="T4316" s="12" t="s">
        <v>5260</v>
      </c>
      <c r="U4316">
        <v>75</v>
      </c>
      <c r="V4316">
        <v>211.1463</v>
      </c>
      <c r="W4316">
        <v>187.48</v>
      </c>
      <c r="X4316">
        <v>0</v>
      </c>
      <c r="Y4316">
        <v>0</v>
      </c>
      <c r="Z4316">
        <v>15835.97</v>
      </c>
      <c r="AA4316">
        <v>16023.45</v>
      </c>
      <c r="AB4316" s="12" t="s">
        <v>3377</v>
      </c>
      <c r="AC4316">
        <v>211.1463</v>
      </c>
      <c r="AD4316">
        <v>1</v>
      </c>
      <c r="AE4316">
        <v>1</v>
      </c>
      <c r="AF4316">
        <v>0</v>
      </c>
      <c r="AG4316">
        <v>15835.97</v>
      </c>
      <c r="AH4316">
        <v>75</v>
      </c>
      <c r="AI4316">
        <v>74</v>
      </c>
      <c r="AJ4316">
        <v>1</v>
      </c>
      <c r="AK4316">
        <v>1</v>
      </c>
      <c r="AL4316">
        <v>1</v>
      </c>
      <c r="AM4316">
        <v>98.67</v>
      </c>
      <c r="AN4316">
        <v>216.53309999999999</v>
      </c>
      <c r="AO4316">
        <v>211.15</v>
      </c>
      <c r="AP4316" s="13">
        <v>45724</v>
      </c>
      <c r="AQ4316">
        <v>4</v>
      </c>
      <c r="AR4316">
        <v>0</v>
      </c>
    </row>
    <row r="4317" spans="1:44" x14ac:dyDescent="0.35">
      <c r="A4317" s="12" t="s">
        <v>5264</v>
      </c>
      <c r="B4317" s="12" t="s">
        <v>357</v>
      </c>
      <c r="C4317" s="12" t="s">
        <v>358</v>
      </c>
      <c r="D4317" s="12" t="s">
        <v>103</v>
      </c>
      <c r="E4317" s="12" t="s">
        <v>104</v>
      </c>
      <c r="F4317">
        <v>3</v>
      </c>
      <c r="G4317">
        <v>1</v>
      </c>
      <c r="H4317">
        <v>0</v>
      </c>
      <c r="I4317" s="12" t="s">
        <v>105</v>
      </c>
      <c r="J4317" s="12" t="s">
        <v>106</v>
      </c>
      <c r="K4317" s="12" t="s">
        <v>81</v>
      </c>
      <c r="L4317" s="12" t="s">
        <v>96</v>
      </c>
      <c r="M4317">
        <v>5.01</v>
      </c>
      <c r="N4317" s="12" t="s">
        <v>107</v>
      </c>
      <c r="O4317" s="12" t="s">
        <v>108</v>
      </c>
      <c r="P4317" s="12" t="s">
        <v>109</v>
      </c>
      <c r="Q4317" s="13">
        <v>45691</v>
      </c>
      <c r="R4317" s="13">
        <v>45703</v>
      </c>
      <c r="S4317">
        <v>2025</v>
      </c>
      <c r="T4317" s="12" t="s">
        <v>5260</v>
      </c>
      <c r="U4317">
        <v>13</v>
      </c>
      <c r="V4317">
        <v>106.63800000000001</v>
      </c>
      <c r="W4317">
        <v>21.32</v>
      </c>
      <c r="X4317">
        <v>0</v>
      </c>
      <c r="Y4317">
        <v>0</v>
      </c>
      <c r="Z4317">
        <v>1386.29</v>
      </c>
      <c r="AA4317">
        <v>1407.61</v>
      </c>
      <c r="AB4317" s="12" t="s">
        <v>5265</v>
      </c>
      <c r="AC4317">
        <v>106.63800000000001</v>
      </c>
      <c r="AD4317">
        <v>1</v>
      </c>
      <c r="AE4317">
        <v>1</v>
      </c>
      <c r="AF4317">
        <v>0</v>
      </c>
      <c r="AG4317">
        <v>1386.29</v>
      </c>
      <c r="AH4317">
        <v>13</v>
      </c>
      <c r="AI4317">
        <v>13</v>
      </c>
      <c r="AJ4317">
        <v>0</v>
      </c>
      <c r="AK4317">
        <v>1</v>
      </c>
      <c r="AL4317">
        <v>1</v>
      </c>
      <c r="AM4317">
        <v>100</v>
      </c>
      <c r="AN4317">
        <v>108.27800000000001</v>
      </c>
      <c r="AO4317">
        <v>0</v>
      </c>
      <c r="AP4317" s="13">
        <v>45700</v>
      </c>
      <c r="AQ4317">
        <v>-3</v>
      </c>
      <c r="AR4317">
        <v>1</v>
      </c>
    </row>
    <row r="4318" spans="1:44" x14ac:dyDescent="0.35">
      <c r="A4318" s="12" t="s">
        <v>5266</v>
      </c>
      <c r="B4318" s="12" t="s">
        <v>140</v>
      </c>
      <c r="C4318" s="12" t="s">
        <v>141</v>
      </c>
      <c r="D4318" s="12" t="s">
        <v>103</v>
      </c>
      <c r="E4318" s="12" t="s">
        <v>142</v>
      </c>
      <c r="F4318">
        <v>1</v>
      </c>
      <c r="G4318">
        <v>7</v>
      </c>
      <c r="H4318">
        <v>1</v>
      </c>
      <c r="I4318" s="12" t="s">
        <v>143</v>
      </c>
      <c r="J4318" s="12" t="s">
        <v>144</v>
      </c>
      <c r="K4318" s="12" t="s">
        <v>133</v>
      </c>
      <c r="L4318" s="12" t="s">
        <v>96</v>
      </c>
      <c r="M4318">
        <v>5.43</v>
      </c>
      <c r="N4318" s="12" t="s">
        <v>107</v>
      </c>
      <c r="O4318" s="12" t="s">
        <v>108</v>
      </c>
      <c r="P4318" s="12" t="s">
        <v>109</v>
      </c>
      <c r="Q4318" s="13">
        <v>45691</v>
      </c>
      <c r="R4318" s="13">
        <v>45737</v>
      </c>
      <c r="S4318">
        <v>2025</v>
      </c>
      <c r="T4318" s="12" t="s">
        <v>5260</v>
      </c>
      <c r="U4318">
        <v>101</v>
      </c>
      <c r="V4318">
        <v>218.9973</v>
      </c>
      <c r="W4318">
        <v>235.82</v>
      </c>
      <c r="X4318">
        <v>0</v>
      </c>
      <c r="Y4318">
        <v>0</v>
      </c>
      <c r="Z4318">
        <v>22118.73</v>
      </c>
      <c r="AA4318">
        <v>22354.55</v>
      </c>
      <c r="AB4318" s="12" t="s">
        <v>5126</v>
      </c>
      <c r="AC4318">
        <v>210.93029999999999</v>
      </c>
      <c r="AD4318">
        <v>1</v>
      </c>
      <c r="AE4318">
        <v>1</v>
      </c>
      <c r="AF4318">
        <v>814.77</v>
      </c>
      <c r="AG4318">
        <v>21303.96</v>
      </c>
      <c r="AH4318">
        <v>101</v>
      </c>
      <c r="AI4318">
        <v>100</v>
      </c>
      <c r="AJ4318">
        <v>1</v>
      </c>
      <c r="AK4318">
        <v>1</v>
      </c>
      <c r="AL4318">
        <v>1</v>
      </c>
      <c r="AM4318">
        <v>99.01</v>
      </c>
      <c r="AN4318">
        <v>223.5455</v>
      </c>
      <c r="AO4318">
        <v>219</v>
      </c>
      <c r="AP4318" s="13">
        <v>45734</v>
      </c>
      <c r="AQ4318">
        <v>-3</v>
      </c>
      <c r="AR4318">
        <v>1</v>
      </c>
    </row>
    <row r="4319" spans="1:44" x14ac:dyDescent="0.35">
      <c r="A4319" s="12" t="s">
        <v>5267</v>
      </c>
      <c r="B4319" s="12" t="s">
        <v>670</v>
      </c>
      <c r="C4319" s="12" t="s">
        <v>671</v>
      </c>
      <c r="D4319" s="12" t="s">
        <v>175</v>
      </c>
      <c r="E4319" s="12" t="s">
        <v>142</v>
      </c>
      <c r="F4319">
        <v>2</v>
      </c>
      <c r="G4319">
        <v>9</v>
      </c>
      <c r="H4319">
        <v>0</v>
      </c>
      <c r="I4319" s="12" t="s">
        <v>233</v>
      </c>
      <c r="J4319" s="12" t="s">
        <v>234</v>
      </c>
      <c r="K4319" s="12" t="s">
        <v>125</v>
      </c>
      <c r="L4319" s="12" t="s">
        <v>96</v>
      </c>
      <c r="M4319">
        <v>3.73</v>
      </c>
      <c r="N4319" s="12" t="s">
        <v>145</v>
      </c>
      <c r="O4319" s="12" t="s">
        <v>146</v>
      </c>
      <c r="P4319" s="12" t="s">
        <v>109</v>
      </c>
      <c r="Q4319" s="13">
        <v>45691</v>
      </c>
      <c r="R4319" s="13">
        <v>45737</v>
      </c>
      <c r="S4319">
        <v>2025</v>
      </c>
      <c r="T4319" s="12" t="s">
        <v>5260</v>
      </c>
      <c r="U4319">
        <v>99</v>
      </c>
      <c r="V4319">
        <v>147.6302</v>
      </c>
      <c r="W4319">
        <v>255.31</v>
      </c>
      <c r="X4319">
        <v>0</v>
      </c>
      <c r="Y4319">
        <v>0</v>
      </c>
      <c r="Z4319">
        <v>14615.39</v>
      </c>
      <c r="AA4319">
        <v>14870.7</v>
      </c>
      <c r="AB4319" s="12" t="s">
        <v>4026</v>
      </c>
      <c r="AC4319">
        <v>147.6302</v>
      </c>
      <c r="AD4319">
        <v>1</v>
      </c>
      <c r="AE4319">
        <v>1</v>
      </c>
      <c r="AF4319">
        <v>0</v>
      </c>
      <c r="AG4319">
        <v>14615.39</v>
      </c>
      <c r="AH4319">
        <v>99</v>
      </c>
      <c r="AI4319">
        <v>98</v>
      </c>
      <c r="AJ4319">
        <v>1</v>
      </c>
      <c r="AK4319">
        <v>1</v>
      </c>
      <c r="AL4319">
        <v>1</v>
      </c>
      <c r="AM4319">
        <v>98.99</v>
      </c>
      <c r="AN4319">
        <v>151.74180000000001</v>
      </c>
      <c r="AO4319">
        <v>147.63</v>
      </c>
      <c r="AP4319" s="13">
        <v>45737</v>
      </c>
      <c r="AQ4319">
        <v>0</v>
      </c>
      <c r="AR4319">
        <v>1</v>
      </c>
    </row>
    <row r="4320" spans="1:44" x14ac:dyDescent="0.35">
      <c r="A4320" s="12" t="s">
        <v>5268</v>
      </c>
      <c r="B4320" s="12" t="s">
        <v>902</v>
      </c>
      <c r="C4320" s="12" t="s">
        <v>903</v>
      </c>
      <c r="D4320" s="12" t="s">
        <v>122</v>
      </c>
      <c r="E4320" s="12" t="s">
        <v>142</v>
      </c>
      <c r="F4320">
        <v>1</v>
      </c>
      <c r="G4320">
        <v>6</v>
      </c>
      <c r="H4320">
        <v>1</v>
      </c>
      <c r="I4320" s="12" t="s">
        <v>105</v>
      </c>
      <c r="J4320" s="12" t="s">
        <v>106</v>
      </c>
      <c r="K4320" s="12" t="s">
        <v>81</v>
      </c>
      <c r="L4320" s="12" t="s">
        <v>96</v>
      </c>
      <c r="M4320">
        <v>5.01</v>
      </c>
      <c r="N4320" s="12" t="s">
        <v>97</v>
      </c>
      <c r="O4320" s="12" t="s">
        <v>98</v>
      </c>
      <c r="P4320" s="12" t="s">
        <v>72</v>
      </c>
      <c r="Q4320" s="13">
        <v>45691</v>
      </c>
      <c r="R4320" s="13">
        <v>45732</v>
      </c>
      <c r="S4320">
        <v>2025</v>
      </c>
      <c r="T4320" s="12" t="s">
        <v>5260</v>
      </c>
      <c r="U4320">
        <v>837</v>
      </c>
      <c r="V4320">
        <v>41.6892</v>
      </c>
      <c r="W4320">
        <v>534.65</v>
      </c>
      <c r="X4320">
        <v>0</v>
      </c>
      <c r="Y4320">
        <v>0</v>
      </c>
      <c r="Z4320">
        <v>34893.86</v>
      </c>
      <c r="AA4320">
        <v>35428.51</v>
      </c>
      <c r="AB4320" s="12" t="s">
        <v>3284</v>
      </c>
      <c r="AC4320">
        <v>41.6892</v>
      </c>
      <c r="AD4320">
        <v>1</v>
      </c>
      <c r="AE4320">
        <v>1</v>
      </c>
      <c r="AF4320">
        <v>0</v>
      </c>
      <c r="AG4320">
        <v>34893.86</v>
      </c>
      <c r="AH4320">
        <v>837</v>
      </c>
      <c r="AI4320">
        <v>833</v>
      </c>
      <c r="AJ4320">
        <v>4</v>
      </c>
      <c r="AK4320">
        <v>1</v>
      </c>
      <c r="AL4320">
        <v>1</v>
      </c>
      <c r="AM4320">
        <v>99.52</v>
      </c>
      <c r="AN4320">
        <v>42.531199999999998</v>
      </c>
      <c r="AO4320">
        <v>166.76</v>
      </c>
      <c r="AP4320" s="13">
        <v>45733</v>
      </c>
      <c r="AQ4320">
        <v>1</v>
      </c>
      <c r="AR4320">
        <v>0</v>
      </c>
    </row>
    <row r="4321" spans="1:44" x14ac:dyDescent="0.35">
      <c r="A4321" s="12" t="s">
        <v>5269</v>
      </c>
      <c r="B4321" s="12" t="s">
        <v>509</v>
      </c>
      <c r="C4321" s="12" t="s">
        <v>510</v>
      </c>
      <c r="D4321" s="12" t="s">
        <v>78</v>
      </c>
      <c r="E4321" s="12" t="s">
        <v>142</v>
      </c>
      <c r="F4321">
        <v>3</v>
      </c>
      <c r="G4321">
        <v>11</v>
      </c>
      <c r="H4321">
        <v>0</v>
      </c>
      <c r="I4321" s="12" t="s">
        <v>176</v>
      </c>
      <c r="J4321" s="12" t="s">
        <v>177</v>
      </c>
      <c r="K4321" s="12" t="s">
        <v>125</v>
      </c>
      <c r="L4321" s="12" t="s">
        <v>134</v>
      </c>
      <c r="M4321">
        <v>1.75</v>
      </c>
      <c r="N4321" s="12" t="s">
        <v>70</v>
      </c>
      <c r="O4321" s="12" t="s">
        <v>71</v>
      </c>
      <c r="P4321" s="12" t="s">
        <v>72</v>
      </c>
      <c r="Q4321" s="13">
        <v>45691</v>
      </c>
      <c r="R4321" s="13">
        <v>45738</v>
      </c>
      <c r="S4321">
        <v>2025</v>
      </c>
      <c r="T4321" s="12" t="s">
        <v>5260</v>
      </c>
      <c r="U4321">
        <v>216</v>
      </c>
      <c r="V4321">
        <v>138.04349999999999</v>
      </c>
      <c r="W4321">
        <v>608.46</v>
      </c>
      <c r="X4321">
        <v>0</v>
      </c>
      <c r="Y4321">
        <v>0</v>
      </c>
      <c r="Z4321">
        <v>29817.4</v>
      </c>
      <c r="AA4321">
        <v>30425.86</v>
      </c>
      <c r="AB4321" s="12" t="s">
        <v>201</v>
      </c>
      <c r="AD4321">
        <v>0</v>
      </c>
      <c r="AE4321">
        <v>0</v>
      </c>
      <c r="AH4321">
        <v>216</v>
      </c>
      <c r="AI4321">
        <v>214</v>
      </c>
      <c r="AJ4321">
        <v>2</v>
      </c>
      <c r="AK4321">
        <v>1</v>
      </c>
      <c r="AL4321">
        <v>1</v>
      </c>
      <c r="AM4321">
        <v>99.07</v>
      </c>
      <c r="AN4321">
        <v>142.17689999999999</v>
      </c>
      <c r="AO4321">
        <v>276.08999999999997</v>
      </c>
      <c r="AP4321" s="13">
        <v>45736</v>
      </c>
      <c r="AQ4321">
        <v>-2</v>
      </c>
      <c r="AR4321">
        <v>1</v>
      </c>
    </row>
    <row r="4322" spans="1:44" x14ac:dyDescent="0.35">
      <c r="A4322" s="12" t="s">
        <v>5270</v>
      </c>
      <c r="B4322" s="12" t="s">
        <v>792</v>
      </c>
      <c r="C4322" s="12" t="s">
        <v>793</v>
      </c>
      <c r="D4322" s="12" t="s">
        <v>103</v>
      </c>
      <c r="E4322" s="12" t="s">
        <v>65</v>
      </c>
      <c r="F4322">
        <v>2</v>
      </c>
      <c r="G4322">
        <v>3</v>
      </c>
      <c r="H4322">
        <v>0</v>
      </c>
      <c r="I4322" s="12" t="s">
        <v>115</v>
      </c>
      <c r="J4322" s="12" t="s">
        <v>116</v>
      </c>
      <c r="K4322" s="12" t="s">
        <v>117</v>
      </c>
      <c r="L4322" s="12" t="s">
        <v>82</v>
      </c>
      <c r="M4322">
        <v>17.170000000000002</v>
      </c>
      <c r="N4322" s="12" t="s">
        <v>145</v>
      </c>
      <c r="O4322" s="12" t="s">
        <v>146</v>
      </c>
      <c r="P4322" s="12" t="s">
        <v>109</v>
      </c>
      <c r="Q4322" s="13">
        <v>45691</v>
      </c>
      <c r="R4322" s="13">
        <v>45718</v>
      </c>
      <c r="S4322">
        <v>2025</v>
      </c>
      <c r="T4322" s="12" t="s">
        <v>5260</v>
      </c>
      <c r="U4322">
        <v>60</v>
      </c>
      <c r="V4322">
        <v>98.330600000000004</v>
      </c>
      <c r="W4322">
        <v>135.01</v>
      </c>
      <c r="X4322">
        <v>0</v>
      </c>
      <c r="Y4322">
        <v>0</v>
      </c>
      <c r="Z4322">
        <v>5899.84</v>
      </c>
      <c r="AA4322">
        <v>6034.85</v>
      </c>
      <c r="AB4322" s="12" t="s">
        <v>3411</v>
      </c>
      <c r="AC4322">
        <v>98.330600000000004</v>
      </c>
      <c r="AD4322">
        <v>1</v>
      </c>
      <c r="AE4322">
        <v>1</v>
      </c>
      <c r="AF4322">
        <v>0</v>
      </c>
      <c r="AG4322">
        <v>5899.84</v>
      </c>
      <c r="AH4322">
        <v>60</v>
      </c>
      <c r="AI4322">
        <v>59</v>
      </c>
      <c r="AJ4322">
        <v>1</v>
      </c>
      <c r="AK4322">
        <v>1</v>
      </c>
      <c r="AL4322">
        <v>1</v>
      </c>
      <c r="AM4322">
        <v>98.33</v>
      </c>
      <c r="AN4322">
        <v>102.2855</v>
      </c>
      <c r="AO4322">
        <v>98.33</v>
      </c>
      <c r="AP4322" s="13">
        <v>45717</v>
      </c>
      <c r="AQ4322">
        <v>-1</v>
      </c>
      <c r="AR4322">
        <v>1</v>
      </c>
    </row>
    <row r="4323" spans="1:44" x14ac:dyDescent="0.35">
      <c r="A4323" s="12" t="s">
        <v>5271</v>
      </c>
      <c r="B4323" s="12" t="s">
        <v>149</v>
      </c>
      <c r="C4323" s="12" t="s">
        <v>150</v>
      </c>
      <c r="D4323" s="12" t="s">
        <v>78</v>
      </c>
      <c r="E4323" s="12" t="s">
        <v>65</v>
      </c>
      <c r="F4323">
        <v>2</v>
      </c>
      <c r="G4323">
        <v>2</v>
      </c>
      <c r="H4323">
        <v>0</v>
      </c>
      <c r="I4323" s="12" t="s">
        <v>169</v>
      </c>
      <c r="J4323" s="12" t="s">
        <v>170</v>
      </c>
      <c r="K4323" s="12" t="s">
        <v>89</v>
      </c>
      <c r="L4323" s="12" t="s">
        <v>134</v>
      </c>
      <c r="M4323">
        <v>1.37</v>
      </c>
      <c r="N4323" s="12" t="s">
        <v>97</v>
      </c>
      <c r="O4323" s="12" t="s">
        <v>98</v>
      </c>
      <c r="P4323" s="12" t="s">
        <v>72</v>
      </c>
      <c r="Q4323" s="13">
        <v>45692</v>
      </c>
      <c r="R4323" s="13">
        <v>45730</v>
      </c>
      <c r="S4323">
        <v>2025</v>
      </c>
      <c r="T4323" s="12" t="s">
        <v>5260</v>
      </c>
      <c r="U4323">
        <v>287</v>
      </c>
      <c r="V4323">
        <v>75.088099999999997</v>
      </c>
      <c r="W4323">
        <v>253.9</v>
      </c>
      <c r="X4323">
        <v>0</v>
      </c>
      <c r="Y4323">
        <v>0</v>
      </c>
      <c r="Z4323">
        <v>21550.28</v>
      </c>
      <c r="AA4323">
        <v>21804.18</v>
      </c>
      <c r="AB4323" s="12" t="s">
        <v>201</v>
      </c>
      <c r="AD4323">
        <v>0</v>
      </c>
      <c r="AE4323">
        <v>0</v>
      </c>
      <c r="AH4323">
        <v>287</v>
      </c>
      <c r="AI4323">
        <v>281</v>
      </c>
      <c r="AJ4323">
        <v>6</v>
      </c>
      <c r="AK4323">
        <v>1</v>
      </c>
      <c r="AL4323">
        <v>1</v>
      </c>
      <c r="AM4323">
        <v>97.91</v>
      </c>
      <c r="AN4323">
        <v>77.594999999999999</v>
      </c>
      <c r="AO4323">
        <v>450.53</v>
      </c>
      <c r="AP4323" s="13">
        <v>45727</v>
      </c>
      <c r="AQ4323">
        <v>-3</v>
      </c>
      <c r="AR4323">
        <v>1</v>
      </c>
    </row>
    <row r="4324" spans="1:44" x14ac:dyDescent="0.35">
      <c r="A4324" s="12" t="s">
        <v>5272</v>
      </c>
      <c r="B4324" s="12" t="s">
        <v>404</v>
      </c>
      <c r="C4324" s="12" t="s">
        <v>405</v>
      </c>
      <c r="D4324" s="12" t="s">
        <v>269</v>
      </c>
      <c r="E4324" s="12" t="s">
        <v>65</v>
      </c>
      <c r="F4324">
        <v>3</v>
      </c>
      <c r="G4324">
        <v>5</v>
      </c>
      <c r="H4324">
        <v>0</v>
      </c>
      <c r="I4324" s="12" t="s">
        <v>79</v>
      </c>
      <c r="J4324" s="12" t="s">
        <v>80</v>
      </c>
      <c r="K4324" s="12" t="s">
        <v>81</v>
      </c>
      <c r="L4324" s="12" t="s">
        <v>82</v>
      </c>
      <c r="M4324">
        <v>12.07</v>
      </c>
      <c r="N4324" s="12" t="s">
        <v>135</v>
      </c>
      <c r="O4324" s="12" t="s">
        <v>136</v>
      </c>
      <c r="P4324" s="12" t="s">
        <v>137</v>
      </c>
      <c r="Q4324" s="13">
        <v>45692</v>
      </c>
      <c r="R4324" s="13">
        <v>45724</v>
      </c>
      <c r="S4324">
        <v>2025</v>
      </c>
      <c r="T4324" s="12" t="s">
        <v>5260</v>
      </c>
      <c r="U4324">
        <v>98</v>
      </c>
      <c r="V4324">
        <v>430.2559</v>
      </c>
      <c r="W4324">
        <v>561.25</v>
      </c>
      <c r="X4324">
        <v>0</v>
      </c>
      <c r="Y4324">
        <v>0</v>
      </c>
      <c r="Z4324">
        <v>42165.08</v>
      </c>
      <c r="AA4324">
        <v>42726.33</v>
      </c>
      <c r="AB4324" s="12" t="s">
        <v>2910</v>
      </c>
      <c r="AC4324">
        <v>430.2559</v>
      </c>
      <c r="AD4324">
        <v>1</v>
      </c>
      <c r="AE4324">
        <v>1</v>
      </c>
      <c r="AF4324">
        <v>0</v>
      </c>
      <c r="AG4324">
        <v>42165.08</v>
      </c>
      <c r="AH4324">
        <v>98</v>
      </c>
      <c r="AI4324">
        <v>98</v>
      </c>
      <c r="AJ4324">
        <v>0</v>
      </c>
      <c r="AK4324">
        <v>1</v>
      </c>
      <c r="AL4324">
        <v>1</v>
      </c>
      <c r="AM4324">
        <v>100</v>
      </c>
      <c r="AN4324">
        <v>435.98289999999997</v>
      </c>
      <c r="AO4324">
        <v>0</v>
      </c>
      <c r="AP4324" s="13">
        <v>45724</v>
      </c>
      <c r="AQ4324">
        <v>0</v>
      </c>
      <c r="AR4324">
        <v>1</v>
      </c>
    </row>
    <row r="4325" spans="1:44" x14ac:dyDescent="0.35">
      <c r="A4325" s="12" t="s">
        <v>5273</v>
      </c>
      <c r="B4325" s="12" t="s">
        <v>477</v>
      </c>
      <c r="C4325" s="12" t="s">
        <v>478</v>
      </c>
      <c r="D4325" s="12" t="s">
        <v>130</v>
      </c>
      <c r="E4325" s="12" t="s">
        <v>104</v>
      </c>
      <c r="F4325">
        <v>3</v>
      </c>
      <c r="G4325">
        <v>1</v>
      </c>
      <c r="H4325">
        <v>0</v>
      </c>
      <c r="I4325" s="12" t="s">
        <v>380</v>
      </c>
      <c r="J4325" s="12" t="s">
        <v>381</v>
      </c>
      <c r="K4325" s="12" t="s">
        <v>89</v>
      </c>
      <c r="L4325" s="12" t="s">
        <v>96</v>
      </c>
      <c r="M4325">
        <v>10.210000000000001</v>
      </c>
      <c r="N4325" s="12" t="s">
        <v>135</v>
      </c>
      <c r="O4325" s="12" t="s">
        <v>136</v>
      </c>
      <c r="P4325" s="12" t="s">
        <v>137</v>
      </c>
      <c r="Q4325" s="13">
        <v>45692</v>
      </c>
      <c r="R4325" s="13">
        <v>45711</v>
      </c>
      <c r="S4325">
        <v>2025</v>
      </c>
      <c r="T4325" s="12" t="s">
        <v>5260</v>
      </c>
      <c r="U4325">
        <v>68</v>
      </c>
      <c r="V4325">
        <v>674.17420000000004</v>
      </c>
      <c r="W4325">
        <v>1166.58</v>
      </c>
      <c r="X4325">
        <v>0</v>
      </c>
      <c r="Y4325">
        <v>0</v>
      </c>
      <c r="Z4325">
        <v>45843.85</v>
      </c>
      <c r="AA4325">
        <v>47010.43</v>
      </c>
      <c r="AB4325" s="12" t="s">
        <v>3380</v>
      </c>
      <c r="AC4325">
        <v>714.96169999999995</v>
      </c>
      <c r="AD4325">
        <v>1</v>
      </c>
      <c r="AE4325">
        <v>1</v>
      </c>
      <c r="AF4325">
        <v>-2773.55</v>
      </c>
      <c r="AG4325">
        <v>48617.4</v>
      </c>
      <c r="AH4325">
        <v>68</v>
      </c>
      <c r="AI4325">
        <v>67</v>
      </c>
      <c r="AJ4325">
        <v>1</v>
      </c>
      <c r="AK4325">
        <v>1</v>
      </c>
      <c r="AL4325">
        <v>1</v>
      </c>
      <c r="AM4325">
        <v>98.53</v>
      </c>
      <c r="AN4325">
        <v>701.6481</v>
      </c>
      <c r="AO4325">
        <v>674.17</v>
      </c>
      <c r="AP4325" s="13">
        <v>45711</v>
      </c>
      <c r="AQ4325">
        <v>0</v>
      </c>
      <c r="AR4325">
        <v>1</v>
      </c>
    </row>
    <row r="4326" spans="1:44" x14ac:dyDescent="0.35">
      <c r="A4326" s="12" t="s">
        <v>5274</v>
      </c>
      <c r="B4326" s="12" t="s">
        <v>1666</v>
      </c>
      <c r="C4326" s="12" t="s">
        <v>1667</v>
      </c>
      <c r="D4326" s="12" t="s">
        <v>78</v>
      </c>
      <c r="E4326" s="12" t="s">
        <v>65</v>
      </c>
      <c r="F4326">
        <v>2</v>
      </c>
      <c r="G4326">
        <v>3</v>
      </c>
      <c r="H4326">
        <v>0</v>
      </c>
      <c r="I4326" s="12" t="s">
        <v>310</v>
      </c>
      <c r="J4326" s="12" t="s">
        <v>311</v>
      </c>
      <c r="K4326" s="12" t="s">
        <v>81</v>
      </c>
      <c r="L4326" s="12" t="s">
        <v>69</v>
      </c>
      <c r="M4326">
        <v>28.3</v>
      </c>
      <c r="N4326" s="12" t="s">
        <v>70</v>
      </c>
      <c r="O4326" s="12" t="s">
        <v>71</v>
      </c>
      <c r="P4326" s="12" t="s">
        <v>72</v>
      </c>
      <c r="Q4326" s="13">
        <v>45692</v>
      </c>
      <c r="R4326" s="13">
        <v>45714</v>
      </c>
      <c r="S4326">
        <v>2025</v>
      </c>
      <c r="T4326" s="12" t="s">
        <v>5260</v>
      </c>
      <c r="U4326">
        <v>66</v>
      </c>
      <c r="V4326">
        <v>69.162999999999997</v>
      </c>
      <c r="W4326">
        <v>30.49</v>
      </c>
      <c r="X4326">
        <v>0</v>
      </c>
      <c r="Y4326">
        <v>0</v>
      </c>
      <c r="Z4326">
        <v>4564.76</v>
      </c>
      <c r="AA4326">
        <v>4595.25</v>
      </c>
      <c r="AB4326" s="12" t="s">
        <v>3090</v>
      </c>
      <c r="AC4326">
        <v>73.412099999999995</v>
      </c>
      <c r="AD4326">
        <v>1</v>
      </c>
      <c r="AE4326">
        <v>1</v>
      </c>
      <c r="AF4326">
        <v>-280.44</v>
      </c>
      <c r="AG4326">
        <v>4845.2</v>
      </c>
      <c r="AH4326">
        <v>66</v>
      </c>
      <c r="AI4326">
        <v>66</v>
      </c>
      <c r="AJ4326">
        <v>0</v>
      </c>
      <c r="AK4326">
        <v>1</v>
      </c>
      <c r="AL4326">
        <v>1</v>
      </c>
      <c r="AM4326">
        <v>100</v>
      </c>
      <c r="AN4326">
        <v>69.625</v>
      </c>
      <c r="AO4326">
        <v>0</v>
      </c>
      <c r="AP4326" s="13">
        <v>45716</v>
      </c>
      <c r="AQ4326">
        <v>2</v>
      </c>
      <c r="AR4326">
        <v>0</v>
      </c>
    </row>
    <row r="4327" spans="1:44" x14ac:dyDescent="0.35">
      <c r="A4327" s="12" t="s">
        <v>5275</v>
      </c>
      <c r="B4327" s="12" t="s">
        <v>823</v>
      </c>
      <c r="C4327" s="12" t="s">
        <v>824</v>
      </c>
      <c r="D4327" s="12" t="s">
        <v>114</v>
      </c>
      <c r="E4327" s="12" t="s">
        <v>142</v>
      </c>
      <c r="F4327">
        <v>1</v>
      </c>
      <c r="G4327">
        <v>8</v>
      </c>
      <c r="H4327">
        <v>1</v>
      </c>
      <c r="I4327" s="12" t="s">
        <v>515</v>
      </c>
      <c r="J4327" s="12" t="s">
        <v>516</v>
      </c>
      <c r="K4327" s="12" t="s">
        <v>68</v>
      </c>
      <c r="L4327" s="12" t="s">
        <v>134</v>
      </c>
      <c r="M4327">
        <v>3.69</v>
      </c>
      <c r="N4327" s="12" t="s">
        <v>97</v>
      </c>
      <c r="O4327" s="12" t="s">
        <v>98</v>
      </c>
      <c r="P4327" s="12" t="s">
        <v>72</v>
      </c>
      <c r="Q4327" s="13">
        <v>45692</v>
      </c>
      <c r="R4327" s="13">
        <v>45736</v>
      </c>
      <c r="S4327">
        <v>2025</v>
      </c>
      <c r="T4327" s="12" t="s">
        <v>5260</v>
      </c>
      <c r="U4327">
        <v>85</v>
      </c>
      <c r="V4327">
        <v>361.71230000000003</v>
      </c>
      <c r="W4327">
        <v>535.34</v>
      </c>
      <c r="X4327">
        <v>0</v>
      </c>
      <c r="Y4327">
        <v>0</v>
      </c>
      <c r="Z4327">
        <v>30745.55</v>
      </c>
      <c r="AA4327">
        <v>31280.89</v>
      </c>
      <c r="AB4327" s="12" t="s">
        <v>3483</v>
      </c>
      <c r="AC4327">
        <v>361.71230000000003</v>
      </c>
      <c r="AD4327">
        <v>1</v>
      </c>
      <c r="AE4327">
        <v>1</v>
      </c>
      <c r="AF4327">
        <v>0</v>
      </c>
      <c r="AG4327">
        <v>30745.55</v>
      </c>
      <c r="AH4327">
        <v>85</v>
      </c>
      <c r="AI4327">
        <v>84</v>
      </c>
      <c r="AJ4327">
        <v>1</v>
      </c>
      <c r="AK4327">
        <v>1</v>
      </c>
      <c r="AL4327">
        <v>1</v>
      </c>
      <c r="AM4327">
        <v>98.82</v>
      </c>
      <c r="AN4327">
        <v>372.39150000000001</v>
      </c>
      <c r="AO4327">
        <v>361.71</v>
      </c>
      <c r="AP4327" s="13">
        <v>45733</v>
      </c>
      <c r="AQ4327">
        <v>-3</v>
      </c>
      <c r="AR4327">
        <v>1</v>
      </c>
    </row>
    <row r="4328" spans="1:44" x14ac:dyDescent="0.35">
      <c r="A4328" s="12" t="s">
        <v>5276</v>
      </c>
      <c r="B4328" s="12" t="s">
        <v>661</v>
      </c>
      <c r="C4328" s="12" t="s">
        <v>662</v>
      </c>
      <c r="D4328" s="12" t="s">
        <v>175</v>
      </c>
      <c r="E4328" s="12" t="s">
        <v>104</v>
      </c>
      <c r="F4328">
        <v>1</v>
      </c>
      <c r="G4328">
        <v>0</v>
      </c>
      <c r="H4328">
        <v>1</v>
      </c>
      <c r="I4328" s="12" t="s">
        <v>183</v>
      </c>
      <c r="J4328" s="12" t="s">
        <v>184</v>
      </c>
      <c r="K4328" s="12" t="s">
        <v>133</v>
      </c>
      <c r="L4328" s="12" t="s">
        <v>82</v>
      </c>
      <c r="M4328">
        <v>8.6199999999999992</v>
      </c>
      <c r="N4328" s="12" t="s">
        <v>107</v>
      </c>
      <c r="O4328" s="12" t="s">
        <v>108</v>
      </c>
      <c r="P4328" s="12" t="s">
        <v>109</v>
      </c>
      <c r="Q4328" s="13">
        <v>45692</v>
      </c>
      <c r="R4328" s="13">
        <v>45711</v>
      </c>
      <c r="S4328">
        <v>2025</v>
      </c>
      <c r="T4328" s="12" t="s">
        <v>5260</v>
      </c>
      <c r="U4328">
        <v>68</v>
      </c>
      <c r="V4328">
        <v>180.0376</v>
      </c>
      <c r="W4328">
        <v>247.78</v>
      </c>
      <c r="X4328">
        <v>0</v>
      </c>
      <c r="Y4328">
        <v>0</v>
      </c>
      <c r="Z4328">
        <v>12242.56</v>
      </c>
      <c r="AA4328">
        <v>12490.34</v>
      </c>
      <c r="AB4328" s="12" t="s">
        <v>2851</v>
      </c>
      <c r="AC4328">
        <v>180.0376</v>
      </c>
      <c r="AD4328">
        <v>1</v>
      </c>
      <c r="AE4328">
        <v>1</v>
      </c>
      <c r="AF4328">
        <v>0</v>
      </c>
      <c r="AG4328">
        <v>12242.56</v>
      </c>
      <c r="AH4328">
        <v>68</v>
      </c>
      <c r="AI4328">
        <v>67</v>
      </c>
      <c r="AJ4328">
        <v>1</v>
      </c>
      <c r="AK4328">
        <v>1</v>
      </c>
      <c r="AL4328">
        <v>1</v>
      </c>
      <c r="AM4328">
        <v>98.53</v>
      </c>
      <c r="AN4328">
        <v>186.4229</v>
      </c>
      <c r="AO4328">
        <v>180.04</v>
      </c>
      <c r="AP4328" s="13">
        <v>45709</v>
      </c>
      <c r="AQ4328">
        <v>-2</v>
      </c>
      <c r="AR4328">
        <v>1</v>
      </c>
    </row>
    <row r="4329" spans="1:44" x14ac:dyDescent="0.35">
      <c r="A4329" s="12" t="s">
        <v>5277</v>
      </c>
      <c r="B4329" s="12" t="s">
        <v>1042</v>
      </c>
      <c r="C4329" s="12" t="s">
        <v>1043</v>
      </c>
      <c r="D4329" s="12" t="s">
        <v>269</v>
      </c>
      <c r="E4329" s="12" t="s">
        <v>104</v>
      </c>
      <c r="F4329">
        <v>2</v>
      </c>
      <c r="G4329">
        <v>0</v>
      </c>
      <c r="H4329">
        <v>0</v>
      </c>
      <c r="I4329" s="12" t="s">
        <v>143</v>
      </c>
      <c r="J4329" s="12" t="s">
        <v>144</v>
      </c>
      <c r="K4329" s="12" t="s">
        <v>133</v>
      </c>
      <c r="L4329" s="12" t="s">
        <v>96</v>
      </c>
      <c r="M4329">
        <v>5.43</v>
      </c>
      <c r="N4329" s="12" t="s">
        <v>159</v>
      </c>
      <c r="O4329" s="12" t="s">
        <v>160</v>
      </c>
      <c r="P4329" s="12" t="s">
        <v>137</v>
      </c>
      <c r="Q4329" s="13">
        <v>45692</v>
      </c>
      <c r="R4329" s="13">
        <v>45707</v>
      </c>
      <c r="S4329">
        <v>2025</v>
      </c>
      <c r="T4329" s="12" t="s">
        <v>5260</v>
      </c>
      <c r="U4329">
        <v>35</v>
      </c>
      <c r="V4329">
        <v>282.86169999999998</v>
      </c>
      <c r="W4329">
        <v>194.77</v>
      </c>
      <c r="X4329">
        <v>0</v>
      </c>
      <c r="Y4329">
        <v>0</v>
      </c>
      <c r="Z4329">
        <v>9900.16</v>
      </c>
      <c r="AA4329">
        <v>10094.93</v>
      </c>
      <c r="AB4329" s="12" t="s">
        <v>3788</v>
      </c>
      <c r="AC4329">
        <v>282.86169999999998</v>
      </c>
      <c r="AD4329">
        <v>1</v>
      </c>
      <c r="AE4329">
        <v>1</v>
      </c>
      <c r="AF4329">
        <v>0</v>
      </c>
      <c r="AG4329">
        <v>9900.16</v>
      </c>
      <c r="AH4329">
        <v>35</v>
      </c>
      <c r="AI4329">
        <v>34</v>
      </c>
      <c r="AJ4329">
        <v>1</v>
      </c>
      <c r="AK4329">
        <v>1</v>
      </c>
      <c r="AL4329">
        <v>1</v>
      </c>
      <c r="AM4329">
        <v>97.14</v>
      </c>
      <c r="AN4329">
        <v>296.90969999999999</v>
      </c>
      <c r="AO4329">
        <v>282.86</v>
      </c>
      <c r="AP4329" s="13">
        <v>45706</v>
      </c>
      <c r="AQ4329">
        <v>-1</v>
      </c>
      <c r="AR4329">
        <v>1</v>
      </c>
    </row>
    <row r="4330" spans="1:44" x14ac:dyDescent="0.35">
      <c r="A4330" s="12" t="s">
        <v>5278</v>
      </c>
      <c r="B4330" s="12" t="s">
        <v>587</v>
      </c>
      <c r="C4330" s="12" t="s">
        <v>588</v>
      </c>
      <c r="D4330" s="12" t="s">
        <v>122</v>
      </c>
      <c r="E4330" s="12" t="s">
        <v>104</v>
      </c>
      <c r="F4330">
        <v>2</v>
      </c>
      <c r="G4330">
        <v>0</v>
      </c>
      <c r="H4330">
        <v>0</v>
      </c>
      <c r="I4330" s="12" t="s">
        <v>486</v>
      </c>
      <c r="J4330" s="12" t="s">
        <v>487</v>
      </c>
      <c r="K4330" s="12" t="s">
        <v>125</v>
      </c>
      <c r="L4330" s="12" t="s">
        <v>69</v>
      </c>
      <c r="M4330">
        <v>36.86</v>
      </c>
      <c r="N4330" s="12" t="s">
        <v>97</v>
      </c>
      <c r="O4330" s="12" t="s">
        <v>98</v>
      </c>
      <c r="P4330" s="12" t="s">
        <v>72</v>
      </c>
      <c r="Q4330" s="13">
        <v>45692</v>
      </c>
      <c r="R4330" s="13">
        <v>45713</v>
      </c>
      <c r="S4330">
        <v>2025</v>
      </c>
      <c r="T4330" s="12" t="s">
        <v>5260</v>
      </c>
      <c r="U4330">
        <v>1180</v>
      </c>
      <c r="V4330">
        <v>11.9803</v>
      </c>
      <c r="W4330">
        <v>284.58999999999997</v>
      </c>
      <c r="X4330">
        <v>0</v>
      </c>
      <c r="Y4330">
        <v>0</v>
      </c>
      <c r="Z4330">
        <v>14136.75</v>
      </c>
      <c r="AA4330">
        <v>14421.34</v>
      </c>
      <c r="AB4330" s="12" t="s">
        <v>3188</v>
      </c>
      <c r="AC4330">
        <v>11.9803</v>
      </c>
      <c r="AD4330">
        <v>1</v>
      </c>
      <c r="AE4330">
        <v>1</v>
      </c>
      <c r="AF4330">
        <v>0</v>
      </c>
      <c r="AG4330">
        <v>14136.75</v>
      </c>
      <c r="AH4330">
        <v>1180</v>
      </c>
      <c r="AI4330">
        <v>1167</v>
      </c>
      <c r="AJ4330">
        <v>13</v>
      </c>
      <c r="AK4330">
        <v>1</v>
      </c>
      <c r="AL4330">
        <v>1</v>
      </c>
      <c r="AM4330">
        <v>98.9</v>
      </c>
      <c r="AN4330">
        <v>12.3576</v>
      </c>
      <c r="AO4330">
        <v>155.74</v>
      </c>
      <c r="AP4330" s="13">
        <v>45710</v>
      </c>
      <c r="AQ4330">
        <v>-3</v>
      </c>
      <c r="AR4330">
        <v>1</v>
      </c>
    </row>
    <row r="4331" spans="1:44" x14ac:dyDescent="0.35">
      <c r="A4331" s="12" t="s">
        <v>5279</v>
      </c>
      <c r="B4331" s="12" t="s">
        <v>837</v>
      </c>
      <c r="C4331" s="12" t="s">
        <v>838</v>
      </c>
      <c r="D4331" s="12" t="s">
        <v>114</v>
      </c>
      <c r="E4331" s="12" t="s">
        <v>104</v>
      </c>
      <c r="F4331">
        <v>2</v>
      </c>
      <c r="G4331">
        <v>0</v>
      </c>
      <c r="H4331">
        <v>0</v>
      </c>
      <c r="I4331" s="12" t="s">
        <v>199</v>
      </c>
      <c r="J4331" s="12" t="s">
        <v>200</v>
      </c>
      <c r="K4331" s="12" t="s">
        <v>68</v>
      </c>
      <c r="L4331" s="12" t="s">
        <v>96</v>
      </c>
      <c r="M4331">
        <v>9.4700000000000006</v>
      </c>
      <c r="N4331" s="12" t="s">
        <v>70</v>
      </c>
      <c r="O4331" s="12" t="s">
        <v>71</v>
      </c>
      <c r="P4331" s="12" t="s">
        <v>72</v>
      </c>
      <c r="Q4331" s="13">
        <v>45693</v>
      </c>
      <c r="R4331" s="13">
        <v>45709</v>
      </c>
      <c r="S4331">
        <v>2025</v>
      </c>
      <c r="T4331" s="12" t="s">
        <v>5260</v>
      </c>
      <c r="U4331">
        <v>48</v>
      </c>
      <c r="V4331">
        <v>70.464699999999993</v>
      </c>
      <c r="W4331">
        <v>47.03</v>
      </c>
      <c r="X4331">
        <v>0</v>
      </c>
      <c r="Y4331">
        <v>0</v>
      </c>
      <c r="Z4331">
        <v>3382.31</v>
      </c>
      <c r="AA4331">
        <v>3429.34</v>
      </c>
      <c r="AB4331" s="12" t="s">
        <v>3432</v>
      </c>
      <c r="AC4331">
        <v>68.916300000000007</v>
      </c>
      <c r="AD4331">
        <v>1</v>
      </c>
      <c r="AE4331">
        <v>1</v>
      </c>
      <c r="AF4331">
        <v>74.319999999999993</v>
      </c>
      <c r="AG4331">
        <v>3307.98</v>
      </c>
      <c r="AH4331">
        <v>48</v>
      </c>
      <c r="AI4331">
        <v>47</v>
      </c>
      <c r="AJ4331">
        <v>1</v>
      </c>
      <c r="AK4331">
        <v>1</v>
      </c>
      <c r="AL4331">
        <v>1</v>
      </c>
      <c r="AM4331">
        <v>97.92</v>
      </c>
      <c r="AN4331">
        <v>72.964600000000004</v>
      </c>
      <c r="AO4331">
        <v>70.459999999999994</v>
      </c>
      <c r="AP4331" s="13">
        <v>45710</v>
      </c>
      <c r="AQ4331">
        <v>1</v>
      </c>
      <c r="AR4331">
        <v>0</v>
      </c>
    </row>
    <row r="4332" spans="1:44" x14ac:dyDescent="0.35">
      <c r="A4332" s="12" t="s">
        <v>5280</v>
      </c>
      <c r="B4332" s="12" t="s">
        <v>963</v>
      </c>
      <c r="C4332" s="12" t="s">
        <v>964</v>
      </c>
      <c r="D4332" s="12" t="s">
        <v>114</v>
      </c>
      <c r="E4332" s="12" t="s">
        <v>142</v>
      </c>
      <c r="F4332">
        <v>1</v>
      </c>
      <c r="G4332">
        <v>6</v>
      </c>
      <c r="H4332">
        <v>1</v>
      </c>
      <c r="I4332" s="12" t="s">
        <v>176</v>
      </c>
      <c r="J4332" s="12" t="s">
        <v>177</v>
      </c>
      <c r="K4332" s="12" t="s">
        <v>125</v>
      </c>
      <c r="L4332" s="12" t="s">
        <v>134</v>
      </c>
      <c r="M4332">
        <v>1.75</v>
      </c>
      <c r="N4332" s="12" t="s">
        <v>70</v>
      </c>
      <c r="O4332" s="12" t="s">
        <v>71</v>
      </c>
      <c r="P4332" s="12" t="s">
        <v>72</v>
      </c>
      <c r="Q4332" s="13">
        <v>45693</v>
      </c>
      <c r="R4332" s="13">
        <v>45736</v>
      </c>
      <c r="S4332">
        <v>2025</v>
      </c>
      <c r="T4332" s="12" t="s">
        <v>5260</v>
      </c>
      <c r="U4332">
        <v>72</v>
      </c>
      <c r="V4332">
        <v>198.44210000000001</v>
      </c>
      <c r="W4332">
        <v>200.89</v>
      </c>
      <c r="X4332">
        <v>0</v>
      </c>
      <c r="Y4332">
        <v>0</v>
      </c>
      <c r="Z4332">
        <v>14287.83</v>
      </c>
      <c r="AA4332">
        <v>14488.72</v>
      </c>
      <c r="AB4332" s="12" t="s">
        <v>3290</v>
      </c>
      <c r="AC4332">
        <v>194.16829999999999</v>
      </c>
      <c r="AD4332">
        <v>1</v>
      </c>
      <c r="AE4332">
        <v>1</v>
      </c>
      <c r="AF4332">
        <v>307.70999999999998</v>
      </c>
      <c r="AG4332">
        <v>13980.12</v>
      </c>
      <c r="AH4332">
        <v>72</v>
      </c>
      <c r="AI4332">
        <v>71</v>
      </c>
      <c r="AJ4332">
        <v>1</v>
      </c>
      <c r="AK4332">
        <v>1</v>
      </c>
      <c r="AL4332">
        <v>1</v>
      </c>
      <c r="AM4332">
        <v>98.61</v>
      </c>
      <c r="AN4332">
        <v>204.06649999999999</v>
      </c>
      <c r="AO4332">
        <v>198.44</v>
      </c>
      <c r="AP4332" s="13">
        <v>45743</v>
      </c>
      <c r="AQ4332">
        <v>7</v>
      </c>
      <c r="AR4332">
        <v>0</v>
      </c>
    </row>
    <row r="4333" spans="1:44" x14ac:dyDescent="0.35">
      <c r="A4333" s="12" t="s">
        <v>5281</v>
      </c>
      <c r="B4333" s="12" t="s">
        <v>395</v>
      </c>
      <c r="C4333" s="12" t="s">
        <v>396</v>
      </c>
      <c r="D4333" s="12" t="s">
        <v>130</v>
      </c>
      <c r="E4333" s="12" t="s">
        <v>104</v>
      </c>
      <c r="F4333">
        <v>3</v>
      </c>
      <c r="G4333">
        <v>1</v>
      </c>
      <c r="H4333">
        <v>0</v>
      </c>
      <c r="I4333" s="12" t="s">
        <v>341</v>
      </c>
      <c r="J4333" s="12" t="s">
        <v>342</v>
      </c>
      <c r="K4333" s="12" t="s">
        <v>117</v>
      </c>
      <c r="L4333" s="12" t="s">
        <v>82</v>
      </c>
      <c r="M4333">
        <v>18.36</v>
      </c>
      <c r="N4333" s="12" t="s">
        <v>135</v>
      </c>
      <c r="O4333" s="12" t="s">
        <v>136</v>
      </c>
      <c r="P4333" s="12" t="s">
        <v>137</v>
      </c>
      <c r="Q4333" s="13">
        <v>45693</v>
      </c>
      <c r="R4333" s="13">
        <v>45716</v>
      </c>
      <c r="S4333">
        <v>2025</v>
      </c>
      <c r="T4333" s="12" t="s">
        <v>5260</v>
      </c>
      <c r="U4333">
        <v>101</v>
      </c>
      <c r="V4333">
        <v>159.31549999999999</v>
      </c>
      <c r="W4333">
        <v>251.62</v>
      </c>
      <c r="X4333">
        <v>0</v>
      </c>
      <c r="Y4333">
        <v>0</v>
      </c>
      <c r="Z4333">
        <v>16090.87</v>
      </c>
      <c r="AA4333">
        <v>16342.49</v>
      </c>
      <c r="AB4333" s="12" t="s">
        <v>5282</v>
      </c>
      <c r="AC4333">
        <v>159.31549999999999</v>
      </c>
      <c r="AD4333">
        <v>1</v>
      </c>
      <c r="AE4333">
        <v>1</v>
      </c>
      <c r="AF4333">
        <v>0</v>
      </c>
      <c r="AG4333">
        <v>16090.87</v>
      </c>
      <c r="AH4333">
        <v>101</v>
      </c>
      <c r="AI4333">
        <v>100</v>
      </c>
      <c r="AJ4333">
        <v>1</v>
      </c>
      <c r="AK4333">
        <v>1</v>
      </c>
      <c r="AL4333">
        <v>1</v>
      </c>
      <c r="AM4333">
        <v>99.01</v>
      </c>
      <c r="AN4333">
        <v>163.42490000000001</v>
      </c>
      <c r="AO4333">
        <v>159.32</v>
      </c>
      <c r="AP4333" s="13">
        <v>45714</v>
      </c>
      <c r="AQ4333">
        <v>-2</v>
      </c>
      <c r="AR4333">
        <v>1</v>
      </c>
    </row>
    <row r="4334" spans="1:44" x14ac:dyDescent="0.35">
      <c r="A4334" s="12" t="s">
        <v>5283</v>
      </c>
      <c r="B4334" s="12" t="s">
        <v>451</v>
      </c>
      <c r="C4334" s="12" t="s">
        <v>452</v>
      </c>
      <c r="D4334" s="12" t="s">
        <v>175</v>
      </c>
      <c r="E4334" s="12" t="s">
        <v>104</v>
      </c>
      <c r="F4334">
        <v>3</v>
      </c>
      <c r="G4334">
        <v>1</v>
      </c>
      <c r="H4334">
        <v>0</v>
      </c>
      <c r="I4334" s="12" t="s">
        <v>359</v>
      </c>
      <c r="J4334" s="12" t="s">
        <v>360</v>
      </c>
      <c r="K4334" s="12" t="s">
        <v>133</v>
      </c>
      <c r="L4334" s="12" t="s">
        <v>82</v>
      </c>
      <c r="M4334">
        <v>12.65</v>
      </c>
      <c r="N4334" s="12" t="s">
        <v>107</v>
      </c>
      <c r="O4334" s="12" t="s">
        <v>108</v>
      </c>
      <c r="P4334" s="12" t="s">
        <v>109</v>
      </c>
      <c r="Q4334" s="13">
        <v>45693</v>
      </c>
      <c r="R4334" s="13">
        <v>45716</v>
      </c>
      <c r="S4334">
        <v>2025</v>
      </c>
      <c r="T4334" s="12" t="s">
        <v>5260</v>
      </c>
      <c r="U4334">
        <v>97</v>
      </c>
      <c r="V4334">
        <v>216.9588</v>
      </c>
      <c r="W4334">
        <v>450.05</v>
      </c>
      <c r="X4334">
        <v>0</v>
      </c>
      <c r="Y4334">
        <v>0</v>
      </c>
      <c r="Z4334">
        <v>21045</v>
      </c>
      <c r="AA4334">
        <v>21495.05</v>
      </c>
      <c r="AB4334" s="12" t="s">
        <v>5244</v>
      </c>
      <c r="AC4334">
        <v>216.9588</v>
      </c>
      <c r="AD4334">
        <v>1</v>
      </c>
      <c r="AE4334">
        <v>1</v>
      </c>
      <c r="AF4334">
        <v>0</v>
      </c>
      <c r="AG4334">
        <v>21045</v>
      </c>
      <c r="AH4334">
        <v>97</v>
      </c>
      <c r="AI4334">
        <v>96</v>
      </c>
      <c r="AJ4334">
        <v>1</v>
      </c>
      <c r="AK4334">
        <v>1</v>
      </c>
      <c r="AL4334">
        <v>1</v>
      </c>
      <c r="AM4334">
        <v>98.97</v>
      </c>
      <c r="AN4334">
        <v>223.9068</v>
      </c>
      <c r="AO4334">
        <v>216.96</v>
      </c>
      <c r="AP4334" s="13">
        <v>45713</v>
      </c>
      <c r="AQ4334">
        <v>-3</v>
      </c>
      <c r="AR4334">
        <v>1</v>
      </c>
    </row>
    <row r="4335" spans="1:44" x14ac:dyDescent="0.35">
      <c r="A4335" s="12" t="s">
        <v>5284</v>
      </c>
      <c r="B4335" s="12" t="s">
        <v>728</v>
      </c>
      <c r="C4335" s="12" t="s">
        <v>729</v>
      </c>
      <c r="D4335" s="12" t="s">
        <v>269</v>
      </c>
      <c r="E4335" s="12" t="s">
        <v>65</v>
      </c>
      <c r="F4335">
        <v>2</v>
      </c>
      <c r="G4335">
        <v>3</v>
      </c>
      <c r="H4335">
        <v>0</v>
      </c>
      <c r="I4335" s="12" t="s">
        <v>310</v>
      </c>
      <c r="J4335" s="12" t="s">
        <v>311</v>
      </c>
      <c r="K4335" s="12" t="s">
        <v>81</v>
      </c>
      <c r="L4335" s="12" t="s">
        <v>69</v>
      </c>
      <c r="M4335">
        <v>28.3</v>
      </c>
      <c r="N4335" s="12" t="s">
        <v>135</v>
      </c>
      <c r="O4335" s="12" t="s">
        <v>136</v>
      </c>
      <c r="P4335" s="12" t="s">
        <v>137</v>
      </c>
      <c r="Q4335" s="13">
        <v>45693</v>
      </c>
      <c r="R4335" s="13">
        <v>45715</v>
      </c>
      <c r="S4335">
        <v>2025</v>
      </c>
      <c r="T4335" s="12" t="s">
        <v>5260</v>
      </c>
      <c r="U4335">
        <v>19</v>
      </c>
      <c r="V4335">
        <v>364.55509999999998</v>
      </c>
      <c r="W4335">
        <v>92.24</v>
      </c>
      <c r="X4335">
        <v>0</v>
      </c>
      <c r="Y4335">
        <v>0</v>
      </c>
      <c r="Z4335">
        <v>6926.55</v>
      </c>
      <c r="AA4335">
        <v>7018.79</v>
      </c>
      <c r="AB4335" s="12" t="s">
        <v>3329</v>
      </c>
      <c r="AC4335">
        <v>364.55509999999998</v>
      </c>
      <c r="AD4335">
        <v>1</v>
      </c>
      <c r="AE4335">
        <v>1</v>
      </c>
      <c r="AF4335">
        <v>0</v>
      </c>
      <c r="AG4335">
        <v>6926.55</v>
      </c>
      <c r="AH4335">
        <v>19</v>
      </c>
      <c r="AI4335">
        <v>19</v>
      </c>
      <c r="AJ4335">
        <v>0</v>
      </c>
      <c r="AK4335">
        <v>1</v>
      </c>
      <c r="AL4335">
        <v>1</v>
      </c>
      <c r="AM4335">
        <v>100</v>
      </c>
      <c r="AN4335">
        <v>369.40980000000002</v>
      </c>
      <c r="AO4335">
        <v>0</v>
      </c>
      <c r="AP4335" s="13">
        <v>45714</v>
      </c>
      <c r="AQ4335">
        <v>-1</v>
      </c>
      <c r="AR4335">
        <v>1</v>
      </c>
    </row>
    <row r="4336" spans="1:44" x14ac:dyDescent="0.35">
      <c r="A4336" s="12" t="s">
        <v>5285</v>
      </c>
      <c r="B4336" s="12" t="s">
        <v>952</v>
      </c>
      <c r="C4336" s="12" t="s">
        <v>953</v>
      </c>
      <c r="D4336" s="12" t="s">
        <v>64</v>
      </c>
      <c r="E4336" s="12" t="s">
        <v>142</v>
      </c>
      <c r="F4336">
        <v>1</v>
      </c>
      <c r="G4336">
        <v>8</v>
      </c>
      <c r="H4336">
        <v>1</v>
      </c>
      <c r="I4336" s="12" t="s">
        <v>131</v>
      </c>
      <c r="J4336" s="12" t="s">
        <v>132</v>
      </c>
      <c r="K4336" s="12" t="s">
        <v>133</v>
      </c>
      <c r="L4336" s="12" t="s">
        <v>134</v>
      </c>
      <c r="M4336">
        <v>1.51</v>
      </c>
      <c r="N4336" s="12" t="s">
        <v>70</v>
      </c>
      <c r="O4336" s="12" t="s">
        <v>71</v>
      </c>
      <c r="P4336" s="12" t="s">
        <v>72</v>
      </c>
      <c r="Q4336" s="13">
        <v>45693</v>
      </c>
      <c r="R4336" s="13">
        <v>45740</v>
      </c>
      <c r="S4336">
        <v>2025</v>
      </c>
      <c r="T4336" s="12" t="s">
        <v>5260</v>
      </c>
      <c r="U4336">
        <v>747</v>
      </c>
      <c r="V4336">
        <v>32.235399999999998</v>
      </c>
      <c r="W4336">
        <v>482.71</v>
      </c>
      <c r="X4336">
        <v>0</v>
      </c>
      <c r="Y4336">
        <v>0</v>
      </c>
      <c r="Z4336">
        <v>24079.84</v>
      </c>
      <c r="AA4336">
        <v>24562.55</v>
      </c>
      <c r="AB4336" s="12" t="s">
        <v>3261</v>
      </c>
      <c r="AC4336">
        <v>31.110399999999998</v>
      </c>
      <c r="AD4336">
        <v>1</v>
      </c>
      <c r="AE4336">
        <v>1</v>
      </c>
      <c r="AF4336">
        <v>840.38</v>
      </c>
      <c r="AG4336">
        <v>23239.47</v>
      </c>
      <c r="AH4336">
        <v>747</v>
      </c>
      <c r="AI4336">
        <v>742</v>
      </c>
      <c r="AJ4336">
        <v>5</v>
      </c>
      <c r="AK4336">
        <v>1</v>
      </c>
      <c r="AL4336">
        <v>1</v>
      </c>
      <c r="AM4336">
        <v>99.33</v>
      </c>
      <c r="AN4336">
        <v>33.103200000000001</v>
      </c>
      <c r="AO4336">
        <v>161.18</v>
      </c>
      <c r="AP4336" s="13">
        <v>45739</v>
      </c>
      <c r="AQ4336">
        <v>-1</v>
      </c>
      <c r="AR4336">
        <v>1</v>
      </c>
    </row>
    <row r="4337" spans="1:44" x14ac:dyDescent="0.35">
      <c r="A4337" s="12" t="s">
        <v>5286</v>
      </c>
      <c r="B4337" s="12" t="s">
        <v>101</v>
      </c>
      <c r="C4337" s="12" t="s">
        <v>102</v>
      </c>
      <c r="D4337" s="12" t="s">
        <v>103</v>
      </c>
      <c r="E4337" s="12" t="s">
        <v>104</v>
      </c>
      <c r="F4337">
        <v>1</v>
      </c>
      <c r="G4337">
        <v>0</v>
      </c>
      <c r="H4337">
        <v>1</v>
      </c>
      <c r="I4337" s="12" t="s">
        <v>105</v>
      </c>
      <c r="J4337" s="12" t="s">
        <v>106</v>
      </c>
      <c r="K4337" s="12" t="s">
        <v>81</v>
      </c>
      <c r="L4337" s="12" t="s">
        <v>96</v>
      </c>
      <c r="M4337">
        <v>5.01</v>
      </c>
      <c r="N4337" s="12" t="s">
        <v>145</v>
      </c>
      <c r="O4337" s="12" t="s">
        <v>146</v>
      </c>
      <c r="P4337" s="12" t="s">
        <v>109</v>
      </c>
      <c r="Q4337" s="13">
        <v>45694</v>
      </c>
      <c r="R4337" s="13">
        <v>45706</v>
      </c>
      <c r="S4337">
        <v>2025</v>
      </c>
      <c r="T4337" s="12" t="s">
        <v>5260</v>
      </c>
      <c r="U4337">
        <v>13</v>
      </c>
      <c r="V4337">
        <v>203.18520000000001</v>
      </c>
      <c r="W4337">
        <v>33.04</v>
      </c>
      <c r="X4337">
        <v>0</v>
      </c>
      <c r="Y4337">
        <v>0</v>
      </c>
      <c r="Z4337">
        <v>2641.41</v>
      </c>
      <c r="AA4337">
        <v>2674.45</v>
      </c>
      <c r="AB4337" s="12" t="s">
        <v>5173</v>
      </c>
      <c r="AC4337">
        <v>203.18520000000001</v>
      </c>
      <c r="AD4337">
        <v>1</v>
      </c>
      <c r="AE4337">
        <v>1</v>
      </c>
      <c r="AF4337">
        <v>0</v>
      </c>
      <c r="AG4337">
        <v>2641.41</v>
      </c>
      <c r="AH4337">
        <v>13</v>
      </c>
      <c r="AI4337">
        <v>13</v>
      </c>
      <c r="AJ4337">
        <v>0</v>
      </c>
      <c r="AK4337">
        <v>1</v>
      </c>
      <c r="AL4337">
        <v>1</v>
      </c>
      <c r="AM4337">
        <v>100</v>
      </c>
      <c r="AN4337">
        <v>205.72669999999999</v>
      </c>
      <c r="AO4337">
        <v>0</v>
      </c>
      <c r="AP4337" s="13">
        <v>45704</v>
      </c>
      <c r="AQ4337">
        <v>-2</v>
      </c>
      <c r="AR4337">
        <v>1</v>
      </c>
    </row>
    <row r="4338" spans="1:44" x14ac:dyDescent="0.35">
      <c r="A4338" s="12" t="s">
        <v>5287</v>
      </c>
      <c r="B4338" s="12" t="s">
        <v>331</v>
      </c>
      <c r="C4338" s="12" t="s">
        <v>332</v>
      </c>
      <c r="D4338" s="12" t="s">
        <v>122</v>
      </c>
      <c r="E4338" s="12" t="s">
        <v>142</v>
      </c>
      <c r="F4338">
        <v>3</v>
      </c>
      <c r="G4338">
        <v>11</v>
      </c>
      <c r="H4338">
        <v>0</v>
      </c>
      <c r="I4338" s="12" t="s">
        <v>263</v>
      </c>
      <c r="J4338" s="12" t="s">
        <v>264</v>
      </c>
      <c r="K4338" s="12" t="s">
        <v>125</v>
      </c>
      <c r="L4338" s="12" t="s">
        <v>82</v>
      </c>
      <c r="M4338">
        <v>10.210000000000001</v>
      </c>
      <c r="N4338" s="12" t="s">
        <v>70</v>
      </c>
      <c r="O4338" s="12" t="s">
        <v>71</v>
      </c>
      <c r="P4338" s="12" t="s">
        <v>72</v>
      </c>
      <c r="Q4338" s="13">
        <v>45694</v>
      </c>
      <c r="R4338" s="13">
        <v>45729</v>
      </c>
      <c r="S4338">
        <v>2025</v>
      </c>
      <c r="T4338" s="12" t="s">
        <v>5260</v>
      </c>
      <c r="U4338">
        <v>297</v>
      </c>
      <c r="V4338">
        <v>24.254200000000001</v>
      </c>
      <c r="W4338">
        <v>186.46</v>
      </c>
      <c r="X4338">
        <v>0</v>
      </c>
      <c r="Y4338">
        <v>0</v>
      </c>
      <c r="Z4338">
        <v>7203.5</v>
      </c>
      <c r="AA4338">
        <v>7389.96</v>
      </c>
      <c r="AB4338" s="12" t="s">
        <v>5234</v>
      </c>
      <c r="AC4338">
        <v>23.006</v>
      </c>
      <c r="AD4338">
        <v>1</v>
      </c>
      <c r="AE4338">
        <v>1</v>
      </c>
      <c r="AF4338">
        <v>370.72</v>
      </c>
      <c r="AG4338">
        <v>6832.78</v>
      </c>
      <c r="AH4338">
        <v>297</v>
      </c>
      <c r="AI4338">
        <v>294</v>
      </c>
      <c r="AJ4338">
        <v>3</v>
      </c>
      <c r="AK4338">
        <v>1</v>
      </c>
      <c r="AL4338">
        <v>1</v>
      </c>
      <c r="AM4338">
        <v>98.99</v>
      </c>
      <c r="AN4338">
        <v>25.135899999999999</v>
      </c>
      <c r="AO4338">
        <v>72.760000000000005</v>
      </c>
      <c r="AP4338" s="13">
        <v>45726</v>
      </c>
      <c r="AQ4338">
        <v>-3</v>
      </c>
      <c r="AR4338">
        <v>1</v>
      </c>
    </row>
    <row r="4339" spans="1:44" x14ac:dyDescent="0.35">
      <c r="A4339" s="12" t="s">
        <v>5288</v>
      </c>
      <c r="B4339" s="12" t="s">
        <v>378</v>
      </c>
      <c r="C4339" s="12" t="s">
        <v>379</v>
      </c>
      <c r="D4339" s="12" t="s">
        <v>64</v>
      </c>
      <c r="E4339" s="12" t="s">
        <v>104</v>
      </c>
      <c r="F4339">
        <v>3</v>
      </c>
      <c r="G4339">
        <v>1</v>
      </c>
      <c r="H4339">
        <v>0</v>
      </c>
      <c r="I4339" s="12" t="s">
        <v>176</v>
      </c>
      <c r="J4339" s="12" t="s">
        <v>177</v>
      </c>
      <c r="K4339" s="12" t="s">
        <v>125</v>
      </c>
      <c r="L4339" s="12" t="s">
        <v>134</v>
      </c>
      <c r="M4339">
        <v>1.75</v>
      </c>
      <c r="N4339" s="12" t="s">
        <v>97</v>
      </c>
      <c r="O4339" s="12" t="s">
        <v>98</v>
      </c>
      <c r="P4339" s="12" t="s">
        <v>72</v>
      </c>
      <c r="Q4339" s="13">
        <v>45694</v>
      </c>
      <c r="R4339" s="13">
        <v>45716</v>
      </c>
      <c r="S4339">
        <v>2025</v>
      </c>
      <c r="T4339" s="12" t="s">
        <v>5260</v>
      </c>
      <c r="U4339">
        <v>621</v>
      </c>
      <c r="V4339">
        <v>14.7376</v>
      </c>
      <c r="W4339">
        <v>178.2</v>
      </c>
      <c r="X4339">
        <v>0</v>
      </c>
      <c r="Y4339">
        <v>0</v>
      </c>
      <c r="Z4339">
        <v>9152.0499999999993</v>
      </c>
      <c r="AA4339">
        <v>9330.25</v>
      </c>
      <c r="AB4339" s="12" t="s">
        <v>201</v>
      </c>
      <c r="AD4339">
        <v>0</v>
      </c>
      <c r="AE4339">
        <v>0</v>
      </c>
      <c r="AH4339">
        <v>621</v>
      </c>
      <c r="AI4339">
        <v>611</v>
      </c>
      <c r="AJ4339">
        <v>10</v>
      </c>
      <c r="AK4339">
        <v>1</v>
      </c>
      <c r="AL4339">
        <v>1</v>
      </c>
      <c r="AM4339">
        <v>98.39</v>
      </c>
      <c r="AN4339">
        <v>15.2705</v>
      </c>
      <c r="AO4339">
        <v>147.38</v>
      </c>
      <c r="AP4339" s="13">
        <v>45714</v>
      </c>
      <c r="AQ4339">
        <v>-2</v>
      </c>
      <c r="AR4339">
        <v>1</v>
      </c>
    </row>
    <row r="4340" spans="1:44" x14ac:dyDescent="0.35">
      <c r="A4340" s="12" t="s">
        <v>5289</v>
      </c>
      <c r="B4340" s="12" t="s">
        <v>1666</v>
      </c>
      <c r="C4340" s="12" t="s">
        <v>1667</v>
      </c>
      <c r="D4340" s="12" t="s">
        <v>78</v>
      </c>
      <c r="E4340" s="12" t="s">
        <v>65</v>
      </c>
      <c r="F4340">
        <v>2</v>
      </c>
      <c r="G4340">
        <v>3</v>
      </c>
      <c r="H4340">
        <v>0</v>
      </c>
      <c r="I4340" s="12" t="s">
        <v>310</v>
      </c>
      <c r="J4340" s="12" t="s">
        <v>311</v>
      </c>
      <c r="K4340" s="12" t="s">
        <v>81</v>
      </c>
      <c r="L4340" s="12" t="s">
        <v>69</v>
      </c>
      <c r="M4340">
        <v>28.3</v>
      </c>
      <c r="N4340" s="12" t="s">
        <v>97</v>
      </c>
      <c r="O4340" s="12" t="s">
        <v>98</v>
      </c>
      <c r="P4340" s="12" t="s">
        <v>72</v>
      </c>
      <c r="Q4340" s="13">
        <v>45694</v>
      </c>
      <c r="R4340" s="13">
        <v>45719</v>
      </c>
      <c r="S4340">
        <v>2025</v>
      </c>
      <c r="T4340" s="12" t="s">
        <v>5260</v>
      </c>
      <c r="U4340">
        <v>102</v>
      </c>
      <c r="V4340">
        <v>73.412099999999995</v>
      </c>
      <c r="W4340">
        <v>55.59</v>
      </c>
      <c r="X4340">
        <v>0</v>
      </c>
      <c r="Y4340">
        <v>0</v>
      </c>
      <c r="Z4340">
        <v>7488.03</v>
      </c>
      <c r="AA4340">
        <v>7543.62</v>
      </c>
      <c r="AB4340" s="12" t="s">
        <v>3090</v>
      </c>
      <c r="AC4340">
        <v>73.412099999999995</v>
      </c>
      <c r="AD4340">
        <v>1</v>
      </c>
      <c r="AE4340">
        <v>1</v>
      </c>
      <c r="AF4340">
        <v>0</v>
      </c>
      <c r="AG4340">
        <v>7488.03</v>
      </c>
      <c r="AH4340">
        <v>102</v>
      </c>
      <c r="AI4340">
        <v>100</v>
      </c>
      <c r="AJ4340">
        <v>2</v>
      </c>
      <c r="AK4340">
        <v>1</v>
      </c>
      <c r="AL4340">
        <v>1</v>
      </c>
      <c r="AM4340">
        <v>98.04</v>
      </c>
      <c r="AN4340">
        <v>75.436199999999999</v>
      </c>
      <c r="AO4340">
        <v>146.82</v>
      </c>
      <c r="AP4340" s="13">
        <v>45716</v>
      </c>
      <c r="AQ4340">
        <v>-3</v>
      </c>
      <c r="AR4340">
        <v>1</v>
      </c>
    </row>
    <row r="4341" spans="1:44" x14ac:dyDescent="0.35">
      <c r="A4341" s="12" t="s">
        <v>5290</v>
      </c>
      <c r="B4341" s="12" t="s">
        <v>532</v>
      </c>
      <c r="C4341" s="12" t="s">
        <v>533</v>
      </c>
      <c r="D4341" s="12" t="s">
        <v>114</v>
      </c>
      <c r="E4341" s="12" t="s">
        <v>65</v>
      </c>
      <c r="F4341">
        <v>2</v>
      </c>
      <c r="G4341">
        <v>3</v>
      </c>
      <c r="H4341">
        <v>0</v>
      </c>
      <c r="I4341" s="12" t="s">
        <v>115</v>
      </c>
      <c r="J4341" s="12" t="s">
        <v>116</v>
      </c>
      <c r="K4341" s="12" t="s">
        <v>117</v>
      </c>
      <c r="L4341" s="12" t="s">
        <v>82</v>
      </c>
      <c r="M4341">
        <v>17.170000000000002</v>
      </c>
      <c r="N4341" s="12" t="s">
        <v>97</v>
      </c>
      <c r="O4341" s="12" t="s">
        <v>98</v>
      </c>
      <c r="P4341" s="12" t="s">
        <v>72</v>
      </c>
      <c r="Q4341" s="13">
        <v>45694</v>
      </c>
      <c r="R4341" s="13">
        <v>45723</v>
      </c>
      <c r="S4341">
        <v>2025</v>
      </c>
      <c r="T4341" s="12" t="s">
        <v>5260</v>
      </c>
      <c r="U4341">
        <v>73</v>
      </c>
      <c r="V4341">
        <v>242.14850000000001</v>
      </c>
      <c r="W4341">
        <v>292.8</v>
      </c>
      <c r="X4341">
        <v>0</v>
      </c>
      <c r="Y4341">
        <v>0</v>
      </c>
      <c r="Z4341">
        <v>17676.84</v>
      </c>
      <c r="AA4341">
        <v>17969.64</v>
      </c>
      <c r="AB4341" s="12" t="s">
        <v>4434</v>
      </c>
      <c r="AC4341">
        <v>242.14850000000001</v>
      </c>
      <c r="AD4341">
        <v>1</v>
      </c>
      <c r="AE4341">
        <v>1</v>
      </c>
      <c r="AF4341">
        <v>0</v>
      </c>
      <c r="AG4341">
        <v>17676.84</v>
      </c>
      <c r="AH4341">
        <v>73</v>
      </c>
      <c r="AI4341">
        <v>72</v>
      </c>
      <c r="AJ4341">
        <v>1</v>
      </c>
      <c r="AK4341">
        <v>1</v>
      </c>
      <c r="AL4341">
        <v>1</v>
      </c>
      <c r="AM4341">
        <v>98.63</v>
      </c>
      <c r="AN4341">
        <v>249.57830000000001</v>
      </c>
      <c r="AO4341">
        <v>242.15</v>
      </c>
      <c r="AP4341" s="13">
        <v>45720</v>
      </c>
      <c r="AQ4341">
        <v>-3</v>
      </c>
      <c r="AR4341">
        <v>1</v>
      </c>
    </row>
    <row r="4342" spans="1:44" x14ac:dyDescent="0.35">
      <c r="A4342" s="12" t="s">
        <v>5291</v>
      </c>
      <c r="B4342" s="12" t="s">
        <v>674</v>
      </c>
      <c r="C4342" s="12" t="s">
        <v>675</v>
      </c>
      <c r="D4342" s="12" t="s">
        <v>269</v>
      </c>
      <c r="E4342" s="12" t="s">
        <v>142</v>
      </c>
      <c r="F4342">
        <v>1</v>
      </c>
      <c r="G4342">
        <v>7</v>
      </c>
      <c r="H4342">
        <v>1</v>
      </c>
      <c r="I4342" s="12" t="s">
        <v>676</v>
      </c>
      <c r="J4342" s="12" t="s">
        <v>677</v>
      </c>
      <c r="K4342" s="12" t="s">
        <v>68</v>
      </c>
      <c r="L4342" s="12" t="s">
        <v>96</v>
      </c>
      <c r="M4342">
        <v>3.57</v>
      </c>
      <c r="N4342" s="12" t="s">
        <v>159</v>
      </c>
      <c r="O4342" s="12" t="s">
        <v>160</v>
      </c>
      <c r="P4342" s="12" t="s">
        <v>137</v>
      </c>
      <c r="Q4342" s="13">
        <v>45695</v>
      </c>
      <c r="R4342" s="13">
        <v>45736</v>
      </c>
      <c r="S4342">
        <v>2025</v>
      </c>
      <c r="T4342" s="12" t="s">
        <v>5260</v>
      </c>
      <c r="U4342">
        <v>62</v>
      </c>
      <c r="V4342">
        <v>354.52300000000002</v>
      </c>
      <c r="W4342">
        <v>476.89</v>
      </c>
      <c r="X4342">
        <v>0</v>
      </c>
      <c r="Y4342">
        <v>0</v>
      </c>
      <c r="Z4342">
        <v>21980.43</v>
      </c>
      <c r="AA4342">
        <v>22457.32</v>
      </c>
      <c r="AB4342" s="12" t="s">
        <v>201</v>
      </c>
      <c r="AD4342">
        <v>0</v>
      </c>
      <c r="AE4342">
        <v>0</v>
      </c>
      <c r="AH4342">
        <v>62</v>
      </c>
      <c r="AI4342">
        <v>61</v>
      </c>
      <c r="AJ4342">
        <v>1</v>
      </c>
      <c r="AK4342">
        <v>1</v>
      </c>
      <c r="AL4342">
        <v>1</v>
      </c>
      <c r="AM4342">
        <v>98.39</v>
      </c>
      <c r="AN4342">
        <v>368.15269999999998</v>
      </c>
      <c r="AO4342">
        <v>354.52</v>
      </c>
      <c r="AP4342" s="13">
        <v>45743</v>
      </c>
      <c r="AQ4342">
        <v>7</v>
      </c>
      <c r="AR4342">
        <v>0</v>
      </c>
    </row>
    <row r="4343" spans="1:44" x14ac:dyDescent="0.35">
      <c r="A4343" s="12" t="s">
        <v>5292</v>
      </c>
      <c r="B4343" s="12" t="s">
        <v>891</v>
      </c>
      <c r="C4343" s="12" t="s">
        <v>892</v>
      </c>
      <c r="D4343" s="12" t="s">
        <v>122</v>
      </c>
      <c r="E4343" s="12" t="s">
        <v>65</v>
      </c>
      <c r="F4343">
        <v>3</v>
      </c>
      <c r="G4343">
        <v>5</v>
      </c>
      <c r="H4343">
        <v>0</v>
      </c>
      <c r="I4343" s="12" t="s">
        <v>195</v>
      </c>
      <c r="J4343" s="12" t="s">
        <v>196</v>
      </c>
      <c r="K4343" s="12" t="s">
        <v>117</v>
      </c>
      <c r="L4343" s="12" t="s">
        <v>134</v>
      </c>
      <c r="M4343">
        <v>4.7699999999999996</v>
      </c>
      <c r="N4343" s="12" t="s">
        <v>97</v>
      </c>
      <c r="O4343" s="12" t="s">
        <v>98</v>
      </c>
      <c r="P4343" s="12" t="s">
        <v>72</v>
      </c>
      <c r="Q4343" s="13">
        <v>45695</v>
      </c>
      <c r="R4343" s="13">
        <v>45727</v>
      </c>
      <c r="S4343">
        <v>2025</v>
      </c>
      <c r="T4343" s="12" t="s">
        <v>5260</v>
      </c>
      <c r="U4343">
        <v>1306</v>
      </c>
      <c r="V4343">
        <v>35.6783</v>
      </c>
      <c r="W4343">
        <v>442.1</v>
      </c>
      <c r="X4343">
        <v>0</v>
      </c>
      <c r="Y4343">
        <v>0</v>
      </c>
      <c r="Z4343">
        <v>46595.86</v>
      </c>
      <c r="AA4343">
        <v>47037.96</v>
      </c>
      <c r="AB4343" s="12" t="s">
        <v>3629</v>
      </c>
      <c r="AC4343">
        <v>37.859200000000001</v>
      </c>
      <c r="AD4343">
        <v>1</v>
      </c>
      <c r="AE4343">
        <v>1</v>
      </c>
      <c r="AF4343">
        <v>-2848.26</v>
      </c>
      <c r="AG4343">
        <v>49444.12</v>
      </c>
      <c r="AH4343">
        <v>1306</v>
      </c>
      <c r="AI4343">
        <v>1295</v>
      </c>
      <c r="AJ4343">
        <v>11</v>
      </c>
      <c r="AK4343">
        <v>1</v>
      </c>
      <c r="AL4343">
        <v>1</v>
      </c>
      <c r="AM4343">
        <v>99.16</v>
      </c>
      <c r="AN4343">
        <v>36.322699999999998</v>
      </c>
      <c r="AO4343">
        <v>392.46</v>
      </c>
      <c r="AP4343" s="13">
        <v>45731</v>
      </c>
      <c r="AQ4343">
        <v>4</v>
      </c>
      <c r="AR4343">
        <v>0</v>
      </c>
    </row>
    <row r="4344" spans="1:44" x14ac:dyDescent="0.35">
      <c r="A4344" s="12" t="s">
        <v>5293</v>
      </c>
      <c r="B4344" s="12" t="s">
        <v>630</v>
      </c>
      <c r="C4344" s="12" t="s">
        <v>631</v>
      </c>
      <c r="D4344" s="12" t="s">
        <v>130</v>
      </c>
      <c r="E4344" s="12" t="s">
        <v>65</v>
      </c>
      <c r="F4344">
        <v>1</v>
      </c>
      <c r="G4344">
        <v>2</v>
      </c>
      <c r="H4344">
        <v>1</v>
      </c>
      <c r="I4344" s="12" t="s">
        <v>335</v>
      </c>
      <c r="J4344" s="12" t="s">
        <v>336</v>
      </c>
      <c r="K4344" s="12" t="s">
        <v>89</v>
      </c>
      <c r="L4344" s="12" t="s">
        <v>82</v>
      </c>
      <c r="M4344">
        <v>16</v>
      </c>
      <c r="N4344" s="12" t="s">
        <v>159</v>
      </c>
      <c r="O4344" s="12" t="s">
        <v>160</v>
      </c>
      <c r="P4344" s="12" t="s">
        <v>137</v>
      </c>
      <c r="Q4344" s="13">
        <v>45695</v>
      </c>
      <c r="R4344" s="13">
        <v>45717</v>
      </c>
      <c r="S4344">
        <v>2025</v>
      </c>
      <c r="T4344" s="12" t="s">
        <v>5260</v>
      </c>
      <c r="U4344">
        <v>22</v>
      </c>
      <c r="V4344">
        <v>446.36720000000003</v>
      </c>
      <c r="W4344">
        <v>161.15</v>
      </c>
      <c r="X4344">
        <v>0</v>
      </c>
      <c r="Y4344">
        <v>0</v>
      </c>
      <c r="Z4344">
        <v>9820.08</v>
      </c>
      <c r="AA4344">
        <v>9981.23</v>
      </c>
      <c r="AB4344" s="12" t="s">
        <v>2944</v>
      </c>
      <c r="AC4344">
        <v>446.36720000000003</v>
      </c>
      <c r="AD4344">
        <v>1</v>
      </c>
      <c r="AE4344">
        <v>1</v>
      </c>
      <c r="AF4344">
        <v>0</v>
      </c>
      <c r="AG4344">
        <v>9820.08</v>
      </c>
      <c r="AH4344">
        <v>22</v>
      </c>
      <c r="AI4344">
        <v>22</v>
      </c>
      <c r="AJ4344">
        <v>0</v>
      </c>
      <c r="AK4344">
        <v>1</v>
      </c>
      <c r="AL4344">
        <v>1</v>
      </c>
      <c r="AM4344">
        <v>100</v>
      </c>
      <c r="AN4344">
        <v>453.69220000000001</v>
      </c>
      <c r="AO4344">
        <v>0</v>
      </c>
      <c r="AP4344" s="13">
        <v>45714</v>
      </c>
      <c r="AQ4344">
        <v>-3</v>
      </c>
      <c r="AR4344">
        <v>1</v>
      </c>
    </row>
    <row r="4345" spans="1:44" x14ac:dyDescent="0.35">
      <c r="A4345" s="12" t="s">
        <v>5294</v>
      </c>
      <c r="B4345" s="12" t="s">
        <v>416</v>
      </c>
      <c r="C4345" s="12" t="s">
        <v>417</v>
      </c>
      <c r="D4345" s="12" t="s">
        <v>78</v>
      </c>
      <c r="E4345" s="12" t="s">
        <v>65</v>
      </c>
      <c r="F4345">
        <v>3</v>
      </c>
      <c r="G4345">
        <v>5</v>
      </c>
      <c r="H4345">
        <v>0</v>
      </c>
      <c r="I4345" s="12" t="s">
        <v>169</v>
      </c>
      <c r="J4345" s="12" t="s">
        <v>170</v>
      </c>
      <c r="K4345" s="12" t="s">
        <v>89</v>
      </c>
      <c r="L4345" s="12" t="s">
        <v>134</v>
      </c>
      <c r="M4345">
        <v>1.37</v>
      </c>
      <c r="N4345" s="12" t="s">
        <v>70</v>
      </c>
      <c r="O4345" s="12" t="s">
        <v>71</v>
      </c>
      <c r="P4345" s="12" t="s">
        <v>72</v>
      </c>
      <c r="Q4345" s="13">
        <v>45695</v>
      </c>
      <c r="R4345" s="13">
        <v>45721</v>
      </c>
      <c r="S4345">
        <v>2025</v>
      </c>
      <c r="T4345" s="12" t="s">
        <v>5260</v>
      </c>
      <c r="U4345">
        <v>121</v>
      </c>
      <c r="V4345">
        <v>136.4109</v>
      </c>
      <c r="W4345">
        <v>191.54</v>
      </c>
      <c r="X4345">
        <v>0</v>
      </c>
      <c r="Y4345">
        <v>0</v>
      </c>
      <c r="Z4345">
        <v>16505.72</v>
      </c>
      <c r="AA4345">
        <v>16697.259999999998</v>
      </c>
      <c r="AB4345" s="12" t="s">
        <v>2980</v>
      </c>
      <c r="AC4345">
        <v>136.4109</v>
      </c>
      <c r="AD4345">
        <v>1</v>
      </c>
      <c r="AE4345">
        <v>1</v>
      </c>
      <c r="AF4345">
        <v>0</v>
      </c>
      <c r="AG4345">
        <v>16505.72</v>
      </c>
      <c r="AH4345">
        <v>121</v>
      </c>
      <c r="AI4345">
        <v>119</v>
      </c>
      <c r="AJ4345">
        <v>2</v>
      </c>
      <c r="AK4345">
        <v>1</v>
      </c>
      <c r="AL4345">
        <v>1</v>
      </c>
      <c r="AM4345">
        <v>98.35</v>
      </c>
      <c r="AN4345">
        <v>140.31309999999999</v>
      </c>
      <c r="AO4345">
        <v>272.82</v>
      </c>
      <c r="AP4345" s="13">
        <v>45722</v>
      </c>
      <c r="AQ4345">
        <v>1</v>
      </c>
      <c r="AR4345">
        <v>0</v>
      </c>
    </row>
    <row r="4346" spans="1:44" x14ac:dyDescent="0.35">
      <c r="A4346" s="12" t="s">
        <v>5295</v>
      </c>
      <c r="B4346" s="12" t="s">
        <v>395</v>
      </c>
      <c r="C4346" s="12" t="s">
        <v>396</v>
      </c>
      <c r="D4346" s="12" t="s">
        <v>130</v>
      </c>
      <c r="E4346" s="12" t="s">
        <v>104</v>
      </c>
      <c r="F4346">
        <v>3</v>
      </c>
      <c r="G4346">
        <v>1</v>
      </c>
      <c r="H4346">
        <v>0</v>
      </c>
      <c r="I4346" s="12" t="s">
        <v>341</v>
      </c>
      <c r="J4346" s="12" t="s">
        <v>342</v>
      </c>
      <c r="K4346" s="12" t="s">
        <v>117</v>
      </c>
      <c r="L4346" s="12" t="s">
        <v>82</v>
      </c>
      <c r="M4346">
        <v>18.36</v>
      </c>
      <c r="N4346" s="12" t="s">
        <v>159</v>
      </c>
      <c r="O4346" s="12" t="s">
        <v>160</v>
      </c>
      <c r="P4346" s="12" t="s">
        <v>137</v>
      </c>
      <c r="Q4346" s="13">
        <v>45695</v>
      </c>
      <c r="R4346" s="13">
        <v>45719</v>
      </c>
      <c r="S4346">
        <v>2025</v>
      </c>
      <c r="T4346" s="12" t="s">
        <v>5260</v>
      </c>
      <c r="U4346">
        <v>109</v>
      </c>
      <c r="V4346">
        <v>159.31549999999999</v>
      </c>
      <c r="W4346">
        <v>235.89</v>
      </c>
      <c r="X4346">
        <v>0</v>
      </c>
      <c r="Y4346">
        <v>0</v>
      </c>
      <c r="Z4346">
        <v>17365.39</v>
      </c>
      <c r="AA4346">
        <v>17601.28</v>
      </c>
      <c r="AB4346" s="12" t="s">
        <v>5282</v>
      </c>
      <c r="AC4346">
        <v>159.31549999999999</v>
      </c>
      <c r="AD4346">
        <v>1</v>
      </c>
      <c r="AE4346">
        <v>1</v>
      </c>
      <c r="AF4346">
        <v>0</v>
      </c>
      <c r="AG4346">
        <v>17365.39</v>
      </c>
      <c r="AH4346">
        <v>109</v>
      </c>
      <c r="AI4346">
        <v>108</v>
      </c>
      <c r="AJ4346">
        <v>1</v>
      </c>
      <c r="AK4346">
        <v>1</v>
      </c>
      <c r="AL4346">
        <v>1</v>
      </c>
      <c r="AM4346">
        <v>99.08</v>
      </c>
      <c r="AN4346">
        <v>162.97479999999999</v>
      </c>
      <c r="AO4346">
        <v>159.32</v>
      </c>
      <c r="AP4346" s="13">
        <v>45722</v>
      </c>
      <c r="AQ4346">
        <v>3</v>
      </c>
      <c r="AR4346">
        <v>0</v>
      </c>
    </row>
    <row r="4347" spans="1:44" x14ac:dyDescent="0.35">
      <c r="A4347" s="12" t="s">
        <v>5296</v>
      </c>
      <c r="B4347" s="12" t="s">
        <v>646</v>
      </c>
      <c r="C4347" s="12" t="s">
        <v>647</v>
      </c>
      <c r="D4347" s="12" t="s">
        <v>175</v>
      </c>
      <c r="E4347" s="12" t="s">
        <v>104</v>
      </c>
      <c r="F4347">
        <v>3</v>
      </c>
      <c r="G4347">
        <v>1</v>
      </c>
      <c r="H4347">
        <v>0</v>
      </c>
      <c r="I4347" s="12" t="s">
        <v>227</v>
      </c>
      <c r="J4347" s="12" t="s">
        <v>228</v>
      </c>
      <c r="K4347" s="12" t="s">
        <v>89</v>
      </c>
      <c r="L4347" s="12" t="s">
        <v>96</v>
      </c>
      <c r="M4347">
        <v>9.15</v>
      </c>
      <c r="N4347" s="12" t="s">
        <v>107</v>
      </c>
      <c r="O4347" s="12" t="s">
        <v>108</v>
      </c>
      <c r="P4347" s="12" t="s">
        <v>109</v>
      </c>
      <c r="Q4347" s="13">
        <v>45695</v>
      </c>
      <c r="R4347" s="13">
        <v>45721</v>
      </c>
      <c r="S4347">
        <v>2025</v>
      </c>
      <c r="T4347" s="12" t="s">
        <v>5260</v>
      </c>
      <c r="U4347">
        <v>120</v>
      </c>
      <c r="V4347">
        <v>208.49090000000001</v>
      </c>
      <c r="W4347">
        <v>477.74</v>
      </c>
      <c r="X4347">
        <v>0</v>
      </c>
      <c r="Y4347">
        <v>0</v>
      </c>
      <c r="Z4347">
        <v>25018.91</v>
      </c>
      <c r="AA4347">
        <v>25496.65</v>
      </c>
      <c r="AB4347" s="12" t="s">
        <v>3535</v>
      </c>
      <c r="AC4347">
        <v>203.7088</v>
      </c>
      <c r="AD4347">
        <v>1</v>
      </c>
      <c r="AE4347">
        <v>1</v>
      </c>
      <c r="AF4347">
        <v>573.85</v>
      </c>
      <c r="AG4347">
        <v>24445.06</v>
      </c>
      <c r="AH4347">
        <v>120</v>
      </c>
      <c r="AI4347">
        <v>119</v>
      </c>
      <c r="AJ4347">
        <v>1</v>
      </c>
      <c r="AK4347">
        <v>1</v>
      </c>
      <c r="AL4347">
        <v>1</v>
      </c>
      <c r="AM4347">
        <v>99.17</v>
      </c>
      <c r="AN4347">
        <v>214.25749999999999</v>
      </c>
      <c r="AO4347">
        <v>208.49</v>
      </c>
      <c r="AP4347" s="13">
        <v>45720</v>
      </c>
      <c r="AQ4347">
        <v>-1</v>
      </c>
      <c r="AR4347">
        <v>1</v>
      </c>
    </row>
    <row r="4348" spans="1:44" x14ac:dyDescent="0.35">
      <c r="A4348" s="12" t="s">
        <v>5297</v>
      </c>
      <c r="B4348" s="12" t="s">
        <v>657</v>
      </c>
      <c r="C4348" s="12" t="s">
        <v>658</v>
      </c>
      <c r="D4348" s="12" t="s">
        <v>175</v>
      </c>
      <c r="E4348" s="12" t="s">
        <v>65</v>
      </c>
      <c r="F4348">
        <v>1</v>
      </c>
      <c r="G4348">
        <v>2</v>
      </c>
      <c r="H4348">
        <v>1</v>
      </c>
      <c r="I4348" s="12" t="s">
        <v>183</v>
      </c>
      <c r="J4348" s="12" t="s">
        <v>184</v>
      </c>
      <c r="K4348" s="12" t="s">
        <v>133</v>
      </c>
      <c r="L4348" s="12" t="s">
        <v>82</v>
      </c>
      <c r="M4348">
        <v>8.6199999999999992</v>
      </c>
      <c r="N4348" s="12" t="s">
        <v>145</v>
      </c>
      <c r="O4348" s="12" t="s">
        <v>146</v>
      </c>
      <c r="P4348" s="12" t="s">
        <v>109</v>
      </c>
      <c r="Q4348" s="13">
        <v>45695</v>
      </c>
      <c r="R4348" s="13">
        <v>45727</v>
      </c>
      <c r="S4348">
        <v>2025</v>
      </c>
      <c r="T4348" s="12" t="s">
        <v>5260</v>
      </c>
      <c r="U4348">
        <v>99</v>
      </c>
      <c r="V4348">
        <v>149.10310000000001</v>
      </c>
      <c r="W4348">
        <v>182.35</v>
      </c>
      <c r="X4348">
        <v>0</v>
      </c>
      <c r="Y4348">
        <v>0</v>
      </c>
      <c r="Z4348">
        <v>14761.21</v>
      </c>
      <c r="AA4348">
        <v>14943.56</v>
      </c>
      <c r="AB4348" s="12" t="s">
        <v>3525</v>
      </c>
      <c r="AC4348">
        <v>149.10310000000001</v>
      </c>
      <c r="AD4348">
        <v>1</v>
      </c>
      <c r="AE4348">
        <v>1</v>
      </c>
      <c r="AF4348">
        <v>0</v>
      </c>
      <c r="AG4348">
        <v>14761.21</v>
      </c>
      <c r="AH4348">
        <v>99</v>
      </c>
      <c r="AI4348">
        <v>99</v>
      </c>
      <c r="AJ4348">
        <v>0</v>
      </c>
      <c r="AK4348">
        <v>1</v>
      </c>
      <c r="AL4348">
        <v>1</v>
      </c>
      <c r="AM4348">
        <v>100</v>
      </c>
      <c r="AN4348">
        <v>150.94499999999999</v>
      </c>
      <c r="AO4348">
        <v>0</v>
      </c>
      <c r="AP4348" s="13">
        <v>45723</v>
      </c>
      <c r="AQ4348">
        <v>-4</v>
      </c>
      <c r="AR4348">
        <v>1</v>
      </c>
    </row>
    <row r="4349" spans="1:44" x14ac:dyDescent="0.35">
      <c r="A4349" s="12" t="s">
        <v>5298</v>
      </c>
      <c r="B4349" s="12" t="s">
        <v>1134</v>
      </c>
      <c r="C4349" s="12" t="s">
        <v>1135</v>
      </c>
      <c r="D4349" s="12" t="s">
        <v>269</v>
      </c>
      <c r="E4349" s="12" t="s">
        <v>104</v>
      </c>
      <c r="F4349">
        <v>2</v>
      </c>
      <c r="G4349">
        <v>0</v>
      </c>
      <c r="H4349">
        <v>0</v>
      </c>
      <c r="I4349" s="12" t="s">
        <v>380</v>
      </c>
      <c r="J4349" s="12" t="s">
        <v>381</v>
      </c>
      <c r="K4349" s="12" t="s">
        <v>89</v>
      </c>
      <c r="L4349" s="12" t="s">
        <v>96</v>
      </c>
      <c r="M4349">
        <v>10.210000000000001</v>
      </c>
      <c r="N4349" s="12" t="s">
        <v>135</v>
      </c>
      <c r="O4349" s="12" t="s">
        <v>136</v>
      </c>
      <c r="P4349" s="12" t="s">
        <v>137</v>
      </c>
      <c r="Q4349" s="13">
        <v>45695</v>
      </c>
      <c r="R4349" s="13">
        <v>45718</v>
      </c>
      <c r="S4349">
        <v>2025</v>
      </c>
      <c r="T4349" s="12" t="s">
        <v>5260</v>
      </c>
      <c r="U4349">
        <v>97</v>
      </c>
      <c r="V4349">
        <v>100.0123</v>
      </c>
      <c r="W4349">
        <v>129.32</v>
      </c>
      <c r="X4349">
        <v>0</v>
      </c>
      <c r="Y4349">
        <v>0</v>
      </c>
      <c r="Z4349">
        <v>9701.19</v>
      </c>
      <c r="AA4349">
        <v>9830.51</v>
      </c>
      <c r="AB4349" s="12" t="s">
        <v>3615</v>
      </c>
      <c r="AC4349">
        <v>100.0123</v>
      </c>
      <c r="AD4349">
        <v>1</v>
      </c>
      <c r="AE4349">
        <v>1</v>
      </c>
      <c r="AF4349">
        <v>0</v>
      </c>
      <c r="AG4349">
        <v>9701.19</v>
      </c>
      <c r="AH4349">
        <v>97</v>
      </c>
      <c r="AI4349">
        <v>96</v>
      </c>
      <c r="AJ4349">
        <v>1</v>
      </c>
      <c r="AK4349">
        <v>1</v>
      </c>
      <c r="AL4349">
        <v>1</v>
      </c>
      <c r="AM4349">
        <v>98.97</v>
      </c>
      <c r="AN4349">
        <v>102.4012</v>
      </c>
      <c r="AO4349">
        <v>100.01</v>
      </c>
      <c r="AP4349" s="13">
        <v>45718</v>
      </c>
      <c r="AQ4349">
        <v>0</v>
      </c>
      <c r="AR4349">
        <v>1</v>
      </c>
    </row>
    <row r="4350" spans="1:44" x14ac:dyDescent="0.35">
      <c r="A4350" s="12" t="s">
        <v>5299</v>
      </c>
      <c r="B4350" s="12" t="s">
        <v>902</v>
      </c>
      <c r="C4350" s="12" t="s">
        <v>903</v>
      </c>
      <c r="D4350" s="12" t="s">
        <v>122</v>
      </c>
      <c r="E4350" s="12" t="s">
        <v>142</v>
      </c>
      <c r="F4350">
        <v>1</v>
      </c>
      <c r="G4350">
        <v>6</v>
      </c>
      <c r="H4350">
        <v>1</v>
      </c>
      <c r="I4350" s="12" t="s">
        <v>105</v>
      </c>
      <c r="J4350" s="12" t="s">
        <v>106</v>
      </c>
      <c r="K4350" s="12" t="s">
        <v>81</v>
      </c>
      <c r="L4350" s="12" t="s">
        <v>96</v>
      </c>
      <c r="M4350">
        <v>5.01</v>
      </c>
      <c r="N4350" s="12" t="s">
        <v>70</v>
      </c>
      <c r="O4350" s="12" t="s">
        <v>71</v>
      </c>
      <c r="P4350" s="12" t="s">
        <v>72</v>
      </c>
      <c r="Q4350" s="13">
        <v>45695</v>
      </c>
      <c r="R4350" s="13">
        <v>45741</v>
      </c>
      <c r="S4350">
        <v>2025</v>
      </c>
      <c r="T4350" s="12" t="s">
        <v>5260</v>
      </c>
      <c r="U4350">
        <v>1311</v>
      </c>
      <c r="V4350">
        <v>41.6892</v>
      </c>
      <c r="W4350">
        <v>869.02</v>
      </c>
      <c r="X4350">
        <v>0</v>
      </c>
      <c r="Y4350">
        <v>0</v>
      </c>
      <c r="Z4350">
        <v>54654.54</v>
      </c>
      <c r="AA4350">
        <v>55523.56</v>
      </c>
      <c r="AB4350" s="12" t="s">
        <v>3284</v>
      </c>
      <c r="AC4350">
        <v>41.6892</v>
      </c>
      <c r="AD4350">
        <v>1</v>
      </c>
      <c r="AE4350">
        <v>1</v>
      </c>
      <c r="AF4350">
        <v>0</v>
      </c>
      <c r="AG4350">
        <v>54654.54</v>
      </c>
      <c r="AH4350">
        <v>1311</v>
      </c>
      <c r="AI4350">
        <v>1308</v>
      </c>
      <c r="AJ4350">
        <v>3</v>
      </c>
      <c r="AK4350">
        <v>1</v>
      </c>
      <c r="AL4350">
        <v>1</v>
      </c>
      <c r="AM4350">
        <v>99.77</v>
      </c>
      <c r="AN4350">
        <v>42.449199999999998</v>
      </c>
      <c r="AO4350">
        <v>125.07</v>
      </c>
      <c r="AP4350" s="13">
        <v>45747</v>
      </c>
      <c r="AQ4350">
        <v>6</v>
      </c>
      <c r="AR4350">
        <v>0</v>
      </c>
    </row>
    <row r="4351" spans="1:44" x14ac:dyDescent="0.35">
      <c r="A4351" s="12" t="s">
        <v>5300</v>
      </c>
      <c r="B4351" s="12" t="s">
        <v>395</v>
      </c>
      <c r="C4351" s="12" t="s">
        <v>396</v>
      </c>
      <c r="D4351" s="12" t="s">
        <v>130</v>
      </c>
      <c r="E4351" s="12" t="s">
        <v>104</v>
      </c>
      <c r="F4351">
        <v>3</v>
      </c>
      <c r="G4351">
        <v>1</v>
      </c>
      <c r="H4351">
        <v>0</v>
      </c>
      <c r="I4351" s="12" t="s">
        <v>341</v>
      </c>
      <c r="J4351" s="12" t="s">
        <v>342</v>
      </c>
      <c r="K4351" s="12" t="s">
        <v>117</v>
      </c>
      <c r="L4351" s="12" t="s">
        <v>82</v>
      </c>
      <c r="M4351">
        <v>18.36</v>
      </c>
      <c r="N4351" s="12" t="s">
        <v>159</v>
      </c>
      <c r="O4351" s="12" t="s">
        <v>160</v>
      </c>
      <c r="P4351" s="12" t="s">
        <v>137</v>
      </c>
      <c r="Q4351" s="13">
        <v>45695</v>
      </c>
      <c r="R4351" s="13">
        <v>45719</v>
      </c>
      <c r="S4351">
        <v>2025</v>
      </c>
      <c r="T4351" s="12" t="s">
        <v>5260</v>
      </c>
      <c r="U4351">
        <v>109</v>
      </c>
      <c r="V4351">
        <v>159.31549999999999</v>
      </c>
      <c r="W4351">
        <v>235.89</v>
      </c>
      <c r="X4351">
        <v>0</v>
      </c>
      <c r="Y4351">
        <v>0</v>
      </c>
      <c r="Z4351">
        <v>17365.39</v>
      </c>
      <c r="AA4351">
        <v>17601.28</v>
      </c>
      <c r="AB4351" s="12" t="s">
        <v>5282</v>
      </c>
      <c r="AC4351">
        <v>159.31549999999999</v>
      </c>
      <c r="AD4351">
        <v>1</v>
      </c>
      <c r="AE4351">
        <v>1</v>
      </c>
      <c r="AF4351">
        <v>0</v>
      </c>
      <c r="AG4351">
        <v>17365.39</v>
      </c>
      <c r="AK4351">
        <v>0</v>
      </c>
      <c r="AL4351">
        <v>0</v>
      </c>
      <c r="AO4351">
        <v>0</v>
      </c>
      <c r="AP4351" s="13"/>
    </row>
    <row r="4352" spans="1:44" x14ac:dyDescent="0.35">
      <c r="A4352" s="12" t="s">
        <v>5301</v>
      </c>
      <c r="B4352" s="12" t="s">
        <v>149</v>
      </c>
      <c r="C4352" s="12" t="s">
        <v>150</v>
      </c>
      <c r="D4352" s="12" t="s">
        <v>78</v>
      </c>
      <c r="E4352" s="12" t="s">
        <v>65</v>
      </c>
      <c r="F4352">
        <v>2</v>
      </c>
      <c r="G4352">
        <v>2</v>
      </c>
      <c r="H4352">
        <v>0</v>
      </c>
      <c r="I4352" s="12" t="s">
        <v>151</v>
      </c>
      <c r="J4352" s="12" t="s">
        <v>152</v>
      </c>
      <c r="K4352" s="12" t="s">
        <v>125</v>
      </c>
      <c r="L4352" s="12" t="s">
        <v>69</v>
      </c>
      <c r="M4352">
        <v>36.479999999999997</v>
      </c>
      <c r="N4352" s="12" t="s">
        <v>97</v>
      </c>
      <c r="O4352" s="12" t="s">
        <v>98</v>
      </c>
      <c r="P4352" s="12" t="s">
        <v>72</v>
      </c>
      <c r="Q4352" s="13">
        <v>45698</v>
      </c>
      <c r="R4352" s="13">
        <v>45719</v>
      </c>
      <c r="S4352">
        <v>2025</v>
      </c>
      <c r="T4352" s="12" t="s">
        <v>5260</v>
      </c>
      <c r="U4352">
        <v>44</v>
      </c>
      <c r="V4352">
        <v>65.934700000000007</v>
      </c>
      <c r="W4352">
        <v>19.43</v>
      </c>
      <c r="X4352">
        <v>0</v>
      </c>
      <c r="Y4352">
        <v>0</v>
      </c>
      <c r="Z4352">
        <v>2901.13</v>
      </c>
      <c r="AA4352">
        <v>2920.56</v>
      </c>
      <c r="AB4352" s="12" t="s">
        <v>5076</v>
      </c>
      <c r="AC4352">
        <v>65.934700000000007</v>
      </c>
      <c r="AD4352">
        <v>1</v>
      </c>
      <c r="AE4352">
        <v>1</v>
      </c>
      <c r="AF4352">
        <v>0</v>
      </c>
      <c r="AG4352">
        <v>2901.13</v>
      </c>
      <c r="AH4352">
        <v>44</v>
      </c>
      <c r="AI4352">
        <v>44</v>
      </c>
      <c r="AJ4352">
        <v>0</v>
      </c>
      <c r="AK4352">
        <v>1</v>
      </c>
      <c r="AL4352">
        <v>1</v>
      </c>
      <c r="AM4352">
        <v>100</v>
      </c>
      <c r="AN4352">
        <v>66.376300000000001</v>
      </c>
      <c r="AO4352">
        <v>0</v>
      </c>
      <c r="AP4352" s="13">
        <v>45717</v>
      </c>
      <c r="AQ4352">
        <v>-2</v>
      </c>
      <c r="AR4352">
        <v>1</v>
      </c>
    </row>
    <row r="4353" spans="1:44" x14ac:dyDescent="0.35">
      <c r="A4353" s="12" t="s">
        <v>5302</v>
      </c>
      <c r="B4353" s="12" t="s">
        <v>163</v>
      </c>
      <c r="C4353" s="12" t="s">
        <v>164</v>
      </c>
      <c r="D4353" s="12" t="s">
        <v>64</v>
      </c>
      <c r="E4353" s="12" t="s">
        <v>104</v>
      </c>
      <c r="F4353">
        <v>2</v>
      </c>
      <c r="G4353">
        <v>0</v>
      </c>
      <c r="H4353">
        <v>0</v>
      </c>
      <c r="I4353" s="12" t="s">
        <v>79</v>
      </c>
      <c r="J4353" s="12" t="s">
        <v>80</v>
      </c>
      <c r="K4353" s="12" t="s">
        <v>81</v>
      </c>
      <c r="L4353" s="12" t="s">
        <v>82</v>
      </c>
      <c r="M4353">
        <v>12.07</v>
      </c>
      <c r="N4353" s="12" t="s">
        <v>97</v>
      </c>
      <c r="O4353" s="12" t="s">
        <v>98</v>
      </c>
      <c r="P4353" s="12" t="s">
        <v>72</v>
      </c>
      <c r="Q4353" s="13">
        <v>45698</v>
      </c>
      <c r="R4353" s="13">
        <v>45718</v>
      </c>
      <c r="S4353">
        <v>2025</v>
      </c>
      <c r="T4353" s="12" t="s">
        <v>5260</v>
      </c>
      <c r="U4353">
        <v>515</v>
      </c>
      <c r="V4353">
        <v>10.482900000000001</v>
      </c>
      <c r="W4353">
        <v>33.619999999999997</v>
      </c>
      <c r="X4353">
        <v>0</v>
      </c>
      <c r="Y4353">
        <v>0</v>
      </c>
      <c r="Z4353">
        <v>5398.69</v>
      </c>
      <c r="AA4353">
        <v>5432.31</v>
      </c>
      <c r="AB4353" s="12" t="s">
        <v>5303</v>
      </c>
      <c r="AC4353">
        <v>10.482900000000001</v>
      </c>
      <c r="AD4353">
        <v>1</v>
      </c>
      <c r="AE4353">
        <v>1</v>
      </c>
      <c r="AF4353">
        <v>0</v>
      </c>
      <c r="AG4353">
        <v>5398.69</v>
      </c>
      <c r="AH4353">
        <v>515</v>
      </c>
      <c r="AI4353">
        <v>512</v>
      </c>
      <c r="AJ4353">
        <v>3</v>
      </c>
      <c r="AK4353">
        <v>1</v>
      </c>
      <c r="AL4353">
        <v>1</v>
      </c>
      <c r="AM4353">
        <v>99.42</v>
      </c>
      <c r="AN4353">
        <v>10.61</v>
      </c>
      <c r="AO4353">
        <v>31.45</v>
      </c>
      <c r="AP4353" s="13">
        <v>45716</v>
      </c>
      <c r="AQ4353">
        <v>-2</v>
      </c>
      <c r="AR4353">
        <v>1</v>
      </c>
    </row>
    <row r="4354" spans="1:44" x14ac:dyDescent="0.35">
      <c r="A4354" s="12" t="s">
        <v>5304</v>
      </c>
      <c r="B4354" s="12" t="s">
        <v>163</v>
      </c>
      <c r="C4354" s="12" t="s">
        <v>164</v>
      </c>
      <c r="D4354" s="12" t="s">
        <v>64</v>
      </c>
      <c r="E4354" s="12" t="s">
        <v>104</v>
      </c>
      <c r="F4354">
        <v>2</v>
      </c>
      <c r="G4354">
        <v>0</v>
      </c>
      <c r="H4354">
        <v>0</v>
      </c>
      <c r="I4354" s="12" t="s">
        <v>79</v>
      </c>
      <c r="J4354" s="12" t="s">
        <v>80</v>
      </c>
      <c r="K4354" s="12" t="s">
        <v>81</v>
      </c>
      <c r="L4354" s="12" t="s">
        <v>82</v>
      </c>
      <c r="M4354">
        <v>12.07</v>
      </c>
      <c r="N4354" s="12" t="s">
        <v>70</v>
      </c>
      <c r="O4354" s="12" t="s">
        <v>71</v>
      </c>
      <c r="P4354" s="12" t="s">
        <v>72</v>
      </c>
      <c r="Q4354" s="13">
        <v>45698</v>
      </c>
      <c r="R4354" s="13">
        <v>45720</v>
      </c>
      <c r="S4354">
        <v>2025</v>
      </c>
      <c r="T4354" s="12" t="s">
        <v>5260</v>
      </c>
      <c r="U4354">
        <v>632</v>
      </c>
      <c r="V4354">
        <v>10.482900000000001</v>
      </c>
      <c r="W4354">
        <v>161.19</v>
      </c>
      <c r="X4354">
        <v>0</v>
      </c>
      <c r="Y4354">
        <v>0</v>
      </c>
      <c r="Z4354">
        <v>6625.19</v>
      </c>
      <c r="AA4354">
        <v>6786.38</v>
      </c>
      <c r="AB4354" s="12" t="s">
        <v>5303</v>
      </c>
      <c r="AC4354">
        <v>10.482900000000001</v>
      </c>
      <c r="AD4354">
        <v>1</v>
      </c>
      <c r="AE4354">
        <v>1</v>
      </c>
      <c r="AF4354">
        <v>0</v>
      </c>
      <c r="AG4354">
        <v>6625.19</v>
      </c>
      <c r="AH4354">
        <v>632</v>
      </c>
      <c r="AI4354">
        <v>628</v>
      </c>
      <c r="AJ4354">
        <v>4</v>
      </c>
      <c r="AK4354">
        <v>1</v>
      </c>
      <c r="AL4354">
        <v>1</v>
      </c>
      <c r="AM4354">
        <v>99.37</v>
      </c>
      <c r="AN4354">
        <v>10.8063</v>
      </c>
      <c r="AO4354">
        <v>41.93</v>
      </c>
      <c r="AP4354" s="13">
        <v>45723</v>
      </c>
      <c r="AQ4354">
        <v>3</v>
      </c>
      <c r="AR4354">
        <v>0</v>
      </c>
    </row>
    <row r="4355" spans="1:44" x14ac:dyDescent="0.35">
      <c r="A4355" s="12" t="s">
        <v>5305</v>
      </c>
      <c r="B4355" s="12" t="s">
        <v>809</v>
      </c>
      <c r="C4355" s="12" t="s">
        <v>810</v>
      </c>
      <c r="D4355" s="12" t="s">
        <v>114</v>
      </c>
      <c r="E4355" s="12" t="s">
        <v>65</v>
      </c>
      <c r="F4355">
        <v>3</v>
      </c>
      <c r="G4355">
        <v>5</v>
      </c>
      <c r="H4355">
        <v>0</v>
      </c>
      <c r="I4355" s="12" t="s">
        <v>804</v>
      </c>
      <c r="J4355" s="12" t="s">
        <v>342</v>
      </c>
      <c r="K4355" s="12" t="s">
        <v>117</v>
      </c>
      <c r="L4355" s="12" t="s">
        <v>69</v>
      </c>
      <c r="M4355">
        <v>30.07</v>
      </c>
      <c r="N4355" s="12" t="s">
        <v>70</v>
      </c>
      <c r="O4355" s="12" t="s">
        <v>71</v>
      </c>
      <c r="P4355" s="12" t="s">
        <v>72</v>
      </c>
      <c r="Q4355" s="13">
        <v>45698</v>
      </c>
      <c r="R4355" s="13">
        <v>45719</v>
      </c>
      <c r="S4355">
        <v>2025</v>
      </c>
      <c r="T4355" s="12" t="s">
        <v>5260</v>
      </c>
      <c r="U4355">
        <v>11</v>
      </c>
      <c r="V4355">
        <v>312.78919999999999</v>
      </c>
      <c r="W4355">
        <v>70.95</v>
      </c>
      <c r="X4355">
        <v>0</v>
      </c>
      <c r="Y4355">
        <v>0</v>
      </c>
      <c r="Z4355">
        <v>3440.68</v>
      </c>
      <c r="AA4355">
        <v>3511.63</v>
      </c>
      <c r="AB4355" s="12" t="s">
        <v>3416</v>
      </c>
      <c r="AC4355">
        <v>312.78919999999999</v>
      </c>
      <c r="AD4355">
        <v>1</v>
      </c>
      <c r="AE4355">
        <v>1</v>
      </c>
      <c r="AF4355">
        <v>0</v>
      </c>
      <c r="AG4355">
        <v>3440.68</v>
      </c>
      <c r="AH4355">
        <v>11</v>
      </c>
      <c r="AI4355">
        <v>11</v>
      </c>
      <c r="AJ4355">
        <v>0</v>
      </c>
      <c r="AK4355">
        <v>1</v>
      </c>
      <c r="AL4355">
        <v>1</v>
      </c>
      <c r="AM4355">
        <v>100</v>
      </c>
      <c r="AN4355">
        <v>319.23919999999998</v>
      </c>
      <c r="AO4355">
        <v>0</v>
      </c>
      <c r="AP4355" s="13">
        <v>45716</v>
      </c>
      <c r="AQ4355">
        <v>-3</v>
      </c>
      <c r="AR4355">
        <v>1</v>
      </c>
    </row>
    <row r="4356" spans="1:44" x14ac:dyDescent="0.35">
      <c r="A4356" s="12" t="s">
        <v>5306</v>
      </c>
      <c r="B4356" s="12" t="s">
        <v>561</v>
      </c>
      <c r="C4356" s="12" t="s">
        <v>562</v>
      </c>
      <c r="D4356" s="12" t="s">
        <v>130</v>
      </c>
      <c r="E4356" s="12" t="s">
        <v>142</v>
      </c>
      <c r="F4356">
        <v>1</v>
      </c>
      <c r="G4356">
        <v>9</v>
      </c>
      <c r="H4356">
        <v>1</v>
      </c>
      <c r="I4356" s="12" t="s">
        <v>223</v>
      </c>
      <c r="J4356" s="12" t="s">
        <v>224</v>
      </c>
      <c r="K4356" s="12" t="s">
        <v>81</v>
      </c>
      <c r="L4356" s="12" t="s">
        <v>134</v>
      </c>
      <c r="M4356">
        <v>2.4900000000000002</v>
      </c>
      <c r="N4356" s="12" t="s">
        <v>159</v>
      </c>
      <c r="O4356" s="12" t="s">
        <v>160</v>
      </c>
      <c r="P4356" s="12" t="s">
        <v>137</v>
      </c>
      <c r="Q4356" s="13">
        <v>45698</v>
      </c>
      <c r="R4356" s="13">
        <v>45742</v>
      </c>
      <c r="S4356">
        <v>2025</v>
      </c>
      <c r="T4356" s="12" t="s">
        <v>5260</v>
      </c>
      <c r="U4356">
        <v>84</v>
      </c>
      <c r="V4356">
        <v>513.0258</v>
      </c>
      <c r="W4356">
        <v>781.62</v>
      </c>
      <c r="X4356">
        <v>0</v>
      </c>
      <c r="Y4356">
        <v>0</v>
      </c>
      <c r="Z4356">
        <v>43094.17</v>
      </c>
      <c r="AA4356">
        <v>43875.79</v>
      </c>
      <c r="AB4356" s="12" t="s">
        <v>201</v>
      </c>
      <c r="AD4356">
        <v>0</v>
      </c>
      <c r="AE4356">
        <v>0</v>
      </c>
      <c r="AH4356">
        <v>84</v>
      </c>
      <c r="AI4356">
        <v>83</v>
      </c>
      <c r="AJ4356">
        <v>1</v>
      </c>
      <c r="AK4356">
        <v>1</v>
      </c>
      <c r="AL4356">
        <v>1</v>
      </c>
      <c r="AM4356">
        <v>98.81</v>
      </c>
      <c r="AN4356">
        <v>528.62390000000005</v>
      </c>
      <c r="AO4356">
        <v>513.03</v>
      </c>
      <c r="AP4356" s="13">
        <v>45740</v>
      </c>
      <c r="AQ4356">
        <v>-2</v>
      </c>
      <c r="AR4356">
        <v>1</v>
      </c>
    </row>
    <row r="4357" spans="1:44" x14ac:dyDescent="0.35">
      <c r="A4357" s="12" t="s">
        <v>5307</v>
      </c>
      <c r="B4357" s="12" t="s">
        <v>706</v>
      </c>
      <c r="C4357" s="12" t="s">
        <v>707</v>
      </c>
      <c r="D4357" s="12" t="s">
        <v>130</v>
      </c>
      <c r="E4357" s="12" t="s">
        <v>142</v>
      </c>
      <c r="F4357">
        <v>1</v>
      </c>
      <c r="G4357">
        <v>8</v>
      </c>
      <c r="H4357">
        <v>1</v>
      </c>
      <c r="I4357" s="12" t="s">
        <v>263</v>
      </c>
      <c r="J4357" s="12" t="s">
        <v>264</v>
      </c>
      <c r="K4357" s="12" t="s">
        <v>125</v>
      </c>
      <c r="L4357" s="12" t="s">
        <v>82</v>
      </c>
      <c r="M4357">
        <v>10.210000000000001</v>
      </c>
      <c r="N4357" s="12" t="s">
        <v>159</v>
      </c>
      <c r="O4357" s="12" t="s">
        <v>160</v>
      </c>
      <c r="P4357" s="12" t="s">
        <v>137</v>
      </c>
      <c r="Q4357" s="13">
        <v>45699</v>
      </c>
      <c r="R4357" s="13">
        <v>45737</v>
      </c>
      <c r="S4357">
        <v>2025</v>
      </c>
      <c r="T4357" s="12" t="s">
        <v>5260</v>
      </c>
      <c r="U4357">
        <v>39</v>
      </c>
      <c r="V4357">
        <v>277.214</v>
      </c>
      <c r="W4357">
        <v>112.35</v>
      </c>
      <c r="X4357">
        <v>0</v>
      </c>
      <c r="Y4357">
        <v>0</v>
      </c>
      <c r="Z4357">
        <v>10811.35</v>
      </c>
      <c r="AA4357">
        <v>10923.7</v>
      </c>
      <c r="AB4357" s="12" t="s">
        <v>3434</v>
      </c>
      <c r="AC4357">
        <v>277.214</v>
      </c>
      <c r="AD4357">
        <v>1</v>
      </c>
      <c r="AE4357">
        <v>1</v>
      </c>
      <c r="AF4357">
        <v>0</v>
      </c>
      <c r="AG4357">
        <v>10811.35</v>
      </c>
      <c r="AH4357">
        <v>39</v>
      </c>
      <c r="AI4357">
        <v>38</v>
      </c>
      <c r="AJ4357">
        <v>1</v>
      </c>
      <c r="AK4357">
        <v>1</v>
      </c>
      <c r="AL4357">
        <v>1</v>
      </c>
      <c r="AM4357">
        <v>97.44</v>
      </c>
      <c r="AN4357">
        <v>287.46570000000003</v>
      </c>
      <c r="AO4357">
        <v>277.20999999999998</v>
      </c>
      <c r="AP4357" s="13">
        <v>45734</v>
      </c>
      <c r="AQ4357">
        <v>-3</v>
      </c>
      <c r="AR4357">
        <v>1</v>
      </c>
    </row>
    <row r="4358" spans="1:44" x14ac:dyDescent="0.35">
      <c r="A4358" s="12" t="s">
        <v>5308</v>
      </c>
      <c r="B4358" s="12" t="s">
        <v>1220</v>
      </c>
      <c r="C4358" s="12" t="s">
        <v>1221</v>
      </c>
      <c r="D4358" s="12" t="s">
        <v>175</v>
      </c>
      <c r="E4358" s="12" t="s">
        <v>104</v>
      </c>
      <c r="F4358">
        <v>3</v>
      </c>
      <c r="G4358">
        <v>1</v>
      </c>
      <c r="H4358">
        <v>0</v>
      </c>
      <c r="I4358" s="12" t="s">
        <v>251</v>
      </c>
      <c r="J4358" s="12" t="s">
        <v>252</v>
      </c>
      <c r="K4358" s="12" t="s">
        <v>133</v>
      </c>
      <c r="L4358" s="12" t="s">
        <v>69</v>
      </c>
      <c r="M4358">
        <v>34.49</v>
      </c>
      <c r="N4358" s="12" t="s">
        <v>107</v>
      </c>
      <c r="O4358" s="12" t="s">
        <v>108</v>
      </c>
      <c r="P4358" s="12" t="s">
        <v>109</v>
      </c>
      <c r="Q4358" s="13">
        <v>45699</v>
      </c>
      <c r="R4358" s="13">
        <v>45726</v>
      </c>
      <c r="S4358">
        <v>2025</v>
      </c>
      <c r="T4358" s="12" t="s">
        <v>5260</v>
      </c>
      <c r="U4358">
        <v>132</v>
      </c>
      <c r="V4358">
        <v>138.95140000000001</v>
      </c>
      <c r="W4358">
        <v>112.51</v>
      </c>
      <c r="X4358">
        <v>0</v>
      </c>
      <c r="Y4358">
        <v>0</v>
      </c>
      <c r="Z4358">
        <v>18341.580000000002</v>
      </c>
      <c r="AA4358">
        <v>18454.09</v>
      </c>
      <c r="AB4358" s="12" t="s">
        <v>3687</v>
      </c>
      <c r="AC4358">
        <v>138.95140000000001</v>
      </c>
      <c r="AD4358">
        <v>1</v>
      </c>
      <c r="AE4358">
        <v>1</v>
      </c>
      <c r="AF4358">
        <v>0</v>
      </c>
      <c r="AG4358">
        <v>18341.580000000002</v>
      </c>
      <c r="AH4358">
        <v>132</v>
      </c>
      <c r="AI4358">
        <v>130</v>
      </c>
      <c r="AJ4358">
        <v>2</v>
      </c>
      <c r="AK4358">
        <v>1</v>
      </c>
      <c r="AL4358">
        <v>1</v>
      </c>
      <c r="AM4358">
        <v>98.48</v>
      </c>
      <c r="AN4358">
        <v>141.9546</v>
      </c>
      <c r="AO4358">
        <v>277.89999999999998</v>
      </c>
      <c r="AP4358" s="13">
        <v>45724</v>
      </c>
      <c r="AQ4358">
        <v>-2</v>
      </c>
      <c r="AR4358">
        <v>1</v>
      </c>
    </row>
    <row r="4359" spans="1:44" x14ac:dyDescent="0.35">
      <c r="A4359" s="12" t="s">
        <v>5309</v>
      </c>
      <c r="B4359" s="12" t="s">
        <v>472</v>
      </c>
      <c r="C4359" s="12" t="s">
        <v>473</v>
      </c>
      <c r="D4359" s="12" t="s">
        <v>122</v>
      </c>
      <c r="E4359" s="12" t="s">
        <v>142</v>
      </c>
      <c r="F4359">
        <v>2</v>
      </c>
      <c r="G4359">
        <v>9</v>
      </c>
      <c r="H4359">
        <v>0</v>
      </c>
      <c r="I4359" s="12" t="s">
        <v>209</v>
      </c>
      <c r="J4359" s="12" t="s">
        <v>210</v>
      </c>
      <c r="K4359" s="12" t="s">
        <v>133</v>
      </c>
      <c r="L4359" s="12" t="s">
        <v>96</v>
      </c>
      <c r="M4359">
        <v>7.82</v>
      </c>
      <c r="N4359" s="12" t="s">
        <v>70</v>
      </c>
      <c r="O4359" s="12" t="s">
        <v>71</v>
      </c>
      <c r="P4359" s="12" t="s">
        <v>72</v>
      </c>
      <c r="Q4359" s="13">
        <v>45699</v>
      </c>
      <c r="R4359" s="13">
        <v>45750</v>
      </c>
      <c r="S4359">
        <v>2025</v>
      </c>
      <c r="T4359" s="12" t="s">
        <v>5260</v>
      </c>
      <c r="U4359">
        <v>1817</v>
      </c>
      <c r="V4359">
        <v>46.789099999999998</v>
      </c>
      <c r="W4359">
        <v>1678.77</v>
      </c>
      <c r="X4359">
        <v>0</v>
      </c>
      <c r="Y4359">
        <v>0</v>
      </c>
      <c r="Z4359">
        <v>85015.79</v>
      </c>
      <c r="AA4359">
        <v>86694.56</v>
      </c>
      <c r="AB4359" s="12" t="s">
        <v>2966</v>
      </c>
      <c r="AC4359">
        <v>46.789099999999998</v>
      </c>
      <c r="AD4359">
        <v>1</v>
      </c>
      <c r="AE4359">
        <v>1</v>
      </c>
      <c r="AF4359">
        <v>0</v>
      </c>
      <c r="AG4359">
        <v>85015.79</v>
      </c>
      <c r="AH4359">
        <v>1817</v>
      </c>
      <c r="AI4359">
        <v>1806</v>
      </c>
      <c r="AJ4359">
        <v>11</v>
      </c>
      <c r="AK4359">
        <v>1</v>
      </c>
      <c r="AL4359">
        <v>1</v>
      </c>
      <c r="AM4359">
        <v>99.39</v>
      </c>
      <c r="AN4359">
        <v>48.003599999999999</v>
      </c>
      <c r="AO4359">
        <v>514.67999999999995</v>
      </c>
      <c r="AP4359" s="13">
        <v>45759</v>
      </c>
      <c r="AQ4359">
        <v>9</v>
      </c>
      <c r="AR4359">
        <v>0</v>
      </c>
    </row>
    <row r="4360" spans="1:44" x14ac:dyDescent="0.35">
      <c r="A4360" s="12" t="s">
        <v>5310</v>
      </c>
      <c r="B4360" s="12" t="s">
        <v>876</v>
      </c>
      <c r="C4360" s="12" t="s">
        <v>877</v>
      </c>
      <c r="D4360" s="12" t="s">
        <v>269</v>
      </c>
      <c r="E4360" s="12" t="s">
        <v>142</v>
      </c>
      <c r="F4360">
        <v>3</v>
      </c>
      <c r="G4360">
        <v>11</v>
      </c>
      <c r="H4360">
        <v>0</v>
      </c>
      <c r="I4360" s="12" t="s">
        <v>515</v>
      </c>
      <c r="J4360" s="12" t="s">
        <v>516</v>
      </c>
      <c r="K4360" s="12" t="s">
        <v>68</v>
      </c>
      <c r="L4360" s="12" t="s">
        <v>134</v>
      </c>
      <c r="M4360">
        <v>3.69</v>
      </c>
      <c r="N4360" s="12" t="s">
        <v>135</v>
      </c>
      <c r="O4360" s="12" t="s">
        <v>136</v>
      </c>
      <c r="P4360" s="12" t="s">
        <v>137</v>
      </c>
      <c r="Q4360" s="13">
        <v>45699</v>
      </c>
      <c r="R4360" s="13">
        <v>45734</v>
      </c>
      <c r="S4360">
        <v>2025</v>
      </c>
      <c r="T4360" s="12" t="s">
        <v>5260</v>
      </c>
      <c r="U4360">
        <v>15</v>
      </c>
      <c r="V4360">
        <v>198.59729999999999</v>
      </c>
      <c r="W4360">
        <v>48.83</v>
      </c>
      <c r="X4360">
        <v>0</v>
      </c>
      <c r="Y4360">
        <v>0</v>
      </c>
      <c r="Z4360">
        <v>2978.96</v>
      </c>
      <c r="AA4360">
        <v>3027.79</v>
      </c>
      <c r="AB4360" s="12" t="s">
        <v>3591</v>
      </c>
      <c r="AC4360">
        <v>191.71029999999999</v>
      </c>
      <c r="AD4360">
        <v>1</v>
      </c>
      <c r="AE4360">
        <v>1</v>
      </c>
      <c r="AF4360">
        <v>103.31</v>
      </c>
      <c r="AG4360">
        <v>2875.65</v>
      </c>
      <c r="AH4360">
        <v>15</v>
      </c>
      <c r="AI4360">
        <v>15</v>
      </c>
      <c r="AJ4360">
        <v>0</v>
      </c>
      <c r="AK4360">
        <v>1</v>
      </c>
      <c r="AL4360">
        <v>1</v>
      </c>
      <c r="AM4360">
        <v>100</v>
      </c>
      <c r="AN4360">
        <v>201.8526</v>
      </c>
      <c r="AO4360">
        <v>0</v>
      </c>
      <c r="AP4360" s="13">
        <v>45734</v>
      </c>
      <c r="AQ4360">
        <v>0</v>
      </c>
      <c r="AR4360">
        <v>1</v>
      </c>
    </row>
    <row r="4361" spans="1:44" x14ac:dyDescent="0.35">
      <c r="A4361" s="12" t="s">
        <v>5311</v>
      </c>
      <c r="B4361" s="12" t="s">
        <v>267</v>
      </c>
      <c r="C4361" s="12" t="s">
        <v>268</v>
      </c>
      <c r="D4361" s="12" t="s">
        <v>269</v>
      </c>
      <c r="E4361" s="12" t="s">
        <v>142</v>
      </c>
      <c r="F4361">
        <v>1</v>
      </c>
      <c r="G4361">
        <v>8</v>
      </c>
      <c r="H4361">
        <v>1</v>
      </c>
      <c r="I4361" s="12" t="s">
        <v>94</v>
      </c>
      <c r="J4361" s="12" t="s">
        <v>95</v>
      </c>
      <c r="K4361" s="12" t="s">
        <v>81</v>
      </c>
      <c r="L4361" s="12" t="s">
        <v>96</v>
      </c>
      <c r="M4361">
        <v>4.8099999999999996</v>
      </c>
      <c r="N4361" s="12" t="s">
        <v>159</v>
      </c>
      <c r="O4361" s="12" t="s">
        <v>160</v>
      </c>
      <c r="P4361" s="12" t="s">
        <v>137</v>
      </c>
      <c r="Q4361" s="13">
        <v>45699</v>
      </c>
      <c r="R4361" s="13">
        <v>45740</v>
      </c>
      <c r="S4361">
        <v>2025</v>
      </c>
      <c r="T4361" s="12" t="s">
        <v>5260</v>
      </c>
      <c r="U4361">
        <v>61</v>
      </c>
      <c r="V4361">
        <v>217.86660000000001</v>
      </c>
      <c r="W4361">
        <v>231.19</v>
      </c>
      <c r="X4361">
        <v>0</v>
      </c>
      <c r="Y4361">
        <v>0</v>
      </c>
      <c r="Z4361">
        <v>13289.86</v>
      </c>
      <c r="AA4361">
        <v>13521.05</v>
      </c>
      <c r="AB4361" s="12" t="s">
        <v>201</v>
      </c>
      <c r="AD4361">
        <v>0</v>
      </c>
      <c r="AE4361">
        <v>0</v>
      </c>
      <c r="AH4361">
        <v>61</v>
      </c>
      <c r="AI4361">
        <v>60</v>
      </c>
      <c r="AJ4361">
        <v>1</v>
      </c>
      <c r="AK4361">
        <v>1</v>
      </c>
      <c r="AL4361">
        <v>1</v>
      </c>
      <c r="AM4361">
        <v>98.36</v>
      </c>
      <c r="AN4361">
        <v>225.3509</v>
      </c>
      <c r="AO4361">
        <v>217.87</v>
      </c>
      <c r="AP4361" s="13">
        <v>45739</v>
      </c>
      <c r="AQ4361">
        <v>-1</v>
      </c>
      <c r="AR4361">
        <v>1</v>
      </c>
    </row>
    <row r="4362" spans="1:44" x14ac:dyDescent="0.35">
      <c r="A4362" s="12" t="s">
        <v>5312</v>
      </c>
      <c r="B4362" s="12" t="s">
        <v>680</v>
      </c>
      <c r="C4362" s="12" t="s">
        <v>681</v>
      </c>
      <c r="D4362" s="12" t="s">
        <v>122</v>
      </c>
      <c r="E4362" s="12" t="s">
        <v>104</v>
      </c>
      <c r="F4362">
        <v>3</v>
      </c>
      <c r="G4362">
        <v>1</v>
      </c>
      <c r="H4362">
        <v>0</v>
      </c>
      <c r="I4362" s="12" t="s">
        <v>233</v>
      </c>
      <c r="J4362" s="12" t="s">
        <v>234</v>
      </c>
      <c r="K4362" s="12" t="s">
        <v>125</v>
      </c>
      <c r="L4362" s="12" t="s">
        <v>96</v>
      </c>
      <c r="M4362">
        <v>3.73</v>
      </c>
      <c r="N4362" s="12" t="s">
        <v>97</v>
      </c>
      <c r="O4362" s="12" t="s">
        <v>98</v>
      </c>
      <c r="P4362" s="12" t="s">
        <v>72</v>
      </c>
      <c r="Q4362" s="13">
        <v>45700</v>
      </c>
      <c r="R4362" s="13">
        <v>45718</v>
      </c>
      <c r="S4362">
        <v>2025</v>
      </c>
      <c r="T4362" s="12" t="s">
        <v>5260</v>
      </c>
      <c r="U4362">
        <v>883</v>
      </c>
      <c r="V4362">
        <v>23.908799999999999</v>
      </c>
      <c r="W4362">
        <v>271.27</v>
      </c>
      <c r="X4362">
        <v>0</v>
      </c>
      <c r="Y4362">
        <v>0</v>
      </c>
      <c r="Z4362">
        <v>21111.47</v>
      </c>
      <c r="AA4362">
        <v>21382.74</v>
      </c>
      <c r="AB4362" s="12" t="s">
        <v>201</v>
      </c>
      <c r="AD4362">
        <v>0</v>
      </c>
      <c r="AE4362">
        <v>0</v>
      </c>
      <c r="AH4362">
        <v>883</v>
      </c>
      <c r="AI4362">
        <v>877</v>
      </c>
      <c r="AJ4362">
        <v>6</v>
      </c>
      <c r="AK4362">
        <v>1</v>
      </c>
      <c r="AL4362">
        <v>1</v>
      </c>
      <c r="AM4362">
        <v>99.32</v>
      </c>
      <c r="AN4362">
        <v>24.381699999999999</v>
      </c>
      <c r="AO4362">
        <v>143.44999999999999</v>
      </c>
      <c r="AP4362" s="13">
        <v>45717</v>
      </c>
      <c r="AQ4362">
        <v>-1</v>
      </c>
      <c r="AR4362">
        <v>1</v>
      </c>
    </row>
    <row r="4363" spans="1:44" x14ac:dyDescent="0.35">
      <c r="A4363" s="12" t="s">
        <v>5313</v>
      </c>
      <c r="B4363" s="12" t="s">
        <v>544</v>
      </c>
      <c r="C4363" s="12" t="s">
        <v>545</v>
      </c>
      <c r="D4363" s="12" t="s">
        <v>175</v>
      </c>
      <c r="E4363" s="12" t="s">
        <v>65</v>
      </c>
      <c r="F4363">
        <v>3</v>
      </c>
      <c r="G4363">
        <v>5</v>
      </c>
      <c r="H4363">
        <v>0</v>
      </c>
      <c r="I4363" s="12" t="s">
        <v>66</v>
      </c>
      <c r="J4363" s="12" t="s">
        <v>67</v>
      </c>
      <c r="K4363" s="12" t="s">
        <v>68</v>
      </c>
      <c r="L4363" s="12" t="s">
        <v>69</v>
      </c>
      <c r="M4363">
        <v>17.66</v>
      </c>
      <c r="N4363" s="12" t="s">
        <v>145</v>
      </c>
      <c r="O4363" s="12" t="s">
        <v>146</v>
      </c>
      <c r="P4363" s="12" t="s">
        <v>109</v>
      </c>
      <c r="Q4363" s="13">
        <v>45700</v>
      </c>
      <c r="R4363" s="13">
        <v>45726</v>
      </c>
      <c r="S4363">
        <v>2025</v>
      </c>
      <c r="T4363" s="12" t="s">
        <v>5260</v>
      </c>
      <c r="U4363">
        <v>50</v>
      </c>
      <c r="V4363">
        <v>160.06389999999999</v>
      </c>
      <c r="W4363">
        <v>196.91</v>
      </c>
      <c r="X4363">
        <v>0</v>
      </c>
      <c r="Y4363">
        <v>0</v>
      </c>
      <c r="Z4363">
        <v>8003.2</v>
      </c>
      <c r="AA4363">
        <v>8200.11</v>
      </c>
      <c r="AB4363" s="12" t="s">
        <v>201</v>
      </c>
      <c r="AD4363">
        <v>0</v>
      </c>
      <c r="AE4363">
        <v>0</v>
      </c>
      <c r="AH4363">
        <v>50</v>
      </c>
      <c r="AI4363">
        <v>49</v>
      </c>
      <c r="AJ4363">
        <v>1</v>
      </c>
      <c r="AK4363">
        <v>1</v>
      </c>
      <c r="AL4363">
        <v>1</v>
      </c>
      <c r="AM4363">
        <v>98</v>
      </c>
      <c r="AN4363">
        <v>167.34909999999999</v>
      </c>
      <c r="AO4363">
        <v>160.06</v>
      </c>
      <c r="AP4363" s="13">
        <v>45722</v>
      </c>
      <c r="AQ4363">
        <v>-4</v>
      </c>
      <c r="AR4363">
        <v>1</v>
      </c>
    </row>
    <row r="4364" spans="1:44" x14ac:dyDescent="0.35">
      <c r="A4364" s="12" t="s">
        <v>5314</v>
      </c>
      <c r="B4364" s="12" t="s">
        <v>416</v>
      </c>
      <c r="C4364" s="12" t="s">
        <v>417</v>
      </c>
      <c r="D4364" s="12" t="s">
        <v>78</v>
      </c>
      <c r="E4364" s="12" t="s">
        <v>65</v>
      </c>
      <c r="F4364">
        <v>3</v>
      </c>
      <c r="G4364">
        <v>5</v>
      </c>
      <c r="H4364">
        <v>0</v>
      </c>
      <c r="I4364" s="12" t="s">
        <v>87</v>
      </c>
      <c r="J4364" s="12" t="s">
        <v>88</v>
      </c>
      <c r="K4364" s="12" t="s">
        <v>89</v>
      </c>
      <c r="L4364" s="12" t="s">
        <v>69</v>
      </c>
      <c r="M4364">
        <v>14.93</v>
      </c>
      <c r="N4364" s="12" t="s">
        <v>97</v>
      </c>
      <c r="O4364" s="12" t="s">
        <v>98</v>
      </c>
      <c r="P4364" s="12" t="s">
        <v>72</v>
      </c>
      <c r="Q4364" s="13">
        <v>45700</v>
      </c>
      <c r="R4364" s="13">
        <v>45732</v>
      </c>
      <c r="S4364">
        <v>2025</v>
      </c>
      <c r="T4364" s="12" t="s">
        <v>5260</v>
      </c>
      <c r="U4364">
        <v>207</v>
      </c>
      <c r="V4364">
        <v>158.1437</v>
      </c>
      <c r="W4364">
        <v>795.99</v>
      </c>
      <c r="X4364">
        <v>0</v>
      </c>
      <c r="Y4364">
        <v>0</v>
      </c>
      <c r="Z4364">
        <v>32735.75</v>
      </c>
      <c r="AA4364">
        <v>33531.74</v>
      </c>
      <c r="AB4364" s="12" t="s">
        <v>201</v>
      </c>
      <c r="AD4364">
        <v>0</v>
      </c>
      <c r="AE4364">
        <v>0</v>
      </c>
      <c r="AH4364">
        <v>207</v>
      </c>
      <c r="AI4364">
        <v>202</v>
      </c>
      <c r="AJ4364">
        <v>5</v>
      </c>
      <c r="AK4364">
        <v>1</v>
      </c>
      <c r="AL4364">
        <v>1</v>
      </c>
      <c r="AM4364">
        <v>97.58</v>
      </c>
      <c r="AN4364">
        <v>165.99870000000001</v>
      </c>
      <c r="AO4364">
        <v>790.72</v>
      </c>
      <c r="AP4364" s="13">
        <v>45730</v>
      </c>
      <c r="AQ4364">
        <v>-2</v>
      </c>
      <c r="AR4364">
        <v>1</v>
      </c>
    </row>
    <row r="4365" spans="1:44" x14ac:dyDescent="0.35">
      <c r="A4365" s="12" t="s">
        <v>5315</v>
      </c>
      <c r="B4365" s="12" t="s">
        <v>503</v>
      </c>
      <c r="C4365" s="12" t="s">
        <v>504</v>
      </c>
      <c r="D4365" s="12" t="s">
        <v>103</v>
      </c>
      <c r="E4365" s="12" t="s">
        <v>104</v>
      </c>
      <c r="F4365">
        <v>3</v>
      </c>
      <c r="G4365">
        <v>1</v>
      </c>
      <c r="H4365">
        <v>0</v>
      </c>
      <c r="I4365" s="12" t="s">
        <v>209</v>
      </c>
      <c r="J4365" s="12" t="s">
        <v>210</v>
      </c>
      <c r="K4365" s="12" t="s">
        <v>133</v>
      </c>
      <c r="L4365" s="12" t="s">
        <v>96</v>
      </c>
      <c r="M4365">
        <v>7.82</v>
      </c>
      <c r="N4365" s="12" t="s">
        <v>107</v>
      </c>
      <c r="O4365" s="12" t="s">
        <v>108</v>
      </c>
      <c r="P4365" s="12" t="s">
        <v>109</v>
      </c>
      <c r="Q4365" s="13">
        <v>45700</v>
      </c>
      <c r="R4365" s="13">
        <v>45728</v>
      </c>
      <c r="S4365">
        <v>2025</v>
      </c>
      <c r="T4365" s="12" t="s">
        <v>5260</v>
      </c>
      <c r="U4365">
        <v>140</v>
      </c>
      <c r="V4365">
        <v>168.78960000000001</v>
      </c>
      <c r="W4365">
        <v>518.57000000000005</v>
      </c>
      <c r="X4365">
        <v>0</v>
      </c>
      <c r="Y4365">
        <v>0</v>
      </c>
      <c r="Z4365">
        <v>23630.54</v>
      </c>
      <c r="AA4365">
        <v>24149.11</v>
      </c>
      <c r="AB4365" s="12" t="s">
        <v>201</v>
      </c>
      <c r="AD4365">
        <v>0</v>
      </c>
      <c r="AE4365">
        <v>0</v>
      </c>
      <c r="AH4365">
        <v>140</v>
      </c>
      <c r="AI4365">
        <v>138</v>
      </c>
      <c r="AJ4365">
        <v>2</v>
      </c>
      <c r="AK4365">
        <v>1</v>
      </c>
      <c r="AL4365">
        <v>1</v>
      </c>
      <c r="AM4365">
        <v>98.57</v>
      </c>
      <c r="AN4365">
        <v>174.99359999999999</v>
      </c>
      <c r="AO4365">
        <v>337.58</v>
      </c>
      <c r="AP4365" s="13">
        <v>45724</v>
      </c>
      <c r="AQ4365">
        <v>-4</v>
      </c>
      <c r="AR4365">
        <v>1</v>
      </c>
    </row>
    <row r="4366" spans="1:44" x14ac:dyDescent="0.35">
      <c r="A4366" s="12" t="s">
        <v>5316</v>
      </c>
      <c r="B4366" s="12" t="s">
        <v>646</v>
      </c>
      <c r="C4366" s="12" t="s">
        <v>647</v>
      </c>
      <c r="D4366" s="12" t="s">
        <v>175</v>
      </c>
      <c r="E4366" s="12" t="s">
        <v>104</v>
      </c>
      <c r="F4366">
        <v>3</v>
      </c>
      <c r="G4366">
        <v>1</v>
      </c>
      <c r="H4366">
        <v>0</v>
      </c>
      <c r="I4366" s="12" t="s">
        <v>227</v>
      </c>
      <c r="J4366" s="12" t="s">
        <v>228</v>
      </c>
      <c r="K4366" s="12" t="s">
        <v>89</v>
      </c>
      <c r="L4366" s="12" t="s">
        <v>96</v>
      </c>
      <c r="M4366">
        <v>9.15</v>
      </c>
      <c r="N4366" s="12" t="s">
        <v>107</v>
      </c>
      <c r="O4366" s="12" t="s">
        <v>108</v>
      </c>
      <c r="P4366" s="12" t="s">
        <v>109</v>
      </c>
      <c r="Q4366" s="13">
        <v>45700</v>
      </c>
      <c r="R4366" s="13">
        <v>45722</v>
      </c>
      <c r="S4366">
        <v>2025</v>
      </c>
      <c r="T4366" s="12" t="s">
        <v>5260</v>
      </c>
      <c r="U4366">
        <v>94</v>
      </c>
      <c r="V4366">
        <v>210.7063</v>
      </c>
      <c r="W4366">
        <v>228.61</v>
      </c>
      <c r="X4366">
        <v>0</v>
      </c>
      <c r="Y4366">
        <v>0</v>
      </c>
      <c r="Z4366">
        <v>19806.39</v>
      </c>
      <c r="AA4366">
        <v>20035</v>
      </c>
      <c r="AB4366" s="12" t="s">
        <v>3535</v>
      </c>
      <c r="AC4366">
        <v>203.7088</v>
      </c>
      <c r="AD4366">
        <v>1</v>
      </c>
      <c r="AE4366">
        <v>1</v>
      </c>
      <c r="AF4366">
        <v>657.77</v>
      </c>
      <c r="AG4366">
        <v>19148.63</v>
      </c>
      <c r="AH4366">
        <v>94</v>
      </c>
      <c r="AI4366">
        <v>93</v>
      </c>
      <c r="AJ4366">
        <v>1</v>
      </c>
      <c r="AK4366">
        <v>1</v>
      </c>
      <c r="AL4366">
        <v>1</v>
      </c>
      <c r="AM4366">
        <v>98.94</v>
      </c>
      <c r="AN4366">
        <v>215.43010000000001</v>
      </c>
      <c r="AO4366">
        <v>210.71</v>
      </c>
      <c r="AP4366" s="13">
        <v>45719</v>
      </c>
      <c r="AQ4366">
        <v>-3</v>
      </c>
      <c r="AR4366">
        <v>1</v>
      </c>
    </row>
    <row r="4367" spans="1:44" x14ac:dyDescent="0.35">
      <c r="A4367" s="12" t="s">
        <v>5317</v>
      </c>
      <c r="B4367" s="12" t="s">
        <v>685</v>
      </c>
      <c r="C4367" s="12" t="s">
        <v>686</v>
      </c>
      <c r="D4367" s="12" t="s">
        <v>175</v>
      </c>
      <c r="E4367" s="12" t="s">
        <v>104</v>
      </c>
      <c r="F4367">
        <v>2</v>
      </c>
      <c r="G4367">
        <v>0</v>
      </c>
      <c r="H4367">
        <v>0</v>
      </c>
      <c r="I4367" s="12" t="s">
        <v>243</v>
      </c>
      <c r="J4367" s="12" t="s">
        <v>244</v>
      </c>
      <c r="K4367" s="12" t="s">
        <v>81</v>
      </c>
      <c r="L4367" s="12" t="s">
        <v>82</v>
      </c>
      <c r="M4367">
        <v>9.2200000000000006</v>
      </c>
      <c r="N4367" s="12" t="s">
        <v>145</v>
      </c>
      <c r="O4367" s="12" t="s">
        <v>146</v>
      </c>
      <c r="P4367" s="12" t="s">
        <v>109</v>
      </c>
      <c r="Q4367" s="13">
        <v>45700</v>
      </c>
      <c r="R4367" s="13">
        <v>45726</v>
      </c>
      <c r="S4367">
        <v>2025</v>
      </c>
      <c r="T4367" s="12" t="s">
        <v>5260</v>
      </c>
      <c r="U4367">
        <v>118</v>
      </c>
      <c r="V4367">
        <v>224.11250000000001</v>
      </c>
      <c r="W4367">
        <v>422.7</v>
      </c>
      <c r="X4367">
        <v>0</v>
      </c>
      <c r="Y4367">
        <v>0</v>
      </c>
      <c r="Z4367">
        <v>26445.279999999999</v>
      </c>
      <c r="AA4367">
        <v>26867.98</v>
      </c>
      <c r="AB4367" s="12" t="s">
        <v>201</v>
      </c>
      <c r="AD4367">
        <v>0</v>
      </c>
      <c r="AE4367">
        <v>0</v>
      </c>
      <c r="AH4367">
        <v>118</v>
      </c>
      <c r="AI4367">
        <v>117</v>
      </c>
      <c r="AJ4367">
        <v>1</v>
      </c>
      <c r="AK4367">
        <v>1</v>
      </c>
      <c r="AL4367">
        <v>1</v>
      </c>
      <c r="AM4367">
        <v>99.15</v>
      </c>
      <c r="AN4367">
        <v>229.64080000000001</v>
      </c>
      <c r="AO4367">
        <v>224.11</v>
      </c>
      <c r="AP4367" s="13">
        <v>45734</v>
      </c>
      <c r="AQ4367">
        <v>8</v>
      </c>
      <c r="AR4367">
        <v>0</v>
      </c>
    </row>
    <row r="4368" spans="1:44" x14ac:dyDescent="0.35">
      <c r="A4368" s="12" t="s">
        <v>5318</v>
      </c>
      <c r="B4368" s="12" t="s">
        <v>876</v>
      </c>
      <c r="C4368" s="12" t="s">
        <v>877</v>
      </c>
      <c r="D4368" s="12" t="s">
        <v>269</v>
      </c>
      <c r="E4368" s="12" t="s">
        <v>142</v>
      </c>
      <c r="F4368">
        <v>3</v>
      </c>
      <c r="G4368">
        <v>11</v>
      </c>
      <c r="H4368">
        <v>0</v>
      </c>
      <c r="I4368" s="12" t="s">
        <v>515</v>
      </c>
      <c r="J4368" s="12" t="s">
        <v>516</v>
      </c>
      <c r="K4368" s="12" t="s">
        <v>68</v>
      </c>
      <c r="L4368" s="12" t="s">
        <v>134</v>
      </c>
      <c r="M4368">
        <v>3.69</v>
      </c>
      <c r="N4368" s="12" t="s">
        <v>135</v>
      </c>
      <c r="O4368" s="12" t="s">
        <v>136</v>
      </c>
      <c r="P4368" s="12" t="s">
        <v>137</v>
      </c>
      <c r="Q4368" s="13">
        <v>45700</v>
      </c>
      <c r="R4368" s="13">
        <v>45738</v>
      </c>
      <c r="S4368">
        <v>2025</v>
      </c>
      <c r="T4368" s="12" t="s">
        <v>5260</v>
      </c>
      <c r="U4368">
        <v>39</v>
      </c>
      <c r="V4368">
        <v>191.71029999999999</v>
      </c>
      <c r="W4368">
        <v>164.94</v>
      </c>
      <c r="X4368">
        <v>0</v>
      </c>
      <c r="Y4368">
        <v>0</v>
      </c>
      <c r="Z4368">
        <v>7476.7</v>
      </c>
      <c r="AA4368">
        <v>7641.64</v>
      </c>
      <c r="AB4368" s="12" t="s">
        <v>3591</v>
      </c>
      <c r="AC4368">
        <v>191.71029999999999</v>
      </c>
      <c r="AD4368">
        <v>1</v>
      </c>
      <c r="AE4368">
        <v>1</v>
      </c>
      <c r="AF4368">
        <v>0</v>
      </c>
      <c r="AG4368">
        <v>7476.7</v>
      </c>
      <c r="AH4368">
        <v>39</v>
      </c>
      <c r="AI4368">
        <v>39</v>
      </c>
      <c r="AJ4368">
        <v>0</v>
      </c>
      <c r="AK4368">
        <v>1</v>
      </c>
      <c r="AL4368">
        <v>1</v>
      </c>
      <c r="AM4368">
        <v>100</v>
      </c>
      <c r="AN4368">
        <v>195.93950000000001</v>
      </c>
      <c r="AO4368">
        <v>0</v>
      </c>
      <c r="AP4368" s="13">
        <v>45738</v>
      </c>
      <c r="AQ4368">
        <v>0</v>
      </c>
      <c r="AR4368">
        <v>1</v>
      </c>
    </row>
    <row r="4369" spans="1:44" x14ac:dyDescent="0.35">
      <c r="A4369" s="12" t="s">
        <v>5319</v>
      </c>
      <c r="B4369" s="12" t="s">
        <v>173</v>
      </c>
      <c r="C4369" s="12" t="s">
        <v>174</v>
      </c>
      <c r="D4369" s="12" t="s">
        <v>175</v>
      </c>
      <c r="E4369" s="12" t="s">
        <v>104</v>
      </c>
      <c r="F4369">
        <v>3</v>
      </c>
      <c r="G4369">
        <v>1</v>
      </c>
      <c r="H4369">
        <v>0</v>
      </c>
      <c r="I4369" s="12" t="s">
        <v>227</v>
      </c>
      <c r="J4369" s="12" t="s">
        <v>228</v>
      </c>
      <c r="K4369" s="12" t="s">
        <v>89</v>
      </c>
      <c r="L4369" s="12" t="s">
        <v>96</v>
      </c>
      <c r="M4369">
        <v>9.15</v>
      </c>
      <c r="N4369" s="12" t="s">
        <v>145</v>
      </c>
      <c r="O4369" s="12" t="s">
        <v>146</v>
      </c>
      <c r="P4369" s="12" t="s">
        <v>109</v>
      </c>
      <c r="Q4369" s="13">
        <v>45700</v>
      </c>
      <c r="R4369" s="13">
        <v>45727</v>
      </c>
      <c r="S4369">
        <v>2025</v>
      </c>
      <c r="T4369" s="12" t="s">
        <v>5260</v>
      </c>
      <c r="U4369">
        <v>132</v>
      </c>
      <c r="V4369">
        <v>79.933499999999995</v>
      </c>
      <c r="W4369">
        <v>232.84</v>
      </c>
      <c r="X4369">
        <v>0</v>
      </c>
      <c r="Y4369">
        <v>0</v>
      </c>
      <c r="Z4369">
        <v>10551.22</v>
      </c>
      <c r="AA4369">
        <v>10784.06</v>
      </c>
      <c r="AB4369" s="12" t="s">
        <v>5320</v>
      </c>
      <c r="AC4369">
        <v>79.933499999999995</v>
      </c>
      <c r="AD4369">
        <v>1</v>
      </c>
      <c r="AE4369">
        <v>1</v>
      </c>
      <c r="AF4369">
        <v>0</v>
      </c>
      <c r="AG4369">
        <v>10551.22</v>
      </c>
      <c r="AH4369">
        <v>132</v>
      </c>
      <c r="AI4369">
        <v>131</v>
      </c>
      <c r="AJ4369">
        <v>1</v>
      </c>
      <c r="AK4369">
        <v>1</v>
      </c>
      <c r="AL4369">
        <v>1</v>
      </c>
      <c r="AM4369">
        <v>99.24</v>
      </c>
      <c r="AN4369">
        <v>82.321100000000001</v>
      </c>
      <c r="AO4369">
        <v>79.930000000000007</v>
      </c>
      <c r="AP4369" s="13">
        <v>45725</v>
      </c>
      <c r="AQ4369">
        <v>-2</v>
      </c>
      <c r="AR4369">
        <v>1</v>
      </c>
    </row>
    <row r="4370" spans="1:44" x14ac:dyDescent="0.35">
      <c r="A4370" s="12" t="s">
        <v>5321</v>
      </c>
      <c r="B4370" s="12" t="s">
        <v>957</v>
      </c>
      <c r="C4370" s="12" t="s">
        <v>958</v>
      </c>
      <c r="D4370" s="12" t="s">
        <v>103</v>
      </c>
      <c r="E4370" s="12" t="s">
        <v>142</v>
      </c>
      <c r="F4370">
        <v>1</v>
      </c>
      <c r="G4370">
        <v>7</v>
      </c>
      <c r="H4370">
        <v>1</v>
      </c>
      <c r="I4370" s="12" t="s">
        <v>183</v>
      </c>
      <c r="J4370" s="12" t="s">
        <v>184</v>
      </c>
      <c r="K4370" s="12" t="s">
        <v>133</v>
      </c>
      <c r="L4370" s="12" t="s">
        <v>82</v>
      </c>
      <c r="M4370">
        <v>8.6199999999999992</v>
      </c>
      <c r="N4370" s="12" t="s">
        <v>145</v>
      </c>
      <c r="O4370" s="12" t="s">
        <v>146</v>
      </c>
      <c r="P4370" s="12" t="s">
        <v>109</v>
      </c>
      <c r="Q4370" s="13">
        <v>45700</v>
      </c>
      <c r="R4370" s="13">
        <v>45743</v>
      </c>
      <c r="S4370">
        <v>2025</v>
      </c>
      <c r="T4370" s="12" t="s">
        <v>5260</v>
      </c>
      <c r="U4370">
        <v>74</v>
      </c>
      <c r="V4370">
        <v>193.65539999999999</v>
      </c>
      <c r="W4370">
        <v>342.42</v>
      </c>
      <c r="X4370">
        <v>0</v>
      </c>
      <c r="Y4370">
        <v>0</v>
      </c>
      <c r="Z4370">
        <v>14330.5</v>
      </c>
      <c r="AA4370">
        <v>14672.92</v>
      </c>
      <c r="AB4370" s="12" t="s">
        <v>3249</v>
      </c>
      <c r="AC4370">
        <v>193.65539999999999</v>
      </c>
      <c r="AD4370">
        <v>1</v>
      </c>
      <c r="AE4370">
        <v>1</v>
      </c>
      <c r="AF4370">
        <v>0</v>
      </c>
      <c r="AG4370">
        <v>14330.5</v>
      </c>
      <c r="AH4370">
        <v>74</v>
      </c>
      <c r="AI4370">
        <v>74</v>
      </c>
      <c r="AJ4370">
        <v>0</v>
      </c>
      <c r="AK4370">
        <v>1</v>
      </c>
      <c r="AL4370">
        <v>1</v>
      </c>
      <c r="AM4370">
        <v>100</v>
      </c>
      <c r="AN4370">
        <v>198.28270000000001</v>
      </c>
      <c r="AO4370">
        <v>0</v>
      </c>
      <c r="AP4370" s="13">
        <v>45750</v>
      </c>
      <c r="AQ4370">
        <v>7</v>
      </c>
      <c r="AR4370">
        <v>0</v>
      </c>
    </row>
    <row r="4371" spans="1:44" x14ac:dyDescent="0.35">
      <c r="A4371" s="12" t="s">
        <v>5322</v>
      </c>
      <c r="B4371" s="12" t="s">
        <v>640</v>
      </c>
      <c r="C4371" s="12" t="s">
        <v>641</v>
      </c>
      <c r="D4371" s="12" t="s">
        <v>130</v>
      </c>
      <c r="E4371" s="12" t="s">
        <v>104</v>
      </c>
      <c r="F4371">
        <v>3</v>
      </c>
      <c r="G4371">
        <v>0</v>
      </c>
      <c r="H4371">
        <v>0</v>
      </c>
      <c r="I4371" s="12" t="s">
        <v>209</v>
      </c>
      <c r="J4371" s="12" t="s">
        <v>210</v>
      </c>
      <c r="K4371" s="12" t="s">
        <v>133</v>
      </c>
      <c r="L4371" s="12" t="s">
        <v>96</v>
      </c>
      <c r="M4371">
        <v>7.82</v>
      </c>
      <c r="N4371" s="12" t="s">
        <v>135</v>
      </c>
      <c r="O4371" s="12" t="s">
        <v>136</v>
      </c>
      <c r="P4371" s="12" t="s">
        <v>137</v>
      </c>
      <c r="Q4371" s="13">
        <v>45700</v>
      </c>
      <c r="R4371" s="13">
        <v>45728</v>
      </c>
      <c r="S4371">
        <v>2025</v>
      </c>
      <c r="T4371" s="12" t="s">
        <v>5260</v>
      </c>
      <c r="U4371">
        <v>138</v>
      </c>
      <c r="V4371">
        <v>977.20889999999997</v>
      </c>
      <c r="W4371">
        <v>2887.2</v>
      </c>
      <c r="X4371">
        <v>0</v>
      </c>
      <c r="Y4371">
        <v>0</v>
      </c>
      <c r="Z4371">
        <v>134854.82999999999</v>
      </c>
      <c r="AA4371">
        <v>137742.03</v>
      </c>
      <c r="AB4371" s="12" t="s">
        <v>3211</v>
      </c>
      <c r="AC4371">
        <v>977.20889999999997</v>
      </c>
      <c r="AD4371">
        <v>1</v>
      </c>
      <c r="AE4371">
        <v>1</v>
      </c>
      <c r="AF4371">
        <v>0</v>
      </c>
      <c r="AG4371">
        <v>134854.82999999999</v>
      </c>
      <c r="AH4371">
        <v>138</v>
      </c>
      <c r="AI4371">
        <v>136</v>
      </c>
      <c r="AJ4371">
        <v>2</v>
      </c>
      <c r="AK4371">
        <v>1</v>
      </c>
      <c r="AL4371">
        <v>1</v>
      </c>
      <c r="AM4371">
        <v>98.55</v>
      </c>
      <c r="AN4371">
        <v>1012.809</v>
      </c>
      <c r="AO4371">
        <v>1954.42</v>
      </c>
      <c r="AP4371" s="13">
        <v>45726</v>
      </c>
      <c r="AQ4371">
        <v>-2</v>
      </c>
      <c r="AR4371">
        <v>1</v>
      </c>
    </row>
    <row r="4372" spans="1:44" x14ac:dyDescent="0.35">
      <c r="A4372" s="12" t="s">
        <v>5323</v>
      </c>
      <c r="B4372" s="12" t="s">
        <v>323</v>
      </c>
      <c r="C4372" s="12" t="s">
        <v>324</v>
      </c>
      <c r="D4372" s="12" t="s">
        <v>64</v>
      </c>
      <c r="E4372" s="12" t="s">
        <v>142</v>
      </c>
      <c r="F4372">
        <v>1</v>
      </c>
      <c r="G4372">
        <v>7</v>
      </c>
      <c r="H4372">
        <v>1</v>
      </c>
      <c r="I4372" s="12" t="s">
        <v>143</v>
      </c>
      <c r="J4372" s="12" t="s">
        <v>144</v>
      </c>
      <c r="K4372" s="12" t="s">
        <v>133</v>
      </c>
      <c r="L4372" s="12" t="s">
        <v>96</v>
      </c>
      <c r="M4372">
        <v>5.43</v>
      </c>
      <c r="N4372" s="12" t="s">
        <v>97</v>
      </c>
      <c r="O4372" s="12" t="s">
        <v>98</v>
      </c>
      <c r="P4372" s="12" t="s">
        <v>72</v>
      </c>
      <c r="Q4372" s="13">
        <v>45700</v>
      </c>
      <c r="R4372" s="13">
        <v>45752</v>
      </c>
      <c r="S4372">
        <v>2025</v>
      </c>
      <c r="T4372" s="12" t="s">
        <v>5260</v>
      </c>
      <c r="U4372">
        <v>976</v>
      </c>
      <c r="V4372">
        <v>39.226399999999998</v>
      </c>
      <c r="W4372">
        <v>261.18</v>
      </c>
      <c r="X4372">
        <v>0</v>
      </c>
      <c r="Y4372">
        <v>0</v>
      </c>
      <c r="Z4372">
        <v>38284.97</v>
      </c>
      <c r="AA4372">
        <v>38546.15</v>
      </c>
      <c r="AB4372" s="12" t="s">
        <v>5324</v>
      </c>
      <c r="AC4372">
        <v>39.226399999999998</v>
      </c>
      <c r="AD4372">
        <v>1</v>
      </c>
      <c r="AE4372">
        <v>1</v>
      </c>
      <c r="AF4372">
        <v>0</v>
      </c>
      <c r="AG4372">
        <v>38284.97</v>
      </c>
      <c r="AH4372">
        <v>976</v>
      </c>
      <c r="AI4372">
        <v>967</v>
      </c>
      <c r="AJ4372">
        <v>9</v>
      </c>
      <c r="AK4372">
        <v>1</v>
      </c>
      <c r="AL4372">
        <v>1</v>
      </c>
      <c r="AM4372">
        <v>99.08</v>
      </c>
      <c r="AN4372">
        <v>39.861600000000003</v>
      </c>
      <c r="AO4372">
        <v>353.04</v>
      </c>
      <c r="AP4372" s="13">
        <v>45750</v>
      </c>
      <c r="AQ4372">
        <v>-2</v>
      </c>
      <c r="AR4372">
        <v>1</v>
      </c>
    </row>
    <row r="4373" spans="1:44" x14ac:dyDescent="0.35">
      <c r="A4373" s="12" t="s">
        <v>5325</v>
      </c>
      <c r="B4373" s="12" t="s">
        <v>498</v>
      </c>
      <c r="C4373" s="12" t="s">
        <v>499</v>
      </c>
      <c r="D4373" s="12" t="s">
        <v>175</v>
      </c>
      <c r="E4373" s="12" t="s">
        <v>104</v>
      </c>
      <c r="F4373">
        <v>3</v>
      </c>
      <c r="G4373">
        <v>1</v>
      </c>
      <c r="H4373">
        <v>0</v>
      </c>
      <c r="I4373" s="12" t="s">
        <v>233</v>
      </c>
      <c r="J4373" s="12" t="s">
        <v>234</v>
      </c>
      <c r="K4373" s="12" t="s">
        <v>125</v>
      </c>
      <c r="L4373" s="12" t="s">
        <v>96</v>
      </c>
      <c r="M4373">
        <v>3.73</v>
      </c>
      <c r="N4373" s="12" t="s">
        <v>145</v>
      </c>
      <c r="O4373" s="12" t="s">
        <v>146</v>
      </c>
      <c r="P4373" s="12" t="s">
        <v>109</v>
      </c>
      <c r="Q4373" s="13">
        <v>45700</v>
      </c>
      <c r="R4373" s="13">
        <v>45725</v>
      </c>
      <c r="S4373">
        <v>2025</v>
      </c>
      <c r="T4373" s="12" t="s">
        <v>5260</v>
      </c>
      <c r="U4373">
        <v>114</v>
      </c>
      <c r="V4373">
        <v>268.74209999999999</v>
      </c>
      <c r="W4373">
        <v>739.88</v>
      </c>
      <c r="X4373">
        <v>0</v>
      </c>
      <c r="Y4373">
        <v>0</v>
      </c>
      <c r="Z4373">
        <v>30636.6</v>
      </c>
      <c r="AA4373">
        <v>31376.48</v>
      </c>
      <c r="AB4373" s="12" t="s">
        <v>3032</v>
      </c>
      <c r="AC4373">
        <v>268.74209999999999</v>
      </c>
      <c r="AD4373">
        <v>1</v>
      </c>
      <c r="AE4373">
        <v>1</v>
      </c>
      <c r="AF4373">
        <v>0</v>
      </c>
      <c r="AG4373">
        <v>30636.6</v>
      </c>
      <c r="AH4373">
        <v>114</v>
      </c>
      <c r="AI4373">
        <v>112</v>
      </c>
      <c r="AJ4373">
        <v>2</v>
      </c>
      <c r="AK4373">
        <v>1</v>
      </c>
      <c r="AL4373">
        <v>1</v>
      </c>
      <c r="AM4373">
        <v>98.25</v>
      </c>
      <c r="AN4373">
        <v>280.14710000000002</v>
      </c>
      <c r="AO4373">
        <v>537.48</v>
      </c>
      <c r="AP4373" s="13">
        <v>45722</v>
      </c>
      <c r="AQ4373">
        <v>-3</v>
      </c>
      <c r="AR4373">
        <v>1</v>
      </c>
    </row>
    <row r="4374" spans="1:44" x14ac:dyDescent="0.35">
      <c r="A4374" s="12" t="s">
        <v>5326</v>
      </c>
      <c r="B4374" s="12" t="s">
        <v>433</v>
      </c>
      <c r="C4374" s="12" t="s">
        <v>434</v>
      </c>
      <c r="D4374" s="12" t="s">
        <v>78</v>
      </c>
      <c r="E4374" s="12" t="s">
        <v>65</v>
      </c>
      <c r="F4374">
        <v>2</v>
      </c>
      <c r="G4374">
        <v>4</v>
      </c>
      <c r="H4374">
        <v>0</v>
      </c>
      <c r="I4374" s="12" t="s">
        <v>105</v>
      </c>
      <c r="J4374" s="12" t="s">
        <v>106</v>
      </c>
      <c r="K4374" s="12" t="s">
        <v>81</v>
      </c>
      <c r="L4374" s="12" t="s">
        <v>96</v>
      </c>
      <c r="M4374">
        <v>5.01</v>
      </c>
      <c r="N4374" s="12" t="s">
        <v>70</v>
      </c>
      <c r="O4374" s="12" t="s">
        <v>71</v>
      </c>
      <c r="P4374" s="12" t="s">
        <v>72</v>
      </c>
      <c r="Q4374" s="13">
        <v>45700</v>
      </c>
      <c r="R4374" s="13">
        <v>45734</v>
      </c>
      <c r="S4374">
        <v>2025</v>
      </c>
      <c r="T4374" s="12" t="s">
        <v>5260</v>
      </c>
      <c r="U4374">
        <v>239</v>
      </c>
      <c r="V4374">
        <v>72.364500000000007</v>
      </c>
      <c r="W4374">
        <v>344.18</v>
      </c>
      <c r="X4374">
        <v>0</v>
      </c>
      <c r="Y4374">
        <v>0</v>
      </c>
      <c r="Z4374">
        <v>17295.12</v>
      </c>
      <c r="AA4374">
        <v>17639.3</v>
      </c>
      <c r="AB4374" s="12" t="s">
        <v>2930</v>
      </c>
      <c r="AC4374">
        <v>72.364500000000007</v>
      </c>
      <c r="AD4374">
        <v>1</v>
      </c>
      <c r="AE4374">
        <v>1</v>
      </c>
      <c r="AF4374">
        <v>0</v>
      </c>
      <c r="AG4374">
        <v>17295.12</v>
      </c>
      <c r="AH4374">
        <v>239</v>
      </c>
      <c r="AI4374">
        <v>238</v>
      </c>
      <c r="AJ4374">
        <v>1</v>
      </c>
      <c r="AK4374">
        <v>1</v>
      </c>
      <c r="AL4374">
        <v>1</v>
      </c>
      <c r="AM4374">
        <v>99.58</v>
      </c>
      <c r="AN4374">
        <v>74.114699999999999</v>
      </c>
      <c r="AO4374">
        <v>72.36</v>
      </c>
      <c r="AP4374" s="13">
        <v>45731</v>
      </c>
      <c r="AQ4374">
        <v>-3</v>
      </c>
      <c r="AR4374">
        <v>1</v>
      </c>
    </row>
    <row r="4375" spans="1:44" x14ac:dyDescent="0.35">
      <c r="A4375" s="12" t="s">
        <v>5327</v>
      </c>
      <c r="B4375" s="12" t="s">
        <v>347</v>
      </c>
      <c r="C4375" s="12" t="s">
        <v>348</v>
      </c>
      <c r="D4375" s="12" t="s">
        <v>78</v>
      </c>
      <c r="E4375" s="12" t="s">
        <v>104</v>
      </c>
      <c r="F4375">
        <v>3</v>
      </c>
      <c r="G4375">
        <v>1</v>
      </c>
      <c r="H4375">
        <v>0</v>
      </c>
      <c r="I4375" s="12" t="s">
        <v>87</v>
      </c>
      <c r="J4375" s="12" t="s">
        <v>88</v>
      </c>
      <c r="K4375" s="12" t="s">
        <v>89</v>
      </c>
      <c r="L4375" s="12" t="s">
        <v>69</v>
      </c>
      <c r="M4375">
        <v>14.93</v>
      </c>
      <c r="N4375" s="12" t="s">
        <v>97</v>
      </c>
      <c r="O4375" s="12" t="s">
        <v>98</v>
      </c>
      <c r="P4375" s="12" t="s">
        <v>72</v>
      </c>
      <c r="Q4375" s="13">
        <v>45701</v>
      </c>
      <c r="R4375" s="13">
        <v>45721</v>
      </c>
      <c r="S4375">
        <v>2025</v>
      </c>
      <c r="T4375" s="12" t="s">
        <v>5260</v>
      </c>
      <c r="U4375">
        <v>164</v>
      </c>
      <c r="V4375">
        <v>99.664699999999996</v>
      </c>
      <c r="W4375">
        <v>316.2</v>
      </c>
      <c r="X4375">
        <v>0</v>
      </c>
      <c r="Y4375">
        <v>0</v>
      </c>
      <c r="Z4375">
        <v>16345.01</v>
      </c>
      <c r="AA4375">
        <v>16661.21</v>
      </c>
      <c r="AB4375" s="12" t="s">
        <v>201</v>
      </c>
      <c r="AD4375">
        <v>0</v>
      </c>
      <c r="AE4375">
        <v>0</v>
      </c>
      <c r="AH4375">
        <v>164</v>
      </c>
      <c r="AI4375">
        <v>163</v>
      </c>
      <c r="AJ4375">
        <v>1</v>
      </c>
      <c r="AK4375">
        <v>1</v>
      </c>
      <c r="AL4375">
        <v>1</v>
      </c>
      <c r="AM4375">
        <v>99.39</v>
      </c>
      <c r="AN4375">
        <v>102.21599999999999</v>
      </c>
      <c r="AO4375">
        <v>99.66</v>
      </c>
      <c r="AP4375" s="13">
        <v>45728</v>
      </c>
      <c r="AQ4375">
        <v>7</v>
      </c>
      <c r="AR4375">
        <v>0</v>
      </c>
    </row>
    <row r="4376" spans="1:44" x14ac:dyDescent="0.35">
      <c r="A4376" s="12" t="s">
        <v>5328</v>
      </c>
      <c r="B4376" s="12" t="s">
        <v>163</v>
      </c>
      <c r="C4376" s="12" t="s">
        <v>164</v>
      </c>
      <c r="D4376" s="12" t="s">
        <v>64</v>
      </c>
      <c r="E4376" s="12" t="s">
        <v>104</v>
      </c>
      <c r="F4376">
        <v>2</v>
      </c>
      <c r="G4376">
        <v>0</v>
      </c>
      <c r="H4376">
        <v>0</v>
      </c>
      <c r="I4376" s="12" t="s">
        <v>79</v>
      </c>
      <c r="J4376" s="12" t="s">
        <v>80</v>
      </c>
      <c r="K4376" s="12" t="s">
        <v>81</v>
      </c>
      <c r="L4376" s="12" t="s">
        <v>82</v>
      </c>
      <c r="M4376">
        <v>12.07</v>
      </c>
      <c r="N4376" s="12" t="s">
        <v>97</v>
      </c>
      <c r="O4376" s="12" t="s">
        <v>98</v>
      </c>
      <c r="P4376" s="12" t="s">
        <v>72</v>
      </c>
      <c r="Q4376" s="13">
        <v>45701</v>
      </c>
      <c r="R4376" s="13">
        <v>45722</v>
      </c>
      <c r="S4376">
        <v>2025</v>
      </c>
      <c r="T4376" s="12" t="s">
        <v>5260</v>
      </c>
      <c r="U4376">
        <v>565</v>
      </c>
      <c r="V4376">
        <v>10.482900000000001</v>
      </c>
      <c r="W4376">
        <v>86.24</v>
      </c>
      <c r="X4376">
        <v>0</v>
      </c>
      <c r="Y4376">
        <v>0</v>
      </c>
      <c r="Z4376">
        <v>5922.84</v>
      </c>
      <c r="AA4376">
        <v>6009.08</v>
      </c>
      <c r="AB4376" s="12" t="s">
        <v>5303</v>
      </c>
      <c r="AC4376">
        <v>10.482900000000001</v>
      </c>
      <c r="AD4376">
        <v>1</v>
      </c>
      <c r="AE4376">
        <v>1</v>
      </c>
      <c r="AF4376">
        <v>0</v>
      </c>
      <c r="AG4376">
        <v>5922.84</v>
      </c>
      <c r="AH4376">
        <v>565</v>
      </c>
      <c r="AI4376">
        <v>558</v>
      </c>
      <c r="AJ4376">
        <v>7</v>
      </c>
      <c r="AK4376">
        <v>1</v>
      </c>
      <c r="AL4376">
        <v>1</v>
      </c>
      <c r="AM4376">
        <v>98.76</v>
      </c>
      <c r="AN4376">
        <v>10.769</v>
      </c>
      <c r="AO4376">
        <v>73.38</v>
      </c>
      <c r="AP4376" s="13">
        <v>45719</v>
      </c>
      <c r="AQ4376">
        <v>-3</v>
      </c>
      <c r="AR4376">
        <v>1</v>
      </c>
    </row>
    <row r="4377" spans="1:44" x14ac:dyDescent="0.35">
      <c r="A4377" s="12" t="s">
        <v>5329</v>
      </c>
      <c r="B4377" s="12" t="s">
        <v>565</v>
      </c>
      <c r="C4377" s="12" t="s">
        <v>566</v>
      </c>
      <c r="D4377" s="12" t="s">
        <v>122</v>
      </c>
      <c r="E4377" s="12" t="s">
        <v>104</v>
      </c>
      <c r="F4377">
        <v>3</v>
      </c>
      <c r="G4377">
        <v>1</v>
      </c>
      <c r="H4377">
        <v>0</v>
      </c>
      <c r="I4377" s="12" t="s">
        <v>87</v>
      </c>
      <c r="J4377" s="12" t="s">
        <v>88</v>
      </c>
      <c r="K4377" s="12" t="s">
        <v>89</v>
      </c>
      <c r="L4377" s="12" t="s">
        <v>69</v>
      </c>
      <c r="M4377">
        <v>14.93</v>
      </c>
      <c r="N4377" s="12" t="s">
        <v>70</v>
      </c>
      <c r="O4377" s="12" t="s">
        <v>71</v>
      </c>
      <c r="P4377" s="12" t="s">
        <v>72</v>
      </c>
      <c r="Q4377" s="13">
        <v>45701</v>
      </c>
      <c r="R4377" s="13">
        <v>45730</v>
      </c>
      <c r="S4377">
        <v>2025</v>
      </c>
      <c r="T4377" s="12" t="s">
        <v>5260</v>
      </c>
      <c r="U4377">
        <v>1931</v>
      </c>
      <c r="V4377">
        <v>34.7179</v>
      </c>
      <c r="W4377">
        <v>1468.26</v>
      </c>
      <c r="X4377">
        <v>0</v>
      </c>
      <c r="Y4377">
        <v>0</v>
      </c>
      <c r="Z4377">
        <v>67040.259999999995</v>
      </c>
      <c r="AA4377">
        <v>68508.52</v>
      </c>
      <c r="AB4377" s="12" t="s">
        <v>3238</v>
      </c>
      <c r="AC4377">
        <v>34.7179</v>
      </c>
      <c r="AD4377">
        <v>1</v>
      </c>
      <c r="AE4377">
        <v>1</v>
      </c>
      <c r="AF4377">
        <v>0</v>
      </c>
      <c r="AG4377">
        <v>67040.259999999995</v>
      </c>
      <c r="AH4377">
        <v>1931</v>
      </c>
      <c r="AI4377">
        <v>1909</v>
      </c>
      <c r="AJ4377">
        <v>22</v>
      </c>
      <c r="AK4377">
        <v>1</v>
      </c>
      <c r="AL4377">
        <v>1</v>
      </c>
      <c r="AM4377">
        <v>98.86</v>
      </c>
      <c r="AN4377">
        <v>35.887099999999997</v>
      </c>
      <c r="AO4377">
        <v>763.79</v>
      </c>
      <c r="AP4377" s="13">
        <v>45730</v>
      </c>
      <c r="AQ4377">
        <v>0</v>
      </c>
      <c r="AR4377">
        <v>1</v>
      </c>
    </row>
    <row r="4378" spans="1:44" x14ac:dyDescent="0.35">
      <c r="A4378" s="12" t="s">
        <v>5330</v>
      </c>
      <c r="B4378" s="12" t="s">
        <v>909</v>
      </c>
      <c r="C4378" s="12" t="s">
        <v>910</v>
      </c>
      <c r="D4378" s="12" t="s">
        <v>269</v>
      </c>
      <c r="E4378" s="12" t="s">
        <v>65</v>
      </c>
      <c r="F4378">
        <v>3</v>
      </c>
      <c r="G4378">
        <v>4</v>
      </c>
      <c r="H4378">
        <v>0</v>
      </c>
      <c r="I4378" s="12" t="s">
        <v>199</v>
      </c>
      <c r="J4378" s="12" t="s">
        <v>200</v>
      </c>
      <c r="K4378" s="12" t="s">
        <v>68</v>
      </c>
      <c r="L4378" s="12" t="s">
        <v>96</v>
      </c>
      <c r="M4378">
        <v>9.4700000000000006</v>
      </c>
      <c r="N4378" s="12" t="s">
        <v>135</v>
      </c>
      <c r="O4378" s="12" t="s">
        <v>136</v>
      </c>
      <c r="P4378" s="12" t="s">
        <v>137</v>
      </c>
      <c r="Q4378" s="13">
        <v>45701</v>
      </c>
      <c r="R4378" s="13">
        <v>45739</v>
      </c>
      <c r="S4378">
        <v>2025</v>
      </c>
      <c r="T4378" s="12" t="s">
        <v>5260</v>
      </c>
      <c r="U4378">
        <v>147</v>
      </c>
      <c r="V4378">
        <v>105.6481</v>
      </c>
      <c r="W4378">
        <v>389.8</v>
      </c>
      <c r="X4378">
        <v>0</v>
      </c>
      <c r="Y4378">
        <v>0</v>
      </c>
      <c r="Z4378">
        <v>15530.27</v>
      </c>
      <c r="AA4378">
        <v>15920.07</v>
      </c>
      <c r="AB4378" s="12" t="s">
        <v>3479</v>
      </c>
      <c r="AC4378">
        <v>105.6481</v>
      </c>
      <c r="AD4378">
        <v>1</v>
      </c>
      <c r="AE4378">
        <v>1</v>
      </c>
      <c r="AF4378">
        <v>0</v>
      </c>
      <c r="AG4378">
        <v>15530.27</v>
      </c>
      <c r="AH4378">
        <v>147</v>
      </c>
      <c r="AI4378">
        <v>146</v>
      </c>
      <c r="AJ4378">
        <v>1</v>
      </c>
      <c r="AK4378">
        <v>1</v>
      </c>
      <c r="AL4378">
        <v>1</v>
      </c>
      <c r="AM4378">
        <v>99.32</v>
      </c>
      <c r="AN4378">
        <v>109.0416</v>
      </c>
      <c r="AO4378">
        <v>105.65</v>
      </c>
      <c r="AP4378" s="13">
        <v>45740</v>
      </c>
      <c r="AQ4378">
        <v>1</v>
      </c>
      <c r="AR4378">
        <v>0</v>
      </c>
    </row>
    <row r="4379" spans="1:44" x14ac:dyDescent="0.35">
      <c r="A4379" s="12" t="s">
        <v>5331</v>
      </c>
      <c r="B4379" s="12" t="s">
        <v>1068</v>
      </c>
      <c r="C4379" s="12" t="s">
        <v>1069</v>
      </c>
      <c r="D4379" s="12" t="s">
        <v>122</v>
      </c>
      <c r="E4379" s="12" t="s">
        <v>65</v>
      </c>
      <c r="F4379">
        <v>2</v>
      </c>
      <c r="G4379">
        <v>2</v>
      </c>
      <c r="H4379">
        <v>0</v>
      </c>
      <c r="I4379" s="12" t="s">
        <v>79</v>
      </c>
      <c r="J4379" s="12" t="s">
        <v>80</v>
      </c>
      <c r="K4379" s="12" t="s">
        <v>81</v>
      </c>
      <c r="L4379" s="12" t="s">
        <v>82</v>
      </c>
      <c r="M4379">
        <v>12.07</v>
      </c>
      <c r="N4379" s="12" t="s">
        <v>70</v>
      </c>
      <c r="O4379" s="12" t="s">
        <v>71</v>
      </c>
      <c r="P4379" s="12" t="s">
        <v>72</v>
      </c>
      <c r="Q4379" s="13">
        <v>45701</v>
      </c>
      <c r="R4379" s="13">
        <v>45729</v>
      </c>
      <c r="S4379">
        <v>2025</v>
      </c>
      <c r="T4379" s="12" t="s">
        <v>5260</v>
      </c>
      <c r="U4379">
        <v>992</v>
      </c>
      <c r="V4379">
        <v>21.277999999999999</v>
      </c>
      <c r="W4379">
        <v>532.21</v>
      </c>
      <c r="X4379">
        <v>0</v>
      </c>
      <c r="Y4379">
        <v>0</v>
      </c>
      <c r="Z4379">
        <v>21107.78</v>
      </c>
      <c r="AA4379">
        <v>21639.99</v>
      </c>
      <c r="AB4379" s="12" t="s">
        <v>3113</v>
      </c>
      <c r="AC4379">
        <v>21.277999999999999</v>
      </c>
      <c r="AD4379">
        <v>1</v>
      </c>
      <c r="AE4379">
        <v>1</v>
      </c>
      <c r="AF4379">
        <v>0</v>
      </c>
      <c r="AG4379">
        <v>21107.78</v>
      </c>
      <c r="AH4379">
        <v>992</v>
      </c>
      <c r="AI4379">
        <v>990</v>
      </c>
      <c r="AJ4379">
        <v>2</v>
      </c>
      <c r="AK4379">
        <v>1</v>
      </c>
      <c r="AL4379">
        <v>1</v>
      </c>
      <c r="AM4379">
        <v>99.8</v>
      </c>
      <c r="AN4379">
        <v>21.858599999999999</v>
      </c>
      <c r="AO4379">
        <v>42.56</v>
      </c>
      <c r="AP4379" s="13">
        <v>45731</v>
      </c>
      <c r="AQ4379">
        <v>2</v>
      </c>
      <c r="AR4379">
        <v>0</v>
      </c>
    </row>
    <row r="4380" spans="1:44" x14ac:dyDescent="0.35">
      <c r="A4380" s="12" t="s">
        <v>5332</v>
      </c>
      <c r="B4380" s="12" t="s">
        <v>451</v>
      </c>
      <c r="C4380" s="12" t="s">
        <v>452</v>
      </c>
      <c r="D4380" s="12" t="s">
        <v>175</v>
      </c>
      <c r="E4380" s="12" t="s">
        <v>104</v>
      </c>
      <c r="F4380">
        <v>3</v>
      </c>
      <c r="G4380">
        <v>1</v>
      </c>
      <c r="H4380">
        <v>0</v>
      </c>
      <c r="I4380" s="12" t="s">
        <v>359</v>
      </c>
      <c r="J4380" s="12" t="s">
        <v>360</v>
      </c>
      <c r="K4380" s="12" t="s">
        <v>133</v>
      </c>
      <c r="L4380" s="12" t="s">
        <v>82</v>
      </c>
      <c r="M4380">
        <v>12.65</v>
      </c>
      <c r="N4380" s="12" t="s">
        <v>145</v>
      </c>
      <c r="O4380" s="12" t="s">
        <v>146</v>
      </c>
      <c r="P4380" s="12" t="s">
        <v>109</v>
      </c>
      <c r="Q4380" s="13">
        <v>45701</v>
      </c>
      <c r="R4380" s="13">
        <v>45721</v>
      </c>
      <c r="S4380">
        <v>2025</v>
      </c>
      <c r="T4380" s="12" t="s">
        <v>5260</v>
      </c>
      <c r="U4380">
        <v>78</v>
      </c>
      <c r="V4380">
        <v>216.9588</v>
      </c>
      <c r="W4380">
        <v>386.44</v>
      </c>
      <c r="X4380">
        <v>0</v>
      </c>
      <c r="Y4380">
        <v>0</v>
      </c>
      <c r="Z4380">
        <v>16922.79</v>
      </c>
      <c r="AA4380">
        <v>17309.23</v>
      </c>
      <c r="AB4380" s="12" t="s">
        <v>5244</v>
      </c>
      <c r="AC4380">
        <v>216.9588</v>
      </c>
      <c r="AD4380">
        <v>1</v>
      </c>
      <c r="AE4380">
        <v>1</v>
      </c>
      <c r="AF4380">
        <v>0</v>
      </c>
      <c r="AG4380">
        <v>16922.79</v>
      </c>
      <c r="AH4380">
        <v>78</v>
      </c>
      <c r="AI4380">
        <v>77</v>
      </c>
      <c r="AJ4380">
        <v>1</v>
      </c>
      <c r="AK4380">
        <v>1</v>
      </c>
      <c r="AL4380">
        <v>1</v>
      </c>
      <c r="AM4380">
        <v>98.72</v>
      </c>
      <c r="AN4380">
        <v>224.79509999999999</v>
      </c>
      <c r="AO4380">
        <v>216.96</v>
      </c>
      <c r="AP4380" s="13">
        <v>45719</v>
      </c>
      <c r="AQ4380">
        <v>-2</v>
      </c>
      <c r="AR4380">
        <v>1</v>
      </c>
    </row>
    <row r="4381" spans="1:44" x14ac:dyDescent="0.35">
      <c r="A4381" s="12" t="s">
        <v>5333</v>
      </c>
      <c r="B4381" s="12" t="s">
        <v>990</v>
      </c>
      <c r="C4381" s="12" t="s">
        <v>991</v>
      </c>
      <c r="D4381" s="12" t="s">
        <v>122</v>
      </c>
      <c r="E4381" s="12" t="s">
        <v>142</v>
      </c>
      <c r="F4381">
        <v>1</v>
      </c>
      <c r="G4381">
        <v>6</v>
      </c>
      <c r="H4381">
        <v>1</v>
      </c>
      <c r="I4381" s="12" t="s">
        <v>217</v>
      </c>
      <c r="J4381" s="12" t="s">
        <v>218</v>
      </c>
      <c r="K4381" s="12" t="s">
        <v>68</v>
      </c>
      <c r="L4381" s="12" t="s">
        <v>82</v>
      </c>
      <c r="M4381">
        <v>14.24</v>
      </c>
      <c r="N4381" s="12" t="s">
        <v>70</v>
      </c>
      <c r="O4381" s="12" t="s">
        <v>71</v>
      </c>
      <c r="P4381" s="12" t="s">
        <v>72</v>
      </c>
      <c r="Q4381" s="13">
        <v>45701</v>
      </c>
      <c r="R4381" s="13">
        <v>45747</v>
      </c>
      <c r="S4381">
        <v>2025</v>
      </c>
      <c r="T4381" s="12" t="s">
        <v>5260</v>
      </c>
      <c r="U4381">
        <v>1348</v>
      </c>
      <c r="V4381">
        <v>35.020099999999999</v>
      </c>
      <c r="W4381">
        <v>833.19</v>
      </c>
      <c r="X4381">
        <v>0</v>
      </c>
      <c r="Y4381">
        <v>0</v>
      </c>
      <c r="Z4381">
        <v>47207.09</v>
      </c>
      <c r="AA4381">
        <v>48040.28</v>
      </c>
      <c r="AB4381" s="12" t="s">
        <v>3368</v>
      </c>
      <c r="AC4381">
        <v>33.6252</v>
      </c>
      <c r="AD4381">
        <v>1</v>
      </c>
      <c r="AE4381">
        <v>1</v>
      </c>
      <c r="AF4381">
        <v>1880.33</v>
      </c>
      <c r="AG4381">
        <v>45326.77</v>
      </c>
      <c r="AH4381">
        <v>1348</v>
      </c>
      <c r="AI4381">
        <v>1338</v>
      </c>
      <c r="AJ4381">
        <v>10</v>
      </c>
      <c r="AK4381">
        <v>1</v>
      </c>
      <c r="AL4381">
        <v>1</v>
      </c>
      <c r="AM4381">
        <v>99.26</v>
      </c>
      <c r="AN4381">
        <v>35.904499999999999</v>
      </c>
      <c r="AO4381">
        <v>350.2</v>
      </c>
      <c r="AP4381" s="13">
        <v>45746</v>
      </c>
      <c r="AQ4381">
        <v>-1</v>
      </c>
      <c r="AR4381">
        <v>1</v>
      </c>
    </row>
    <row r="4382" spans="1:44" x14ac:dyDescent="0.35">
      <c r="A4382" s="12" t="s">
        <v>5334</v>
      </c>
      <c r="B4382" s="12" t="s">
        <v>255</v>
      </c>
      <c r="C4382" s="12" t="s">
        <v>256</v>
      </c>
      <c r="D4382" s="12" t="s">
        <v>103</v>
      </c>
      <c r="E4382" s="12" t="s">
        <v>65</v>
      </c>
      <c r="F4382">
        <v>2</v>
      </c>
      <c r="G4382">
        <v>4</v>
      </c>
      <c r="H4382">
        <v>0</v>
      </c>
      <c r="I4382" s="12" t="s">
        <v>143</v>
      </c>
      <c r="J4382" s="12" t="s">
        <v>144</v>
      </c>
      <c r="K4382" s="12" t="s">
        <v>133</v>
      </c>
      <c r="L4382" s="12" t="s">
        <v>96</v>
      </c>
      <c r="M4382">
        <v>5.43</v>
      </c>
      <c r="N4382" s="12" t="s">
        <v>107</v>
      </c>
      <c r="O4382" s="12" t="s">
        <v>108</v>
      </c>
      <c r="P4382" s="12" t="s">
        <v>109</v>
      </c>
      <c r="Q4382" s="13">
        <v>45701</v>
      </c>
      <c r="R4382" s="13">
        <v>45726</v>
      </c>
      <c r="S4382">
        <v>2025</v>
      </c>
      <c r="T4382" s="12" t="s">
        <v>5260</v>
      </c>
      <c r="U4382">
        <v>44</v>
      </c>
      <c r="V4382">
        <v>95.061000000000007</v>
      </c>
      <c r="W4382">
        <v>81.98</v>
      </c>
      <c r="X4382">
        <v>0</v>
      </c>
      <c r="Y4382">
        <v>0</v>
      </c>
      <c r="Z4382">
        <v>4182.68</v>
      </c>
      <c r="AA4382">
        <v>4264.66</v>
      </c>
      <c r="AB4382" s="12" t="s">
        <v>5188</v>
      </c>
      <c r="AC4382">
        <v>95.061000000000007</v>
      </c>
      <c r="AD4382">
        <v>1</v>
      </c>
      <c r="AE4382">
        <v>1</v>
      </c>
      <c r="AF4382">
        <v>0</v>
      </c>
      <c r="AG4382">
        <v>4182.68</v>
      </c>
      <c r="AH4382">
        <v>44</v>
      </c>
      <c r="AI4382">
        <v>43</v>
      </c>
      <c r="AJ4382">
        <v>1</v>
      </c>
      <c r="AK4382">
        <v>1</v>
      </c>
      <c r="AL4382">
        <v>1</v>
      </c>
      <c r="AM4382">
        <v>97.73</v>
      </c>
      <c r="AN4382">
        <v>99.178200000000004</v>
      </c>
      <c r="AO4382">
        <v>95.06</v>
      </c>
      <c r="AP4382" s="13">
        <v>45723</v>
      </c>
      <c r="AQ4382">
        <v>-3</v>
      </c>
      <c r="AR4382">
        <v>1</v>
      </c>
    </row>
    <row r="4383" spans="1:44" x14ac:dyDescent="0.35">
      <c r="A4383" s="12" t="s">
        <v>5335</v>
      </c>
      <c r="B4383" s="12" t="s">
        <v>661</v>
      </c>
      <c r="C4383" s="12" t="s">
        <v>662</v>
      </c>
      <c r="D4383" s="12" t="s">
        <v>175</v>
      </c>
      <c r="E4383" s="12" t="s">
        <v>104</v>
      </c>
      <c r="F4383">
        <v>1</v>
      </c>
      <c r="G4383">
        <v>0</v>
      </c>
      <c r="H4383">
        <v>1</v>
      </c>
      <c r="I4383" s="12" t="s">
        <v>183</v>
      </c>
      <c r="J4383" s="12" t="s">
        <v>184</v>
      </c>
      <c r="K4383" s="12" t="s">
        <v>133</v>
      </c>
      <c r="L4383" s="12" t="s">
        <v>82</v>
      </c>
      <c r="M4383">
        <v>8.6199999999999992</v>
      </c>
      <c r="N4383" s="12" t="s">
        <v>107</v>
      </c>
      <c r="O4383" s="12" t="s">
        <v>108</v>
      </c>
      <c r="P4383" s="12" t="s">
        <v>109</v>
      </c>
      <c r="Q4383" s="13">
        <v>45701</v>
      </c>
      <c r="R4383" s="13">
        <v>45717</v>
      </c>
      <c r="S4383">
        <v>2025</v>
      </c>
      <c r="T4383" s="12" t="s">
        <v>5260</v>
      </c>
      <c r="U4383">
        <v>44</v>
      </c>
      <c r="V4383">
        <v>166.30070000000001</v>
      </c>
      <c r="W4383">
        <v>73.239999999999995</v>
      </c>
      <c r="X4383">
        <v>0</v>
      </c>
      <c r="Y4383">
        <v>0</v>
      </c>
      <c r="Z4383">
        <v>7317.23</v>
      </c>
      <c r="AA4383">
        <v>7390.47</v>
      </c>
      <c r="AB4383" s="12" t="s">
        <v>5336</v>
      </c>
      <c r="AC4383">
        <v>166.30070000000001</v>
      </c>
      <c r="AD4383">
        <v>1</v>
      </c>
      <c r="AE4383">
        <v>1</v>
      </c>
      <c r="AF4383">
        <v>0</v>
      </c>
      <c r="AG4383">
        <v>7317.23</v>
      </c>
      <c r="AH4383">
        <v>44</v>
      </c>
      <c r="AI4383">
        <v>43</v>
      </c>
      <c r="AJ4383">
        <v>1</v>
      </c>
      <c r="AK4383">
        <v>1</v>
      </c>
      <c r="AL4383">
        <v>1</v>
      </c>
      <c r="AM4383">
        <v>97.73</v>
      </c>
      <c r="AN4383">
        <v>171.87139999999999</v>
      </c>
      <c r="AO4383">
        <v>166.3</v>
      </c>
      <c r="AP4383" s="13">
        <v>45713</v>
      </c>
      <c r="AQ4383">
        <v>-4</v>
      </c>
      <c r="AR4383">
        <v>1</v>
      </c>
    </row>
    <row r="4384" spans="1:44" x14ac:dyDescent="0.35">
      <c r="A4384" s="12" t="s">
        <v>5337</v>
      </c>
      <c r="B4384" s="12" t="s">
        <v>193</v>
      </c>
      <c r="C4384" s="12" t="s">
        <v>194</v>
      </c>
      <c r="D4384" s="12" t="s">
        <v>114</v>
      </c>
      <c r="E4384" s="12" t="s">
        <v>65</v>
      </c>
      <c r="F4384">
        <v>3</v>
      </c>
      <c r="G4384">
        <v>4</v>
      </c>
      <c r="H4384">
        <v>0</v>
      </c>
      <c r="I4384" s="12" t="s">
        <v>195</v>
      </c>
      <c r="J4384" s="12" t="s">
        <v>196</v>
      </c>
      <c r="K4384" s="12" t="s">
        <v>117</v>
      </c>
      <c r="L4384" s="12" t="s">
        <v>134</v>
      </c>
      <c r="M4384">
        <v>4.7699999999999996</v>
      </c>
      <c r="N4384" s="12" t="s">
        <v>70</v>
      </c>
      <c r="O4384" s="12" t="s">
        <v>71</v>
      </c>
      <c r="P4384" s="12" t="s">
        <v>72</v>
      </c>
      <c r="Q4384" s="13">
        <v>45701</v>
      </c>
      <c r="R4384" s="13">
        <v>45722</v>
      </c>
      <c r="S4384">
        <v>2025</v>
      </c>
      <c r="T4384" s="12" t="s">
        <v>5260</v>
      </c>
      <c r="U4384">
        <v>14</v>
      </c>
      <c r="V4384">
        <v>104.5202</v>
      </c>
      <c r="W4384">
        <v>11.68</v>
      </c>
      <c r="X4384">
        <v>0</v>
      </c>
      <c r="Y4384">
        <v>0</v>
      </c>
      <c r="Z4384">
        <v>1463.28</v>
      </c>
      <c r="AA4384">
        <v>1474.96</v>
      </c>
      <c r="AB4384" s="12" t="s">
        <v>5258</v>
      </c>
      <c r="AC4384">
        <v>104.5202</v>
      </c>
      <c r="AD4384">
        <v>1</v>
      </c>
      <c r="AE4384">
        <v>1</v>
      </c>
      <c r="AF4384">
        <v>0</v>
      </c>
      <c r="AG4384">
        <v>1463.28</v>
      </c>
      <c r="AH4384">
        <v>14</v>
      </c>
      <c r="AI4384">
        <v>14</v>
      </c>
      <c r="AJ4384">
        <v>0</v>
      </c>
      <c r="AK4384">
        <v>1</v>
      </c>
      <c r="AL4384">
        <v>1</v>
      </c>
      <c r="AM4384">
        <v>100</v>
      </c>
      <c r="AN4384">
        <v>105.3545</v>
      </c>
      <c r="AO4384">
        <v>0</v>
      </c>
      <c r="AP4384" s="13">
        <v>45720</v>
      </c>
      <c r="AQ4384">
        <v>-2</v>
      </c>
      <c r="AR4384">
        <v>1</v>
      </c>
    </row>
    <row r="4385" spans="1:44" x14ac:dyDescent="0.35">
      <c r="A4385" s="12" t="s">
        <v>5338</v>
      </c>
      <c r="B4385" s="12" t="s">
        <v>957</v>
      </c>
      <c r="C4385" s="12" t="s">
        <v>958</v>
      </c>
      <c r="D4385" s="12" t="s">
        <v>103</v>
      </c>
      <c r="E4385" s="12" t="s">
        <v>142</v>
      </c>
      <c r="F4385">
        <v>1</v>
      </c>
      <c r="G4385">
        <v>7</v>
      </c>
      <c r="H4385">
        <v>1</v>
      </c>
      <c r="I4385" s="12" t="s">
        <v>183</v>
      </c>
      <c r="J4385" s="12" t="s">
        <v>184</v>
      </c>
      <c r="K4385" s="12" t="s">
        <v>133</v>
      </c>
      <c r="L4385" s="12" t="s">
        <v>82</v>
      </c>
      <c r="M4385">
        <v>8.6199999999999992</v>
      </c>
      <c r="N4385" s="12" t="s">
        <v>145</v>
      </c>
      <c r="O4385" s="12" t="s">
        <v>146</v>
      </c>
      <c r="P4385" s="12" t="s">
        <v>109</v>
      </c>
      <c r="Q4385" s="13">
        <v>45701</v>
      </c>
      <c r="R4385" s="13">
        <v>45751</v>
      </c>
      <c r="S4385">
        <v>2025</v>
      </c>
      <c r="T4385" s="12" t="s">
        <v>5260</v>
      </c>
      <c r="U4385">
        <v>129</v>
      </c>
      <c r="V4385">
        <v>193.65539999999999</v>
      </c>
      <c r="W4385">
        <v>173.8</v>
      </c>
      <c r="X4385">
        <v>0</v>
      </c>
      <c r="Y4385">
        <v>0</v>
      </c>
      <c r="Z4385">
        <v>24981.55</v>
      </c>
      <c r="AA4385">
        <v>25155.35</v>
      </c>
      <c r="AB4385" s="12" t="s">
        <v>3249</v>
      </c>
      <c r="AC4385">
        <v>193.65539999999999</v>
      </c>
      <c r="AD4385">
        <v>1</v>
      </c>
      <c r="AE4385">
        <v>1</v>
      </c>
      <c r="AF4385">
        <v>0</v>
      </c>
      <c r="AG4385">
        <v>24981.55</v>
      </c>
      <c r="AH4385">
        <v>129</v>
      </c>
      <c r="AI4385">
        <v>127</v>
      </c>
      <c r="AJ4385">
        <v>2</v>
      </c>
      <c r="AK4385">
        <v>1</v>
      </c>
      <c r="AL4385">
        <v>1</v>
      </c>
      <c r="AM4385">
        <v>98.45</v>
      </c>
      <c r="AN4385">
        <v>198.0736</v>
      </c>
      <c r="AO4385">
        <v>387.31</v>
      </c>
      <c r="AP4385" s="13">
        <v>45748</v>
      </c>
      <c r="AQ4385">
        <v>-3</v>
      </c>
      <c r="AR4385">
        <v>1</v>
      </c>
    </row>
    <row r="4386" spans="1:44" x14ac:dyDescent="0.35">
      <c r="A4386" s="12" t="s">
        <v>5339</v>
      </c>
      <c r="B4386" s="12" t="s">
        <v>736</v>
      </c>
      <c r="C4386" s="12" t="s">
        <v>737</v>
      </c>
      <c r="D4386" s="12" t="s">
        <v>64</v>
      </c>
      <c r="E4386" s="12" t="s">
        <v>104</v>
      </c>
      <c r="F4386">
        <v>3</v>
      </c>
      <c r="G4386">
        <v>1</v>
      </c>
      <c r="H4386">
        <v>0</v>
      </c>
      <c r="I4386" s="12" t="s">
        <v>115</v>
      </c>
      <c r="J4386" s="12" t="s">
        <v>116</v>
      </c>
      <c r="K4386" s="12" t="s">
        <v>117</v>
      </c>
      <c r="L4386" s="12" t="s">
        <v>82</v>
      </c>
      <c r="M4386">
        <v>17.170000000000002</v>
      </c>
      <c r="N4386" s="12" t="s">
        <v>97</v>
      </c>
      <c r="O4386" s="12" t="s">
        <v>98</v>
      </c>
      <c r="P4386" s="12" t="s">
        <v>72</v>
      </c>
      <c r="Q4386" s="13">
        <v>45701</v>
      </c>
      <c r="R4386" s="13">
        <v>45718</v>
      </c>
      <c r="S4386">
        <v>2025</v>
      </c>
      <c r="T4386" s="12" t="s">
        <v>5260</v>
      </c>
      <c r="U4386">
        <v>351</v>
      </c>
      <c r="V4386">
        <v>22.931699999999999</v>
      </c>
      <c r="W4386">
        <v>133.68</v>
      </c>
      <c r="X4386">
        <v>0</v>
      </c>
      <c r="Y4386">
        <v>0</v>
      </c>
      <c r="Z4386">
        <v>8049.03</v>
      </c>
      <c r="AA4386">
        <v>8182.71</v>
      </c>
      <c r="AB4386" s="12" t="s">
        <v>3876</v>
      </c>
      <c r="AC4386">
        <v>22.931699999999999</v>
      </c>
      <c r="AD4386">
        <v>1</v>
      </c>
      <c r="AE4386">
        <v>1</v>
      </c>
      <c r="AF4386">
        <v>0</v>
      </c>
      <c r="AG4386">
        <v>8049.03</v>
      </c>
      <c r="AH4386">
        <v>351</v>
      </c>
      <c r="AI4386">
        <v>348</v>
      </c>
      <c r="AJ4386">
        <v>3</v>
      </c>
      <c r="AK4386">
        <v>1</v>
      </c>
      <c r="AL4386">
        <v>1</v>
      </c>
      <c r="AM4386">
        <v>99.15</v>
      </c>
      <c r="AN4386">
        <v>23.513500000000001</v>
      </c>
      <c r="AO4386">
        <v>68.8</v>
      </c>
      <c r="AP4386" s="13">
        <v>45718</v>
      </c>
      <c r="AQ4386">
        <v>0</v>
      </c>
      <c r="AR4386">
        <v>1</v>
      </c>
    </row>
    <row r="4387" spans="1:44" x14ac:dyDescent="0.35">
      <c r="A4387" s="12" t="s">
        <v>5340</v>
      </c>
      <c r="B4387" s="12" t="s">
        <v>941</v>
      </c>
      <c r="C4387" s="12" t="s">
        <v>942</v>
      </c>
      <c r="D4387" s="12" t="s">
        <v>130</v>
      </c>
      <c r="E4387" s="12" t="s">
        <v>104</v>
      </c>
      <c r="F4387">
        <v>2</v>
      </c>
      <c r="G4387">
        <v>0</v>
      </c>
      <c r="H4387">
        <v>0</v>
      </c>
      <c r="I4387" s="12" t="s">
        <v>131</v>
      </c>
      <c r="J4387" s="12" t="s">
        <v>132</v>
      </c>
      <c r="K4387" s="12" t="s">
        <v>133</v>
      </c>
      <c r="L4387" s="12" t="s">
        <v>134</v>
      </c>
      <c r="M4387">
        <v>1.51</v>
      </c>
      <c r="N4387" s="12" t="s">
        <v>135</v>
      </c>
      <c r="O4387" s="12" t="s">
        <v>136</v>
      </c>
      <c r="P4387" s="12" t="s">
        <v>137</v>
      </c>
      <c r="Q4387" s="13">
        <v>45701</v>
      </c>
      <c r="R4387" s="13">
        <v>45722</v>
      </c>
      <c r="S4387">
        <v>2025</v>
      </c>
      <c r="T4387" s="12" t="s">
        <v>5260</v>
      </c>
      <c r="U4387">
        <v>80</v>
      </c>
      <c r="V4387">
        <v>870.32979999999998</v>
      </c>
      <c r="W4387">
        <v>897.25</v>
      </c>
      <c r="X4387">
        <v>0</v>
      </c>
      <c r="Y4387">
        <v>0</v>
      </c>
      <c r="Z4387">
        <v>69626.38</v>
      </c>
      <c r="AA4387">
        <v>70523.63</v>
      </c>
      <c r="AB4387" s="12" t="s">
        <v>3518</v>
      </c>
      <c r="AC4387">
        <v>839.4819</v>
      </c>
      <c r="AD4387">
        <v>1</v>
      </c>
      <c r="AE4387">
        <v>1</v>
      </c>
      <c r="AF4387">
        <v>2467.83</v>
      </c>
      <c r="AG4387">
        <v>67158.55</v>
      </c>
      <c r="AH4387">
        <v>80</v>
      </c>
      <c r="AI4387">
        <v>72</v>
      </c>
      <c r="AJ4387">
        <v>8</v>
      </c>
      <c r="AK4387">
        <v>1</v>
      </c>
      <c r="AL4387">
        <v>1</v>
      </c>
      <c r="AM4387">
        <v>90</v>
      </c>
      <c r="AN4387">
        <v>979.49490000000003</v>
      </c>
      <c r="AO4387">
        <v>6962.64</v>
      </c>
      <c r="AP4387" s="13">
        <v>45720</v>
      </c>
      <c r="AQ4387">
        <v>-2</v>
      </c>
      <c r="AR4387">
        <v>1</v>
      </c>
    </row>
    <row r="4388" spans="1:44" x14ac:dyDescent="0.35">
      <c r="A4388" s="12" t="s">
        <v>5341</v>
      </c>
      <c r="B4388" s="12" t="s">
        <v>766</v>
      </c>
      <c r="C4388" s="12" t="s">
        <v>767</v>
      </c>
      <c r="D4388" s="12" t="s">
        <v>175</v>
      </c>
      <c r="E4388" s="12" t="s">
        <v>65</v>
      </c>
      <c r="F4388">
        <v>3</v>
      </c>
      <c r="G4388">
        <v>5</v>
      </c>
      <c r="H4388">
        <v>0</v>
      </c>
      <c r="I4388" s="12" t="s">
        <v>157</v>
      </c>
      <c r="J4388" s="12" t="s">
        <v>158</v>
      </c>
      <c r="K4388" s="12" t="s">
        <v>117</v>
      </c>
      <c r="L4388" s="12" t="s">
        <v>96</v>
      </c>
      <c r="M4388">
        <v>4.72</v>
      </c>
      <c r="N4388" s="12" t="s">
        <v>145</v>
      </c>
      <c r="O4388" s="12" t="s">
        <v>146</v>
      </c>
      <c r="P4388" s="12" t="s">
        <v>109</v>
      </c>
      <c r="Q4388" s="13">
        <v>45702</v>
      </c>
      <c r="R4388" s="13">
        <v>45735</v>
      </c>
      <c r="S4388">
        <v>2025</v>
      </c>
      <c r="T4388" s="12" t="s">
        <v>5260</v>
      </c>
      <c r="U4388">
        <v>110</v>
      </c>
      <c r="V4388">
        <v>85.670500000000004</v>
      </c>
      <c r="W4388">
        <v>70.61</v>
      </c>
      <c r="X4388">
        <v>0</v>
      </c>
      <c r="Y4388">
        <v>0</v>
      </c>
      <c r="Z4388">
        <v>9423.76</v>
      </c>
      <c r="AA4388">
        <v>9494.3700000000008</v>
      </c>
      <c r="AB4388" s="12" t="s">
        <v>3554</v>
      </c>
      <c r="AC4388">
        <v>82.0565</v>
      </c>
      <c r="AD4388">
        <v>1</v>
      </c>
      <c r="AE4388">
        <v>1</v>
      </c>
      <c r="AF4388">
        <v>397.54</v>
      </c>
      <c r="AG4388">
        <v>9026.2199999999993</v>
      </c>
      <c r="AH4388">
        <v>110</v>
      </c>
      <c r="AI4388">
        <v>109</v>
      </c>
      <c r="AJ4388">
        <v>1</v>
      </c>
      <c r="AK4388">
        <v>1</v>
      </c>
      <c r="AL4388">
        <v>1</v>
      </c>
      <c r="AM4388">
        <v>99.09</v>
      </c>
      <c r="AN4388">
        <v>87.104299999999995</v>
      </c>
      <c r="AO4388">
        <v>85.67</v>
      </c>
      <c r="AP4388" s="13">
        <v>45733</v>
      </c>
      <c r="AQ4388">
        <v>-2</v>
      </c>
      <c r="AR4388">
        <v>1</v>
      </c>
    </row>
    <row r="4389" spans="1:44" x14ac:dyDescent="0.35">
      <c r="A4389" s="12" t="s">
        <v>5342</v>
      </c>
      <c r="B4389" s="12" t="s">
        <v>241</v>
      </c>
      <c r="C4389" s="12" t="s">
        <v>242</v>
      </c>
      <c r="D4389" s="12" t="s">
        <v>103</v>
      </c>
      <c r="E4389" s="12" t="s">
        <v>142</v>
      </c>
      <c r="F4389">
        <v>3</v>
      </c>
      <c r="G4389">
        <v>11</v>
      </c>
      <c r="H4389">
        <v>0</v>
      </c>
      <c r="I4389" s="12" t="s">
        <v>243</v>
      </c>
      <c r="J4389" s="12" t="s">
        <v>244</v>
      </c>
      <c r="K4389" s="12" t="s">
        <v>81</v>
      </c>
      <c r="L4389" s="12" t="s">
        <v>82</v>
      </c>
      <c r="M4389">
        <v>9.2200000000000006</v>
      </c>
      <c r="N4389" s="12" t="s">
        <v>145</v>
      </c>
      <c r="O4389" s="12" t="s">
        <v>146</v>
      </c>
      <c r="P4389" s="12" t="s">
        <v>109</v>
      </c>
      <c r="Q4389" s="13">
        <v>45702</v>
      </c>
      <c r="R4389" s="13">
        <v>45751</v>
      </c>
      <c r="S4389">
        <v>2025</v>
      </c>
      <c r="T4389" s="12" t="s">
        <v>5260</v>
      </c>
      <c r="U4389">
        <v>121</v>
      </c>
      <c r="V4389">
        <v>173.32320000000001</v>
      </c>
      <c r="W4389">
        <v>273.99</v>
      </c>
      <c r="X4389">
        <v>0</v>
      </c>
      <c r="Y4389">
        <v>0</v>
      </c>
      <c r="Z4389">
        <v>20972.11</v>
      </c>
      <c r="AA4389">
        <v>21246.1</v>
      </c>
      <c r="AB4389" s="12" t="s">
        <v>201</v>
      </c>
      <c r="AD4389">
        <v>0</v>
      </c>
      <c r="AE4389">
        <v>0</v>
      </c>
      <c r="AH4389">
        <v>121</v>
      </c>
      <c r="AI4389">
        <v>120</v>
      </c>
      <c r="AJ4389">
        <v>1</v>
      </c>
      <c r="AK4389">
        <v>1</v>
      </c>
      <c r="AL4389">
        <v>1</v>
      </c>
      <c r="AM4389">
        <v>99.17</v>
      </c>
      <c r="AN4389">
        <v>177.05080000000001</v>
      </c>
      <c r="AO4389">
        <v>173.32</v>
      </c>
      <c r="AP4389" s="13">
        <v>45750</v>
      </c>
      <c r="AQ4389">
        <v>-1</v>
      </c>
      <c r="AR4389">
        <v>1</v>
      </c>
    </row>
    <row r="4390" spans="1:44" x14ac:dyDescent="0.35">
      <c r="A4390" s="12" t="s">
        <v>5343</v>
      </c>
      <c r="B4390" s="12" t="s">
        <v>598</v>
      </c>
      <c r="C4390" s="12" t="s">
        <v>599</v>
      </c>
      <c r="D4390" s="12" t="s">
        <v>269</v>
      </c>
      <c r="E4390" s="12" t="s">
        <v>65</v>
      </c>
      <c r="F4390">
        <v>1</v>
      </c>
      <c r="G4390">
        <v>2</v>
      </c>
      <c r="H4390">
        <v>1</v>
      </c>
      <c r="I4390" s="12" t="s">
        <v>176</v>
      </c>
      <c r="J4390" s="12" t="s">
        <v>177</v>
      </c>
      <c r="K4390" s="12" t="s">
        <v>125</v>
      </c>
      <c r="L4390" s="12" t="s">
        <v>134</v>
      </c>
      <c r="M4390">
        <v>1.75</v>
      </c>
      <c r="N4390" s="12" t="s">
        <v>159</v>
      </c>
      <c r="O4390" s="12" t="s">
        <v>160</v>
      </c>
      <c r="P4390" s="12" t="s">
        <v>137</v>
      </c>
      <c r="Q4390" s="13">
        <v>45702</v>
      </c>
      <c r="R4390" s="13">
        <v>45735</v>
      </c>
      <c r="S4390">
        <v>2025</v>
      </c>
      <c r="T4390" s="12" t="s">
        <v>5260</v>
      </c>
      <c r="U4390">
        <v>103</v>
      </c>
      <c r="V4390">
        <v>454.53089999999997</v>
      </c>
      <c r="W4390">
        <v>307.29000000000002</v>
      </c>
      <c r="X4390">
        <v>0</v>
      </c>
      <c r="Y4390">
        <v>0</v>
      </c>
      <c r="Z4390">
        <v>46816.68</v>
      </c>
      <c r="AA4390">
        <v>47123.97</v>
      </c>
      <c r="AB4390" s="12" t="s">
        <v>3102</v>
      </c>
      <c r="AC4390">
        <v>454.53089999999997</v>
      </c>
      <c r="AD4390">
        <v>1</v>
      </c>
      <c r="AE4390">
        <v>1</v>
      </c>
      <c r="AF4390">
        <v>0</v>
      </c>
      <c r="AG4390">
        <v>46816.68</v>
      </c>
      <c r="AH4390">
        <v>103</v>
      </c>
      <c r="AI4390">
        <v>102</v>
      </c>
      <c r="AJ4390">
        <v>1</v>
      </c>
      <c r="AK4390">
        <v>1</v>
      </c>
      <c r="AL4390">
        <v>1</v>
      </c>
      <c r="AM4390">
        <v>99.03</v>
      </c>
      <c r="AN4390">
        <v>461.99970000000002</v>
      </c>
      <c r="AO4390">
        <v>454.53</v>
      </c>
      <c r="AP4390" s="13">
        <v>45733</v>
      </c>
      <c r="AQ4390">
        <v>-2</v>
      </c>
      <c r="AR4390">
        <v>1</v>
      </c>
    </row>
    <row r="4391" spans="1:44" x14ac:dyDescent="0.35">
      <c r="A4391" s="12" t="s">
        <v>5344</v>
      </c>
      <c r="B4391" s="12" t="s">
        <v>519</v>
      </c>
      <c r="C4391" s="12" t="s">
        <v>520</v>
      </c>
      <c r="D4391" s="12" t="s">
        <v>78</v>
      </c>
      <c r="E4391" s="12" t="s">
        <v>65</v>
      </c>
      <c r="F4391">
        <v>2</v>
      </c>
      <c r="G4391">
        <v>3</v>
      </c>
      <c r="H4391">
        <v>0</v>
      </c>
      <c r="I4391" s="12" t="s">
        <v>143</v>
      </c>
      <c r="J4391" s="12" t="s">
        <v>144</v>
      </c>
      <c r="K4391" s="12" t="s">
        <v>133</v>
      </c>
      <c r="L4391" s="12" t="s">
        <v>96</v>
      </c>
      <c r="M4391">
        <v>5.43</v>
      </c>
      <c r="N4391" s="12" t="s">
        <v>97</v>
      </c>
      <c r="O4391" s="12" t="s">
        <v>98</v>
      </c>
      <c r="P4391" s="12" t="s">
        <v>72</v>
      </c>
      <c r="Q4391" s="13">
        <v>45702</v>
      </c>
      <c r="R4391" s="13">
        <v>45723</v>
      </c>
      <c r="S4391">
        <v>2025</v>
      </c>
      <c r="T4391" s="12" t="s">
        <v>5260</v>
      </c>
      <c r="U4391">
        <v>48</v>
      </c>
      <c r="V4391">
        <v>30.1342</v>
      </c>
      <c r="W4391">
        <v>30.75</v>
      </c>
      <c r="X4391">
        <v>0</v>
      </c>
      <c r="Y4391">
        <v>0</v>
      </c>
      <c r="Z4391">
        <v>1446.44</v>
      </c>
      <c r="AA4391">
        <v>1477.19</v>
      </c>
      <c r="AB4391" s="12" t="s">
        <v>3130</v>
      </c>
      <c r="AC4391">
        <v>30.1342</v>
      </c>
      <c r="AD4391">
        <v>1</v>
      </c>
      <c r="AE4391">
        <v>1</v>
      </c>
      <c r="AF4391">
        <v>0</v>
      </c>
      <c r="AG4391">
        <v>1446.44</v>
      </c>
      <c r="AH4391">
        <v>48</v>
      </c>
      <c r="AI4391">
        <v>48</v>
      </c>
      <c r="AJ4391">
        <v>0</v>
      </c>
      <c r="AK4391">
        <v>1</v>
      </c>
      <c r="AL4391">
        <v>1</v>
      </c>
      <c r="AM4391">
        <v>100</v>
      </c>
      <c r="AN4391">
        <v>30.774799999999999</v>
      </c>
      <c r="AO4391">
        <v>0</v>
      </c>
      <c r="AP4391" s="13">
        <v>45721</v>
      </c>
      <c r="AQ4391">
        <v>-2</v>
      </c>
      <c r="AR4391">
        <v>1</v>
      </c>
    </row>
    <row r="4392" spans="1:44" x14ac:dyDescent="0.35">
      <c r="A4392" s="12" t="s">
        <v>5345</v>
      </c>
      <c r="B4392" s="12" t="s">
        <v>249</v>
      </c>
      <c r="C4392" s="12" t="s">
        <v>250</v>
      </c>
      <c r="D4392" s="12" t="s">
        <v>64</v>
      </c>
      <c r="E4392" s="12" t="s">
        <v>65</v>
      </c>
      <c r="F4392">
        <v>2</v>
      </c>
      <c r="G4392">
        <v>3</v>
      </c>
      <c r="H4392">
        <v>0</v>
      </c>
      <c r="I4392" s="12" t="s">
        <v>251</v>
      </c>
      <c r="J4392" s="12" t="s">
        <v>252</v>
      </c>
      <c r="K4392" s="12" t="s">
        <v>133</v>
      </c>
      <c r="L4392" s="12" t="s">
        <v>69</v>
      </c>
      <c r="M4392">
        <v>34.49</v>
      </c>
      <c r="N4392" s="12" t="s">
        <v>97</v>
      </c>
      <c r="O4392" s="12" t="s">
        <v>98</v>
      </c>
      <c r="P4392" s="12" t="s">
        <v>72</v>
      </c>
      <c r="Q4392" s="13">
        <v>45702</v>
      </c>
      <c r="R4392" s="13">
        <v>45736</v>
      </c>
      <c r="S4392">
        <v>2025</v>
      </c>
      <c r="T4392" s="12" t="s">
        <v>5260</v>
      </c>
      <c r="U4392">
        <v>772</v>
      </c>
      <c r="V4392">
        <v>9.9464000000000006</v>
      </c>
      <c r="W4392">
        <v>131.82</v>
      </c>
      <c r="X4392">
        <v>0</v>
      </c>
      <c r="Y4392">
        <v>0</v>
      </c>
      <c r="Z4392">
        <v>7678.62</v>
      </c>
      <c r="AA4392">
        <v>7810.44</v>
      </c>
      <c r="AB4392" s="12" t="s">
        <v>5207</v>
      </c>
      <c r="AC4392">
        <v>9.9464000000000006</v>
      </c>
      <c r="AD4392">
        <v>1</v>
      </c>
      <c r="AE4392">
        <v>1</v>
      </c>
      <c r="AF4392">
        <v>0</v>
      </c>
      <c r="AG4392">
        <v>7678.62</v>
      </c>
      <c r="AH4392">
        <v>772</v>
      </c>
      <c r="AI4392">
        <v>768</v>
      </c>
      <c r="AJ4392">
        <v>4</v>
      </c>
      <c r="AK4392">
        <v>1</v>
      </c>
      <c r="AL4392">
        <v>1</v>
      </c>
      <c r="AM4392">
        <v>99.48</v>
      </c>
      <c r="AN4392">
        <v>10.1698</v>
      </c>
      <c r="AO4392">
        <v>39.79</v>
      </c>
      <c r="AP4392" s="13">
        <v>45733</v>
      </c>
      <c r="AQ4392">
        <v>-3</v>
      </c>
      <c r="AR4392">
        <v>1</v>
      </c>
    </row>
    <row r="4393" spans="1:44" x14ac:dyDescent="0.35">
      <c r="A4393" s="12" t="s">
        <v>5346</v>
      </c>
      <c r="B4393" s="12" t="s">
        <v>173</v>
      </c>
      <c r="C4393" s="12" t="s">
        <v>174</v>
      </c>
      <c r="D4393" s="12" t="s">
        <v>175</v>
      </c>
      <c r="E4393" s="12" t="s">
        <v>104</v>
      </c>
      <c r="F4393">
        <v>3</v>
      </c>
      <c r="G4393">
        <v>1</v>
      </c>
      <c r="H4393">
        <v>0</v>
      </c>
      <c r="I4393" s="12" t="s">
        <v>176</v>
      </c>
      <c r="J4393" s="12" t="s">
        <v>177</v>
      </c>
      <c r="K4393" s="12" t="s">
        <v>125</v>
      </c>
      <c r="L4393" s="12" t="s">
        <v>134</v>
      </c>
      <c r="M4393">
        <v>1.75</v>
      </c>
      <c r="N4393" s="12" t="s">
        <v>107</v>
      </c>
      <c r="O4393" s="12" t="s">
        <v>108</v>
      </c>
      <c r="P4393" s="12" t="s">
        <v>109</v>
      </c>
      <c r="Q4393" s="13">
        <v>45702</v>
      </c>
      <c r="R4393" s="13">
        <v>45727</v>
      </c>
      <c r="S4393">
        <v>2025</v>
      </c>
      <c r="T4393" s="12" t="s">
        <v>5260</v>
      </c>
      <c r="U4393">
        <v>116</v>
      </c>
      <c r="V4393">
        <v>71.519599999999997</v>
      </c>
      <c r="W4393">
        <v>58.87</v>
      </c>
      <c r="X4393">
        <v>0</v>
      </c>
      <c r="Y4393">
        <v>0</v>
      </c>
      <c r="Z4393">
        <v>8296.27</v>
      </c>
      <c r="AA4393">
        <v>8355.14</v>
      </c>
      <c r="AB4393" s="12" t="s">
        <v>5221</v>
      </c>
      <c r="AC4393">
        <v>71.519599999999997</v>
      </c>
      <c r="AD4393">
        <v>1</v>
      </c>
      <c r="AE4393">
        <v>1</v>
      </c>
      <c r="AF4393">
        <v>0</v>
      </c>
      <c r="AG4393">
        <v>8296.27</v>
      </c>
      <c r="AH4393">
        <v>116</v>
      </c>
      <c r="AI4393">
        <v>114</v>
      </c>
      <c r="AJ4393">
        <v>2</v>
      </c>
      <c r="AK4393">
        <v>1</v>
      </c>
      <c r="AL4393">
        <v>1</v>
      </c>
      <c r="AM4393">
        <v>98.28</v>
      </c>
      <c r="AN4393">
        <v>73.290700000000001</v>
      </c>
      <c r="AO4393">
        <v>143.04</v>
      </c>
      <c r="AP4393" s="13">
        <v>45723</v>
      </c>
      <c r="AQ4393">
        <v>-4</v>
      </c>
      <c r="AR4393">
        <v>1</v>
      </c>
    </row>
    <row r="4394" spans="1:44" x14ac:dyDescent="0.35">
      <c r="A4394" s="12" t="s">
        <v>5347</v>
      </c>
      <c r="B4394" s="12" t="s">
        <v>128</v>
      </c>
      <c r="C4394" s="12" t="s">
        <v>129</v>
      </c>
      <c r="D4394" s="12" t="s">
        <v>130</v>
      </c>
      <c r="E4394" s="12" t="s">
        <v>65</v>
      </c>
      <c r="F4394">
        <v>3</v>
      </c>
      <c r="G4394">
        <v>5</v>
      </c>
      <c r="H4394">
        <v>0</v>
      </c>
      <c r="I4394" s="12" t="s">
        <v>131</v>
      </c>
      <c r="J4394" s="12" t="s">
        <v>132</v>
      </c>
      <c r="K4394" s="12" t="s">
        <v>133</v>
      </c>
      <c r="L4394" s="12" t="s">
        <v>134</v>
      </c>
      <c r="M4394">
        <v>1.51</v>
      </c>
      <c r="N4394" s="12" t="s">
        <v>135</v>
      </c>
      <c r="O4394" s="12" t="s">
        <v>136</v>
      </c>
      <c r="P4394" s="12" t="s">
        <v>137</v>
      </c>
      <c r="Q4394" s="13">
        <v>45702</v>
      </c>
      <c r="R4394" s="13">
        <v>45727</v>
      </c>
      <c r="S4394">
        <v>2025</v>
      </c>
      <c r="T4394" s="12" t="s">
        <v>5260</v>
      </c>
      <c r="U4394">
        <v>44</v>
      </c>
      <c r="V4394">
        <v>412.44110000000001</v>
      </c>
      <c r="W4394">
        <v>326.02</v>
      </c>
      <c r="X4394">
        <v>0</v>
      </c>
      <c r="Y4394">
        <v>0</v>
      </c>
      <c r="Z4394">
        <v>18147.41</v>
      </c>
      <c r="AA4394">
        <v>18473.43</v>
      </c>
      <c r="AB4394" s="12" t="s">
        <v>201</v>
      </c>
      <c r="AD4394">
        <v>0</v>
      </c>
      <c r="AE4394">
        <v>0</v>
      </c>
      <c r="AH4394">
        <v>44</v>
      </c>
      <c r="AI4394">
        <v>41</v>
      </c>
      <c r="AJ4394">
        <v>3</v>
      </c>
      <c r="AK4394">
        <v>1</v>
      </c>
      <c r="AL4394">
        <v>1</v>
      </c>
      <c r="AM4394">
        <v>93.18</v>
      </c>
      <c r="AN4394">
        <v>450.57139999999998</v>
      </c>
      <c r="AO4394">
        <v>1237.32</v>
      </c>
      <c r="AP4394" s="13">
        <v>45726</v>
      </c>
      <c r="AQ4394">
        <v>-1</v>
      </c>
      <c r="AR4394">
        <v>1</v>
      </c>
    </row>
    <row r="4395" spans="1:44" x14ac:dyDescent="0.35">
      <c r="A4395" s="12" t="s">
        <v>5348</v>
      </c>
      <c r="B4395" s="12" t="s">
        <v>490</v>
      </c>
      <c r="C4395" s="12" t="s">
        <v>491</v>
      </c>
      <c r="D4395" s="12" t="s">
        <v>130</v>
      </c>
      <c r="E4395" s="12" t="s">
        <v>104</v>
      </c>
      <c r="F4395">
        <v>3</v>
      </c>
      <c r="G4395">
        <v>1</v>
      </c>
      <c r="H4395">
        <v>0</v>
      </c>
      <c r="I4395" s="12" t="s">
        <v>176</v>
      </c>
      <c r="J4395" s="12" t="s">
        <v>177</v>
      </c>
      <c r="K4395" s="12" t="s">
        <v>125</v>
      </c>
      <c r="L4395" s="12" t="s">
        <v>134</v>
      </c>
      <c r="M4395">
        <v>1.75</v>
      </c>
      <c r="N4395" s="12" t="s">
        <v>135</v>
      </c>
      <c r="O4395" s="12" t="s">
        <v>136</v>
      </c>
      <c r="P4395" s="12" t="s">
        <v>137</v>
      </c>
      <c r="Q4395" s="13">
        <v>45702</v>
      </c>
      <c r="R4395" s="13">
        <v>45716</v>
      </c>
      <c r="S4395">
        <v>2025</v>
      </c>
      <c r="T4395" s="12" t="s">
        <v>5260</v>
      </c>
      <c r="U4395">
        <v>27</v>
      </c>
      <c r="V4395">
        <v>264.23239999999998</v>
      </c>
      <c r="W4395">
        <v>53.35</v>
      </c>
      <c r="X4395">
        <v>0</v>
      </c>
      <c r="Y4395">
        <v>0</v>
      </c>
      <c r="Z4395">
        <v>7134.27</v>
      </c>
      <c r="AA4395">
        <v>7187.62</v>
      </c>
      <c r="AB4395" s="12" t="s">
        <v>3122</v>
      </c>
      <c r="AC4395">
        <v>264.23239999999998</v>
      </c>
      <c r="AD4395">
        <v>1</v>
      </c>
      <c r="AE4395">
        <v>1</v>
      </c>
      <c r="AF4395">
        <v>0</v>
      </c>
      <c r="AG4395">
        <v>7134.27</v>
      </c>
      <c r="AH4395">
        <v>27</v>
      </c>
      <c r="AI4395">
        <v>27</v>
      </c>
      <c r="AJ4395">
        <v>0</v>
      </c>
      <c r="AK4395">
        <v>1</v>
      </c>
      <c r="AL4395">
        <v>1</v>
      </c>
      <c r="AM4395">
        <v>100</v>
      </c>
      <c r="AN4395">
        <v>266.20830000000001</v>
      </c>
      <c r="AO4395">
        <v>0</v>
      </c>
      <c r="AP4395" s="13">
        <v>45713</v>
      </c>
      <c r="AQ4395">
        <v>-3</v>
      </c>
      <c r="AR4395">
        <v>1</v>
      </c>
    </row>
    <row r="4396" spans="1:44" x14ac:dyDescent="0.35">
      <c r="A4396" s="12" t="s">
        <v>5349</v>
      </c>
      <c r="B4396" s="12" t="s">
        <v>302</v>
      </c>
      <c r="C4396" s="12" t="s">
        <v>303</v>
      </c>
      <c r="D4396" s="12" t="s">
        <v>78</v>
      </c>
      <c r="E4396" s="12" t="s">
        <v>65</v>
      </c>
      <c r="F4396">
        <v>2</v>
      </c>
      <c r="G4396">
        <v>3</v>
      </c>
      <c r="H4396">
        <v>0</v>
      </c>
      <c r="I4396" s="12" t="s">
        <v>243</v>
      </c>
      <c r="J4396" s="12" t="s">
        <v>244</v>
      </c>
      <c r="K4396" s="12" t="s">
        <v>81</v>
      </c>
      <c r="L4396" s="12" t="s">
        <v>82</v>
      </c>
      <c r="M4396">
        <v>9.2200000000000006</v>
      </c>
      <c r="N4396" s="12" t="s">
        <v>97</v>
      </c>
      <c r="O4396" s="12" t="s">
        <v>98</v>
      </c>
      <c r="P4396" s="12" t="s">
        <v>72</v>
      </c>
      <c r="Q4396" s="13">
        <v>45702</v>
      </c>
      <c r="R4396" s="13">
        <v>45736</v>
      </c>
      <c r="S4396">
        <v>2025</v>
      </c>
      <c r="T4396" s="12" t="s">
        <v>5260</v>
      </c>
      <c r="U4396">
        <v>230</v>
      </c>
      <c r="V4396">
        <v>136.7945</v>
      </c>
      <c r="W4396">
        <v>612.04999999999995</v>
      </c>
      <c r="X4396">
        <v>0</v>
      </c>
      <c r="Y4396">
        <v>0</v>
      </c>
      <c r="Z4396">
        <v>31462.74</v>
      </c>
      <c r="AA4396">
        <v>32074.79</v>
      </c>
      <c r="AB4396" s="12" t="s">
        <v>3633</v>
      </c>
      <c r="AC4396">
        <v>136.7945</v>
      </c>
      <c r="AD4396">
        <v>1</v>
      </c>
      <c r="AE4396">
        <v>1</v>
      </c>
      <c r="AF4396">
        <v>0</v>
      </c>
      <c r="AG4396">
        <v>31462.74</v>
      </c>
      <c r="AH4396">
        <v>230</v>
      </c>
      <c r="AI4396">
        <v>228</v>
      </c>
      <c r="AJ4396">
        <v>2</v>
      </c>
      <c r="AK4396">
        <v>1</v>
      </c>
      <c r="AL4396">
        <v>1</v>
      </c>
      <c r="AM4396">
        <v>99.13</v>
      </c>
      <c r="AN4396">
        <v>140.6789</v>
      </c>
      <c r="AO4396">
        <v>273.58999999999997</v>
      </c>
      <c r="AP4396" s="13">
        <v>45736</v>
      </c>
      <c r="AQ4396">
        <v>0</v>
      </c>
      <c r="AR4396">
        <v>1</v>
      </c>
    </row>
    <row r="4397" spans="1:44" x14ac:dyDescent="0.35">
      <c r="A4397" s="12" t="s">
        <v>5350</v>
      </c>
      <c r="B4397" s="12" t="s">
        <v>391</v>
      </c>
      <c r="C4397" s="12" t="s">
        <v>392</v>
      </c>
      <c r="D4397" s="12" t="s">
        <v>114</v>
      </c>
      <c r="E4397" s="12" t="s">
        <v>65</v>
      </c>
      <c r="F4397">
        <v>2</v>
      </c>
      <c r="G4397">
        <v>2</v>
      </c>
      <c r="H4397">
        <v>0</v>
      </c>
      <c r="I4397" s="12" t="s">
        <v>310</v>
      </c>
      <c r="J4397" s="12" t="s">
        <v>311</v>
      </c>
      <c r="K4397" s="12" t="s">
        <v>81</v>
      </c>
      <c r="L4397" s="12" t="s">
        <v>69</v>
      </c>
      <c r="M4397">
        <v>28.3</v>
      </c>
      <c r="N4397" s="12" t="s">
        <v>97</v>
      </c>
      <c r="O4397" s="12" t="s">
        <v>98</v>
      </c>
      <c r="P4397" s="12" t="s">
        <v>72</v>
      </c>
      <c r="Q4397" s="13">
        <v>45702</v>
      </c>
      <c r="R4397" s="13">
        <v>45726</v>
      </c>
      <c r="S4397">
        <v>2025</v>
      </c>
      <c r="T4397" s="12" t="s">
        <v>5260</v>
      </c>
      <c r="U4397">
        <v>33</v>
      </c>
      <c r="V4397">
        <v>220.328</v>
      </c>
      <c r="W4397">
        <v>170.38</v>
      </c>
      <c r="X4397">
        <v>0</v>
      </c>
      <c r="Y4397">
        <v>0</v>
      </c>
      <c r="Z4397">
        <v>7270.82</v>
      </c>
      <c r="AA4397">
        <v>7441.2</v>
      </c>
      <c r="AB4397" s="12" t="s">
        <v>2890</v>
      </c>
      <c r="AC4397">
        <v>220.328</v>
      </c>
      <c r="AD4397">
        <v>1</v>
      </c>
      <c r="AE4397">
        <v>1</v>
      </c>
      <c r="AF4397">
        <v>0</v>
      </c>
      <c r="AG4397">
        <v>7270.82</v>
      </c>
      <c r="AH4397">
        <v>33</v>
      </c>
      <c r="AI4397">
        <v>32</v>
      </c>
      <c r="AJ4397">
        <v>1</v>
      </c>
      <c r="AK4397">
        <v>1</v>
      </c>
      <c r="AL4397">
        <v>1</v>
      </c>
      <c r="AM4397">
        <v>96.97</v>
      </c>
      <c r="AN4397">
        <v>232.5376</v>
      </c>
      <c r="AO4397">
        <v>220.33</v>
      </c>
      <c r="AP4397" s="13">
        <v>45726</v>
      </c>
      <c r="AQ4397">
        <v>0</v>
      </c>
      <c r="AR4397">
        <v>1</v>
      </c>
    </row>
    <row r="4398" spans="1:44" x14ac:dyDescent="0.35">
      <c r="A4398" s="12" t="s">
        <v>5351</v>
      </c>
      <c r="B4398" s="12" t="s">
        <v>293</v>
      </c>
      <c r="C4398" s="12" t="s">
        <v>294</v>
      </c>
      <c r="D4398" s="12" t="s">
        <v>114</v>
      </c>
      <c r="E4398" s="12" t="s">
        <v>142</v>
      </c>
      <c r="F4398">
        <v>1</v>
      </c>
      <c r="G4398">
        <v>6</v>
      </c>
      <c r="H4398">
        <v>1</v>
      </c>
      <c r="I4398" s="12" t="s">
        <v>195</v>
      </c>
      <c r="J4398" s="12" t="s">
        <v>196</v>
      </c>
      <c r="K4398" s="12" t="s">
        <v>117</v>
      </c>
      <c r="L4398" s="12" t="s">
        <v>134</v>
      </c>
      <c r="M4398">
        <v>4.7699999999999996</v>
      </c>
      <c r="N4398" s="12" t="s">
        <v>97</v>
      </c>
      <c r="O4398" s="12" t="s">
        <v>98</v>
      </c>
      <c r="P4398" s="12" t="s">
        <v>72</v>
      </c>
      <c r="Q4398" s="13">
        <v>45702</v>
      </c>
      <c r="R4398" s="13">
        <v>45750</v>
      </c>
      <c r="S4398">
        <v>2025</v>
      </c>
      <c r="T4398" s="12" t="s">
        <v>5260</v>
      </c>
      <c r="U4398">
        <v>114</v>
      </c>
      <c r="V4398">
        <v>199.8203</v>
      </c>
      <c r="W4398">
        <v>141.76</v>
      </c>
      <c r="X4398">
        <v>0</v>
      </c>
      <c r="Y4398">
        <v>0</v>
      </c>
      <c r="Z4398">
        <v>22779.51</v>
      </c>
      <c r="AA4398">
        <v>22921.27</v>
      </c>
      <c r="AB4398" s="12" t="s">
        <v>5190</v>
      </c>
      <c r="AC4398">
        <v>199.8203</v>
      </c>
      <c r="AD4398">
        <v>1</v>
      </c>
      <c r="AE4398">
        <v>1</v>
      </c>
      <c r="AF4398">
        <v>0</v>
      </c>
      <c r="AG4398">
        <v>22779.51</v>
      </c>
      <c r="AH4398">
        <v>114</v>
      </c>
      <c r="AI4398">
        <v>111</v>
      </c>
      <c r="AJ4398">
        <v>3</v>
      </c>
      <c r="AK4398">
        <v>1</v>
      </c>
      <c r="AL4398">
        <v>1</v>
      </c>
      <c r="AM4398">
        <v>97.37</v>
      </c>
      <c r="AN4398">
        <v>206.49799999999999</v>
      </c>
      <c r="AO4398">
        <v>599.46</v>
      </c>
      <c r="AP4398" s="13">
        <v>45750</v>
      </c>
      <c r="AQ4398">
        <v>0</v>
      </c>
      <c r="AR4398">
        <v>1</v>
      </c>
    </row>
    <row r="4399" spans="1:44" x14ac:dyDescent="0.35">
      <c r="A4399" s="12" t="s">
        <v>5352</v>
      </c>
      <c r="B4399" s="12" t="s">
        <v>509</v>
      </c>
      <c r="C4399" s="12" t="s">
        <v>510</v>
      </c>
      <c r="D4399" s="12" t="s">
        <v>78</v>
      </c>
      <c r="E4399" s="12" t="s">
        <v>142</v>
      </c>
      <c r="F4399">
        <v>3</v>
      </c>
      <c r="G4399">
        <v>11</v>
      </c>
      <c r="H4399">
        <v>0</v>
      </c>
      <c r="I4399" s="12" t="s">
        <v>176</v>
      </c>
      <c r="J4399" s="12" t="s">
        <v>177</v>
      </c>
      <c r="K4399" s="12" t="s">
        <v>125</v>
      </c>
      <c r="L4399" s="12" t="s">
        <v>134</v>
      </c>
      <c r="M4399">
        <v>1.75</v>
      </c>
      <c r="N4399" s="12" t="s">
        <v>97</v>
      </c>
      <c r="O4399" s="12" t="s">
        <v>98</v>
      </c>
      <c r="P4399" s="12" t="s">
        <v>72</v>
      </c>
      <c r="Q4399" s="13">
        <v>45702</v>
      </c>
      <c r="R4399" s="13">
        <v>45740</v>
      </c>
      <c r="S4399">
        <v>2025</v>
      </c>
      <c r="T4399" s="12" t="s">
        <v>5260</v>
      </c>
      <c r="U4399">
        <v>85</v>
      </c>
      <c r="V4399">
        <v>145.4803</v>
      </c>
      <c r="W4399">
        <v>278.85000000000002</v>
      </c>
      <c r="X4399">
        <v>0</v>
      </c>
      <c r="Y4399">
        <v>0</v>
      </c>
      <c r="Z4399">
        <v>12365.83</v>
      </c>
      <c r="AA4399">
        <v>12644.68</v>
      </c>
      <c r="AB4399" s="12" t="s">
        <v>201</v>
      </c>
      <c r="AD4399">
        <v>0</v>
      </c>
      <c r="AE4399">
        <v>0</v>
      </c>
      <c r="AH4399">
        <v>85</v>
      </c>
      <c r="AI4399">
        <v>83</v>
      </c>
      <c r="AJ4399">
        <v>2</v>
      </c>
      <c r="AK4399">
        <v>1</v>
      </c>
      <c r="AL4399">
        <v>1</v>
      </c>
      <c r="AM4399">
        <v>97.65</v>
      </c>
      <c r="AN4399">
        <v>152.34549999999999</v>
      </c>
      <c r="AO4399">
        <v>290.95999999999998</v>
      </c>
      <c r="AP4399" s="13">
        <v>45740</v>
      </c>
      <c r="AQ4399">
        <v>0</v>
      </c>
      <c r="AR4399">
        <v>1</v>
      </c>
    </row>
    <row r="4400" spans="1:44" x14ac:dyDescent="0.35">
      <c r="A4400" s="12" t="s">
        <v>5353</v>
      </c>
      <c r="B4400" s="12" t="s">
        <v>437</v>
      </c>
      <c r="C4400" s="12" t="s">
        <v>438</v>
      </c>
      <c r="D4400" s="12" t="s">
        <v>269</v>
      </c>
      <c r="E4400" s="12" t="s">
        <v>65</v>
      </c>
      <c r="F4400">
        <v>2</v>
      </c>
      <c r="G4400">
        <v>4</v>
      </c>
      <c r="H4400">
        <v>0</v>
      </c>
      <c r="I4400" s="12" t="s">
        <v>183</v>
      </c>
      <c r="J4400" s="12" t="s">
        <v>184</v>
      </c>
      <c r="K4400" s="12" t="s">
        <v>133</v>
      </c>
      <c r="L4400" s="12" t="s">
        <v>82</v>
      </c>
      <c r="M4400">
        <v>8.6199999999999992</v>
      </c>
      <c r="N4400" s="12" t="s">
        <v>159</v>
      </c>
      <c r="O4400" s="12" t="s">
        <v>160</v>
      </c>
      <c r="P4400" s="12" t="s">
        <v>137</v>
      </c>
      <c r="Q4400" s="13">
        <v>45705</v>
      </c>
      <c r="R4400" s="13">
        <v>45736</v>
      </c>
      <c r="S4400">
        <v>2025</v>
      </c>
      <c r="T4400" s="12" t="s">
        <v>5260</v>
      </c>
      <c r="U4400">
        <v>94</v>
      </c>
      <c r="V4400">
        <v>391.95699999999999</v>
      </c>
      <c r="W4400">
        <v>694.47</v>
      </c>
      <c r="X4400">
        <v>0</v>
      </c>
      <c r="Y4400">
        <v>0</v>
      </c>
      <c r="Z4400">
        <v>36843.96</v>
      </c>
      <c r="AA4400">
        <v>37538.43</v>
      </c>
      <c r="AB4400" s="12" t="s">
        <v>5354</v>
      </c>
      <c r="AC4400">
        <v>391.95699999999999</v>
      </c>
      <c r="AD4400">
        <v>1</v>
      </c>
      <c r="AE4400">
        <v>1</v>
      </c>
      <c r="AF4400">
        <v>0</v>
      </c>
      <c r="AG4400">
        <v>36843.96</v>
      </c>
      <c r="AH4400">
        <v>94</v>
      </c>
      <c r="AI4400">
        <v>93</v>
      </c>
      <c r="AJ4400">
        <v>1</v>
      </c>
      <c r="AK4400">
        <v>1</v>
      </c>
      <c r="AL4400">
        <v>1</v>
      </c>
      <c r="AM4400">
        <v>98.94</v>
      </c>
      <c r="AN4400">
        <v>403.63900000000001</v>
      </c>
      <c r="AO4400">
        <v>391.96</v>
      </c>
      <c r="AP4400" s="13">
        <v>45733</v>
      </c>
      <c r="AQ4400">
        <v>-3</v>
      </c>
      <c r="AR4400">
        <v>1</v>
      </c>
    </row>
    <row r="4401" spans="1:44" x14ac:dyDescent="0.35">
      <c r="A4401" s="12" t="s">
        <v>5355</v>
      </c>
      <c r="B4401" s="12" t="s">
        <v>416</v>
      </c>
      <c r="C4401" s="12" t="s">
        <v>417</v>
      </c>
      <c r="D4401" s="12" t="s">
        <v>78</v>
      </c>
      <c r="E4401" s="12" t="s">
        <v>65</v>
      </c>
      <c r="F4401">
        <v>3</v>
      </c>
      <c r="G4401">
        <v>5</v>
      </c>
      <c r="H4401">
        <v>0</v>
      </c>
      <c r="I4401" s="12" t="s">
        <v>169</v>
      </c>
      <c r="J4401" s="12" t="s">
        <v>170</v>
      </c>
      <c r="K4401" s="12" t="s">
        <v>89</v>
      </c>
      <c r="L4401" s="12" t="s">
        <v>134</v>
      </c>
      <c r="M4401">
        <v>1.37</v>
      </c>
      <c r="N4401" s="12" t="s">
        <v>97</v>
      </c>
      <c r="O4401" s="12" t="s">
        <v>98</v>
      </c>
      <c r="P4401" s="12" t="s">
        <v>72</v>
      </c>
      <c r="Q4401" s="13">
        <v>45705</v>
      </c>
      <c r="R4401" s="13">
        <v>45728</v>
      </c>
      <c r="S4401">
        <v>2025</v>
      </c>
      <c r="T4401" s="12" t="s">
        <v>5260</v>
      </c>
      <c r="U4401">
        <v>70</v>
      </c>
      <c r="V4401">
        <v>136.4109</v>
      </c>
      <c r="W4401">
        <v>155.03</v>
      </c>
      <c r="X4401">
        <v>0</v>
      </c>
      <c r="Y4401">
        <v>0</v>
      </c>
      <c r="Z4401">
        <v>9548.76</v>
      </c>
      <c r="AA4401">
        <v>9703.7900000000009</v>
      </c>
      <c r="AB4401" s="12" t="s">
        <v>2980</v>
      </c>
      <c r="AC4401">
        <v>136.4109</v>
      </c>
      <c r="AD4401">
        <v>1</v>
      </c>
      <c r="AE4401">
        <v>1</v>
      </c>
      <c r="AF4401">
        <v>0</v>
      </c>
      <c r="AG4401">
        <v>9548.76</v>
      </c>
      <c r="AH4401">
        <v>70</v>
      </c>
      <c r="AI4401">
        <v>70</v>
      </c>
      <c r="AJ4401">
        <v>0</v>
      </c>
      <c r="AK4401">
        <v>1</v>
      </c>
      <c r="AL4401">
        <v>1</v>
      </c>
      <c r="AM4401">
        <v>100</v>
      </c>
      <c r="AN4401">
        <v>138.62559999999999</v>
      </c>
      <c r="AO4401">
        <v>0</v>
      </c>
      <c r="AP4401" s="13">
        <v>45731</v>
      </c>
      <c r="AQ4401">
        <v>3</v>
      </c>
      <c r="AR4401">
        <v>0</v>
      </c>
    </row>
    <row r="4402" spans="1:44" x14ac:dyDescent="0.35">
      <c r="A4402" s="12" t="s">
        <v>5356</v>
      </c>
      <c r="B4402" s="12" t="s">
        <v>308</v>
      </c>
      <c r="C4402" s="12" t="s">
        <v>309</v>
      </c>
      <c r="D4402" s="12" t="s">
        <v>122</v>
      </c>
      <c r="E4402" s="12" t="s">
        <v>142</v>
      </c>
      <c r="F4402">
        <v>1</v>
      </c>
      <c r="G4402">
        <v>6</v>
      </c>
      <c r="H4402">
        <v>1</v>
      </c>
      <c r="I4402" s="12" t="s">
        <v>310</v>
      </c>
      <c r="J4402" s="12" t="s">
        <v>311</v>
      </c>
      <c r="K4402" s="12" t="s">
        <v>81</v>
      </c>
      <c r="L4402" s="12" t="s">
        <v>69</v>
      </c>
      <c r="M4402">
        <v>28.3</v>
      </c>
      <c r="N4402" s="12" t="s">
        <v>97</v>
      </c>
      <c r="O4402" s="12" t="s">
        <v>98</v>
      </c>
      <c r="P4402" s="12" t="s">
        <v>72</v>
      </c>
      <c r="Q4402" s="13">
        <v>45705</v>
      </c>
      <c r="R4402" s="13">
        <v>45748</v>
      </c>
      <c r="S4402">
        <v>2025</v>
      </c>
      <c r="T4402" s="12" t="s">
        <v>5260</v>
      </c>
      <c r="U4402">
        <v>1092</v>
      </c>
      <c r="V4402">
        <v>58.775500000000001</v>
      </c>
      <c r="W4402">
        <v>1374.52</v>
      </c>
      <c r="X4402">
        <v>0</v>
      </c>
      <c r="Y4402">
        <v>0</v>
      </c>
      <c r="Z4402">
        <v>64182.85</v>
      </c>
      <c r="AA4402">
        <v>65557.37</v>
      </c>
      <c r="AB4402" s="12" t="s">
        <v>5357</v>
      </c>
      <c r="AC4402">
        <v>56.789000000000001</v>
      </c>
      <c r="AD4402">
        <v>1</v>
      </c>
      <c r="AE4402">
        <v>1</v>
      </c>
      <c r="AF4402">
        <v>2169.2600000000002</v>
      </c>
      <c r="AG4402">
        <v>62013.59</v>
      </c>
      <c r="AH4402">
        <v>1092</v>
      </c>
      <c r="AI4402">
        <v>1080</v>
      </c>
      <c r="AJ4402">
        <v>12</v>
      </c>
      <c r="AK4402">
        <v>1</v>
      </c>
      <c r="AL4402">
        <v>1</v>
      </c>
      <c r="AM4402">
        <v>98.9</v>
      </c>
      <c r="AN4402">
        <v>60.701300000000003</v>
      </c>
      <c r="AO4402">
        <v>705.31</v>
      </c>
      <c r="AP4402" s="13">
        <v>45748</v>
      </c>
      <c r="AQ4402">
        <v>0</v>
      </c>
      <c r="AR4402">
        <v>1</v>
      </c>
    </row>
    <row r="4403" spans="1:44" x14ac:dyDescent="0.35">
      <c r="A4403" s="12" t="s">
        <v>5358</v>
      </c>
      <c r="B4403" s="12" t="s">
        <v>827</v>
      </c>
      <c r="C4403" s="12" t="s">
        <v>828</v>
      </c>
      <c r="D4403" s="12" t="s">
        <v>175</v>
      </c>
      <c r="E4403" s="12" t="s">
        <v>104</v>
      </c>
      <c r="F4403">
        <v>2</v>
      </c>
      <c r="G4403">
        <v>0</v>
      </c>
      <c r="H4403">
        <v>0</v>
      </c>
      <c r="I4403" s="12" t="s">
        <v>310</v>
      </c>
      <c r="J4403" s="12" t="s">
        <v>311</v>
      </c>
      <c r="K4403" s="12" t="s">
        <v>81</v>
      </c>
      <c r="L4403" s="12" t="s">
        <v>69</v>
      </c>
      <c r="M4403">
        <v>28.3</v>
      </c>
      <c r="N4403" s="12" t="s">
        <v>145</v>
      </c>
      <c r="O4403" s="12" t="s">
        <v>146</v>
      </c>
      <c r="P4403" s="12" t="s">
        <v>109</v>
      </c>
      <c r="Q4403" s="13">
        <v>45705</v>
      </c>
      <c r="R4403" s="13">
        <v>45732</v>
      </c>
      <c r="S4403">
        <v>2025</v>
      </c>
      <c r="T4403" s="12" t="s">
        <v>5260</v>
      </c>
      <c r="U4403">
        <v>129</v>
      </c>
      <c r="V4403">
        <v>104.9198</v>
      </c>
      <c r="W4403">
        <v>151.57</v>
      </c>
      <c r="X4403">
        <v>0</v>
      </c>
      <c r="Y4403">
        <v>0</v>
      </c>
      <c r="Z4403">
        <v>13534.65</v>
      </c>
      <c r="AA4403">
        <v>13686.22</v>
      </c>
      <c r="AB4403" s="12" t="s">
        <v>4192</v>
      </c>
      <c r="AC4403">
        <v>104.9198</v>
      </c>
      <c r="AD4403">
        <v>1</v>
      </c>
      <c r="AE4403">
        <v>1</v>
      </c>
      <c r="AF4403">
        <v>0</v>
      </c>
      <c r="AG4403">
        <v>13534.65</v>
      </c>
      <c r="AH4403">
        <v>129</v>
      </c>
      <c r="AI4403">
        <v>127</v>
      </c>
      <c r="AJ4403">
        <v>2</v>
      </c>
      <c r="AK4403">
        <v>1</v>
      </c>
      <c r="AL4403">
        <v>1</v>
      </c>
      <c r="AM4403">
        <v>98.45</v>
      </c>
      <c r="AN4403">
        <v>107.7655</v>
      </c>
      <c r="AO4403">
        <v>209.84</v>
      </c>
      <c r="AP4403" s="13">
        <v>45732</v>
      </c>
      <c r="AQ4403">
        <v>0</v>
      </c>
      <c r="AR4403">
        <v>1</v>
      </c>
    </row>
    <row r="4404" spans="1:44" x14ac:dyDescent="0.35">
      <c r="A4404" s="12" t="s">
        <v>5359</v>
      </c>
      <c r="B4404" s="12" t="s">
        <v>92</v>
      </c>
      <c r="C4404" s="12" t="s">
        <v>93</v>
      </c>
      <c r="D4404" s="12" t="s">
        <v>64</v>
      </c>
      <c r="E4404" s="12" t="s">
        <v>65</v>
      </c>
      <c r="F4404">
        <v>3</v>
      </c>
      <c r="G4404">
        <v>5</v>
      </c>
      <c r="H4404">
        <v>0</v>
      </c>
      <c r="I4404" s="12" t="s">
        <v>94</v>
      </c>
      <c r="J4404" s="12" t="s">
        <v>95</v>
      </c>
      <c r="K4404" s="12" t="s">
        <v>81</v>
      </c>
      <c r="L4404" s="12" t="s">
        <v>96</v>
      </c>
      <c r="M4404">
        <v>4.8099999999999996</v>
      </c>
      <c r="N4404" s="12" t="s">
        <v>70</v>
      </c>
      <c r="O4404" s="12" t="s">
        <v>71</v>
      </c>
      <c r="P4404" s="12" t="s">
        <v>72</v>
      </c>
      <c r="Q4404" s="13">
        <v>45705</v>
      </c>
      <c r="R4404" s="13">
        <v>45730</v>
      </c>
      <c r="S4404">
        <v>2025</v>
      </c>
      <c r="T4404" s="12" t="s">
        <v>5260</v>
      </c>
      <c r="U4404">
        <v>338</v>
      </c>
      <c r="V4404">
        <v>23.1553</v>
      </c>
      <c r="W4404">
        <v>149.99</v>
      </c>
      <c r="X4404">
        <v>0</v>
      </c>
      <c r="Y4404">
        <v>0</v>
      </c>
      <c r="Z4404">
        <v>7826.49</v>
      </c>
      <c r="AA4404">
        <v>7976.48</v>
      </c>
      <c r="AB4404" s="12" t="s">
        <v>5110</v>
      </c>
      <c r="AC4404">
        <v>23.1553</v>
      </c>
      <c r="AD4404">
        <v>1</v>
      </c>
      <c r="AE4404">
        <v>1</v>
      </c>
      <c r="AF4404">
        <v>0</v>
      </c>
      <c r="AG4404">
        <v>7826.49</v>
      </c>
      <c r="AH4404">
        <v>338</v>
      </c>
      <c r="AI4404">
        <v>334</v>
      </c>
      <c r="AJ4404">
        <v>4</v>
      </c>
      <c r="AK4404">
        <v>1</v>
      </c>
      <c r="AL4404">
        <v>1</v>
      </c>
      <c r="AM4404">
        <v>98.82</v>
      </c>
      <c r="AN4404">
        <v>23.881699999999999</v>
      </c>
      <c r="AO4404">
        <v>92.62</v>
      </c>
      <c r="AP4404" s="13">
        <v>45730</v>
      </c>
      <c r="AQ4404">
        <v>0</v>
      </c>
      <c r="AR4404">
        <v>1</v>
      </c>
    </row>
    <row r="4405" spans="1:44" x14ac:dyDescent="0.35">
      <c r="A4405" s="12" t="s">
        <v>5360</v>
      </c>
      <c r="B4405" s="12" t="s">
        <v>869</v>
      </c>
      <c r="C4405" s="12" t="s">
        <v>870</v>
      </c>
      <c r="D4405" s="12" t="s">
        <v>130</v>
      </c>
      <c r="E4405" s="12" t="s">
        <v>104</v>
      </c>
      <c r="F4405">
        <v>2</v>
      </c>
      <c r="G4405">
        <v>0</v>
      </c>
      <c r="H4405">
        <v>0</v>
      </c>
      <c r="I4405" s="12" t="s">
        <v>515</v>
      </c>
      <c r="J4405" s="12" t="s">
        <v>516</v>
      </c>
      <c r="K4405" s="12" t="s">
        <v>68</v>
      </c>
      <c r="L4405" s="12" t="s">
        <v>134</v>
      </c>
      <c r="M4405">
        <v>3.69</v>
      </c>
      <c r="N4405" s="12" t="s">
        <v>159</v>
      </c>
      <c r="O4405" s="12" t="s">
        <v>160</v>
      </c>
      <c r="P4405" s="12" t="s">
        <v>137</v>
      </c>
      <c r="Q4405" s="13">
        <v>45705</v>
      </c>
      <c r="R4405" s="13">
        <v>45726</v>
      </c>
      <c r="S4405">
        <v>2025</v>
      </c>
      <c r="T4405" s="12" t="s">
        <v>5260</v>
      </c>
      <c r="U4405">
        <v>87</v>
      </c>
      <c r="V4405">
        <v>647.31259999999997</v>
      </c>
      <c r="W4405">
        <v>904.3</v>
      </c>
      <c r="X4405">
        <v>0</v>
      </c>
      <c r="Y4405">
        <v>0</v>
      </c>
      <c r="Z4405">
        <v>56316.2</v>
      </c>
      <c r="AA4405">
        <v>57220.5</v>
      </c>
      <c r="AB4405" s="12" t="s">
        <v>201</v>
      </c>
      <c r="AD4405">
        <v>0</v>
      </c>
      <c r="AE4405">
        <v>0</v>
      </c>
      <c r="AH4405">
        <v>87</v>
      </c>
      <c r="AI4405">
        <v>86</v>
      </c>
      <c r="AJ4405">
        <v>1</v>
      </c>
      <c r="AK4405">
        <v>1</v>
      </c>
      <c r="AL4405">
        <v>1</v>
      </c>
      <c r="AM4405">
        <v>98.85</v>
      </c>
      <c r="AN4405">
        <v>665.3546</v>
      </c>
      <c r="AO4405">
        <v>647.30999999999995</v>
      </c>
      <c r="AP4405" s="13">
        <v>45723</v>
      </c>
      <c r="AQ4405">
        <v>-3</v>
      </c>
      <c r="AR4405">
        <v>1</v>
      </c>
    </row>
    <row r="4406" spans="1:44" x14ac:dyDescent="0.35">
      <c r="A4406" s="12" t="s">
        <v>5361</v>
      </c>
      <c r="B4406" s="12" t="s">
        <v>1166</v>
      </c>
      <c r="C4406" s="12" t="s">
        <v>1167</v>
      </c>
      <c r="D4406" s="12" t="s">
        <v>175</v>
      </c>
      <c r="E4406" s="12" t="s">
        <v>65</v>
      </c>
      <c r="F4406">
        <v>3</v>
      </c>
      <c r="G4406">
        <v>5</v>
      </c>
      <c r="H4406">
        <v>0</v>
      </c>
      <c r="I4406" s="12" t="s">
        <v>143</v>
      </c>
      <c r="J4406" s="12" t="s">
        <v>144</v>
      </c>
      <c r="K4406" s="12" t="s">
        <v>133</v>
      </c>
      <c r="L4406" s="12" t="s">
        <v>96</v>
      </c>
      <c r="M4406">
        <v>5.43</v>
      </c>
      <c r="N4406" s="12" t="s">
        <v>145</v>
      </c>
      <c r="O4406" s="12" t="s">
        <v>146</v>
      </c>
      <c r="P4406" s="12" t="s">
        <v>109</v>
      </c>
      <c r="Q4406" s="13">
        <v>45705</v>
      </c>
      <c r="R4406" s="13">
        <v>45742</v>
      </c>
      <c r="S4406">
        <v>2025</v>
      </c>
      <c r="T4406" s="12" t="s">
        <v>5260</v>
      </c>
      <c r="U4406">
        <v>138</v>
      </c>
      <c r="V4406">
        <v>253.06379999999999</v>
      </c>
      <c r="W4406">
        <v>697.53</v>
      </c>
      <c r="X4406">
        <v>0</v>
      </c>
      <c r="Y4406">
        <v>0</v>
      </c>
      <c r="Z4406">
        <v>34922.800000000003</v>
      </c>
      <c r="AA4406">
        <v>35620.33</v>
      </c>
      <c r="AB4406" s="12" t="s">
        <v>201</v>
      </c>
      <c r="AD4406">
        <v>0</v>
      </c>
      <c r="AE4406">
        <v>0</v>
      </c>
      <c r="AH4406">
        <v>138</v>
      </c>
      <c r="AI4406">
        <v>136</v>
      </c>
      <c r="AJ4406">
        <v>2</v>
      </c>
      <c r="AK4406">
        <v>1</v>
      </c>
      <c r="AL4406">
        <v>1</v>
      </c>
      <c r="AM4406">
        <v>98.55</v>
      </c>
      <c r="AN4406">
        <v>261.91419999999999</v>
      </c>
      <c r="AO4406">
        <v>506.13</v>
      </c>
      <c r="AP4406" s="13">
        <v>45740</v>
      </c>
      <c r="AQ4406">
        <v>-2</v>
      </c>
      <c r="AR4406">
        <v>1</v>
      </c>
    </row>
    <row r="4407" spans="1:44" x14ac:dyDescent="0.35">
      <c r="A4407" s="12" t="s">
        <v>5362</v>
      </c>
      <c r="B4407" s="12" t="s">
        <v>787</v>
      </c>
      <c r="C4407" s="12" t="s">
        <v>788</v>
      </c>
      <c r="D4407" s="12" t="s">
        <v>269</v>
      </c>
      <c r="E4407" s="12" t="s">
        <v>65</v>
      </c>
      <c r="F4407">
        <v>2</v>
      </c>
      <c r="G4407">
        <v>3</v>
      </c>
      <c r="H4407">
        <v>0</v>
      </c>
      <c r="I4407" s="12" t="s">
        <v>143</v>
      </c>
      <c r="J4407" s="12" t="s">
        <v>144</v>
      </c>
      <c r="K4407" s="12" t="s">
        <v>133</v>
      </c>
      <c r="L4407" s="12" t="s">
        <v>96</v>
      </c>
      <c r="M4407">
        <v>5.43</v>
      </c>
      <c r="N4407" s="12" t="s">
        <v>135</v>
      </c>
      <c r="O4407" s="12" t="s">
        <v>136</v>
      </c>
      <c r="P4407" s="12" t="s">
        <v>137</v>
      </c>
      <c r="Q4407" s="13">
        <v>45705</v>
      </c>
      <c r="R4407" s="13">
        <v>45728</v>
      </c>
      <c r="S4407">
        <v>2025</v>
      </c>
      <c r="T4407" s="12" t="s">
        <v>5260</v>
      </c>
      <c r="U4407">
        <v>26</v>
      </c>
      <c r="V4407">
        <v>342.88099999999997</v>
      </c>
      <c r="W4407">
        <v>156.51</v>
      </c>
      <c r="X4407">
        <v>0</v>
      </c>
      <c r="Y4407">
        <v>0</v>
      </c>
      <c r="Z4407">
        <v>8914.91</v>
      </c>
      <c r="AA4407">
        <v>9071.42</v>
      </c>
      <c r="AB4407" s="12" t="s">
        <v>3813</v>
      </c>
      <c r="AC4407">
        <v>342.88099999999997</v>
      </c>
      <c r="AD4407">
        <v>1</v>
      </c>
      <c r="AE4407">
        <v>1</v>
      </c>
      <c r="AF4407">
        <v>0</v>
      </c>
      <c r="AG4407">
        <v>8914.91</v>
      </c>
      <c r="AH4407">
        <v>26</v>
      </c>
      <c r="AI4407">
        <v>26</v>
      </c>
      <c r="AJ4407">
        <v>0</v>
      </c>
      <c r="AK4407">
        <v>1</v>
      </c>
      <c r="AL4407">
        <v>1</v>
      </c>
      <c r="AM4407">
        <v>100</v>
      </c>
      <c r="AN4407">
        <v>348.9006</v>
      </c>
      <c r="AO4407">
        <v>0</v>
      </c>
      <c r="AP4407" s="13">
        <v>45725</v>
      </c>
      <c r="AQ4407">
        <v>-3</v>
      </c>
      <c r="AR4407">
        <v>1</v>
      </c>
    </row>
    <row r="4408" spans="1:44" x14ac:dyDescent="0.35">
      <c r="A4408" s="12" t="s">
        <v>5363</v>
      </c>
      <c r="B4408" s="12" t="s">
        <v>712</v>
      </c>
      <c r="C4408" s="12" t="s">
        <v>713</v>
      </c>
      <c r="D4408" s="12" t="s">
        <v>103</v>
      </c>
      <c r="E4408" s="12" t="s">
        <v>104</v>
      </c>
      <c r="F4408">
        <v>2</v>
      </c>
      <c r="G4408">
        <v>0</v>
      </c>
      <c r="H4408">
        <v>0</v>
      </c>
      <c r="I4408" s="12" t="s">
        <v>199</v>
      </c>
      <c r="J4408" s="12" t="s">
        <v>200</v>
      </c>
      <c r="K4408" s="12" t="s">
        <v>68</v>
      </c>
      <c r="L4408" s="12" t="s">
        <v>96</v>
      </c>
      <c r="M4408">
        <v>9.4700000000000006</v>
      </c>
      <c r="N4408" s="12" t="s">
        <v>107</v>
      </c>
      <c r="O4408" s="12" t="s">
        <v>108</v>
      </c>
      <c r="P4408" s="12" t="s">
        <v>109</v>
      </c>
      <c r="Q4408" s="13">
        <v>45705</v>
      </c>
      <c r="R4408" s="13">
        <v>45726</v>
      </c>
      <c r="S4408">
        <v>2025</v>
      </c>
      <c r="T4408" s="12" t="s">
        <v>5260</v>
      </c>
      <c r="U4408">
        <v>85</v>
      </c>
      <c r="V4408">
        <v>230.2886</v>
      </c>
      <c r="W4408">
        <v>196.38</v>
      </c>
      <c r="X4408">
        <v>624.46</v>
      </c>
      <c r="Y4408">
        <v>1</v>
      </c>
      <c r="Z4408">
        <v>19574.53</v>
      </c>
      <c r="AA4408">
        <v>20395.37</v>
      </c>
      <c r="AB4408" s="12" t="s">
        <v>201</v>
      </c>
      <c r="AD4408">
        <v>0</v>
      </c>
      <c r="AE4408">
        <v>0</v>
      </c>
      <c r="AH4408">
        <v>85</v>
      </c>
      <c r="AI4408">
        <v>85</v>
      </c>
      <c r="AJ4408">
        <v>0</v>
      </c>
      <c r="AK4408">
        <v>1</v>
      </c>
      <c r="AL4408">
        <v>1</v>
      </c>
      <c r="AM4408">
        <v>100</v>
      </c>
      <c r="AN4408">
        <v>239.94550000000001</v>
      </c>
      <c r="AO4408">
        <v>0</v>
      </c>
      <c r="AP4408" s="13">
        <v>45730</v>
      </c>
      <c r="AQ4408">
        <v>4</v>
      </c>
      <c r="AR4408">
        <v>0</v>
      </c>
    </row>
    <row r="4409" spans="1:44" x14ac:dyDescent="0.35">
      <c r="A4409" s="12" t="s">
        <v>5364</v>
      </c>
      <c r="B4409" s="12" t="s">
        <v>1034</v>
      </c>
      <c r="C4409" s="12" t="s">
        <v>1035</v>
      </c>
      <c r="D4409" s="12" t="s">
        <v>64</v>
      </c>
      <c r="E4409" s="12" t="s">
        <v>104</v>
      </c>
      <c r="F4409">
        <v>2</v>
      </c>
      <c r="G4409">
        <v>0</v>
      </c>
      <c r="H4409">
        <v>0</v>
      </c>
      <c r="I4409" s="12" t="s">
        <v>157</v>
      </c>
      <c r="J4409" s="12" t="s">
        <v>158</v>
      </c>
      <c r="K4409" s="12" t="s">
        <v>117</v>
      </c>
      <c r="L4409" s="12" t="s">
        <v>96</v>
      </c>
      <c r="M4409">
        <v>4.72</v>
      </c>
      <c r="N4409" s="12" t="s">
        <v>70</v>
      </c>
      <c r="O4409" s="12" t="s">
        <v>71</v>
      </c>
      <c r="P4409" s="12" t="s">
        <v>72</v>
      </c>
      <c r="Q4409" s="13">
        <v>45706</v>
      </c>
      <c r="R4409" s="13">
        <v>45724</v>
      </c>
      <c r="S4409">
        <v>2025</v>
      </c>
      <c r="T4409" s="12" t="s">
        <v>5260</v>
      </c>
      <c r="U4409">
        <v>400</v>
      </c>
      <c r="V4409">
        <v>9.2698</v>
      </c>
      <c r="W4409">
        <v>26.05</v>
      </c>
      <c r="X4409">
        <v>0</v>
      </c>
      <c r="Y4409">
        <v>0</v>
      </c>
      <c r="Z4409">
        <v>3707.92</v>
      </c>
      <c r="AA4409">
        <v>3733.97</v>
      </c>
      <c r="AB4409" s="12" t="s">
        <v>3309</v>
      </c>
      <c r="AC4409">
        <v>9.2698</v>
      </c>
      <c r="AD4409">
        <v>1</v>
      </c>
      <c r="AE4409">
        <v>1</v>
      </c>
      <c r="AF4409">
        <v>0</v>
      </c>
      <c r="AG4409">
        <v>3707.92</v>
      </c>
      <c r="AH4409">
        <v>400</v>
      </c>
      <c r="AI4409">
        <v>397</v>
      </c>
      <c r="AJ4409">
        <v>3</v>
      </c>
      <c r="AK4409">
        <v>1</v>
      </c>
      <c r="AL4409">
        <v>1</v>
      </c>
      <c r="AM4409">
        <v>99.25</v>
      </c>
      <c r="AN4409">
        <v>9.4055</v>
      </c>
      <c r="AO4409">
        <v>27.81</v>
      </c>
      <c r="AP4409" s="13">
        <v>45722</v>
      </c>
      <c r="AQ4409">
        <v>-2</v>
      </c>
      <c r="AR4409">
        <v>1</v>
      </c>
    </row>
    <row r="4410" spans="1:44" x14ac:dyDescent="0.35">
      <c r="A4410" s="12" t="s">
        <v>5365</v>
      </c>
      <c r="B4410" s="12" t="s">
        <v>646</v>
      </c>
      <c r="C4410" s="12" t="s">
        <v>647</v>
      </c>
      <c r="D4410" s="12" t="s">
        <v>175</v>
      </c>
      <c r="E4410" s="12" t="s">
        <v>104</v>
      </c>
      <c r="F4410">
        <v>3</v>
      </c>
      <c r="G4410">
        <v>1</v>
      </c>
      <c r="H4410">
        <v>0</v>
      </c>
      <c r="I4410" s="12" t="s">
        <v>243</v>
      </c>
      <c r="J4410" s="12" t="s">
        <v>244</v>
      </c>
      <c r="K4410" s="12" t="s">
        <v>81</v>
      </c>
      <c r="L4410" s="12" t="s">
        <v>82</v>
      </c>
      <c r="M4410">
        <v>9.2200000000000006</v>
      </c>
      <c r="N4410" s="12" t="s">
        <v>145</v>
      </c>
      <c r="O4410" s="12" t="s">
        <v>146</v>
      </c>
      <c r="P4410" s="12" t="s">
        <v>109</v>
      </c>
      <c r="Q4410" s="13">
        <v>45706</v>
      </c>
      <c r="R4410" s="13">
        <v>45726</v>
      </c>
      <c r="S4410">
        <v>2025</v>
      </c>
      <c r="T4410" s="12" t="s">
        <v>5260</v>
      </c>
      <c r="U4410">
        <v>76</v>
      </c>
      <c r="V4410">
        <v>210.98349999999999</v>
      </c>
      <c r="W4410">
        <v>324.74</v>
      </c>
      <c r="X4410">
        <v>0</v>
      </c>
      <c r="Y4410">
        <v>0</v>
      </c>
      <c r="Z4410">
        <v>16034.75</v>
      </c>
      <c r="AA4410">
        <v>16359.49</v>
      </c>
      <c r="AB4410" s="12" t="s">
        <v>3566</v>
      </c>
      <c r="AC4410">
        <v>210.98349999999999</v>
      </c>
      <c r="AD4410">
        <v>1</v>
      </c>
      <c r="AE4410">
        <v>1</v>
      </c>
      <c r="AF4410">
        <v>0</v>
      </c>
      <c r="AG4410">
        <v>16034.75</v>
      </c>
      <c r="AH4410">
        <v>76</v>
      </c>
      <c r="AI4410">
        <v>75</v>
      </c>
      <c r="AJ4410">
        <v>1</v>
      </c>
      <c r="AK4410">
        <v>1</v>
      </c>
      <c r="AL4410">
        <v>1</v>
      </c>
      <c r="AM4410">
        <v>98.68</v>
      </c>
      <c r="AN4410">
        <v>218.12649999999999</v>
      </c>
      <c r="AO4410">
        <v>210.98</v>
      </c>
      <c r="AP4410" s="13">
        <v>45726</v>
      </c>
      <c r="AQ4410">
        <v>0</v>
      </c>
      <c r="AR4410">
        <v>1</v>
      </c>
    </row>
    <row r="4411" spans="1:44" x14ac:dyDescent="0.35">
      <c r="A4411" s="12" t="s">
        <v>5366</v>
      </c>
      <c r="B4411" s="12" t="s">
        <v>685</v>
      </c>
      <c r="C4411" s="12" t="s">
        <v>686</v>
      </c>
      <c r="D4411" s="12" t="s">
        <v>175</v>
      </c>
      <c r="E4411" s="12" t="s">
        <v>104</v>
      </c>
      <c r="F4411">
        <v>2</v>
      </c>
      <c r="G4411">
        <v>0</v>
      </c>
      <c r="H4411">
        <v>0</v>
      </c>
      <c r="I4411" s="12" t="s">
        <v>243</v>
      </c>
      <c r="J4411" s="12" t="s">
        <v>244</v>
      </c>
      <c r="K4411" s="12" t="s">
        <v>81</v>
      </c>
      <c r="L4411" s="12" t="s">
        <v>82</v>
      </c>
      <c r="M4411">
        <v>9.2200000000000006</v>
      </c>
      <c r="N4411" s="12" t="s">
        <v>107</v>
      </c>
      <c r="O4411" s="12" t="s">
        <v>108</v>
      </c>
      <c r="P4411" s="12" t="s">
        <v>109</v>
      </c>
      <c r="Q4411" s="13">
        <v>45706</v>
      </c>
      <c r="R4411" s="13">
        <v>45732</v>
      </c>
      <c r="S4411">
        <v>2025</v>
      </c>
      <c r="T4411" s="12" t="s">
        <v>5260</v>
      </c>
      <c r="U4411">
        <v>122</v>
      </c>
      <c r="V4411">
        <v>235.27709999999999</v>
      </c>
      <c r="W4411">
        <v>567.17999999999995</v>
      </c>
      <c r="X4411">
        <v>0</v>
      </c>
      <c r="Y4411">
        <v>0</v>
      </c>
      <c r="Z4411">
        <v>28703.81</v>
      </c>
      <c r="AA4411">
        <v>29270.99</v>
      </c>
      <c r="AB4411" s="12" t="s">
        <v>201</v>
      </c>
      <c r="AD4411">
        <v>0</v>
      </c>
      <c r="AE4411">
        <v>0</v>
      </c>
      <c r="AH4411">
        <v>122</v>
      </c>
      <c r="AI4411">
        <v>121</v>
      </c>
      <c r="AJ4411">
        <v>1</v>
      </c>
      <c r="AK4411">
        <v>1</v>
      </c>
      <c r="AL4411">
        <v>1</v>
      </c>
      <c r="AM4411">
        <v>99.18</v>
      </c>
      <c r="AN4411">
        <v>241.90899999999999</v>
      </c>
      <c r="AO4411">
        <v>235.28</v>
      </c>
      <c r="AP4411" s="13">
        <v>45732</v>
      </c>
      <c r="AQ4411">
        <v>0</v>
      </c>
      <c r="AR4411">
        <v>1</v>
      </c>
    </row>
    <row r="4412" spans="1:44" x14ac:dyDescent="0.35">
      <c r="A4412" s="12" t="s">
        <v>5367</v>
      </c>
      <c r="B4412" s="12" t="s">
        <v>477</v>
      </c>
      <c r="C4412" s="12" t="s">
        <v>478</v>
      </c>
      <c r="D4412" s="12" t="s">
        <v>130</v>
      </c>
      <c r="E4412" s="12" t="s">
        <v>104</v>
      </c>
      <c r="F4412">
        <v>3</v>
      </c>
      <c r="G4412">
        <v>1</v>
      </c>
      <c r="H4412">
        <v>0</v>
      </c>
      <c r="I4412" s="12" t="s">
        <v>380</v>
      </c>
      <c r="J4412" s="12" t="s">
        <v>381</v>
      </c>
      <c r="K4412" s="12" t="s">
        <v>89</v>
      </c>
      <c r="L4412" s="12" t="s">
        <v>96</v>
      </c>
      <c r="M4412">
        <v>10.210000000000001</v>
      </c>
      <c r="N4412" s="12" t="s">
        <v>135</v>
      </c>
      <c r="O4412" s="12" t="s">
        <v>136</v>
      </c>
      <c r="P4412" s="12" t="s">
        <v>137</v>
      </c>
      <c r="Q4412" s="13">
        <v>45706</v>
      </c>
      <c r="R4412" s="13">
        <v>45732</v>
      </c>
      <c r="S4412">
        <v>2025</v>
      </c>
      <c r="T4412" s="12" t="s">
        <v>5260</v>
      </c>
      <c r="U4412">
        <v>125</v>
      </c>
      <c r="V4412">
        <v>714.96169999999995</v>
      </c>
      <c r="W4412">
        <v>1775.99</v>
      </c>
      <c r="X4412">
        <v>0</v>
      </c>
      <c r="Y4412">
        <v>0</v>
      </c>
      <c r="Z4412">
        <v>89370.21</v>
      </c>
      <c r="AA4412">
        <v>91146.2</v>
      </c>
      <c r="AB4412" s="12" t="s">
        <v>3380</v>
      </c>
      <c r="AC4412">
        <v>714.96169999999995</v>
      </c>
      <c r="AD4412">
        <v>1</v>
      </c>
      <c r="AE4412">
        <v>1</v>
      </c>
      <c r="AF4412">
        <v>0</v>
      </c>
      <c r="AG4412">
        <v>89370.21</v>
      </c>
      <c r="AH4412">
        <v>125</v>
      </c>
      <c r="AI4412">
        <v>124</v>
      </c>
      <c r="AJ4412">
        <v>1</v>
      </c>
      <c r="AK4412">
        <v>1</v>
      </c>
      <c r="AL4412">
        <v>1</v>
      </c>
      <c r="AM4412">
        <v>99.2</v>
      </c>
      <c r="AN4412">
        <v>735.05</v>
      </c>
      <c r="AO4412">
        <v>714.96</v>
      </c>
      <c r="AP4412" s="13">
        <v>45729</v>
      </c>
      <c r="AQ4412">
        <v>-3</v>
      </c>
      <c r="AR4412">
        <v>1</v>
      </c>
    </row>
    <row r="4413" spans="1:44" x14ac:dyDescent="0.35">
      <c r="A4413" s="12" t="s">
        <v>5368</v>
      </c>
      <c r="B4413" s="12" t="s">
        <v>357</v>
      </c>
      <c r="C4413" s="12" t="s">
        <v>358</v>
      </c>
      <c r="D4413" s="12" t="s">
        <v>103</v>
      </c>
      <c r="E4413" s="12" t="s">
        <v>104</v>
      </c>
      <c r="F4413">
        <v>3</v>
      </c>
      <c r="G4413">
        <v>1</v>
      </c>
      <c r="H4413">
        <v>0</v>
      </c>
      <c r="I4413" s="12" t="s">
        <v>105</v>
      </c>
      <c r="J4413" s="12" t="s">
        <v>106</v>
      </c>
      <c r="K4413" s="12" t="s">
        <v>81</v>
      </c>
      <c r="L4413" s="12" t="s">
        <v>96</v>
      </c>
      <c r="M4413">
        <v>5.01</v>
      </c>
      <c r="N4413" s="12" t="s">
        <v>107</v>
      </c>
      <c r="O4413" s="12" t="s">
        <v>108</v>
      </c>
      <c r="P4413" s="12" t="s">
        <v>109</v>
      </c>
      <c r="Q4413" s="13">
        <v>45706</v>
      </c>
      <c r="R4413" s="13">
        <v>45727</v>
      </c>
      <c r="S4413">
        <v>2025</v>
      </c>
      <c r="T4413" s="12" t="s">
        <v>5260</v>
      </c>
      <c r="U4413">
        <v>85</v>
      </c>
      <c r="V4413">
        <v>106.63800000000001</v>
      </c>
      <c r="W4413">
        <v>75.56</v>
      </c>
      <c r="X4413">
        <v>0</v>
      </c>
      <c r="Y4413">
        <v>0</v>
      </c>
      <c r="Z4413">
        <v>9064.23</v>
      </c>
      <c r="AA4413">
        <v>9139.7900000000009</v>
      </c>
      <c r="AB4413" s="12" t="s">
        <v>5265</v>
      </c>
      <c r="AC4413">
        <v>106.63800000000001</v>
      </c>
      <c r="AD4413">
        <v>1</v>
      </c>
      <c r="AE4413">
        <v>1</v>
      </c>
      <c r="AF4413">
        <v>0</v>
      </c>
      <c r="AG4413">
        <v>9064.23</v>
      </c>
      <c r="AH4413">
        <v>85</v>
      </c>
      <c r="AI4413">
        <v>85</v>
      </c>
      <c r="AJ4413">
        <v>0</v>
      </c>
      <c r="AK4413">
        <v>1</v>
      </c>
      <c r="AL4413">
        <v>1</v>
      </c>
      <c r="AM4413">
        <v>100</v>
      </c>
      <c r="AN4413">
        <v>107.5269</v>
      </c>
      <c r="AO4413">
        <v>0</v>
      </c>
      <c r="AP4413" s="13">
        <v>45726</v>
      </c>
      <c r="AQ4413">
        <v>-1</v>
      </c>
      <c r="AR4413">
        <v>1</v>
      </c>
    </row>
    <row r="4414" spans="1:44" x14ac:dyDescent="0.35">
      <c r="A4414" s="12" t="s">
        <v>5369</v>
      </c>
      <c r="B4414" s="12" t="s">
        <v>732</v>
      </c>
      <c r="C4414" s="12" t="s">
        <v>733</v>
      </c>
      <c r="D4414" s="12" t="s">
        <v>114</v>
      </c>
      <c r="E4414" s="12" t="s">
        <v>104</v>
      </c>
      <c r="F4414">
        <v>3</v>
      </c>
      <c r="G4414">
        <v>1</v>
      </c>
      <c r="H4414">
        <v>0</v>
      </c>
      <c r="I4414" s="12" t="s">
        <v>199</v>
      </c>
      <c r="J4414" s="12" t="s">
        <v>200</v>
      </c>
      <c r="K4414" s="12" t="s">
        <v>68</v>
      </c>
      <c r="L4414" s="12" t="s">
        <v>96</v>
      </c>
      <c r="M4414">
        <v>9.4700000000000006</v>
      </c>
      <c r="N4414" s="12" t="s">
        <v>70</v>
      </c>
      <c r="O4414" s="12" t="s">
        <v>71</v>
      </c>
      <c r="P4414" s="12" t="s">
        <v>72</v>
      </c>
      <c r="Q4414" s="13">
        <v>45706</v>
      </c>
      <c r="R4414" s="13">
        <v>45722</v>
      </c>
      <c r="S4414">
        <v>2025</v>
      </c>
      <c r="T4414" s="12" t="s">
        <v>5260</v>
      </c>
      <c r="U4414">
        <v>46</v>
      </c>
      <c r="V4414">
        <v>304.28100000000001</v>
      </c>
      <c r="W4414">
        <v>353.84</v>
      </c>
      <c r="X4414">
        <v>0</v>
      </c>
      <c r="Y4414">
        <v>0</v>
      </c>
      <c r="Z4414">
        <v>13996.93</v>
      </c>
      <c r="AA4414">
        <v>14350.77</v>
      </c>
      <c r="AB4414" s="12" t="s">
        <v>3295</v>
      </c>
      <c r="AC4414">
        <v>304.28100000000001</v>
      </c>
      <c r="AD4414">
        <v>1</v>
      </c>
      <c r="AE4414">
        <v>1</v>
      </c>
      <c r="AF4414">
        <v>0</v>
      </c>
      <c r="AG4414">
        <v>13996.93</v>
      </c>
      <c r="AH4414">
        <v>46</v>
      </c>
      <c r="AI4414">
        <v>46</v>
      </c>
      <c r="AJ4414">
        <v>0</v>
      </c>
      <c r="AK4414">
        <v>1</v>
      </c>
      <c r="AL4414">
        <v>1</v>
      </c>
      <c r="AM4414">
        <v>100</v>
      </c>
      <c r="AN4414">
        <v>311.97320000000002</v>
      </c>
      <c r="AO4414">
        <v>0</v>
      </c>
      <c r="AP4414" s="13">
        <v>45722</v>
      </c>
      <c r="AQ4414">
        <v>0</v>
      </c>
      <c r="AR4414">
        <v>1</v>
      </c>
    </row>
    <row r="4415" spans="1:44" x14ac:dyDescent="0.35">
      <c r="A4415" s="12" t="s">
        <v>5370</v>
      </c>
      <c r="B4415" s="12" t="s">
        <v>92</v>
      </c>
      <c r="C4415" s="12" t="s">
        <v>93</v>
      </c>
      <c r="D4415" s="12" t="s">
        <v>64</v>
      </c>
      <c r="E4415" s="12" t="s">
        <v>65</v>
      </c>
      <c r="F4415">
        <v>3</v>
      </c>
      <c r="G4415">
        <v>5</v>
      </c>
      <c r="H4415">
        <v>0</v>
      </c>
      <c r="I4415" s="12" t="s">
        <v>176</v>
      </c>
      <c r="J4415" s="12" t="s">
        <v>177</v>
      </c>
      <c r="K4415" s="12" t="s">
        <v>125</v>
      </c>
      <c r="L4415" s="12" t="s">
        <v>134</v>
      </c>
      <c r="M4415">
        <v>1.75</v>
      </c>
      <c r="N4415" s="12" t="s">
        <v>97</v>
      </c>
      <c r="O4415" s="12" t="s">
        <v>98</v>
      </c>
      <c r="P4415" s="12" t="s">
        <v>72</v>
      </c>
      <c r="Q4415" s="13">
        <v>45706</v>
      </c>
      <c r="R4415" s="13">
        <v>45742</v>
      </c>
      <c r="S4415">
        <v>2025</v>
      </c>
      <c r="T4415" s="12" t="s">
        <v>5260</v>
      </c>
      <c r="U4415">
        <v>882</v>
      </c>
      <c r="V4415">
        <v>24.134</v>
      </c>
      <c r="W4415">
        <v>177.4</v>
      </c>
      <c r="X4415">
        <v>0</v>
      </c>
      <c r="Y4415">
        <v>0</v>
      </c>
      <c r="Z4415">
        <v>21286.19</v>
      </c>
      <c r="AA4415">
        <v>21463.59</v>
      </c>
      <c r="AB4415" s="12" t="s">
        <v>201</v>
      </c>
      <c r="AD4415">
        <v>0</v>
      </c>
      <c r="AE4415">
        <v>0</v>
      </c>
      <c r="AH4415">
        <v>882</v>
      </c>
      <c r="AI4415">
        <v>870</v>
      </c>
      <c r="AJ4415">
        <v>12</v>
      </c>
      <c r="AK4415">
        <v>1</v>
      </c>
      <c r="AL4415">
        <v>1</v>
      </c>
      <c r="AM4415">
        <v>98.64</v>
      </c>
      <c r="AN4415">
        <v>24.6708</v>
      </c>
      <c r="AO4415">
        <v>289.61</v>
      </c>
      <c r="AP4415" s="13">
        <v>45742</v>
      </c>
      <c r="AQ4415">
        <v>0</v>
      </c>
      <c r="AR4415">
        <v>1</v>
      </c>
    </row>
    <row r="4416" spans="1:44" x14ac:dyDescent="0.35">
      <c r="A4416" s="12" t="s">
        <v>5371</v>
      </c>
      <c r="B4416" s="12" t="s">
        <v>855</v>
      </c>
      <c r="C4416" s="12" t="s">
        <v>856</v>
      </c>
      <c r="D4416" s="12" t="s">
        <v>269</v>
      </c>
      <c r="E4416" s="12" t="s">
        <v>65</v>
      </c>
      <c r="F4416">
        <v>3</v>
      </c>
      <c r="G4416">
        <v>5</v>
      </c>
      <c r="H4416">
        <v>0</v>
      </c>
      <c r="I4416" s="12" t="s">
        <v>94</v>
      </c>
      <c r="J4416" s="12" t="s">
        <v>95</v>
      </c>
      <c r="K4416" s="12" t="s">
        <v>81</v>
      </c>
      <c r="L4416" s="12" t="s">
        <v>96</v>
      </c>
      <c r="M4416">
        <v>4.8099999999999996</v>
      </c>
      <c r="N4416" s="12" t="s">
        <v>135</v>
      </c>
      <c r="O4416" s="12" t="s">
        <v>136</v>
      </c>
      <c r="P4416" s="12" t="s">
        <v>137</v>
      </c>
      <c r="Q4416" s="13">
        <v>45706</v>
      </c>
      <c r="R4416" s="13">
        <v>45738</v>
      </c>
      <c r="S4416">
        <v>2025</v>
      </c>
      <c r="T4416" s="12" t="s">
        <v>5260</v>
      </c>
      <c r="U4416">
        <v>97</v>
      </c>
      <c r="V4416">
        <v>479.86860000000001</v>
      </c>
      <c r="W4416">
        <v>1180.29</v>
      </c>
      <c r="X4416">
        <v>0</v>
      </c>
      <c r="Y4416">
        <v>0</v>
      </c>
      <c r="Z4416">
        <v>46547.25</v>
      </c>
      <c r="AA4416">
        <v>47727.54</v>
      </c>
      <c r="AB4416" s="12" t="s">
        <v>3699</v>
      </c>
      <c r="AC4416">
        <v>479.86860000000001</v>
      </c>
      <c r="AD4416">
        <v>1</v>
      </c>
      <c r="AE4416">
        <v>1</v>
      </c>
      <c r="AF4416">
        <v>0</v>
      </c>
      <c r="AG4416">
        <v>46547.25</v>
      </c>
      <c r="AH4416">
        <v>97</v>
      </c>
      <c r="AI4416">
        <v>97</v>
      </c>
      <c r="AJ4416">
        <v>0</v>
      </c>
      <c r="AK4416">
        <v>1</v>
      </c>
      <c r="AL4416">
        <v>1</v>
      </c>
      <c r="AM4416">
        <v>100</v>
      </c>
      <c r="AN4416">
        <v>492.03649999999999</v>
      </c>
      <c r="AO4416">
        <v>0</v>
      </c>
      <c r="AP4416" s="13">
        <v>45740</v>
      </c>
      <c r="AQ4416">
        <v>2</v>
      </c>
      <c r="AR4416">
        <v>0</v>
      </c>
    </row>
    <row r="4417" spans="1:44" x14ac:dyDescent="0.35">
      <c r="A4417" s="12" t="s">
        <v>5372</v>
      </c>
      <c r="B4417" s="12" t="s">
        <v>602</v>
      </c>
      <c r="C4417" s="12" t="s">
        <v>603</v>
      </c>
      <c r="D4417" s="12" t="s">
        <v>114</v>
      </c>
      <c r="E4417" s="12" t="s">
        <v>142</v>
      </c>
      <c r="F4417">
        <v>2</v>
      </c>
      <c r="G4417">
        <v>10</v>
      </c>
      <c r="H4417">
        <v>0</v>
      </c>
      <c r="I4417" s="12" t="s">
        <v>263</v>
      </c>
      <c r="J4417" s="12" t="s">
        <v>264</v>
      </c>
      <c r="K4417" s="12" t="s">
        <v>125</v>
      </c>
      <c r="L4417" s="12" t="s">
        <v>82</v>
      </c>
      <c r="M4417">
        <v>10.210000000000001</v>
      </c>
      <c r="N4417" s="12" t="s">
        <v>97</v>
      </c>
      <c r="O4417" s="12" t="s">
        <v>98</v>
      </c>
      <c r="P4417" s="12" t="s">
        <v>72</v>
      </c>
      <c r="Q4417" s="13">
        <v>45706</v>
      </c>
      <c r="R4417" s="13">
        <v>45746</v>
      </c>
      <c r="S4417">
        <v>2025</v>
      </c>
      <c r="T4417" s="12" t="s">
        <v>5260</v>
      </c>
      <c r="U4417">
        <v>51</v>
      </c>
      <c r="V4417">
        <v>207.9658</v>
      </c>
      <c r="W4417">
        <v>182.85</v>
      </c>
      <c r="X4417">
        <v>0</v>
      </c>
      <c r="Y4417">
        <v>0</v>
      </c>
      <c r="Z4417">
        <v>10606.26</v>
      </c>
      <c r="AA4417">
        <v>10789.11</v>
      </c>
      <c r="AB4417" s="12" t="s">
        <v>5373</v>
      </c>
      <c r="AC4417">
        <v>207.9658</v>
      </c>
      <c r="AD4417">
        <v>1</v>
      </c>
      <c r="AE4417">
        <v>1</v>
      </c>
      <c r="AF4417">
        <v>0</v>
      </c>
      <c r="AG4417">
        <v>10606.26</v>
      </c>
      <c r="AH4417">
        <v>51</v>
      </c>
      <c r="AI4417">
        <v>51</v>
      </c>
      <c r="AJ4417">
        <v>0</v>
      </c>
      <c r="AK4417">
        <v>1</v>
      </c>
      <c r="AL4417">
        <v>1</v>
      </c>
      <c r="AM4417">
        <v>100</v>
      </c>
      <c r="AN4417">
        <v>211.55109999999999</v>
      </c>
      <c r="AO4417">
        <v>0</v>
      </c>
      <c r="AP4417" s="13">
        <v>45756</v>
      </c>
      <c r="AQ4417">
        <v>10</v>
      </c>
      <c r="AR4417">
        <v>0</v>
      </c>
    </row>
    <row r="4418" spans="1:44" x14ac:dyDescent="0.35">
      <c r="A4418" s="12" t="s">
        <v>5374</v>
      </c>
      <c r="B4418" s="12" t="s">
        <v>837</v>
      </c>
      <c r="C4418" s="12" t="s">
        <v>838</v>
      </c>
      <c r="D4418" s="12" t="s">
        <v>114</v>
      </c>
      <c r="E4418" s="12" t="s">
        <v>104</v>
      </c>
      <c r="F4418">
        <v>2</v>
      </c>
      <c r="G4418">
        <v>0</v>
      </c>
      <c r="H4418">
        <v>0</v>
      </c>
      <c r="I4418" s="12" t="s">
        <v>79</v>
      </c>
      <c r="J4418" s="12" t="s">
        <v>80</v>
      </c>
      <c r="K4418" s="12" t="s">
        <v>81</v>
      </c>
      <c r="L4418" s="12" t="s">
        <v>82</v>
      </c>
      <c r="M4418">
        <v>12.07</v>
      </c>
      <c r="N4418" s="12" t="s">
        <v>97</v>
      </c>
      <c r="O4418" s="12" t="s">
        <v>98</v>
      </c>
      <c r="P4418" s="12" t="s">
        <v>72</v>
      </c>
      <c r="Q4418" s="13">
        <v>45707</v>
      </c>
      <c r="R4418" s="13">
        <v>45719</v>
      </c>
      <c r="S4418">
        <v>2025</v>
      </c>
      <c r="T4418" s="12" t="s">
        <v>5260</v>
      </c>
      <c r="U4418">
        <v>16</v>
      </c>
      <c r="V4418">
        <v>71.072699999999998</v>
      </c>
      <c r="W4418">
        <v>17.420000000000002</v>
      </c>
      <c r="X4418">
        <v>0</v>
      </c>
      <c r="Y4418">
        <v>0</v>
      </c>
      <c r="Z4418">
        <v>1137.1600000000001</v>
      </c>
      <c r="AA4418">
        <v>1154.58</v>
      </c>
      <c r="AB4418" s="12" t="s">
        <v>4186</v>
      </c>
      <c r="AC4418">
        <v>71.072699999999998</v>
      </c>
      <c r="AD4418">
        <v>1</v>
      </c>
      <c r="AE4418">
        <v>1</v>
      </c>
      <c r="AF4418">
        <v>0</v>
      </c>
      <c r="AG4418">
        <v>1137.1600000000001</v>
      </c>
      <c r="AH4418">
        <v>16</v>
      </c>
      <c r="AI4418">
        <v>16</v>
      </c>
      <c r="AJ4418">
        <v>0</v>
      </c>
      <c r="AK4418">
        <v>1</v>
      </c>
      <c r="AL4418">
        <v>1</v>
      </c>
      <c r="AM4418">
        <v>100</v>
      </c>
      <c r="AN4418">
        <v>72.161500000000004</v>
      </c>
      <c r="AO4418">
        <v>0</v>
      </c>
      <c r="AP4418" s="13">
        <v>45719</v>
      </c>
      <c r="AQ4418">
        <v>0</v>
      </c>
      <c r="AR4418">
        <v>1</v>
      </c>
    </row>
    <row r="4419" spans="1:44" x14ac:dyDescent="0.35">
      <c r="A4419" s="12" t="s">
        <v>5375</v>
      </c>
      <c r="B4419" s="12" t="s">
        <v>802</v>
      </c>
      <c r="C4419" s="12" t="s">
        <v>803</v>
      </c>
      <c r="D4419" s="12" t="s">
        <v>114</v>
      </c>
      <c r="E4419" s="12" t="s">
        <v>65</v>
      </c>
      <c r="F4419">
        <v>3</v>
      </c>
      <c r="G4419">
        <v>5</v>
      </c>
      <c r="H4419">
        <v>0</v>
      </c>
      <c r="I4419" s="12" t="s">
        <v>87</v>
      </c>
      <c r="J4419" s="12" t="s">
        <v>88</v>
      </c>
      <c r="K4419" s="12" t="s">
        <v>89</v>
      </c>
      <c r="L4419" s="12" t="s">
        <v>69</v>
      </c>
      <c r="M4419">
        <v>14.93</v>
      </c>
      <c r="N4419" s="12" t="s">
        <v>97</v>
      </c>
      <c r="O4419" s="12" t="s">
        <v>98</v>
      </c>
      <c r="P4419" s="12" t="s">
        <v>72</v>
      </c>
      <c r="Q4419" s="13">
        <v>45707</v>
      </c>
      <c r="R4419" s="13">
        <v>45737</v>
      </c>
      <c r="S4419">
        <v>2025</v>
      </c>
      <c r="T4419" s="12" t="s">
        <v>5260</v>
      </c>
      <c r="U4419">
        <v>84</v>
      </c>
      <c r="V4419">
        <v>340.10039999999998</v>
      </c>
      <c r="W4419">
        <v>562.52</v>
      </c>
      <c r="X4419">
        <v>0</v>
      </c>
      <c r="Y4419">
        <v>0</v>
      </c>
      <c r="Z4419">
        <v>28568.43</v>
      </c>
      <c r="AA4419">
        <v>29130.95</v>
      </c>
      <c r="AB4419" s="12" t="s">
        <v>4137</v>
      </c>
      <c r="AC4419">
        <v>340.10039999999998</v>
      </c>
      <c r="AD4419">
        <v>1</v>
      </c>
      <c r="AE4419">
        <v>1</v>
      </c>
      <c r="AF4419">
        <v>0</v>
      </c>
      <c r="AG4419">
        <v>28568.43</v>
      </c>
      <c r="AH4419">
        <v>84</v>
      </c>
      <c r="AI4419">
        <v>82</v>
      </c>
      <c r="AJ4419">
        <v>2</v>
      </c>
      <c r="AK4419">
        <v>1</v>
      </c>
      <c r="AL4419">
        <v>1</v>
      </c>
      <c r="AM4419">
        <v>97.62</v>
      </c>
      <c r="AN4419">
        <v>355.25549999999998</v>
      </c>
      <c r="AO4419">
        <v>680.2</v>
      </c>
      <c r="AP4419" s="13">
        <v>45734</v>
      </c>
      <c r="AQ4419">
        <v>-3</v>
      </c>
      <c r="AR4419">
        <v>1</v>
      </c>
    </row>
    <row r="4420" spans="1:44" x14ac:dyDescent="0.35">
      <c r="A4420" s="12" t="s">
        <v>5376</v>
      </c>
      <c r="B4420" s="12" t="s">
        <v>163</v>
      </c>
      <c r="C4420" s="12" t="s">
        <v>164</v>
      </c>
      <c r="D4420" s="12" t="s">
        <v>64</v>
      </c>
      <c r="E4420" s="12" t="s">
        <v>104</v>
      </c>
      <c r="F4420">
        <v>2</v>
      </c>
      <c r="G4420">
        <v>0</v>
      </c>
      <c r="H4420">
        <v>0</v>
      </c>
      <c r="I4420" s="12" t="s">
        <v>79</v>
      </c>
      <c r="J4420" s="12" t="s">
        <v>80</v>
      </c>
      <c r="K4420" s="12" t="s">
        <v>81</v>
      </c>
      <c r="L4420" s="12" t="s">
        <v>82</v>
      </c>
      <c r="M4420">
        <v>12.07</v>
      </c>
      <c r="N4420" s="12" t="s">
        <v>70</v>
      </c>
      <c r="O4420" s="12" t="s">
        <v>71</v>
      </c>
      <c r="P4420" s="12" t="s">
        <v>72</v>
      </c>
      <c r="Q4420" s="13">
        <v>45707</v>
      </c>
      <c r="R4420" s="13">
        <v>45722</v>
      </c>
      <c r="S4420">
        <v>2025</v>
      </c>
      <c r="T4420" s="12" t="s">
        <v>5260</v>
      </c>
      <c r="U4420">
        <v>272</v>
      </c>
      <c r="V4420">
        <v>11.1097</v>
      </c>
      <c r="W4420">
        <v>35.26</v>
      </c>
      <c r="X4420">
        <v>0</v>
      </c>
      <c r="Y4420">
        <v>0</v>
      </c>
      <c r="Z4420">
        <v>3021.84</v>
      </c>
      <c r="AA4420">
        <v>3057.1</v>
      </c>
      <c r="AB4420" s="12" t="s">
        <v>5303</v>
      </c>
      <c r="AC4420">
        <v>10.482900000000001</v>
      </c>
      <c r="AD4420">
        <v>1</v>
      </c>
      <c r="AE4420">
        <v>1</v>
      </c>
      <c r="AF4420">
        <v>170.49</v>
      </c>
      <c r="AG4420">
        <v>2851.35</v>
      </c>
      <c r="AH4420">
        <v>272</v>
      </c>
      <c r="AI4420">
        <v>270</v>
      </c>
      <c r="AJ4420">
        <v>2</v>
      </c>
      <c r="AK4420">
        <v>1</v>
      </c>
      <c r="AL4420">
        <v>1</v>
      </c>
      <c r="AM4420">
        <v>99.26</v>
      </c>
      <c r="AN4420">
        <v>11.3226</v>
      </c>
      <c r="AO4420">
        <v>22.22</v>
      </c>
      <c r="AP4420" s="13">
        <v>45721</v>
      </c>
      <c r="AQ4420">
        <v>-1</v>
      </c>
      <c r="AR4420">
        <v>1</v>
      </c>
    </row>
    <row r="4421" spans="1:44" x14ac:dyDescent="0.35">
      <c r="A4421" s="12" t="s">
        <v>5377</v>
      </c>
      <c r="B4421" s="12" t="s">
        <v>706</v>
      </c>
      <c r="C4421" s="12" t="s">
        <v>707</v>
      </c>
      <c r="D4421" s="12" t="s">
        <v>130</v>
      </c>
      <c r="E4421" s="12" t="s">
        <v>142</v>
      </c>
      <c r="F4421">
        <v>1</v>
      </c>
      <c r="G4421">
        <v>8</v>
      </c>
      <c r="H4421">
        <v>1</v>
      </c>
      <c r="I4421" s="12" t="s">
        <v>263</v>
      </c>
      <c r="J4421" s="12" t="s">
        <v>264</v>
      </c>
      <c r="K4421" s="12" t="s">
        <v>125</v>
      </c>
      <c r="L4421" s="12" t="s">
        <v>82</v>
      </c>
      <c r="M4421">
        <v>10.210000000000001</v>
      </c>
      <c r="N4421" s="12" t="s">
        <v>135</v>
      </c>
      <c r="O4421" s="12" t="s">
        <v>136</v>
      </c>
      <c r="P4421" s="12" t="s">
        <v>137</v>
      </c>
      <c r="Q4421" s="13">
        <v>45707</v>
      </c>
      <c r="R4421" s="13">
        <v>45758</v>
      </c>
      <c r="S4421">
        <v>2025</v>
      </c>
      <c r="T4421" s="12" t="s">
        <v>5260</v>
      </c>
      <c r="U4421">
        <v>135</v>
      </c>
      <c r="V4421">
        <v>277.214</v>
      </c>
      <c r="W4421">
        <v>905.91</v>
      </c>
      <c r="X4421">
        <v>0</v>
      </c>
      <c r="Y4421">
        <v>0</v>
      </c>
      <c r="Z4421">
        <v>37423.89</v>
      </c>
      <c r="AA4421">
        <v>38329.800000000003</v>
      </c>
      <c r="AB4421" s="12" t="s">
        <v>3434</v>
      </c>
      <c r="AC4421">
        <v>277.214</v>
      </c>
      <c r="AD4421">
        <v>1</v>
      </c>
      <c r="AE4421">
        <v>1</v>
      </c>
      <c r="AF4421">
        <v>0</v>
      </c>
      <c r="AG4421">
        <v>37423.89</v>
      </c>
      <c r="AH4421">
        <v>135</v>
      </c>
      <c r="AI4421">
        <v>135</v>
      </c>
      <c r="AJ4421">
        <v>0</v>
      </c>
      <c r="AK4421">
        <v>1</v>
      </c>
      <c r="AL4421">
        <v>1</v>
      </c>
      <c r="AM4421">
        <v>100</v>
      </c>
      <c r="AN4421">
        <v>283.92439999999999</v>
      </c>
      <c r="AO4421">
        <v>0</v>
      </c>
      <c r="AP4421" s="13">
        <v>45758</v>
      </c>
      <c r="AQ4421">
        <v>0</v>
      </c>
      <c r="AR4421">
        <v>1</v>
      </c>
    </row>
    <row r="4422" spans="1:44" x14ac:dyDescent="0.35">
      <c r="A4422" s="12" t="s">
        <v>5378</v>
      </c>
      <c r="B4422" s="12" t="s">
        <v>609</v>
      </c>
      <c r="C4422" s="12" t="s">
        <v>610</v>
      </c>
      <c r="D4422" s="12" t="s">
        <v>64</v>
      </c>
      <c r="E4422" s="12" t="s">
        <v>104</v>
      </c>
      <c r="F4422">
        <v>1</v>
      </c>
      <c r="G4422">
        <v>0</v>
      </c>
      <c r="H4422">
        <v>1</v>
      </c>
      <c r="I4422" s="12" t="s">
        <v>227</v>
      </c>
      <c r="J4422" s="12" t="s">
        <v>228</v>
      </c>
      <c r="K4422" s="12" t="s">
        <v>89</v>
      </c>
      <c r="L4422" s="12" t="s">
        <v>96</v>
      </c>
      <c r="M4422">
        <v>9.15</v>
      </c>
      <c r="N4422" s="12" t="s">
        <v>97</v>
      </c>
      <c r="O4422" s="12" t="s">
        <v>98</v>
      </c>
      <c r="P4422" s="12" t="s">
        <v>72</v>
      </c>
      <c r="Q4422" s="13">
        <v>45707</v>
      </c>
      <c r="R4422" s="13">
        <v>45726</v>
      </c>
      <c r="S4422">
        <v>2025</v>
      </c>
      <c r="T4422" s="12" t="s">
        <v>5260</v>
      </c>
      <c r="U4422">
        <v>493</v>
      </c>
      <c r="V4422">
        <v>20.698799999999999</v>
      </c>
      <c r="W4422">
        <v>103.21</v>
      </c>
      <c r="X4422">
        <v>0</v>
      </c>
      <c r="Y4422">
        <v>0</v>
      </c>
      <c r="Z4422">
        <v>10204.51</v>
      </c>
      <c r="AA4422">
        <v>10307.719999999999</v>
      </c>
      <c r="AB4422" s="12" t="s">
        <v>3349</v>
      </c>
      <c r="AC4422">
        <v>20.698799999999999</v>
      </c>
      <c r="AD4422">
        <v>1</v>
      </c>
      <c r="AE4422">
        <v>1</v>
      </c>
      <c r="AF4422">
        <v>0</v>
      </c>
      <c r="AG4422">
        <v>10204.51</v>
      </c>
      <c r="AH4422">
        <v>493</v>
      </c>
      <c r="AI4422">
        <v>489</v>
      </c>
      <c r="AJ4422">
        <v>4</v>
      </c>
      <c r="AK4422">
        <v>1</v>
      </c>
      <c r="AL4422">
        <v>1</v>
      </c>
      <c r="AM4422">
        <v>99.19</v>
      </c>
      <c r="AN4422">
        <v>21.0792</v>
      </c>
      <c r="AO4422">
        <v>82.8</v>
      </c>
      <c r="AP4422" s="13">
        <v>45725</v>
      </c>
      <c r="AQ4422">
        <v>-1</v>
      </c>
      <c r="AR4422">
        <v>1</v>
      </c>
    </row>
    <row r="4423" spans="1:44" x14ac:dyDescent="0.35">
      <c r="A4423" s="12" t="s">
        <v>5379</v>
      </c>
      <c r="B4423" s="12" t="s">
        <v>289</v>
      </c>
      <c r="C4423" s="12" t="s">
        <v>290</v>
      </c>
      <c r="D4423" s="12" t="s">
        <v>175</v>
      </c>
      <c r="E4423" s="12" t="s">
        <v>104</v>
      </c>
      <c r="F4423">
        <v>3</v>
      </c>
      <c r="G4423">
        <v>1</v>
      </c>
      <c r="H4423">
        <v>0</v>
      </c>
      <c r="I4423" s="12" t="s">
        <v>157</v>
      </c>
      <c r="J4423" s="12" t="s">
        <v>158</v>
      </c>
      <c r="K4423" s="12" t="s">
        <v>117</v>
      </c>
      <c r="L4423" s="12" t="s">
        <v>96</v>
      </c>
      <c r="M4423">
        <v>4.72</v>
      </c>
      <c r="N4423" s="12" t="s">
        <v>107</v>
      </c>
      <c r="O4423" s="12" t="s">
        <v>108</v>
      </c>
      <c r="P4423" s="12" t="s">
        <v>109</v>
      </c>
      <c r="Q4423" s="13">
        <v>45707</v>
      </c>
      <c r="R4423" s="13">
        <v>45719</v>
      </c>
      <c r="S4423">
        <v>2025</v>
      </c>
      <c r="T4423" s="12" t="s">
        <v>5260</v>
      </c>
      <c r="U4423">
        <v>13</v>
      </c>
      <c r="V4423">
        <v>187.3347</v>
      </c>
      <c r="W4423">
        <v>36.18</v>
      </c>
      <c r="X4423">
        <v>0</v>
      </c>
      <c r="Y4423">
        <v>0</v>
      </c>
      <c r="Z4423">
        <v>2435.35</v>
      </c>
      <c r="AA4423">
        <v>2471.5300000000002</v>
      </c>
      <c r="AB4423" s="12" t="s">
        <v>201</v>
      </c>
      <c r="AD4423">
        <v>0</v>
      </c>
      <c r="AE4423">
        <v>0</v>
      </c>
      <c r="AH4423">
        <v>13</v>
      </c>
      <c r="AI4423">
        <v>13</v>
      </c>
      <c r="AJ4423">
        <v>0</v>
      </c>
      <c r="AK4423">
        <v>1</v>
      </c>
      <c r="AL4423">
        <v>1</v>
      </c>
      <c r="AM4423">
        <v>100</v>
      </c>
      <c r="AN4423">
        <v>190.11779999999999</v>
      </c>
      <c r="AO4423">
        <v>0</v>
      </c>
      <c r="AP4423" s="13">
        <v>45719</v>
      </c>
      <c r="AQ4423">
        <v>0</v>
      </c>
      <c r="AR4423">
        <v>1</v>
      </c>
    </row>
    <row r="4424" spans="1:44" x14ac:dyDescent="0.35">
      <c r="A4424" s="12" t="s">
        <v>5380</v>
      </c>
      <c r="B4424" s="12" t="s">
        <v>740</v>
      </c>
      <c r="C4424" s="12" t="s">
        <v>741</v>
      </c>
      <c r="D4424" s="12" t="s">
        <v>64</v>
      </c>
      <c r="E4424" s="12" t="s">
        <v>104</v>
      </c>
      <c r="F4424">
        <v>2</v>
      </c>
      <c r="G4424">
        <v>0</v>
      </c>
      <c r="H4424">
        <v>0</v>
      </c>
      <c r="I4424" s="12" t="s">
        <v>151</v>
      </c>
      <c r="J4424" s="12" t="s">
        <v>152</v>
      </c>
      <c r="K4424" s="12" t="s">
        <v>125</v>
      </c>
      <c r="L4424" s="12" t="s">
        <v>69</v>
      </c>
      <c r="M4424">
        <v>36.479999999999997</v>
      </c>
      <c r="N4424" s="12" t="s">
        <v>97</v>
      </c>
      <c r="O4424" s="12" t="s">
        <v>98</v>
      </c>
      <c r="P4424" s="12" t="s">
        <v>72</v>
      </c>
      <c r="Q4424" s="13">
        <v>45707</v>
      </c>
      <c r="R4424" s="13">
        <v>45733</v>
      </c>
      <c r="S4424">
        <v>2025</v>
      </c>
      <c r="T4424" s="12" t="s">
        <v>5260</v>
      </c>
      <c r="U4424">
        <v>818</v>
      </c>
      <c r="V4424">
        <v>39.821100000000001</v>
      </c>
      <c r="W4424">
        <v>449.8</v>
      </c>
      <c r="X4424">
        <v>0</v>
      </c>
      <c r="Y4424">
        <v>0</v>
      </c>
      <c r="Z4424">
        <v>32573.66</v>
      </c>
      <c r="AA4424">
        <v>33023.46</v>
      </c>
      <c r="AB4424" s="12" t="s">
        <v>3064</v>
      </c>
      <c r="AC4424">
        <v>39.821100000000001</v>
      </c>
      <c r="AD4424">
        <v>1</v>
      </c>
      <c r="AE4424">
        <v>1</v>
      </c>
      <c r="AF4424">
        <v>0</v>
      </c>
      <c r="AG4424">
        <v>32573.66</v>
      </c>
      <c r="AH4424">
        <v>818</v>
      </c>
      <c r="AI4424">
        <v>811</v>
      </c>
      <c r="AJ4424">
        <v>7</v>
      </c>
      <c r="AK4424">
        <v>1</v>
      </c>
      <c r="AL4424">
        <v>1</v>
      </c>
      <c r="AM4424">
        <v>99.14</v>
      </c>
      <c r="AN4424">
        <v>40.7194</v>
      </c>
      <c r="AO4424">
        <v>278.75</v>
      </c>
      <c r="AP4424" s="13">
        <v>45733</v>
      </c>
      <c r="AQ4424">
        <v>0</v>
      </c>
      <c r="AR4424">
        <v>1</v>
      </c>
    </row>
    <row r="4425" spans="1:44" x14ac:dyDescent="0.35">
      <c r="A4425" s="12" t="s">
        <v>5381</v>
      </c>
      <c r="B4425" s="12" t="s">
        <v>85</v>
      </c>
      <c r="C4425" s="12" t="s">
        <v>86</v>
      </c>
      <c r="D4425" s="12" t="s">
        <v>78</v>
      </c>
      <c r="E4425" s="12" t="s">
        <v>65</v>
      </c>
      <c r="F4425">
        <v>3</v>
      </c>
      <c r="G4425">
        <v>5</v>
      </c>
      <c r="H4425">
        <v>0</v>
      </c>
      <c r="I4425" s="12" t="s">
        <v>195</v>
      </c>
      <c r="J4425" s="12" t="s">
        <v>196</v>
      </c>
      <c r="K4425" s="12" t="s">
        <v>117</v>
      </c>
      <c r="L4425" s="12" t="s">
        <v>134</v>
      </c>
      <c r="M4425">
        <v>4.7699999999999996</v>
      </c>
      <c r="N4425" s="12" t="s">
        <v>97</v>
      </c>
      <c r="O4425" s="12" t="s">
        <v>98</v>
      </c>
      <c r="P4425" s="12" t="s">
        <v>72</v>
      </c>
      <c r="Q4425" s="13">
        <v>45707</v>
      </c>
      <c r="R4425" s="13">
        <v>45734</v>
      </c>
      <c r="S4425">
        <v>2025</v>
      </c>
      <c r="T4425" s="12" t="s">
        <v>5260</v>
      </c>
      <c r="U4425">
        <v>140</v>
      </c>
      <c r="V4425">
        <v>132.72290000000001</v>
      </c>
      <c r="W4425">
        <v>435.84</v>
      </c>
      <c r="X4425">
        <v>0</v>
      </c>
      <c r="Y4425">
        <v>0</v>
      </c>
      <c r="Z4425">
        <v>18581.21</v>
      </c>
      <c r="AA4425">
        <v>19017.05</v>
      </c>
      <c r="AB4425" s="12" t="s">
        <v>5150</v>
      </c>
      <c r="AC4425">
        <v>132.72290000000001</v>
      </c>
      <c r="AD4425">
        <v>1</v>
      </c>
      <c r="AE4425">
        <v>1</v>
      </c>
      <c r="AF4425">
        <v>0</v>
      </c>
      <c r="AG4425">
        <v>18581.21</v>
      </c>
      <c r="AH4425">
        <v>140</v>
      </c>
      <c r="AI4425">
        <v>138</v>
      </c>
      <c r="AJ4425">
        <v>2</v>
      </c>
      <c r="AK4425">
        <v>1</v>
      </c>
      <c r="AL4425">
        <v>1</v>
      </c>
      <c r="AM4425">
        <v>98.57</v>
      </c>
      <c r="AN4425">
        <v>137.8047</v>
      </c>
      <c r="AO4425">
        <v>265.45</v>
      </c>
      <c r="AP4425" s="13">
        <v>45734</v>
      </c>
      <c r="AQ4425">
        <v>0</v>
      </c>
      <c r="AR4425">
        <v>1</v>
      </c>
    </row>
    <row r="4426" spans="1:44" x14ac:dyDescent="0.35">
      <c r="A4426" s="12" t="s">
        <v>5382</v>
      </c>
      <c r="B4426" s="12" t="s">
        <v>902</v>
      </c>
      <c r="C4426" s="12" t="s">
        <v>903</v>
      </c>
      <c r="D4426" s="12" t="s">
        <v>122</v>
      </c>
      <c r="E4426" s="12" t="s">
        <v>142</v>
      </c>
      <c r="F4426">
        <v>1</v>
      </c>
      <c r="G4426">
        <v>6</v>
      </c>
      <c r="H4426">
        <v>1</v>
      </c>
      <c r="I4426" s="12" t="s">
        <v>105</v>
      </c>
      <c r="J4426" s="12" t="s">
        <v>106</v>
      </c>
      <c r="K4426" s="12" t="s">
        <v>81</v>
      </c>
      <c r="L4426" s="12" t="s">
        <v>96</v>
      </c>
      <c r="M4426">
        <v>5.01</v>
      </c>
      <c r="N4426" s="12" t="s">
        <v>70</v>
      </c>
      <c r="O4426" s="12" t="s">
        <v>71</v>
      </c>
      <c r="P4426" s="12" t="s">
        <v>72</v>
      </c>
      <c r="Q4426" s="13">
        <v>45707</v>
      </c>
      <c r="R4426" s="13">
        <v>45753</v>
      </c>
      <c r="S4426">
        <v>2025</v>
      </c>
      <c r="T4426" s="12" t="s">
        <v>5260</v>
      </c>
      <c r="U4426">
        <v>1326</v>
      </c>
      <c r="V4426">
        <v>41.6892</v>
      </c>
      <c r="W4426">
        <v>650.62</v>
      </c>
      <c r="X4426">
        <v>0</v>
      </c>
      <c r="Y4426">
        <v>0</v>
      </c>
      <c r="Z4426">
        <v>55279.88</v>
      </c>
      <c r="AA4426">
        <v>55930.5</v>
      </c>
      <c r="AB4426" s="12" t="s">
        <v>3284</v>
      </c>
      <c r="AC4426">
        <v>41.6892</v>
      </c>
      <c r="AD4426">
        <v>1</v>
      </c>
      <c r="AE4426">
        <v>1</v>
      </c>
      <c r="AF4426">
        <v>0</v>
      </c>
      <c r="AG4426">
        <v>55279.88</v>
      </c>
      <c r="AH4426">
        <v>1326</v>
      </c>
      <c r="AI4426">
        <v>1314</v>
      </c>
      <c r="AJ4426">
        <v>12</v>
      </c>
      <c r="AK4426">
        <v>1</v>
      </c>
      <c r="AL4426">
        <v>1</v>
      </c>
      <c r="AM4426">
        <v>99.1</v>
      </c>
      <c r="AN4426">
        <v>42.565100000000001</v>
      </c>
      <c r="AO4426">
        <v>500.27</v>
      </c>
      <c r="AP4426" s="13">
        <v>45752</v>
      </c>
      <c r="AQ4426">
        <v>-1</v>
      </c>
      <c r="AR4426">
        <v>1</v>
      </c>
    </row>
    <row r="4427" spans="1:44" x14ac:dyDescent="0.35">
      <c r="A4427" s="12" t="s">
        <v>5383</v>
      </c>
      <c r="B4427" s="12" t="s">
        <v>399</v>
      </c>
      <c r="C4427" s="12" t="s">
        <v>400</v>
      </c>
      <c r="D4427" s="12" t="s">
        <v>114</v>
      </c>
      <c r="E4427" s="12" t="s">
        <v>65</v>
      </c>
      <c r="F4427">
        <v>1</v>
      </c>
      <c r="G4427">
        <v>2</v>
      </c>
      <c r="H4427">
        <v>1</v>
      </c>
      <c r="I4427" s="12" t="s">
        <v>151</v>
      </c>
      <c r="J4427" s="12" t="s">
        <v>152</v>
      </c>
      <c r="K4427" s="12" t="s">
        <v>125</v>
      </c>
      <c r="L4427" s="12" t="s">
        <v>69</v>
      </c>
      <c r="M4427">
        <v>36.479999999999997</v>
      </c>
      <c r="N4427" s="12" t="s">
        <v>97</v>
      </c>
      <c r="O4427" s="12" t="s">
        <v>98</v>
      </c>
      <c r="P4427" s="12" t="s">
        <v>72</v>
      </c>
      <c r="Q4427" s="13">
        <v>45708</v>
      </c>
      <c r="R4427" s="13">
        <v>45729</v>
      </c>
      <c r="S4427">
        <v>2025</v>
      </c>
      <c r="T4427" s="12" t="s">
        <v>5260</v>
      </c>
      <c r="U4427">
        <v>16</v>
      </c>
      <c r="V4427">
        <v>292.26440000000002</v>
      </c>
      <c r="W4427">
        <v>96.77</v>
      </c>
      <c r="X4427">
        <v>0</v>
      </c>
      <c r="Y4427">
        <v>0</v>
      </c>
      <c r="Z4427">
        <v>4676.2299999999996</v>
      </c>
      <c r="AA4427">
        <v>4773</v>
      </c>
      <c r="AB4427" s="12" t="s">
        <v>3009</v>
      </c>
      <c r="AC4427">
        <v>292.26440000000002</v>
      </c>
      <c r="AD4427">
        <v>1</v>
      </c>
      <c r="AE4427">
        <v>1</v>
      </c>
      <c r="AF4427">
        <v>0</v>
      </c>
      <c r="AG4427">
        <v>4676.2299999999996</v>
      </c>
      <c r="AH4427">
        <v>16</v>
      </c>
      <c r="AI4427">
        <v>16</v>
      </c>
      <c r="AJ4427">
        <v>0</v>
      </c>
      <c r="AK4427">
        <v>1</v>
      </c>
      <c r="AL4427">
        <v>1</v>
      </c>
      <c r="AM4427">
        <v>100</v>
      </c>
      <c r="AN4427">
        <v>298.3125</v>
      </c>
      <c r="AO4427">
        <v>0</v>
      </c>
      <c r="AP4427" s="13">
        <v>45737</v>
      </c>
      <c r="AQ4427">
        <v>8</v>
      </c>
      <c r="AR4427">
        <v>0</v>
      </c>
    </row>
    <row r="4428" spans="1:44" x14ac:dyDescent="0.35">
      <c r="A4428" s="12" t="s">
        <v>5384</v>
      </c>
      <c r="B4428" s="12" t="s">
        <v>823</v>
      </c>
      <c r="C4428" s="12" t="s">
        <v>824</v>
      </c>
      <c r="D4428" s="12" t="s">
        <v>114</v>
      </c>
      <c r="E4428" s="12" t="s">
        <v>142</v>
      </c>
      <c r="F4428">
        <v>1</v>
      </c>
      <c r="G4428">
        <v>8</v>
      </c>
      <c r="H4428">
        <v>1</v>
      </c>
      <c r="I4428" s="12" t="s">
        <v>515</v>
      </c>
      <c r="J4428" s="12" t="s">
        <v>516</v>
      </c>
      <c r="K4428" s="12" t="s">
        <v>68</v>
      </c>
      <c r="L4428" s="12" t="s">
        <v>134</v>
      </c>
      <c r="M4428">
        <v>3.69</v>
      </c>
      <c r="N4428" s="12" t="s">
        <v>70</v>
      </c>
      <c r="O4428" s="12" t="s">
        <v>71</v>
      </c>
      <c r="P4428" s="12" t="s">
        <v>72</v>
      </c>
      <c r="Q4428" s="13">
        <v>45708</v>
      </c>
      <c r="R4428" s="13">
        <v>45749</v>
      </c>
      <c r="S4428">
        <v>2025</v>
      </c>
      <c r="T4428" s="12" t="s">
        <v>5260</v>
      </c>
      <c r="U4428">
        <v>63</v>
      </c>
      <c r="V4428">
        <v>361.71230000000003</v>
      </c>
      <c r="W4428">
        <v>508.76</v>
      </c>
      <c r="X4428">
        <v>0</v>
      </c>
      <c r="Y4428">
        <v>0</v>
      </c>
      <c r="Z4428">
        <v>22787.87</v>
      </c>
      <c r="AA4428">
        <v>23296.63</v>
      </c>
      <c r="AB4428" s="12" t="s">
        <v>3483</v>
      </c>
      <c r="AC4428">
        <v>361.71230000000003</v>
      </c>
      <c r="AD4428">
        <v>1</v>
      </c>
      <c r="AE4428">
        <v>1</v>
      </c>
      <c r="AF4428">
        <v>0</v>
      </c>
      <c r="AG4428">
        <v>22787.87</v>
      </c>
      <c r="AH4428">
        <v>63</v>
      </c>
      <c r="AI4428">
        <v>62</v>
      </c>
      <c r="AJ4428">
        <v>1</v>
      </c>
      <c r="AK4428">
        <v>1</v>
      </c>
      <c r="AL4428">
        <v>1</v>
      </c>
      <c r="AM4428">
        <v>98.41</v>
      </c>
      <c r="AN4428">
        <v>375.75220000000002</v>
      </c>
      <c r="AO4428">
        <v>361.71</v>
      </c>
      <c r="AP4428" s="13">
        <v>45748</v>
      </c>
      <c r="AQ4428">
        <v>-1</v>
      </c>
      <c r="AR4428">
        <v>1</v>
      </c>
    </row>
    <row r="4429" spans="1:44" x14ac:dyDescent="0.35">
      <c r="A4429" s="12" t="s">
        <v>5385</v>
      </c>
      <c r="B4429" s="12" t="s">
        <v>952</v>
      </c>
      <c r="C4429" s="12" t="s">
        <v>953</v>
      </c>
      <c r="D4429" s="12" t="s">
        <v>64</v>
      </c>
      <c r="E4429" s="12" t="s">
        <v>142</v>
      </c>
      <c r="F4429">
        <v>1</v>
      </c>
      <c r="G4429">
        <v>8</v>
      </c>
      <c r="H4429">
        <v>1</v>
      </c>
      <c r="I4429" s="12" t="s">
        <v>131</v>
      </c>
      <c r="J4429" s="12" t="s">
        <v>132</v>
      </c>
      <c r="K4429" s="12" t="s">
        <v>133</v>
      </c>
      <c r="L4429" s="12" t="s">
        <v>134</v>
      </c>
      <c r="M4429">
        <v>1.51</v>
      </c>
      <c r="N4429" s="12" t="s">
        <v>70</v>
      </c>
      <c r="O4429" s="12" t="s">
        <v>71</v>
      </c>
      <c r="P4429" s="12" t="s">
        <v>72</v>
      </c>
      <c r="Q4429" s="13">
        <v>45708</v>
      </c>
      <c r="R4429" s="13">
        <v>45759</v>
      </c>
      <c r="S4429">
        <v>2025</v>
      </c>
      <c r="T4429" s="12" t="s">
        <v>5260</v>
      </c>
      <c r="U4429">
        <v>914</v>
      </c>
      <c r="V4429">
        <v>31.861899999999999</v>
      </c>
      <c r="W4429">
        <v>404.22</v>
      </c>
      <c r="X4429">
        <v>0</v>
      </c>
      <c r="Y4429">
        <v>0</v>
      </c>
      <c r="Z4429">
        <v>29121.78</v>
      </c>
      <c r="AA4429">
        <v>29526</v>
      </c>
      <c r="AB4429" s="12" t="s">
        <v>3261</v>
      </c>
      <c r="AC4429">
        <v>31.110399999999998</v>
      </c>
      <c r="AD4429">
        <v>1</v>
      </c>
      <c r="AE4429">
        <v>1</v>
      </c>
      <c r="AF4429">
        <v>686.87</v>
      </c>
      <c r="AG4429">
        <v>28434.91</v>
      </c>
      <c r="AH4429">
        <v>914</v>
      </c>
      <c r="AI4429">
        <v>910</v>
      </c>
      <c r="AJ4429">
        <v>4</v>
      </c>
      <c r="AK4429">
        <v>1</v>
      </c>
      <c r="AL4429">
        <v>1</v>
      </c>
      <c r="AM4429">
        <v>99.56</v>
      </c>
      <c r="AN4429">
        <v>32.446199999999997</v>
      </c>
      <c r="AO4429">
        <v>127.45</v>
      </c>
      <c r="AP4429" s="13">
        <v>45758</v>
      </c>
      <c r="AQ4429">
        <v>-1</v>
      </c>
      <c r="AR4429">
        <v>1</v>
      </c>
    </row>
    <row r="4430" spans="1:44" x14ac:dyDescent="0.35">
      <c r="A4430" s="12" t="s">
        <v>5386</v>
      </c>
      <c r="B4430" s="12" t="s">
        <v>221</v>
      </c>
      <c r="C4430" s="12" t="s">
        <v>222</v>
      </c>
      <c r="D4430" s="12" t="s">
        <v>114</v>
      </c>
      <c r="E4430" s="12" t="s">
        <v>142</v>
      </c>
      <c r="F4430">
        <v>3</v>
      </c>
      <c r="G4430">
        <v>11</v>
      </c>
      <c r="H4430">
        <v>0</v>
      </c>
      <c r="I4430" s="12" t="s">
        <v>105</v>
      </c>
      <c r="J4430" s="12" t="s">
        <v>106</v>
      </c>
      <c r="K4430" s="12" t="s">
        <v>81</v>
      </c>
      <c r="L4430" s="12" t="s">
        <v>96</v>
      </c>
      <c r="M4430">
        <v>5.01</v>
      </c>
      <c r="N4430" s="12" t="s">
        <v>97</v>
      </c>
      <c r="O4430" s="12" t="s">
        <v>98</v>
      </c>
      <c r="P4430" s="12" t="s">
        <v>72</v>
      </c>
      <c r="Q4430" s="13">
        <v>45708</v>
      </c>
      <c r="R4430" s="13">
        <v>45746</v>
      </c>
      <c r="S4430">
        <v>2025</v>
      </c>
      <c r="T4430" s="12" t="s">
        <v>5260</v>
      </c>
      <c r="U4430">
        <v>40</v>
      </c>
      <c r="V4430">
        <v>253.32259999999999</v>
      </c>
      <c r="W4430">
        <v>139.32</v>
      </c>
      <c r="X4430">
        <v>0</v>
      </c>
      <c r="Y4430">
        <v>0</v>
      </c>
      <c r="Z4430">
        <v>10132.9</v>
      </c>
      <c r="AA4430">
        <v>10272.219999999999</v>
      </c>
      <c r="AB4430" s="12" t="s">
        <v>201</v>
      </c>
      <c r="AD4430">
        <v>0</v>
      </c>
      <c r="AE4430">
        <v>0</v>
      </c>
      <c r="AH4430">
        <v>40</v>
      </c>
      <c r="AI4430">
        <v>39</v>
      </c>
      <c r="AJ4430">
        <v>1</v>
      </c>
      <c r="AK4430">
        <v>1</v>
      </c>
      <c r="AL4430">
        <v>1</v>
      </c>
      <c r="AM4430">
        <v>97.5</v>
      </c>
      <c r="AN4430">
        <v>263.3904</v>
      </c>
      <c r="AO4430">
        <v>253.32</v>
      </c>
      <c r="AP4430" s="13">
        <v>45746</v>
      </c>
      <c r="AQ4430">
        <v>0</v>
      </c>
      <c r="AR4430">
        <v>1</v>
      </c>
    </row>
    <row r="4431" spans="1:44" x14ac:dyDescent="0.35">
      <c r="A4431" s="12" t="s">
        <v>5387</v>
      </c>
      <c r="B4431" s="12" t="s">
        <v>1433</v>
      </c>
      <c r="C4431" s="12" t="s">
        <v>1434</v>
      </c>
      <c r="D4431" s="12" t="s">
        <v>269</v>
      </c>
      <c r="E4431" s="12" t="s">
        <v>65</v>
      </c>
      <c r="F4431">
        <v>3</v>
      </c>
      <c r="G4431">
        <v>5</v>
      </c>
      <c r="H4431">
        <v>0</v>
      </c>
      <c r="I4431" s="12" t="s">
        <v>115</v>
      </c>
      <c r="J4431" s="12" t="s">
        <v>116</v>
      </c>
      <c r="K4431" s="12" t="s">
        <v>117</v>
      </c>
      <c r="L4431" s="12" t="s">
        <v>82</v>
      </c>
      <c r="M4431">
        <v>17.170000000000002</v>
      </c>
      <c r="N4431" s="12" t="s">
        <v>159</v>
      </c>
      <c r="O4431" s="12" t="s">
        <v>160</v>
      </c>
      <c r="P4431" s="12" t="s">
        <v>137</v>
      </c>
      <c r="Q4431" s="13">
        <v>45708</v>
      </c>
      <c r="R4431" s="13">
        <v>45744</v>
      </c>
      <c r="S4431">
        <v>2025</v>
      </c>
      <c r="T4431" s="12" t="s">
        <v>5260</v>
      </c>
      <c r="U4431">
        <v>133</v>
      </c>
      <c r="V4431">
        <v>445.78800000000001</v>
      </c>
      <c r="W4431">
        <v>1133.07</v>
      </c>
      <c r="X4431">
        <v>0</v>
      </c>
      <c r="Y4431">
        <v>0</v>
      </c>
      <c r="Z4431">
        <v>59289.8</v>
      </c>
      <c r="AA4431">
        <v>60422.87</v>
      </c>
      <c r="AB4431" s="12" t="s">
        <v>4061</v>
      </c>
      <c r="AC4431">
        <v>445.78800000000001</v>
      </c>
      <c r="AD4431">
        <v>1</v>
      </c>
      <c r="AE4431">
        <v>1</v>
      </c>
      <c r="AF4431">
        <v>0</v>
      </c>
      <c r="AG4431">
        <v>59289.8</v>
      </c>
      <c r="AH4431">
        <v>133</v>
      </c>
      <c r="AI4431">
        <v>132</v>
      </c>
      <c r="AJ4431">
        <v>1</v>
      </c>
      <c r="AK4431">
        <v>1</v>
      </c>
      <c r="AL4431">
        <v>1</v>
      </c>
      <c r="AM4431">
        <v>99.25</v>
      </c>
      <c r="AN4431">
        <v>457.74900000000002</v>
      </c>
      <c r="AO4431">
        <v>445.79</v>
      </c>
      <c r="AP4431" s="13">
        <v>45741</v>
      </c>
      <c r="AQ4431">
        <v>-3</v>
      </c>
      <c r="AR4431">
        <v>1</v>
      </c>
    </row>
    <row r="4432" spans="1:44" x14ac:dyDescent="0.35">
      <c r="A4432" s="12" t="s">
        <v>5388</v>
      </c>
      <c r="B4432" s="12" t="s">
        <v>149</v>
      </c>
      <c r="C4432" s="12" t="s">
        <v>150</v>
      </c>
      <c r="D4432" s="12" t="s">
        <v>78</v>
      </c>
      <c r="E4432" s="12" t="s">
        <v>65</v>
      </c>
      <c r="F4432">
        <v>2</v>
      </c>
      <c r="G4432">
        <v>2</v>
      </c>
      <c r="H4432">
        <v>0</v>
      </c>
      <c r="I4432" s="12" t="s">
        <v>151</v>
      </c>
      <c r="J4432" s="12" t="s">
        <v>152</v>
      </c>
      <c r="K4432" s="12" t="s">
        <v>125</v>
      </c>
      <c r="L4432" s="12" t="s">
        <v>69</v>
      </c>
      <c r="M4432">
        <v>36.479999999999997</v>
      </c>
      <c r="N4432" s="12" t="s">
        <v>70</v>
      </c>
      <c r="O4432" s="12" t="s">
        <v>71</v>
      </c>
      <c r="P4432" s="12" t="s">
        <v>72</v>
      </c>
      <c r="Q4432" s="13">
        <v>45709</v>
      </c>
      <c r="R4432" s="13">
        <v>45732</v>
      </c>
      <c r="S4432">
        <v>2025</v>
      </c>
      <c r="T4432" s="12" t="s">
        <v>5260</v>
      </c>
      <c r="U4432">
        <v>73</v>
      </c>
      <c r="V4432">
        <v>65.934700000000007</v>
      </c>
      <c r="W4432">
        <v>44.07</v>
      </c>
      <c r="X4432">
        <v>0</v>
      </c>
      <c r="Y4432">
        <v>0</v>
      </c>
      <c r="Z4432">
        <v>4813.2299999999996</v>
      </c>
      <c r="AA4432">
        <v>4857.3</v>
      </c>
      <c r="AB4432" s="12" t="s">
        <v>5076</v>
      </c>
      <c r="AC4432">
        <v>65.934700000000007</v>
      </c>
      <c r="AD4432">
        <v>1</v>
      </c>
      <c r="AE4432">
        <v>1</v>
      </c>
      <c r="AF4432">
        <v>0</v>
      </c>
      <c r="AG4432">
        <v>4813.2299999999996</v>
      </c>
      <c r="AH4432">
        <v>73</v>
      </c>
      <c r="AI4432">
        <v>71</v>
      </c>
      <c r="AJ4432">
        <v>2</v>
      </c>
      <c r="AK4432">
        <v>1</v>
      </c>
      <c r="AL4432">
        <v>1</v>
      </c>
      <c r="AM4432">
        <v>97.26</v>
      </c>
      <c r="AN4432">
        <v>68.412700000000001</v>
      </c>
      <c r="AO4432">
        <v>131.87</v>
      </c>
      <c r="AP4432" s="13">
        <v>45729</v>
      </c>
      <c r="AQ4432">
        <v>-3</v>
      </c>
      <c r="AR4432">
        <v>1</v>
      </c>
    </row>
    <row r="4433" spans="1:44" x14ac:dyDescent="0.35">
      <c r="A4433" s="12" t="s">
        <v>5389</v>
      </c>
      <c r="B4433" s="12" t="s">
        <v>544</v>
      </c>
      <c r="C4433" s="12" t="s">
        <v>545</v>
      </c>
      <c r="D4433" s="12" t="s">
        <v>175</v>
      </c>
      <c r="E4433" s="12" t="s">
        <v>65</v>
      </c>
      <c r="F4433">
        <v>3</v>
      </c>
      <c r="G4433">
        <v>5</v>
      </c>
      <c r="H4433">
        <v>0</v>
      </c>
      <c r="I4433" s="12" t="s">
        <v>359</v>
      </c>
      <c r="J4433" s="12" t="s">
        <v>360</v>
      </c>
      <c r="K4433" s="12" t="s">
        <v>133</v>
      </c>
      <c r="L4433" s="12" t="s">
        <v>82</v>
      </c>
      <c r="M4433">
        <v>12.65</v>
      </c>
      <c r="N4433" s="12" t="s">
        <v>145</v>
      </c>
      <c r="O4433" s="12" t="s">
        <v>146</v>
      </c>
      <c r="P4433" s="12" t="s">
        <v>109</v>
      </c>
      <c r="Q4433" s="13">
        <v>45709</v>
      </c>
      <c r="R4433" s="13">
        <v>45738</v>
      </c>
      <c r="S4433">
        <v>2025</v>
      </c>
      <c r="T4433" s="12" t="s">
        <v>5260</v>
      </c>
      <c r="U4433">
        <v>77</v>
      </c>
      <c r="V4433">
        <v>146.80240000000001</v>
      </c>
      <c r="W4433">
        <v>128.07</v>
      </c>
      <c r="X4433">
        <v>0</v>
      </c>
      <c r="Y4433">
        <v>0</v>
      </c>
      <c r="Z4433">
        <v>11303.78</v>
      </c>
      <c r="AA4433">
        <v>11431.85</v>
      </c>
      <c r="AB4433" s="12" t="s">
        <v>5390</v>
      </c>
      <c r="AC4433">
        <v>146.80240000000001</v>
      </c>
      <c r="AD4433">
        <v>1</v>
      </c>
      <c r="AE4433">
        <v>1</v>
      </c>
      <c r="AF4433">
        <v>0</v>
      </c>
      <c r="AG4433">
        <v>11303.78</v>
      </c>
      <c r="AH4433">
        <v>77</v>
      </c>
      <c r="AI4433">
        <v>76</v>
      </c>
      <c r="AJ4433">
        <v>1</v>
      </c>
      <c r="AK4433">
        <v>1</v>
      </c>
      <c r="AL4433">
        <v>1</v>
      </c>
      <c r="AM4433">
        <v>98.7</v>
      </c>
      <c r="AN4433">
        <v>150.41909999999999</v>
      </c>
      <c r="AO4433">
        <v>146.80000000000001</v>
      </c>
      <c r="AP4433" s="13">
        <v>45741</v>
      </c>
      <c r="AQ4433">
        <v>3</v>
      </c>
      <c r="AR4433">
        <v>0</v>
      </c>
    </row>
    <row r="4434" spans="1:44" x14ac:dyDescent="0.35">
      <c r="A4434" s="12" t="s">
        <v>5391</v>
      </c>
      <c r="B4434" s="12" t="s">
        <v>513</v>
      </c>
      <c r="C4434" s="12" t="s">
        <v>514</v>
      </c>
      <c r="D4434" s="12" t="s">
        <v>269</v>
      </c>
      <c r="E4434" s="12" t="s">
        <v>65</v>
      </c>
      <c r="F4434">
        <v>1</v>
      </c>
      <c r="G4434">
        <v>2</v>
      </c>
      <c r="H4434">
        <v>1</v>
      </c>
      <c r="I4434" s="12" t="s">
        <v>515</v>
      </c>
      <c r="J4434" s="12" t="s">
        <v>516</v>
      </c>
      <c r="K4434" s="12" t="s">
        <v>68</v>
      </c>
      <c r="L4434" s="12" t="s">
        <v>134</v>
      </c>
      <c r="M4434">
        <v>3.69</v>
      </c>
      <c r="N4434" s="12" t="s">
        <v>159</v>
      </c>
      <c r="O4434" s="12" t="s">
        <v>160</v>
      </c>
      <c r="P4434" s="12" t="s">
        <v>137</v>
      </c>
      <c r="Q4434" s="13">
        <v>45709</v>
      </c>
      <c r="R4434" s="13">
        <v>45742</v>
      </c>
      <c r="S4434">
        <v>2025</v>
      </c>
      <c r="T4434" s="12" t="s">
        <v>5260</v>
      </c>
      <c r="U4434">
        <v>104</v>
      </c>
      <c r="V4434">
        <v>211.2234</v>
      </c>
      <c r="W4434">
        <v>457.04</v>
      </c>
      <c r="X4434">
        <v>0</v>
      </c>
      <c r="Y4434">
        <v>0</v>
      </c>
      <c r="Z4434">
        <v>21967.23</v>
      </c>
      <c r="AA4434">
        <v>22424.27</v>
      </c>
      <c r="AB4434" s="12" t="s">
        <v>201</v>
      </c>
      <c r="AD4434">
        <v>0</v>
      </c>
      <c r="AE4434">
        <v>0</v>
      </c>
      <c r="AH4434">
        <v>104</v>
      </c>
      <c r="AI4434">
        <v>102</v>
      </c>
      <c r="AJ4434">
        <v>2</v>
      </c>
      <c r="AK4434">
        <v>1</v>
      </c>
      <c r="AL4434">
        <v>1</v>
      </c>
      <c r="AM4434">
        <v>98.08</v>
      </c>
      <c r="AN4434">
        <v>219.8458</v>
      </c>
      <c r="AO4434">
        <v>422.45</v>
      </c>
      <c r="AP4434" s="13">
        <v>45741</v>
      </c>
      <c r="AQ4434">
        <v>-1</v>
      </c>
      <c r="AR4434">
        <v>1</v>
      </c>
    </row>
    <row r="4435" spans="1:44" x14ac:dyDescent="0.35">
      <c r="A4435" s="12" t="s">
        <v>5392</v>
      </c>
      <c r="B4435" s="12" t="s">
        <v>569</v>
      </c>
      <c r="C4435" s="12" t="s">
        <v>570</v>
      </c>
      <c r="D4435" s="12" t="s">
        <v>114</v>
      </c>
      <c r="E4435" s="12" t="s">
        <v>142</v>
      </c>
      <c r="F4435">
        <v>1</v>
      </c>
      <c r="G4435">
        <v>6</v>
      </c>
      <c r="H4435">
        <v>1</v>
      </c>
      <c r="I4435" s="12" t="s">
        <v>123</v>
      </c>
      <c r="J4435" s="12" t="s">
        <v>124</v>
      </c>
      <c r="K4435" s="12" t="s">
        <v>125</v>
      </c>
      <c r="L4435" s="12" t="s">
        <v>82</v>
      </c>
      <c r="M4435">
        <v>6.75</v>
      </c>
      <c r="N4435" s="12" t="s">
        <v>97</v>
      </c>
      <c r="O4435" s="12" t="s">
        <v>98</v>
      </c>
      <c r="P4435" s="12" t="s">
        <v>72</v>
      </c>
      <c r="Q4435" s="13">
        <v>45709</v>
      </c>
      <c r="R4435" s="13">
        <v>45750</v>
      </c>
      <c r="S4435">
        <v>2025</v>
      </c>
      <c r="T4435" s="12" t="s">
        <v>5260</v>
      </c>
      <c r="U4435">
        <v>63</v>
      </c>
      <c r="V4435">
        <v>349.07319999999999</v>
      </c>
      <c r="W4435">
        <v>534.88</v>
      </c>
      <c r="X4435">
        <v>0</v>
      </c>
      <c r="Y4435">
        <v>0</v>
      </c>
      <c r="Z4435">
        <v>21991.61</v>
      </c>
      <c r="AA4435">
        <v>22526.49</v>
      </c>
      <c r="AB4435" s="12" t="s">
        <v>3205</v>
      </c>
      <c r="AC4435">
        <v>349.07319999999999</v>
      </c>
      <c r="AD4435">
        <v>1</v>
      </c>
      <c r="AE4435">
        <v>1</v>
      </c>
      <c r="AF4435">
        <v>0</v>
      </c>
      <c r="AG4435">
        <v>21991.61</v>
      </c>
      <c r="AH4435">
        <v>63</v>
      </c>
      <c r="AI4435">
        <v>62</v>
      </c>
      <c r="AJ4435">
        <v>1</v>
      </c>
      <c r="AK4435">
        <v>1</v>
      </c>
      <c r="AL4435">
        <v>1</v>
      </c>
      <c r="AM4435">
        <v>98.41</v>
      </c>
      <c r="AN4435">
        <v>363.33049999999997</v>
      </c>
      <c r="AO4435">
        <v>349.07</v>
      </c>
      <c r="AP4435" s="13">
        <v>45750</v>
      </c>
      <c r="AQ4435">
        <v>0</v>
      </c>
      <c r="AR4435">
        <v>1</v>
      </c>
    </row>
    <row r="4436" spans="1:44" x14ac:dyDescent="0.35">
      <c r="A4436" s="12" t="s">
        <v>5393</v>
      </c>
      <c r="B4436" s="12" t="s">
        <v>339</v>
      </c>
      <c r="C4436" s="12" t="s">
        <v>340</v>
      </c>
      <c r="D4436" s="12" t="s">
        <v>103</v>
      </c>
      <c r="E4436" s="12" t="s">
        <v>142</v>
      </c>
      <c r="F4436">
        <v>2</v>
      </c>
      <c r="G4436">
        <v>9</v>
      </c>
      <c r="H4436">
        <v>0</v>
      </c>
      <c r="I4436" s="12" t="s">
        <v>169</v>
      </c>
      <c r="J4436" s="12" t="s">
        <v>170</v>
      </c>
      <c r="K4436" s="12" t="s">
        <v>89</v>
      </c>
      <c r="L4436" s="12" t="s">
        <v>134</v>
      </c>
      <c r="M4436">
        <v>1.37</v>
      </c>
      <c r="N4436" s="12" t="s">
        <v>107</v>
      </c>
      <c r="O4436" s="12" t="s">
        <v>108</v>
      </c>
      <c r="P4436" s="12" t="s">
        <v>109</v>
      </c>
      <c r="Q4436" s="13">
        <v>45709</v>
      </c>
      <c r="R4436" s="13">
        <v>45752</v>
      </c>
      <c r="S4436">
        <v>2025</v>
      </c>
      <c r="T4436" s="12" t="s">
        <v>5260</v>
      </c>
      <c r="U4436">
        <v>78</v>
      </c>
      <c r="V4436">
        <v>236.3116</v>
      </c>
      <c r="W4436">
        <v>135.84</v>
      </c>
      <c r="X4436">
        <v>0</v>
      </c>
      <c r="Y4436">
        <v>0</v>
      </c>
      <c r="Z4436">
        <v>18432.3</v>
      </c>
      <c r="AA4436">
        <v>18568.14</v>
      </c>
      <c r="AB4436" s="12" t="s">
        <v>5394</v>
      </c>
      <c r="AC4436">
        <v>236.3116</v>
      </c>
      <c r="AD4436">
        <v>1</v>
      </c>
      <c r="AE4436">
        <v>1</v>
      </c>
      <c r="AF4436">
        <v>0</v>
      </c>
      <c r="AG4436">
        <v>18432.3</v>
      </c>
      <c r="AH4436">
        <v>78</v>
      </c>
      <c r="AI4436">
        <v>77</v>
      </c>
      <c r="AJ4436">
        <v>1</v>
      </c>
      <c r="AK4436">
        <v>1</v>
      </c>
      <c r="AL4436">
        <v>1</v>
      </c>
      <c r="AM4436">
        <v>98.72</v>
      </c>
      <c r="AN4436">
        <v>241.1447</v>
      </c>
      <c r="AO4436">
        <v>236.31</v>
      </c>
      <c r="AP4436" s="13">
        <v>45752</v>
      </c>
      <c r="AQ4436">
        <v>0</v>
      </c>
      <c r="AR4436">
        <v>1</v>
      </c>
    </row>
    <row r="4437" spans="1:44" x14ac:dyDescent="0.35">
      <c r="A4437" s="12" t="s">
        <v>5395</v>
      </c>
      <c r="B4437" s="12" t="s">
        <v>128</v>
      </c>
      <c r="C4437" s="12" t="s">
        <v>129</v>
      </c>
      <c r="D4437" s="12" t="s">
        <v>130</v>
      </c>
      <c r="E4437" s="12" t="s">
        <v>65</v>
      </c>
      <c r="F4437">
        <v>3</v>
      </c>
      <c r="G4437">
        <v>5</v>
      </c>
      <c r="H4437">
        <v>0</v>
      </c>
      <c r="I4437" s="12" t="s">
        <v>380</v>
      </c>
      <c r="J4437" s="12" t="s">
        <v>381</v>
      </c>
      <c r="K4437" s="12" t="s">
        <v>89</v>
      </c>
      <c r="L4437" s="12" t="s">
        <v>96</v>
      </c>
      <c r="M4437">
        <v>10.210000000000001</v>
      </c>
      <c r="N4437" s="12" t="s">
        <v>159</v>
      </c>
      <c r="O4437" s="12" t="s">
        <v>160</v>
      </c>
      <c r="P4437" s="12" t="s">
        <v>137</v>
      </c>
      <c r="Q4437" s="13">
        <v>45709</v>
      </c>
      <c r="R4437" s="13">
        <v>45731</v>
      </c>
      <c r="S4437">
        <v>2025</v>
      </c>
      <c r="T4437" s="12" t="s">
        <v>5260</v>
      </c>
      <c r="U4437">
        <v>21</v>
      </c>
      <c r="V4437">
        <v>468.52519999999998</v>
      </c>
      <c r="W4437">
        <v>169.45</v>
      </c>
      <c r="X4437">
        <v>0</v>
      </c>
      <c r="Y4437">
        <v>0</v>
      </c>
      <c r="Z4437">
        <v>9839.0300000000007</v>
      </c>
      <c r="AA4437">
        <v>10008.48</v>
      </c>
      <c r="AB4437" s="12" t="s">
        <v>5396</v>
      </c>
      <c r="AC4437">
        <v>468.52519999999998</v>
      </c>
      <c r="AD4437">
        <v>1</v>
      </c>
      <c r="AE4437">
        <v>1</v>
      </c>
      <c r="AF4437">
        <v>0</v>
      </c>
      <c r="AG4437">
        <v>9839.0300000000007</v>
      </c>
      <c r="AH4437">
        <v>21</v>
      </c>
      <c r="AI4437">
        <v>21</v>
      </c>
      <c r="AJ4437">
        <v>0</v>
      </c>
      <c r="AK4437">
        <v>1</v>
      </c>
      <c r="AL4437">
        <v>1</v>
      </c>
      <c r="AM4437">
        <v>100</v>
      </c>
      <c r="AN4437">
        <v>476.5942</v>
      </c>
      <c r="AO4437">
        <v>0</v>
      </c>
      <c r="AP4437" s="13">
        <v>45730</v>
      </c>
      <c r="AQ4437">
        <v>-1</v>
      </c>
      <c r="AR4437">
        <v>1</v>
      </c>
    </row>
    <row r="4438" spans="1:44" x14ac:dyDescent="0.35">
      <c r="A4438" s="12" t="s">
        <v>5397</v>
      </c>
      <c r="B4438" s="12" t="s">
        <v>978</v>
      </c>
      <c r="C4438" s="12" t="s">
        <v>979</v>
      </c>
      <c r="D4438" s="12" t="s">
        <v>122</v>
      </c>
      <c r="E4438" s="12" t="s">
        <v>65</v>
      </c>
      <c r="F4438">
        <v>1</v>
      </c>
      <c r="G4438">
        <v>2</v>
      </c>
      <c r="H4438">
        <v>1</v>
      </c>
      <c r="I4438" s="12" t="s">
        <v>310</v>
      </c>
      <c r="J4438" s="12" t="s">
        <v>311</v>
      </c>
      <c r="K4438" s="12" t="s">
        <v>81</v>
      </c>
      <c r="L4438" s="12" t="s">
        <v>69</v>
      </c>
      <c r="M4438">
        <v>28.3</v>
      </c>
      <c r="N4438" s="12" t="s">
        <v>70</v>
      </c>
      <c r="O4438" s="12" t="s">
        <v>71</v>
      </c>
      <c r="P4438" s="12" t="s">
        <v>72</v>
      </c>
      <c r="Q4438" s="13">
        <v>45709</v>
      </c>
      <c r="R4438" s="13">
        <v>45737</v>
      </c>
      <c r="S4438">
        <v>2025</v>
      </c>
      <c r="T4438" s="12" t="s">
        <v>5260</v>
      </c>
      <c r="U4438">
        <v>977</v>
      </c>
      <c r="V4438">
        <v>43.574800000000003</v>
      </c>
      <c r="W4438">
        <v>581.77</v>
      </c>
      <c r="X4438">
        <v>0</v>
      </c>
      <c r="Y4438">
        <v>0</v>
      </c>
      <c r="Z4438">
        <v>42572.58</v>
      </c>
      <c r="AA4438">
        <v>43154.35</v>
      </c>
      <c r="AB4438" s="12" t="s">
        <v>3471</v>
      </c>
      <c r="AC4438">
        <v>43.574800000000003</v>
      </c>
      <c r="AD4438">
        <v>1</v>
      </c>
      <c r="AE4438">
        <v>1</v>
      </c>
      <c r="AF4438">
        <v>0</v>
      </c>
      <c r="AG4438">
        <v>42572.58</v>
      </c>
      <c r="AH4438">
        <v>977</v>
      </c>
      <c r="AI4438">
        <v>970</v>
      </c>
      <c r="AJ4438">
        <v>7</v>
      </c>
      <c r="AK4438">
        <v>1</v>
      </c>
      <c r="AL4438">
        <v>1</v>
      </c>
      <c r="AM4438">
        <v>99.28</v>
      </c>
      <c r="AN4438">
        <v>44.488999999999997</v>
      </c>
      <c r="AO4438">
        <v>305.02</v>
      </c>
      <c r="AP4438" s="13">
        <v>45734</v>
      </c>
      <c r="AQ4438">
        <v>-3</v>
      </c>
      <c r="AR4438">
        <v>1</v>
      </c>
    </row>
    <row r="4439" spans="1:44" x14ac:dyDescent="0.35">
      <c r="A4439" s="12" t="s">
        <v>5398</v>
      </c>
      <c r="B4439" s="12" t="s">
        <v>1026</v>
      </c>
      <c r="C4439" s="12" t="s">
        <v>1027</v>
      </c>
      <c r="D4439" s="12" t="s">
        <v>122</v>
      </c>
      <c r="E4439" s="12" t="s">
        <v>104</v>
      </c>
      <c r="F4439">
        <v>3</v>
      </c>
      <c r="G4439">
        <v>1</v>
      </c>
      <c r="H4439">
        <v>0</v>
      </c>
      <c r="I4439" s="12" t="s">
        <v>183</v>
      </c>
      <c r="J4439" s="12" t="s">
        <v>184</v>
      </c>
      <c r="K4439" s="12" t="s">
        <v>133</v>
      </c>
      <c r="L4439" s="12" t="s">
        <v>82</v>
      </c>
      <c r="M4439">
        <v>8.6199999999999992</v>
      </c>
      <c r="N4439" s="12" t="s">
        <v>97</v>
      </c>
      <c r="O4439" s="12" t="s">
        <v>98</v>
      </c>
      <c r="P4439" s="12" t="s">
        <v>72</v>
      </c>
      <c r="Q4439" s="13">
        <v>45709</v>
      </c>
      <c r="R4439" s="13">
        <v>45721</v>
      </c>
      <c r="S4439">
        <v>2025</v>
      </c>
      <c r="T4439" s="12" t="s">
        <v>5260</v>
      </c>
      <c r="U4439">
        <v>225</v>
      </c>
      <c r="V4439">
        <v>37.784199999999998</v>
      </c>
      <c r="W4439">
        <v>216.73</v>
      </c>
      <c r="X4439">
        <v>0</v>
      </c>
      <c r="Y4439">
        <v>0</v>
      </c>
      <c r="Z4439">
        <v>8501.4500000000007</v>
      </c>
      <c r="AA4439">
        <v>8718.18</v>
      </c>
      <c r="AB4439" s="12" t="s">
        <v>3447</v>
      </c>
      <c r="AC4439">
        <v>41.511600000000001</v>
      </c>
      <c r="AD4439">
        <v>2</v>
      </c>
      <c r="AE4439">
        <v>1</v>
      </c>
      <c r="AF4439">
        <v>-838.67</v>
      </c>
      <c r="AG4439">
        <v>9340.11</v>
      </c>
      <c r="AH4439">
        <v>225</v>
      </c>
      <c r="AI4439">
        <v>224</v>
      </c>
      <c r="AJ4439">
        <v>1</v>
      </c>
      <c r="AK4439">
        <v>1</v>
      </c>
      <c r="AL4439">
        <v>1</v>
      </c>
      <c r="AM4439">
        <v>99.56</v>
      </c>
      <c r="AN4439">
        <v>38.920400000000001</v>
      </c>
      <c r="AO4439">
        <v>37.78</v>
      </c>
      <c r="AP4439" s="13">
        <v>45719</v>
      </c>
      <c r="AQ4439">
        <v>-2</v>
      </c>
      <c r="AR4439">
        <v>1</v>
      </c>
    </row>
    <row r="4440" spans="1:44" x14ac:dyDescent="0.35">
      <c r="A4440" s="12" t="s">
        <v>5399</v>
      </c>
      <c r="B4440" s="12" t="s">
        <v>869</v>
      </c>
      <c r="C4440" s="12" t="s">
        <v>870</v>
      </c>
      <c r="D4440" s="12" t="s">
        <v>130</v>
      </c>
      <c r="E4440" s="12" t="s">
        <v>104</v>
      </c>
      <c r="F4440">
        <v>2</v>
      </c>
      <c r="G4440">
        <v>0</v>
      </c>
      <c r="H4440">
        <v>0</v>
      </c>
      <c r="I4440" s="12" t="s">
        <v>515</v>
      </c>
      <c r="J4440" s="12" t="s">
        <v>516</v>
      </c>
      <c r="K4440" s="12" t="s">
        <v>68</v>
      </c>
      <c r="L4440" s="12" t="s">
        <v>134</v>
      </c>
      <c r="M4440">
        <v>3.69</v>
      </c>
      <c r="N4440" s="12" t="s">
        <v>135</v>
      </c>
      <c r="O4440" s="12" t="s">
        <v>136</v>
      </c>
      <c r="P4440" s="12" t="s">
        <v>137</v>
      </c>
      <c r="Q4440" s="13">
        <v>45709</v>
      </c>
      <c r="R4440" s="13">
        <v>45722</v>
      </c>
      <c r="S4440">
        <v>2025</v>
      </c>
      <c r="T4440" s="12" t="s">
        <v>5260</v>
      </c>
      <c r="U4440">
        <v>21</v>
      </c>
      <c r="V4440">
        <v>629.9692</v>
      </c>
      <c r="W4440">
        <v>177.24</v>
      </c>
      <c r="X4440">
        <v>0</v>
      </c>
      <c r="Y4440">
        <v>0</v>
      </c>
      <c r="Z4440">
        <v>13229.35</v>
      </c>
      <c r="AA4440">
        <v>13406.59</v>
      </c>
      <c r="AB4440" s="12" t="s">
        <v>201</v>
      </c>
      <c r="AD4440">
        <v>0</v>
      </c>
      <c r="AE4440">
        <v>0</v>
      </c>
      <c r="AH4440">
        <v>21</v>
      </c>
      <c r="AI4440">
        <v>21</v>
      </c>
      <c r="AJ4440">
        <v>0</v>
      </c>
      <c r="AK4440">
        <v>1</v>
      </c>
      <c r="AL4440">
        <v>1</v>
      </c>
      <c r="AM4440">
        <v>100</v>
      </c>
      <c r="AN4440">
        <v>638.40920000000006</v>
      </c>
      <c r="AO4440">
        <v>0</v>
      </c>
      <c r="AP4440" s="13">
        <v>45721</v>
      </c>
      <c r="AQ4440">
        <v>-1</v>
      </c>
      <c r="AR4440">
        <v>1</v>
      </c>
    </row>
    <row r="4441" spans="1:44" x14ac:dyDescent="0.35">
      <c r="A4441" s="12" t="s">
        <v>5400</v>
      </c>
      <c r="B4441" s="12" t="s">
        <v>941</v>
      </c>
      <c r="C4441" s="12" t="s">
        <v>942</v>
      </c>
      <c r="D4441" s="12" t="s">
        <v>130</v>
      </c>
      <c r="E4441" s="12" t="s">
        <v>104</v>
      </c>
      <c r="F4441">
        <v>2</v>
      </c>
      <c r="G4441">
        <v>0</v>
      </c>
      <c r="H4441">
        <v>0</v>
      </c>
      <c r="I4441" s="12" t="s">
        <v>131</v>
      </c>
      <c r="J4441" s="12" t="s">
        <v>132</v>
      </c>
      <c r="K4441" s="12" t="s">
        <v>133</v>
      </c>
      <c r="L4441" s="12" t="s">
        <v>134</v>
      </c>
      <c r="M4441">
        <v>1.51</v>
      </c>
      <c r="N4441" s="12" t="s">
        <v>135</v>
      </c>
      <c r="O4441" s="12" t="s">
        <v>136</v>
      </c>
      <c r="P4441" s="12" t="s">
        <v>137</v>
      </c>
      <c r="Q4441" s="13">
        <v>45709</v>
      </c>
      <c r="R4441" s="13">
        <v>45737</v>
      </c>
      <c r="S4441">
        <v>2025</v>
      </c>
      <c r="T4441" s="12" t="s">
        <v>5260</v>
      </c>
      <c r="U4441">
        <v>139</v>
      </c>
      <c r="V4441">
        <v>839.4819</v>
      </c>
      <c r="W4441">
        <v>2090.7399999999998</v>
      </c>
      <c r="X4441">
        <v>0</v>
      </c>
      <c r="Y4441">
        <v>0</v>
      </c>
      <c r="Z4441">
        <v>116687.98</v>
      </c>
      <c r="AA4441">
        <v>118778.72</v>
      </c>
      <c r="AB4441" s="12" t="s">
        <v>3518</v>
      </c>
      <c r="AC4441">
        <v>839.4819</v>
      </c>
      <c r="AD4441">
        <v>1</v>
      </c>
      <c r="AE4441">
        <v>1</v>
      </c>
      <c r="AF4441">
        <v>0</v>
      </c>
      <c r="AG4441">
        <v>116687.98</v>
      </c>
      <c r="AH4441">
        <v>139</v>
      </c>
      <c r="AI4441">
        <v>125</v>
      </c>
      <c r="AJ4441">
        <v>14</v>
      </c>
      <c r="AK4441">
        <v>1</v>
      </c>
      <c r="AL4441">
        <v>1</v>
      </c>
      <c r="AM4441">
        <v>89.93</v>
      </c>
      <c r="AN4441">
        <v>950.22979999999995</v>
      </c>
      <c r="AO4441">
        <v>11752.75</v>
      </c>
      <c r="AP4441" s="13">
        <v>45735</v>
      </c>
      <c r="AQ4441">
        <v>-2</v>
      </c>
      <c r="AR4441">
        <v>1</v>
      </c>
    </row>
    <row r="4442" spans="1:44" x14ac:dyDescent="0.35">
      <c r="A4442" s="12" t="s">
        <v>5401</v>
      </c>
      <c r="B4442" s="12" t="s">
        <v>924</v>
      </c>
      <c r="C4442" s="12" t="s">
        <v>925</v>
      </c>
      <c r="D4442" s="12" t="s">
        <v>103</v>
      </c>
      <c r="E4442" s="12" t="s">
        <v>104</v>
      </c>
      <c r="F4442">
        <v>2</v>
      </c>
      <c r="G4442">
        <v>0</v>
      </c>
      <c r="H4442">
        <v>0</v>
      </c>
      <c r="I4442" s="12" t="s">
        <v>335</v>
      </c>
      <c r="J4442" s="12" t="s">
        <v>336</v>
      </c>
      <c r="K4442" s="12" t="s">
        <v>89</v>
      </c>
      <c r="L4442" s="12" t="s">
        <v>82</v>
      </c>
      <c r="M4442">
        <v>16</v>
      </c>
      <c r="N4442" s="12" t="s">
        <v>107</v>
      </c>
      <c r="O4442" s="12" t="s">
        <v>108</v>
      </c>
      <c r="P4442" s="12" t="s">
        <v>109</v>
      </c>
      <c r="Q4442" s="13">
        <v>45709</v>
      </c>
      <c r="R4442" s="13">
        <v>45727</v>
      </c>
      <c r="S4442">
        <v>2025</v>
      </c>
      <c r="T4442" s="12" t="s">
        <v>5260</v>
      </c>
      <c r="U4442">
        <v>61</v>
      </c>
      <c r="V4442">
        <v>162.47659999999999</v>
      </c>
      <c r="W4442">
        <v>189.21</v>
      </c>
      <c r="X4442">
        <v>0</v>
      </c>
      <c r="Y4442">
        <v>0</v>
      </c>
      <c r="Z4442">
        <v>9911.07</v>
      </c>
      <c r="AA4442">
        <v>10100.280000000001</v>
      </c>
      <c r="AB4442" s="12" t="s">
        <v>201</v>
      </c>
      <c r="AD4442">
        <v>0</v>
      </c>
      <c r="AE4442">
        <v>0</v>
      </c>
      <c r="AH4442">
        <v>61</v>
      </c>
      <c r="AI4442">
        <v>61</v>
      </c>
      <c r="AJ4442">
        <v>0</v>
      </c>
      <c r="AK4442">
        <v>1</v>
      </c>
      <c r="AL4442">
        <v>1</v>
      </c>
      <c r="AM4442">
        <v>100</v>
      </c>
      <c r="AN4442">
        <v>165.57839999999999</v>
      </c>
      <c r="AO4442">
        <v>0</v>
      </c>
      <c r="AP4442" s="13">
        <v>45727</v>
      </c>
      <c r="AQ4442">
        <v>0</v>
      </c>
      <c r="AR4442">
        <v>1</v>
      </c>
    </row>
    <row r="4443" spans="1:44" x14ac:dyDescent="0.35">
      <c r="A4443" s="12" t="s">
        <v>5402</v>
      </c>
      <c r="B4443" s="12" t="s">
        <v>792</v>
      </c>
      <c r="C4443" s="12" t="s">
        <v>793</v>
      </c>
      <c r="D4443" s="12" t="s">
        <v>103</v>
      </c>
      <c r="E4443" s="12" t="s">
        <v>65</v>
      </c>
      <c r="F4443">
        <v>2</v>
      </c>
      <c r="G4443">
        <v>3</v>
      </c>
      <c r="H4443">
        <v>0</v>
      </c>
      <c r="I4443" s="12" t="s">
        <v>115</v>
      </c>
      <c r="J4443" s="12" t="s">
        <v>116</v>
      </c>
      <c r="K4443" s="12" t="s">
        <v>117</v>
      </c>
      <c r="L4443" s="12" t="s">
        <v>82</v>
      </c>
      <c r="M4443">
        <v>17.170000000000002</v>
      </c>
      <c r="N4443" s="12" t="s">
        <v>145</v>
      </c>
      <c r="O4443" s="12" t="s">
        <v>146</v>
      </c>
      <c r="P4443" s="12" t="s">
        <v>109</v>
      </c>
      <c r="Q4443" s="13">
        <v>45709</v>
      </c>
      <c r="R4443" s="13">
        <v>45734</v>
      </c>
      <c r="S4443">
        <v>2025</v>
      </c>
      <c r="T4443" s="12" t="s">
        <v>5260</v>
      </c>
      <c r="U4443">
        <v>47</v>
      </c>
      <c r="V4443">
        <v>98.330600000000004</v>
      </c>
      <c r="W4443">
        <v>80.099999999999994</v>
      </c>
      <c r="X4443">
        <v>0</v>
      </c>
      <c r="Y4443">
        <v>0</v>
      </c>
      <c r="Z4443">
        <v>4621.54</v>
      </c>
      <c r="AA4443">
        <v>4701.6400000000003</v>
      </c>
      <c r="AB4443" s="12" t="s">
        <v>3411</v>
      </c>
      <c r="AC4443">
        <v>98.330600000000004</v>
      </c>
      <c r="AD4443">
        <v>1</v>
      </c>
      <c r="AE4443">
        <v>1</v>
      </c>
      <c r="AF4443">
        <v>0</v>
      </c>
      <c r="AG4443">
        <v>4621.54</v>
      </c>
      <c r="AH4443">
        <v>47</v>
      </c>
      <c r="AI4443">
        <v>47</v>
      </c>
      <c r="AJ4443">
        <v>0</v>
      </c>
      <c r="AK4443">
        <v>1</v>
      </c>
      <c r="AL4443">
        <v>1</v>
      </c>
      <c r="AM4443">
        <v>100</v>
      </c>
      <c r="AN4443">
        <v>100.03489999999999</v>
      </c>
      <c r="AO4443">
        <v>0</v>
      </c>
      <c r="AP4443" s="13">
        <v>45743</v>
      </c>
      <c r="AQ4443">
        <v>9</v>
      </c>
      <c r="AR4443">
        <v>0</v>
      </c>
    </row>
    <row r="4444" spans="1:44" x14ac:dyDescent="0.35">
      <c r="A4444" s="12" t="s">
        <v>5403</v>
      </c>
      <c r="B4444" s="12" t="s">
        <v>149</v>
      </c>
      <c r="C4444" s="12" t="s">
        <v>150</v>
      </c>
      <c r="D4444" s="12" t="s">
        <v>78</v>
      </c>
      <c r="E4444" s="12" t="s">
        <v>65</v>
      </c>
      <c r="F4444">
        <v>2</v>
      </c>
      <c r="G4444">
        <v>2</v>
      </c>
      <c r="H4444">
        <v>0</v>
      </c>
      <c r="I4444" s="12" t="s">
        <v>151</v>
      </c>
      <c r="J4444" s="12" t="s">
        <v>152</v>
      </c>
      <c r="K4444" s="12" t="s">
        <v>125</v>
      </c>
      <c r="L4444" s="12" t="s">
        <v>69</v>
      </c>
      <c r="M4444">
        <v>36.479999999999997</v>
      </c>
      <c r="N4444" s="12" t="s">
        <v>70</v>
      </c>
      <c r="O4444" s="12" t="s">
        <v>71</v>
      </c>
      <c r="P4444" s="12" t="s">
        <v>72</v>
      </c>
      <c r="Q4444" s="13">
        <v>45709</v>
      </c>
      <c r="R4444" s="13">
        <v>45732</v>
      </c>
      <c r="S4444">
        <v>2025</v>
      </c>
      <c r="T4444" s="12" t="s">
        <v>5260</v>
      </c>
      <c r="U4444">
        <v>73</v>
      </c>
      <c r="V4444">
        <v>65.934700000000007</v>
      </c>
      <c r="W4444">
        <v>44.07</v>
      </c>
      <c r="X4444">
        <v>0</v>
      </c>
      <c r="Y4444">
        <v>0</v>
      </c>
      <c r="Z4444">
        <v>4813.2299999999996</v>
      </c>
      <c r="AA4444">
        <v>4857.3</v>
      </c>
      <c r="AB4444" s="12" t="s">
        <v>5076</v>
      </c>
      <c r="AC4444">
        <v>65.934700000000007</v>
      </c>
      <c r="AD4444">
        <v>1</v>
      </c>
      <c r="AE4444">
        <v>1</v>
      </c>
      <c r="AF4444">
        <v>0</v>
      </c>
      <c r="AG4444">
        <v>4813.2299999999996</v>
      </c>
      <c r="AK4444">
        <v>0</v>
      </c>
      <c r="AL4444">
        <v>0</v>
      </c>
      <c r="AO4444">
        <v>0</v>
      </c>
      <c r="AP4444" s="13"/>
    </row>
    <row r="4445" spans="1:44" x14ac:dyDescent="0.35">
      <c r="A4445" s="12" t="s">
        <v>5404</v>
      </c>
      <c r="B4445" s="12" t="s">
        <v>747</v>
      </c>
      <c r="C4445" s="12" t="s">
        <v>748</v>
      </c>
      <c r="D4445" s="12" t="s">
        <v>114</v>
      </c>
      <c r="E4445" s="12" t="s">
        <v>104</v>
      </c>
      <c r="F4445">
        <v>2</v>
      </c>
      <c r="G4445">
        <v>0</v>
      </c>
      <c r="H4445">
        <v>0</v>
      </c>
      <c r="I4445" s="12" t="s">
        <v>380</v>
      </c>
      <c r="J4445" s="12" t="s">
        <v>381</v>
      </c>
      <c r="K4445" s="12" t="s">
        <v>89</v>
      </c>
      <c r="L4445" s="12" t="s">
        <v>96</v>
      </c>
      <c r="M4445">
        <v>10.210000000000001</v>
      </c>
      <c r="N4445" s="12" t="s">
        <v>70</v>
      </c>
      <c r="O4445" s="12" t="s">
        <v>71</v>
      </c>
      <c r="P4445" s="12" t="s">
        <v>72</v>
      </c>
      <c r="Q4445" s="13">
        <v>45712</v>
      </c>
      <c r="R4445" s="13">
        <v>45733</v>
      </c>
      <c r="S4445">
        <v>2025</v>
      </c>
      <c r="T4445" s="12" t="s">
        <v>5260</v>
      </c>
      <c r="U4445">
        <v>84</v>
      </c>
      <c r="V4445">
        <v>242.0575</v>
      </c>
      <c r="W4445">
        <v>265.02999999999997</v>
      </c>
      <c r="X4445">
        <v>0</v>
      </c>
      <c r="Y4445">
        <v>0</v>
      </c>
      <c r="Z4445">
        <v>20332.830000000002</v>
      </c>
      <c r="AA4445">
        <v>20597.86</v>
      </c>
      <c r="AB4445" s="12" t="s">
        <v>3072</v>
      </c>
      <c r="AC4445">
        <v>242.0575</v>
      </c>
      <c r="AD4445">
        <v>1</v>
      </c>
      <c r="AE4445">
        <v>1</v>
      </c>
      <c r="AF4445">
        <v>0</v>
      </c>
      <c r="AG4445">
        <v>20332.830000000002</v>
      </c>
      <c r="AH4445">
        <v>84</v>
      </c>
      <c r="AI4445">
        <v>83</v>
      </c>
      <c r="AJ4445">
        <v>1</v>
      </c>
      <c r="AK4445">
        <v>1</v>
      </c>
      <c r="AL4445">
        <v>1</v>
      </c>
      <c r="AM4445">
        <v>98.81</v>
      </c>
      <c r="AN4445">
        <v>248.167</v>
      </c>
      <c r="AO4445">
        <v>242.06</v>
      </c>
      <c r="AP4445" s="13">
        <v>45730</v>
      </c>
      <c r="AQ4445">
        <v>-3</v>
      </c>
      <c r="AR4445">
        <v>1</v>
      </c>
    </row>
    <row r="4446" spans="1:44" x14ac:dyDescent="0.35">
      <c r="A4446" s="12" t="s">
        <v>5405</v>
      </c>
      <c r="B4446" s="12" t="s">
        <v>451</v>
      </c>
      <c r="C4446" s="12" t="s">
        <v>452</v>
      </c>
      <c r="D4446" s="12" t="s">
        <v>175</v>
      </c>
      <c r="E4446" s="12" t="s">
        <v>104</v>
      </c>
      <c r="F4446">
        <v>3</v>
      </c>
      <c r="G4446">
        <v>1</v>
      </c>
      <c r="H4446">
        <v>0</v>
      </c>
      <c r="I4446" s="12" t="s">
        <v>176</v>
      </c>
      <c r="J4446" s="12" t="s">
        <v>177</v>
      </c>
      <c r="K4446" s="12" t="s">
        <v>125</v>
      </c>
      <c r="L4446" s="12" t="s">
        <v>134</v>
      </c>
      <c r="M4446">
        <v>1.75</v>
      </c>
      <c r="N4446" s="12" t="s">
        <v>145</v>
      </c>
      <c r="O4446" s="12" t="s">
        <v>146</v>
      </c>
      <c r="P4446" s="12" t="s">
        <v>109</v>
      </c>
      <c r="Q4446" s="13">
        <v>45712</v>
      </c>
      <c r="R4446" s="13">
        <v>45732</v>
      </c>
      <c r="S4446">
        <v>2025</v>
      </c>
      <c r="T4446" s="12" t="s">
        <v>5260</v>
      </c>
      <c r="U4446">
        <v>78</v>
      </c>
      <c r="V4446">
        <v>254.13499999999999</v>
      </c>
      <c r="W4446">
        <v>182.6</v>
      </c>
      <c r="X4446">
        <v>0</v>
      </c>
      <c r="Y4446">
        <v>0</v>
      </c>
      <c r="Z4446">
        <v>19822.53</v>
      </c>
      <c r="AA4446">
        <v>20005.13</v>
      </c>
      <c r="AB4446" s="12" t="s">
        <v>5406</v>
      </c>
      <c r="AC4446">
        <v>254.13499999999999</v>
      </c>
      <c r="AD4446">
        <v>1</v>
      </c>
      <c r="AE4446">
        <v>1</v>
      </c>
      <c r="AF4446">
        <v>0</v>
      </c>
      <c r="AG4446">
        <v>19822.53</v>
      </c>
      <c r="AH4446">
        <v>78</v>
      </c>
      <c r="AI4446">
        <v>77</v>
      </c>
      <c r="AJ4446">
        <v>1</v>
      </c>
      <c r="AK4446">
        <v>1</v>
      </c>
      <c r="AL4446">
        <v>1</v>
      </c>
      <c r="AM4446">
        <v>98.72</v>
      </c>
      <c r="AN4446">
        <v>259.80689999999998</v>
      </c>
      <c r="AO4446">
        <v>254.14</v>
      </c>
      <c r="AP4446" s="13">
        <v>45729</v>
      </c>
      <c r="AQ4446">
        <v>-3</v>
      </c>
      <c r="AR4446">
        <v>1</v>
      </c>
    </row>
    <row r="4447" spans="1:44" x14ac:dyDescent="0.35">
      <c r="A4447" s="12" t="s">
        <v>5407</v>
      </c>
      <c r="B4447" s="12" t="s">
        <v>990</v>
      </c>
      <c r="C4447" s="12" t="s">
        <v>991</v>
      </c>
      <c r="D4447" s="12" t="s">
        <v>122</v>
      </c>
      <c r="E4447" s="12" t="s">
        <v>142</v>
      </c>
      <c r="F4447">
        <v>1</v>
      </c>
      <c r="G4447">
        <v>6</v>
      </c>
      <c r="H4447">
        <v>1</v>
      </c>
      <c r="I4447" s="12" t="s">
        <v>217</v>
      </c>
      <c r="J4447" s="12" t="s">
        <v>218</v>
      </c>
      <c r="K4447" s="12" t="s">
        <v>68</v>
      </c>
      <c r="L4447" s="12" t="s">
        <v>82</v>
      </c>
      <c r="M4447">
        <v>14.24</v>
      </c>
      <c r="N4447" s="12" t="s">
        <v>97</v>
      </c>
      <c r="O4447" s="12" t="s">
        <v>98</v>
      </c>
      <c r="P4447" s="12" t="s">
        <v>72</v>
      </c>
      <c r="Q4447" s="13">
        <v>45712</v>
      </c>
      <c r="R4447" s="13">
        <v>45753</v>
      </c>
      <c r="S4447">
        <v>2025</v>
      </c>
      <c r="T4447" s="12" t="s">
        <v>5260</v>
      </c>
      <c r="U4447">
        <v>820</v>
      </c>
      <c r="V4447">
        <v>33.6252</v>
      </c>
      <c r="W4447">
        <v>663.62</v>
      </c>
      <c r="X4447">
        <v>0</v>
      </c>
      <c r="Y4447">
        <v>0</v>
      </c>
      <c r="Z4447">
        <v>27572.66</v>
      </c>
      <c r="AA4447">
        <v>28236.28</v>
      </c>
      <c r="AB4447" s="12" t="s">
        <v>3368</v>
      </c>
      <c r="AC4447">
        <v>33.6252</v>
      </c>
      <c r="AD4447">
        <v>1</v>
      </c>
      <c r="AE4447">
        <v>1</v>
      </c>
      <c r="AF4447">
        <v>0</v>
      </c>
      <c r="AG4447">
        <v>27572.66</v>
      </c>
      <c r="AH4447">
        <v>820</v>
      </c>
      <c r="AI4447">
        <v>814</v>
      </c>
      <c r="AJ4447">
        <v>6</v>
      </c>
      <c r="AK4447">
        <v>1</v>
      </c>
      <c r="AL4447">
        <v>1</v>
      </c>
      <c r="AM4447">
        <v>99.27</v>
      </c>
      <c r="AN4447">
        <v>34.688299999999998</v>
      </c>
      <c r="AO4447">
        <v>201.75</v>
      </c>
      <c r="AP4447" s="13">
        <v>45751</v>
      </c>
      <c r="AQ4447">
        <v>-2</v>
      </c>
      <c r="AR4447">
        <v>1</v>
      </c>
    </row>
    <row r="4448" spans="1:44" x14ac:dyDescent="0.35">
      <c r="A4448" s="12" t="s">
        <v>5408</v>
      </c>
      <c r="B4448" s="12" t="s">
        <v>728</v>
      </c>
      <c r="C4448" s="12" t="s">
        <v>729</v>
      </c>
      <c r="D4448" s="12" t="s">
        <v>269</v>
      </c>
      <c r="E4448" s="12" t="s">
        <v>65</v>
      </c>
      <c r="F4448">
        <v>2</v>
      </c>
      <c r="G4448">
        <v>3</v>
      </c>
      <c r="H4448">
        <v>0</v>
      </c>
      <c r="I4448" s="12" t="s">
        <v>310</v>
      </c>
      <c r="J4448" s="12" t="s">
        <v>311</v>
      </c>
      <c r="K4448" s="12" t="s">
        <v>81</v>
      </c>
      <c r="L4448" s="12" t="s">
        <v>69</v>
      </c>
      <c r="M4448">
        <v>28.3</v>
      </c>
      <c r="N4448" s="12" t="s">
        <v>159</v>
      </c>
      <c r="O4448" s="12" t="s">
        <v>160</v>
      </c>
      <c r="P4448" s="12" t="s">
        <v>137</v>
      </c>
      <c r="Q4448" s="13">
        <v>45712</v>
      </c>
      <c r="R4448" s="13">
        <v>45744</v>
      </c>
      <c r="S4448">
        <v>2025</v>
      </c>
      <c r="T4448" s="12" t="s">
        <v>5260</v>
      </c>
      <c r="U4448">
        <v>96</v>
      </c>
      <c r="V4448">
        <v>364.55509999999998</v>
      </c>
      <c r="W4448">
        <v>254.75</v>
      </c>
      <c r="X4448">
        <v>0</v>
      </c>
      <c r="Y4448">
        <v>0</v>
      </c>
      <c r="Z4448">
        <v>34997.29</v>
      </c>
      <c r="AA4448">
        <v>35252.04</v>
      </c>
      <c r="AB4448" s="12" t="s">
        <v>3329</v>
      </c>
      <c r="AC4448">
        <v>364.55509999999998</v>
      </c>
      <c r="AD4448">
        <v>1</v>
      </c>
      <c r="AE4448">
        <v>1</v>
      </c>
      <c r="AF4448">
        <v>0</v>
      </c>
      <c r="AG4448">
        <v>34997.29</v>
      </c>
      <c r="AH4448">
        <v>96</v>
      </c>
      <c r="AI4448">
        <v>95</v>
      </c>
      <c r="AJ4448">
        <v>1</v>
      </c>
      <c r="AK4448">
        <v>1</v>
      </c>
      <c r="AL4448">
        <v>1</v>
      </c>
      <c r="AM4448">
        <v>98.96</v>
      </c>
      <c r="AN4448">
        <v>371.07409999999999</v>
      </c>
      <c r="AO4448">
        <v>364.56</v>
      </c>
      <c r="AP4448" s="13">
        <v>45744</v>
      </c>
      <c r="AQ4448">
        <v>0</v>
      </c>
      <c r="AR4448">
        <v>1</v>
      </c>
    </row>
    <row r="4449" spans="1:44" x14ac:dyDescent="0.35">
      <c r="A4449" s="12" t="s">
        <v>5409</v>
      </c>
      <c r="B4449" s="12" t="s">
        <v>255</v>
      </c>
      <c r="C4449" s="12" t="s">
        <v>256</v>
      </c>
      <c r="D4449" s="12" t="s">
        <v>103</v>
      </c>
      <c r="E4449" s="12" t="s">
        <v>65</v>
      </c>
      <c r="F4449">
        <v>2</v>
      </c>
      <c r="G4449">
        <v>4</v>
      </c>
      <c r="H4449">
        <v>0</v>
      </c>
      <c r="I4449" s="12" t="s">
        <v>251</v>
      </c>
      <c r="J4449" s="12" t="s">
        <v>252</v>
      </c>
      <c r="K4449" s="12" t="s">
        <v>133</v>
      </c>
      <c r="L4449" s="12" t="s">
        <v>69</v>
      </c>
      <c r="M4449">
        <v>34.49</v>
      </c>
      <c r="N4449" s="12" t="s">
        <v>145</v>
      </c>
      <c r="O4449" s="12" t="s">
        <v>146</v>
      </c>
      <c r="P4449" s="12" t="s">
        <v>109</v>
      </c>
      <c r="Q4449" s="13">
        <v>45712</v>
      </c>
      <c r="R4449" s="13">
        <v>45748</v>
      </c>
      <c r="S4449">
        <v>2025</v>
      </c>
      <c r="T4449" s="12" t="s">
        <v>5260</v>
      </c>
      <c r="U4449">
        <v>130</v>
      </c>
      <c r="V4449">
        <v>93.480699999999999</v>
      </c>
      <c r="W4449">
        <v>262.95</v>
      </c>
      <c r="X4449">
        <v>0</v>
      </c>
      <c r="Y4449">
        <v>0</v>
      </c>
      <c r="Z4449">
        <v>12152.49</v>
      </c>
      <c r="AA4449">
        <v>12415.44</v>
      </c>
      <c r="AB4449" s="12" t="s">
        <v>5410</v>
      </c>
      <c r="AC4449">
        <v>93.480699999999999</v>
      </c>
      <c r="AD4449">
        <v>1</v>
      </c>
      <c r="AE4449">
        <v>1</v>
      </c>
      <c r="AF4449">
        <v>0</v>
      </c>
      <c r="AG4449">
        <v>12152.49</v>
      </c>
      <c r="AH4449">
        <v>130</v>
      </c>
      <c r="AI4449">
        <v>128</v>
      </c>
      <c r="AJ4449">
        <v>2</v>
      </c>
      <c r="AK4449">
        <v>1</v>
      </c>
      <c r="AL4449">
        <v>1</v>
      </c>
      <c r="AM4449">
        <v>98.46</v>
      </c>
      <c r="AN4449">
        <v>96.995599999999996</v>
      </c>
      <c r="AO4449">
        <v>186.96</v>
      </c>
      <c r="AP4449" s="13">
        <v>45748</v>
      </c>
      <c r="AQ4449">
        <v>0</v>
      </c>
      <c r="AR4449">
        <v>1</v>
      </c>
    </row>
    <row r="4450" spans="1:44" x14ac:dyDescent="0.35">
      <c r="A4450" s="12" t="s">
        <v>5411</v>
      </c>
      <c r="B4450" s="12" t="s">
        <v>548</v>
      </c>
      <c r="C4450" s="12" t="s">
        <v>549</v>
      </c>
      <c r="D4450" s="12" t="s">
        <v>78</v>
      </c>
      <c r="E4450" s="12" t="s">
        <v>104</v>
      </c>
      <c r="F4450">
        <v>3</v>
      </c>
      <c r="G4450">
        <v>1</v>
      </c>
      <c r="H4450">
        <v>0</v>
      </c>
      <c r="I4450" s="12" t="s">
        <v>199</v>
      </c>
      <c r="J4450" s="12" t="s">
        <v>200</v>
      </c>
      <c r="K4450" s="12" t="s">
        <v>68</v>
      </c>
      <c r="L4450" s="12" t="s">
        <v>96</v>
      </c>
      <c r="M4450">
        <v>9.4700000000000006</v>
      </c>
      <c r="N4450" s="12" t="s">
        <v>97</v>
      </c>
      <c r="O4450" s="12" t="s">
        <v>98</v>
      </c>
      <c r="P4450" s="12" t="s">
        <v>72</v>
      </c>
      <c r="Q4450" s="13">
        <v>45713</v>
      </c>
      <c r="R4450" s="13">
        <v>45735</v>
      </c>
      <c r="S4450">
        <v>2025</v>
      </c>
      <c r="T4450" s="12" t="s">
        <v>5260</v>
      </c>
      <c r="U4450">
        <v>194</v>
      </c>
      <c r="V4450">
        <v>59.1252</v>
      </c>
      <c r="W4450">
        <v>112.11</v>
      </c>
      <c r="X4450">
        <v>0</v>
      </c>
      <c r="Y4450">
        <v>0</v>
      </c>
      <c r="Z4450">
        <v>11470.29</v>
      </c>
      <c r="AA4450">
        <v>11582.4</v>
      </c>
      <c r="AB4450" s="12" t="s">
        <v>3564</v>
      </c>
      <c r="AC4450">
        <v>59.1252</v>
      </c>
      <c r="AD4450">
        <v>1</v>
      </c>
      <c r="AE4450">
        <v>1</v>
      </c>
      <c r="AF4450">
        <v>0</v>
      </c>
      <c r="AG4450">
        <v>11470.29</v>
      </c>
      <c r="AH4450">
        <v>194</v>
      </c>
      <c r="AI4450">
        <v>189</v>
      </c>
      <c r="AJ4450">
        <v>5</v>
      </c>
      <c r="AK4450">
        <v>1</v>
      </c>
      <c r="AL4450">
        <v>1</v>
      </c>
      <c r="AM4450">
        <v>97.42</v>
      </c>
      <c r="AN4450">
        <v>61.282499999999999</v>
      </c>
      <c r="AO4450">
        <v>295.63</v>
      </c>
      <c r="AP4450" s="13">
        <v>45740</v>
      </c>
      <c r="AQ4450">
        <v>5</v>
      </c>
      <c r="AR4450">
        <v>0</v>
      </c>
    </row>
    <row r="4451" spans="1:44" x14ac:dyDescent="0.35">
      <c r="A4451" s="12" t="s">
        <v>5412</v>
      </c>
      <c r="B4451" s="12" t="s">
        <v>395</v>
      </c>
      <c r="C4451" s="12" t="s">
        <v>396</v>
      </c>
      <c r="D4451" s="12" t="s">
        <v>130</v>
      </c>
      <c r="E4451" s="12" t="s">
        <v>104</v>
      </c>
      <c r="F4451">
        <v>3</v>
      </c>
      <c r="G4451">
        <v>1</v>
      </c>
      <c r="H4451">
        <v>0</v>
      </c>
      <c r="I4451" s="12" t="s">
        <v>341</v>
      </c>
      <c r="J4451" s="12" t="s">
        <v>342</v>
      </c>
      <c r="K4451" s="12" t="s">
        <v>117</v>
      </c>
      <c r="L4451" s="12" t="s">
        <v>82</v>
      </c>
      <c r="M4451">
        <v>18.36</v>
      </c>
      <c r="N4451" s="12" t="s">
        <v>159</v>
      </c>
      <c r="O4451" s="12" t="s">
        <v>160</v>
      </c>
      <c r="P4451" s="12" t="s">
        <v>137</v>
      </c>
      <c r="Q4451" s="13">
        <v>45713</v>
      </c>
      <c r="R4451" s="13">
        <v>45727</v>
      </c>
      <c r="S4451">
        <v>2025</v>
      </c>
      <c r="T4451" s="12" t="s">
        <v>5260</v>
      </c>
      <c r="U4451">
        <v>28</v>
      </c>
      <c r="V4451">
        <v>159.31549999999999</v>
      </c>
      <c r="W4451">
        <v>31.57</v>
      </c>
      <c r="X4451">
        <v>0</v>
      </c>
      <c r="Y4451">
        <v>0</v>
      </c>
      <c r="Z4451">
        <v>4460.83</v>
      </c>
      <c r="AA4451">
        <v>4492.3999999999996</v>
      </c>
      <c r="AB4451" s="12" t="s">
        <v>5282</v>
      </c>
      <c r="AC4451">
        <v>159.31549999999999</v>
      </c>
      <c r="AD4451">
        <v>1</v>
      </c>
      <c r="AE4451">
        <v>1</v>
      </c>
      <c r="AF4451">
        <v>0</v>
      </c>
      <c r="AG4451">
        <v>4460.83</v>
      </c>
      <c r="AH4451">
        <v>28</v>
      </c>
      <c r="AI4451">
        <v>28</v>
      </c>
      <c r="AJ4451">
        <v>0</v>
      </c>
      <c r="AK4451">
        <v>1</v>
      </c>
      <c r="AL4451">
        <v>1</v>
      </c>
      <c r="AM4451">
        <v>100</v>
      </c>
      <c r="AN4451">
        <v>160.44300000000001</v>
      </c>
      <c r="AO4451">
        <v>0</v>
      </c>
      <c r="AP4451" s="13">
        <v>45727</v>
      </c>
      <c r="AQ4451">
        <v>0</v>
      </c>
      <c r="AR4451">
        <v>1</v>
      </c>
    </row>
    <row r="4452" spans="1:44" x14ac:dyDescent="0.35">
      <c r="A4452" s="12" t="s">
        <v>5413</v>
      </c>
      <c r="B4452" s="12" t="s">
        <v>408</v>
      </c>
      <c r="C4452" s="12" t="s">
        <v>409</v>
      </c>
      <c r="D4452" s="12" t="s">
        <v>130</v>
      </c>
      <c r="E4452" s="12" t="s">
        <v>65</v>
      </c>
      <c r="F4452">
        <v>3</v>
      </c>
      <c r="G4452">
        <v>5</v>
      </c>
      <c r="H4452">
        <v>0</v>
      </c>
      <c r="I4452" s="12" t="s">
        <v>105</v>
      </c>
      <c r="J4452" s="12" t="s">
        <v>106</v>
      </c>
      <c r="K4452" s="12" t="s">
        <v>81</v>
      </c>
      <c r="L4452" s="12" t="s">
        <v>96</v>
      </c>
      <c r="M4452">
        <v>5.01</v>
      </c>
      <c r="N4452" s="12" t="s">
        <v>135</v>
      </c>
      <c r="O4452" s="12" t="s">
        <v>136</v>
      </c>
      <c r="P4452" s="12" t="s">
        <v>137</v>
      </c>
      <c r="Q4452" s="13">
        <v>45713</v>
      </c>
      <c r="R4452" s="13">
        <v>45742</v>
      </c>
      <c r="S4452">
        <v>2025</v>
      </c>
      <c r="T4452" s="12" t="s">
        <v>5260</v>
      </c>
      <c r="U4452">
        <v>72</v>
      </c>
      <c r="V4452">
        <v>762.2242</v>
      </c>
      <c r="W4452">
        <v>999.05</v>
      </c>
      <c r="X4452">
        <v>0</v>
      </c>
      <c r="Y4452">
        <v>0</v>
      </c>
      <c r="Z4452">
        <v>54880.14</v>
      </c>
      <c r="AA4452">
        <v>55879.19</v>
      </c>
      <c r="AB4452" s="12" t="s">
        <v>3038</v>
      </c>
      <c r="AC4452">
        <v>746.87909999999999</v>
      </c>
      <c r="AD4452">
        <v>1</v>
      </c>
      <c r="AE4452">
        <v>1</v>
      </c>
      <c r="AF4452">
        <v>1104.8499999999999</v>
      </c>
      <c r="AG4452">
        <v>53775.3</v>
      </c>
      <c r="AH4452">
        <v>72</v>
      </c>
      <c r="AI4452">
        <v>71</v>
      </c>
      <c r="AJ4452">
        <v>1</v>
      </c>
      <c r="AK4452">
        <v>1</v>
      </c>
      <c r="AL4452">
        <v>1</v>
      </c>
      <c r="AM4452">
        <v>98.61</v>
      </c>
      <c r="AN4452">
        <v>787.03089999999997</v>
      </c>
      <c r="AO4452">
        <v>762.22</v>
      </c>
      <c r="AP4452" s="13">
        <v>45739</v>
      </c>
      <c r="AQ4452">
        <v>-3</v>
      </c>
      <c r="AR4452">
        <v>1</v>
      </c>
    </row>
    <row r="4453" spans="1:44" x14ac:dyDescent="0.35">
      <c r="A4453" s="12" t="s">
        <v>5414</v>
      </c>
      <c r="B4453" s="12" t="s">
        <v>167</v>
      </c>
      <c r="C4453" s="12" t="s">
        <v>168</v>
      </c>
      <c r="D4453" s="12" t="s">
        <v>64</v>
      </c>
      <c r="E4453" s="12" t="s">
        <v>104</v>
      </c>
      <c r="F4453">
        <v>3</v>
      </c>
      <c r="G4453">
        <v>1</v>
      </c>
      <c r="H4453">
        <v>0</v>
      </c>
      <c r="I4453" s="12" t="s">
        <v>169</v>
      </c>
      <c r="J4453" s="12" t="s">
        <v>170</v>
      </c>
      <c r="K4453" s="12" t="s">
        <v>89</v>
      </c>
      <c r="L4453" s="12" t="s">
        <v>134</v>
      </c>
      <c r="M4453">
        <v>1.37</v>
      </c>
      <c r="N4453" s="12" t="s">
        <v>70</v>
      </c>
      <c r="O4453" s="12" t="s">
        <v>71</v>
      </c>
      <c r="P4453" s="12" t="s">
        <v>72</v>
      </c>
      <c r="Q4453" s="13">
        <v>45713</v>
      </c>
      <c r="R4453" s="13">
        <v>45726</v>
      </c>
      <c r="S4453">
        <v>2025</v>
      </c>
      <c r="T4453" s="12" t="s">
        <v>5260</v>
      </c>
      <c r="U4453">
        <v>166</v>
      </c>
      <c r="V4453">
        <v>24.557099999999998</v>
      </c>
      <c r="W4453">
        <v>30.97</v>
      </c>
      <c r="X4453">
        <v>0</v>
      </c>
      <c r="Y4453">
        <v>0</v>
      </c>
      <c r="Z4453">
        <v>4076.48</v>
      </c>
      <c r="AA4453">
        <v>4107.45</v>
      </c>
      <c r="AB4453" s="12" t="s">
        <v>5232</v>
      </c>
      <c r="AC4453">
        <v>24.557099999999998</v>
      </c>
      <c r="AD4453">
        <v>1</v>
      </c>
      <c r="AE4453">
        <v>1</v>
      </c>
      <c r="AF4453">
        <v>0</v>
      </c>
      <c r="AG4453">
        <v>4076.48</v>
      </c>
      <c r="AH4453">
        <v>166</v>
      </c>
      <c r="AI4453">
        <v>164</v>
      </c>
      <c r="AJ4453">
        <v>2</v>
      </c>
      <c r="AK4453">
        <v>1</v>
      </c>
      <c r="AL4453">
        <v>1</v>
      </c>
      <c r="AM4453">
        <v>98.8</v>
      </c>
      <c r="AN4453">
        <v>25.045400000000001</v>
      </c>
      <c r="AO4453">
        <v>49.11</v>
      </c>
      <c r="AP4453" s="13">
        <v>45732</v>
      </c>
      <c r="AQ4453">
        <v>6</v>
      </c>
      <c r="AR4453">
        <v>0</v>
      </c>
    </row>
    <row r="4454" spans="1:44" x14ac:dyDescent="0.35">
      <c r="A4454" s="12" t="s">
        <v>5415</v>
      </c>
      <c r="B4454" s="12" t="s">
        <v>661</v>
      </c>
      <c r="C4454" s="12" t="s">
        <v>662</v>
      </c>
      <c r="D4454" s="12" t="s">
        <v>175</v>
      </c>
      <c r="E4454" s="12" t="s">
        <v>104</v>
      </c>
      <c r="F4454">
        <v>1</v>
      </c>
      <c r="G4454">
        <v>0</v>
      </c>
      <c r="H4454">
        <v>1</v>
      </c>
      <c r="I4454" s="12" t="s">
        <v>183</v>
      </c>
      <c r="J4454" s="12" t="s">
        <v>184</v>
      </c>
      <c r="K4454" s="12" t="s">
        <v>133</v>
      </c>
      <c r="L4454" s="12" t="s">
        <v>82</v>
      </c>
      <c r="M4454">
        <v>8.6199999999999992</v>
      </c>
      <c r="N4454" s="12" t="s">
        <v>107</v>
      </c>
      <c r="O4454" s="12" t="s">
        <v>108</v>
      </c>
      <c r="P4454" s="12" t="s">
        <v>109</v>
      </c>
      <c r="Q4454" s="13">
        <v>45713</v>
      </c>
      <c r="R4454" s="13">
        <v>45737</v>
      </c>
      <c r="S4454">
        <v>2025</v>
      </c>
      <c r="T4454" s="12" t="s">
        <v>5260</v>
      </c>
      <c r="U4454">
        <v>106</v>
      </c>
      <c r="V4454">
        <v>166.30070000000001</v>
      </c>
      <c r="W4454">
        <v>424.32</v>
      </c>
      <c r="X4454">
        <v>0</v>
      </c>
      <c r="Y4454">
        <v>0</v>
      </c>
      <c r="Z4454">
        <v>17627.87</v>
      </c>
      <c r="AA4454">
        <v>18052.189999999999</v>
      </c>
      <c r="AB4454" s="12" t="s">
        <v>5336</v>
      </c>
      <c r="AC4454">
        <v>166.30070000000001</v>
      </c>
      <c r="AD4454">
        <v>1</v>
      </c>
      <c r="AE4454">
        <v>1</v>
      </c>
      <c r="AF4454">
        <v>0</v>
      </c>
      <c r="AG4454">
        <v>17627.87</v>
      </c>
      <c r="AH4454">
        <v>106</v>
      </c>
      <c r="AI4454">
        <v>105</v>
      </c>
      <c r="AJ4454">
        <v>1</v>
      </c>
      <c r="AK4454">
        <v>1</v>
      </c>
      <c r="AL4454">
        <v>1</v>
      </c>
      <c r="AM4454">
        <v>99.06</v>
      </c>
      <c r="AN4454">
        <v>171.92570000000001</v>
      </c>
      <c r="AO4454">
        <v>166.3</v>
      </c>
      <c r="AP4454" s="13">
        <v>45736</v>
      </c>
      <c r="AQ4454">
        <v>-1</v>
      </c>
      <c r="AR4454">
        <v>1</v>
      </c>
    </row>
    <row r="4455" spans="1:44" x14ac:dyDescent="0.35">
      <c r="A4455" s="12" t="s">
        <v>5416</v>
      </c>
      <c r="B4455" s="12" t="s">
        <v>1026</v>
      </c>
      <c r="C4455" s="12" t="s">
        <v>1027</v>
      </c>
      <c r="D4455" s="12" t="s">
        <v>122</v>
      </c>
      <c r="E4455" s="12" t="s">
        <v>104</v>
      </c>
      <c r="F4455">
        <v>3</v>
      </c>
      <c r="G4455">
        <v>1</v>
      </c>
      <c r="H4455">
        <v>0</v>
      </c>
      <c r="I4455" s="12" t="s">
        <v>604</v>
      </c>
      <c r="J4455" s="12" t="s">
        <v>605</v>
      </c>
      <c r="K4455" s="12" t="s">
        <v>68</v>
      </c>
      <c r="L4455" s="12" t="s">
        <v>82</v>
      </c>
      <c r="M4455">
        <v>7.24</v>
      </c>
      <c r="N4455" s="12" t="s">
        <v>97</v>
      </c>
      <c r="O4455" s="12" t="s">
        <v>98</v>
      </c>
      <c r="P4455" s="12" t="s">
        <v>72</v>
      </c>
      <c r="Q4455" s="13">
        <v>45713</v>
      </c>
      <c r="R4455" s="13">
        <v>45734</v>
      </c>
      <c r="S4455">
        <v>2025</v>
      </c>
      <c r="T4455" s="12" t="s">
        <v>5260</v>
      </c>
      <c r="U4455">
        <v>1169</v>
      </c>
      <c r="V4455">
        <v>38.742800000000003</v>
      </c>
      <c r="W4455">
        <v>319.81</v>
      </c>
      <c r="X4455">
        <v>0</v>
      </c>
      <c r="Y4455">
        <v>0</v>
      </c>
      <c r="Z4455">
        <v>45290.33</v>
      </c>
      <c r="AA4455">
        <v>45610.14</v>
      </c>
      <c r="AB4455" s="12" t="s">
        <v>3786</v>
      </c>
      <c r="AC4455">
        <v>41.213299999999997</v>
      </c>
      <c r="AD4455">
        <v>1</v>
      </c>
      <c r="AE4455">
        <v>1</v>
      </c>
      <c r="AF4455">
        <v>-2888.01</v>
      </c>
      <c r="AG4455">
        <v>48178.35</v>
      </c>
      <c r="AH4455">
        <v>1169</v>
      </c>
      <c r="AI4455">
        <v>1156</v>
      </c>
      <c r="AJ4455">
        <v>13</v>
      </c>
      <c r="AK4455">
        <v>1</v>
      </c>
      <c r="AL4455">
        <v>1</v>
      </c>
      <c r="AM4455">
        <v>98.89</v>
      </c>
      <c r="AN4455">
        <v>39.455100000000002</v>
      </c>
      <c r="AO4455">
        <v>503.66</v>
      </c>
      <c r="AP4455" s="13">
        <v>45732</v>
      </c>
      <c r="AQ4455">
        <v>-2</v>
      </c>
      <c r="AR4455">
        <v>1</v>
      </c>
    </row>
    <row r="4456" spans="1:44" x14ac:dyDescent="0.35">
      <c r="A4456" s="12" t="s">
        <v>5417</v>
      </c>
      <c r="B4456" s="12" t="s">
        <v>1026</v>
      </c>
      <c r="C4456" s="12" t="s">
        <v>1027</v>
      </c>
      <c r="D4456" s="12" t="s">
        <v>122</v>
      </c>
      <c r="E4456" s="12" t="s">
        <v>104</v>
      </c>
      <c r="F4456">
        <v>3</v>
      </c>
      <c r="G4456">
        <v>1</v>
      </c>
      <c r="H4456">
        <v>0</v>
      </c>
      <c r="I4456" s="12" t="s">
        <v>183</v>
      </c>
      <c r="J4456" s="12" t="s">
        <v>184</v>
      </c>
      <c r="K4456" s="12" t="s">
        <v>133</v>
      </c>
      <c r="L4456" s="12" t="s">
        <v>82</v>
      </c>
      <c r="M4456">
        <v>8.6199999999999992</v>
      </c>
      <c r="N4456" s="12" t="s">
        <v>97</v>
      </c>
      <c r="O4456" s="12" t="s">
        <v>98</v>
      </c>
      <c r="P4456" s="12" t="s">
        <v>72</v>
      </c>
      <c r="Q4456" s="13">
        <v>45713</v>
      </c>
      <c r="R4456" s="13">
        <v>45740</v>
      </c>
      <c r="S4456">
        <v>2025</v>
      </c>
      <c r="T4456" s="12" t="s">
        <v>5260</v>
      </c>
      <c r="U4456">
        <v>1790</v>
      </c>
      <c r="V4456">
        <v>40.107799999999997</v>
      </c>
      <c r="W4456">
        <v>1838.28</v>
      </c>
      <c r="X4456">
        <v>0</v>
      </c>
      <c r="Y4456">
        <v>0</v>
      </c>
      <c r="Z4456">
        <v>71792.960000000006</v>
      </c>
      <c r="AA4456">
        <v>73631.240000000005</v>
      </c>
      <c r="AB4456" s="12" t="s">
        <v>3447</v>
      </c>
      <c r="AC4456">
        <v>41.511600000000001</v>
      </c>
      <c r="AD4456">
        <v>2</v>
      </c>
      <c r="AE4456">
        <v>1</v>
      </c>
      <c r="AF4456">
        <v>-2512.8000000000002</v>
      </c>
      <c r="AG4456">
        <v>74305.759999999995</v>
      </c>
      <c r="AH4456">
        <v>1790</v>
      </c>
      <c r="AI4456">
        <v>1785</v>
      </c>
      <c r="AJ4456">
        <v>5</v>
      </c>
      <c r="AK4456">
        <v>1</v>
      </c>
      <c r="AL4456">
        <v>1</v>
      </c>
      <c r="AM4456">
        <v>99.72</v>
      </c>
      <c r="AN4456">
        <v>41.25</v>
      </c>
      <c r="AO4456">
        <v>200.54</v>
      </c>
      <c r="AP4456" s="13">
        <v>45739</v>
      </c>
      <c r="AQ4456">
        <v>-1</v>
      </c>
      <c r="AR4456">
        <v>1</v>
      </c>
    </row>
    <row r="4457" spans="1:44" x14ac:dyDescent="0.35">
      <c r="A4457" s="12" t="s">
        <v>5418</v>
      </c>
      <c r="B4457" s="12" t="s">
        <v>532</v>
      </c>
      <c r="C4457" s="12" t="s">
        <v>533</v>
      </c>
      <c r="D4457" s="12" t="s">
        <v>114</v>
      </c>
      <c r="E4457" s="12" t="s">
        <v>65</v>
      </c>
      <c r="F4457">
        <v>2</v>
      </c>
      <c r="G4457">
        <v>3</v>
      </c>
      <c r="H4457">
        <v>0</v>
      </c>
      <c r="I4457" s="12" t="s">
        <v>105</v>
      </c>
      <c r="J4457" s="12" t="s">
        <v>106</v>
      </c>
      <c r="K4457" s="12" t="s">
        <v>81</v>
      </c>
      <c r="L4457" s="12" t="s">
        <v>96</v>
      </c>
      <c r="M4457">
        <v>5.01</v>
      </c>
      <c r="N4457" s="12" t="s">
        <v>70</v>
      </c>
      <c r="O4457" s="12" t="s">
        <v>71</v>
      </c>
      <c r="P4457" s="12" t="s">
        <v>72</v>
      </c>
      <c r="Q4457" s="13">
        <v>45713</v>
      </c>
      <c r="R4457" s="13">
        <v>45750</v>
      </c>
      <c r="S4457">
        <v>2025</v>
      </c>
      <c r="T4457" s="12" t="s">
        <v>5260</v>
      </c>
      <c r="U4457">
        <v>135</v>
      </c>
      <c r="V4457">
        <v>249.9546</v>
      </c>
      <c r="W4457">
        <v>357.95</v>
      </c>
      <c r="X4457">
        <v>0</v>
      </c>
      <c r="Y4457">
        <v>0</v>
      </c>
      <c r="Z4457">
        <v>33743.870000000003</v>
      </c>
      <c r="AA4457">
        <v>34101.82</v>
      </c>
      <c r="AB4457" s="12" t="s">
        <v>3041</v>
      </c>
      <c r="AC4457">
        <v>249.9546</v>
      </c>
      <c r="AD4457">
        <v>1</v>
      </c>
      <c r="AE4457">
        <v>1</v>
      </c>
      <c r="AF4457">
        <v>0</v>
      </c>
      <c r="AG4457">
        <v>33743.870000000003</v>
      </c>
      <c r="AH4457">
        <v>135</v>
      </c>
      <c r="AI4457">
        <v>133</v>
      </c>
      <c r="AJ4457">
        <v>2</v>
      </c>
      <c r="AK4457">
        <v>1</v>
      </c>
      <c r="AL4457">
        <v>1</v>
      </c>
      <c r="AM4457">
        <v>98.52</v>
      </c>
      <c r="AN4457">
        <v>256.40469999999999</v>
      </c>
      <c r="AO4457">
        <v>499.91</v>
      </c>
      <c r="AP4457" s="13">
        <v>45760</v>
      </c>
      <c r="AQ4457">
        <v>10</v>
      </c>
      <c r="AR4457">
        <v>0</v>
      </c>
    </row>
    <row r="4458" spans="1:44" x14ac:dyDescent="0.35">
      <c r="A4458" s="12" t="s">
        <v>5419</v>
      </c>
      <c r="B4458" s="12" t="s">
        <v>640</v>
      </c>
      <c r="C4458" s="12" t="s">
        <v>641</v>
      </c>
      <c r="D4458" s="12" t="s">
        <v>130</v>
      </c>
      <c r="E4458" s="12" t="s">
        <v>104</v>
      </c>
      <c r="F4458">
        <v>3</v>
      </c>
      <c r="G4458">
        <v>0</v>
      </c>
      <c r="H4458">
        <v>0</v>
      </c>
      <c r="I4458" s="12" t="s">
        <v>209</v>
      </c>
      <c r="J4458" s="12" t="s">
        <v>210</v>
      </c>
      <c r="K4458" s="12" t="s">
        <v>133</v>
      </c>
      <c r="L4458" s="12" t="s">
        <v>96</v>
      </c>
      <c r="M4458">
        <v>7.82</v>
      </c>
      <c r="N4458" s="12" t="s">
        <v>135</v>
      </c>
      <c r="O4458" s="12" t="s">
        <v>136</v>
      </c>
      <c r="P4458" s="12" t="s">
        <v>137</v>
      </c>
      <c r="Q4458" s="13">
        <v>45713</v>
      </c>
      <c r="R4458" s="13">
        <v>45733</v>
      </c>
      <c r="S4458">
        <v>2025</v>
      </c>
      <c r="T4458" s="12" t="s">
        <v>5260</v>
      </c>
      <c r="U4458">
        <v>75</v>
      </c>
      <c r="V4458">
        <v>977.20889999999997</v>
      </c>
      <c r="W4458">
        <v>863.94</v>
      </c>
      <c r="X4458">
        <v>0</v>
      </c>
      <c r="Y4458">
        <v>0</v>
      </c>
      <c r="Z4458">
        <v>73290.67</v>
      </c>
      <c r="AA4458">
        <v>74154.61</v>
      </c>
      <c r="AB4458" s="12" t="s">
        <v>3211</v>
      </c>
      <c r="AC4458">
        <v>977.20889999999997</v>
      </c>
      <c r="AD4458">
        <v>1</v>
      </c>
      <c r="AE4458">
        <v>1</v>
      </c>
      <c r="AF4458">
        <v>0</v>
      </c>
      <c r="AG4458">
        <v>73290.67</v>
      </c>
      <c r="AH4458">
        <v>75</v>
      </c>
      <c r="AI4458">
        <v>74</v>
      </c>
      <c r="AJ4458">
        <v>1</v>
      </c>
      <c r="AK4458">
        <v>1</v>
      </c>
      <c r="AL4458">
        <v>1</v>
      </c>
      <c r="AM4458">
        <v>98.67</v>
      </c>
      <c r="AN4458">
        <v>1002.0893</v>
      </c>
      <c r="AO4458">
        <v>977.21</v>
      </c>
      <c r="AP4458" s="13">
        <v>45739</v>
      </c>
      <c r="AQ4458">
        <v>6</v>
      </c>
      <c r="AR4458">
        <v>0</v>
      </c>
    </row>
    <row r="4459" spans="1:44" x14ac:dyDescent="0.35">
      <c r="A4459" s="12" t="s">
        <v>5420</v>
      </c>
      <c r="B4459" s="12" t="s">
        <v>101</v>
      </c>
      <c r="C4459" s="12" t="s">
        <v>102</v>
      </c>
      <c r="D4459" s="12" t="s">
        <v>103</v>
      </c>
      <c r="E4459" s="12" t="s">
        <v>104</v>
      </c>
      <c r="F4459">
        <v>1</v>
      </c>
      <c r="G4459">
        <v>0</v>
      </c>
      <c r="H4459">
        <v>1</v>
      </c>
      <c r="I4459" s="12" t="s">
        <v>105</v>
      </c>
      <c r="J4459" s="12" t="s">
        <v>106</v>
      </c>
      <c r="K4459" s="12" t="s">
        <v>81</v>
      </c>
      <c r="L4459" s="12" t="s">
        <v>96</v>
      </c>
      <c r="M4459">
        <v>5.01</v>
      </c>
      <c r="N4459" s="12" t="s">
        <v>145</v>
      </c>
      <c r="O4459" s="12" t="s">
        <v>146</v>
      </c>
      <c r="P4459" s="12" t="s">
        <v>109</v>
      </c>
      <c r="Q4459" s="13">
        <v>45714</v>
      </c>
      <c r="R4459" s="13">
        <v>45727</v>
      </c>
      <c r="S4459">
        <v>2025</v>
      </c>
      <c r="T4459" s="12" t="s">
        <v>5260</v>
      </c>
      <c r="U4459">
        <v>21</v>
      </c>
      <c r="V4459">
        <v>203.18520000000001</v>
      </c>
      <c r="W4459">
        <v>38.14</v>
      </c>
      <c r="X4459">
        <v>0</v>
      </c>
      <c r="Y4459">
        <v>0</v>
      </c>
      <c r="Z4459">
        <v>4266.8900000000003</v>
      </c>
      <c r="AA4459">
        <v>4305.03</v>
      </c>
      <c r="AB4459" s="12" t="s">
        <v>5173</v>
      </c>
      <c r="AC4459">
        <v>203.18520000000001</v>
      </c>
      <c r="AD4459">
        <v>1</v>
      </c>
      <c r="AE4459">
        <v>1</v>
      </c>
      <c r="AF4459">
        <v>0</v>
      </c>
      <c r="AG4459">
        <v>4266.8900000000003</v>
      </c>
      <c r="AH4459">
        <v>21</v>
      </c>
      <c r="AI4459">
        <v>21</v>
      </c>
      <c r="AJ4459">
        <v>0</v>
      </c>
      <c r="AK4459">
        <v>1</v>
      </c>
      <c r="AL4459">
        <v>1</v>
      </c>
      <c r="AM4459">
        <v>100</v>
      </c>
      <c r="AN4459">
        <v>205.00139999999999</v>
      </c>
      <c r="AO4459">
        <v>0</v>
      </c>
      <c r="AP4459" s="13">
        <v>45725</v>
      </c>
      <c r="AQ4459">
        <v>-2</v>
      </c>
      <c r="AR4459">
        <v>1</v>
      </c>
    </row>
    <row r="4460" spans="1:44" x14ac:dyDescent="0.35">
      <c r="A4460" s="12" t="s">
        <v>5421</v>
      </c>
      <c r="B4460" s="12" t="s">
        <v>163</v>
      </c>
      <c r="C4460" s="12" t="s">
        <v>164</v>
      </c>
      <c r="D4460" s="12" t="s">
        <v>64</v>
      </c>
      <c r="E4460" s="12" t="s">
        <v>104</v>
      </c>
      <c r="F4460">
        <v>2</v>
      </c>
      <c r="G4460">
        <v>0</v>
      </c>
      <c r="H4460">
        <v>0</v>
      </c>
      <c r="I4460" s="12" t="s">
        <v>79</v>
      </c>
      <c r="J4460" s="12" t="s">
        <v>80</v>
      </c>
      <c r="K4460" s="12" t="s">
        <v>81</v>
      </c>
      <c r="L4460" s="12" t="s">
        <v>82</v>
      </c>
      <c r="M4460">
        <v>12.07</v>
      </c>
      <c r="N4460" s="12" t="s">
        <v>97</v>
      </c>
      <c r="O4460" s="12" t="s">
        <v>98</v>
      </c>
      <c r="P4460" s="12" t="s">
        <v>72</v>
      </c>
      <c r="Q4460" s="13">
        <v>45714</v>
      </c>
      <c r="R4460" s="13">
        <v>45732</v>
      </c>
      <c r="S4460">
        <v>2025</v>
      </c>
      <c r="T4460" s="12" t="s">
        <v>5260</v>
      </c>
      <c r="U4460">
        <v>404</v>
      </c>
      <c r="V4460">
        <v>10.482900000000001</v>
      </c>
      <c r="W4460">
        <v>77.7</v>
      </c>
      <c r="X4460">
        <v>0</v>
      </c>
      <c r="Y4460">
        <v>0</v>
      </c>
      <c r="Z4460">
        <v>4235.09</v>
      </c>
      <c r="AA4460">
        <v>4312.79</v>
      </c>
      <c r="AB4460" s="12" t="s">
        <v>5303</v>
      </c>
      <c r="AC4460">
        <v>10.482900000000001</v>
      </c>
      <c r="AD4460">
        <v>1</v>
      </c>
      <c r="AE4460">
        <v>1</v>
      </c>
      <c r="AF4460">
        <v>0</v>
      </c>
      <c r="AG4460">
        <v>4235.09</v>
      </c>
      <c r="AH4460">
        <v>404</v>
      </c>
      <c r="AI4460">
        <v>399</v>
      </c>
      <c r="AJ4460">
        <v>5</v>
      </c>
      <c r="AK4460">
        <v>1</v>
      </c>
      <c r="AL4460">
        <v>1</v>
      </c>
      <c r="AM4460">
        <v>98.76</v>
      </c>
      <c r="AN4460">
        <v>10.808999999999999</v>
      </c>
      <c r="AO4460">
        <v>52.41</v>
      </c>
      <c r="AP4460" s="13">
        <v>45732</v>
      </c>
      <c r="AQ4460">
        <v>0</v>
      </c>
      <c r="AR4460">
        <v>1</v>
      </c>
    </row>
    <row r="4461" spans="1:44" x14ac:dyDescent="0.35">
      <c r="A4461" s="12" t="s">
        <v>5422</v>
      </c>
      <c r="B4461" s="12" t="s">
        <v>706</v>
      </c>
      <c r="C4461" s="12" t="s">
        <v>707</v>
      </c>
      <c r="D4461" s="12" t="s">
        <v>130</v>
      </c>
      <c r="E4461" s="12" t="s">
        <v>142</v>
      </c>
      <c r="F4461">
        <v>1</v>
      </c>
      <c r="G4461">
        <v>8</v>
      </c>
      <c r="H4461">
        <v>1</v>
      </c>
      <c r="I4461" s="12" t="s">
        <v>263</v>
      </c>
      <c r="J4461" s="12" t="s">
        <v>264</v>
      </c>
      <c r="K4461" s="12" t="s">
        <v>125</v>
      </c>
      <c r="L4461" s="12" t="s">
        <v>82</v>
      </c>
      <c r="M4461">
        <v>10.210000000000001</v>
      </c>
      <c r="N4461" s="12" t="s">
        <v>159</v>
      </c>
      <c r="O4461" s="12" t="s">
        <v>160</v>
      </c>
      <c r="P4461" s="12" t="s">
        <v>137</v>
      </c>
      <c r="Q4461" s="13">
        <v>45714</v>
      </c>
      <c r="R4461" s="13">
        <v>45758</v>
      </c>
      <c r="S4461">
        <v>2025</v>
      </c>
      <c r="T4461" s="12" t="s">
        <v>5260</v>
      </c>
      <c r="U4461">
        <v>85</v>
      </c>
      <c r="V4461">
        <v>277.214</v>
      </c>
      <c r="W4461">
        <v>473.6</v>
      </c>
      <c r="X4461">
        <v>0</v>
      </c>
      <c r="Y4461">
        <v>0</v>
      </c>
      <c r="Z4461">
        <v>23563.19</v>
      </c>
      <c r="AA4461">
        <v>24036.79</v>
      </c>
      <c r="AB4461" s="12" t="s">
        <v>3434</v>
      </c>
      <c r="AC4461">
        <v>277.214</v>
      </c>
      <c r="AD4461">
        <v>1</v>
      </c>
      <c r="AE4461">
        <v>1</v>
      </c>
      <c r="AF4461">
        <v>0</v>
      </c>
      <c r="AG4461">
        <v>23563.19</v>
      </c>
      <c r="AH4461">
        <v>85</v>
      </c>
      <c r="AI4461">
        <v>84</v>
      </c>
      <c r="AJ4461">
        <v>1</v>
      </c>
      <c r="AK4461">
        <v>1</v>
      </c>
      <c r="AL4461">
        <v>1</v>
      </c>
      <c r="AM4461">
        <v>98.82</v>
      </c>
      <c r="AN4461">
        <v>286.15230000000003</v>
      </c>
      <c r="AO4461">
        <v>277.20999999999998</v>
      </c>
      <c r="AP4461" s="13">
        <v>45757</v>
      </c>
      <c r="AQ4461">
        <v>-1</v>
      </c>
      <c r="AR4461">
        <v>1</v>
      </c>
    </row>
    <row r="4462" spans="1:44" x14ac:dyDescent="0.35">
      <c r="A4462" s="12" t="s">
        <v>5423</v>
      </c>
      <c r="B4462" s="12" t="s">
        <v>412</v>
      </c>
      <c r="C4462" s="12" t="s">
        <v>413</v>
      </c>
      <c r="D4462" s="12" t="s">
        <v>269</v>
      </c>
      <c r="E4462" s="12" t="s">
        <v>65</v>
      </c>
      <c r="F4462">
        <v>1</v>
      </c>
      <c r="G4462">
        <v>2</v>
      </c>
      <c r="H4462">
        <v>1</v>
      </c>
      <c r="I4462" s="12" t="s">
        <v>233</v>
      </c>
      <c r="J4462" s="12" t="s">
        <v>234</v>
      </c>
      <c r="K4462" s="12" t="s">
        <v>125</v>
      </c>
      <c r="L4462" s="12" t="s">
        <v>96</v>
      </c>
      <c r="M4462">
        <v>3.73</v>
      </c>
      <c r="N4462" s="12" t="s">
        <v>159</v>
      </c>
      <c r="O4462" s="12" t="s">
        <v>160</v>
      </c>
      <c r="P4462" s="12" t="s">
        <v>137</v>
      </c>
      <c r="Q4462" s="13">
        <v>45714</v>
      </c>
      <c r="R4462" s="13">
        <v>45748</v>
      </c>
      <c r="S4462">
        <v>2025</v>
      </c>
      <c r="T4462" s="12" t="s">
        <v>5260</v>
      </c>
      <c r="U4462">
        <v>113</v>
      </c>
      <c r="V4462">
        <v>103.87350000000001</v>
      </c>
      <c r="W4462">
        <v>164.99</v>
      </c>
      <c r="X4462">
        <v>0</v>
      </c>
      <c r="Y4462">
        <v>0</v>
      </c>
      <c r="Z4462">
        <v>11737.71</v>
      </c>
      <c r="AA4462">
        <v>11902.7</v>
      </c>
      <c r="AB4462" s="12" t="s">
        <v>5424</v>
      </c>
      <c r="AC4462">
        <v>103.87350000000001</v>
      </c>
      <c r="AD4462">
        <v>1</v>
      </c>
      <c r="AE4462">
        <v>1</v>
      </c>
      <c r="AF4462">
        <v>0</v>
      </c>
      <c r="AG4462">
        <v>11737.71</v>
      </c>
      <c r="AH4462">
        <v>113</v>
      </c>
      <c r="AI4462">
        <v>112</v>
      </c>
      <c r="AJ4462">
        <v>1</v>
      </c>
      <c r="AK4462">
        <v>1</v>
      </c>
      <c r="AL4462">
        <v>1</v>
      </c>
      <c r="AM4462">
        <v>99.12</v>
      </c>
      <c r="AN4462">
        <v>106.2741</v>
      </c>
      <c r="AO4462">
        <v>103.87</v>
      </c>
      <c r="AP4462" s="13">
        <v>45753</v>
      </c>
      <c r="AQ4462">
        <v>5</v>
      </c>
      <c r="AR4462">
        <v>0</v>
      </c>
    </row>
    <row r="4463" spans="1:44" x14ac:dyDescent="0.35">
      <c r="A4463" s="12" t="s">
        <v>5425</v>
      </c>
      <c r="B4463" s="12" t="s">
        <v>472</v>
      </c>
      <c r="C4463" s="12" t="s">
        <v>473</v>
      </c>
      <c r="D4463" s="12" t="s">
        <v>122</v>
      </c>
      <c r="E4463" s="12" t="s">
        <v>142</v>
      </c>
      <c r="F4463">
        <v>2</v>
      </c>
      <c r="G4463">
        <v>9</v>
      </c>
      <c r="H4463">
        <v>0</v>
      </c>
      <c r="I4463" s="12" t="s">
        <v>209</v>
      </c>
      <c r="J4463" s="12" t="s">
        <v>210</v>
      </c>
      <c r="K4463" s="12" t="s">
        <v>133</v>
      </c>
      <c r="L4463" s="12" t="s">
        <v>96</v>
      </c>
      <c r="M4463">
        <v>7.82</v>
      </c>
      <c r="N4463" s="12" t="s">
        <v>70</v>
      </c>
      <c r="O4463" s="12" t="s">
        <v>71</v>
      </c>
      <c r="P4463" s="12" t="s">
        <v>72</v>
      </c>
      <c r="Q4463" s="13">
        <v>45714</v>
      </c>
      <c r="R4463" s="13">
        <v>45753</v>
      </c>
      <c r="S4463">
        <v>2025</v>
      </c>
      <c r="T4463" s="12" t="s">
        <v>5260</v>
      </c>
      <c r="U4463">
        <v>628</v>
      </c>
      <c r="V4463">
        <v>52.821300000000001</v>
      </c>
      <c r="W4463">
        <v>856.47</v>
      </c>
      <c r="X4463">
        <v>1062.71</v>
      </c>
      <c r="Y4463">
        <v>1</v>
      </c>
      <c r="Z4463">
        <v>33171.78</v>
      </c>
      <c r="AA4463">
        <v>35090.959999999999</v>
      </c>
      <c r="AB4463" s="12" t="s">
        <v>201</v>
      </c>
      <c r="AD4463">
        <v>0</v>
      </c>
      <c r="AE4463">
        <v>0</v>
      </c>
      <c r="AH4463">
        <v>628</v>
      </c>
      <c r="AI4463">
        <v>622</v>
      </c>
      <c r="AJ4463">
        <v>6</v>
      </c>
      <c r="AK4463">
        <v>1</v>
      </c>
      <c r="AL4463">
        <v>1</v>
      </c>
      <c r="AM4463">
        <v>99.04</v>
      </c>
      <c r="AN4463">
        <v>56.4163</v>
      </c>
      <c r="AO4463">
        <v>316.93</v>
      </c>
      <c r="AP4463" s="13">
        <v>45752</v>
      </c>
      <c r="AQ4463">
        <v>-1</v>
      </c>
      <c r="AR4463">
        <v>1</v>
      </c>
    </row>
    <row r="4464" spans="1:44" x14ac:dyDescent="0.35">
      <c r="A4464" s="12" t="s">
        <v>5426</v>
      </c>
      <c r="B4464" s="12" t="s">
        <v>76</v>
      </c>
      <c r="C4464" s="12" t="s">
        <v>77</v>
      </c>
      <c r="D4464" s="12" t="s">
        <v>78</v>
      </c>
      <c r="E4464" s="12" t="s">
        <v>65</v>
      </c>
      <c r="F4464">
        <v>2</v>
      </c>
      <c r="G4464">
        <v>4</v>
      </c>
      <c r="H4464">
        <v>0</v>
      </c>
      <c r="I4464" s="12" t="s">
        <v>79</v>
      </c>
      <c r="J4464" s="12" t="s">
        <v>80</v>
      </c>
      <c r="K4464" s="12" t="s">
        <v>81</v>
      </c>
      <c r="L4464" s="12" t="s">
        <v>82</v>
      </c>
      <c r="M4464">
        <v>12.07</v>
      </c>
      <c r="N4464" s="12" t="s">
        <v>70</v>
      </c>
      <c r="O4464" s="12" t="s">
        <v>71</v>
      </c>
      <c r="P4464" s="12" t="s">
        <v>72</v>
      </c>
      <c r="Q4464" s="13">
        <v>45714</v>
      </c>
      <c r="R4464" s="13">
        <v>45737</v>
      </c>
      <c r="S4464">
        <v>2025</v>
      </c>
      <c r="T4464" s="12" t="s">
        <v>5260</v>
      </c>
      <c r="U4464">
        <v>68</v>
      </c>
      <c r="V4464">
        <v>44.0946</v>
      </c>
      <c r="W4464">
        <v>51.46</v>
      </c>
      <c r="X4464">
        <v>95.3</v>
      </c>
      <c r="Y4464">
        <v>1</v>
      </c>
      <c r="Z4464">
        <v>2998.43</v>
      </c>
      <c r="AA4464">
        <v>3145.19</v>
      </c>
      <c r="AB4464" s="12" t="s">
        <v>5427</v>
      </c>
      <c r="AC4464">
        <v>44.0946</v>
      </c>
      <c r="AD4464">
        <v>1</v>
      </c>
      <c r="AE4464">
        <v>1</v>
      </c>
      <c r="AF4464">
        <v>0</v>
      </c>
      <c r="AG4464">
        <v>2998.43</v>
      </c>
      <c r="AH4464">
        <v>68</v>
      </c>
      <c r="AI4464">
        <v>67</v>
      </c>
      <c r="AJ4464">
        <v>1</v>
      </c>
      <c r="AK4464">
        <v>1</v>
      </c>
      <c r="AL4464">
        <v>1</v>
      </c>
      <c r="AM4464">
        <v>98.53</v>
      </c>
      <c r="AN4464">
        <v>46.943199999999997</v>
      </c>
      <c r="AO4464">
        <v>44.09</v>
      </c>
      <c r="AP4464" s="13">
        <v>45736</v>
      </c>
      <c r="AQ4464">
        <v>-1</v>
      </c>
      <c r="AR4464">
        <v>1</v>
      </c>
    </row>
    <row r="4465" spans="1:44" x14ac:dyDescent="0.35">
      <c r="A4465" s="12" t="s">
        <v>5428</v>
      </c>
      <c r="B4465" s="12" t="s">
        <v>613</v>
      </c>
      <c r="C4465" s="12" t="s">
        <v>614</v>
      </c>
      <c r="D4465" s="12" t="s">
        <v>130</v>
      </c>
      <c r="E4465" s="12" t="s">
        <v>104</v>
      </c>
      <c r="F4465">
        <v>3</v>
      </c>
      <c r="G4465">
        <v>1</v>
      </c>
      <c r="H4465">
        <v>0</v>
      </c>
      <c r="I4465" s="12" t="s">
        <v>676</v>
      </c>
      <c r="J4465" s="12" t="s">
        <v>677</v>
      </c>
      <c r="K4465" s="12" t="s">
        <v>68</v>
      </c>
      <c r="L4465" s="12" t="s">
        <v>96</v>
      </c>
      <c r="M4465">
        <v>3.57</v>
      </c>
      <c r="N4465" s="12" t="s">
        <v>159</v>
      </c>
      <c r="O4465" s="12" t="s">
        <v>160</v>
      </c>
      <c r="P4465" s="12" t="s">
        <v>137</v>
      </c>
      <c r="Q4465" s="13">
        <v>45714</v>
      </c>
      <c r="R4465" s="13">
        <v>45728</v>
      </c>
      <c r="S4465">
        <v>2025</v>
      </c>
      <c r="T4465" s="12" t="s">
        <v>5260</v>
      </c>
      <c r="U4465">
        <v>29</v>
      </c>
      <c r="V4465">
        <v>173.64699999999999</v>
      </c>
      <c r="W4465">
        <v>98.6</v>
      </c>
      <c r="X4465">
        <v>0</v>
      </c>
      <c r="Y4465">
        <v>0</v>
      </c>
      <c r="Z4465">
        <v>5035.76</v>
      </c>
      <c r="AA4465">
        <v>5134.3599999999997</v>
      </c>
      <c r="AB4465" s="12" t="s">
        <v>3847</v>
      </c>
      <c r="AC4465">
        <v>173.64699999999999</v>
      </c>
      <c r="AD4465">
        <v>1</v>
      </c>
      <c r="AE4465">
        <v>1</v>
      </c>
      <c r="AF4465">
        <v>0</v>
      </c>
      <c r="AG4465">
        <v>5035.76</v>
      </c>
      <c r="AH4465">
        <v>29</v>
      </c>
      <c r="AI4465">
        <v>29</v>
      </c>
      <c r="AJ4465">
        <v>0</v>
      </c>
      <c r="AK4465">
        <v>1</v>
      </c>
      <c r="AL4465">
        <v>1</v>
      </c>
      <c r="AM4465">
        <v>100</v>
      </c>
      <c r="AN4465">
        <v>177.047</v>
      </c>
      <c r="AO4465">
        <v>0</v>
      </c>
      <c r="AP4465" s="13">
        <v>45729</v>
      </c>
      <c r="AQ4465">
        <v>1</v>
      </c>
      <c r="AR4465">
        <v>0</v>
      </c>
    </row>
    <row r="4466" spans="1:44" x14ac:dyDescent="0.35">
      <c r="A4466" s="12" t="s">
        <v>5429</v>
      </c>
      <c r="B4466" s="12" t="s">
        <v>284</v>
      </c>
      <c r="C4466" s="12" t="s">
        <v>285</v>
      </c>
      <c r="D4466" s="12" t="s">
        <v>269</v>
      </c>
      <c r="E4466" s="12" t="s">
        <v>104</v>
      </c>
      <c r="F4466">
        <v>3</v>
      </c>
      <c r="G4466">
        <v>1</v>
      </c>
      <c r="H4466">
        <v>0</v>
      </c>
      <c r="I4466" s="12" t="s">
        <v>199</v>
      </c>
      <c r="J4466" s="12" t="s">
        <v>200</v>
      </c>
      <c r="K4466" s="12" t="s">
        <v>68</v>
      </c>
      <c r="L4466" s="12" t="s">
        <v>96</v>
      </c>
      <c r="M4466">
        <v>9.4700000000000006</v>
      </c>
      <c r="N4466" s="12" t="s">
        <v>159</v>
      </c>
      <c r="O4466" s="12" t="s">
        <v>160</v>
      </c>
      <c r="P4466" s="12" t="s">
        <v>137</v>
      </c>
      <c r="Q4466" s="13">
        <v>45714</v>
      </c>
      <c r="R4466" s="13">
        <v>45734</v>
      </c>
      <c r="S4466">
        <v>2025</v>
      </c>
      <c r="T4466" s="12" t="s">
        <v>5260</v>
      </c>
      <c r="U4466">
        <v>78</v>
      </c>
      <c r="V4466">
        <v>390.83710000000002</v>
      </c>
      <c r="W4466">
        <v>780.98</v>
      </c>
      <c r="X4466">
        <v>0</v>
      </c>
      <c r="Y4466">
        <v>0</v>
      </c>
      <c r="Z4466">
        <v>30485.29</v>
      </c>
      <c r="AA4466">
        <v>31266.27</v>
      </c>
      <c r="AB4466" s="12" t="s">
        <v>201</v>
      </c>
      <c r="AD4466">
        <v>0</v>
      </c>
      <c r="AE4466">
        <v>0</v>
      </c>
      <c r="AH4466">
        <v>78</v>
      </c>
      <c r="AI4466">
        <v>77</v>
      </c>
      <c r="AJ4466">
        <v>1</v>
      </c>
      <c r="AK4466">
        <v>1</v>
      </c>
      <c r="AL4466">
        <v>1</v>
      </c>
      <c r="AM4466">
        <v>98.72</v>
      </c>
      <c r="AN4466">
        <v>406.05549999999999</v>
      </c>
      <c r="AO4466">
        <v>390.84</v>
      </c>
      <c r="AP4466" s="13">
        <v>45739</v>
      </c>
      <c r="AQ4466">
        <v>5</v>
      </c>
      <c r="AR4466">
        <v>0</v>
      </c>
    </row>
    <row r="4467" spans="1:44" x14ac:dyDescent="0.35">
      <c r="A4467" s="12" t="s">
        <v>5430</v>
      </c>
      <c r="B4467" s="12" t="s">
        <v>408</v>
      </c>
      <c r="C4467" s="12" t="s">
        <v>409</v>
      </c>
      <c r="D4467" s="12" t="s">
        <v>130</v>
      </c>
      <c r="E4467" s="12" t="s">
        <v>65</v>
      </c>
      <c r="F4467">
        <v>3</v>
      </c>
      <c r="G4467">
        <v>5</v>
      </c>
      <c r="H4467">
        <v>0</v>
      </c>
      <c r="I4467" s="12" t="s">
        <v>94</v>
      </c>
      <c r="J4467" s="12" t="s">
        <v>95</v>
      </c>
      <c r="K4467" s="12" t="s">
        <v>81</v>
      </c>
      <c r="L4467" s="12" t="s">
        <v>96</v>
      </c>
      <c r="M4467">
        <v>4.8099999999999996</v>
      </c>
      <c r="N4467" s="12" t="s">
        <v>159</v>
      </c>
      <c r="O4467" s="12" t="s">
        <v>160</v>
      </c>
      <c r="P4467" s="12" t="s">
        <v>137</v>
      </c>
      <c r="Q4467" s="13">
        <v>45714</v>
      </c>
      <c r="R4467" s="13">
        <v>45742</v>
      </c>
      <c r="S4467">
        <v>2025</v>
      </c>
      <c r="T4467" s="12" t="s">
        <v>5260</v>
      </c>
      <c r="U4467">
        <v>71</v>
      </c>
      <c r="V4467">
        <v>772.70190000000002</v>
      </c>
      <c r="W4467">
        <v>349.87</v>
      </c>
      <c r="X4467">
        <v>0</v>
      </c>
      <c r="Y4467">
        <v>0</v>
      </c>
      <c r="Z4467">
        <v>54861.83</v>
      </c>
      <c r="AA4467">
        <v>55211.7</v>
      </c>
      <c r="AB4467" s="12" t="s">
        <v>201</v>
      </c>
      <c r="AD4467">
        <v>0</v>
      </c>
      <c r="AE4467">
        <v>0</v>
      </c>
      <c r="AH4467">
        <v>71</v>
      </c>
      <c r="AI4467">
        <v>71</v>
      </c>
      <c r="AJ4467">
        <v>0</v>
      </c>
      <c r="AK4467">
        <v>1</v>
      </c>
      <c r="AL4467">
        <v>1</v>
      </c>
      <c r="AM4467">
        <v>100</v>
      </c>
      <c r="AN4467">
        <v>777.62959999999998</v>
      </c>
      <c r="AO4467">
        <v>0</v>
      </c>
      <c r="AP4467" s="13">
        <v>45738</v>
      </c>
      <c r="AQ4467">
        <v>-4</v>
      </c>
      <c r="AR4467">
        <v>1</v>
      </c>
    </row>
    <row r="4468" spans="1:44" x14ac:dyDescent="0.35">
      <c r="A4468" s="12" t="s">
        <v>5431</v>
      </c>
      <c r="B4468" s="12" t="s">
        <v>978</v>
      </c>
      <c r="C4468" s="12" t="s">
        <v>979</v>
      </c>
      <c r="D4468" s="12" t="s">
        <v>122</v>
      </c>
      <c r="E4468" s="12" t="s">
        <v>65</v>
      </c>
      <c r="F4468">
        <v>1</v>
      </c>
      <c r="G4468">
        <v>2</v>
      </c>
      <c r="H4468">
        <v>1</v>
      </c>
      <c r="I4468" s="12" t="s">
        <v>310</v>
      </c>
      <c r="J4468" s="12" t="s">
        <v>311</v>
      </c>
      <c r="K4468" s="12" t="s">
        <v>81</v>
      </c>
      <c r="L4468" s="12" t="s">
        <v>69</v>
      </c>
      <c r="M4468">
        <v>28.3</v>
      </c>
      <c r="N4468" s="12" t="s">
        <v>70</v>
      </c>
      <c r="O4468" s="12" t="s">
        <v>71</v>
      </c>
      <c r="P4468" s="12" t="s">
        <v>72</v>
      </c>
      <c r="Q4468" s="13">
        <v>45714</v>
      </c>
      <c r="R4468" s="13">
        <v>45750</v>
      </c>
      <c r="S4468">
        <v>2025</v>
      </c>
      <c r="T4468" s="12" t="s">
        <v>5260</v>
      </c>
      <c r="U4468">
        <v>1740</v>
      </c>
      <c r="V4468">
        <v>43.574800000000003</v>
      </c>
      <c r="W4468">
        <v>1635.99</v>
      </c>
      <c r="X4468">
        <v>0</v>
      </c>
      <c r="Y4468">
        <v>0</v>
      </c>
      <c r="Z4468">
        <v>75820.149999999994</v>
      </c>
      <c r="AA4468">
        <v>77456.14</v>
      </c>
      <c r="AB4468" s="12" t="s">
        <v>3471</v>
      </c>
      <c r="AC4468">
        <v>43.574800000000003</v>
      </c>
      <c r="AD4468">
        <v>1</v>
      </c>
      <c r="AE4468">
        <v>1</v>
      </c>
      <c r="AF4468">
        <v>0</v>
      </c>
      <c r="AG4468">
        <v>75820.149999999994</v>
      </c>
      <c r="AH4468">
        <v>1740</v>
      </c>
      <c r="AI4468">
        <v>1732</v>
      </c>
      <c r="AJ4468">
        <v>8</v>
      </c>
      <c r="AK4468">
        <v>1</v>
      </c>
      <c r="AL4468">
        <v>1</v>
      </c>
      <c r="AM4468">
        <v>99.54</v>
      </c>
      <c r="AN4468">
        <v>44.720599999999997</v>
      </c>
      <c r="AO4468">
        <v>348.6</v>
      </c>
      <c r="AP4468" s="13">
        <v>45749</v>
      </c>
      <c r="AQ4468">
        <v>-1</v>
      </c>
      <c r="AR4468">
        <v>1</v>
      </c>
    </row>
    <row r="4469" spans="1:44" x14ac:dyDescent="0.35">
      <c r="A4469" s="12" t="s">
        <v>5432</v>
      </c>
      <c r="B4469" s="12" t="s">
        <v>140</v>
      </c>
      <c r="C4469" s="12" t="s">
        <v>141</v>
      </c>
      <c r="D4469" s="12" t="s">
        <v>103</v>
      </c>
      <c r="E4469" s="12" t="s">
        <v>142</v>
      </c>
      <c r="F4469">
        <v>1</v>
      </c>
      <c r="G4469">
        <v>7</v>
      </c>
      <c r="H4469">
        <v>1</v>
      </c>
      <c r="I4469" s="12" t="s">
        <v>143</v>
      </c>
      <c r="J4469" s="12" t="s">
        <v>144</v>
      </c>
      <c r="K4469" s="12" t="s">
        <v>133</v>
      </c>
      <c r="L4469" s="12" t="s">
        <v>96</v>
      </c>
      <c r="M4469">
        <v>5.43</v>
      </c>
      <c r="N4469" s="12" t="s">
        <v>107</v>
      </c>
      <c r="O4469" s="12" t="s">
        <v>108</v>
      </c>
      <c r="P4469" s="12" t="s">
        <v>109</v>
      </c>
      <c r="Q4469" s="13">
        <v>45714</v>
      </c>
      <c r="R4469" s="13">
        <v>45766</v>
      </c>
      <c r="S4469">
        <v>2025</v>
      </c>
      <c r="T4469" s="12" t="s">
        <v>5260</v>
      </c>
      <c r="U4469">
        <v>146</v>
      </c>
      <c r="V4469">
        <v>210.93029999999999</v>
      </c>
      <c r="W4469">
        <v>738.45</v>
      </c>
      <c r="X4469">
        <v>0</v>
      </c>
      <c r="Y4469">
        <v>0</v>
      </c>
      <c r="Z4469">
        <v>30795.82</v>
      </c>
      <c r="AA4469">
        <v>31534.27</v>
      </c>
      <c r="AB4469" s="12" t="s">
        <v>5126</v>
      </c>
      <c r="AC4469">
        <v>210.93029999999999</v>
      </c>
      <c r="AD4469">
        <v>1</v>
      </c>
      <c r="AE4469">
        <v>1</v>
      </c>
      <c r="AF4469">
        <v>0</v>
      </c>
      <c r="AG4469">
        <v>30795.82</v>
      </c>
      <c r="AH4469">
        <v>146</v>
      </c>
      <c r="AI4469">
        <v>145</v>
      </c>
      <c r="AJ4469">
        <v>1</v>
      </c>
      <c r="AK4469">
        <v>1</v>
      </c>
      <c r="AL4469">
        <v>1</v>
      </c>
      <c r="AM4469">
        <v>99.32</v>
      </c>
      <c r="AN4469">
        <v>217.4778</v>
      </c>
      <c r="AO4469">
        <v>210.93</v>
      </c>
      <c r="AP4469" s="13">
        <v>45765</v>
      </c>
      <c r="AQ4469">
        <v>-1</v>
      </c>
      <c r="AR4469">
        <v>1</v>
      </c>
    </row>
    <row r="4470" spans="1:44" x14ac:dyDescent="0.35">
      <c r="A4470" s="12" t="s">
        <v>5433</v>
      </c>
      <c r="B4470" s="12" t="s">
        <v>712</v>
      </c>
      <c r="C4470" s="12" t="s">
        <v>713</v>
      </c>
      <c r="D4470" s="12" t="s">
        <v>103</v>
      </c>
      <c r="E4470" s="12" t="s">
        <v>104</v>
      </c>
      <c r="F4470">
        <v>2</v>
      </c>
      <c r="G4470">
        <v>0</v>
      </c>
      <c r="H4470">
        <v>0</v>
      </c>
      <c r="I4470" s="12" t="s">
        <v>199</v>
      </c>
      <c r="J4470" s="12" t="s">
        <v>200</v>
      </c>
      <c r="K4470" s="12" t="s">
        <v>68</v>
      </c>
      <c r="L4470" s="12" t="s">
        <v>96</v>
      </c>
      <c r="M4470">
        <v>9.4700000000000006</v>
      </c>
      <c r="N4470" s="12" t="s">
        <v>107</v>
      </c>
      <c r="O4470" s="12" t="s">
        <v>108</v>
      </c>
      <c r="P4470" s="12" t="s">
        <v>109</v>
      </c>
      <c r="Q4470" s="13">
        <v>45714</v>
      </c>
      <c r="R4470" s="13">
        <v>45741</v>
      </c>
      <c r="S4470">
        <v>2025</v>
      </c>
      <c r="T4470" s="12" t="s">
        <v>5260</v>
      </c>
      <c r="U4470">
        <v>129</v>
      </c>
      <c r="V4470">
        <v>239.62350000000001</v>
      </c>
      <c r="W4470">
        <v>623.85</v>
      </c>
      <c r="X4470">
        <v>0</v>
      </c>
      <c r="Y4470">
        <v>0</v>
      </c>
      <c r="Z4470">
        <v>30911.43</v>
      </c>
      <c r="AA4470">
        <v>31535.279999999999</v>
      </c>
      <c r="AB4470" s="12" t="s">
        <v>201</v>
      </c>
      <c r="AD4470">
        <v>0</v>
      </c>
      <c r="AE4470">
        <v>0</v>
      </c>
      <c r="AH4470">
        <v>129</v>
      </c>
      <c r="AI4470">
        <v>127</v>
      </c>
      <c r="AJ4470">
        <v>2</v>
      </c>
      <c r="AK4470">
        <v>1</v>
      </c>
      <c r="AL4470">
        <v>1</v>
      </c>
      <c r="AM4470">
        <v>98.45</v>
      </c>
      <c r="AN4470">
        <v>248.30930000000001</v>
      </c>
      <c r="AO4470">
        <v>479.25</v>
      </c>
      <c r="AP4470" s="13">
        <v>45741</v>
      </c>
      <c r="AQ4470">
        <v>0</v>
      </c>
      <c r="AR4470">
        <v>1</v>
      </c>
    </row>
    <row r="4471" spans="1:44" x14ac:dyDescent="0.35">
      <c r="A4471" s="12" t="s">
        <v>5434</v>
      </c>
      <c r="B4471" s="12" t="s">
        <v>792</v>
      </c>
      <c r="C4471" s="12" t="s">
        <v>793</v>
      </c>
      <c r="D4471" s="12" t="s">
        <v>103</v>
      </c>
      <c r="E4471" s="12" t="s">
        <v>65</v>
      </c>
      <c r="F4471">
        <v>2</v>
      </c>
      <c r="G4471">
        <v>3</v>
      </c>
      <c r="H4471">
        <v>0</v>
      </c>
      <c r="I4471" s="12" t="s">
        <v>359</v>
      </c>
      <c r="J4471" s="12" t="s">
        <v>360</v>
      </c>
      <c r="K4471" s="12" t="s">
        <v>133</v>
      </c>
      <c r="L4471" s="12" t="s">
        <v>82</v>
      </c>
      <c r="M4471">
        <v>12.65</v>
      </c>
      <c r="N4471" s="12" t="s">
        <v>145</v>
      </c>
      <c r="O4471" s="12" t="s">
        <v>146</v>
      </c>
      <c r="P4471" s="12" t="s">
        <v>109</v>
      </c>
      <c r="Q4471" s="13">
        <v>45714</v>
      </c>
      <c r="R4471" s="13">
        <v>45739</v>
      </c>
      <c r="S4471">
        <v>2025</v>
      </c>
      <c r="T4471" s="12" t="s">
        <v>5260</v>
      </c>
      <c r="U4471">
        <v>48</v>
      </c>
      <c r="V4471">
        <v>98.290800000000004</v>
      </c>
      <c r="W4471">
        <v>47.24</v>
      </c>
      <c r="X4471">
        <v>0</v>
      </c>
      <c r="Y4471">
        <v>0</v>
      </c>
      <c r="Z4471">
        <v>4717.96</v>
      </c>
      <c r="AA4471">
        <v>4765.2</v>
      </c>
      <c r="AB4471" s="12" t="s">
        <v>4265</v>
      </c>
      <c r="AC4471">
        <v>98.290800000000004</v>
      </c>
      <c r="AD4471">
        <v>1</v>
      </c>
      <c r="AE4471">
        <v>1</v>
      </c>
      <c r="AF4471">
        <v>0</v>
      </c>
      <c r="AG4471">
        <v>4717.96</v>
      </c>
      <c r="AH4471">
        <v>48</v>
      </c>
      <c r="AI4471">
        <v>48</v>
      </c>
      <c r="AJ4471">
        <v>0</v>
      </c>
      <c r="AK4471">
        <v>1</v>
      </c>
      <c r="AL4471">
        <v>1</v>
      </c>
      <c r="AM4471">
        <v>100</v>
      </c>
      <c r="AN4471">
        <v>99.275000000000006</v>
      </c>
      <c r="AO4471">
        <v>0</v>
      </c>
      <c r="AP4471" s="13">
        <v>45737</v>
      </c>
      <c r="AQ4471">
        <v>-2</v>
      </c>
      <c r="AR4471">
        <v>1</v>
      </c>
    </row>
    <row r="4472" spans="1:44" x14ac:dyDescent="0.35">
      <c r="A4472" s="12" t="s">
        <v>5435</v>
      </c>
      <c r="B4472" s="12" t="s">
        <v>433</v>
      </c>
      <c r="C4472" s="12" t="s">
        <v>434</v>
      </c>
      <c r="D4472" s="12" t="s">
        <v>78</v>
      </c>
      <c r="E4472" s="12" t="s">
        <v>65</v>
      </c>
      <c r="F4472">
        <v>2</v>
      </c>
      <c r="G4472">
        <v>4</v>
      </c>
      <c r="H4472">
        <v>0</v>
      </c>
      <c r="I4472" s="12" t="s">
        <v>105</v>
      </c>
      <c r="J4472" s="12" t="s">
        <v>106</v>
      </c>
      <c r="K4472" s="12" t="s">
        <v>81</v>
      </c>
      <c r="L4472" s="12" t="s">
        <v>96</v>
      </c>
      <c r="M4472">
        <v>5.01</v>
      </c>
      <c r="N4472" s="12" t="s">
        <v>70</v>
      </c>
      <c r="O4472" s="12" t="s">
        <v>71</v>
      </c>
      <c r="P4472" s="12" t="s">
        <v>72</v>
      </c>
      <c r="Q4472" s="13">
        <v>45714</v>
      </c>
      <c r="R4472" s="13">
        <v>45739</v>
      </c>
      <c r="S4472">
        <v>2025</v>
      </c>
      <c r="T4472" s="12" t="s">
        <v>5260</v>
      </c>
      <c r="U4472">
        <v>99</v>
      </c>
      <c r="V4472">
        <v>68.594099999999997</v>
      </c>
      <c r="W4472">
        <v>55.83</v>
      </c>
      <c r="X4472">
        <v>0</v>
      </c>
      <c r="Y4472">
        <v>0</v>
      </c>
      <c r="Z4472">
        <v>6790.82</v>
      </c>
      <c r="AA4472">
        <v>6846.65</v>
      </c>
      <c r="AB4472" s="12" t="s">
        <v>5436</v>
      </c>
      <c r="AC4472">
        <v>68.594099999999997</v>
      </c>
      <c r="AD4472">
        <v>1</v>
      </c>
      <c r="AE4472">
        <v>1</v>
      </c>
      <c r="AF4472">
        <v>0</v>
      </c>
      <c r="AG4472">
        <v>6790.82</v>
      </c>
      <c r="AH4472">
        <v>99</v>
      </c>
      <c r="AI4472">
        <v>98</v>
      </c>
      <c r="AJ4472">
        <v>1</v>
      </c>
      <c r="AK4472">
        <v>1</v>
      </c>
      <c r="AL4472">
        <v>1</v>
      </c>
      <c r="AM4472">
        <v>98.99</v>
      </c>
      <c r="AN4472">
        <v>69.863699999999994</v>
      </c>
      <c r="AO4472">
        <v>68.59</v>
      </c>
      <c r="AP4472" s="13">
        <v>45738</v>
      </c>
      <c r="AQ4472">
        <v>-1</v>
      </c>
      <c r="AR4472">
        <v>1</v>
      </c>
    </row>
    <row r="4473" spans="1:44" x14ac:dyDescent="0.35">
      <c r="A4473" s="12" t="s">
        <v>5437</v>
      </c>
      <c r="B4473" s="12" t="s">
        <v>706</v>
      </c>
      <c r="C4473" s="12" t="s">
        <v>707</v>
      </c>
      <c r="D4473" s="12" t="s">
        <v>130</v>
      </c>
      <c r="E4473" s="12" t="s">
        <v>142</v>
      </c>
      <c r="F4473">
        <v>1</v>
      </c>
      <c r="G4473">
        <v>8</v>
      </c>
      <c r="H4473">
        <v>1</v>
      </c>
      <c r="I4473" s="12" t="s">
        <v>263</v>
      </c>
      <c r="J4473" s="12" t="s">
        <v>264</v>
      </c>
      <c r="K4473" s="12" t="s">
        <v>125</v>
      </c>
      <c r="L4473" s="12" t="s">
        <v>82</v>
      </c>
      <c r="M4473">
        <v>10.210000000000001</v>
      </c>
      <c r="N4473" s="12" t="s">
        <v>159</v>
      </c>
      <c r="O4473" s="12" t="s">
        <v>160</v>
      </c>
      <c r="P4473" s="12" t="s">
        <v>137</v>
      </c>
      <c r="Q4473" s="13">
        <v>45715</v>
      </c>
      <c r="R4473" s="13">
        <v>45750</v>
      </c>
      <c r="S4473">
        <v>2025</v>
      </c>
      <c r="T4473" s="12" t="s">
        <v>5260</v>
      </c>
      <c r="U4473">
        <v>11</v>
      </c>
      <c r="V4473">
        <v>277.214</v>
      </c>
      <c r="W4473">
        <v>75.209999999999994</v>
      </c>
      <c r="X4473">
        <v>0</v>
      </c>
      <c r="Y4473">
        <v>0</v>
      </c>
      <c r="Z4473">
        <v>3049.35</v>
      </c>
      <c r="AA4473">
        <v>3124.56</v>
      </c>
      <c r="AB4473" s="12" t="s">
        <v>3434</v>
      </c>
      <c r="AC4473">
        <v>277.214</v>
      </c>
      <c r="AD4473">
        <v>1</v>
      </c>
      <c r="AE4473">
        <v>1</v>
      </c>
      <c r="AF4473">
        <v>0</v>
      </c>
      <c r="AG4473">
        <v>3049.35</v>
      </c>
      <c r="AH4473">
        <v>11</v>
      </c>
      <c r="AI4473">
        <v>11</v>
      </c>
      <c r="AJ4473">
        <v>0</v>
      </c>
      <c r="AK4473">
        <v>1</v>
      </c>
      <c r="AL4473">
        <v>1</v>
      </c>
      <c r="AM4473">
        <v>100</v>
      </c>
      <c r="AN4473">
        <v>284.05130000000003</v>
      </c>
      <c r="AO4473">
        <v>0</v>
      </c>
      <c r="AP4473" s="13">
        <v>45748</v>
      </c>
      <c r="AQ4473">
        <v>-2</v>
      </c>
      <c r="AR4473">
        <v>1</v>
      </c>
    </row>
    <row r="4474" spans="1:44" x14ac:dyDescent="0.35">
      <c r="A4474" s="12" t="s">
        <v>5438</v>
      </c>
      <c r="B4474" s="12" t="s">
        <v>1220</v>
      </c>
      <c r="C4474" s="12" t="s">
        <v>1221</v>
      </c>
      <c r="D4474" s="12" t="s">
        <v>175</v>
      </c>
      <c r="E4474" s="12" t="s">
        <v>104</v>
      </c>
      <c r="F4474">
        <v>3</v>
      </c>
      <c r="G4474">
        <v>1</v>
      </c>
      <c r="H4474">
        <v>0</v>
      </c>
      <c r="I4474" s="12" t="s">
        <v>515</v>
      </c>
      <c r="J4474" s="12" t="s">
        <v>516</v>
      </c>
      <c r="K4474" s="12" t="s">
        <v>68</v>
      </c>
      <c r="L4474" s="12" t="s">
        <v>134</v>
      </c>
      <c r="M4474">
        <v>3.69</v>
      </c>
      <c r="N4474" s="12" t="s">
        <v>145</v>
      </c>
      <c r="O4474" s="12" t="s">
        <v>146</v>
      </c>
      <c r="P4474" s="12" t="s">
        <v>109</v>
      </c>
      <c r="Q4474" s="13">
        <v>45715</v>
      </c>
      <c r="R4474" s="13">
        <v>45730</v>
      </c>
      <c r="S4474">
        <v>2025</v>
      </c>
      <c r="T4474" s="12" t="s">
        <v>5260</v>
      </c>
      <c r="U4474">
        <v>41</v>
      </c>
      <c r="V4474">
        <v>136.08099999999999</v>
      </c>
      <c r="W4474">
        <v>133.46</v>
      </c>
      <c r="X4474">
        <v>0</v>
      </c>
      <c r="Y4474">
        <v>0</v>
      </c>
      <c r="Z4474">
        <v>5579.32</v>
      </c>
      <c r="AA4474">
        <v>5712.78</v>
      </c>
      <c r="AB4474" s="12" t="s">
        <v>3405</v>
      </c>
      <c r="AC4474">
        <v>136.08099999999999</v>
      </c>
      <c r="AD4474">
        <v>1</v>
      </c>
      <c r="AE4474">
        <v>1</v>
      </c>
      <c r="AF4474">
        <v>0</v>
      </c>
      <c r="AG4474">
        <v>5579.32</v>
      </c>
      <c r="AH4474">
        <v>41</v>
      </c>
      <c r="AI4474">
        <v>41</v>
      </c>
      <c r="AJ4474">
        <v>0</v>
      </c>
      <c r="AK4474">
        <v>1</v>
      </c>
      <c r="AL4474">
        <v>1</v>
      </c>
      <c r="AM4474">
        <v>100</v>
      </c>
      <c r="AN4474">
        <v>139.33609999999999</v>
      </c>
      <c r="AO4474">
        <v>0</v>
      </c>
      <c r="AP4474" s="13">
        <v>45729</v>
      </c>
      <c r="AQ4474">
        <v>-1</v>
      </c>
      <c r="AR4474">
        <v>1</v>
      </c>
    </row>
    <row r="4475" spans="1:44" x14ac:dyDescent="0.35">
      <c r="A4475" s="12" t="s">
        <v>5439</v>
      </c>
      <c r="B4475" s="12" t="s">
        <v>685</v>
      </c>
      <c r="C4475" s="12" t="s">
        <v>686</v>
      </c>
      <c r="D4475" s="12" t="s">
        <v>175</v>
      </c>
      <c r="E4475" s="12" t="s">
        <v>104</v>
      </c>
      <c r="F4475">
        <v>2</v>
      </c>
      <c r="G4475">
        <v>0</v>
      </c>
      <c r="H4475">
        <v>0</v>
      </c>
      <c r="I4475" s="12" t="s">
        <v>243</v>
      </c>
      <c r="J4475" s="12" t="s">
        <v>244</v>
      </c>
      <c r="K4475" s="12" t="s">
        <v>81</v>
      </c>
      <c r="L4475" s="12" t="s">
        <v>82</v>
      </c>
      <c r="M4475">
        <v>9.2200000000000006</v>
      </c>
      <c r="N4475" s="12" t="s">
        <v>145</v>
      </c>
      <c r="O4475" s="12" t="s">
        <v>146</v>
      </c>
      <c r="P4475" s="12" t="s">
        <v>109</v>
      </c>
      <c r="Q4475" s="13">
        <v>45715</v>
      </c>
      <c r="R4475" s="13">
        <v>45728</v>
      </c>
      <c r="S4475">
        <v>2025</v>
      </c>
      <c r="T4475" s="12" t="s">
        <v>5260</v>
      </c>
      <c r="U4475">
        <v>19</v>
      </c>
      <c r="V4475">
        <v>219.97569999999999</v>
      </c>
      <c r="W4475">
        <v>75.97</v>
      </c>
      <c r="X4475">
        <v>0</v>
      </c>
      <c r="Y4475">
        <v>0</v>
      </c>
      <c r="Z4475">
        <v>4179.54</v>
      </c>
      <c r="AA4475">
        <v>4255.51</v>
      </c>
      <c r="AB4475" s="12" t="s">
        <v>201</v>
      </c>
      <c r="AD4475">
        <v>0</v>
      </c>
      <c r="AE4475">
        <v>0</v>
      </c>
      <c r="AH4475">
        <v>19</v>
      </c>
      <c r="AI4475">
        <v>19</v>
      </c>
      <c r="AJ4475">
        <v>0</v>
      </c>
      <c r="AK4475">
        <v>1</v>
      </c>
      <c r="AL4475">
        <v>1</v>
      </c>
      <c r="AM4475">
        <v>100</v>
      </c>
      <c r="AN4475">
        <v>223.97409999999999</v>
      </c>
      <c r="AO4475">
        <v>0</v>
      </c>
      <c r="AP4475" s="13">
        <v>45725</v>
      </c>
      <c r="AQ4475">
        <v>-3</v>
      </c>
      <c r="AR4475">
        <v>1</v>
      </c>
    </row>
    <row r="4476" spans="1:44" x14ac:dyDescent="0.35">
      <c r="A4476" s="12" t="s">
        <v>5440</v>
      </c>
      <c r="B4476" s="12" t="s">
        <v>1166</v>
      </c>
      <c r="C4476" s="12" t="s">
        <v>1167</v>
      </c>
      <c r="D4476" s="12" t="s">
        <v>175</v>
      </c>
      <c r="E4476" s="12" t="s">
        <v>65</v>
      </c>
      <c r="F4476">
        <v>3</v>
      </c>
      <c r="G4476">
        <v>5</v>
      </c>
      <c r="H4476">
        <v>0</v>
      </c>
      <c r="I4476" s="12" t="s">
        <v>143</v>
      </c>
      <c r="J4476" s="12" t="s">
        <v>144</v>
      </c>
      <c r="K4476" s="12" t="s">
        <v>133</v>
      </c>
      <c r="L4476" s="12" t="s">
        <v>96</v>
      </c>
      <c r="M4476">
        <v>5.43</v>
      </c>
      <c r="N4476" s="12" t="s">
        <v>107</v>
      </c>
      <c r="O4476" s="12" t="s">
        <v>108</v>
      </c>
      <c r="P4476" s="12" t="s">
        <v>109</v>
      </c>
      <c r="Q4476" s="13">
        <v>45715</v>
      </c>
      <c r="R4476" s="13">
        <v>45741</v>
      </c>
      <c r="S4476">
        <v>2025</v>
      </c>
      <c r="T4476" s="12" t="s">
        <v>5260</v>
      </c>
      <c r="U4476">
        <v>51</v>
      </c>
      <c r="V4476">
        <v>237.2253</v>
      </c>
      <c r="W4476">
        <v>261.56</v>
      </c>
      <c r="X4476">
        <v>0</v>
      </c>
      <c r="Y4476">
        <v>0</v>
      </c>
      <c r="Z4476">
        <v>12098.49</v>
      </c>
      <c r="AA4476">
        <v>12360.05</v>
      </c>
      <c r="AB4476" s="12" t="s">
        <v>201</v>
      </c>
      <c r="AD4476">
        <v>0</v>
      </c>
      <c r="AE4476">
        <v>0</v>
      </c>
      <c r="AH4476">
        <v>51</v>
      </c>
      <c r="AI4476">
        <v>50</v>
      </c>
      <c r="AJ4476">
        <v>1</v>
      </c>
      <c r="AK4476">
        <v>1</v>
      </c>
      <c r="AL4476">
        <v>1</v>
      </c>
      <c r="AM4476">
        <v>98.04</v>
      </c>
      <c r="AN4476">
        <v>247.20099999999999</v>
      </c>
      <c r="AO4476">
        <v>237.23</v>
      </c>
      <c r="AP4476" s="13">
        <v>45740</v>
      </c>
      <c r="AQ4476">
        <v>-1</v>
      </c>
      <c r="AR4476">
        <v>1</v>
      </c>
    </row>
    <row r="4477" spans="1:44" x14ac:dyDescent="0.35">
      <c r="A4477" s="12" t="s">
        <v>5441</v>
      </c>
      <c r="B4477" s="12" t="s">
        <v>494</v>
      </c>
      <c r="C4477" s="12" t="s">
        <v>495</v>
      </c>
      <c r="D4477" s="12" t="s">
        <v>175</v>
      </c>
      <c r="E4477" s="12" t="s">
        <v>65</v>
      </c>
      <c r="F4477">
        <v>2</v>
      </c>
      <c r="G4477">
        <v>3</v>
      </c>
      <c r="H4477">
        <v>0</v>
      </c>
      <c r="I4477" s="12" t="s">
        <v>515</v>
      </c>
      <c r="J4477" s="12" t="s">
        <v>516</v>
      </c>
      <c r="K4477" s="12" t="s">
        <v>68</v>
      </c>
      <c r="L4477" s="12" t="s">
        <v>134</v>
      </c>
      <c r="M4477">
        <v>3.69</v>
      </c>
      <c r="N4477" s="12" t="s">
        <v>145</v>
      </c>
      <c r="O4477" s="12" t="s">
        <v>146</v>
      </c>
      <c r="P4477" s="12" t="s">
        <v>109</v>
      </c>
      <c r="Q4477" s="13">
        <v>45715</v>
      </c>
      <c r="R4477" s="13">
        <v>45745</v>
      </c>
      <c r="S4477">
        <v>2025</v>
      </c>
      <c r="T4477" s="12" t="s">
        <v>5260</v>
      </c>
      <c r="U4477">
        <v>80</v>
      </c>
      <c r="V4477">
        <v>153.36940000000001</v>
      </c>
      <c r="W4477">
        <v>198.24</v>
      </c>
      <c r="X4477">
        <v>0</v>
      </c>
      <c r="Y4477">
        <v>0</v>
      </c>
      <c r="Z4477">
        <v>12269.55</v>
      </c>
      <c r="AA4477">
        <v>12467.79</v>
      </c>
      <c r="AB4477" s="12" t="s">
        <v>5442</v>
      </c>
      <c r="AC4477">
        <v>153.36940000000001</v>
      </c>
      <c r="AD4477">
        <v>1</v>
      </c>
      <c r="AE4477">
        <v>1</v>
      </c>
      <c r="AF4477">
        <v>0</v>
      </c>
      <c r="AG4477">
        <v>12269.55</v>
      </c>
      <c r="AH4477">
        <v>80</v>
      </c>
      <c r="AI4477">
        <v>79</v>
      </c>
      <c r="AJ4477">
        <v>1</v>
      </c>
      <c r="AK4477">
        <v>1</v>
      </c>
      <c r="AL4477">
        <v>1</v>
      </c>
      <c r="AM4477">
        <v>98.75</v>
      </c>
      <c r="AN4477">
        <v>157.8202</v>
      </c>
      <c r="AO4477">
        <v>153.37</v>
      </c>
      <c r="AP4477" s="13">
        <v>45744</v>
      </c>
      <c r="AQ4477">
        <v>-1</v>
      </c>
      <c r="AR4477">
        <v>1</v>
      </c>
    </row>
    <row r="4478" spans="1:44" x14ac:dyDescent="0.35">
      <c r="A4478" s="12" t="s">
        <v>5443</v>
      </c>
      <c r="B4478" s="12" t="s">
        <v>1042</v>
      </c>
      <c r="C4478" s="12" t="s">
        <v>1043</v>
      </c>
      <c r="D4478" s="12" t="s">
        <v>269</v>
      </c>
      <c r="E4478" s="12" t="s">
        <v>104</v>
      </c>
      <c r="F4478">
        <v>2</v>
      </c>
      <c r="G4478">
        <v>0</v>
      </c>
      <c r="H4478">
        <v>0</v>
      </c>
      <c r="I4478" s="12" t="s">
        <v>199</v>
      </c>
      <c r="J4478" s="12" t="s">
        <v>200</v>
      </c>
      <c r="K4478" s="12" t="s">
        <v>68</v>
      </c>
      <c r="L4478" s="12" t="s">
        <v>96</v>
      </c>
      <c r="M4478">
        <v>9.4700000000000006</v>
      </c>
      <c r="N4478" s="12" t="s">
        <v>159</v>
      </c>
      <c r="O4478" s="12" t="s">
        <v>160</v>
      </c>
      <c r="P4478" s="12" t="s">
        <v>137</v>
      </c>
      <c r="Q4478" s="13">
        <v>45715</v>
      </c>
      <c r="R4478" s="13">
        <v>45735</v>
      </c>
      <c r="S4478">
        <v>2025</v>
      </c>
      <c r="T4478" s="12" t="s">
        <v>5260</v>
      </c>
      <c r="U4478">
        <v>75</v>
      </c>
      <c r="V4478">
        <v>290.43689999999998</v>
      </c>
      <c r="W4478">
        <v>488.89</v>
      </c>
      <c r="X4478">
        <v>0</v>
      </c>
      <c r="Y4478">
        <v>0</v>
      </c>
      <c r="Z4478">
        <v>21782.77</v>
      </c>
      <c r="AA4478">
        <v>22271.66</v>
      </c>
      <c r="AB4478" s="12" t="s">
        <v>4127</v>
      </c>
      <c r="AC4478">
        <v>290.43689999999998</v>
      </c>
      <c r="AD4478">
        <v>1</v>
      </c>
      <c r="AE4478">
        <v>1</v>
      </c>
      <c r="AF4478">
        <v>0</v>
      </c>
      <c r="AG4478">
        <v>21782.77</v>
      </c>
      <c r="AH4478">
        <v>75</v>
      </c>
      <c r="AI4478">
        <v>74</v>
      </c>
      <c r="AJ4478">
        <v>1</v>
      </c>
      <c r="AK4478">
        <v>1</v>
      </c>
      <c r="AL4478">
        <v>1</v>
      </c>
      <c r="AM4478">
        <v>98.67</v>
      </c>
      <c r="AN4478">
        <v>300.9683</v>
      </c>
      <c r="AO4478">
        <v>290.44</v>
      </c>
      <c r="AP4478" s="13">
        <v>45736</v>
      </c>
      <c r="AQ4478">
        <v>1</v>
      </c>
      <c r="AR4478">
        <v>0</v>
      </c>
    </row>
    <row r="4479" spans="1:44" x14ac:dyDescent="0.35">
      <c r="A4479" s="12" t="s">
        <v>5444</v>
      </c>
      <c r="B4479" s="12" t="s">
        <v>85</v>
      </c>
      <c r="C4479" s="12" t="s">
        <v>86</v>
      </c>
      <c r="D4479" s="12" t="s">
        <v>78</v>
      </c>
      <c r="E4479" s="12" t="s">
        <v>65</v>
      </c>
      <c r="F4479">
        <v>3</v>
      </c>
      <c r="G4479">
        <v>5</v>
      </c>
      <c r="H4479">
        <v>0</v>
      </c>
      <c r="I4479" s="12" t="s">
        <v>87</v>
      </c>
      <c r="J4479" s="12" t="s">
        <v>88</v>
      </c>
      <c r="K4479" s="12" t="s">
        <v>89</v>
      </c>
      <c r="L4479" s="12" t="s">
        <v>69</v>
      </c>
      <c r="M4479">
        <v>14.93</v>
      </c>
      <c r="N4479" s="12" t="s">
        <v>97</v>
      </c>
      <c r="O4479" s="12" t="s">
        <v>98</v>
      </c>
      <c r="P4479" s="12" t="s">
        <v>72</v>
      </c>
      <c r="Q4479" s="13">
        <v>45715</v>
      </c>
      <c r="R4479" s="13">
        <v>45745</v>
      </c>
      <c r="S4479">
        <v>2025</v>
      </c>
      <c r="T4479" s="12" t="s">
        <v>5260</v>
      </c>
      <c r="U4479">
        <v>172</v>
      </c>
      <c r="V4479">
        <v>132.05160000000001</v>
      </c>
      <c r="W4479">
        <v>533.88</v>
      </c>
      <c r="X4479">
        <v>0</v>
      </c>
      <c r="Y4479">
        <v>0</v>
      </c>
      <c r="Z4479">
        <v>22712.880000000001</v>
      </c>
      <c r="AA4479">
        <v>23246.76</v>
      </c>
      <c r="AB4479" s="12" t="s">
        <v>5445</v>
      </c>
      <c r="AC4479">
        <v>132.05160000000001</v>
      </c>
      <c r="AD4479">
        <v>1</v>
      </c>
      <c r="AE4479">
        <v>1</v>
      </c>
      <c r="AF4479">
        <v>0</v>
      </c>
      <c r="AG4479">
        <v>22712.880000000001</v>
      </c>
      <c r="AH4479">
        <v>172</v>
      </c>
      <c r="AI4479">
        <v>168</v>
      </c>
      <c r="AJ4479">
        <v>4</v>
      </c>
      <c r="AK4479">
        <v>1</v>
      </c>
      <c r="AL4479">
        <v>1</v>
      </c>
      <c r="AM4479">
        <v>97.67</v>
      </c>
      <c r="AN4479">
        <v>138.37350000000001</v>
      </c>
      <c r="AO4479">
        <v>528.21</v>
      </c>
      <c r="AP4479" s="13">
        <v>45744</v>
      </c>
      <c r="AQ4479">
        <v>-1</v>
      </c>
      <c r="AR4479">
        <v>1</v>
      </c>
    </row>
    <row r="4480" spans="1:44" x14ac:dyDescent="0.35">
      <c r="A4480" s="12" t="s">
        <v>5446</v>
      </c>
      <c r="B4480" s="12" t="s">
        <v>712</v>
      </c>
      <c r="C4480" s="12" t="s">
        <v>713</v>
      </c>
      <c r="D4480" s="12" t="s">
        <v>103</v>
      </c>
      <c r="E4480" s="12" t="s">
        <v>104</v>
      </c>
      <c r="F4480">
        <v>2</v>
      </c>
      <c r="G4480">
        <v>0</v>
      </c>
      <c r="H4480">
        <v>0</v>
      </c>
      <c r="I4480" s="12" t="s">
        <v>105</v>
      </c>
      <c r="J4480" s="12" t="s">
        <v>106</v>
      </c>
      <c r="K4480" s="12" t="s">
        <v>81</v>
      </c>
      <c r="L4480" s="12" t="s">
        <v>96</v>
      </c>
      <c r="M4480">
        <v>5.01</v>
      </c>
      <c r="N4480" s="12" t="s">
        <v>145</v>
      </c>
      <c r="O4480" s="12" t="s">
        <v>146</v>
      </c>
      <c r="P4480" s="12" t="s">
        <v>109</v>
      </c>
      <c r="Q4480" s="13">
        <v>45715</v>
      </c>
      <c r="R4480" s="13">
        <v>45731</v>
      </c>
      <c r="S4480">
        <v>2025</v>
      </c>
      <c r="T4480" s="12" t="s">
        <v>5260</v>
      </c>
      <c r="U4480">
        <v>44</v>
      </c>
      <c r="V4480">
        <v>196.79769999999999</v>
      </c>
      <c r="W4480">
        <v>87.59</v>
      </c>
      <c r="X4480">
        <v>0</v>
      </c>
      <c r="Y4480">
        <v>0</v>
      </c>
      <c r="Z4480">
        <v>8659.1</v>
      </c>
      <c r="AA4480">
        <v>8746.69</v>
      </c>
      <c r="AB4480" s="12" t="s">
        <v>3984</v>
      </c>
      <c r="AC4480">
        <v>196.79769999999999</v>
      </c>
      <c r="AD4480">
        <v>1</v>
      </c>
      <c r="AE4480">
        <v>1</v>
      </c>
      <c r="AF4480">
        <v>0</v>
      </c>
      <c r="AG4480">
        <v>8659.1</v>
      </c>
      <c r="AH4480">
        <v>44</v>
      </c>
      <c r="AI4480">
        <v>44</v>
      </c>
      <c r="AJ4480">
        <v>0</v>
      </c>
      <c r="AK4480">
        <v>1</v>
      </c>
      <c r="AL4480">
        <v>1</v>
      </c>
      <c r="AM4480">
        <v>100</v>
      </c>
      <c r="AN4480">
        <v>198.7884</v>
      </c>
      <c r="AO4480">
        <v>0</v>
      </c>
      <c r="AP4480" s="13">
        <v>45731</v>
      </c>
      <c r="AQ4480">
        <v>0</v>
      </c>
      <c r="AR4480">
        <v>1</v>
      </c>
    </row>
    <row r="4481" spans="1:44" x14ac:dyDescent="0.35">
      <c r="A4481" s="12" t="s">
        <v>5447</v>
      </c>
      <c r="B4481" s="12" t="s">
        <v>837</v>
      </c>
      <c r="C4481" s="12" t="s">
        <v>838</v>
      </c>
      <c r="D4481" s="12" t="s">
        <v>114</v>
      </c>
      <c r="E4481" s="12" t="s">
        <v>104</v>
      </c>
      <c r="F4481">
        <v>2</v>
      </c>
      <c r="G4481">
        <v>0</v>
      </c>
      <c r="H4481">
        <v>0</v>
      </c>
      <c r="I4481" s="12" t="s">
        <v>199</v>
      </c>
      <c r="J4481" s="12" t="s">
        <v>200</v>
      </c>
      <c r="K4481" s="12" t="s">
        <v>68</v>
      </c>
      <c r="L4481" s="12" t="s">
        <v>96</v>
      </c>
      <c r="M4481">
        <v>9.4700000000000006</v>
      </c>
      <c r="N4481" s="12" t="s">
        <v>70</v>
      </c>
      <c r="O4481" s="12" t="s">
        <v>71</v>
      </c>
      <c r="P4481" s="12" t="s">
        <v>72</v>
      </c>
      <c r="Q4481" s="13">
        <v>45716</v>
      </c>
      <c r="R4481" s="13">
        <v>45730</v>
      </c>
      <c r="S4481">
        <v>2025</v>
      </c>
      <c r="T4481" s="12" t="s">
        <v>5260</v>
      </c>
      <c r="U4481">
        <v>30</v>
      </c>
      <c r="V4481">
        <v>64.7881</v>
      </c>
      <c r="W4481">
        <v>32.380000000000003</v>
      </c>
      <c r="X4481">
        <v>0</v>
      </c>
      <c r="Y4481">
        <v>0</v>
      </c>
      <c r="Z4481">
        <v>1943.64</v>
      </c>
      <c r="AA4481">
        <v>1976.02</v>
      </c>
      <c r="AB4481" s="12" t="s">
        <v>3432</v>
      </c>
      <c r="AC4481">
        <v>68.916300000000007</v>
      </c>
      <c r="AD4481">
        <v>1</v>
      </c>
      <c r="AE4481">
        <v>1</v>
      </c>
      <c r="AF4481">
        <v>-123.85</v>
      </c>
      <c r="AG4481">
        <v>2067.4899999999998</v>
      </c>
      <c r="AH4481">
        <v>30</v>
      </c>
      <c r="AI4481">
        <v>29</v>
      </c>
      <c r="AJ4481">
        <v>1</v>
      </c>
      <c r="AK4481">
        <v>1</v>
      </c>
      <c r="AL4481">
        <v>1</v>
      </c>
      <c r="AM4481">
        <v>96.67</v>
      </c>
      <c r="AN4481">
        <v>68.1387</v>
      </c>
      <c r="AO4481">
        <v>64.790000000000006</v>
      </c>
      <c r="AP4481" s="13">
        <v>45729</v>
      </c>
      <c r="AQ4481">
        <v>-1</v>
      </c>
      <c r="AR4481">
        <v>1</v>
      </c>
    </row>
    <row r="4482" spans="1:44" x14ac:dyDescent="0.35">
      <c r="A4482" s="12" t="s">
        <v>5448</v>
      </c>
      <c r="B4482" s="12" t="s">
        <v>327</v>
      </c>
      <c r="C4482" s="12" t="s">
        <v>328</v>
      </c>
      <c r="D4482" s="12" t="s">
        <v>130</v>
      </c>
      <c r="E4482" s="12" t="s">
        <v>104</v>
      </c>
      <c r="F4482">
        <v>2</v>
      </c>
      <c r="G4482">
        <v>0</v>
      </c>
      <c r="H4482">
        <v>0</v>
      </c>
      <c r="I4482" s="12" t="s">
        <v>94</v>
      </c>
      <c r="J4482" s="12" t="s">
        <v>95</v>
      </c>
      <c r="K4482" s="12" t="s">
        <v>81</v>
      </c>
      <c r="L4482" s="12" t="s">
        <v>96</v>
      </c>
      <c r="M4482">
        <v>4.8099999999999996</v>
      </c>
      <c r="N4482" s="12" t="s">
        <v>159</v>
      </c>
      <c r="O4482" s="12" t="s">
        <v>160</v>
      </c>
      <c r="P4482" s="12" t="s">
        <v>137</v>
      </c>
      <c r="Q4482" s="13">
        <v>45716</v>
      </c>
      <c r="R4482" s="13">
        <v>45743</v>
      </c>
      <c r="S4482">
        <v>2025</v>
      </c>
      <c r="T4482" s="12" t="s">
        <v>5260</v>
      </c>
      <c r="U4482">
        <v>129</v>
      </c>
      <c r="V4482">
        <v>637.04729999999995</v>
      </c>
      <c r="W4482">
        <v>2032.86</v>
      </c>
      <c r="X4482">
        <v>0</v>
      </c>
      <c r="Y4482">
        <v>0</v>
      </c>
      <c r="Z4482">
        <v>82179.100000000006</v>
      </c>
      <c r="AA4482">
        <v>84211.96</v>
      </c>
      <c r="AB4482" s="12" t="s">
        <v>5449</v>
      </c>
      <c r="AC4482">
        <v>637.04729999999995</v>
      </c>
      <c r="AD4482">
        <v>1</v>
      </c>
      <c r="AE4482">
        <v>1</v>
      </c>
      <c r="AF4482">
        <v>0</v>
      </c>
      <c r="AG4482">
        <v>82179.100000000006</v>
      </c>
      <c r="AH4482">
        <v>129</v>
      </c>
      <c r="AI4482">
        <v>127</v>
      </c>
      <c r="AJ4482">
        <v>2</v>
      </c>
      <c r="AK4482">
        <v>1</v>
      </c>
      <c r="AL4482">
        <v>1</v>
      </c>
      <c r="AM4482">
        <v>98.45</v>
      </c>
      <c r="AN4482">
        <v>663.08630000000005</v>
      </c>
      <c r="AO4482">
        <v>1274.0899999999999</v>
      </c>
      <c r="AP4482" s="13">
        <v>45745</v>
      </c>
      <c r="AQ4482">
        <v>2</v>
      </c>
      <c r="AR4482">
        <v>0</v>
      </c>
    </row>
    <row r="4483" spans="1:44" x14ac:dyDescent="0.35">
      <c r="A4483" s="12" t="s">
        <v>5450</v>
      </c>
      <c r="B4483" s="12" t="s">
        <v>766</v>
      </c>
      <c r="C4483" s="12" t="s">
        <v>767</v>
      </c>
      <c r="D4483" s="12" t="s">
        <v>175</v>
      </c>
      <c r="E4483" s="12" t="s">
        <v>65</v>
      </c>
      <c r="F4483">
        <v>3</v>
      </c>
      <c r="G4483">
        <v>5</v>
      </c>
      <c r="H4483">
        <v>0</v>
      </c>
      <c r="I4483" s="12" t="s">
        <v>87</v>
      </c>
      <c r="J4483" s="12" t="s">
        <v>88</v>
      </c>
      <c r="K4483" s="12" t="s">
        <v>89</v>
      </c>
      <c r="L4483" s="12" t="s">
        <v>69</v>
      </c>
      <c r="M4483">
        <v>14.93</v>
      </c>
      <c r="N4483" s="12" t="s">
        <v>107</v>
      </c>
      <c r="O4483" s="12" t="s">
        <v>108</v>
      </c>
      <c r="P4483" s="12" t="s">
        <v>109</v>
      </c>
      <c r="Q4483" s="13">
        <v>45716</v>
      </c>
      <c r="R4483" s="13">
        <v>45753</v>
      </c>
      <c r="S4483">
        <v>2025</v>
      </c>
      <c r="T4483" s="12" t="s">
        <v>5260</v>
      </c>
      <c r="U4483">
        <v>140</v>
      </c>
      <c r="V4483">
        <v>81.825500000000005</v>
      </c>
      <c r="W4483">
        <v>249.63</v>
      </c>
      <c r="X4483">
        <v>0</v>
      </c>
      <c r="Y4483">
        <v>0</v>
      </c>
      <c r="Z4483">
        <v>11455.57</v>
      </c>
      <c r="AA4483">
        <v>11705.2</v>
      </c>
      <c r="AB4483" s="12" t="s">
        <v>3225</v>
      </c>
      <c r="AC4483">
        <v>81.825500000000005</v>
      </c>
      <c r="AD4483">
        <v>1</v>
      </c>
      <c r="AE4483">
        <v>1</v>
      </c>
      <c r="AF4483">
        <v>0</v>
      </c>
      <c r="AG4483">
        <v>11455.57</v>
      </c>
      <c r="AH4483">
        <v>140</v>
      </c>
      <c r="AI4483">
        <v>139</v>
      </c>
      <c r="AJ4483">
        <v>1</v>
      </c>
      <c r="AK4483">
        <v>1</v>
      </c>
      <c r="AL4483">
        <v>1</v>
      </c>
      <c r="AM4483">
        <v>99.29</v>
      </c>
      <c r="AN4483">
        <v>84.210099999999997</v>
      </c>
      <c r="AO4483">
        <v>81.83</v>
      </c>
      <c r="AP4483" s="13">
        <v>45753</v>
      </c>
      <c r="AQ4483">
        <v>0</v>
      </c>
      <c r="AR4483">
        <v>1</v>
      </c>
    </row>
    <row r="4484" spans="1:44" x14ac:dyDescent="0.35">
      <c r="A4484" s="12" t="s">
        <v>5451</v>
      </c>
      <c r="B4484" s="12" t="s">
        <v>112</v>
      </c>
      <c r="C4484" s="12" t="s">
        <v>113</v>
      </c>
      <c r="D4484" s="12" t="s">
        <v>114</v>
      </c>
      <c r="E4484" s="12" t="s">
        <v>104</v>
      </c>
      <c r="F4484">
        <v>3</v>
      </c>
      <c r="G4484">
        <v>1</v>
      </c>
      <c r="H4484">
        <v>0</v>
      </c>
      <c r="I4484" s="12" t="s">
        <v>115</v>
      </c>
      <c r="J4484" s="12" t="s">
        <v>116</v>
      </c>
      <c r="K4484" s="12" t="s">
        <v>117</v>
      </c>
      <c r="L4484" s="12" t="s">
        <v>82</v>
      </c>
      <c r="M4484">
        <v>17.170000000000002</v>
      </c>
      <c r="N4484" s="12" t="s">
        <v>97</v>
      </c>
      <c r="O4484" s="12" t="s">
        <v>98</v>
      </c>
      <c r="P4484" s="12" t="s">
        <v>72</v>
      </c>
      <c r="Q4484" s="13">
        <v>45716</v>
      </c>
      <c r="R4484" s="13">
        <v>45744</v>
      </c>
      <c r="S4484">
        <v>2025</v>
      </c>
      <c r="T4484" s="12" t="s">
        <v>5260</v>
      </c>
      <c r="U4484">
        <v>140</v>
      </c>
      <c r="V4484">
        <v>257.51960000000003</v>
      </c>
      <c r="W4484">
        <v>332.69</v>
      </c>
      <c r="X4484">
        <v>0</v>
      </c>
      <c r="Y4484">
        <v>0</v>
      </c>
      <c r="Z4484">
        <v>36052.74</v>
      </c>
      <c r="AA4484">
        <v>36385.43</v>
      </c>
      <c r="AB4484" s="12" t="s">
        <v>5452</v>
      </c>
      <c r="AC4484">
        <v>257.51960000000003</v>
      </c>
      <c r="AD4484">
        <v>1</v>
      </c>
      <c r="AE4484">
        <v>1</v>
      </c>
      <c r="AF4484">
        <v>0</v>
      </c>
      <c r="AG4484">
        <v>36052.74</v>
      </c>
      <c r="AH4484">
        <v>140</v>
      </c>
      <c r="AI4484">
        <v>137</v>
      </c>
      <c r="AJ4484">
        <v>3</v>
      </c>
      <c r="AK4484">
        <v>1</v>
      </c>
      <c r="AL4484">
        <v>1</v>
      </c>
      <c r="AM4484">
        <v>97.86</v>
      </c>
      <c r="AN4484">
        <v>265.58710000000002</v>
      </c>
      <c r="AO4484">
        <v>772.56</v>
      </c>
      <c r="AP4484" s="13">
        <v>45741</v>
      </c>
      <c r="AQ4484">
        <v>-3</v>
      </c>
      <c r="AR4484">
        <v>1</v>
      </c>
    </row>
    <row r="4485" spans="1:44" x14ac:dyDescent="0.35">
      <c r="A4485" s="12" t="s">
        <v>5453</v>
      </c>
      <c r="B4485" s="12" t="s">
        <v>308</v>
      </c>
      <c r="C4485" s="12" t="s">
        <v>309</v>
      </c>
      <c r="D4485" s="12" t="s">
        <v>122</v>
      </c>
      <c r="E4485" s="12" t="s">
        <v>142</v>
      </c>
      <c r="F4485">
        <v>1</v>
      </c>
      <c r="G4485">
        <v>6</v>
      </c>
      <c r="H4485">
        <v>1</v>
      </c>
      <c r="I4485" s="12" t="s">
        <v>310</v>
      </c>
      <c r="J4485" s="12" t="s">
        <v>311</v>
      </c>
      <c r="K4485" s="12" t="s">
        <v>81</v>
      </c>
      <c r="L4485" s="12" t="s">
        <v>69</v>
      </c>
      <c r="M4485">
        <v>28.3</v>
      </c>
      <c r="N4485" s="12" t="s">
        <v>70</v>
      </c>
      <c r="O4485" s="12" t="s">
        <v>71</v>
      </c>
      <c r="P4485" s="12" t="s">
        <v>72</v>
      </c>
      <c r="Q4485" s="13">
        <v>45716</v>
      </c>
      <c r="R4485" s="13">
        <v>45757</v>
      </c>
      <c r="S4485">
        <v>2025</v>
      </c>
      <c r="T4485" s="12" t="s">
        <v>5260</v>
      </c>
      <c r="U4485">
        <v>872</v>
      </c>
      <c r="V4485">
        <v>56.789000000000001</v>
      </c>
      <c r="W4485">
        <v>460.12</v>
      </c>
      <c r="X4485">
        <v>0</v>
      </c>
      <c r="Y4485">
        <v>0</v>
      </c>
      <c r="Z4485">
        <v>49520.01</v>
      </c>
      <c r="AA4485">
        <v>49980.13</v>
      </c>
      <c r="AB4485" s="12" t="s">
        <v>5357</v>
      </c>
      <c r="AC4485">
        <v>56.789000000000001</v>
      </c>
      <c r="AD4485">
        <v>1</v>
      </c>
      <c r="AE4485">
        <v>1</v>
      </c>
      <c r="AF4485">
        <v>0</v>
      </c>
      <c r="AG4485">
        <v>49520.01</v>
      </c>
      <c r="AH4485">
        <v>872</v>
      </c>
      <c r="AI4485">
        <v>863</v>
      </c>
      <c r="AJ4485">
        <v>9</v>
      </c>
      <c r="AK4485">
        <v>1</v>
      </c>
      <c r="AL4485">
        <v>1</v>
      </c>
      <c r="AM4485">
        <v>98.97</v>
      </c>
      <c r="AN4485">
        <v>57.914400000000001</v>
      </c>
      <c r="AO4485">
        <v>511.1</v>
      </c>
      <c r="AP4485" s="13">
        <v>45757</v>
      </c>
      <c r="AQ4485">
        <v>0</v>
      </c>
      <c r="AR4485">
        <v>1</v>
      </c>
    </row>
    <row r="4486" spans="1:44" x14ac:dyDescent="0.35">
      <c r="A4486" s="12" t="s">
        <v>5454</v>
      </c>
      <c r="B4486" s="12" t="s">
        <v>657</v>
      </c>
      <c r="C4486" s="12" t="s">
        <v>658</v>
      </c>
      <c r="D4486" s="12" t="s">
        <v>175</v>
      </c>
      <c r="E4486" s="12" t="s">
        <v>65</v>
      </c>
      <c r="F4486">
        <v>1</v>
      </c>
      <c r="G4486">
        <v>2</v>
      </c>
      <c r="H4486">
        <v>1</v>
      </c>
      <c r="I4486" s="12" t="s">
        <v>183</v>
      </c>
      <c r="J4486" s="12" t="s">
        <v>184</v>
      </c>
      <c r="K4486" s="12" t="s">
        <v>133</v>
      </c>
      <c r="L4486" s="12" t="s">
        <v>82</v>
      </c>
      <c r="M4486">
        <v>8.6199999999999992</v>
      </c>
      <c r="N4486" s="12" t="s">
        <v>107</v>
      </c>
      <c r="O4486" s="12" t="s">
        <v>108</v>
      </c>
      <c r="P4486" s="12" t="s">
        <v>109</v>
      </c>
      <c r="Q4486" s="13">
        <v>45716</v>
      </c>
      <c r="R4486" s="13">
        <v>45743</v>
      </c>
      <c r="S4486">
        <v>2025</v>
      </c>
      <c r="T4486" s="12" t="s">
        <v>5260</v>
      </c>
      <c r="U4486">
        <v>56</v>
      </c>
      <c r="V4486">
        <v>149.10310000000001</v>
      </c>
      <c r="W4486">
        <v>205.36</v>
      </c>
      <c r="X4486">
        <v>0</v>
      </c>
      <c r="Y4486">
        <v>0</v>
      </c>
      <c r="Z4486">
        <v>8349.77</v>
      </c>
      <c r="AA4486">
        <v>8555.1299999999992</v>
      </c>
      <c r="AB4486" s="12" t="s">
        <v>3525</v>
      </c>
      <c r="AC4486">
        <v>149.10310000000001</v>
      </c>
      <c r="AD4486">
        <v>1</v>
      </c>
      <c r="AE4486">
        <v>1</v>
      </c>
      <c r="AF4486">
        <v>0</v>
      </c>
      <c r="AG4486">
        <v>8349.77</v>
      </c>
      <c r="AH4486">
        <v>56</v>
      </c>
      <c r="AI4486">
        <v>56</v>
      </c>
      <c r="AJ4486">
        <v>0</v>
      </c>
      <c r="AK4486">
        <v>1</v>
      </c>
      <c r="AL4486">
        <v>1</v>
      </c>
      <c r="AM4486">
        <v>100</v>
      </c>
      <c r="AN4486">
        <v>152.77019999999999</v>
      </c>
      <c r="AO4486">
        <v>0</v>
      </c>
      <c r="AP4486" s="13">
        <v>45742</v>
      </c>
      <c r="AQ4486">
        <v>-1</v>
      </c>
      <c r="AR4486">
        <v>1</v>
      </c>
    </row>
    <row r="4487" spans="1:44" x14ac:dyDescent="0.35">
      <c r="A4487" s="12" t="s">
        <v>5455</v>
      </c>
      <c r="B4487" s="12" t="s">
        <v>454</v>
      </c>
      <c r="C4487" s="12" t="s">
        <v>455</v>
      </c>
      <c r="D4487" s="12" t="s">
        <v>122</v>
      </c>
      <c r="E4487" s="12" t="s">
        <v>104</v>
      </c>
      <c r="F4487">
        <v>3</v>
      </c>
      <c r="G4487">
        <v>1</v>
      </c>
      <c r="H4487">
        <v>0</v>
      </c>
      <c r="I4487" s="12" t="s">
        <v>87</v>
      </c>
      <c r="J4487" s="12" t="s">
        <v>88</v>
      </c>
      <c r="K4487" s="12" t="s">
        <v>89</v>
      </c>
      <c r="L4487" s="12" t="s">
        <v>69</v>
      </c>
      <c r="M4487">
        <v>14.93</v>
      </c>
      <c r="N4487" s="12" t="s">
        <v>70</v>
      </c>
      <c r="O4487" s="12" t="s">
        <v>71</v>
      </c>
      <c r="P4487" s="12" t="s">
        <v>72</v>
      </c>
      <c r="Q4487" s="13">
        <v>45716</v>
      </c>
      <c r="R4487" s="13">
        <v>45729</v>
      </c>
      <c r="S4487">
        <v>2025</v>
      </c>
      <c r="T4487" s="12" t="s">
        <v>5260</v>
      </c>
      <c r="U4487">
        <v>399</v>
      </c>
      <c r="V4487">
        <v>21.032599999999999</v>
      </c>
      <c r="W4487">
        <v>67.209999999999994</v>
      </c>
      <c r="X4487">
        <v>0</v>
      </c>
      <c r="Y4487">
        <v>0</v>
      </c>
      <c r="Z4487">
        <v>8392.01</v>
      </c>
      <c r="AA4487">
        <v>8459.2199999999993</v>
      </c>
      <c r="AB4487" s="12" t="s">
        <v>5456</v>
      </c>
      <c r="AC4487">
        <v>21.032599999999999</v>
      </c>
      <c r="AD4487">
        <v>1</v>
      </c>
      <c r="AE4487">
        <v>1</v>
      </c>
      <c r="AF4487">
        <v>0</v>
      </c>
      <c r="AG4487">
        <v>8392.01</v>
      </c>
      <c r="AH4487">
        <v>399</v>
      </c>
      <c r="AI4487">
        <v>396</v>
      </c>
      <c r="AJ4487">
        <v>3</v>
      </c>
      <c r="AK4487">
        <v>1</v>
      </c>
      <c r="AL4487">
        <v>1</v>
      </c>
      <c r="AM4487">
        <v>99.25</v>
      </c>
      <c r="AN4487">
        <v>21.361699999999999</v>
      </c>
      <c r="AO4487">
        <v>63.1</v>
      </c>
      <c r="AP4487" s="13">
        <v>45729</v>
      </c>
      <c r="AQ4487">
        <v>0</v>
      </c>
      <c r="AR4487">
        <v>1</v>
      </c>
    </row>
    <row r="4488" spans="1:44" x14ac:dyDescent="0.35">
      <c r="A4488" s="12" t="s">
        <v>5457</v>
      </c>
      <c r="B4488" s="12" t="s">
        <v>1134</v>
      </c>
      <c r="C4488" s="12" t="s">
        <v>1135</v>
      </c>
      <c r="D4488" s="12" t="s">
        <v>269</v>
      </c>
      <c r="E4488" s="12" t="s">
        <v>104</v>
      </c>
      <c r="F4488">
        <v>2</v>
      </c>
      <c r="G4488">
        <v>0</v>
      </c>
      <c r="H4488">
        <v>0</v>
      </c>
      <c r="I4488" s="12" t="s">
        <v>380</v>
      </c>
      <c r="J4488" s="12" t="s">
        <v>381</v>
      </c>
      <c r="K4488" s="12" t="s">
        <v>89</v>
      </c>
      <c r="L4488" s="12" t="s">
        <v>96</v>
      </c>
      <c r="M4488">
        <v>10.210000000000001</v>
      </c>
      <c r="N4488" s="12" t="s">
        <v>135</v>
      </c>
      <c r="O4488" s="12" t="s">
        <v>136</v>
      </c>
      <c r="P4488" s="12" t="s">
        <v>137</v>
      </c>
      <c r="Q4488" s="13">
        <v>45716</v>
      </c>
      <c r="R4488" s="13">
        <v>45737</v>
      </c>
      <c r="S4488">
        <v>2025</v>
      </c>
      <c r="T4488" s="12" t="s">
        <v>5260</v>
      </c>
      <c r="U4488">
        <v>84</v>
      </c>
      <c r="V4488">
        <v>105.6481</v>
      </c>
      <c r="W4488">
        <v>133.38</v>
      </c>
      <c r="X4488">
        <v>287.54000000000002</v>
      </c>
      <c r="Y4488">
        <v>1</v>
      </c>
      <c r="Z4488">
        <v>8874.44</v>
      </c>
      <c r="AA4488">
        <v>9295.36</v>
      </c>
      <c r="AB4488" s="12" t="s">
        <v>3615</v>
      </c>
      <c r="AC4488">
        <v>100.0123</v>
      </c>
      <c r="AD4488">
        <v>1</v>
      </c>
      <c r="AE4488">
        <v>1</v>
      </c>
      <c r="AF4488">
        <v>473.41</v>
      </c>
      <c r="AG4488">
        <v>8401.0300000000007</v>
      </c>
      <c r="AH4488">
        <v>84</v>
      </c>
      <c r="AI4488">
        <v>84</v>
      </c>
      <c r="AJ4488">
        <v>0</v>
      </c>
      <c r="AK4488">
        <v>1</v>
      </c>
      <c r="AL4488">
        <v>1</v>
      </c>
      <c r="AM4488">
        <v>100</v>
      </c>
      <c r="AN4488">
        <v>110.6591</v>
      </c>
      <c r="AO4488">
        <v>0</v>
      </c>
      <c r="AP4488" s="13">
        <v>45736</v>
      </c>
      <c r="AQ4488">
        <v>-1</v>
      </c>
      <c r="AR4488">
        <v>1</v>
      </c>
    </row>
    <row r="4489" spans="1:44" x14ac:dyDescent="0.35">
      <c r="A4489" s="12" t="s">
        <v>5458</v>
      </c>
      <c r="B4489" s="12" t="s">
        <v>1166</v>
      </c>
      <c r="C4489" s="12" t="s">
        <v>1167</v>
      </c>
      <c r="D4489" s="12" t="s">
        <v>175</v>
      </c>
      <c r="E4489" s="12" t="s">
        <v>65</v>
      </c>
      <c r="F4489">
        <v>3</v>
      </c>
      <c r="G4489">
        <v>5</v>
      </c>
      <c r="H4489">
        <v>0</v>
      </c>
      <c r="I4489" s="12" t="s">
        <v>143</v>
      </c>
      <c r="J4489" s="12" t="s">
        <v>144</v>
      </c>
      <c r="K4489" s="12" t="s">
        <v>133</v>
      </c>
      <c r="L4489" s="12" t="s">
        <v>96</v>
      </c>
      <c r="M4489">
        <v>5.43</v>
      </c>
      <c r="N4489" s="12" t="s">
        <v>107</v>
      </c>
      <c r="O4489" s="12" t="s">
        <v>108</v>
      </c>
      <c r="P4489" s="12" t="s">
        <v>109</v>
      </c>
      <c r="Q4489" s="13">
        <v>45716</v>
      </c>
      <c r="R4489" s="13">
        <v>45742</v>
      </c>
      <c r="S4489">
        <v>2025</v>
      </c>
      <c r="T4489" s="12" t="s">
        <v>5260</v>
      </c>
      <c r="U4489">
        <v>49</v>
      </c>
      <c r="V4489">
        <v>249.23670000000001</v>
      </c>
      <c r="W4489">
        <v>287.52</v>
      </c>
      <c r="X4489">
        <v>0</v>
      </c>
      <c r="Y4489">
        <v>0</v>
      </c>
      <c r="Z4489">
        <v>12212.6</v>
      </c>
      <c r="AA4489">
        <v>12500.12</v>
      </c>
      <c r="AB4489" s="12" t="s">
        <v>201</v>
      </c>
      <c r="AD4489">
        <v>0</v>
      </c>
      <c r="AE4489">
        <v>0</v>
      </c>
      <c r="AH4489">
        <v>49</v>
      </c>
      <c r="AI4489">
        <v>48</v>
      </c>
      <c r="AJ4489">
        <v>1</v>
      </c>
      <c r="AK4489">
        <v>1</v>
      </c>
      <c r="AL4489">
        <v>1</v>
      </c>
      <c r="AM4489">
        <v>97.96</v>
      </c>
      <c r="AN4489">
        <v>260.41910000000001</v>
      </c>
      <c r="AO4489">
        <v>249.24</v>
      </c>
      <c r="AP4489" s="13">
        <v>45746</v>
      </c>
      <c r="AQ4489">
        <v>4</v>
      </c>
      <c r="AR4489">
        <v>0</v>
      </c>
    </row>
    <row r="4490" spans="1:44" x14ac:dyDescent="0.35">
      <c r="A4490" s="12" t="s">
        <v>5459</v>
      </c>
      <c r="B4490" s="12" t="s">
        <v>902</v>
      </c>
      <c r="C4490" s="12" t="s">
        <v>903</v>
      </c>
      <c r="D4490" s="12" t="s">
        <v>122</v>
      </c>
      <c r="E4490" s="12" t="s">
        <v>142</v>
      </c>
      <c r="F4490">
        <v>1</v>
      </c>
      <c r="G4490">
        <v>6</v>
      </c>
      <c r="H4490">
        <v>1</v>
      </c>
      <c r="I4490" s="12" t="s">
        <v>105</v>
      </c>
      <c r="J4490" s="12" t="s">
        <v>106</v>
      </c>
      <c r="K4490" s="12" t="s">
        <v>81</v>
      </c>
      <c r="L4490" s="12" t="s">
        <v>96</v>
      </c>
      <c r="M4490">
        <v>5.01</v>
      </c>
      <c r="N4490" s="12" t="s">
        <v>70</v>
      </c>
      <c r="O4490" s="12" t="s">
        <v>71</v>
      </c>
      <c r="P4490" s="12" t="s">
        <v>72</v>
      </c>
      <c r="Q4490" s="13">
        <v>45716</v>
      </c>
      <c r="R4490" s="13">
        <v>45766</v>
      </c>
      <c r="S4490">
        <v>2025</v>
      </c>
      <c r="T4490" s="12" t="s">
        <v>5260</v>
      </c>
      <c r="U4490">
        <v>1719</v>
      </c>
      <c r="V4490">
        <v>41.6892</v>
      </c>
      <c r="W4490">
        <v>1463.88</v>
      </c>
      <c r="X4490">
        <v>0</v>
      </c>
      <c r="Y4490">
        <v>0</v>
      </c>
      <c r="Z4490">
        <v>71663.73</v>
      </c>
      <c r="AA4490">
        <v>73127.61</v>
      </c>
      <c r="AB4490" s="12" t="s">
        <v>3284</v>
      </c>
      <c r="AC4490">
        <v>41.6892</v>
      </c>
      <c r="AD4490">
        <v>1</v>
      </c>
      <c r="AE4490">
        <v>1</v>
      </c>
      <c r="AF4490">
        <v>0</v>
      </c>
      <c r="AG4490">
        <v>71663.73</v>
      </c>
      <c r="AH4490">
        <v>1719</v>
      </c>
      <c r="AI4490">
        <v>1700</v>
      </c>
      <c r="AJ4490">
        <v>19</v>
      </c>
      <c r="AK4490">
        <v>1</v>
      </c>
      <c r="AL4490">
        <v>1</v>
      </c>
      <c r="AM4490">
        <v>98.89</v>
      </c>
      <c r="AN4490">
        <v>43.016199999999998</v>
      </c>
      <c r="AO4490">
        <v>792.09</v>
      </c>
      <c r="AP4490" s="13">
        <v>45764</v>
      </c>
      <c r="AQ4490">
        <v>-2</v>
      </c>
      <c r="AR4490">
        <v>1</v>
      </c>
    </row>
    <row r="4491" spans="1:44" x14ac:dyDescent="0.35">
      <c r="A4491" s="12" t="s">
        <v>5460</v>
      </c>
      <c r="B4491" s="12" t="s">
        <v>327</v>
      </c>
      <c r="C4491" s="12" t="s">
        <v>328</v>
      </c>
      <c r="D4491" s="12" t="s">
        <v>130</v>
      </c>
      <c r="E4491" s="12" t="s">
        <v>104</v>
      </c>
      <c r="F4491">
        <v>2</v>
      </c>
      <c r="G4491">
        <v>0</v>
      </c>
      <c r="H4491">
        <v>0</v>
      </c>
      <c r="I4491" s="12" t="s">
        <v>123</v>
      </c>
      <c r="J4491" s="12" t="s">
        <v>124</v>
      </c>
      <c r="K4491" s="12" t="s">
        <v>125</v>
      </c>
      <c r="L4491" s="12" t="s">
        <v>82</v>
      </c>
      <c r="M4491">
        <v>6.75</v>
      </c>
      <c r="N4491" s="12" t="s">
        <v>159</v>
      </c>
      <c r="O4491" s="12" t="s">
        <v>160</v>
      </c>
      <c r="P4491" s="12" t="s">
        <v>137</v>
      </c>
      <c r="Q4491" s="13">
        <v>45719</v>
      </c>
      <c r="R4491" s="13">
        <v>45736</v>
      </c>
      <c r="S4491">
        <v>2025</v>
      </c>
      <c r="T4491" s="12" t="s">
        <v>5461</v>
      </c>
      <c r="U4491">
        <v>53</v>
      </c>
      <c r="V4491">
        <v>781.28579999999999</v>
      </c>
      <c r="W4491">
        <v>698.49</v>
      </c>
      <c r="X4491">
        <v>0</v>
      </c>
      <c r="Y4491">
        <v>0</v>
      </c>
      <c r="Z4491">
        <v>41408.15</v>
      </c>
      <c r="AA4491">
        <v>42106.64</v>
      </c>
      <c r="AB4491" s="12" t="s">
        <v>201</v>
      </c>
      <c r="AD4491">
        <v>0</v>
      </c>
      <c r="AE4491">
        <v>0</v>
      </c>
      <c r="AH4491">
        <v>53</v>
      </c>
      <c r="AI4491">
        <v>52</v>
      </c>
      <c r="AJ4491">
        <v>1</v>
      </c>
      <c r="AK4491">
        <v>1</v>
      </c>
      <c r="AL4491">
        <v>1</v>
      </c>
      <c r="AM4491">
        <v>98.11</v>
      </c>
      <c r="AN4491">
        <v>809.74300000000005</v>
      </c>
      <c r="AO4491">
        <v>781.29</v>
      </c>
      <c r="AP4491" s="13">
        <v>45735</v>
      </c>
      <c r="AQ4491">
        <v>-1</v>
      </c>
      <c r="AR4491">
        <v>1</v>
      </c>
    </row>
    <row r="4492" spans="1:44" x14ac:dyDescent="0.35">
      <c r="A4492" s="12" t="s">
        <v>5462</v>
      </c>
      <c r="B4492" s="12" t="s">
        <v>412</v>
      </c>
      <c r="C4492" s="12" t="s">
        <v>413</v>
      </c>
      <c r="D4492" s="12" t="s">
        <v>269</v>
      </c>
      <c r="E4492" s="12" t="s">
        <v>65</v>
      </c>
      <c r="F4492">
        <v>1</v>
      </c>
      <c r="G4492">
        <v>2</v>
      </c>
      <c r="H4492">
        <v>1</v>
      </c>
      <c r="I4492" s="12" t="s">
        <v>233</v>
      </c>
      <c r="J4492" s="12" t="s">
        <v>234</v>
      </c>
      <c r="K4492" s="12" t="s">
        <v>125</v>
      </c>
      <c r="L4492" s="12" t="s">
        <v>96</v>
      </c>
      <c r="M4492">
        <v>3.73</v>
      </c>
      <c r="N4492" s="12" t="s">
        <v>135</v>
      </c>
      <c r="O4492" s="12" t="s">
        <v>136</v>
      </c>
      <c r="P4492" s="12" t="s">
        <v>137</v>
      </c>
      <c r="Q4492" s="13">
        <v>45719</v>
      </c>
      <c r="R4492" s="13">
        <v>45740</v>
      </c>
      <c r="S4492">
        <v>2025</v>
      </c>
      <c r="T4492" s="12" t="s">
        <v>5461</v>
      </c>
      <c r="U4492">
        <v>11</v>
      </c>
      <c r="V4492">
        <v>103.87350000000001</v>
      </c>
      <c r="W4492">
        <v>14.88</v>
      </c>
      <c r="X4492">
        <v>0</v>
      </c>
      <c r="Y4492">
        <v>0</v>
      </c>
      <c r="Z4492">
        <v>1142.6099999999999</v>
      </c>
      <c r="AA4492">
        <v>1157.49</v>
      </c>
      <c r="AB4492" s="12" t="s">
        <v>5424</v>
      </c>
      <c r="AC4492">
        <v>103.87350000000001</v>
      </c>
      <c r="AD4492">
        <v>1</v>
      </c>
      <c r="AE4492">
        <v>1</v>
      </c>
      <c r="AF4492">
        <v>0</v>
      </c>
      <c r="AG4492">
        <v>1142.6099999999999</v>
      </c>
      <c r="AH4492">
        <v>11</v>
      </c>
      <c r="AI4492">
        <v>11</v>
      </c>
      <c r="AJ4492">
        <v>0</v>
      </c>
      <c r="AK4492">
        <v>1</v>
      </c>
      <c r="AL4492">
        <v>1</v>
      </c>
      <c r="AM4492">
        <v>100</v>
      </c>
      <c r="AN4492">
        <v>105.22620000000001</v>
      </c>
      <c r="AO4492">
        <v>0</v>
      </c>
      <c r="AP4492" s="13">
        <v>45739</v>
      </c>
      <c r="AQ4492">
        <v>-1</v>
      </c>
      <c r="AR4492">
        <v>1</v>
      </c>
    </row>
    <row r="4493" spans="1:44" x14ac:dyDescent="0.35">
      <c r="A4493" s="12" t="s">
        <v>5463</v>
      </c>
      <c r="B4493" s="12" t="s">
        <v>1220</v>
      </c>
      <c r="C4493" s="12" t="s">
        <v>1221</v>
      </c>
      <c r="D4493" s="12" t="s">
        <v>175</v>
      </c>
      <c r="E4493" s="12" t="s">
        <v>104</v>
      </c>
      <c r="F4493">
        <v>3</v>
      </c>
      <c r="G4493">
        <v>1</v>
      </c>
      <c r="H4493">
        <v>0</v>
      </c>
      <c r="I4493" s="12" t="s">
        <v>251</v>
      </c>
      <c r="J4493" s="12" t="s">
        <v>252</v>
      </c>
      <c r="K4493" s="12" t="s">
        <v>133</v>
      </c>
      <c r="L4493" s="12" t="s">
        <v>69</v>
      </c>
      <c r="M4493">
        <v>34.49</v>
      </c>
      <c r="N4493" s="12" t="s">
        <v>145</v>
      </c>
      <c r="O4493" s="12" t="s">
        <v>146</v>
      </c>
      <c r="P4493" s="12" t="s">
        <v>109</v>
      </c>
      <c r="Q4493" s="13">
        <v>45719</v>
      </c>
      <c r="R4493" s="13">
        <v>45731</v>
      </c>
      <c r="S4493">
        <v>2025</v>
      </c>
      <c r="T4493" s="12" t="s">
        <v>5461</v>
      </c>
      <c r="U4493">
        <v>12</v>
      </c>
      <c r="V4493">
        <v>138.95140000000001</v>
      </c>
      <c r="W4493">
        <v>21.68</v>
      </c>
      <c r="X4493">
        <v>0</v>
      </c>
      <c r="Y4493">
        <v>0</v>
      </c>
      <c r="Z4493">
        <v>1667.42</v>
      </c>
      <c r="AA4493">
        <v>1689.1</v>
      </c>
      <c r="AB4493" s="12" t="s">
        <v>3687</v>
      </c>
      <c r="AC4493">
        <v>138.95140000000001</v>
      </c>
      <c r="AD4493">
        <v>1</v>
      </c>
      <c r="AE4493">
        <v>1</v>
      </c>
      <c r="AF4493">
        <v>0</v>
      </c>
      <c r="AG4493">
        <v>1667.42</v>
      </c>
      <c r="AH4493">
        <v>12</v>
      </c>
      <c r="AI4493">
        <v>12</v>
      </c>
      <c r="AJ4493">
        <v>0</v>
      </c>
      <c r="AK4493">
        <v>1</v>
      </c>
      <c r="AL4493">
        <v>1</v>
      </c>
      <c r="AM4493">
        <v>100</v>
      </c>
      <c r="AN4493">
        <v>140.75810000000001</v>
      </c>
      <c r="AO4493">
        <v>0</v>
      </c>
      <c r="AP4493" s="13">
        <v>45730</v>
      </c>
      <c r="AQ4493">
        <v>-1</v>
      </c>
      <c r="AR4493">
        <v>1</v>
      </c>
    </row>
    <row r="4494" spans="1:44" x14ac:dyDescent="0.35">
      <c r="A4494" s="12" t="s">
        <v>5464</v>
      </c>
      <c r="B4494" s="12" t="s">
        <v>395</v>
      </c>
      <c r="C4494" s="12" t="s">
        <v>396</v>
      </c>
      <c r="D4494" s="12" t="s">
        <v>130</v>
      </c>
      <c r="E4494" s="12" t="s">
        <v>104</v>
      </c>
      <c r="F4494">
        <v>3</v>
      </c>
      <c r="G4494">
        <v>1</v>
      </c>
      <c r="H4494">
        <v>0</v>
      </c>
      <c r="I4494" s="12" t="s">
        <v>341</v>
      </c>
      <c r="J4494" s="12" t="s">
        <v>342</v>
      </c>
      <c r="K4494" s="12" t="s">
        <v>117</v>
      </c>
      <c r="L4494" s="12" t="s">
        <v>82</v>
      </c>
      <c r="M4494">
        <v>18.36</v>
      </c>
      <c r="N4494" s="12" t="s">
        <v>135</v>
      </c>
      <c r="O4494" s="12" t="s">
        <v>136</v>
      </c>
      <c r="P4494" s="12" t="s">
        <v>137</v>
      </c>
      <c r="Q4494" s="13">
        <v>45719</v>
      </c>
      <c r="R4494" s="13">
        <v>45745</v>
      </c>
      <c r="S4494">
        <v>2025</v>
      </c>
      <c r="T4494" s="12" t="s">
        <v>5461</v>
      </c>
      <c r="U4494">
        <v>123</v>
      </c>
      <c r="V4494">
        <v>159.31549999999999</v>
      </c>
      <c r="W4494">
        <v>219.29</v>
      </c>
      <c r="X4494">
        <v>0</v>
      </c>
      <c r="Y4494">
        <v>0</v>
      </c>
      <c r="Z4494">
        <v>19595.810000000001</v>
      </c>
      <c r="AA4494">
        <v>19815.099999999999</v>
      </c>
      <c r="AB4494" s="12" t="s">
        <v>5282</v>
      </c>
      <c r="AC4494">
        <v>159.31549999999999</v>
      </c>
      <c r="AD4494">
        <v>1</v>
      </c>
      <c r="AE4494">
        <v>1</v>
      </c>
      <c r="AF4494">
        <v>0</v>
      </c>
      <c r="AG4494">
        <v>19595.810000000001</v>
      </c>
      <c r="AH4494">
        <v>123</v>
      </c>
      <c r="AI4494">
        <v>121</v>
      </c>
      <c r="AJ4494">
        <v>2</v>
      </c>
      <c r="AK4494">
        <v>1</v>
      </c>
      <c r="AL4494">
        <v>1</v>
      </c>
      <c r="AM4494">
        <v>98.37</v>
      </c>
      <c r="AN4494">
        <v>163.7611</v>
      </c>
      <c r="AO4494">
        <v>318.63</v>
      </c>
      <c r="AP4494" s="13">
        <v>45742</v>
      </c>
      <c r="AQ4494">
        <v>-3</v>
      </c>
      <c r="AR4494">
        <v>1</v>
      </c>
    </row>
    <row r="4495" spans="1:44" x14ac:dyDescent="0.35">
      <c r="A4495" s="12" t="s">
        <v>5465</v>
      </c>
      <c r="B4495" s="12" t="s">
        <v>747</v>
      </c>
      <c r="C4495" s="12" t="s">
        <v>748</v>
      </c>
      <c r="D4495" s="12" t="s">
        <v>114</v>
      </c>
      <c r="E4495" s="12" t="s">
        <v>104</v>
      </c>
      <c r="F4495">
        <v>2</v>
      </c>
      <c r="G4495">
        <v>0</v>
      </c>
      <c r="H4495">
        <v>0</v>
      </c>
      <c r="I4495" s="12" t="s">
        <v>251</v>
      </c>
      <c r="J4495" s="12" t="s">
        <v>252</v>
      </c>
      <c r="K4495" s="12" t="s">
        <v>133</v>
      </c>
      <c r="L4495" s="12" t="s">
        <v>69</v>
      </c>
      <c r="M4495">
        <v>34.49</v>
      </c>
      <c r="N4495" s="12" t="s">
        <v>97</v>
      </c>
      <c r="O4495" s="12" t="s">
        <v>98</v>
      </c>
      <c r="P4495" s="12" t="s">
        <v>72</v>
      </c>
      <c r="Q4495" s="13">
        <v>45719</v>
      </c>
      <c r="R4495" s="13">
        <v>45745</v>
      </c>
      <c r="S4495">
        <v>2025</v>
      </c>
      <c r="T4495" s="12" t="s">
        <v>5461</v>
      </c>
      <c r="U4495">
        <v>119</v>
      </c>
      <c r="V4495">
        <v>242.2371</v>
      </c>
      <c r="W4495">
        <v>272.29000000000002</v>
      </c>
      <c r="X4495">
        <v>0</v>
      </c>
      <c r="Y4495">
        <v>0</v>
      </c>
      <c r="Z4495">
        <v>28826.21</v>
      </c>
      <c r="AA4495">
        <v>29098.5</v>
      </c>
      <c r="AB4495" s="12" t="s">
        <v>3119</v>
      </c>
      <c r="AC4495">
        <v>242.2371</v>
      </c>
      <c r="AD4495">
        <v>1</v>
      </c>
      <c r="AE4495">
        <v>1</v>
      </c>
      <c r="AF4495">
        <v>0</v>
      </c>
      <c r="AG4495">
        <v>28826.21</v>
      </c>
      <c r="AH4495">
        <v>119</v>
      </c>
      <c r="AI4495">
        <v>117</v>
      </c>
      <c r="AJ4495">
        <v>2</v>
      </c>
      <c r="AK4495">
        <v>1</v>
      </c>
      <c r="AL4495">
        <v>1</v>
      </c>
      <c r="AM4495">
        <v>98.32</v>
      </c>
      <c r="AN4495">
        <v>248.70519999999999</v>
      </c>
      <c r="AO4495">
        <v>484.47</v>
      </c>
      <c r="AP4495" s="13">
        <v>45742</v>
      </c>
      <c r="AQ4495">
        <v>-3</v>
      </c>
      <c r="AR4495">
        <v>1</v>
      </c>
    </row>
    <row r="4496" spans="1:44" x14ac:dyDescent="0.35">
      <c r="A4496" s="12" t="s">
        <v>5466</v>
      </c>
      <c r="B4496" s="12" t="s">
        <v>331</v>
      </c>
      <c r="C4496" s="12" t="s">
        <v>332</v>
      </c>
      <c r="D4496" s="12" t="s">
        <v>122</v>
      </c>
      <c r="E4496" s="12" t="s">
        <v>142</v>
      </c>
      <c r="F4496">
        <v>3</v>
      </c>
      <c r="G4496">
        <v>11</v>
      </c>
      <c r="H4496">
        <v>0</v>
      </c>
      <c r="I4496" s="12" t="s">
        <v>263</v>
      </c>
      <c r="J4496" s="12" t="s">
        <v>264</v>
      </c>
      <c r="K4496" s="12" t="s">
        <v>125</v>
      </c>
      <c r="L4496" s="12" t="s">
        <v>82</v>
      </c>
      <c r="M4496">
        <v>10.210000000000001</v>
      </c>
      <c r="N4496" s="12" t="s">
        <v>70</v>
      </c>
      <c r="O4496" s="12" t="s">
        <v>71</v>
      </c>
      <c r="P4496" s="12" t="s">
        <v>72</v>
      </c>
      <c r="Q4496" s="13">
        <v>45719</v>
      </c>
      <c r="R4496" s="13">
        <v>45755</v>
      </c>
      <c r="S4496">
        <v>2025</v>
      </c>
      <c r="T4496" s="12" t="s">
        <v>5461</v>
      </c>
      <c r="U4496">
        <v>396</v>
      </c>
      <c r="V4496">
        <v>23.006</v>
      </c>
      <c r="W4496">
        <v>89.14</v>
      </c>
      <c r="X4496">
        <v>0</v>
      </c>
      <c r="Y4496">
        <v>0</v>
      </c>
      <c r="Z4496">
        <v>9110.3799999999992</v>
      </c>
      <c r="AA4496">
        <v>9199.52</v>
      </c>
      <c r="AB4496" s="12" t="s">
        <v>5234</v>
      </c>
      <c r="AC4496">
        <v>23.006</v>
      </c>
      <c r="AD4496">
        <v>1</v>
      </c>
      <c r="AE4496">
        <v>1</v>
      </c>
      <c r="AF4496">
        <v>0</v>
      </c>
      <c r="AG4496">
        <v>9110.3799999999992</v>
      </c>
      <c r="AH4496">
        <v>396</v>
      </c>
      <c r="AI4496">
        <v>395</v>
      </c>
      <c r="AJ4496">
        <v>1</v>
      </c>
      <c r="AK4496">
        <v>1</v>
      </c>
      <c r="AL4496">
        <v>1</v>
      </c>
      <c r="AM4496">
        <v>99.75</v>
      </c>
      <c r="AN4496">
        <v>23.289899999999999</v>
      </c>
      <c r="AO4496">
        <v>23.01</v>
      </c>
      <c r="AP4496" s="13">
        <v>45753</v>
      </c>
      <c r="AQ4496">
        <v>-2</v>
      </c>
      <c r="AR4496">
        <v>1</v>
      </c>
    </row>
    <row r="4497" spans="1:44" x14ac:dyDescent="0.35">
      <c r="A4497" s="12" t="s">
        <v>5467</v>
      </c>
      <c r="B4497" s="12" t="s">
        <v>231</v>
      </c>
      <c r="C4497" s="12" t="s">
        <v>232</v>
      </c>
      <c r="D4497" s="12" t="s">
        <v>130</v>
      </c>
      <c r="E4497" s="12" t="s">
        <v>65</v>
      </c>
      <c r="F4497">
        <v>1</v>
      </c>
      <c r="G4497">
        <v>2</v>
      </c>
      <c r="H4497">
        <v>1</v>
      </c>
      <c r="I4497" s="12" t="s">
        <v>233</v>
      </c>
      <c r="J4497" s="12" t="s">
        <v>234</v>
      </c>
      <c r="K4497" s="12" t="s">
        <v>125</v>
      </c>
      <c r="L4497" s="12" t="s">
        <v>96</v>
      </c>
      <c r="M4497">
        <v>3.73</v>
      </c>
      <c r="N4497" s="12" t="s">
        <v>159</v>
      </c>
      <c r="O4497" s="12" t="s">
        <v>160</v>
      </c>
      <c r="P4497" s="12" t="s">
        <v>137</v>
      </c>
      <c r="Q4497" s="13">
        <v>45719</v>
      </c>
      <c r="R4497" s="13">
        <v>45750</v>
      </c>
      <c r="S4497">
        <v>2025</v>
      </c>
      <c r="T4497" s="12" t="s">
        <v>5461</v>
      </c>
      <c r="U4497">
        <v>90</v>
      </c>
      <c r="V4497">
        <v>449.08949999999999</v>
      </c>
      <c r="W4497">
        <v>529.04999999999995</v>
      </c>
      <c r="X4497">
        <v>0</v>
      </c>
      <c r="Y4497">
        <v>0</v>
      </c>
      <c r="Z4497">
        <v>40418.06</v>
      </c>
      <c r="AA4497">
        <v>40947.11</v>
      </c>
      <c r="AB4497" s="12" t="s">
        <v>201</v>
      </c>
      <c r="AD4497">
        <v>0</v>
      </c>
      <c r="AE4497">
        <v>0</v>
      </c>
      <c r="AH4497">
        <v>90</v>
      </c>
      <c r="AI4497">
        <v>89</v>
      </c>
      <c r="AJ4497">
        <v>1</v>
      </c>
      <c r="AK4497">
        <v>1</v>
      </c>
      <c r="AL4497">
        <v>1</v>
      </c>
      <c r="AM4497">
        <v>98.89</v>
      </c>
      <c r="AN4497">
        <v>460.07979999999998</v>
      </c>
      <c r="AO4497">
        <v>449.09</v>
      </c>
      <c r="AP4497" s="13">
        <v>45748</v>
      </c>
      <c r="AQ4497">
        <v>-2</v>
      </c>
      <c r="AR4497">
        <v>1</v>
      </c>
    </row>
    <row r="4498" spans="1:44" x14ac:dyDescent="0.35">
      <c r="A4498" s="12" t="s">
        <v>5468</v>
      </c>
      <c r="B4498" s="12" t="s">
        <v>193</v>
      </c>
      <c r="C4498" s="12" t="s">
        <v>194</v>
      </c>
      <c r="D4498" s="12" t="s">
        <v>114</v>
      </c>
      <c r="E4498" s="12" t="s">
        <v>65</v>
      </c>
      <c r="F4498">
        <v>3</v>
      </c>
      <c r="G4498">
        <v>4</v>
      </c>
      <c r="H4498">
        <v>0</v>
      </c>
      <c r="I4498" s="12" t="s">
        <v>195</v>
      </c>
      <c r="J4498" s="12" t="s">
        <v>196</v>
      </c>
      <c r="K4498" s="12" t="s">
        <v>117</v>
      </c>
      <c r="L4498" s="12" t="s">
        <v>134</v>
      </c>
      <c r="M4498">
        <v>4.7699999999999996</v>
      </c>
      <c r="N4498" s="12" t="s">
        <v>70</v>
      </c>
      <c r="O4498" s="12" t="s">
        <v>71</v>
      </c>
      <c r="P4498" s="12" t="s">
        <v>72</v>
      </c>
      <c r="Q4498" s="13">
        <v>45719</v>
      </c>
      <c r="R4498" s="13">
        <v>45750</v>
      </c>
      <c r="S4498">
        <v>2025</v>
      </c>
      <c r="T4498" s="12" t="s">
        <v>5461</v>
      </c>
      <c r="U4498">
        <v>90</v>
      </c>
      <c r="V4498">
        <v>104.5202</v>
      </c>
      <c r="W4498">
        <v>136.84</v>
      </c>
      <c r="X4498">
        <v>0</v>
      </c>
      <c r="Y4498">
        <v>0</v>
      </c>
      <c r="Z4498">
        <v>9406.82</v>
      </c>
      <c r="AA4498">
        <v>9543.66</v>
      </c>
      <c r="AB4498" s="12" t="s">
        <v>5258</v>
      </c>
      <c r="AC4498">
        <v>104.5202</v>
      </c>
      <c r="AD4498">
        <v>1</v>
      </c>
      <c r="AE4498">
        <v>1</v>
      </c>
      <c r="AF4498">
        <v>0</v>
      </c>
      <c r="AG4498">
        <v>9406.82</v>
      </c>
      <c r="AH4498">
        <v>90</v>
      </c>
      <c r="AI4498">
        <v>89</v>
      </c>
      <c r="AJ4498">
        <v>1</v>
      </c>
      <c r="AK4498">
        <v>1</v>
      </c>
      <c r="AL4498">
        <v>1</v>
      </c>
      <c r="AM4498">
        <v>98.89</v>
      </c>
      <c r="AN4498">
        <v>107.2321</v>
      </c>
      <c r="AO4498">
        <v>104.52</v>
      </c>
      <c r="AP4498" s="13">
        <v>45748</v>
      </c>
      <c r="AQ4498">
        <v>-2</v>
      </c>
      <c r="AR4498">
        <v>1</v>
      </c>
    </row>
    <row r="4499" spans="1:44" x14ac:dyDescent="0.35">
      <c r="A4499" s="12" t="s">
        <v>5469</v>
      </c>
      <c r="B4499" s="12" t="s">
        <v>458</v>
      </c>
      <c r="C4499" s="12" t="s">
        <v>459</v>
      </c>
      <c r="D4499" s="12" t="s">
        <v>64</v>
      </c>
      <c r="E4499" s="12" t="s">
        <v>104</v>
      </c>
      <c r="F4499">
        <v>2</v>
      </c>
      <c r="G4499">
        <v>0</v>
      </c>
      <c r="H4499">
        <v>0</v>
      </c>
      <c r="I4499" s="12" t="s">
        <v>199</v>
      </c>
      <c r="J4499" s="12" t="s">
        <v>200</v>
      </c>
      <c r="K4499" s="12" t="s">
        <v>68</v>
      </c>
      <c r="L4499" s="12" t="s">
        <v>96</v>
      </c>
      <c r="M4499">
        <v>9.4700000000000006</v>
      </c>
      <c r="N4499" s="12" t="s">
        <v>70</v>
      </c>
      <c r="O4499" s="12" t="s">
        <v>71</v>
      </c>
      <c r="P4499" s="12" t="s">
        <v>72</v>
      </c>
      <c r="Q4499" s="13">
        <v>45719</v>
      </c>
      <c r="R4499" s="13">
        <v>45735</v>
      </c>
      <c r="S4499">
        <v>2025</v>
      </c>
      <c r="T4499" s="12" t="s">
        <v>5461</v>
      </c>
      <c r="U4499">
        <v>310</v>
      </c>
      <c r="V4499">
        <v>21.6357</v>
      </c>
      <c r="W4499">
        <v>165.38</v>
      </c>
      <c r="X4499">
        <v>0</v>
      </c>
      <c r="Y4499">
        <v>0</v>
      </c>
      <c r="Z4499">
        <v>6707.07</v>
      </c>
      <c r="AA4499">
        <v>6872.45</v>
      </c>
      <c r="AB4499" s="12" t="s">
        <v>3341</v>
      </c>
      <c r="AC4499">
        <v>23.0014</v>
      </c>
      <c r="AD4499">
        <v>1</v>
      </c>
      <c r="AE4499">
        <v>1</v>
      </c>
      <c r="AF4499">
        <v>-423.37</v>
      </c>
      <c r="AG4499">
        <v>7130.43</v>
      </c>
      <c r="AH4499">
        <v>310</v>
      </c>
      <c r="AI4499">
        <v>307</v>
      </c>
      <c r="AJ4499">
        <v>3</v>
      </c>
      <c r="AK4499">
        <v>1</v>
      </c>
      <c r="AL4499">
        <v>1</v>
      </c>
      <c r="AM4499">
        <v>99.03</v>
      </c>
      <c r="AN4499">
        <v>22.3858</v>
      </c>
      <c r="AO4499">
        <v>64.91</v>
      </c>
      <c r="AP4499" s="13">
        <v>45739</v>
      </c>
      <c r="AQ4499">
        <v>4</v>
      </c>
      <c r="AR4499">
        <v>0</v>
      </c>
    </row>
    <row r="4500" spans="1:44" x14ac:dyDescent="0.35">
      <c r="A4500" s="12" t="s">
        <v>5470</v>
      </c>
      <c r="B4500" s="12" t="s">
        <v>1166</v>
      </c>
      <c r="C4500" s="12" t="s">
        <v>1167</v>
      </c>
      <c r="D4500" s="12" t="s">
        <v>175</v>
      </c>
      <c r="E4500" s="12" t="s">
        <v>65</v>
      </c>
      <c r="F4500">
        <v>3</v>
      </c>
      <c r="G4500">
        <v>5</v>
      </c>
      <c r="H4500">
        <v>0</v>
      </c>
      <c r="I4500" s="12" t="s">
        <v>143</v>
      </c>
      <c r="J4500" s="12" t="s">
        <v>144</v>
      </c>
      <c r="K4500" s="12" t="s">
        <v>133</v>
      </c>
      <c r="L4500" s="12" t="s">
        <v>96</v>
      </c>
      <c r="M4500">
        <v>5.43</v>
      </c>
      <c r="N4500" s="12" t="s">
        <v>145</v>
      </c>
      <c r="O4500" s="12" t="s">
        <v>146</v>
      </c>
      <c r="P4500" s="12" t="s">
        <v>109</v>
      </c>
      <c r="Q4500" s="13">
        <v>45719</v>
      </c>
      <c r="R4500" s="13">
        <v>45755</v>
      </c>
      <c r="S4500">
        <v>2025</v>
      </c>
      <c r="T4500" s="12" t="s">
        <v>5461</v>
      </c>
      <c r="U4500">
        <v>133</v>
      </c>
      <c r="V4500">
        <v>236.78139999999999</v>
      </c>
      <c r="W4500">
        <v>495.08</v>
      </c>
      <c r="X4500">
        <v>0</v>
      </c>
      <c r="Y4500">
        <v>0</v>
      </c>
      <c r="Z4500">
        <v>31491.93</v>
      </c>
      <c r="AA4500">
        <v>31987.01</v>
      </c>
      <c r="AB4500" s="12" t="s">
        <v>201</v>
      </c>
      <c r="AD4500">
        <v>0</v>
      </c>
      <c r="AE4500">
        <v>0</v>
      </c>
      <c r="AH4500">
        <v>133</v>
      </c>
      <c r="AI4500">
        <v>132</v>
      </c>
      <c r="AJ4500">
        <v>1</v>
      </c>
      <c r="AK4500">
        <v>1</v>
      </c>
      <c r="AL4500">
        <v>1</v>
      </c>
      <c r="AM4500">
        <v>99.25</v>
      </c>
      <c r="AN4500">
        <v>242.32579999999999</v>
      </c>
      <c r="AO4500">
        <v>236.78</v>
      </c>
      <c r="AP4500" s="13">
        <v>45755</v>
      </c>
      <c r="AQ4500">
        <v>0</v>
      </c>
      <c r="AR4500">
        <v>1</v>
      </c>
    </row>
    <row r="4501" spans="1:44" x14ac:dyDescent="0.35">
      <c r="A4501" s="12" t="s">
        <v>5471</v>
      </c>
      <c r="B4501" s="12" t="s">
        <v>674</v>
      </c>
      <c r="C4501" s="12" t="s">
        <v>675</v>
      </c>
      <c r="D4501" s="12" t="s">
        <v>269</v>
      </c>
      <c r="E4501" s="12" t="s">
        <v>142</v>
      </c>
      <c r="F4501">
        <v>1</v>
      </c>
      <c r="G4501">
        <v>7</v>
      </c>
      <c r="H4501">
        <v>1</v>
      </c>
      <c r="I4501" s="12" t="s">
        <v>676</v>
      </c>
      <c r="J4501" s="12" t="s">
        <v>677</v>
      </c>
      <c r="K4501" s="12" t="s">
        <v>68</v>
      </c>
      <c r="L4501" s="12" t="s">
        <v>96</v>
      </c>
      <c r="M4501">
        <v>3.57</v>
      </c>
      <c r="N4501" s="12" t="s">
        <v>135</v>
      </c>
      <c r="O4501" s="12" t="s">
        <v>136</v>
      </c>
      <c r="P4501" s="12" t="s">
        <v>137</v>
      </c>
      <c r="Q4501" s="13">
        <v>45720</v>
      </c>
      <c r="R4501" s="13">
        <v>45758</v>
      </c>
      <c r="S4501">
        <v>2025</v>
      </c>
      <c r="T4501" s="12" t="s">
        <v>5461</v>
      </c>
      <c r="U4501">
        <v>36</v>
      </c>
      <c r="V4501">
        <v>379.14170000000001</v>
      </c>
      <c r="W4501">
        <v>231.73</v>
      </c>
      <c r="X4501">
        <v>0</v>
      </c>
      <c r="Y4501">
        <v>0</v>
      </c>
      <c r="Z4501">
        <v>13649.1</v>
      </c>
      <c r="AA4501">
        <v>13880.83</v>
      </c>
      <c r="AB4501" s="12" t="s">
        <v>201</v>
      </c>
      <c r="AD4501">
        <v>0</v>
      </c>
      <c r="AE4501">
        <v>0</v>
      </c>
      <c r="AH4501">
        <v>36</v>
      </c>
      <c r="AI4501">
        <v>35</v>
      </c>
      <c r="AJ4501">
        <v>1</v>
      </c>
      <c r="AK4501">
        <v>1</v>
      </c>
      <c r="AL4501">
        <v>1</v>
      </c>
      <c r="AM4501">
        <v>97.22</v>
      </c>
      <c r="AN4501">
        <v>396.59519999999998</v>
      </c>
      <c r="AO4501">
        <v>379.14</v>
      </c>
      <c r="AP4501" s="13">
        <v>45755</v>
      </c>
      <c r="AQ4501">
        <v>-3</v>
      </c>
      <c r="AR4501">
        <v>1</v>
      </c>
    </row>
    <row r="4502" spans="1:44" x14ac:dyDescent="0.35">
      <c r="A4502" s="12" t="s">
        <v>5472</v>
      </c>
      <c r="B4502" s="12" t="s">
        <v>837</v>
      </c>
      <c r="C4502" s="12" t="s">
        <v>838</v>
      </c>
      <c r="D4502" s="12" t="s">
        <v>114</v>
      </c>
      <c r="E4502" s="12" t="s">
        <v>104</v>
      </c>
      <c r="F4502">
        <v>2</v>
      </c>
      <c r="G4502">
        <v>0</v>
      </c>
      <c r="H4502">
        <v>0</v>
      </c>
      <c r="I4502" s="12" t="s">
        <v>199</v>
      </c>
      <c r="J4502" s="12" t="s">
        <v>200</v>
      </c>
      <c r="K4502" s="12" t="s">
        <v>68</v>
      </c>
      <c r="L4502" s="12" t="s">
        <v>96</v>
      </c>
      <c r="M4502">
        <v>9.4700000000000006</v>
      </c>
      <c r="N4502" s="12" t="s">
        <v>70</v>
      </c>
      <c r="O4502" s="12" t="s">
        <v>71</v>
      </c>
      <c r="P4502" s="12" t="s">
        <v>72</v>
      </c>
      <c r="Q4502" s="13">
        <v>45720</v>
      </c>
      <c r="R4502" s="13">
        <v>45735</v>
      </c>
      <c r="S4502">
        <v>2025</v>
      </c>
      <c r="T4502" s="12" t="s">
        <v>5461</v>
      </c>
      <c r="U4502">
        <v>33</v>
      </c>
      <c r="V4502">
        <v>72.595699999999994</v>
      </c>
      <c r="W4502">
        <v>16.829999999999998</v>
      </c>
      <c r="X4502">
        <v>0</v>
      </c>
      <c r="Y4502">
        <v>0</v>
      </c>
      <c r="Z4502">
        <v>2395.66</v>
      </c>
      <c r="AA4502">
        <v>2412.4899999999998</v>
      </c>
      <c r="AB4502" s="12" t="s">
        <v>3432</v>
      </c>
      <c r="AC4502">
        <v>68.916300000000007</v>
      </c>
      <c r="AD4502">
        <v>1</v>
      </c>
      <c r="AE4502">
        <v>1</v>
      </c>
      <c r="AF4502">
        <v>121.42</v>
      </c>
      <c r="AG4502">
        <v>2274.2399999999998</v>
      </c>
      <c r="AH4502">
        <v>33</v>
      </c>
      <c r="AI4502">
        <v>32</v>
      </c>
      <c r="AJ4502">
        <v>1</v>
      </c>
      <c r="AK4502">
        <v>1</v>
      </c>
      <c r="AL4502">
        <v>1</v>
      </c>
      <c r="AM4502">
        <v>96.97</v>
      </c>
      <c r="AN4502">
        <v>75.390299999999996</v>
      </c>
      <c r="AO4502">
        <v>72.599999999999994</v>
      </c>
      <c r="AP4502" s="13">
        <v>45736</v>
      </c>
      <c r="AQ4502">
        <v>1</v>
      </c>
      <c r="AR4502">
        <v>0</v>
      </c>
    </row>
    <row r="4503" spans="1:44" x14ac:dyDescent="0.35">
      <c r="A4503" s="12" t="s">
        <v>5473</v>
      </c>
      <c r="B4503" s="12" t="s">
        <v>347</v>
      </c>
      <c r="C4503" s="12" t="s">
        <v>348</v>
      </c>
      <c r="D4503" s="12" t="s">
        <v>78</v>
      </c>
      <c r="E4503" s="12" t="s">
        <v>104</v>
      </c>
      <c r="F4503">
        <v>3</v>
      </c>
      <c r="G4503">
        <v>1</v>
      </c>
      <c r="H4503">
        <v>0</v>
      </c>
      <c r="I4503" s="12" t="s">
        <v>105</v>
      </c>
      <c r="J4503" s="12" t="s">
        <v>106</v>
      </c>
      <c r="K4503" s="12" t="s">
        <v>81</v>
      </c>
      <c r="L4503" s="12" t="s">
        <v>96</v>
      </c>
      <c r="M4503">
        <v>5.01</v>
      </c>
      <c r="N4503" s="12" t="s">
        <v>70</v>
      </c>
      <c r="O4503" s="12" t="s">
        <v>71</v>
      </c>
      <c r="P4503" s="12" t="s">
        <v>72</v>
      </c>
      <c r="Q4503" s="13">
        <v>45720</v>
      </c>
      <c r="R4503" s="13">
        <v>45737</v>
      </c>
      <c r="S4503">
        <v>2025</v>
      </c>
      <c r="T4503" s="12" t="s">
        <v>5461</v>
      </c>
      <c r="U4503">
        <v>121</v>
      </c>
      <c r="V4503">
        <v>107.0257</v>
      </c>
      <c r="W4503">
        <v>240.14</v>
      </c>
      <c r="X4503">
        <v>0</v>
      </c>
      <c r="Y4503">
        <v>0</v>
      </c>
      <c r="Z4503">
        <v>12950.11</v>
      </c>
      <c r="AA4503">
        <v>13190.25</v>
      </c>
      <c r="AB4503" s="12" t="s">
        <v>201</v>
      </c>
      <c r="AD4503">
        <v>0</v>
      </c>
      <c r="AE4503">
        <v>0</v>
      </c>
      <c r="AH4503">
        <v>121</v>
      </c>
      <c r="AI4503">
        <v>118</v>
      </c>
      <c r="AJ4503">
        <v>3</v>
      </c>
      <c r="AK4503">
        <v>1</v>
      </c>
      <c r="AL4503">
        <v>1</v>
      </c>
      <c r="AM4503">
        <v>97.52</v>
      </c>
      <c r="AN4503">
        <v>111.7818</v>
      </c>
      <c r="AO4503">
        <v>321.08</v>
      </c>
      <c r="AP4503" s="13">
        <v>45734</v>
      </c>
      <c r="AQ4503">
        <v>-3</v>
      </c>
      <c r="AR4503">
        <v>1</v>
      </c>
    </row>
    <row r="4504" spans="1:44" x14ac:dyDescent="0.35">
      <c r="A4504" s="12" t="s">
        <v>5474</v>
      </c>
      <c r="B4504" s="12" t="s">
        <v>163</v>
      </c>
      <c r="C4504" s="12" t="s">
        <v>164</v>
      </c>
      <c r="D4504" s="12" t="s">
        <v>64</v>
      </c>
      <c r="E4504" s="12" t="s">
        <v>104</v>
      </c>
      <c r="F4504">
        <v>2</v>
      </c>
      <c r="G4504">
        <v>0</v>
      </c>
      <c r="H4504">
        <v>0</v>
      </c>
      <c r="I4504" s="12" t="s">
        <v>79</v>
      </c>
      <c r="J4504" s="12" t="s">
        <v>80</v>
      </c>
      <c r="K4504" s="12" t="s">
        <v>81</v>
      </c>
      <c r="L4504" s="12" t="s">
        <v>82</v>
      </c>
      <c r="M4504">
        <v>12.07</v>
      </c>
      <c r="N4504" s="12" t="s">
        <v>70</v>
      </c>
      <c r="O4504" s="12" t="s">
        <v>71</v>
      </c>
      <c r="P4504" s="12" t="s">
        <v>72</v>
      </c>
      <c r="Q4504" s="13">
        <v>45720</v>
      </c>
      <c r="R4504" s="13">
        <v>45739</v>
      </c>
      <c r="S4504">
        <v>2025</v>
      </c>
      <c r="T4504" s="12" t="s">
        <v>5461</v>
      </c>
      <c r="U4504">
        <v>489</v>
      </c>
      <c r="V4504">
        <v>10.482900000000001</v>
      </c>
      <c r="W4504">
        <v>100.48</v>
      </c>
      <c r="X4504">
        <v>0</v>
      </c>
      <c r="Y4504">
        <v>0</v>
      </c>
      <c r="Z4504">
        <v>5126.1400000000003</v>
      </c>
      <c r="AA4504">
        <v>5226.62</v>
      </c>
      <c r="AB4504" s="12" t="s">
        <v>5303</v>
      </c>
      <c r="AC4504">
        <v>10.482900000000001</v>
      </c>
      <c r="AD4504">
        <v>1</v>
      </c>
      <c r="AE4504">
        <v>1</v>
      </c>
      <c r="AF4504">
        <v>0</v>
      </c>
      <c r="AG4504">
        <v>5126.1400000000003</v>
      </c>
      <c r="AH4504">
        <v>489</v>
      </c>
      <c r="AI4504">
        <v>487</v>
      </c>
      <c r="AJ4504">
        <v>2</v>
      </c>
      <c r="AK4504">
        <v>1</v>
      </c>
      <c r="AL4504">
        <v>1</v>
      </c>
      <c r="AM4504">
        <v>99.59</v>
      </c>
      <c r="AN4504">
        <v>10.7323</v>
      </c>
      <c r="AO4504">
        <v>20.97</v>
      </c>
      <c r="AP4504" s="13">
        <v>45736</v>
      </c>
      <c r="AQ4504">
        <v>-3</v>
      </c>
      <c r="AR4504">
        <v>1</v>
      </c>
    </row>
    <row r="4505" spans="1:44" x14ac:dyDescent="0.35">
      <c r="A4505" s="12" t="s">
        <v>5475</v>
      </c>
      <c r="B4505" s="12" t="s">
        <v>963</v>
      </c>
      <c r="C4505" s="12" t="s">
        <v>964</v>
      </c>
      <c r="D4505" s="12" t="s">
        <v>114</v>
      </c>
      <c r="E4505" s="12" t="s">
        <v>142</v>
      </c>
      <c r="F4505">
        <v>1</v>
      </c>
      <c r="G4505">
        <v>6</v>
      </c>
      <c r="H4505">
        <v>1</v>
      </c>
      <c r="I4505" s="12" t="s">
        <v>176</v>
      </c>
      <c r="J4505" s="12" t="s">
        <v>177</v>
      </c>
      <c r="K4505" s="12" t="s">
        <v>125</v>
      </c>
      <c r="L4505" s="12" t="s">
        <v>134</v>
      </c>
      <c r="M4505">
        <v>1.75</v>
      </c>
      <c r="N4505" s="12" t="s">
        <v>97</v>
      </c>
      <c r="O4505" s="12" t="s">
        <v>98</v>
      </c>
      <c r="P4505" s="12" t="s">
        <v>72</v>
      </c>
      <c r="Q4505" s="13">
        <v>45720</v>
      </c>
      <c r="R4505" s="13">
        <v>45758</v>
      </c>
      <c r="S4505">
        <v>2025</v>
      </c>
      <c r="T4505" s="12" t="s">
        <v>5461</v>
      </c>
      <c r="U4505">
        <v>35</v>
      </c>
      <c r="V4505">
        <v>194.16829999999999</v>
      </c>
      <c r="W4505">
        <v>121.29</v>
      </c>
      <c r="X4505">
        <v>0</v>
      </c>
      <c r="Y4505">
        <v>0</v>
      </c>
      <c r="Z4505">
        <v>6795.89</v>
      </c>
      <c r="AA4505">
        <v>6917.18</v>
      </c>
      <c r="AB4505" s="12" t="s">
        <v>3290</v>
      </c>
      <c r="AC4505">
        <v>194.16829999999999</v>
      </c>
      <c r="AD4505">
        <v>1</v>
      </c>
      <c r="AE4505">
        <v>1</v>
      </c>
      <c r="AF4505">
        <v>0</v>
      </c>
      <c r="AG4505">
        <v>6795.89</v>
      </c>
      <c r="AH4505">
        <v>35</v>
      </c>
      <c r="AI4505">
        <v>34</v>
      </c>
      <c r="AJ4505">
        <v>1</v>
      </c>
      <c r="AK4505">
        <v>1</v>
      </c>
      <c r="AL4505">
        <v>1</v>
      </c>
      <c r="AM4505">
        <v>97.14</v>
      </c>
      <c r="AN4505">
        <v>203.44649999999999</v>
      </c>
      <c r="AO4505">
        <v>194.17</v>
      </c>
      <c r="AP4505" s="13">
        <v>45757</v>
      </c>
      <c r="AQ4505">
        <v>-1</v>
      </c>
      <c r="AR4505">
        <v>1</v>
      </c>
    </row>
    <row r="4506" spans="1:44" x14ac:dyDescent="0.35">
      <c r="A4506" s="12" t="s">
        <v>5476</v>
      </c>
      <c r="B4506" s="12" t="s">
        <v>408</v>
      </c>
      <c r="C4506" s="12" t="s">
        <v>409</v>
      </c>
      <c r="D4506" s="12" t="s">
        <v>130</v>
      </c>
      <c r="E4506" s="12" t="s">
        <v>65</v>
      </c>
      <c r="F4506">
        <v>3</v>
      </c>
      <c r="G4506">
        <v>5</v>
      </c>
      <c r="H4506">
        <v>0</v>
      </c>
      <c r="I4506" s="12" t="s">
        <v>94</v>
      </c>
      <c r="J4506" s="12" t="s">
        <v>95</v>
      </c>
      <c r="K4506" s="12" t="s">
        <v>81</v>
      </c>
      <c r="L4506" s="12" t="s">
        <v>96</v>
      </c>
      <c r="M4506">
        <v>4.8099999999999996</v>
      </c>
      <c r="N4506" s="12" t="s">
        <v>159</v>
      </c>
      <c r="O4506" s="12" t="s">
        <v>160</v>
      </c>
      <c r="P4506" s="12" t="s">
        <v>137</v>
      </c>
      <c r="Q4506" s="13">
        <v>45720</v>
      </c>
      <c r="R4506" s="13">
        <v>45742</v>
      </c>
      <c r="S4506">
        <v>2025</v>
      </c>
      <c r="T4506" s="12" t="s">
        <v>5461</v>
      </c>
      <c r="U4506">
        <v>20</v>
      </c>
      <c r="V4506">
        <v>788.63430000000005</v>
      </c>
      <c r="W4506">
        <v>283.92</v>
      </c>
      <c r="X4506">
        <v>0</v>
      </c>
      <c r="Y4506">
        <v>0</v>
      </c>
      <c r="Z4506">
        <v>15772.69</v>
      </c>
      <c r="AA4506">
        <v>16056.61</v>
      </c>
      <c r="AB4506" s="12" t="s">
        <v>201</v>
      </c>
      <c r="AD4506">
        <v>0</v>
      </c>
      <c r="AE4506">
        <v>0</v>
      </c>
      <c r="AH4506">
        <v>20</v>
      </c>
      <c r="AI4506">
        <v>20</v>
      </c>
      <c r="AJ4506">
        <v>0</v>
      </c>
      <c r="AK4506">
        <v>1</v>
      </c>
      <c r="AL4506">
        <v>1</v>
      </c>
      <c r="AM4506">
        <v>100</v>
      </c>
      <c r="AN4506">
        <v>802.83029999999997</v>
      </c>
      <c r="AO4506">
        <v>0</v>
      </c>
      <c r="AP4506" s="13">
        <v>45740</v>
      </c>
      <c r="AQ4506">
        <v>-2</v>
      </c>
      <c r="AR4506">
        <v>1</v>
      </c>
    </row>
    <row r="4507" spans="1:44" x14ac:dyDescent="0.35">
      <c r="A4507" s="12" t="s">
        <v>5477</v>
      </c>
      <c r="B4507" s="12" t="s">
        <v>1068</v>
      </c>
      <c r="C4507" s="12" t="s">
        <v>1069</v>
      </c>
      <c r="D4507" s="12" t="s">
        <v>122</v>
      </c>
      <c r="E4507" s="12" t="s">
        <v>65</v>
      </c>
      <c r="F4507">
        <v>2</v>
      </c>
      <c r="G4507">
        <v>2</v>
      </c>
      <c r="H4507">
        <v>0</v>
      </c>
      <c r="I4507" s="12" t="s">
        <v>79</v>
      </c>
      <c r="J4507" s="12" t="s">
        <v>80</v>
      </c>
      <c r="K4507" s="12" t="s">
        <v>81</v>
      </c>
      <c r="L4507" s="12" t="s">
        <v>82</v>
      </c>
      <c r="M4507">
        <v>12.07</v>
      </c>
      <c r="N4507" s="12" t="s">
        <v>70</v>
      </c>
      <c r="O4507" s="12" t="s">
        <v>71</v>
      </c>
      <c r="P4507" s="12" t="s">
        <v>72</v>
      </c>
      <c r="Q4507" s="13">
        <v>45720</v>
      </c>
      <c r="R4507" s="13">
        <v>45745</v>
      </c>
      <c r="S4507">
        <v>2025</v>
      </c>
      <c r="T4507" s="12" t="s">
        <v>5461</v>
      </c>
      <c r="U4507">
        <v>646</v>
      </c>
      <c r="V4507">
        <v>21.98</v>
      </c>
      <c r="W4507">
        <v>157.96</v>
      </c>
      <c r="X4507">
        <v>0</v>
      </c>
      <c r="Y4507">
        <v>0</v>
      </c>
      <c r="Z4507">
        <v>14199.08</v>
      </c>
      <c r="AA4507">
        <v>14357.04</v>
      </c>
      <c r="AB4507" s="12" t="s">
        <v>5478</v>
      </c>
      <c r="AC4507">
        <v>20.8949</v>
      </c>
      <c r="AD4507">
        <v>1</v>
      </c>
      <c r="AE4507">
        <v>1</v>
      </c>
      <c r="AF4507">
        <v>700.97</v>
      </c>
      <c r="AG4507">
        <v>13498.11</v>
      </c>
      <c r="AH4507">
        <v>646</v>
      </c>
      <c r="AI4507">
        <v>641</v>
      </c>
      <c r="AJ4507">
        <v>5</v>
      </c>
      <c r="AK4507">
        <v>1</v>
      </c>
      <c r="AL4507">
        <v>1</v>
      </c>
      <c r="AM4507">
        <v>99.23</v>
      </c>
      <c r="AN4507">
        <v>22.3979</v>
      </c>
      <c r="AO4507">
        <v>109.9</v>
      </c>
      <c r="AP4507" s="13">
        <v>45748</v>
      </c>
      <c r="AQ4507">
        <v>3</v>
      </c>
      <c r="AR4507">
        <v>0</v>
      </c>
    </row>
    <row r="4508" spans="1:44" x14ac:dyDescent="0.35">
      <c r="A4508" s="12" t="s">
        <v>5479</v>
      </c>
      <c r="B4508" s="12" t="s">
        <v>249</v>
      </c>
      <c r="C4508" s="12" t="s">
        <v>250</v>
      </c>
      <c r="D4508" s="12" t="s">
        <v>64</v>
      </c>
      <c r="E4508" s="12" t="s">
        <v>65</v>
      </c>
      <c r="F4508">
        <v>2</v>
      </c>
      <c r="G4508">
        <v>3</v>
      </c>
      <c r="H4508">
        <v>0</v>
      </c>
      <c r="I4508" s="12" t="s">
        <v>183</v>
      </c>
      <c r="J4508" s="12" t="s">
        <v>184</v>
      </c>
      <c r="K4508" s="12" t="s">
        <v>133</v>
      </c>
      <c r="L4508" s="12" t="s">
        <v>82</v>
      </c>
      <c r="M4508">
        <v>8.6199999999999992</v>
      </c>
      <c r="N4508" s="12" t="s">
        <v>97</v>
      </c>
      <c r="O4508" s="12" t="s">
        <v>98</v>
      </c>
      <c r="P4508" s="12" t="s">
        <v>72</v>
      </c>
      <c r="Q4508" s="13">
        <v>45720</v>
      </c>
      <c r="R4508" s="13">
        <v>45751</v>
      </c>
      <c r="S4508">
        <v>2025</v>
      </c>
      <c r="T4508" s="12" t="s">
        <v>5461</v>
      </c>
      <c r="U4508">
        <v>633</v>
      </c>
      <c r="V4508">
        <v>9.1478999999999999</v>
      </c>
      <c r="W4508">
        <v>119.47</v>
      </c>
      <c r="X4508">
        <v>0</v>
      </c>
      <c r="Y4508">
        <v>0</v>
      </c>
      <c r="Z4508">
        <v>5790.62</v>
      </c>
      <c r="AA4508">
        <v>5910.09</v>
      </c>
      <c r="AB4508" s="12" t="s">
        <v>5480</v>
      </c>
      <c r="AC4508">
        <v>9.1478999999999999</v>
      </c>
      <c r="AD4508">
        <v>1</v>
      </c>
      <c r="AE4508">
        <v>1</v>
      </c>
      <c r="AF4508">
        <v>0</v>
      </c>
      <c r="AG4508">
        <v>5790.62</v>
      </c>
      <c r="AH4508">
        <v>633</v>
      </c>
      <c r="AI4508">
        <v>624</v>
      </c>
      <c r="AJ4508">
        <v>9</v>
      </c>
      <c r="AK4508">
        <v>1</v>
      </c>
      <c r="AL4508">
        <v>1</v>
      </c>
      <c r="AM4508">
        <v>98.58</v>
      </c>
      <c r="AN4508">
        <v>9.4712999999999994</v>
      </c>
      <c r="AO4508">
        <v>82.33</v>
      </c>
      <c r="AP4508" s="13">
        <v>45760</v>
      </c>
      <c r="AQ4508">
        <v>9</v>
      </c>
      <c r="AR4508">
        <v>0</v>
      </c>
    </row>
    <row r="4509" spans="1:44" x14ac:dyDescent="0.35">
      <c r="A4509" s="12" t="s">
        <v>5481</v>
      </c>
      <c r="B4509" s="12" t="s">
        <v>420</v>
      </c>
      <c r="C4509" s="12" t="s">
        <v>421</v>
      </c>
      <c r="D4509" s="12" t="s">
        <v>269</v>
      </c>
      <c r="E4509" s="12" t="s">
        <v>104</v>
      </c>
      <c r="F4509">
        <v>2</v>
      </c>
      <c r="G4509">
        <v>0</v>
      </c>
      <c r="H4509">
        <v>0</v>
      </c>
      <c r="I4509" s="12" t="s">
        <v>335</v>
      </c>
      <c r="J4509" s="12" t="s">
        <v>336</v>
      </c>
      <c r="K4509" s="12" t="s">
        <v>89</v>
      </c>
      <c r="L4509" s="12" t="s">
        <v>82</v>
      </c>
      <c r="M4509">
        <v>16</v>
      </c>
      <c r="N4509" s="12" t="s">
        <v>159</v>
      </c>
      <c r="O4509" s="12" t="s">
        <v>160</v>
      </c>
      <c r="P4509" s="12" t="s">
        <v>137</v>
      </c>
      <c r="Q4509" s="13">
        <v>45720</v>
      </c>
      <c r="R4509" s="13">
        <v>45736</v>
      </c>
      <c r="S4509">
        <v>2025</v>
      </c>
      <c r="T4509" s="12" t="s">
        <v>5461</v>
      </c>
      <c r="U4509">
        <v>42</v>
      </c>
      <c r="V4509">
        <v>168.88329999999999</v>
      </c>
      <c r="W4509">
        <v>98.75</v>
      </c>
      <c r="X4509">
        <v>0</v>
      </c>
      <c r="Y4509">
        <v>0</v>
      </c>
      <c r="Z4509">
        <v>7093.1</v>
      </c>
      <c r="AA4509">
        <v>7191.85</v>
      </c>
      <c r="AB4509" s="12" t="s">
        <v>201</v>
      </c>
      <c r="AD4509">
        <v>0</v>
      </c>
      <c r="AE4509">
        <v>0</v>
      </c>
      <c r="AH4509">
        <v>42</v>
      </c>
      <c r="AI4509">
        <v>41</v>
      </c>
      <c r="AJ4509">
        <v>1</v>
      </c>
      <c r="AK4509">
        <v>1</v>
      </c>
      <c r="AL4509">
        <v>1</v>
      </c>
      <c r="AM4509">
        <v>97.62</v>
      </c>
      <c r="AN4509">
        <v>175.4109</v>
      </c>
      <c r="AO4509">
        <v>168.88</v>
      </c>
      <c r="AP4509" s="13">
        <v>45736</v>
      </c>
      <c r="AQ4509">
        <v>0</v>
      </c>
      <c r="AR4509">
        <v>1</v>
      </c>
    </row>
    <row r="4510" spans="1:44" x14ac:dyDescent="0.35">
      <c r="A4510" s="12" t="s">
        <v>5482</v>
      </c>
      <c r="B4510" s="12" t="s">
        <v>293</v>
      </c>
      <c r="C4510" s="12" t="s">
        <v>294</v>
      </c>
      <c r="D4510" s="12" t="s">
        <v>114</v>
      </c>
      <c r="E4510" s="12" t="s">
        <v>142</v>
      </c>
      <c r="F4510">
        <v>1</v>
      </c>
      <c r="G4510">
        <v>6</v>
      </c>
      <c r="H4510">
        <v>1</v>
      </c>
      <c r="I4510" s="12" t="s">
        <v>195</v>
      </c>
      <c r="J4510" s="12" t="s">
        <v>196</v>
      </c>
      <c r="K4510" s="12" t="s">
        <v>117</v>
      </c>
      <c r="L4510" s="12" t="s">
        <v>134</v>
      </c>
      <c r="M4510">
        <v>4.7699999999999996</v>
      </c>
      <c r="N4510" s="12" t="s">
        <v>70</v>
      </c>
      <c r="O4510" s="12" t="s">
        <v>71</v>
      </c>
      <c r="P4510" s="12" t="s">
        <v>72</v>
      </c>
      <c r="Q4510" s="13">
        <v>45720</v>
      </c>
      <c r="R4510" s="13">
        <v>45770</v>
      </c>
      <c r="S4510">
        <v>2025</v>
      </c>
      <c r="T4510" s="12" t="s">
        <v>5461</v>
      </c>
      <c r="U4510">
        <v>130</v>
      </c>
      <c r="V4510">
        <v>199.8203</v>
      </c>
      <c r="W4510">
        <v>493.46</v>
      </c>
      <c r="X4510">
        <v>0</v>
      </c>
      <c r="Y4510">
        <v>0</v>
      </c>
      <c r="Z4510">
        <v>25976.639999999999</v>
      </c>
      <c r="AA4510">
        <v>26470.1</v>
      </c>
      <c r="AB4510" s="12" t="s">
        <v>5190</v>
      </c>
      <c r="AC4510">
        <v>199.8203</v>
      </c>
      <c r="AD4510">
        <v>1</v>
      </c>
      <c r="AE4510">
        <v>1</v>
      </c>
      <c r="AF4510">
        <v>0</v>
      </c>
      <c r="AG4510">
        <v>25976.639999999999</v>
      </c>
      <c r="AH4510">
        <v>130</v>
      </c>
      <c r="AI4510">
        <v>127</v>
      </c>
      <c r="AJ4510">
        <v>3</v>
      </c>
      <c r="AK4510">
        <v>1</v>
      </c>
      <c r="AL4510">
        <v>1</v>
      </c>
      <c r="AM4510">
        <v>97.69</v>
      </c>
      <c r="AN4510">
        <v>208.42599999999999</v>
      </c>
      <c r="AO4510">
        <v>599.46</v>
      </c>
      <c r="AP4510" s="13">
        <v>45770</v>
      </c>
      <c r="AQ4510">
        <v>0</v>
      </c>
      <c r="AR4510">
        <v>1</v>
      </c>
    </row>
    <row r="4511" spans="1:44" x14ac:dyDescent="0.35">
      <c r="A4511" s="12" t="s">
        <v>5483</v>
      </c>
      <c r="B4511" s="12" t="s">
        <v>451</v>
      </c>
      <c r="C4511" s="12" t="s">
        <v>452</v>
      </c>
      <c r="D4511" s="12" t="s">
        <v>175</v>
      </c>
      <c r="E4511" s="12" t="s">
        <v>104</v>
      </c>
      <c r="F4511">
        <v>3</v>
      </c>
      <c r="G4511">
        <v>1</v>
      </c>
      <c r="H4511">
        <v>0</v>
      </c>
      <c r="I4511" s="12" t="s">
        <v>157</v>
      </c>
      <c r="J4511" s="12" t="s">
        <v>158</v>
      </c>
      <c r="K4511" s="12" t="s">
        <v>117</v>
      </c>
      <c r="L4511" s="12" t="s">
        <v>96</v>
      </c>
      <c r="M4511">
        <v>4.72</v>
      </c>
      <c r="N4511" s="12" t="s">
        <v>145</v>
      </c>
      <c r="O4511" s="12" t="s">
        <v>146</v>
      </c>
      <c r="P4511" s="12" t="s">
        <v>109</v>
      </c>
      <c r="Q4511" s="13">
        <v>45721</v>
      </c>
      <c r="R4511" s="13">
        <v>45740</v>
      </c>
      <c r="S4511">
        <v>2025</v>
      </c>
      <c r="T4511" s="12" t="s">
        <v>5461</v>
      </c>
      <c r="U4511">
        <v>67</v>
      </c>
      <c r="V4511">
        <v>264.11939999999998</v>
      </c>
      <c r="W4511">
        <v>416.95</v>
      </c>
      <c r="X4511">
        <v>0</v>
      </c>
      <c r="Y4511">
        <v>0</v>
      </c>
      <c r="Z4511">
        <v>17696</v>
      </c>
      <c r="AA4511">
        <v>18112.95</v>
      </c>
      <c r="AB4511" s="12" t="s">
        <v>201</v>
      </c>
      <c r="AD4511">
        <v>0</v>
      </c>
      <c r="AE4511">
        <v>0</v>
      </c>
      <c r="AH4511">
        <v>67</v>
      </c>
      <c r="AI4511">
        <v>67</v>
      </c>
      <c r="AJ4511">
        <v>0</v>
      </c>
      <c r="AK4511">
        <v>1</v>
      </c>
      <c r="AL4511">
        <v>1</v>
      </c>
      <c r="AM4511">
        <v>100</v>
      </c>
      <c r="AN4511">
        <v>270.34249999999997</v>
      </c>
      <c r="AO4511">
        <v>0</v>
      </c>
      <c r="AP4511" s="13">
        <v>45748</v>
      </c>
      <c r="AQ4511">
        <v>8</v>
      </c>
      <c r="AR4511">
        <v>0</v>
      </c>
    </row>
    <row r="4512" spans="1:44" x14ac:dyDescent="0.35">
      <c r="A4512" s="12" t="s">
        <v>5484</v>
      </c>
      <c r="B4512" s="12" t="s">
        <v>490</v>
      </c>
      <c r="C4512" s="12" t="s">
        <v>491</v>
      </c>
      <c r="D4512" s="12" t="s">
        <v>130</v>
      </c>
      <c r="E4512" s="12" t="s">
        <v>104</v>
      </c>
      <c r="F4512">
        <v>3</v>
      </c>
      <c r="G4512">
        <v>1</v>
      </c>
      <c r="H4512">
        <v>0</v>
      </c>
      <c r="I4512" s="12" t="s">
        <v>243</v>
      </c>
      <c r="J4512" s="12" t="s">
        <v>244</v>
      </c>
      <c r="K4512" s="12" t="s">
        <v>81</v>
      </c>
      <c r="L4512" s="12" t="s">
        <v>82</v>
      </c>
      <c r="M4512">
        <v>9.2200000000000006</v>
      </c>
      <c r="N4512" s="12" t="s">
        <v>159</v>
      </c>
      <c r="O4512" s="12" t="s">
        <v>160</v>
      </c>
      <c r="P4512" s="12" t="s">
        <v>137</v>
      </c>
      <c r="Q4512" s="13">
        <v>45721</v>
      </c>
      <c r="R4512" s="13">
        <v>45740</v>
      </c>
      <c r="S4512">
        <v>2025</v>
      </c>
      <c r="T4512" s="12" t="s">
        <v>5461</v>
      </c>
      <c r="U4512">
        <v>68</v>
      </c>
      <c r="V4512">
        <v>312.94889999999998</v>
      </c>
      <c r="W4512">
        <v>300.14</v>
      </c>
      <c r="X4512">
        <v>0</v>
      </c>
      <c r="Y4512">
        <v>0</v>
      </c>
      <c r="Z4512">
        <v>21280.53</v>
      </c>
      <c r="AA4512">
        <v>21580.67</v>
      </c>
      <c r="AB4512" s="12" t="s">
        <v>201</v>
      </c>
      <c r="AD4512">
        <v>0</v>
      </c>
      <c r="AE4512">
        <v>0</v>
      </c>
      <c r="AH4512">
        <v>68</v>
      </c>
      <c r="AI4512">
        <v>68</v>
      </c>
      <c r="AJ4512">
        <v>0</v>
      </c>
      <c r="AK4512">
        <v>1</v>
      </c>
      <c r="AL4512">
        <v>1</v>
      </c>
      <c r="AM4512">
        <v>100</v>
      </c>
      <c r="AN4512">
        <v>317.36270000000002</v>
      </c>
      <c r="AO4512">
        <v>0</v>
      </c>
      <c r="AP4512" s="13">
        <v>45740</v>
      </c>
      <c r="AQ4512">
        <v>0</v>
      </c>
      <c r="AR4512">
        <v>1</v>
      </c>
    </row>
    <row r="4513" spans="1:44" x14ac:dyDescent="0.35">
      <c r="A4513" s="12" t="s">
        <v>5485</v>
      </c>
      <c r="B4513" s="12" t="s">
        <v>661</v>
      </c>
      <c r="C4513" s="12" t="s">
        <v>662</v>
      </c>
      <c r="D4513" s="12" t="s">
        <v>175</v>
      </c>
      <c r="E4513" s="12" t="s">
        <v>104</v>
      </c>
      <c r="F4513">
        <v>1</v>
      </c>
      <c r="G4513">
        <v>0</v>
      </c>
      <c r="H4513">
        <v>1</v>
      </c>
      <c r="I4513" s="12" t="s">
        <v>183</v>
      </c>
      <c r="J4513" s="12" t="s">
        <v>184</v>
      </c>
      <c r="K4513" s="12" t="s">
        <v>133</v>
      </c>
      <c r="L4513" s="12" t="s">
        <v>82</v>
      </c>
      <c r="M4513">
        <v>8.6199999999999992</v>
      </c>
      <c r="N4513" s="12" t="s">
        <v>107</v>
      </c>
      <c r="O4513" s="12" t="s">
        <v>108</v>
      </c>
      <c r="P4513" s="12" t="s">
        <v>109</v>
      </c>
      <c r="Q4513" s="13">
        <v>45721</v>
      </c>
      <c r="R4513" s="13">
        <v>45746</v>
      </c>
      <c r="S4513">
        <v>2025</v>
      </c>
      <c r="T4513" s="12" t="s">
        <v>5461</v>
      </c>
      <c r="U4513">
        <v>115</v>
      </c>
      <c r="V4513">
        <v>166.30070000000001</v>
      </c>
      <c r="W4513">
        <v>130.33000000000001</v>
      </c>
      <c r="X4513">
        <v>0</v>
      </c>
      <c r="Y4513">
        <v>0</v>
      </c>
      <c r="Z4513">
        <v>19124.580000000002</v>
      </c>
      <c r="AA4513">
        <v>19254.91</v>
      </c>
      <c r="AB4513" s="12" t="s">
        <v>5336</v>
      </c>
      <c r="AC4513">
        <v>166.30070000000001</v>
      </c>
      <c r="AD4513">
        <v>1</v>
      </c>
      <c r="AE4513">
        <v>1</v>
      </c>
      <c r="AF4513">
        <v>0</v>
      </c>
      <c r="AG4513">
        <v>19124.580000000002</v>
      </c>
      <c r="AH4513">
        <v>115</v>
      </c>
      <c r="AI4513">
        <v>114</v>
      </c>
      <c r="AJ4513">
        <v>1</v>
      </c>
      <c r="AK4513">
        <v>1</v>
      </c>
      <c r="AL4513">
        <v>1</v>
      </c>
      <c r="AM4513">
        <v>99.13</v>
      </c>
      <c r="AN4513">
        <v>168.90270000000001</v>
      </c>
      <c r="AO4513">
        <v>166.3</v>
      </c>
      <c r="AP4513" s="13">
        <v>45743</v>
      </c>
      <c r="AQ4513">
        <v>-3</v>
      </c>
      <c r="AR4513">
        <v>1</v>
      </c>
    </row>
    <row r="4514" spans="1:44" x14ac:dyDescent="0.35">
      <c r="A4514" s="12" t="s">
        <v>5486</v>
      </c>
      <c r="B4514" s="12" t="s">
        <v>221</v>
      </c>
      <c r="C4514" s="12" t="s">
        <v>222</v>
      </c>
      <c r="D4514" s="12" t="s">
        <v>114</v>
      </c>
      <c r="E4514" s="12" t="s">
        <v>142</v>
      </c>
      <c r="F4514">
        <v>3</v>
      </c>
      <c r="G4514">
        <v>11</v>
      </c>
      <c r="H4514">
        <v>0</v>
      </c>
      <c r="I4514" s="12" t="s">
        <v>105</v>
      </c>
      <c r="J4514" s="12" t="s">
        <v>106</v>
      </c>
      <c r="K4514" s="12" t="s">
        <v>81</v>
      </c>
      <c r="L4514" s="12" t="s">
        <v>96</v>
      </c>
      <c r="M4514">
        <v>5.01</v>
      </c>
      <c r="N4514" s="12" t="s">
        <v>70</v>
      </c>
      <c r="O4514" s="12" t="s">
        <v>71</v>
      </c>
      <c r="P4514" s="12" t="s">
        <v>72</v>
      </c>
      <c r="Q4514" s="13">
        <v>45721</v>
      </c>
      <c r="R4514" s="13">
        <v>45757</v>
      </c>
      <c r="S4514">
        <v>2025</v>
      </c>
      <c r="T4514" s="12" t="s">
        <v>5461</v>
      </c>
      <c r="U4514">
        <v>24</v>
      </c>
      <c r="V4514">
        <v>282.21499999999997</v>
      </c>
      <c r="W4514">
        <v>175.83</v>
      </c>
      <c r="X4514">
        <v>0</v>
      </c>
      <c r="Y4514">
        <v>0</v>
      </c>
      <c r="Z4514">
        <v>6773.16</v>
      </c>
      <c r="AA4514">
        <v>6948.99</v>
      </c>
      <c r="AB4514" s="12" t="s">
        <v>201</v>
      </c>
      <c r="AD4514">
        <v>0</v>
      </c>
      <c r="AE4514">
        <v>0</v>
      </c>
      <c r="AH4514">
        <v>24</v>
      </c>
      <c r="AI4514">
        <v>24</v>
      </c>
      <c r="AJ4514">
        <v>0</v>
      </c>
      <c r="AK4514">
        <v>1</v>
      </c>
      <c r="AL4514">
        <v>1</v>
      </c>
      <c r="AM4514">
        <v>100</v>
      </c>
      <c r="AN4514">
        <v>289.54129999999998</v>
      </c>
      <c r="AO4514">
        <v>0</v>
      </c>
      <c r="AP4514" s="13">
        <v>45756</v>
      </c>
      <c r="AQ4514">
        <v>-1</v>
      </c>
      <c r="AR4514">
        <v>1</v>
      </c>
    </row>
    <row r="4515" spans="1:44" x14ac:dyDescent="0.35">
      <c r="A4515" s="12" t="s">
        <v>5487</v>
      </c>
      <c r="B4515" s="12" t="s">
        <v>792</v>
      </c>
      <c r="C4515" s="12" t="s">
        <v>793</v>
      </c>
      <c r="D4515" s="12" t="s">
        <v>103</v>
      </c>
      <c r="E4515" s="12" t="s">
        <v>65</v>
      </c>
      <c r="F4515">
        <v>2</v>
      </c>
      <c r="G4515">
        <v>3</v>
      </c>
      <c r="H4515">
        <v>0</v>
      </c>
      <c r="I4515" s="12" t="s">
        <v>359</v>
      </c>
      <c r="J4515" s="12" t="s">
        <v>360</v>
      </c>
      <c r="K4515" s="12" t="s">
        <v>133</v>
      </c>
      <c r="L4515" s="12" t="s">
        <v>82</v>
      </c>
      <c r="M4515">
        <v>12.65</v>
      </c>
      <c r="N4515" s="12" t="s">
        <v>145</v>
      </c>
      <c r="O4515" s="12" t="s">
        <v>146</v>
      </c>
      <c r="P4515" s="12" t="s">
        <v>109</v>
      </c>
      <c r="Q4515" s="13">
        <v>45721</v>
      </c>
      <c r="R4515" s="13">
        <v>45759</v>
      </c>
      <c r="S4515">
        <v>2025</v>
      </c>
      <c r="T4515" s="12" t="s">
        <v>5461</v>
      </c>
      <c r="U4515">
        <v>145</v>
      </c>
      <c r="V4515">
        <v>98.290800000000004</v>
      </c>
      <c r="W4515">
        <v>227.11</v>
      </c>
      <c r="X4515">
        <v>0</v>
      </c>
      <c r="Y4515">
        <v>0</v>
      </c>
      <c r="Z4515">
        <v>14252.17</v>
      </c>
      <c r="AA4515">
        <v>14479.28</v>
      </c>
      <c r="AB4515" s="12" t="s">
        <v>4265</v>
      </c>
      <c r="AC4515">
        <v>98.290800000000004</v>
      </c>
      <c r="AD4515">
        <v>1</v>
      </c>
      <c r="AE4515">
        <v>1</v>
      </c>
      <c r="AF4515">
        <v>0</v>
      </c>
      <c r="AG4515">
        <v>14252.17</v>
      </c>
      <c r="AH4515">
        <v>145</v>
      </c>
      <c r="AI4515">
        <v>144</v>
      </c>
      <c r="AJ4515">
        <v>1</v>
      </c>
      <c r="AK4515">
        <v>1</v>
      </c>
      <c r="AL4515">
        <v>1</v>
      </c>
      <c r="AM4515">
        <v>99.31</v>
      </c>
      <c r="AN4515">
        <v>100.5505</v>
      </c>
      <c r="AO4515">
        <v>98.29</v>
      </c>
      <c r="AP4515" s="13">
        <v>45755</v>
      </c>
      <c r="AQ4515">
        <v>-4</v>
      </c>
      <c r="AR4515">
        <v>1</v>
      </c>
    </row>
    <row r="4516" spans="1:44" x14ac:dyDescent="0.35">
      <c r="A4516" s="12" t="s">
        <v>5488</v>
      </c>
      <c r="B4516" s="12" t="s">
        <v>308</v>
      </c>
      <c r="C4516" s="12" t="s">
        <v>309</v>
      </c>
      <c r="D4516" s="12" t="s">
        <v>122</v>
      </c>
      <c r="E4516" s="12" t="s">
        <v>142</v>
      </c>
      <c r="F4516">
        <v>1</v>
      </c>
      <c r="G4516">
        <v>6</v>
      </c>
      <c r="H4516">
        <v>1</v>
      </c>
      <c r="I4516" s="12" t="s">
        <v>310</v>
      </c>
      <c r="J4516" s="12" t="s">
        <v>311</v>
      </c>
      <c r="K4516" s="12" t="s">
        <v>81</v>
      </c>
      <c r="L4516" s="12" t="s">
        <v>69</v>
      </c>
      <c r="M4516">
        <v>28.3</v>
      </c>
      <c r="N4516" s="12" t="s">
        <v>97</v>
      </c>
      <c r="O4516" s="12" t="s">
        <v>98</v>
      </c>
      <c r="P4516" s="12" t="s">
        <v>72</v>
      </c>
      <c r="Q4516" s="13">
        <v>45722</v>
      </c>
      <c r="R4516" s="13">
        <v>45772</v>
      </c>
      <c r="S4516">
        <v>2025</v>
      </c>
      <c r="T4516" s="12" t="s">
        <v>5461</v>
      </c>
      <c r="U4516">
        <v>1732</v>
      </c>
      <c r="V4516">
        <v>56.789000000000001</v>
      </c>
      <c r="W4516">
        <v>1761.11</v>
      </c>
      <c r="X4516">
        <v>0</v>
      </c>
      <c r="Y4516">
        <v>0</v>
      </c>
      <c r="Z4516">
        <v>98358.55</v>
      </c>
      <c r="AA4516">
        <v>100119.66</v>
      </c>
      <c r="AB4516" s="12" t="s">
        <v>5357</v>
      </c>
      <c r="AC4516">
        <v>56.789000000000001</v>
      </c>
      <c r="AD4516">
        <v>1</v>
      </c>
      <c r="AE4516">
        <v>1</v>
      </c>
      <c r="AF4516">
        <v>0</v>
      </c>
      <c r="AG4516">
        <v>98358.55</v>
      </c>
      <c r="AH4516">
        <v>1732</v>
      </c>
      <c r="AI4516">
        <v>1719</v>
      </c>
      <c r="AJ4516">
        <v>13</v>
      </c>
      <c r="AK4516">
        <v>1</v>
      </c>
      <c r="AL4516">
        <v>1</v>
      </c>
      <c r="AM4516">
        <v>99.25</v>
      </c>
      <c r="AN4516">
        <v>58.243000000000002</v>
      </c>
      <c r="AO4516">
        <v>738.26</v>
      </c>
      <c r="AP4516" s="13">
        <v>45771</v>
      </c>
      <c r="AQ4516">
        <v>-1</v>
      </c>
      <c r="AR4516">
        <v>1</v>
      </c>
    </row>
    <row r="4517" spans="1:44" x14ac:dyDescent="0.35">
      <c r="A4517" s="12" t="s">
        <v>5489</v>
      </c>
      <c r="B4517" s="12" t="s">
        <v>408</v>
      </c>
      <c r="C4517" s="12" t="s">
        <v>409</v>
      </c>
      <c r="D4517" s="12" t="s">
        <v>130</v>
      </c>
      <c r="E4517" s="12" t="s">
        <v>65</v>
      </c>
      <c r="F4517">
        <v>3</v>
      </c>
      <c r="G4517">
        <v>5</v>
      </c>
      <c r="H4517">
        <v>0</v>
      </c>
      <c r="I4517" s="12" t="s">
        <v>105</v>
      </c>
      <c r="J4517" s="12" t="s">
        <v>106</v>
      </c>
      <c r="K4517" s="12" t="s">
        <v>81</v>
      </c>
      <c r="L4517" s="12" t="s">
        <v>96</v>
      </c>
      <c r="M4517">
        <v>5.01</v>
      </c>
      <c r="N4517" s="12" t="s">
        <v>135</v>
      </c>
      <c r="O4517" s="12" t="s">
        <v>136</v>
      </c>
      <c r="P4517" s="12" t="s">
        <v>137</v>
      </c>
      <c r="Q4517" s="13">
        <v>45722</v>
      </c>
      <c r="R4517" s="13">
        <v>45755</v>
      </c>
      <c r="S4517">
        <v>2025</v>
      </c>
      <c r="T4517" s="12" t="s">
        <v>5461</v>
      </c>
      <c r="U4517">
        <v>109</v>
      </c>
      <c r="V4517">
        <v>724.06979999999999</v>
      </c>
      <c r="W4517">
        <v>2045.25</v>
      </c>
      <c r="X4517">
        <v>0</v>
      </c>
      <c r="Y4517">
        <v>0</v>
      </c>
      <c r="Z4517">
        <v>78923.61</v>
      </c>
      <c r="AA4517">
        <v>80968.86</v>
      </c>
      <c r="AB4517" s="12" t="s">
        <v>5490</v>
      </c>
      <c r="AC4517">
        <v>724.06979999999999</v>
      </c>
      <c r="AD4517">
        <v>1</v>
      </c>
      <c r="AE4517">
        <v>1</v>
      </c>
      <c r="AF4517">
        <v>0</v>
      </c>
      <c r="AG4517">
        <v>78923.61</v>
      </c>
      <c r="AH4517">
        <v>109</v>
      </c>
      <c r="AI4517">
        <v>108</v>
      </c>
      <c r="AJ4517">
        <v>1</v>
      </c>
      <c r="AK4517">
        <v>1</v>
      </c>
      <c r="AL4517">
        <v>1</v>
      </c>
      <c r="AM4517">
        <v>99.08</v>
      </c>
      <c r="AN4517">
        <v>749.71169999999995</v>
      </c>
      <c r="AO4517">
        <v>724.07</v>
      </c>
      <c r="AP4517" s="13">
        <v>45754</v>
      </c>
      <c r="AQ4517">
        <v>-1</v>
      </c>
      <c r="AR4517">
        <v>1</v>
      </c>
    </row>
    <row r="4518" spans="1:44" x14ac:dyDescent="0.35">
      <c r="A4518" s="12" t="s">
        <v>5491</v>
      </c>
      <c r="B4518" s="12" t="s">
        <v>442</v>
      </c>
      <c r="C4518" s="12" t="s">
        <v>443</v>
      </c>
      <c r="D4518" s="12" t="s">
        <v>130</v>
      </c>
      <c r="E4518" s="12" t="s">
        <v>65</v>
      </c>
      <c r="F4518">
        <v>3</v>
      </c>
      <c r="G4518">
        <v>4</v>
      </c>
      <c r="H4518">
        <v>0</v>
      </c>
      <c r="I4518" s="12" t="s">
        <v>251</v>
      </c>
      <c r="J4518" s="12" t="s">
        <v>252</v>
      </c>
      <c r="K4518" s="12" t="s">
        <v>133</v>
      </c>
      <c r="L4518" s="12" t="s">
        <v>69</v>
      </c>
      <c r="M4518">
        <v>34.49</v>
      </c>
      <c r="N4518" s="12" t="s">
        <v>159</v>
      </c>
      <c r="O4518" s="12" t="s">
        <v>160</v>
      </c>
      <c r="P4518" s="12" t="s">
        <v>137</v>
      </c>
      <c r="Q4518" s="13">
        <v>45722</v>
      </c>
      <c r="R4518" s="13">
        <v>45757</v>
      </c>
      <c r="S4518">
        <v>2025</v>
      </c>
      <c r="T4518" s="12" t="s">
        <v>5461</v>
      </c>
      <c r="U4518">
        <v>125</v>
      </c>
      <c r="V4518">
        <v>484.92149999999998</v>
      </c>
      <c r="W4518">
        <v>1104.6099999999999</v>
      </c>
      <c r="X4518">
        <v>0</v>
      </c>
      <c r="Y4518">
        <v>0</v>
      </c>
      <c r="Z4518">
        <v>60615.19</v>
      </c>
      <c r="AA4518">
        <v>61719.8</v>
      </c>
      <c r="AB4518" s="12" t="s">
        <v>5218</v>
      </c>
      <c r="AC4518">
        <v>514.42409999999995</v>
      </c>
      <c r="AD4518">
        <v>1</v>
      </c>
      <c r="AE4518">
        <v>1</v>
      </c>
      <c r="AF4518">
        <v>-3687.83</v>
      </c>
      <c r="AG4518">
        <v>64303.01</v>
      </c>
      <c r="AH4518">
        <v>125</v>
      </c>
      <c r="AI4518">
        <v>124</v>
      </c>
      <c r="AJ4518">
        <v>1</v>
      </c>
      <c r="AK4518">
        <v>1</v>
      </c>
      <c r="AL4518">
        <v>1</v>
      </c>
      <c r="AM4518">
        <v>99.2</v>
      </c>
      <c r="AN4518">
        <v>497.74029999999999</v>
      </c>
      <c r="AO4518">
        <v>484.92</v>
      </c>
      <c r="AP4518" s="13">
        <v>45757</v>
      </c>
      <c r="AQ4518">
        <v>0</v>
      </c>
      <c r="AR4518">
        <v>1</v>
      </c>
    </row>
    <row r="4519" spans="1:44" x14ac:dyDescent="0.35">
      <c r="A4519" s="12" t="s">
        <v>5492</v>
      </c>
      <c r="B4519" s="12" t="s">
        <v>451</v>
      </c>
      <c r="C4519" s="12" t="s">
        <v>452</v>
      </c>
      <c r="D4519" s="12" t="s">
        <v>175</v>
      </c>
      <c r="E4519" s="12" t="s">
        <v>104</v>
      </c>
      <c r="F4519">
        <v>3</v>
      </c>
      <c r="G4519">
        <v>1</v>
      </c>
      <c r="H4519">
        <v>0</v>
      </c>
      <c r="I4519" s="12" t="s">
        <v>176</v>
      </c>
      <c r="J4519" s="12" t="s">
        <v>177</v>
      </c>
      <c r="K4519" s="12" t="s">
        <v>125</v>
      </c>
      <c r="L4519" s="12" t="s">
        <v>134</v>
      </c>
      <c r="M4519">
        <v>1.75</v>
      </c>
      <c r="N4519" s="12" t="s">
        <v>145</v>
      </c>
      <c r="O4519" s="12" t="s">
        <v>146</v>
      </c>
      <c r="P4519" s="12" t="s">
        <v>109</v>
      </c>
      <c r="Q4519" s="13">
        <v>45722</v>
      </c>
      <c r="R4519" s="13">
        <v>45751</v>
      </c>
      <c r="S4519">
        <v>2025</v>
      </c>
      <c r="T4519" s="12" t="s">
        <v>5461</v>
      </c>
      <c r="U4519">
        <v>145</v>
      </c>
      <c r="V4519">
        <v>254.13499999999999</v>
      </c>
      <c r="W4519">
        <v>317.61</v>
      </c>
      <c r="X4519">
        <v>0</v>
      </c>
      <c r="Y4519">
        <v>0</v>
      </c>
      <c r="Z4519">
        <v>36849.58</v>
      </c>
      <c r="AA4519">
        <v>37167.19</v>
      </c>
      <c r="AB4519" s="12" t="s">
        <v>5406</v>
      </c>
      <c r="AC4519">
        <v>254.13499999999999</v>
      </c>
      <c r="AD4519">
        <v>1</v>
      </c>
      <c r="AE4519">
        <v>1</v>
      </c>
      <c r="AF4519">
        <v>0</v>
      </c>
      <c r="AG4519">
        <v>36849.58</v>
      </c>
      <c r="AH4519">
        <v>145</v>
      </c>
      <c r="AI4519">
        <v>144</v>
      </c>
      <c r="AJ4519">
        <v>1</v>
      </c>
      <c r="AK4519">
        <v>1</v>
      </c>
      <c r="AL4519">
        <v>1</v>
      </c>
      <c r="AM4519">
        <v>99.31</v>
      </c>
      <c r="AN4519">
        <v>258.10550000000001</v>
      </c>
      <c r="AO4519">
        <v>254.14</v>
      </c>
      <c r="AP4519" s="13">
        <v>45751</v>
      </c>
      <c r="AQ4519">
        <v>0</v>
      </c>
      <c r="AR4519">
        <v>1</v>
      </c>
    </row>
    <row r="4520" spans="1:44" x14ac:dyDescent="0.35">
      <c r="A4520" s="12" t="s">
        <v>5493</v>
      </c>
      <c r="B4520" s="12" t="s">
        <v>809</v>
      </c>
      <c r="C4520" s="12" t="s">
        <v>810</v>
      </c>
      <c r="D4520" s="12" t="s">
        <v>114</v>
      </c>
      <c r="E4520" s="12" t="s">
        <v>65</v>
      </c>
      <c r="F4520">
        <v>3</v>
      </c>
      <c r="G4520">
        <v>5</v>
      </c>
      <c r="H4520">
        <v>0</v>
      </c>
      <c r="I4520" s="12" t="s">
        <v>811</v>
      </c>
      <c r="J4520" s="12" t="s">
        <v>812</v>
      </c>
      <c r="K4520" s="12" t="s">
        <v>117</v>
      </c>
      <c r="L4520" s="12" t="s">
        <v>69</v>
      </c>
      <c r="M4520">
        <v>26.4</v>
      </c>
      <c r="N4520" s="12" t="s">
        <v>97</v>
      </c>
      <c r="O4520" s="12" t="s">
        <v>98</v>
      </c>
      <c r="P4520" s="12" t="s">
        <v>72</v>
      </c>
      <c r="Q4520" s="13">
        <v>45722</v>
      </c>
      <c r="R4520" s="13">
        <v>45744</v>
      </c>
      <c r="S4520">
        <v>2025</v>
      </c>
      <c r="T4520" s="12" t="s">
        <v>5461</v>
      </c>
      <c r="U4520">
        <v>21</v>
      </c>
      <c r="V4520">
        <v>331.8</v>
      </c>
      <c r="W4520">
        <v>59.81</v>
      </c>
      <c r="X4520">
        <v>0</v>
      </c>
      <c r="Y4520">
        <v>0</v>
      </c>
      <c r="Z4520">
        <v>6967.8</v>
      </c>
      <c r="AA4520">
        <v>7027.61</v>
      </c>
      <c r="AB4520" s="12" t="s">
        <v>3176</v>
      </c>
      <c r="AC4520">
        <v>319.41250000000002</v>
      </c>
      <c r="AD4520">
        <v>1</v>
      </c>
      <c r="AE4520">
        <v>1</v>
      </c>
      <c r="AF4520">
        <v>260.14</v>
      </c>
      <c r="AG4520">
        <v>6707.66</v>
      </c>
      <c r="AH4520">
        <v>21</v>
      </c>
      <c r="AI4520">
        <v>21</v>
      </c>
      <c r="AJ4520">
        <v>0</v>
      </c>
      <c r="AK4520">
        <v>1</v>
      </c>
      <c r="AL4520">
        <v>1</v>
      </c>
      <c r="AM4520">
        <v>100</v>
      </c>
      <c r="AN4520">
        <v>334.6481</v>
      </c>
      <c r="AO4520">
        <v>0</v>
      </c>
      <c r="AP4520" s="13">
        <v>45744</v>
      </c>
      <c r="AQ4520">
        <v>0</v>
      </c>
      <c r="AR4520">
        <v>1</v>
      </c>
    </row>
    <row r="4521" spans="1:44" x14ac:dyDescent="0.35">
      <c r="A4521" s="12" t="s">
        <v>5494</v>
      </c>
      <c r="B4521" s="12" t="s">
        <v>773</v>
      </c>
      <c r="C4521" s="12" t="s">
        <v>774</v>
      </c>
      <c r="D4521" s="12" t="s">
        <v>64</v>
      </c>
      <c r="E4521" s="12" t="s">
        <v>142</v>
      </c>
      <c r="F4521">
        <v>1</v>
      </c>
      <c r="G4521">
        <v>7</v>
      </c>
      <c r="H4521">
        <v>1</v>
      </c>
      <c r="I4521" s="12" t="s">
        <v>251</v>
      </c>
      <c r="J4521" s="12" t="s">
        <v>252</v>
      </c>
      <c r="K4521" s="12" t="s">
        <v>133</v>
      </c>
      <c r="L4521" s="12" t="s">
        <v>69</v>
      </c>
      <c r="M4521">
        <v>34.49</v>
      </c>
      <c r="N4521" s="12" t="s">
        <v>97</v>
      </c>
      <c r="O4521" s="12" t="s">
        <v>98</v>
      </c>
      <c r="P4521" s="12" t="s">
        <v>72</v>
      </c>
      <c r="Q4521" s="13">
        <v>45722</v>
      </c>
      <c r="R4521" s="13">
        <v>45759</v>
      </c>
      <c r="S4521">
        <v>2025</v>
      </c>
      <c r="T4521" s="12" t="s">
        <v>5461</v>
      </c>
      <c r="U4521">
        <v>228</v>
      </c>
      <c r="V4521">
        <v>10.022600000000001</v>
      </c>
      <c r="W4521">
        <v>27.81</v>
      </c>
      <c r="X4521">
        <v>0</v>
      </c>
      <c r="Y4521">
        <v>0</v>
      </c>
      <c r="Z4521">
        <v>2285.15</v>
      </c>
      <c r="AA4521">
        <v>2312.96</v>
      </c>
      <c r="AB4521" s="12" t="s">
        <v>3354</v>
      </c>
      <c r="AC4521">
        <v>10.022600000000001</v>
      </c>
      <c r="AD4521">
        <v>1</v>
      </c>
      <c r="AE4521">
        <v>1</v>
      </c>
      <c r="AF4521">
        <v>0</v>
      </c>
      <c r="AG4521">
        <v>2285.15</v>
      </c>
      <c r="AH4521">
        <v>228</v>
      </c>
      <c r="AI4521">
        <v>226</v>
      </c>
      <c r="AJ4521">
        <v>2</v>
      </c>
      <c r="AK4521">
        <v>1</v>
      </c>
      <c r="AL4521">
        <v>1</v>
      </c>
      <c r="AM4521">
        <v>99.12</v>
      </c>
      <c r="AN4521">
        <v>10.234299999999999</v>
      </c>
      <c r="AO4521">
        <v>20.05</v>
      </c>
      <c r="AP4521" s="13">
        <v>45757</v>
      </c>
      <c r="AQ4521">
        <v>-2</v>
      </c>
      <c r="AR4521">
        <v>1</v>
      </c>
    </row>
    <row r="4522" spans="1:44" x14ac:dyDescent="0.35">
      <c r="A4522" s="12" t="s">
        <v>5495</v>
      </c>
      <c r="B4522" s="12" t="s">
        <v>941</v>
      </c>
      <c r="C4522" s="12" t="s">
        <v>942</v>
      </c>
      <c r="D4522" s="12" t="s">
        <v>130</v>
      </c>
      <c r="E4522" s="12" t="s">
        <v>104</v>
      </c>
      <c r="F4522">
        <v>2</v>
      </c>
      <c r="G4522">
        <v>0</v>
      </c>
      <c r="H4522">
        <v>0</v>
      </c>
      <c r="I4522" s="12" t="s">
        <v>131</v>
      </c>
      <c r="J4522" s="12" t="s">
        <v>132</v>
      </c>
      <c r="K4522" s="12" t="s">
        <v>133</v>
      </c>
      <c r="L4522" s="12" t="s">
        <v>134</v>
      </c>
      <c r="M4522">
        <v>1.51</v>
      </c>
      <c r="N4522" s="12" t="s">
        <v>159</v>
      </c>
      <c r="O4522" s="12" t="s">
        <v>160</v>
      </c>
      <c r="P4522" s="12" t="s">
        <v>137</v>
      </c>
      <c r="Q4522" s="13">
        <v>45722</v>
      </c>
      <c r="R4522" s="13">
        <v>45745</v>
      </c>
      <c r="S4522">
        <v>2025</v>
      </c>
      <c r="T4522" s="12" t="s">
        <v>5461</v>
      </c>
      <c r="U4522">
        <v>103</v>
      </c>
      <c r="V4522">
        <v>839.4819</v>
      </c>
      <c r="W4522">
        <v>1916.01</v>
      </c>
      <c r="X4522">
        <v>0</v>
      </c>
      <c r="Y4522">
        <v>0</v>
      </c>
      <c r="Z4522">
        <v>86466.64</v>
      </c>
      <c r="AA4522">
        <v>88382.65</v>
      </c>
      <c r="AB4522" s="12" t="s">
        <v>3518</v>
      </c>
      <c r="AC4522">
        <v>839.4819</v>
      </c>
      <c r="AD4522">
        <v>1</v>
      </c>
      <c r="AE4522">
        <v>1</v>
      </c>
      <c r="AF4522">
        <v>0</v>
      </c>
      <c r="AG4522">
        <v>86466.64</v>
      </c>
      <c r="AH4522">
        <v>103</v>
      </c>
      <c r="AI4522">
        <v>96</v>
      </c>
      <c r="AJ4522">
        <v>7</v>
      </c>
      <c r="AK4522">
        <v>1</v>
      </c>
      <c r="AL4522">
        <v>1</v>
      </c>
      <c r="AM4522">
        <v>93.2</v>
      </c>
      <c r="AN4522">
        <v>920.65260000000001</v>
      </c>
      <c r="AO4522">
        <v>5876.37</v>
      </c>
      <c r="AP4522" s="13">
        <v>45742</v>
      </c>
      <c r="AQ4522">
        <v>-3</v>
      </c>
      <c r="AR4522">
        <v>1</v>
      </c>
    </row>
    <row r="4523" spans="1:44" x14ac:dyDescent="0.35">
      <c r="A4523" s="12" t="s">
        <v>5496</v>
      </c>
      <c r="B4523" s="12" t="s">
        <v>331</v>
      </c>
      <c r="C4523" s="12" t="s">
        <v>332</v>
      </c>
      <c r="D4523" s="12" t="s">
        <v>122</v>
      </c>
      <c r="E4523" s="12" t="s">
        <v>142</v>
      </c>
      <c r="F4523">
        <v>3</v>
      </c>
      <c r="G4523">
        <v>11</v>
      </c>
      <c r="H4523">
        <v>0</v>
      </c>
      <c r="I4523" s="12" t="s">
        <v>66</v>
      </c>
      <c r="J4523" s="12" t="s">
        <v>67</v>
      </c>
      <c r="K4523" s="12" t="s">
        <v>68</v>
      </c>
      <c r="L4523" s="12" t="s">
        <v>69</v>
      </c>
      <c r="M4523">
        <v>17.66</v>
      </c>
      <c r="N4523" s="12" t="s">
        <v>97</v>
      </c>
      <c r="O4523" s="12" t="s">
        <v>98</v>
      </c>
      <c r="P4523" s="12" t="s">
        <v>72</v>
      </c>
      <c r="Q4523" s="13">
        <v>45723</v>
      </c>
      <c r="R4523" s="13">
        <v>45775</v>
      </c>
      <c r="S4523">
        <v>2025</v>
      </c>
      <c r="T4523" s="12" t="s">
        <v>5461</v>
      </c>
      <c r="U4523">
        <v>1935</v>
      </c>
      <c r="V4523">
        <v>25.245899999999999</v>
      </c>
      <c r="W4523">
        <v>603.64</v>
      </c>
      <c r="X4523">
        <v>1545.93</v>
      </c>
      <c r="Y4523">
        <v>1</v>
      </c>
      <c r="Z4523">
        <v>48850.82</v>
      </c>
      <c r="AA4523">
        <v>51000.39</v>
      </c>
      <c r="AB4523" s="12" t="s">
        <v>201</v>
      </c>
      <c r="AD4523">
        <v>0</v>
      </c>
      <c r="AE4523">
        <v>0</v>
      </c>
      <c r="AH4523">
        <v>1935</v>
      </c>
      <c r="AI4523">
        <v>1914</v>
      </c>
      <c r="AJ4523">
        <v>21</v>
      </c>
      <c r="AK4523">
        <v>1</v>
      </c>
      <c r="AL4523">
        <v>1</v>
      </c>
      <c r="AM4523">
        <v>98.91</v>
      </c>
      <c r="AN4523">
        <v>26.646000000000001</v>
      </c>
      <c r="AO4523">
        <v>530.16</v>
      </c>
      <c r="AP4523" s="13">
        <v>45774</v>
      </c>
      <c r="AQ4523">
        <v>-1</v>
      </c>
      <c r="AR4523">
        <v>1</v>
      </c>
    </row>
    <row r="4524" spans="1:44" x14ac:dyDescent="0.35">
      <c r="A4524" s="12" t="s">
        <v>5497</v>
      </c>
      <c r="B4524" s="12" t="s">
        <v>339</v>
      </c>
      <c r="C4524" s="12" t="s">
        <v>340</v>
      </c>
      <c r="D4524" s="12" t="s">
        <v>103</v>
      </c>
      <c r="E4524" s="12" t="s">
        <v>142</v>
      </c>
      <c r="F4524">
        <v>2</v>
      </c>
      <c r="G4524">
        <v>9</v>
      </c>
      <c r="H4524">
        <v>0</v>
      </c>
      <c r="I4524" s="12" t="s">
        <v>169</v>
      </c>
      <c r="J4524" s="12" t="s">
        <v>170</v>
      </c>
      <c r="K4524" s="12" t="s">
        <v>89</v>
      </c>
      <c r="L4524" s="12" t="s">
        <v>134</v>
      </c>
      <c r="M4524">
        <v>1.37</v>
      </c>
      <c r="N4524" s="12" t="s">
        <v>107</v>
      </c>
      <c r="O4524" s="12" t="s">
        <v>108</v>
      </c>
      <c r="P4524" s="12" t="s">
        <v>109</v>
      </c>
      <c r="Q4524" s="13">
        <v>45723</v>
      </c>
      <c r="R4524" s="13">
        <v>45767</v>
      </c>
      <c r="S4524">
        <v>2025</v>
      </c>
      <c r="T4524" s="12" t="s">
        <v>5461</v>
      </c>
      <c r="U4524">
        <v>80</v>
      </c>
      <c r="V4524">
        <v>236.3116</v>
      </c>
      <c r="W4524">
        <v>265.95</v>
      </c>
      <c r="X4524">
        <v>0</v>
      </c>
      <c r="Y4524">
        <v>0</v>
      </c>
      <c r="Z4524">
        <v>18904.93</v>
      </c>
      <c r="AA4524">
        <v>19170.88</v>
      </c>
      <c r="AB4524" s="12" t="s">
        <v>5394</v>
      </c>
      <c r="AC4524">
        <v>236.3116</v>
      </c>
      <c r="AD4524">
        <v>1</v>
      </c>
      <c r="AE4524">
        <v>1</v>
      </c>
      <c r="AF4524">
        <v>0</v>
      </c>
      <c r="AG4524">
        <v>18904.93</v>
      </c>
      <c r="AH4524">
        <v>80</v>
      </c>
      <c r="AI4524">
        <v>79</v>
      </c>
      <c r="AJ4524">
        <v>1</v>
      </c>
      <c r="AK4524">
        <v>1</v>
      </c>
      <c r="AL4524">
        <v>1</v>
      </c>
      <c r="AM4524">
        <v>98.75</v>
      </c>
      <c r="AN4524">
        <v>242.66929999999999</v>
      </c>
      <c r="AO4524">
        <v>236.31</v>
      </c>
      <c r="AP4524" s="13">
        <v>45767</v>
      </c>
      <c r="AQ4524">
        <v>0</v>
      </c>
      <c r="AR4524">
        <v>1</v>
      </c>
    </row>
    <row r="4525" spans="1:44" x14ac:dyDescent="0.35">
      <c r="A4525" s="12" t="s">
        <v>5498</v>
      </c>
      <c r="B4525" s="12" t="s">
        <v>267</v>
      </c>
      <c r="C4525" s="12" t="s">
        <v>268</v>
      </c>
      <c r="D4525" s="12" t="s">
        <v>269</v>
      </c>
      <c r="E4525" s="12" t="s">
        <v>142</v>
      </c>
      <c r="F4525">
        <v>1</v>
      </c>
      <c r="G4525">
        <v>8</v>
      </c>
      <c r="H4525">
        <v>1</v>
      </c>
      <c r="I4525" s="12" t="s">
        <v>94</v>
      </c>
      <c r="J4525" s="12" t="s">
        <v>95</v>
      </c>
      <c r="K4525" s="12" t="s">
        <v>81</v>
      </c>
      <c r="L4525" s="12" t="s">
        <v>96</v>
      </c>
      <c r="M4525">
        <v>4.8099999999999996</v>
      </c>
      <c r="N4525" s="12" t="s">
        <v>135</v>
      </c>
      <c r="O4525" s="12" t="s">
        <v>136</v>
      </c>
      <c r="P4525" s="12" t="s">
        <v>137</v>
      </c>
      <c r="Q4525" s="13">
        <v>45723</v>
      </c>
      <c r="R4525" s="13">
        <v>45760</v>
      </c>
      <c r="S4525">
        <v>2025</v>
      </c>
      <c r="T4525" s="12" t="s">
        <v>5461</v>
      </c>
      <c r="U4525">
        <v>26</v>
      </c>
      <c r="V4525">
        <v>211.60919999999999</v>
      </c>
      <c r="W4525">
        <v>62.24</v>
      </c>
      <c r="X4525">
        <v>175.02</v>
      </c>
      <c r="Y4525">
        <v>1</v>
      </c>
      <c r="Z4525">
        <v>5501.84</v>
      </c>
      <c r="AA4525">
        <v>5739.1</v>
      </c>
      <c r="AB4525" s="12" t="s">
        <v>201</v>
      </c>
      <c r="AD4525">
        <v>0</v>
      </c>
      <c r="AE4525">
        <v>0</v>
      </c>
      <c r="AH4525">
        <v>26</v>
      </c>
      <c r="AI4525">
        <v>26</v>
      </c>
      <c r="AJ4525">
        <v>0</v>
      </c>
      <c r="AK4525">
        <v>1</v>
      </c>
      <c r="AL4525">
        <v>1</v>
      </c>
      <c r="AM4525">
        <v>100</v>
      </c>
      <c r="AN4525">
        <v>220.7346</v>
      </c>
      <c r="AO4525">
        <v>0</v>
      </c>
      <c r="AP4525" s="13">
        <v>45758</v>
      </c>
      <c r="AQ4525">
        <v>-2</v>
      </c>
      <c r="AR4525">
        <v>1</v>
      </c>
    </row>
    <row r="4526" spans="1:44" x14ac:dyDescent="0.35">
      <c r="A4526" s="12" t="s">
        <v>5499</v>
      </c>
      <c r="B4526" s="12" t="s">
        <v>454</v>
      </c>
      <c r="C4526" s="12" t="s">
        <v>455</v>
      </c>
      <c r="D4526" s="12" t="s">
        <v>122</v>
      </c>
      <c r="E4526" s="12" t="s">
        <v>104</v>
      </c>
      <c r="F4526">
        <v>3</v>
      </c>
      <c r="G4526">
        <v>1</v>
      </c>
      <c r="H4526">
        <v>0</v>
      </c>
      <c r="I4526" s="12" t="s">
        <v>87</v>
      </c>
      <c r="J4526" s="12" t="s">
        <v>88</v>
      </c>
      <c r="K4526" s="12" t="s">
        <v>89</v>
      </c>
      <c r="L4526" s="12" t="s">
        <v>69</v>
      </c>
      <c r="M4526">
        <v>14.93</v>
      </c>
      <c r="N4526" s="12" t="s">
        <v>97</v>
      </c>
      <c r="O4526" s="12" t="s">
        <v>98</v>
      </c>
      <c r="P4526" s="12" t="s">
        <v>72</v>
      </c>
      <c r="Q4526" s="13">
        <v>45723</v>
      </c>
      <c r="R4526" s="13">
        <v>45751</v>
      </c>
      <c r="S4526">
        <v>2025</v>
      </c>
      <c r="T4526" s="12" t="s">
        <v>5461</v>
      </c>
      <c r="U4526">
        <v>1892</v>
      </c>
      <c r="V4526">
        <v>21.032599999999999</v>
      </c>
      <c r="W4526">
        <v>334.07</v>
      </c>
      <c r="X4526">
        <v>0</v>
      </c>
      <c r="Y4526">
        <v>0</v>
      </c>
      <c r="Z4526">
        <v>39793.68</v>
      </c>
      <c r="AA4526">
        <v>40127.75</v>
      </c>
      <c r="AB4526" s="12" t="s">
        <v>5456</v>
      </c>
      <c r="AC4526">
        <v>21.032599999999999</v>
      </c>
      <c r="AD4526">
        <v>1</v>
      </c>
      <c r="AE4526">
        <v>1</v>
      </c>
      <c r="AF4526">
        <v>0</v>
      </c>
      <c r="AG4526">
        <v>39793.68</v>
      </c>
      <c r="AH4526">
        <v>1892</v>
      </c>
      <c r="AI4526">
        <v>1880</v>
      </c>
      <c r="AJ4526">
        <v>12</v>
      </c>
      <c r="AK4526">
        <v>1</v>
      </c>
      <c r="AL4526">
        <v>1</v>
      </c>
      <c r="AM4526">
        <v>99.37</v>
      </c>
      <c r="AN4526">
        <v>21.3445</v>
      </c>
      <c r="AO4526">
        <v>252.39</v>
      </c>
      <c r="AP4526" s="13">
        <v>45751</v>
      </c>
      <c r="AQ4526">
        <v>0</v>
      </c>
      <c r="AR4526">
        <v>1</v>
      </c>
    </row>
    <row r="4527" spans="1:44" x14ac:dyDescent="0.35">
      <c r="A4527" s="12" t="s">
        <v>5500</v>
      </c>
      <c r="B4527" s="12" t="s">
        <v>428</v>
      </c>
      <c r="C4527" s="12" t="s">
        <v>429</v>
      </c>
      <c r="D4527" s="12" t="s">
        <v>64</v>
      </c>
      <c r="E4527" s="12" t="s">
        <v>65</v>
      </c>
      <c r="F4527">
        <v>3</v>
      </c>
      <c r="G4527">
        <v>4</v>
      </c>
      <c r="H4527">
        <v>0</v>
      </c>
      <c r="I4527" s="12" t="s">
        <v>380</v>
      </c>
      <c r="J4527" s="12" t="s">
        <v>381</v>
      </c>
      <c r="K4527" s="12" t="s">
        <v>89</v>
      </c>
      <c r="L4527" s="12" t="s">
        <v>96</v>
      </c>
      <c r="M4527">
        <v>10.210000000000001</v>
      </c>
      <c r="N4527" s="12" t="s">
        <v>97</v>
      </c>
      <c r="O4527" s="12" t="s">
        <v>98</v>
      </c>
      <c r="P4527" s="12" t="s">
        <v>72</v>
      </c>
      <c r="Q4527" s="13">
        <v>45723</v>
      </c>
      <c r="R4527" s="13">
        <v>45750</v>
      </c>
      <c r="S4527">
        <v>2025</v>
      </c>
      <c r="T4527" s="12" t="s">
        <v>5461</v>
      </c>
      <c r="U4527">
        <v>437</v>
      </c>
      <c r="V4527">
        <v>12.879099999999999</v>
      </c>
      <c r="W4527">
        <v>138.44999999999999</v>
      </c>
      <c r="X4527">
        <v>0</v>
      </c>
      <c r="Y4527">
        <v>0</v>
      </c>
      <c r="Z4527">
        <v>5628.17</v>
      </c>
      <c r="AA4527">
        <v>5766.62</v>
      </c>
      <c r="AB4527" s="12" t="s">
        <v>5501</v>
      </c>
      <c r="AC4527">
        <v>12.879099999999999</v>
      </c>
      <c r="AD4527">
        <v>1</v>
      </c>
      <c r="AE4527">
        <v>1</v>
      </c>
      <c r="AF4527">
        <v>0</v>
      </c>
      <c r="AG4527">
        <v>5628.17</v>
      </c>
      <c r="AH4527">
        <v>437</v>
      </c>
      <c r="AI4527">
        <v>435</v>
      </c>
      <c r="AJ4527">
        <v>2</v>
      </c>
      <c r="AK4527">
        <v>1</v>
      </c>
      <c r="AL4527">
        <v>1</v>
      </c>
      <c r="AM4527">
        <v>99.54</v>
      </c>
      <c r="AN4527">
        <v>13.256600000000001</v>
      </c>
      <c r="AO4527">
        <v>25.76</v>
      </c>
      <c r="AP4527" s="13">
        <v>45749</v>
      </c>
      <c r="AQ4527">
        <v>-1</v>
      </c>
      <c r="AR4527">
        <v>1</v>
      </c>
    </row>
    <row r="4528" spans="1:44" x14ac:dyDescent="0.35">
      <c r="A4528" s="12" t="s">
        <v>5502</v>
      </c>
      <c r="B4528" s="12" t="s">
        <v>404</v>
      </c>
      <c r="C4528" s="12" t="s">
        <v>405</v>
      </c>
      <c r="D4528" s="12" t="s">
        <v>269</v>
      </c>
      <c r="E4528" s="12" t="s">
        <v>65</v>
      </c>
      <c r="F4528">
        <v>3</v>
      </c>
      <c r="G4528">
        <v>5</v>
      </c>
      <c r="H4528">
        <v>0</v>
      </c>
      <c r="I4528" s="12" t="s">
        <v>79</v>
      </c>
      <c r="J4528" s="12" t="s">
        <v>80</v>
      </c>
      <c r="K4528" s="12" t="s">
        <v>81</v>
      </c>
      <c r="L4528" s="12" t="s">
        <v>82</v>
      </c>
      <c r="M4528">
        <v>12.07</v>
      </c>
      <c r="N4528" s="12" t="s">
        <v>135</v>
      </c>
      <c r="O4528" s="12" t="s">
        <v>136</v>
      </c>
      <c r="P4528" s="12" t="s">
        <v>137</v>
      </c>
      <c r="Q4528" s="13">
        <v>45726</v>
      </c>
      <c r="R4528" s="13">
        <v>45754</v>
      </c>
      <c r="S4528">
        <v>2025</v>
      </c>
      <c r="T4528" s="12" t="s">
        <v>5461</v>
      </c>
      <c r="U4528">
        <v>67</v>
      </c>
      <c r="V4528">
        <v>430.10059999999999</v>
      </c>
      <c r="W4528">
        <v>423.83</v>
      </c>
      <c r="X4528">
        <v>0</v>
      </c>
      <c r="Y4528">
        <v>0</v>
      </c>
      <c r="Z4528">
        <v>28816.74</v>
      </c>
      <c r="AA4528">
        <v>29240.57</v>
      </c>
      <c r="AB4528" s="12" t="s">
        <v>5503</v>
      </c>
      <c r="AC4528">
        <v>430.10059999999999</v>
      </c>
      <c r="AD4528">
        <v>1</v>
      </c>
      <c r="AE4528">
        <v>1</v>
      </c>
      <c r="AF4528">
        <v>0</v>
      </c>
      <c r="AG4528">
        <v>28816.74</v>
      </c>
      <c r="AH4528">
        <v>67</v>
      </c>
      <c r="AI4528">
        <v>66</v>
      </c>
      <c r="AJ4528">
        <v>1</v>
      </c>
      <c r="AK4528">
        <v>1</v>
      </c>
      <c r="AL4528">
        <v>1</v>
      </c>
      <c r="AM4528">
        <v>98.51</v>
      </c>
      <c r="AN4528">
        <v>443.03890000000001</v>
      </c>
      <c r="AO4528">
        <v>430.1</v>
      </c>
      <c r="AP4528" s="13">
        <v>45754</v>
      </c>
      <c r="AQ4528">
        <v>0</v>
      </c>
      <c r="AR4528">
        <v>1</v>
      </c>
    </row>
    <row r="4529" spans="1:44" x14ac:dyDescent="0.35">
      <c r="A4529" s="12" t="s">
        <v>5504</v>
      </c>
      <c r="B4529" s="12" t="s">
        <v>437</v>
      </c>
      <c r="C4529" s="12" t="s">
        <v>438</v>
      </c>
      <c r="D4529" s="12" t="s">
        <v>269</v>
      </c>
      <c r="E4529" s="12" t="s">
        <v>65</v>
      </c>
      <c r="F4529">
        <v>2</v>
      </c>
      <c r="G4529">
        <v>4</v>
      </c>
      <c r="H4529">
        <v>0</v>
      </c>
      <c r="I4529" s="12" t="s">
        <v>115</v>
      </c>
      <c r="J4529" s="12" t="s">
        <v>116</v>
      </c>
      <c r="K4529" s="12" t="s">
        <v>117</v>
      </c>
      <c r="L4529" s="12" t="s">
        <v>82</v>
      </c>
      <c r="M4529">
        <v>17.170000000000002</v>
      </c>
      <c r="N4529" s="12" t="s">
        <v>159</v>
      </c>
      <c r="O4529" s="12" t="s">
        <v>160</v>
      </c>
      <c r="P4529" s="12" t="s">
        <v>137</v>
      </c>
      <c r="Q4529" s="13">
        <v>45726</v>
      </c>
      <c r="R4529" s="13">
        <v>45749</v>
      </c>
      <c r="S4529">
        <v>2025</v>
      </c>
      <c r="T4529" s="12" t="s">
        <v>5461</v>
      </c>
      <c r="U4529">
        <v>29</v>
      </c>
      <c r="V4529">
        <v>409.1377</v>
      </c>
      <c r="W4529">
        <v>301.04000000000002</v>
      </c>
      <c r="X4529">
        <v>0</v>
      </c>
      <c r="Y4529">
        <v>0</v>
      </c>
      <c r="Z4529">
        <v>11864.99</v>
      </c>
      <c r="AA4529">
        <v>12166.03</v>
      </c>
      <c r="AB4529" s="12" t="s">
        <v>5505</v>
      </c>
      <c r="AC4529">
        <v>409.1377</v>
      </c>
      <c r="AD4529">
        <v>1</v>
      </c>
      <c r="AE4529">
        <v>1</v>
      </c>
      <c r="AF4529">
        <v>0</v>
      </c>
      <c r="AG4529">
        <v>11864.99</v>
      </c>
      <c r="AH4529">
        <v>29</v>
      </c>
      <c r="AI4529">
        <v>29</v>
      </c>
      <c r="AJ4529">
        <v>0</v>
      </c>
      <c r="AK4529">
        <v>1</v>
      </c>
      <c r="AL4529">
        <v>1</v>
      </c>
      <c r="AM4529">
        <v>100</v>
      </c>
      <c r="AN4529">
        <v>419.51839999999999</v>
      </c>
      <c r="AO4529">
        <v>0</v>
      </c>
      <c r="AP4529" s="13">
        <v>45746</v>
      </c>
      <c r="AQ4529">
        <v>-3</v>
      </c>
      <c r="AR4529">
        <v>1</v>
      </c>
    </row>
    <row r="4530" spans="1:44" x14ac:dyDescent="0.35">
      <c r="A4530" s="12" t="s">
        <v>5506</v>
      </c>
      <c r="B4530" s="12" t="s">
        <v>1034</v>
      </c>
      <c r="C4530" s="12" t="s">
        <v>1035</v>
      </c>
      <c r="D4530" s="12" t="s">
        <v>64</v>
      </c>
      <c r="E4530" s="12" t="s">
        <v>104</v>
      </c>
      <c r="F4530">
        <v>2</v>
      </c>
      <c r="G4530">
        <v>0</v>
      </c>
      <c r="H4530">
        <v>0</v>
      </c>
      <c r="I4530" s="12" t="s">
        <v>157</v>
      </c>
      <c r="J4530" s="12" t="s">
        <v>158</v>
      </c>
      <c r="K4530" s="12" t="s">
        <v>117</v>
      </c>
      <c r="L4530" s="12" t="s">
        <v>96</v>
      </c>
      <c r="M4530">
        <v>4.72</v>
      </c>
      <c r="N4530" s="12" t="s">
        <v>97</v>
      </c>
      <c r="O4530" s="12" t="s">
        <v>98</v>
      </c>
      <c r="P4530" s="12" t="s">
        <v>72</v>
      </c>
      <c r="Q4530" s="13">
        <v>45726</v>
      </c>
      <c r="R4530" s="13">
        <v>45739</v>
      </c>
      <c r="S4530">
        <v>2025</v>
      </c>
      <c r="T4530" s="12" t="s">
        <v>5461</v>
      </c>
      <c r="U4530">
        <v>180</v>
      </c>
      <c r="V4530">
        <v>9.2698</v>
      </c>
      <c r="W4530">
        <v>13.64</v>
      </c>
      <c r="X4530">
        <v>0</v>
      </c>
      <c r="Y4530">
        <v>0</v>
      </c>
      <c r="Z4530">
        <v>1668.56</v>
      </c>
      <c r="AA4530">
        <v>1682.2</v>
      </c>
      <c r="AB4530" s="12" t="s">
        <v>3309</v>
      </c>
      <c r="AC4530">
        <v>9.2698</v>
      </c>
      <c r="AD4530">
        <v>1</v>
      </c>
      <c r="AE4530">
        <v>1</v>
      </c>
      <c r="AF4530">
        <v>0</v>
      </c>
      <c r="AG4530">
        <v>1668.56</v>
      </c>
      <c r="AH4530">
        <v>180</v>
      </c>
      <c r="AI4530">
        <v>179</v>
      </c>
      <c r="AJ4530">
        <v>1</v>
      </c>
      <c r="AK4530">
        <v>1</v>
      </c>
      <c r="AL4530">
        <v>1</v>
      </c>
      <c r="AM4530">
        <v>99.44</v>
      </c>
      <c r="AN4530">
        <v>9.3978000000000002</v>
      </c>
      <c r="AO4530">
        <v>9.27</v>
      </c>
      <c r="AP4530" s="13">
        <v>45737</v>
      </c>
      <c r="AQ4530">
        <v>-2</v>
      </c>
      <c r="AR4530">
        <v>1</v>
      </c>
    </row>
    <row r="4531" spans="1:44" x14ac:dyDescent="0.35">
      <c r="A4531" s="12" t="s">
        <v>5507</v>
      </c>
      <c r="B4531" s="12" t="s">
        <v>1220</v>
      </c>
      <c r="C4531" s="12" t="s">
        <v>1221</v>
      </c>
      <c r="D4531" s="12" t="s">
        <v>175</v>
      </c>
      <c r="E4531" s="12" t="s">
        <v>104</v>
      </c>
      <c r="F4531">
        <v>3</v>
      </c>
      <c r="G4531">
        <v>1</v>
      </c>
      <c r="H4531">
        <v>0</v>
      </c>
      <c r="I4531" s="12" t="s">
        <v>251</v>
      </c>
      <c r="J4531" s="12" t="s">
        <v>252</v>
      </c>
      <c r="K4531" s="12" t="s">
        <v>133</v>
      </c>
      <c r="L4531" s="12" t="s">
        <v>69</v>
      </c>
      <c r="M4531">
        <v>34.49</v>
      </c>
      <c r="N4531" s="12" t="s">
        <v>107</v>
      </c>
      <c r="O4531" s="12" t="s">
        <v>108</v>
      </c>
      <c r="P4531" s="12" t="s">
        <v>109</v>
      </c>
      <c r="Q4531" s="13">
        <v>45726</v>
      </c>
      <c r="R4531" s="13">
        <v>45752</v>
      </c>
      <c r="S4531">
        <v>2025</v>
      </c>
      <c r="T4531" s="12" t="s">
        <v>5461</v>
      </c>
      <c r="U4531">
        <v>125</v>
      </c>
      <c r="V4531">
        <v>138.95140000000001</v>
      </c>
      <c r="W4531">
        <v>375.47</v>
      </c>
      <c r="X4531">
        <v>0</v>
      </c>
      <c r="Y4531">
        <v>0</v>
      </c>
      <c r="Z4531">
        <v>17368.93</v>
      </c>
      <c r="AA4531">
        <v>17744.400000000001</v>
      </c>
      <c r="AB4531" s="12" t="s">
        <v>3687</v>
      </c>
      <c r="AC4531">
        <v>138.95140000000001</v>
      </c>
      <c r="AD4531">
        <v>1</v>
      </c>
      <c r="AE4531">
        <v>1</v>
      </c>
      <c r="AF4531">
        <v>0</v>
      </c>
      <c r="AG4531">
        <v>17368.93</v>
      </c>
      <c r="AH4531">
        <v>125</v>
      </c>
      <c r="AI4531">
        <v>124</v>
      </c>
      <c r="AJ4531">
        <v>1</v>
      </c>
      <c r="AK4531">
        <v>1</v>
      </c>
      <c r="AL4531">
        <v>1</v>
      </c>
      <c r="AM4531">
        <v>99.2</v>
      </c>
      <c r="AN4531">
        <v>143.1</v>
      </c>
      <c r="AO4531">
        <v>138.94999999999999</v>
      </c>
      <c r="AP4531" s="13">
        <v>45750</v>
      </c>
      <c r="AQ4531">
        <v>-2</v>
      </c>
      <c r="AR4531">
        <v>1</v>
      </c>
    </row>
    <row r="4532" spans="1:44" x14ac:dyDescent="0.35">
      <c r="A4532" s="12" t="s">
        <v>5508</v>
      </c>
      <c r="B4532" s="12" t="s">
        <v>173</v>
      </c>
      <c r="C4532" s="12" t="s">
        <v>174</v>
      </c>
      <c r="D4532" s="12" t="s">
        <v>175</v>
      </c>
      <c r="E4532" s="12" t="s">
        <v>104</v>
      </c>
      <c r="F4532">
        <v>3</v>
      </c>
      <c r="G4532">
        <v>1</v>
      </c>
      <c r="H4532">
        <v>0</v>
      </c>
      <c r="I4532" s="12" t="s">
        <v>176</v>
      </c>
      <c r="J4532" s="12" t="s">
        <v>177</v>
      </c>
      <c r="K4532" s="12" t="s">
        <v>125</v>
      </c>
      <c r="L4532" s="12" t="s">
        <v>134</v>
      </c>
      <c r="M4532">
        <v>1.75</v>
      </c>
      <c r="N4532" s="12" t="s">
        <v>145</v>
      </c>
      <c r="O4532" s="12" t="s">
        <v>146</v>
      </c>
      <c r="P4532" s="12" t="s">
        <v>109</v>
      </c>
      <c r="Q4532" s="13">
        <v>45726</v>
      </c>
      <c r="R4532" s="13">
        <v>45739</v>
      </c>
      <c r="S4532">
        <v>2025</v>
      </c>
      <c r="T4532" s="12" t="s">
        <v>5461</v>
      </c>
      <c r="U4532">
        <v>21</v>
      </c>
      <c r="V4532">
        <v>71.519599999999997</v>
      </c>
      <c r="W4532">
        <v>31.02</v>
      </c>
      <c r="X4532">
        <v>0</v>
      </c>
      <c r="Y4532">
        <v>0</v>
      </c>
      <c r="Z4532">
        <v>1501.91</v>
      </c>
      <c r="AA4532">
        <v>1532.93</v>
      </c>
      <c r="AB4532" s="12" t="s">
        <v>5221</v>
      </c>
      <c r="AC4532">
        <v>71.519599999999997</v>
      </c>
      <c r="AD4532">
        <v>1</v>
      </c>
      <c r="AE4532">
        <v>1</v>
      </c>
      <c r="AF4532">
        <v>0</v>
      </c>
      <c r="AG4532">
        <v>1501.91</v>
      </c>
      <c r="AH4532">
        <v>21</v>
      </c>
      <c r="AI4532">
        <v>21</v>
      </c>
      <c r="AJ4532">
        <v>0</v>
      </c>
      <c r="AK4532">
        <v>1</v>
      </c>
      <c r="AL4532">
        <v>1</v>
      </c>
      <c r="AM4532">
        <v>100</v>
      </c>
      <c r="AN4532">
        <v>72.996700000000004</v>
      </c>
      <c r="AO4532">
        <v>0</v>
      </c>
      <c r="AP4532" s="13">
        <v>45747</v>
      </c>
      <c r="AQ4532">
        <v>8</v>
      </c>
      <c r="AR4532">
        <v>0</v>
      </c>
    </row>
    <row r="4533" spans="1:44" x14ac:dyDescent="0.35">
      <c r="A4533" s="12" t="s">
        <v>5509</v>
      </c>
      <c r="B4533" s="12" t="s">
        <v>173</v>
      </c>
      <c r="C4533" s="12" t="s">
        <v>174</v>
      </c>
      <c r="D4533" s="12" t="s">
        <v>175</v>
      </c>
      <c r="E4533" s="12" t="s">
        <v>104</v>
      </c>
      <c r="F4533">
        <v>3</v>
      </c>
      <c r="G4533">
        <v>1</v>
      </c>
      <c r="H4533">
        <v>0</v>
      </c>
      <c r="I4533" s="12" t="s">
        <v>176</v>
      </c>
      <c r="J4533" s="12" t="s">
        <v>177</v>
      </c>
      <c r="K4533" s="12" t="s">
        <v>125</v>
      </c>
      <c r="L4533" s="12" t="s">
        <v>134</v>
      </c>
      <c r="M4533">
        <v>1.75</v>
      </c>
      <c r="N4533" s="12" t="s">
        <v>107</v>
      </c>
      <c r="O4533" s="12" t="s">
        <v>108</v>
      </c>
      <c r="P4533" s="12" t="s">
        <v>109</v>
      </c>
      <c r="Q4533" s="13">
        <v>45726</v>
      </c>
      <c r="R4533" s="13">
        <v>45738</v>
      </c>
      <c r="S4533">
        <v>2025</v>
      </c>
      <c r="T4533" s="12" t="s">
        <v>5461</v>
      </c>
      <c r="U4533">
        <v>17</v>
      </c>
      <c r="V4533">
        <v>73.244299999999996</v>
      </c>
      <c r="W4533">
        <v>13.17</v>
      </c>
      <c r="X4533">
        <v>0</v>
      </c>
      <c r="Y4533">
        <v>0</v>
      </c>
      <c r="Z4533">
        <v>1245.1500000000001</v>
      </c>
      <c r="AA4533">
        <v>1258.32</v>
      </c>
      <c r="AB4533" s="12" t="s">
        <v>5221</v>
      </c>
      <c r="AC4533">
        <v>71.519599999999997</v>
      </c>
      <c r="AD4533">
        <v>1</v>
      </c>
      <c r="AE4533">
        <v>1</v>
      </c>
      <c r="AF4533">
        <v>29.32</v>
      </c>
      <c r="AG4533">
        <v>1215.83</v>
      </c>
      <c r="AH4533">
        <v>17</v>
      </c>
      <c r="AI4533">
        <v>17</v>
      </c>
      <c r="AJ4533">
        <v>0</v>
      </c>
      <c r="AK4533">
        <v>1</v>
      </c>
      <c r="AL4533">
        <v>1</v>
      </c>
      <c r="AM4533">
        <v>100</v>
      </c>
      <c r="AN4533">
        <v>74.019000000000005</v>
      </c>
      <c r="AO4533">
        <v>0</v>
      </c>
      <c r="AP4533" s="13">
        <v>45735</v>
      </c>
      <c r="AQ4533">
        <v>-3</v>
      </c>
      <c r="AR4533">
        <v>1</v>
      </c>
    </row>
    <row r="4534" spans="1:44" x14ac:dyDescent="0.35">
      <c r="A4534" s="12" t="s">
        <v>5510</v>
      </c>
      <c r="B4534" s="12" t="s">
        <v>809</v>
      </c>
      <c r="C4534" s="12" t="s">
        <v>810</v>
      </c>
      <c r="D4534" s="12" t="s">
        <v>114</v>
      </c>
      <c r="E4534" s="12" t="s">
        <v>65</v>
      </c>
      <c r="F4534">
        <v>3</v>
      </c>
      <c r="G4534">
        <v>5</v>
      </c>
      <c r="H4534">
        <v>0</v>
      </c>
      <c r="I4534" s="12" t="s">
        <v>804</v>
      </c>
      <c r="J4534" s="12" t="s">
        <v>342</v>
      </c>
      <c r="K4534" s="12" t="s">
        <v>117</v>
      </c>
      <c r="L4534" s="12" t="s">
        <v>69</v>
      </c>
      <c r="M4534">
        <v>30.07</v>
      </c>
      <c r="N4534" s="12" t="s">
        <v>70</v>
      </c>
      <c r="O4534" s="12" t="s">
        <v>71</v>
      </c>
      <c r="P4534" s="12" t="s">
        <v>72</v>
      </c>
      <c r="Q4534" s="13">
        <v>45726</v>
      </c>
      <c r="R4534" s="13">
        <v>45762</v>
      </c>
      <c r="S4534">
        <v>2025</v>
      </c>
      <c r="T4534" s="12" t="s">
        <v>5461</v>
      </c>
      <c r="U4534">
        <v>132</v>
      </c>
      <c r="V4534">
        <v>319.34359999999998</v>
      </c>
      <c r="W4534">
        <v>392.61</v>
      </c>
      <c r="X4534">
        <v>0</v>
      </c>
      <c r="Y4534">
        <v>0</v>
      </c>
      <c r="Z4534">
        <v>42153.36</v>
      </c>
      <c r="AA4534">
        <v>42545.97</v>
      </c>
      <c r="AB4534" s="12" t="s">
        <v>5511</v>
      </c>
      <c r="AC4534">
        <v>302.71480000000003</v>
      </c>
      <c r="AD4534">
        <v>1</v>
      </c>
      <c r="AE4534">
        <v>1</v>
      </c>
      <c r="AF4534">
        <v>2195</v>
      </c>
      <c r="AG4534">
        <v>39958.35</v>
      </c>
      <c r="AH4534">
        <v>132</v>
      </c>
      <c r="AI4534">
        <v>129</v>
      </c>
      <c r="AJ4534">
        <v>3</v>
      </c>
      <c r="AK4534">
        <v>1</v>
      </c>
      <c r="AL4534">
        <v>1</v>
      </c>
      <c r="AM4534">
        <v>97.73</v>
      </c>
      <c r="AN4534">
        <v>329.81369999999998</v>
      </c>
      <c r="AO4534">
        <v>958.03</v>
      </c>
      <c r="AP4534" s="13">
        <v>45759</v>
      </c>
      <c r="AQ4534">
        <v>-3</v>
      </c>
      <c r="AR4534">
        <v>1</v>
      </c>
    </row>
    <row r="4535" spans="1:44" x14ac:dyDescent="0.35">
      <c r="A4535" s="12" t="s">
        <v>5512</v>
      </c>
      <c r="B4535" s="12" t="s">
        <v>532</v>
      </c>
      <c r="C4535" s="12" t="s">
        <v>533</v>
      </c>
      <c r="D4535" s="12" t="s">
        <v>114</v>
      </c>
      <c r="E4535" s="12" t="s">
        <v>65</v>
      </c>
      <c r="F4535">
        <v>2</v>
      </c>
      <c r="G4535">
        <v>3</v>
      </c>
      <c r="H4535">
        <v>0</v>
      </c>
      <c r="I4535" s="12" t="s">
        <v>115</v>
      </c>
      <c r="J4535" s="12" t="s">
        <v>116</v>
      </c>
      <c r="K4535" s="12" t="s">
        <v>117</v>
      </c>
      <c r="L4535" s="12" t="s">
        <v>82</v>
      </c>
      <c r="M4535">
        <v>17.170000000000002</v>
      </c>
      <c r="N4535" s="12" t="s">
        <v>97</v>
      </c>
      <c r="O4535" s="12" t="s">
        <v>98</v>
      </c>
      <c r="P4535" s="12" t="s">
        <v>72</v>
      </c>
      <c r="Q4535" s="13">
        <v>45726</v>
      </c>
      <c r="R4535" s="13">
        <v>45747</v>
      </c>
      <c r="S4535">
        <v>2025</v>
      </c>
      <c r="T4535" s="12" t="s">
        <v>5461</v>
      </c>
      <c r="U4535">
        <v>11</v>
      </c>
      <c r="V4535">
        <v>242.14850000000001</v>
      </c>
      <c r="W4535">
        <v>69.09</v>
      </c>
      <c r="X4535">
        <v>0</v>
      </c>
      <c r="Y4535">
        <v>0</v>
      </c>
      <c r="Z4535">
        <v>2663.63</v>
      </c>
      <c r="AA4535">
        <v>2732.72</v>
      </c>
      <c r="AB4535" s="12" t="s">
        <v>4434</v>
      </c>
      <c r="AC4535">
        <v>242.14850000000001</v>
      </c>
      <c r="AD4535">
        <v>1</v>
      </c>
      <c r="AE4535">
        <v>1</v>
      </c>
      <c r="AF4535">
        <v>0</v>
      </c>
      <c r="AG4535">
        <v>2663.63</v>
      </c>
      <c r="AH4535">
        <v>11</v>
      </c>
      <c r="AI4535">
        <v>11</v>
      </c>
      <c r="AJ4535">
        <v>0</v>
      </c>
      <c r="AK4535">
        <v>1</v>
      </c>
      <c r="AL4535">
        <v>1</v>
      </c>
      <c r="AM4535">
        <v>100</v>
      </c>
      <c r="AN4535">
        <v>248.42939999999999</v>
      </c>
      <c r="AO4535">
        <v>0</v>
      </c>
      <c r="AP4535" s="13">
        <v>45746</v>
      </c>
      <c r="AQ4535">
        <v>-1</v>
      </c>
      <c r="AR4535">
        <v>1</v>
      </c>
    </row>
    <row r="4536" spans="1:44" x14ac:dyDescent="0.35">
      <c r="A4536" s="12" t="s">
        <v>5513</v>
      </c>
      <c r="B4536" s="12" t="s">
        <v>221</v>
      </c>
      <c r="C4536" s="12" t="s">
        <v>222</v>
      </c>
      <c r="D4536" s="12" t="s">
        <v>114</v>
      </c>
      <c r="E4536" s="12" t="s">
        <v>142</v>
      </c>
      <c r="F4536">
        <v>3</v>
      </c>
      <c r="G4536">
        <v>11</v>
      </c>
      <c r="H4536">
        <v>0</v>
      </c>
      <c r="I4536" s="12" t="s">
        <v>105</v>
      </c>
      <c r="J4536" s="12" t="s">
        <v>106</v>
      </c>
      <c r="K4536" s="12" t="s">
        <v>81</v>
      </c>
      <c r="L4536" s="12" t="s">
        <v>96</v>
      </c>
      <c r="M4536">
        <v>5.01</v>
      </c>
      <c r="N4536" s="12" t="s">
        <v>70</v>
      </c>
      <c r="O4536" s="12" t="s">
        <v>71</v>
      </c>
      <c r="P4536" s="12" t="s">
        <v>72</v>
      </c>
      <c r="Q4536" s="13">
        <v>45726</v>
      </c>
      <c r="R4536" s="13">
        <v>45778</v>
      </c>
      <c r="S4536">
        <v>2025</v>
      </c>
      <c r="T4536" s="12" t="s">
        <v>5461</v>
      </c>
      <c r="U4536">
        <v>142</v>
      </c>
      <c r="V4536">
        <v>279.38709999999998</v>
      </c>
      <c r="W4536">
        <v>441.66</v>
      </c>
      <c r="X4536">
        <v>0</v>
      </c>
      <c r="Y4536">
        <v>0</v>
      </c>
      <c r="Z4536">
        <v>39672.97</v>
      </c>
      <c r="AA4536">
        <v>40114.629999999997</v>
      </c>
      <c r="AB4536" s="12" t="s">
        <v>201</v>
      </c>
      <c r="AD4536">
        <v>0</v>
      </c>
      <c r="AE4536">
        <v>0</v>
      </c>
      <c r="AH4536">
        <v>142</v>
      </c>
      <c r="AI4536">
        <v>140</v>
      </c>
      <c r="AJ4536">
        <v>2</v>
      </c>
      <c r="AK4536">
        <v>1</v>
      </c>
      <c r="AL4536">
        <v>1</v>
      </c>
      <c r="AM4536">
        <v>98.59</v>
      </c>
      <c r="AN4536">
        <v>286.53309999999999</v>
      </c>
      <c r="AO4536">
        <v>558.77</v>
      </c>
      <c r="AP4536" s="13">
        <v>45777</v>
      </c>
      <c r="AQ4536">
        <v>-1</v>
      </c>
      <c r="AR4536">
        <v>1</v>
      </c>
    </row>
    <row r="4537" spans="1:44" x14ac:dyDescent="0.35">
      <c r="A4537" s="12" t="s">
        <v>5514</v>
      </c>
      <c r="B4537" s="12" t="s">
        <v>433</v>
      </c>
      <c r="C4537" s="12" t="s">
        <v>434</v>
      </c>
      <c r="D4537" s="12" t="s">
        <v>78</v>
      </c>
      <c r="E4537" s="12" t="s">
        <v>65</v>
      </c>
      <c r="F4537">
        <v>2</v>
      </c>
      <c r="G4537">
        <v>4</v>
      </c>
      <c r="H4537">
        <v>0</v>
      </c>
      <c r="I4537" s="12" t="s">
        <v>105</v>
      </c>
      <c r="J4537" s="12" t="s">
        <v>106</v>
      </c>
      <c r="K4537" s="12" t="s">
        <v>81</v>
      </c>
      <c r="L4537" s="12" t="s">
        <v>96</v>
      </c>
      <c r="M4537">
        <v>5.01</v>
      </c>
      <c r="N4537" s="12" t="s">
        <v>70</v>
      </c>
      <c r="O4537" s="12" t="s">
        <v>71</v>
      </c>
      <c r="P4537" s="12" t="s">
        <v>72</v>
      </c>
      <c r="Q4537" s="13">
        <v>45726</v>
      </c>
      <c r="R4537" s="13">
        <v>45762</v>
      </c>
      <c r="S4537">
        <v>2025</v>
      </c>
      <c r="T4537" s="12" t="s">
        <v>5461</v>
      </c>
      <c r="U4537">
        <v>263</v>
      </c>
      <c r="V4537">
        <v>68.594099999999997</v>
      </c>
      <c r="W4537">
        <v>339.63</v>
      </c>
      <c r="X4537">
        <v>0</v>
      </c>
      <c r="Y4537">
        <v>0</v>
      </c>
      <c r="Z4537">
        <v>18040.25</v>
      </c>
      <c r="AA4537">
        <v>18379.88</v>
      </c>
      <c r="AB4537" s="12" t="s">
        <v>5436</v>
      </c>
      <c r="AC4537">
        <v>68.594099999999997</v>
      </c>
      <c r="AD4537">
        <v>1</v>
      </c>
      <c r="AE4537">
        <v>1</v>
      </c>
      <c r="AF4537">
        <v>0</v>
      </c>
      <c r="AG4537">
        <v>18040.25</v>
      </c>
      <c r="AH4537">
        <v>263</v>
      </c>
      <c r="AI4537">
        <v>258</v>
      </c>
      <c r="AJ4537">
        <v>5</v>
      </c>
      <c r="AK4537">
        <v>1</v>
      </c>
      <c r="AL4537">
        <v>1</v>
      </c>
      <c r="AM4537">
        <v>98.1</v>
      </c>
      <c r="AN4537">
        <v>71.239800000000002</v>
      </c>
      <c r="AO4537">
        <v>342.97</v>
      </c>
      <c r="AP4537" s="13">
        <v>45767</v>
      </c>
      <c r="AQ4537">
        <v>5</v>
      </c>
      <c r="AR4537">
        <v>0</v>
      </c>
    </row>
    <row r="4538" spans="1:44" x14ac:dyDescent="0.35">
      <c r="A4538" s="12" t="s">
        <v>5515</v>
      </c>
      <c r="B4538" s="12" t="s">
        <v>837</v>
      </c>
      <c r="C4538" s="12" t="s">
        <v>838</v>
      </c>
      <c r="D4538" s="12" t="s">
        <v>114</v>
      </c>
      <c r="E4538" s="12" t="s">
        <v>104</v>
      </c>
      <c r="F4538">
        <v>2</v>
      </c>
      <c r="G4538">
        <v>0</v>
      </c>
      <c r="H4538">
        <v>0</v>
      </c>
      <c r="I4538" s="12" t="s">
        <v>199</v>
      </c>
      <c r="J4538" s="12" t="s">
        <v>200</v>
      </c>
      <c r="K4538" s="12" t="s">
        <v>68</v>
      </c>
      <c r="L4538" s="12" t="s">
        <v>96</v>
      </c>
      <c r="M4538">
        <v>9.4700000000000006</v>
      </c>
      <c r="N4538" s="12" t="s">
        <v>97</v>
      </c>
      <c r="O4538" s="12" t="s">
        <v>98</v>
      </c>
      <c r="P4538" s="12" t="s">
        <v>72</v>
      </c>
      <c r="Q4538" s="13">
        <v>45727</v>
      </c>
      <c r="R4538" s="13">
        <v>45739</v>
      </c>
      <c r="S4538">
        <v>2025</v>
      </c>
      <c r="T4538" s="12" t="s">
        <v>5461</v>
      </c>
      <c r="U4538">
        <v>14</v>
      </c>
      <c r="V4538">
        <v>68.916300000000007</v>
      </c>
      <c r="W4538">
        <v>10.68</v>
      </c>
      <c r="X4538">
        <v>0</v>
      </c>
      <c r="Y4538">
        <v>0</v>
      </c>
      <c r="Z4538">
        <v>964.83</v>
      </c>
      <c r="AA4538">
        <v>975.51</v>
      </c>
      <c r="AB4538" s="12" t="s">
        <v>3432</v>
      </c>
      <c r="AC4538">
        <v>68.916300000000007</v>
      </c>
      <c r="AD4538">
        <v>1</v>
      </c>
      <c r="AE4538">
        <v>1</v>
      </c>
      <c r="AF4538">
        <v>0</v>
      </c>
      <c r="AG4538">
        <v>964.83</v>
      </c>
      <c r="AH4538">
        <v>14</v>
      </c>
      <c r="AI4538">
        <v>14</v>
      </c>
      <c r="AJ4538">
        <v>0</v>
      </c>
      <c r="AK4538">
        <v>1</v>
      </c>
      <c r="AL4538">
        <v>1</v>
      </c>
      <c r="AM4538">
        <v>100</v>
      </c>
      <c r="AN4538">
        <v>69.679199999999994</v>
      </c>
      <c r="AO4538">
        <v>0</v>
      </c>
      <c r="AP4538" s="13">
        <v>45741</v>
      </c>
      <c r="AQ4538">
        <v>2</v>
      </c>
      <c r="AR4538">
        <v>0</v>
      </c>
    </row>
    <row r="4539" spans="1:44" x14ac:dyDescent="0.35">
      <c r="A4539" s="12" t="s">
        <v>5516</v>
      </c>
      <c r="B4539" s="12" t="s">
        <v>537</v>
      </c>
      <c r="C4539" s="12" t="s">
        <v>538</v>
      </c>
      <c r="D4539" s="12" t="s">
        <v>103</v>
      </c>
      <c r="E4539" s="12" t="s">
        <v>104</v>
      </c>
      <c r="F4539">
        <v>3</v>
      </c>
      <c r="G4539">
        <v>0</v>
      </c>
      <c r="H4539">
        <v>0</v>
      </c>
      <c r="I4539" s="12" t="s">
        <v>143</v>
      </c>
      <c r="J4539" s="12" t="s">
        <v>144</v>
      </c>
      <c r="K4539" s="12" t="s">
        <v>133</v>
      </c>
      <c r="L4539" s="12" t="s">
        <v>96</v>
      </c>
      <c r="M4539">
        <v>5.43</v>
      </c>
      <c r="N4539" s="12" t="s">
        <v>145</v>
      </c>
      <c r="O4539" s="12" t="s">
        <v>146</v>
      </c>
      <c r="P4539" s="12" t="s">
        <v>109</v>
      </c>
      <c r="Q4539" s="13">
        <v>45727</v>
      </c>
      <c r="R4539" s="13">
        <v>45756</v>
      </c>
      <c r="S4539">
        <v>2025</v>
      </c>
      <c r="T4539" s="12" t="s">
        <v>5461</v>
      </c>
      <c r="U4539">
        <v>148</v>
      </c>
      <c r="V4539">
        <v>240.59469999999999</v>
      </c>
      <c r="W4539">
        <v>516.53</v>
      </c>
      <c r="X4539">
        <v>0</v>
      </c>
      <c r="Y4539">
        <v>0</v>
      </c>
      <c r="Z4539">
        <v>35608.019999999997</v>
      </c>
      <c r="AA4539">
        <v>36124.550000000003</v>
      </c>
      <c r="AB4539" s="12" t="s">
        <v>3321</v>
      </c>
      <c r="AC4539">
        <v>240.59469999999999</v>
      </c>
      <c r="AD4539">
        <v>1</v>
      </c>
      <c r="AE4539">
        <v>1</v>
      </c>
      <c r="AF4539">
        <v>0</v>
      </c>
      <c r="AG4539">
        <v>35608.019999999997</v>
      </c>
      <c r="AH4539">
        <v>148</v>
      </c>
      <c r="AI4539">
        <v>148</v>
      </c>
      <c r="AJ4539">
        <v>0</v>
      </c>
      <c r="AK4539">
        <v>1</v>
      </c>
      <c r="AL4539">
        <v>1</v>
      </c>
      <c r="AM4539">
        <v>100</v>
      </c>
      <c r="AN4539">
        <v>244.0848</v>
      </c>
      <c r="AO4539">
        <v>0</v>
      </c>
      <c r="AP4539" s="13">
        <v>45755</v>
      </c>
      <c r="AQ4539">
        <v>-1</v>
      </c>
      <c r="AR4539">
        <v>1</v>
      </c>
    </row>
    <row r="4540" spans="1:44" x14ac:dyDescent="0.35">
      <c r="A4540" s="12" t="s">
        <v>5517</v>
      </c>
      <c r="B4540" s="12" t="s">
        <v>317</v>
      </c>
      <c r="C4540" s="12" t="s">
        <v>318</v>
      </c>
      <c r="D4540" s="12" t="s">
        <v>64</v>
      </c>
      <c r="E4540" s="12" t="s">
        <v>104</v>
      </c>
      <c r="F4540">
        <v>2</v>
      </c>
      <c r="G4540">
        <v>0</v>
      </c>
      <c r="H4540">
        <v>0</v>
      </c>
      <c r="I4540" s="12" t="s">
        <v>169</v>
      </c>
      <c r="J4540" s="12" t="s">
        <v>170</v>
      </c>
      <c r="K4540" s="12" t="s">
        <v>89</v>
      </c>
      <c r="L4540" s="12" t="s">
        <v>134</v>
      </c>
      <c r="M4540">
        <v>1.37</v>
      </c>
      <c r="N4540" s="12" t="s">
        <v>70</v>
      </c>
      <c r="O4540" s="12" t="s">
        <v>71</v>
      </c>
      <c r="P4540" s="12" t="s">
        <v>72</v>
      </c>
      <c r="Q4540" s="13">
        <v>45727</v>
      </c>
      <c r="R4540" s="13">
        <v>45740</v>
      </c>
      <c r="S4540">
        <v>2025</v>
      </c>
      <c r="T4540" s="12" t="s">
        <v>5461</v>
      </c>
      <c r="U4540">
        <v>168</v>
      </c>
      <c r="V4540">
        <v>15.823399999999999</v>
      </c>
      <c r="W4540">
        <v>37.770000000000003</v>
      </c>
      <c r="X4540">
        <v>0</v>
      </c>
      <c r="Y4540">
        <v>0</v>
      </c>
      <c r="Z4540">
        <v>2658.33</v>
      </c>
      <c r="AA4540">
        <v>2696.1</v>
      </c>
      <c r="AB4540" s="12" t="s">
        <v>5518</v>
      </c>
      <c r="AC4540">
        <v>15.823399999999999</v>
      </c>
      <c r="AD4540">
        <v>1</v>
      </c>
      <c r="AE4540">
        <v>1</v>
      </c>
      <c r="AF4540">
        <v>0</v>
      </c>
      <c r="AG4540">
        <v>2658.33</v>
      </c>
      <c r="AH4540">
        <v>168</v>
      </c>
      <c r="AI4540">
        <v>167</v>
      </c>
      <c r="AJ4540">
        <v>1</v>
      </c>
      <c r="AK4540">
        <v>1</v>
      </c>
      <c r="AL4540">
        <v>1</v>
      </c>
      <c r="AM4540">
        <v>99.4</v>
      </c>
      <c r="AN4540">
        <v>16.144300000000001</v>
      </c>
      <c r="AO4540">
        <v>15.82</v>
      </c>
      <c r="AP4540" s="13">
        <v>45739</v>
      </c>
      <c r="AQ4540">
        <v>-1</v>
      </c>
      <c r="AR4540">
        <v>1</v>
      </c>
    </row>
    <row r="4541" spans="1:44" x14ac:dyDescent="0.35">
      <c r="A4541" s="12" t="s">
        <v>5519</v>
      </c>
      <c r="B4541" s="12" t="s">
        <v>1108</v>
      </c>
      <c r="C4541" s="12" t="s">
        <v>1109</v>
      </c>
      <c r="D4541" s="12" t="s">
        <v>103</v>
      </c>
      <c r="E4541" s="12" t="s">
        <v>65</v>
      </c>
      <c r="F4541">
        <v>3</v>
      </c>
      <c r="G4541">
        <v>4</v>
      </c>
      <c r="H4541">
        <v>0</v>
      </c>
      <c r="I4541" s="12" t="s">
        <v>66</v>
      </c>
      <c r="J4541" s="12" t="s">
        <v>67</v>
      </c>
      <c r="K4541" s="12" t="s">
        <v>68</v>
      </c>
      <c r="L4541" s="12" t="s">
        <v>69</v>
      </c>
      <c r="M4541">
        <v>17.66</v>
      </c>
      <c r="N4541" s="12" t="s">
        <v>145</v>
      </c>
      <c r="O4541" s="12" t="s">
        <v>146</v>
      </c>
      <c r="P4541" s="12" t="s">
        <v>109</v>
      </c>
      <c r="Q4541" s="13">
        <v>45727</v>
      </c>
      <c r="R4541" s="13">
        <v>45750</v>
      </c>
      <c r="S4541">
        <v>2025</v>
      </c>
      <c r="T4541" s="12" t="s">
        <v>5461</v>
      </c>
      <c r="U4541">
        <v>26</v>
      </c>
      <c r="V4541">
        <v>97.784999999999997</v>
      </c>
      <c r="W4541">
        <v>56.93</v>
      </c>
      <c r="X4541">
        <v>0</v>
      </c>
      <c r="Y4541">
        <v>0</v>
      </c>
      <c r="Z4541">
        <v>2542.41</v>
      </c>
      <c r="AA4541">
        <v>2599.34</v>
      </c>
      <c r="AB4541" s="12" t="s">
        <v>201</v>
      </c>
      <c r="AD4541">
        <v>0</v>
      </c>
      <c r="AE4541">
        <v>0</v>
      </c>
      <c r="AH4541">
        <v>26</v>
      </c>
      <c r="AI4541">
        <v>26</v>
      </c>
      <c r="AJ4541">
        <v>0</v>
      </c>
      <c r="AK4541">
        <v>1</v>
      </c>
      <c r="AL4541">
        <v>1</v>
      </c>
      <c r="AM4541">
        <v>100</v>
      </c>
      <c r="AN4541">
        <v>99.974599999999995</v>
      </c>
      <c r="AO4541">
        <v>0</v>
      </c>
      <c r="AP4541" s="13">
        <v>45751</v>
      </c>
      <c r="AQ4541">
        <v>1</v>
      </c>
      <c r="AR4541">
        <v>0</v>
      </c>
    </row>
    <row r="4542" spans="1:44" x14ac:dyDescent="0.35">
      <c r="A4542" s="12" t="s">
        <v>5520</v>
      </c>
      <c r="B4542" s="12" t="s">
        <v>1054</v>
      </c>
      <c r="C4542" s="12" t="s">
        <v>1055</v>
      </c>
      <c r="D4542" s="12" t="s">
        <v>122</v>
      </c>
      <c r="E4542" s="12" t="s">
        <v>65</v>
      </c>
      <c r="F4542">
        <v>1</v>
      </c>
      <c r="G4542">
        <v>2</v>
      </c>
      <c r="H4542">
        <v>1</v>
      </c>
      <c r="I4542" s="12" t="s">
        <v>176</v>
      </c>
      <c r="J4542" s="12" t="s">
        <v>177</v>
      </c>
      <c r="K4542" s="12" t="s">
        <v>125</v>
      </c>
      <c r="L4542" s="12" t="s">
        <v>134</v>
      </c>
      <c r="M4542">
        <v>1.75</v>
      </c>
      <c r="N4542" s="12" t="s">
        <v>97</v>
      </c>
      <c r="O4542" s="12" t="s">
        <v>98</v>
      </c>
      <c r="P4542" s="12" t="s">
        <v>72</v>
      </c>
      <c r="Q4542" s="13">
        <v>45727</v>
      </c>
      <c r="R4542" s="13">
        <v>45748</v>
      </c>
      <c r="S4542">
        <v>2025</v>
      </c>
      <c r="T4542" s="12" t="s">
        <v>5461</v>
      </c>
      <c r="U4542">
        <v>218</v>
      </c>
      <c r="V4542">
        <v>45.850499999999997</v>
      </c>
      <c r="W4542">
        <v>221.15</v>
      </c>
      <c r="X4542">
        <v>0</v>
      </c>
      <c r="Y4542">
        <v>0</v>
      </c>
      <c r="Z4542">
        <v>9995.41</v>
      </c>
      <c r="AA4542">
        <v>10216.56</v>
      </c>
      <c r="AB4542" s="12" t="s">
        <v>3227</v>
      </c>
      <c r="AC4542">
        <v>45.850499999999997</v>
      </c>
      <c r="AD4542">
        <v>1</v>
      </c>
      <c r="AE4542">
        <v>1</v>
      </c>
      <c r="AF4542">
        <v>0</v>
      </c>
      <c r="AG4542">
        <v>9995.41</v>
      </c>
      <c r="AH4542">
        <v>218</v>
      </c>
      <c r="AI4542">
        <v>216</v>
      </c>
      <c r="AJ4542">
        <v>2</v>
      </c>
      <c r="AK4542">
        <v>1</v>
      </c>
      <c r="AL4542">
        <v>1</v>
      </c>
      <c r="AM4542">
        <v>99.08</v>
      </c>
      <c r="AN4542">
        <v>47.298900000000003</v>
      </c>
      <c r="AO4542">
        <v>91.7</v>
      </c>
      <c r="AP4542" s="13">
        <v>45746</v>
      </c>
      <c r="AQ4542">
        <v>-2</v>
      </c>
      <c r="AR4542">
        <v>1</v>
      </c>
    </row>
    <row r="4543" spans="1:44" x14ac:dyDescent="0.35">
      <c r="A4543" s="12" t="s">
        <v>5521</v>
      </c>
      <c r="B4543" s="12" t="s">
        <v>416</v>
      </c>
      <c r="C4543" s="12" t="s">
        <v>417</v>
      </c>
      <c r="D4543" s="12" t="s">
        <v>78</v>
      </c>
      <c r="E4543" s="12" t="s">
        <v>65</v>
      </c>
      <c r="F4543">
        <v>3</v>
      </c>
      <c r="G4543">
        <v>5</v>
      </c>
      <c r="H4543">
        <v>0</v>
      </c>
      <c r="I4543" s="12" t="s">
        <v>169</v>
      </c>
      <c r="J4543" s="12" t="s">
        <v>170</v>
      </c>
      <c r="K4543" s="12" t="s">
        <v>89</v>
      </c>
      <c r="L4543" s="12" t="s">
        <v>134</v>
      </c>
      <c r="M4543">
        <v>1.37</v>
      </c>
      <c r="N4543" s="12" t="s">
        <v>97</v>
      </c>
      <c r="O4543" s="12" t="s">
        <v>98</v>
      </c>
      <c r="P4543" s="12" t="s">
        <v>72</v>
      </c>
      <c r="Q4543" s="13">
        <v>45727</v>
      </c>
      <c r="R4543" s="13">
        <v>45761</v>
      </c>
      <c r="S4543">
        <v>2025</v>
      </c>
      <c r="T4543" s="12" t="s">
        <v>5461</v>
      </c>
      <c r="U4543">
        <v>231</v>
      </c>
      <c r="V4543">
        <v>129.0615</v>
      </c>
      <c r="W4543">
        <v>432.24</v>
      </c>
      <c r="X4543">
        <v>0</v>
      </c>
      <c r="Y4543">
        <v>0</v>
      </c>
      <c r="Z4543">
        <v>29813.21</v>
      </c>
      <c r="AA4543">
        <v>30245.45</v>
      </c>
      <c r="AB4543" s="12" t="s">
        <v>5522</v>
      </c>
      <c r="AC4543">
        <v>129.0615</v>
      </c>
      <c r="AD4543">
        <v>1</v>
      </c>
      <c r="AE4543">
        <v>1</v>
      </c>
      <c r="AF4543">
        <v>0</v>
      </c>
      <c r="AG4543">
        <v>29813.21</v>
      </c>
      <c r="AH4543">
        <v>231</v>
      </c>
      <c r="AI4543">
        <v>227</v>
      </c>
      <c r="AJ4543">
        <v>4</v>
      </c>
      <c r="AK4543">
        <v>1</v>
      </c>
      <c r="AL4543">
        <v>1</v>
      </c>
      <c r="AM4543">
        <v>98.27</v>
      </c>
      <c r="AN4543">
        <v>133.23990000000001</v>
      </c>
      <c r="AO4543">
        <v>516.25</v>
      </c>
      <c r="AP4543" s="13">
        <v>45770</v>
      </c>
      <c r="AQ4543">
        <v>9</v>
      </c>
      <c r="AR4543">
        <v>0</v>
      </c>
    </row>
    <row r="4544" spans="1:44" x14ac:dyDescent="0.35">
      <c r="A4544" s="12" t="s">
        <v>5523</v>
      </c>
      <c r="B4544" s="12" t="s">
        <v>241</v>
      </c>
      <c r="C4544" s="12" t="s">
        <v>242</v>
      </c>
      <c r="D4544" s="12" t="s">
        <v>103</v>
      </c>
      <c r="E4544" s="12" t="s">
        <v>142</v>
      </c>
      <c r="F4544">
        <v>3</v>
      </c>
      <c r="G4544">
        <v>11</v>
      </c>
      <c r="H4544">
        <v>0</v>
      </c>
      <c r="I4544" s="12" t="s">
        <v>243</v>
      </c>
      <c r="J4544" s="12" t="s">
        <v>244</v>
      </c>
      <c r="K4544" s="12" t="s">
        <v>81</v>
      </c>
      <c r="L4544" s="12" t="s">
        <v>82</v>
      </c>
      <c r="M4544">
        <v>9.2200000000000006</v>
      </c>
      <c r="N4544" s="12" t="s">
        <v>107</v>
      </c>
      <c r="O4544" s="12" t="s">
        <v>108</v>
      </c>
      <c r="P4544" s="12" t="s">
        <v>109</v>
      </c>
      <c r="Q4544" s="13">
        <v>45727</v>
      </c>
      <c r="R4544" s="13">
        <v>45779</v>
      </c>
      <c r="S4544">
        <v>2025</v>
      </c>
      <c r="T4544" s="12" t="s">
        <v>5461</v>
      </c>
      <c r="U4544">
        <v>147</v>
      </c>
      <c r="V4544">
        <v>179.26240000000001</v>
      </c>
      <c r="W4544">
        <v>238.09</v>
      </c>
      <c r="X4544">
        <v>0</v>
      </c>
      <c r="Y4544">
        <v>0</v>
      </c>
      <c r="Z4544">
        <v>26351.57</v>
      </c>
      <c r="AA4544">
        <v>26589.66</v>
      </c>
      <c r="AB4544" s="12" t="s">
        <v>201</v>
      </c>
      <c r="AD4544">
        <v>0</v>
      </c>
      <c r="AE4544">
        <v>0</v>
      </c>
      <c r="AH4544">
        <v>147</v>
      </c>
      <c r="AI4544">
        <v>146</v>
      </c>
      <c r="AJ4544">
        <v>1</v>
      </c>
      <c r="AK4544">
        <v>1</v>
      </c>
      <c r="AL4544">
        <v>1</v>
      </c>
      <c r="AM4544">
        <v>99.32</v>
      </c>
      <c r="AN4544">
        <v>182.12100000000001</v>
      </c>
      <c r="AO4544">
        <v>179.26</v>
      </c>
      <c r="AP4544" s="13">
        <v>45776</v>
      </c>
      <c r="AQ4544">
        <v>-3</v>
      </c>
      <c r="AR4544">
        <v>1</v>
      </c>
    </row>
    <row r="4545" spans="1:44" x14ac:dyDescent="0.35">
      <c r="A4545" s="12" t="s">
        <v>5524</v>
      </c>
      <c r="B4545" s="12" t="s">
        <v>876</v>
      </c>
      <c r="C4545" s="12" t="s">
        <v>877</v>
      </c>
      <c r="D4545" s="12" t="s">
        <v>269</v>
      </c>
      <c r="E4545" s="12" t="s">
        <v>142</v>
      </c>
      <c r="F4545">
        <v>3</v>
      </c>
      <c r="G4545">
        <v>11</v>
      </c>
      <c r="H4545">
        <v>0</v>
      </c>
      <c r="I4545" s="12" t="s">
        <v>310</v>
      </c>
      <c r="J4545" s="12" t="s">
        <v>311</v>
      </c>
      <c r="K4545" s="12" t="s">
        <v>81</v>
      </c>
      <c r="L4545" s="12" t="s">
        <v>69</v>
      </c>
      <c r="M4545">
        <v>28.3</v>
      </c>
      <c r="N4545" s="12" t="s">
        <v>159</v>
      </c>
      <c r="O4545" s="12" t="s">
        <v>160</v>
      </c>
      <c r="P4545" s="12" t="s">
        <v>137</v>
      </c>
      <c r="Q4545" s="13">
        <v>45727</v>
      </c>
      <c r="R4545" s="13">
        <v>45771</v>
      </c>
      <c r="S4545">
        <v>2025</v>
      </c>
      <c r="T4545" s="12" t="s">
        <v>5461</v>
      </c>
      <c r="U4545">
        <v>80</v>
      </c>
      <c r="V4545">
        <v>199.4896</v>
      </c>
      <c r="W4545">
        <v>194.08</v>
      </c>
      <c r="X4545">
        <v>0</v>
      </c>
      <c r="Y4545">
        <v>0</v>
      </c>
      <c r="Z4545">
        <v>15959.17</v>
      </c>
      <c r="AA4545">
        <v>16153.25</v>
      </c>
      <c r="AB4545" s="12" t="s">
        <v>4212</v>
      </c>
      <c r="AC4545">
        <v>199.4896</v>
      </c>
      <c r="AD4545">
        <v>1</v>
      </c>
      <c r="AE4545">
        <v>1</v>
      </c>
      <c r="AF4545">
        <v>0</v>
      </c>
      <c r="AG4545">
        <v>15959.17</v>
      </c>
      <c r="AH4545">
        <v>80</v>
      </c>
      <c r="AI4545">
        <v>80</v>
      </c>
      <c r="AJ4545">
        <v>0</v>
      </c>
      <c r="AK4545">
        <v>1</v>
      </c>
      <c r="AL4545">
        <v>1</v>
      </c>
      <c r="AM4545">
        <v>100</v>
      </c>
      <c r="AN4545">
        <v>201.91560000000001</v>
      </c>
      <c r="AO4545">
        <v>0</v>
      </c>
      <c r="AP4545" s="13">
        <v>45774</v>
      </c>
      <c r="AQ4545">
        <v>3</v>
      </c>
      <c r="AR4545">
        <v>0</v>
      </c>
    </row>
    <row r="4546" spans="1:44" x14ac:dyDescent="0.35">
      <c r="A4546" s="12" t="s">
        <v>5525</v>
      </c>
      <c r="B4546" s="12" t="s">
        <v>1075</v>
      </c>
      <c r="C4546" s="12" t="s">
        <v>1076</v>
      </c>
      <c r="D4546" s="12" t="s">
        <v>103</v>
      </c>
      <c r="E4546" s="12" t="s">
        <v>65</v>
      </c>
      <c r="F4546">
        <v>2</v>
      </c>
      <c r="G4546">
        <v>4</v>
      </c>
      <c r="H4546">
        <v>0</v>
      </c>
      <c r="I4546" s="12" t="s">
        <v>183</v>
      </c>
      <c r="J4546" s="12" t="s">
        <v>184</v>
      </c>
      <c r="K4546" s="12" t="s">
        <v>133</v>
      </c>
      <c r="L4546" s="12" t="s">
        <v>82</v>
      </c>
      <c r="M4546">
        <v>8.6199999999999992</v>
      </c>
      <c r="N4546" s="12" t="s">
        <v>145</v>
      </c>
      <c r="O4546" s="12" t="s">
        <v>146</v>
      </c>
      <c r="P4546" s="12" t="s">
        <v>109</v>
      </c>
      <c r="Q4546" s="13">
        <v>45727</v>
      </c>
      <c r="R4546" s="13">
        <v>45760</v>
      </c>
      <c r="S4546">
        <v>2025</v>
      </c>
      <c r="T4546" s="12" t="s">
        <v>5461</v>
      </c>
      <c r="U4546">
        <v>107</v>
      </c>
      <c r="V4546">
        <v>75.996300000000005</v>
      </c>
      <c r="W4546">
        <v>86.24</v>
      </c>
      <c r="X4546">
        <v>0</v>
      </c>
      <c r="Y4546">
        <v>0</v>
      </c>
      <c r="Z4546">
        <v>8131.6</v>
      </c>
      <c r="AA4546">
        <v>8217.84</v>
      </c>
      <c r="AB4546" s="12" t="s">
        <v>201</v>
      </c>
      <c r="AD4546">
        <v>0</v>
      </c>
      <c r="AE4546">
        <v>0</v>
      </c>
      <c r="AH4546">
        <v>107</v>
      </c>
      <c r="AI4546">
        <v>106</v>
      </c>
      <c r="AJ4546">
        <v>1</v>
      </c>
      <c r="AK4546">
        <v>1</v>
      </c>
      <c r="AL4546">
        <v>1</v>
      </c>
      <c r="AM4546">
        <v>99.07</v>
      </c>
      <c r="AN4546">
        <v>77.526799999999994</v>
      </c>
      <c r="AO4546">
        <v>76</v>
      </c>
      <c r="AP4546" s="13">
        <v>45757</v>
      </c>
      <c r="AQ4546">
        <v>-3</v>
      </c>
      <c r="AR4546">
        <v>1</v>
      </c>
    </row>
    <row r="4547" spans="1:44" x14ac:dyDescent="0.35">
      <c r="A4547" s="12" t="s">
        <v>5526</v>
      </c>
      <c r="B4547" s="12" t="s">
        <v>458</v>
      </c>
      <c r="C4547" s="12" t="s">
        <v>459</v>
      </c>
      <c r="D4547" s="12" t="s">
        <v>64</v>
      </c>
      <c r="E4547" s="12" t="s">
        <v>104</v>
      </c>
      <c r="F4547">
        <v>2</v>
      </c>
      <c r="G4547">
        <v>0</v>
      </c>
      <c r="H4547">
        <v>0</v>
      </c>
      <c r="I4547" s="12" t="s">
        <v>199</v>
      </c>
      <c r="J4547" s="12" t="s">
        <v>200</v>
      </c>
      <c r="K4547" s="12" t="s">
        <v>68</v>
      </c>
      <c r="L4547" s="12" t="s">
        <v>96</v>
      </c>
      <c r="M4547">
        <v>9.4700000000000006</v>
      </c>
      <c r="N4547" s="12" t="s">
        <v>70</v>
      </c>
      <c r="O4547" s="12" t="s">
        <v>71</v>
      </c>
      <c r="P4547" s="12" t="s">
        <v>72</v>
      </c>
      <c r="Q4547" s="13">
        <v>45727</v>
      </c>
      <c r="R4547" s="13">
        <v>45749</v>
      </c>
      <c r="S4547">
        <v>2025</v>
      </c>
      <c r="T4547" s="12" t="s">
        <v>5461</v>
      </c>
      <c r="U4547">
        <v>600</v>
      </c>
      <c r="V4547">
        <v>21.352799999999998</v>
      </c>
      <c r="W4547">
        <v>214.57</v>
      </c>
      <c r="X4547">
        <v>0</v>
      </c>
      <c r="Y4547">
        <v>0</v>
      </c>
      <c r="Z4547">
        <v>12811.68</v>
      </c>
      <c r="AA4547">
        <v>13026.25</v>
      </c>
      <c r="AB4547" s="12" t="s">
        <v>5527</v>
      </c>
      <c r="AC4547">
        <v>21.352799999999998</v>
      </c>
      <c r="AD4547">
        <v>1</v>
      </c>
      <c r="AE4547">
        <v>1</v>
      </c>
      <c r="AF4547">
        <v>0</v>
      </c>
      <c r="AG4547">
        <v>12811.68</v>
      </c>
      <c r="AH4547">
        <v>600</v>
      </c>
      <c r="AI4547">
        <v>595</v>
      </c>
      <c r="AJ4547">
        <v>5</v>
      </c>
      <c r="AK4547">
        <v>1</v>
      </c>
      <c r="AL4547">
        <v>1</v>
      </c>
      <c r="AM4547">
        <v>99.17</v>
      </c>
      <c r="AN4547">
        <v>21.892900000000001</v>
      </c>
      <c r="AO4547">
        <v>106.76</v>
      </c>
      <c r="AP4547" s="13">
        <v>45751</v>
      </c>
      <c r="AQ4547">
        <v>2</v>
      </c>
      <c r="AR4547">
        <v>0</v>
      </c>
    </row>
    <row r="4548" spans="1:44" x14ac:dyDescent="0.35">
      <c r="A4548" s="12" t="s">
        <v>5528</v>
      </c>
      <c r="B4548" s="12" t="s">
        <v>391</v>
      </c>
      <c r="C4548" s="12" t="s">
        <v>392</v>
      </c>
      <c r="D4548" s="12" t="s">
        <v>114</v>
      </c>
      <c r="E4548" s="12" t="s">
        <v>65</v>
      </c>
      <c r="F4548">
        <v>2</v>
      </c>
      <c r="G4548">
        <v>2</v>
      </c>
      <c r="H4548">
        <v>0</v>
      </c>
      <c r="I4548" s="12" t="s">
        <v>195</v>
      </c>
      <c r="J4548" s="12" t="s">
        <v>196</v>
      </c>
      <c r="K4548" s="12" t="s">
        <v>117</v>
      </c>
      <c r="L4548" s="12" t="s">
        <v>134</v>
      </c>
      <c r="M4548">
        <v>4.7699999999999996</v>
      </c>
      <c r="N4548" s="12" t="s">
        <v>97</v>
      </c>
      <c r="O4548" s="12" t="s">
        <v>98</v>
      </c>
      <c r="P4548" s="12" t="s">
        <v>72</v>
      </c>
      <c r="Q4548" s="13">
        <v>45727</v>
      </c>
      <c r="R4548" s="13">
        <v>45758</v>
      </c>
      <c r="S4548">
        <v>2025</v>
      </c>
      <c r="T4548" s="12" t="s">
        <v>5461</v>
      </c>
      <c r="U4548">
        <v>92</v>
      </c>
      <c r="V4548">
        <v>233.52799999999999</v>
      </c>
      <c r="W4548">
        <v>549.88</v>
      </c>
      <c r="X4548">
        <v>0</v>
      </c>
      <c r="Y4548">
        <v>0</v>
      </c>
      <c r="Z4548">
        <v>21484.58</v>
      </c>
      <c r="AA4548">
        <v>22034.46</v>
      </c>
      <c r="AB4548" s="12" t="s">
        <v>201</v>
      </c>
      <c r="AD4548">
        <v>0</v>
      </c>
      <c r="AE4548">
        <v>0</v>
      </c>
      <c r="AH4548">
        <v>92</v>
      </c>
      <c r="AI4548">
        <v>91</v>
      </c>
      <c r="AJ4548">
        <v>1</v>
      </c>
      <c r="AK4548">
        <v>1</v>
      </c>
      <c r="AL4548">
        <v>1</v>
      </c>
      <c r="AM4548">
        <v>98.91</v>
      </c>
      <c r="AN4548">
        <v>242.1369</v>
      </c>
      <c r="AO4548">
        <v>233.53</v>
      </c>
      <c r="AP4548" s="13">
        <v>45754</v>
      </c>
      <c r="AQ4548">
        <v>-4</v>
      </c>
      <c r="AR4548">
        <v>1</v>
      </c>
    </row>
    <row r="4549" spans="1:44" x14ac:dyDescent="0.35">
      <c r="A4549" s="12" t="s">
        <v>5529</v>
      </c>
      <c r="B4549" s="12" t="s">
        <v>482</v>
      </c>
      <c r="C4549" s="12" t="s">
        <v>483</v>
      </c>
      <c r="D4549" s="12" t="s">
        <v>78</v>
      </c>
      <c r="E4549" s="12" t="s">
        <v>142</v>
      </c>
      <c r="F4549">
        <v>2</v>
      </c>
      <c r="G4549">
        <v>9</v>
      </c>
      <c r="H4549">
        <v>0</v>
      </c>
      <c r="I4549" s="12" t="s">
        <v>87</v>
      </c>
      <c r="J4549" s="12" t="s">
        <v>88</v>
      </c>
      <c r="K4549" s="12" t="s">
        <v>89</v>
      </c>
      <c r="L4549" s="12" t="s">
        <v>69</v>
      </c>
      <c r="M4549">
        <v>14.93</v>
      </c>
      <c r="N4549" s="12" t="s">
        <v>97</v>
      </c>
      <c r="O4549" s="12" t="s">
        <v>98</v>
      </c>
      <c r="P4549" s="12" t="s">
        <v>72</v>
      </c>
      <c r="Q4549" s="13">
        <v>45727</v>
      </c>
      <c r="R4549" s="13">
        <v>45765</v>
      </c>
      <c r="S4549">
        <v>2025</v>
      </c>
      <c r="T4549" s="12" t="s">
        <v>5461</v>
      </c>
      <c r="U4549">
        <v>88</v>
      </c>
      <c r="V4549">
        <v>44.311199999999999</v>
      </c>
      <c r="W4549">
        <v>32.479999999999997</v>
      </c>
      <c r="X4549">
        <v>0</v>
      </c>
      <c r="Y4549">
        <v>0</v>
      </c>
      <c r="Z4549">
        <v>3899.39</v>
      </c>
      <c r="AA4549">
        <v>3931.87</v>
      </c>
      <c r="AB4549" s="12" t="s">
        <v>3145</v>
      </c>
      <c r="AC4549">
        <v>47.101599999999998</v>
      </c>
      <c r="AD4549">
        <v>1</v>
      </c>
      <c r="AE4549">
        <v>1</v>
      </c>
      <c r="AF4549">
        <v>-245.56</v>
      </c>
      <c r="AG4549">
        <v>4144.9399999999996</v>
      </c>
      <c r="AH4549">
        <v>88</v>
      </c>
      <c r="AI4549">
        <v>87</v>
      </c>
      <c r="AJ4549">
        <v>1</v>
      </c>
      <c r="AK4549">
        <v>1</v>
      </c>
      <c r="AL4549">
        <v>1</v>
      </c>
      <c r="AM4549">
        <v>98.86</v>
      </c>
      <c r="AN4549">
        <v>45.193899999999999</v>
      </c>
      <c r="AO4549">
        <v>44.31</v>
      </c>
      <c r="AP4549" s="13">
        <v>45764</v>
      </c>
      <c r="AQ4549">
        <v>-1</v>
      </c>
      <c r="AR4549">
        <v>1</v>
      </c>
    </row>
    <row r="4550" spans="1:44" x14ac:dyDescent="0.35">
      <c r="A4550" s="12" t="s">
        <v>5530</v>
      </c>
      <c r="B4550" s="12" t="s">
        <v>1108</v>
      </c>
      <c r="C4550" s="12" t="s">
        <v>1109</v>
      </c>
      <c r="D4550" s="12" t="s">
        <v>103</v>
      </c>
      <c r="E4550" s="12" t="s">
        <v>65</v>
      </c>
      <c r="F4550">
        <v>3</v>
      </c>
      <c r="G4550">
        <v>4</v>
      </c>
      <c r="H4550">
        <v>0</v>
      </c>
      <c r="I4550" s="12" t="s">
        <v>79</v>
      </c>
      <c r="J4550" s="12" t="s">
        <v>80</v>
      </c>
      <c r="K4550" s="12" t="s">
        <v>81</v>
      </c>
      <c r="L4550" s="12" t="s">
        <v>82</v>
      </c>
      <c r="M4550">
        <v>12.07</v>
      </c>
      <c r="N4550" s="12" t="s">
        <v>107</v>
      </c>
      <c r="O4550" s="12" t="s">
        <v>108</v>
      </c>
      <c r="P4550" s="12" t="s">
        <v>109</v>
      </c>
      <c r="Q4550" s="13">
        <v>45728</v>
      </c>
      <c r="R4550" s="13">
        <v>45754</v>
      </c>
      <c r="S4550">
        <v>2025</v>
      </c>
      <c r="T4550" s="12" t="s">
        <v>5461</v>
      </c>
      <c r="U4550">
        <v>49</v>
      </c>
      <c r="V4550">
        <v>85.889600000000002</v>
      </c>
      <c r="W4550">
        <v>38.31</v>
      </c>
      <c r="X4550">
        <v>0</v>
      </c>
      <c r="Y4550">
        <v>0</v>
      </c>
      <c r="Z4550">
        <v>4208.59</v>
      </c>
      <c r="AA4550">
        <v>4246.8999999999996</v>
      </c>
      <c r="AB4550" s="12" t="s">
        <v>3269</v>
      </c>
      <c r="AC4550">
        <v>85.889600000000002</v>
      </c>
      <c r="AD4550">
        <v>1</v>
      </c>
      <c r="AE4550">
        <v>1</v>
      </c>
      <c r="AF4550">
        <v>0</v>
      </c>
      <c r="AG4550">
        <v>4208.59</v>
      </c>
      <c r="AH4550">
        <v>49</v>
      </c>
      <c r="AI4550">
        <v>49</v>
      </c>
      <c r="AJ4550">
        <v>0</v>
      </c>
      <c r="AK4550">
        <v>1</v>
      </c>
      <c r="AL4550">
        <v>1</v>
      </c>
      <c r="AM4550">
        <v>100</v>
      </c>
      <c r="AN4550">
        <v>86.671400000000006</v>
      </c>
      <c r="AO4550">
        <v>0</v>
      </c>
      <c r="AP4550" s="13">
        <v>45751</v>
      </c>
      <c r="AQ4550">
        <v>-3</v>
      </c>
      <c r="AR4550">
        <v>1</v>
      </c>
    </row>
    <row r="4551" spans="1:44" x14ac:dyDescent="0.35">
      <c r="A4551" s="12" t="s">
        <v>5531</v>
      </c>
      <c r="B4551" s="12" t="s">
        <v>416</v>
      </c>
      <c r="C4551" s="12" t="s">
        <v>417</v>
      </c>
      <c r="D4551" s="12" t="s">
        <v>78</v>
      </c>
      <c r="E4551" s="12" t="s">
        <v>65</v>
      </c>
      <c r="F4551">
        <v>3</v>
      </c>
      <c r="G4551">
        <v>5</v>
      </c>
      <c r="H4551">
        <v>0</v>
      </c>
      <c r="I4551" s="12" t="s">
        <v>169</v>
      </c>
      <c r="J4551" s="12" t="s">
        <v>170</v>
      </c>
      <c r="K4551" s="12" t="s">
        <v>89</v>
      </c>
      <c r="L4551" s="12" t="s">
        <v>134</v>
      </c>
      <c r="M4551">
        <v>1.37</v>
      </c>
      <c r="N4551" s="12" t="s">
        <v>97</v>
      </c>
      <c r="O4551" s="12" t="s">
        <v>98</v>
      </c>
      <c r="P4551" s="12" t="s">
        <v>72</v>
      </c>
      <c r="Q4551" s="13">
        <v>45728</v>
      </c>
      <c r="R4551" s="13">
        <v>45760</v>
      </c>
      <c r="S4551">
        <v>2025</v>
      </c>
      <c r="T4551" s="12" t="s">
        <v>5461</v>
      </c>
      <c r="U4551">
        <v>205</v>
      </c>
      <c r="V4551">
        <v>129.0615</v>
      </c>
      <c r="W4551">
        <v>413.38</v>
      </c>
      <c r="X4551">
        <v>0</v>
      </c>
      <c r="Y4551">
        <v>0</v>
      </c>
      <c r="Z4551">
        <v>26457.61</v>
      </c>
      <c r="AA4551">
        <v>26870.99</v>
      </c>
      <c r="AB4551" s="12" t="s">
        <v>5522</v>
      </c>
      <c r="AC4551">
        <v>129.0615</v>
      </c>
      <c r="AD4551">
        <v>1</v>
      </c>
      <c r="AE4551">
        <v>1</v>
      </c>
      <c r="AF4551">
        <v>0</v>
      </c>
      <c r="AG4551">
        <v>26457.61</v>
      </c>
      <c r="AH4551">
        <v>205</v>
      </c>
      <c r="AI4551">
        <v>201</v>
      </c>
      <c r="AJ4551">
        <v>4</v>
      </c>
      <c r="AK4551">
        <v>1</v>
      </c>
      <c r="AL4551">
        <v>1</v>
      </c>
      <c r="AM4551">
        <v>98.05</v>
      </c>
      <c r="AN4551">
        <v>133.6865</v>
      </c>
      <c r="AO4551">
        <v>516.25</v>
      </c>
      <c r="AP4551" s="13">
        <v>45760</v>
      </c>
      <c r="AQ4551">
        <v>0</v>
      </c>
      <c r="AR4551">
        <v>1</v>
      </c>
    </row>
    <row r="4552" spans="1:44" x14ac:dyDescent="0.35">
      <c r="A4552" s="12" t="s">
        <v>5532</v>
      </c>
      <c r="B4552" s="12" t="s">
        <v>1179</v>
      </c>
      <c r="C4552" s="12" t="s">
        <v>1180</v>
      </c>
      <c r="D4552" s="12" t="s">
        <v>122</v>
      </c>
      <c r="E4552" s="12" t="s">
        <v>142</v>
      </c>
      <c r="F4552">
        <v>1</v>
      </c>
      <c r="G4552">
        <v>8</v>
      </c>
      <c r="H4552">
        <v>1</v>
      </c>
      <c r="I4552" s="12" t="s">
        <v>143</v>
      </c>
      <c r="J4552" s="12" t="s">
        <v>144</v>
      </c>
      <c r="K4552" s="12" t="s">
        <v>133</v>
      </c>
      <c r="L4552" s="12" t="s">
        <v>96</v>
      </c>
      <c r="M4552">
        <v>5.43</v>
      </c>
      <c r="N4552" s="12" t="s">
        <v>70</v>
      </c>
      <c r="O4552" s="12" t="s">
        <v>71</v>
      </c>
      <c r="P4552" s="12" t="s">
        <v>72</v>
      </c>
      <c r="Q4552" s="13">
        <v>45728</v>
      </c>
      <c r="R4552" s="13">
        <v>45770</v>
      </c>
      <c r="S4552">
        <v>2025</v>
      </c>
      <c r="T4552" s="12" t="s">
        <v>5461</v>
      </c>
      <c r="U4552">
        <v>969</v>
      </c>
      <c r="V4552">
        <v>52.209899999999998</v>
      </c>
      <c r="W4552">
        <v>660.83</v>
      </c>
      <c r="X4552">
        <v>0</v>
      </c>
      <c r="Y4552">
        <v>0</v>
      </c>
      <c r="Z4552">
        <v>50591.39</v>
      </c>
      <c r="AA4552">
        <v>51252.22</v>
      </c>
      <c r="AB4552" s="12" t="s">
        <v>5533</v>
      </c>
      <c r="AC4552">
        <v>52.209899999999998</v>
      </c>
      <c r="AD4552">
        <v>1</v>
      </c>
      <c r="AE4552">
        <v>1</v>
      </c>
      <c r="AF4552">
        <v>0</v>
      </c>
      <c r="AG4552">
        <v>50591.39</v>
      </c>
      <c r="AH4552">
        <v>969</v>
      </c>
      <c r="AI4552">
        <v>965</v>
      </c>
      <c r="AJ4552">
        <v>4</v>
      </c>
      <c r="AK4552">
        <v>1</v>
      </c>
      <c r="AL4552">
        <v>1</v>
      </c>
      <c r="AM4552">
        <v>99.59</v>
      </c>
      <c r="AN4552">
        <v>53.1111</v>
      </c>
      <c r="AO4552">
        <v>208.84</v>
      </c>
      <c r="AP4552" s="13">
        <v>45770</v>
      </c>
      <c r="AQ4552">
        <v>0</v>
      </c>
      <c r="AR4552">
        <v>1</v>
      </c>
    </row>
    <row r="4553" spans="1:44" x14ac:dyDescent="0.35">
      <c r="A4553" s="12" t="s">
        <v>5534</v>
      </c>
      <c r="B4553" s="12" t="s">
        <v>1166</v>
      </c>
      <c r="C4553" s="12" t="s">
        <v>1167</v>
      </c>
      <c r="D4553" s="12" t="s">
        <v>175</v>
      </c>
      <c r="E4553" s="12" t="s">
        <v>65</v>
      </c>
      <c r="F4553">
        <v>3</v>
      </c>
      <c r="G4553">
        <v>5</v>
      </c>
      <c r="H4553">
        <v>0</v>
      </c>
      <c r="I4553" s="12" t="s">
        <v>105</v>
      </c>
      <c r="J4553" s="12" t="s">
        <v>106</v>
      </c>
      <c r="K4553" s="12" t="s">
        <v>81</v>
      </c>
      <c r="L4553" s="12" t="s">
        <v>96</v>
      </c>
      <c r="M4553">
        <v>5.01</v>
      </c>
      <c r="N4553" s="12" t="s">
        <v>145</v>
      </c>
      <c r="O4553" s="12" t="s">
        <v>146</v>
      </c>
      <c r="P4553" s="12" t="s">
        <v>109</v>
      </c>
      <c r="Q4553" s="13">
        <v>45728</v>
      </c>
      <c r="R4553" s="13">
        <v>45761</v>
      </c>
      <c r="S4553">
        <v>2025</v>
      </c>
      <c r="T4553" s="12" t="s">
        <v>5461</v>
      </c>
      <c r="U4553">
        <v>111</v>
      </c>
      <c r="V4553">
        <v>242.08269999999999</v>
      </c>
      <c r="W4553">
        <v>235.58</v>
      </c>
      <c r="X4553">
        <v>0</v>
      </c>
      <c r="Y4553">
        <v>0</v>
      </c>
      <c r="Z4553">
        <v>26871.18</v>
      </c>
      <c r="AA4553">
        <v>27106.76</v>
      </c>
      <c r="AB4553" s="12" t="s">
        <v>3746</v>
      </c>
      <c r="AC4553">
        <v>233.78229999999999</v>
      </c>
      <c r="AD4553">
        <v>1</v>
      </c>
      <c r="AE4553">
        <v>1</v>
      </c>
      <c r="AF4553">
        <v>921.34</v>
      </c>
      <c r="AG4553">
        <v>25949.84</v>
      </c>
      <c r="AH4553">
        <v>111</v>
      </c>
      <c r="AI4553">
        <v>110</v>
      </c>
      <c r="AJ4553">
        <v>1</v>
      </c>
      <c r="AK4553">
        <v>1</v>
      </c>
      <c r="AL4553">
        <v>1</v>
      </c>
      <c r="AM4553">
        <v>99.1</v>
      </c>
      <c r="AN4553">
        <v>246.42509999999999</v>
      </c>
      <c r="AO4553">
        <v>242.08</v>
      </c>
      <c r="AP4553" s="13">
        <v>45764</v>
      </c>
      <c r="AQ4553">
        <v>3</v>
      </c>
      <c r="AR4553">
        <v>0</v>
      </c>
    </row>
    <row r="4554" spans="1:44" x14ac:dyDescent="0.35">
      <c r="A4554" s="12" t="s">
        <v>5535</v>
      </c>
      <c r="B4554" s="12" t="s">
        <v>494</v>
      </c>
      <c r="C4554" s="12" t="s">
        <v>495</v>
      </c>
      <c r="D4554" s="12" t="s">
        <v>175</v>
      </c>
      <c r="E4554" s="12" t="s">
        <v>65</v>
      </c>
      <c r="F4554">
        <v>2</v>
      </c>
      <c r="G4554">
        <v>3</v>
      </c>
      <c r="H4554">
        <v>0</v>
      </c>
      <c r="I4554" s="12" t="s">
        <v>515</v>
      </c>
      <c r="J4554" s="12" t="s">
        <v>516</v>
      </c>
      <c r="K4554" s="12" t="s">
        <v>68</v>
      </c>
      <c r="L4554" s="12" t="s">
        <v>134</v>
      </c>
      <c r="M4554">
        <v>3.69</v>
      </c>
      <c r="N4554" s="12" t="s">
        <v>107</v>
      </c>
      <c r="O4554" s="12" t="s">
        <v>108</v>
      </c>
      <c r="P4554" s="12" t="s">
        <v>109</v>
      </c>
      <c r="Q4554" s="13">
        <v>45728</v>
      </c>
      <c r="R4554" s="13">
        <v>45751</v>
      </c>
      <c r="S4554">
        <v>2025</v>
      </c>
      <c r="T4554" s="12" t="s">
        <v>5461</v>
      </c>
      <c r="U4554">
        <v>27</v>
      </c>
      <c r="V4554">
        <v>153.36940000000001</v>
      </c>
      <c r="W4554">
        <v>81.48</v>
      </c>
      <c r="X4554">
        <v>0</v>
      </c>
      <c r="Y4554">
        <v>0</v>
      </c>
      <c r="Z4554">
        <v>4140.97</v>
      </c>
      <c r="AA4554">
        <v>4222.45</v>
      </c>
      <c r="AB4554" s="12" t="s">
        <v>5442</v>
      </c>
      <c r="AC4554">
        <v>153.36940000000001</v>
      </c>
      <c r="AD4554">
        <v>1</v>
      </c>
      <c r="AE4554">
        <v>1</v>
      </c>
      <c r="AF4554">
        <v>0</v>
      </c>
      <c r="AG4554">
        <v>4140.97</v>
      </c>
      <c r="AH4554">
        <v>27</v>
      </c>
      <c r="AI4554">
        <v>27</v>
      </c>
      <c r="AJ4554">
        <v>0</v>
      </c>
      <c r="AK4554">
        <v>1</v>
      </c>
      <c r="AL4554">
        <v>1</v>
      </c>
      <c r="AM4554">
        <v>100</v>
      </c>
      <c r="AN4554">
        <v>156.38720000000001</v>
      </c>
      <c r="AO4554">
        <v>0</v>
      </c>
      <c r="AP4554" s="13">
        <v>45751</v>
      </c>
      <c r="AQ4554">
        <v>0</v>
      </c>
      <c r="AR4554">
        <v>1</v>
      </c>
    </row>
    <row r="4555" spans="1:44" x14ac:dyDescent="0.35">
      <c r="A4555" s="12" t="s">
        <v>5536</v>
      </c>
      <c r="B4555" s="12" t="s">
        <v>548</v>
      </c>
      <c r="C4555" s="12" t="s">
        <v>549</v>
      </c>
      <c r="D4555" s="12" t="s">
        <v>78</v>
      </c>
      <c r="E4555" s="12" t="s">
        <v>104</v>
      </c>
      <c r="F4555">
        <v>3</v>
      </c>
      <c r="G4555">
        <v>1</v>
      </c>
      <c r="H4555">
        <v>0</v>
      </c>
      <c r="I4555" s="12" t="s">
        <v>199</v>
      </c>
      <c r="J4555" s="12" t="s">
        <v>200</v>
      </c>
      <c r="K4555" s="12" t="s">
        <v>68</v>
      </c>
      <c r="L4555" s="12" t="s">
        <v>96</v>
      </c>
      <c r="M4555">
        <v>9.4700000000000006</v>
      </c>
      <c r="N4555" s="12" t="s">
        <v>97</v>
      </c>
      <c r="O4555" s="12" t="s">
        <v>98</v>
      </c>
      <c r="P4555" s="12" t="s">
        <v>72</v>
      </c>
      <c r="Q4555" s="13">
        <v>45729</v>
      </c>
      <c r="R4555" s="13">
        <v>45757</v>
      </c>
      <c r="S4555">
        <v>2025</v>
      </c>
      <c r="T4555" s="12" t="s">
        <v>5461</v>
      </c>
      <c r="U4555">
        <v>279</v>
      </c>
      <c r="V4555">
        <v>59.1252</v>
      </c>
      <c r="W4555">
        <v>403.79</v>
      </c>
      <c r="X4555">
        <v>0</v>
      </c>
      <c r="Y4555">
        <v>0</v>
      </c>
      <c r="Z4555">
        <v>16495.93</v>
      </c>
      <c r="AA4555">
        <v>16899.72</v>
      </c>
      <c r="AB4555" s="12" t="s">
        <v>3564</v>
      </c>
      <c r="AC4555">
        <v>59.1252</v>
      </c>
      <c r="AD4555">
        <v>1</v>
      </c>
      <c r="AE4555">
        <v>1</v>
      </c>
      <c r="AF4555">
        <v>0</v>
      </c>
      <c r="AG4555">
        <v>16495.93</v>
      </c>
      <c r="AH4555">
        <v>279</v>
      </c>
      <c r="AI4555">
        <v>274</v>
      </c>
      <c r="AJ4555">
        <v>5</v>
      </c>
      <c r="AK4555">
        <v>1</v>
      </c>
      <c r="AL4555">
        <v>1</v>
      </c>
      <c r="AM4555">
        <v>98.21</v>
      </c>
      <c r="AN4555">
        <v>61.677799999999998</v>
      </c>
      <c r="AO4555">
        <v>295.63</v>
      </c>
      <c r="AP4555" s="13">
        <v>45757</v>
      </c>
      <c r="AQ4555">
        <v>0</v>
      </c>
      <c r="AR4555">
        <v>1</v>
      </c>
    </row>
    <row r="4556" spans="1:44" x14ac:dyDescent="0.35">
      <c r="A4556" s="12" t="s">
        <v>5537</v>
      </c>
      <c r="B4556" s="12" t="s">
        <v>613</v>
      </c>
      <c r="C4556" s="12" t="s">
        <v>614</v>
      </c>
      <c r="D4556" s="12" t="s">
        <v>130</v>
      </c>
      <c r="E4556" s="12" t="s">
        <v>104</v>
      </c>
      <c r="F4556">
        <v>3</v>
      </c>
      <c r="G4556">
        <v>1</v>
      </c>
      <c r="H4556">
        <v>0</v>
      </c>
      <c r="I4556" s="12" t="s">
        <v>66</v>
      </c>
      <c r="J4556" s="12" t="s">
        <v>67</v>
      </c>
      <c r="K4556" s="12" t="s">
        <v>68</v>
      </c>
      <c r="L4556" s="12" t="s">
        <v>69</v>
      </c>
      <c r="M4556">
        <v>17.66</v>
      </c>
      <c r="N4556" s="12" t="s">
        <v>135</v>
      </c>
      <c r="O4556" s="12" t="s">
        <v>136</v>
      </c>
      <c r="P4556" s="12" t="s">
        <v>137</v>
      </c>
      <c r="Q4556" s="13">
        <v>45729</v>
      </c>
      <c r="R4556" s="13">
        <v>45755</v>
      </c>
      <c r="S4556">
        <v>2025</v>
      </c>
      <c r="T4556" s="12" t="s">
        <v>5461</v>
      </c>
      <c r="U4556">
        <v>121</v>
      </c>
      <c r="V4556">
        <v>145.47319999999999</v>
      </c>
      <c r="W4556">
        <v>280.68</v>
      </c>
      <c r="X4556">
        <v>0</v>
      </c>
      <c r="Y4556">
        <v>0</v>
      </c>
      <c r="Z4556">
        <v>17602.259999999998</v>
      </c>
      <c r="AA4556">
        <v>17882.939999999999</v>
      </c>
      <c r="AB4556" s="12" t="s">
        <v>5538</v>
      </c>
      <c r="AC4556">
        <v>154.3064</v>
      </c>
      <c r="AD4556">
        <v>1</v>
      </c>
      <c r="AE4556">
        <v>1</v>
      </c>
      <c r="AF4556">
        <v>-1068.82</v>
      </c>
      <c r="AG4556">
        <v>18671.07</v>
      </c>
      <c r="AH4556">
        <v>121</v>
      </c>
      <c r="AI4556">
        <v>120</v>
      </c>
      <c r="AJ4556">
        <v>1</v>
      </c>
      <c r="AK4556">
        <v>1</v>
      </c>
      <c r="AL4556">
        <v>1</v>
      </c>
      <c r="AM4556">
        <v>99.17</v>
      </c>
      <c r="AN4556">
        <v>149.02449999999999</v>
      </c>
      <c r="AO4556">
        <v>145.47</v>
      </c>
      <c r="AP4556" s="13">
        <v>45756</v>
      </c>
      <c r="AQ4556">
        <v>1</v>
      </c>
      <c r="AR4556">
        <v>0</v>
      </c>
    </row>
    <row r="4557" spans="1:44" x14ac:dyDescent="0.35">
      <c r="A4557" s="12" t="s">
        <v>5539</v>
      </c>
      <c r="B4557" s="12" t="s">
        <v>399</v>
      </c>
      <c r="C4557" s="12" t="s">
        <v>400</v>
      </c>
      <c r="D4557" s="12" t="s">
        <v>114</v>
      </c>
      <c r="E4557" s="12" t="s">
        <v>65</v>
      </c>
      <c r="F4557">
        <v>1</v>
      </c>
      <c r="G4557">
        <v>2</v>
      </c>
      <c r="H4557">
        <v>1</v>
      </c>
      <c r="I4557" s="12" t="s">
        <v>151</v>
      </c>
      <c r="J4557" s="12" t="s">
        <v>152</v>
      </c>
      <c r="K4557" s="12" t="s">
        <v>125</v>
      </c>
      <c r="L4557" s="12" t="s">
        <v>69</v>
      </c>
      <c r="M4557">
        <v>36.479999999999997</v>
      </c>
      <c r="N4557" s="12" t="s">
        <v>97</v>
      </c>
      <c r="O4557" s="12" t="s">
        <v>98</v>
      </c>
      <c r="P4557" s="12" t="s">
        <v>72</v>
      </c>
      <c r="Q4557" s="13">
        <v>45729</v>
      </c>
      <c r="R4557" s="13">
        <v>45753</v>
      </c>
      <c r="S4557">
        <v>2025</v>
      </c>
      <c r="T4557" s="12" t="s">
        <v>5461</v>
      </c>
      <c r="U4557">
        <v>35</v>
      </c>
      <c r="V4557">
        <v>301.12419999999997</v>
      </c>
      <c r="W4557">
        <v>180.24</v>
      </c>
      <c r="X4557">
        <v>0</v>
      </c>
      <c r="Y4557">
        <v>0</v>
      </c>
      <c r="Z4557">
        <v>10539.35</v>
      </c>
      <c r="AA4557">
        <v>10719.59</v>
      </c>
      <c r="AB4557" s="12" t="s">
        <v>201</v>
      </c>
      <c r="AD4557">
        <v>0</v>
      </c>
      <c r="AE4557">
        <v>0</v>
      </c>
      <c r="AH4557">
        <v>35</v>
      </c>
      <c r="AI4557">
        <v>34</v>
      </c>
      <c r="AJ4557">
        <v>1</v>
      </c>
      <c r="AK4557">
        <v>1</v>
      </c>
      <c r="AL4557">
        <v>1</v>
      </c>
      <c r="AM4557">
        <v>97.14</v>
      </c>
      <c r="AN4557">
        <v>315.28199999999998</v>
      </c>
      <c r="AO4557">
        <v>301.12</v>
      </c>
      <c r="AP4557" s="13">
        <v>45752</v>
      </c>
      <c r="AQ4557">
        <v>-1</v>
      </c>
      <c r="AR4557">
        <v>1</v>
      </c>
    </row>
    <row r="4558" spans="1:44" x14ac:dyDescent="0.35">
      <c r="A4558" s="12" t="s">
        <v>5540</v>
      </c>
      <c r="B4558" s="12" t="s">
        <v>617</v>
      </c>
      <c r="C4558" s="12" t="s">
        <v>618</v>
      </c>
      <c r="D4558" s="12" t="s">
        <v>78</v>
      </c>
      <c r="E4558" s="12" t="s">
        <v>65</v>
      </c>
      <c r="F4558">
        <v>2</v>
      </c>
      <c r="G4558">
        <v>4</v>
      </c>
      <c r="H4558">
        <v>0</v>
      </c>
      <c r="I4558" s="12" t="s">
        <v>341</v>
      </c>
      <c r="J4558" s="12" t="s">
        <v>342</v>
      </c>
      <c r="K4558" s="12" t="s">
        <v>117</v>
      </c>
      <c r="L4558" s="12" t="s">
        <v>82</v>
      </c>
      <c r="M4558">
        <v>18.36</v>
      </c>
      <c r="N4558" s="12" t="s">
        <v>70</v>
      </c>
      <c r="O4558" s="12" t="s">
        <v>71</v>
      </c>
      <c r="P4558" s="12" t="s">
        <v>72</v>
      </c>
      <c r="Q4558" s="13">
        <v>45729</v>
      </c>
      <c r="R4558" s="13">
        <v>45751</v>
      </c>
      <c r="S4558">
        <v>2025</v>
      </c>
      <c r="T4558" s="12" t="s">
        <v>5461</v>
      </c>
      <c r="U4558">
        <v>63</v>
      </c>
      <c r="V4558">
        <v>97.033799999999999</v>
      </c>
      <c r="W4558">
        <v>157.19</v>
      </c>
      <c r="X4558">
        <v>0</v>
      </c>
      <c r="Y4558">
        <v>0</v>
      </c>
      <c r="Z4558">
        <v>6113.13</v>
      </c>
      <c r="AA4558">
        <v>6270.32</v>
      </c>
      <c r="AB4558" s="12" t="s">
        <v>5541</v>
      </c>
      <c r="AC4558">
        <v>97.033799999999999</v>
      </c>
      <c r="AD4558">
        <v>1</v>
      </c>
      <c r="AE4558">
        <v>1</v>
      </c>
      <c r="AF4558">
        <v>0</v>
      </c>
      <c r="AG4558">
        <v>6113.13</v>
      </c>
      <c r="AH4558">
        <v>63</v>
      </c>
      <c r="AI4558">
        <v>62</v>
      </c>
      <c r="AJ4558">
        <v>1</v>
      </c>
      <c r="AK4558">
        <v>1</v>
      </c>
      <c r="AL4558">
        <v>1</v>
      </c>
      <c r="AM4558">
        <v>98.41</v>
      </c>
      <c r="AN4558">
        <v>101.13420000000001</v>
      </c>
      <c r="AO4558">
        <v>97.03</v>
      </c>
      <c r="AP4558" s="13">
        <v>45750</v>
      </c>
      <c r="AQ4558">
        <v>-1</v>
      </c>
      <c r="AR4558">
        <v>1</v>
      </c>
    </row>
    <row r="4559" spans="1:44" x14ac:dyDescent="0.35">
      <c r="A4559" s="12" t="s">
        <v>5542</v>
      </c>
      <c r="B4559" s="12" t="s">
        <v>755</v>
      </c>
      <c r="C4559" s="12" t="s">
        <v>756</v>
      </c>
      <c r="D4559" s="12" t="s">
        <v>78</v>
      </c>
      <c r="E4559" s="12" t="s">
        <v>65</v>
      </c>
      <c r="F4559">
        <v>2</v>
      </c>
      <c r="G4559">
        <v>2</v>
      </c>
      <c r="H4559">
        <v>0</v>
      </c>
      <c r="I4559" s="12" t="s">
        <v>359</v>
      </c>
      <c r="J4559" s="12" t="s">
        <v>360</v>
      </c>
      <c r="K4559" s="12" t="s">
        <v>133</v>
      </c>
      <c r="L4559" s="12" t="s">
        <v>82</v>
      </c>
      <c r="M4559">
        <v>12.65</v>
      </c>
      <c r="N4559" s="12" t="s">
        <v>97</v>
      </c>
      <c r="O4559" s="12" t="s">
        <v>98</v>
      </c>
      <c r="P4559" s="12" t="s">
        <v>72</v>
      </c>
      <c r="Q4559" s="13">
        <v>45729</v>
      </c>
      <c r="R4559" s="13">
        <v>45762</v>
      </c>
      <c r="S4559">
        <v>2025</v>
      </c>
      <c r="T4559" s="12" t="s">
        <v>5461</v>
      </c>
      <c r="U4559">
        <v>220</v>
      </c>
      <c r="V4559">
        <v>43.122799999999998</v>
      </c>
      <c r="W4559">
        <v>194.62</v>
      </c>
      <c r="X4559">
        <v>0</v>
      </c>
      <c r="Y4559">
        <v>0</v>
      </c>
      <c r="Z4559">
        <v>9487.02</v>
      </c>
      <c r="AA4559">
        <v>9681.64</v>
      </c>
      <c r="AB4559" s="12" t="s">
        <v>3414</v>
      </c>
      <c r="AC4559">
        <v>43.122799999999998</v>
      </c>
      <c r="AD4559">
        <v>1</v>
      </c>
      <c r="AE4559">
        <v>1</v>
      </c>
      <c r="AF4559">
        <v>0</v>
      </c>
      <c r="AG4559">
        <v>9487.02</v>
      </c>
      <c r="AH4559">
        <v>220</v>
      </c>
      <c r="AI4559">
        <v>217</v>
      </c>
      <c r="AJ4559">
        <v>3</v>
      </c>
      <c r="AK4559">
        <v>1</v>
      </c>
      <c r="AL4559">
        <v>1</v>
      </c>
      <c r="AM4559">
        <v>98.64</v>
      </c>
      <c r="AN4559">
        <v>44.6158</v>
      </c>
      <c r="AO4559">
        <v>129.37</v>
      </c>
      <c r="AP4559" s="13">
        <v>45759</v>
      </c>
      <c r="AQ4559">
        <v>-3</v>
      </c>
      <c r="AR4559">
        <v>1</v>
      </c>
    </row>
    <row r="4560" spans="1:44" x14ac:dyDescent="0.35">
      <c r="A4560" s="12" t="s">
        <v>5543</v>
      </c>
      <c r="B4560" s="12" t="s">
        <v>378</v>
      </c>
      <c r="C4560" s="12" t="s">
        <v>379</v>
      </c>
      <c r="D4560" s="12" t="s">
        <v>64</v>
      </c>
      <c r="E4560" s="12" t="s">
        <v>104</v>
      </c>
      <c r="F4560">
        <v>3</v>
      </c>
      <c r="G4560">
        <v>1</v>
      </c>
      <c r="H4560">
        <v>0</v>
      </c>
      <c r="I4560" s="12" t="s">
        <v>380</v>
      </c>
      <c r="J4560" s="12" t="s">
        <v>381</v>
      </c>
      <c r="K4560" s="12" t="s">
        <v>89</v>
      </c>
      <c r="L4560" s="12" t="s">
        <v>96</v>
      </c>
      <c r="M4560">
        <v>10.210000000000001</v>
      </c>
      <c r="N4560" s="12" t="s">
        <v>97</v>
      </c>
      <c r="O4560" s="12" t="s">
        <v>98</v>
      </c>
      <c r="P4560" s="12" t="s">
        <v>72</v>
      </c>
      <c r="Q4560" s="13">
        <v>45729</v>
      </c>
      <c r="R4560" s="13">
        <v>45756</v>
      </c>
      <c r="S4560">
        <v>2025</v>
      </c>
      <c r="T4560" s="12" t="s">
        <v>5461</v>
      </c>
      <c r="U4560">
        <v>887</v>
      </c>
      <c r="V4560">
        <v>15.3193</v>
      </c>
      <c r="W4560">
        <v>184.69</v>
      </c>
      <c r="X4560">
        <v>0</v>
      </c>
      <c r="Y4560">
        <v>0</v>
      </c>
      <c r="Z4560">
        <v>13588.22</v>
      </c>
      <c r="AA4560">
        <v>13772.91</v>
      </c>
      <c r="AB4560" s="12" t="s">
        <v>5544</v>
      </c>
      <c r="AC4560">
        <v>15.3193</v>
      </c>
      <c r="AD4560">
        <v>1</v>
      </c>
      <c r="AE4560">
        <v>1</v>
      </c>
      <c r="AF4560">
        <v>0</v>
      </c>
      <c r="AG4560">
        <v>13588.22</v>
      </c>
      <c r="AH4560">
        <v>887</v>
      </c>
      <c r="AI4560">
        <v>884</v>
      </c>
      <c r="AJ4560">
        <v>3</v>
      </c>
      <c r="AK4560">
        <v>1</v>
      </c>
      <c r="AL4560">
        <v>1</v>
      </c>
      <c r="AM4560">
        <v>99.66</v>
      </c>
      <c r="AN4560">
        <v>15.5802</v>
      </c>
      <c r="AO4560">
        <v>45.96</v>
      </c>
      <c r="AP4560" s="13">
        <v>45753</v>
      </c>
      <c r="AQ4560">
        <v>-3</v>
      </c>
      <c r="AR4560">
        <v>1</v>
      </c>
    </row>
    <row r="4561" spans="1:44" x14ac:dyDescent="0.35">
      <c r="A4561" s="12" t="s">
        <v>5545</v>
      </c>
      <c r="B4561" s="12" t="s">
        <v>978</v>
      </c>
      <c r="C4561" s="12" t="s">
        <v>979</v>
      </c>
      <c r="D4561" s="12" t="s">
        <v>122</v>
      </c>
      <c r="E4561" s="12" t="s">
        <v>65</v>
      </c>
      <c r="F4561">
        <v>1</v>
      </c>
      <c r="G4561">
        <v>2</v>
      </c>
      <c r="H4561">
        <v>1</v>
      </c>
      <c r="I4561" s="12" t="s">
        <v>310</v>
      </c>
      <c r="J4561" s="12" t="s">
        <v>311</v>
      </c>
      <c r="K4561" s="12" t="s">
        <v>81</v>
      </c>
      <c r="L4561" s="12" t="s">
        <v>69</v>
      </c>
      <c r="M4561">
        <v>28.3</v>
      </c>
      <c r="N4561" s="12" t="s">
        <v>97</v>
      </c>
      <c r="O4561" s="12" t="s">
        <v>98</v>
      </c>
      <c r="P4561" s="12" t="s">
        <v>72</v>
      </c>
      <c r="Q4561" s="13">
        <v>45729</v>
      </c>
      <c r="R4561" s="13">
        <v>45752</v>
      </c>
      <c r="S4561">
        <v>2025</v>
      </c>
      <c r="T4561" s="12" t="s">
        <v>5461</v>
      </c>
      <c r="U4561">
        <v>456</v>
      </c>
      <c r="V4561">
        <v>43.574800000000003</v>
      </c>
      <c r="W4561">
        <v>214.71</v>
      </c>
      <c r="X4561">
        <v>0</v>
      </c>
      <c r="Y4561">
        <v>0</v>
      </c>
      <c r="Z4561">
        <v>19870.11</v>
      </c>
      <c r="AA4561">
        <v>20084.82</v>
      </c>
      <c r="AB4561" s="12" t="s">
        <v>3471</v>
      </c>
      <c r="AC4561">
        <v>43.574800000000003</v>
      </c>
      <c r="AD4561">
        <v>1</v>
      </c>
      <c r="AE4561">
        <v>1</v>
      </c>
      <c r="AF4561">
        <v>0</v>
      </c>
      <c r="AG4561">
        <v>19870.11</v>
      </c>
      <c r="AH4561">
        <v>456</v>
      </c>
      <c r="AI4561">
        <v>451</v>
      </c>
      <c r="AJ4561">
        <v>5</v>
      </c>
      <c r="AK4561">
        <v>1</v>
      </c>
      <c r="AL4561">
        <v>1</v>
      </c>
      <c r="AM4561">
        <v>98.9</v>
      </c>
      <c r="AN4561">
        <v>44.533999999999999</v>
      </c>
      <c r="AO4561">
        <v>217.87</v>
      </c>
      <c r="AP4561" s="13">
        <v>45752</v>
      </c>
      <c r="AQ4561">
        <v>0</v>
      </c>
      <c r="AR4561">
        <v>1</v>
      </c>
    </row>
    <row r="4562" spans="1:44" x14ac:dyDescent="0.35">
      <c r="A4562" s="12" t="s">
        <v>5546</v>
      </c>
      <c r="B4562" s="12" t="s">
        <v>458</v>
      </c>
      <c r="C4562" s="12" t="s">
        <v>459</v>
      </c>
      <c r="D4562" s="12" t="s">
        <v>64</v>
      </c>
      <c r="E4562" s="12" t="s">
        <v>104</v>
      </c>
      <c r="F4562">
        <v>2</v>
      </c>
      <c r="G4562">
        <v>0</v>
      </c>
      <c r="H4562">
        <v>0</v>
      </c>
      <c r="I4562" s="12" t="s">
        <v>143</v>
      </c>
      <c r="J4562" s="12" t="s">
        <v>144</v>
      </c>
      <c r="K4562" s="12" t="s">
        <v>133</v>
      </c>
      <c r="L4562" s="12" t="s">
        <v>96</v>
      </c>
      <c r="M4562">
        <v>5.43</v>
      </c>
      <c r="N4562" s="12" t="s">
        <v>97</v>
      </c>
      <c r="O4562" s="12" t="s">
        <v>98</v>
      </c>
      <c r="P4562" s="12" t="s">
        <v>72</v>
      </c>
      <c r="Q4562" s="13">
        <v>45729</v>
      </c>
      <c r="R4562" s="13">
        <v>45746</v>
      </c>
      <c r="S4562">
        <v>2025</v>
      </c>
      <c r="T4562" s="12" t="s">
        <v>5461</v>
      </c>
      <c r="U4562">
        <v>392</v>
      </c>
      <c r="V4562">
        <v>23.3566</v>
      </c>
      <c r="W4562">
        <v>235.02</v>
      </c>
      <c r="X4562">
        <v>0</v>
      </c>
      <c r="Y4562">
        <v>0</v>
      </c>
      <c r="Z4562">
        <v>9155.7900000000009</v>
      </c>
      <c r="AA4562">
        <v>9390.81</v>
      </c>
      <c r="AB4562" s="12" t="s">
        <v>5547</v>
      </c>
      <c r="AC4562">
        <v>23.3566</v>
      </c>
      <c r="AD4562">
        <v>1</v>
      </c>
      <c r="AE4562">
        <v>1</v>
      </c>
      <c r="AF4562">
        <v>0</v>
      </c>
      <c r="AG4562">
        <v>9155.7900000000009</v>
      </c>
      <c r="AH4562">
        <v>392</v>
      </c>
      <c r="AI4562">
        <v>391</v>
      </c>
      <c r="AJ4562">
        <v>1</v>
      </c>
      <c r="AK4562">
        <v>1</v>
      </c>
      <c r="AL4562">
        <v>1</v>
      </c>
      <c r="AM4562">
        <v>99.74</v>
      </c>
      <c r="AN4562">
        <v>24.017399999999999</v>
      </c>
      <c r="AO4562">
        <v>23.36</v>
      </c>
      <c r="AP4562" s="13">
        <v>45743</v>
      </c>
      <c r="AQ4562">
        <v>-3</v>
      </c>
      <c r="AR4562">
        <v>1</v>
      </c>
    </row>
    <row r="4563" spans="1:44" x14ac:dyDescent="0.35">
      <c r="A4563" s="12" t="s">
        <v>5548</v>
      </c>
      <c r="B4563" s="12" t="s">
        <v>221</v>
      </c>
      <c r="C4563" s="12" t="s">
        <v>222</v>
      </c>
      <c r="D4563" s="12" t="s">
        <v>114</v>
      </c>
      <c r="E4563" s="12" t="s">
        <v>142</v>
      </c>
      <c r="F4563">
        <v>3</v>
      </c>
      <c r="G4563">
        <v>11</v>
      </c>
      <c r="H4563">
        <v>0</v>
      </c>
      <c r="I4563" s="12" t="s">
        <v>151</v>
      </c>
      <c r="J4563" s="12" t="s">
        <v>152</v>
      </c>
      <c r="K4563" s="12" t="s">
        <v>125</v>
      </c>
      <c r="L4563" s="12" t="s">
        <v>69</v>
      </c>
      <c r="M4563">
        <v>36.479999999999997</v>
      </c>
      <c r="N4563" s="12" t="s">
        <v>97</v>
      </c>
      <c r="O4563" s="12" t="s">
        <v>98</v>
      </c>
      <c r="P4563" s="12" t="s">
        <v>72</v>
      </c>
      <c r="Q4563" s="13">
        <v>45729</v>
      </c>
      <c r="R4563" s="13">
        <v>45771</v>
      </c>
      <c r="S4563">
        <v>2025</v>
      </c>
      <c r="T4563" s="12" t="s">
        <v>5461</v>
      </c>
      <c r="U4563">
        <v>71</v>
      </c>
      <c r="V4563">
        <v>244.03749999999999</v>
      </c>
      <c r="W4563">
        <v>174.5</v>
      </c>
      <c r="X4563">
        <v>0</v>
      </c>
      <c r="Y4563">
        <v>0</v>
      </c>
      <c r="Z4563">
        <v>17326.66</v>
      </c>
      <c r="AA4563">
        <v>17501.16</v>
      </c>
      <c r="AB4563" s="12" t="s">
        <v>201</v>
      </c>
      <c r="AD4563">
        <v>0</v>
      </c>
      <c r="AE4563">
        <v>0</v>
      </c>
      <c r="AH4563">
        <v>71</v>
      </c>
      <c r="AI4563">
        <v>70</v>
      </c>
      <c r="AJ4563">
        <v>1</v>
      </c>
      <c r="AK4563">
        <v>1</v>
      </c>
      <c r="AL4563">
        <v>1</v>
      </c>
      <c r="AM4563">
        <v>98.59</v>
      </c>
      <c r="AN4563">
        <v>250.01660000000001</v>
      </c>
      <c r="AO4563">
        <v>244.04</v>
      </c>
      <c r="AP4563" s="13">
        <v>45768</v>
      </c>
      <c r="AQ4563">
        <v>-3</v>
      </c>
      <c r="AR4563">
        <v>1</v>
      </c>
    </row>
    <row r="4564" spans="1:44" x14ac:dyDescent="0.35">
      <c r="A4564" s="12" t="s">
        <v>5549</v>
      </c>
      <c r="B4564" s="12" t="s">
        <v>447</v>
      </c>
      <c r="C4564" s="12" t="s">
        <v>448</v>
      </c>
      <c r="D4564" s="12" t="s">
        <v>269</v>
      </c>
      <c r="E4564" s="12" t="s">
        <v>65</v>
      </c>
      <c r="F4564">
        <v>2</v>
      </c>
      <c r="G4564">
        <v>2</v>
      </c>
      <c r="H4564">
        <v>0</v>
      </c>
      <c r="I4564" s="12" t="s">
        <v>176</v>
      </c>
      <c r="J4564" s="12" t="s">
        <v>177</v>
      </c>
      <c r="K4564" s="12" t="s">
        <v>125</v>
      </c>
      <c r="L4564" s="12" t="s">
        <v>134</v>
      </c>
      <c r="M4564">
        <v>1.75</v>
      </c>
      <c r="N4564" s="12" t="s">
        <v>159</v>
      </c>
      <c r="O4564" s="12" t="s">
        <v>160</v>
      </c>
      <c r="P4564" s="12" t="s">
        <v>137</v>
      </c>
      <c r="Q4564" s="13">
        <v>45729</v>
      </c>
      <c r="R4564" s="13">
        <v>45755</v>
      </c>
      <c r="S4564">
        <v>2025</v>
      </c>
      <c r="T4564" s="12" t="s">
        <v>5461</v>
      </c>
      <c r="U4564">
        <v>52</v>
      </c>
      <c r="V4564">
        <v>367.34550000000002</v>
      </c>
      <c r="W4564">
        <v>294.39999999999998</v>
      </c>
      <c r="X4564">
        <v>0</v>
      </c>
      <c r="Y4564">
        <v>0</v>
      </c>
      <c r="Z4564">
        <v>19101.97</v>
      </c>
      <c r="AA4564">
        <v>19396.37</v>
      </c>
      <c r="AB4564" s="12" t="s">
        <v>5550</v>
      </c>
      <c r="AC4564">
        <v>367.34550000000002</v>
      </c>
      <c r="AD4564">
        <v>1</v>
      </c>
      <c r="AE4564">
        <v>1</v>
      </c>
      <c r="AF4564">
        <v>0</v>
      </c>
      <c r="AG4564">
        <v>19101.97</v>
      </c>
      <c r="AH4564">
        <v>52</v>
      </c>
      <c r="AI4564">
        <v>52</v>
      </c>
      <c r="AJ4564">
        <v>0</v>
      </c>
      <c r="AK4564">
        <v>1</v>
      </c>
      <c r="AL4564">
        <v>1</v>
      </c>
      <c r="AM4564">
        <v>100</v>
      </c>
      <c r="AN4564">
        <v>373.00700000000001</v>
      </c>
      <c r="AO4564">
        <v>0</v>
      </c>
      <c r="AP4564" s="13">
        <v>45762</v>
      </c>
      <c r="AQ4564">
        <v>7</v>
      </c>
      <c r="AR4564">
        <v>0</v>
      </c>
    </row>
    <row r="4565" spans="1:44" x14ac:dyDescent="0.35">
      <c r="A4565" s="12" t="s">
        <v>5551</v>
      </c>
      <c r="B4565" s="12" t="s">
        <v>149</v>
      </c>
      <c r="C4565" s="12" t="s">
        <v>150</v>
      </c>
      <c r="D4565" s="12" t="s">
        <v>78</v>
      </c>
      <c r="E4565" s="12" t="s">
        <v>65</v>
      </c>
      <c r="F4565">
        <v>2</v>
      </c>
      <c r="G4565">
        <v>2</v>
      </c>
      <c r="H4565">
        <v>0</v>
      </c>
      <c r="I4565" s="12" t="s">
        <v>169</v>
      </c>
      <c r="J4565" s="12" t="s">
        <v>170</v>
      </c>
      <c r="K4565" s="12" t="s">
        <v>89</v>
      </c>
      <c r="L4565" s="12" t="s">
        <v>134</v>
      </c>
      <c r="M4565">
        <v>1.37</v>
      </c>
      <c r="N4565" s="12" t="s">
        <v>97</v>
      </c>
      <c r="O4565" s="12" t="s">
        <v>98</v>
      </c>
      <c r="P4565" s="12" t="s">
        <v>72</v>
      </c>
      <c r="Q4565" s="13">
        <v>45730</v>
      </c>
      <c r="R4565" s="13">
        <v>45757</v>
      </c>
      <c r="S4565">
        <v>2025</v>
      </c>
      <c r="T4565" s="12" t="s">
        <v>5461</v>
      </c>
      <c r="U4565">
        <v>129</v>
      </c>
      <c r="V4565">
        <v>73.594700000000003</v>
      </c>
      <c r="W4565">
        <v>96.85</v>
      </c>
      <c r="X4565">
        <v>0</v>
      </c>
      <c r="Y4565">
        <v>0</v>
      </c>
      <c r="Z4565">
        <v>9493.7199999999993</v>
      </c>
      <c r="AA4565">
        <v>9590.57</v>
      </c>
      <c r="AB4565" s="12" t="s">
        <v>201</v>
      </c>
      <c r="AD4565">
        <v>0</v>
      </c>
      <c r="AE4565">
        <v>0</v>
      </c>
      <c r="AH4565">
        <v>129</v>
      </c>
      <c r="AI4565">
        <v>128</v>
      </c>
      <c r="AJ4565">
        <v>1</v>
      </c>
      <c r="AK4565">
        <v>1</v>
      </c>
      <c r="AL4565">
        <v>1</v>
      </c>
      <c r="AM4565">
        <v>99.22</v>
      </c>
      <c r="AN4565">
        <v>74.926299999999998</v>
      </c>
      <c r="AO4565">
        <v>73.59</v>
      </c>
      <c r="AP4565" s="13">
        <v>45754</v>
      </c>
      <c r="AQ4565">
        <v>-3</v>
      </c>
      <c r="AR4565">
        <v>1</v>
      </c>
    </row>
    <row r="4566" spans="1:44" x14ac:dyDescent="0.35">
      <c r="A4566" s="12" t="s">
        <v>5552</v>
      </c>
      <c r="B4566" s="12" t="s">
        <v>630</v>
      </c>
      <c r="C4566" s="12" t="s">
        <v>631</v>
      </c>
      <c r="D4566" s="12" t="s">
        <v>130</v>
      </c>
      <c r="E4566" s="12" t="s">
        <v>65</v>
      </c>
      <c r="F4566">
        <v>1</v>
      </c>
      <c r="G4566">
        <v>2</v>
      </c>
      <c r="H4566">
        <v>1</v>
      </c>
      <c r="I4566" s="12" t="s">
        <v>335</v>
      </c>
      <c r="J4566" s="12" t="s">
        <v>336</v>
      </c>
      <c r="K4566" s="12" t="s">
        <v>89</v>
      </c>
      <c r="L4566" s="12" t="s">
        <v>82</v>
      </c>
      <c r="M4566">
        <v>16</v>
      </c>
      <c r="N4566" s="12" t="s">
        <v>135</v>
      </c>
      <c r="O4566" s="12" t="s">
        <v>136</v>
      </c>
      <c r="P4566" s="12" t="s">
        <v>137</v>
      </c>
      <c r="Q4566" s="13">
        <v>45730</v>
      </c>
      <c r="R4566" s="13">
        <v>45752</v>
      </c>
      <c r="S4566">
        <v>2025</v>
      </c>
      <c r="T4566" s="12" t="s">
        <v>5461</v>
      </c>
      <c r="U4566">
        <v>24</v>
      </c>
      <c r="V4566">
        <v>444.29629999999997</v>
      </c>
      <c r="W4566">
        <v>245.09</v>
      </c>
      <c r="X4566">
        <v>0</v>
      </c>
      <c r="Y4566">
        <v>0</v>
      </c>
      <c r="Z4566">
        <v>10663.11</v>
      </c>
      <c r="AA4566">
        <v>10908.2</v>
      </c>
      <c r="AB4566" s="12" t="s">
        <v>5553</v>
      </c>
      <c r="AC4566">
        <v>444.29629999999997</v>
      </c>
      <c r="AD4566">
        <v>1</v>
      </c>
      <c r="AE4566">
        <v>1</v>
      </c>
      <c r="AF4566">
        <v>0</v>
      </c>
      <c r="AG4566">
        <v>10663.11</v>
      </c>
      <c r="AH4566">
        <v>24</v>
      </c>
      <c r="AI4566">
        <v>24</v>
      </c>
      <c r="AJ4566">
        <v>0</v>
      </c>
      <c r="AK4566">
        <v>1</v>
      </c>
      <c r="AL4566">
        <v>1</v>
      </c>
      <c r="AM4566">
        <v>100</v>
      </c>
      <c r="AN4566">
        <v>454.50839999999999</v>
      </c>
      <c r="AO4566">
        <v>0</v>
      </c>
      <c r="AP4566" s="13">
        <v>45750</v>
      </c>
      <c r="AQ4566">
        <v>-2</v>
      </c>
      <c r="AR4566">
        <v>1</v>
      </c>
    </row>
    <row r="4567" spans="1:44" x14ac:dyDescent="0.35">
      <c r="A4567" s="12" t="s">
        <v>5554</v>
      </c>
      <c r="B4567" s="12" t="s">
        <v>613</v>
      </c>
      <c r="C4567" s="12" t="s">
        <v>614</v>
      </c>
      <c r="D4567" s="12" t="s">
        <v>130</v>
      </c>
      <c r="E4567" s="12" t="s">
        <v>104</v>
      </c>
      <c r="F4567">
        <v>3</v>
      </c>
      <c r="G4567">
        <v>1</v>
      </c>
      <c r="H4567">
        <v>0</v>
      </c>
      <c r="I4567" s="12" t="s">
        <v>66</v>
      </c>
      <c r="J4567" s="12" t="s">
        <v>67</v>
      </c>
      <c r="K4567" s="12" t="s">
        <v>68</v>
      </c>
      <c r="L4567" s="12" t="s">
        <v>69</v>
      </c>
      <c r="M4567">
        <v>17.66</v>
      </c>
      <c r="N4567" s="12" t="s">
        <v>159</v>
      </c>
      <c r="O4567" s="12" t="s">
        <v>160</v>
      </c>
      <c r="P4567" s="12" t="s">
        <v>137</v>
      </c>
      <c r="Q4567" s="13">
        <v>45730</v>
      </c>
      <c r="R4567" s="13">
        <v>45758</v>
      </c>
      <c r="S4567">
        <v>2025</v>
      </c>
      <c r="T4567" s="12" t="s">
        <v>5461</v>
      </c>
      <c r="U4567">
        <v>134</v>
      </c>
      <c r="V4567">
        <v>154.3064</v>
      </c>
      <c r="W4567">
        <v>340.94</v>
      </c>
      <c r="X4567">
        <v>0</v>
      </c>
      <c r="Y4567">
        <v>0</v>
      </c>
      <c r="Z4567">
        <v>20677.060000000001</v>
      </c>
      <c r="AA4567">
        <v>21018</v>
      </c>
      <c r="AB4567" s="12" t="s">
        <v>5538</v>
      </c>
      <c r="AC4567">
        <v>154.3064</v>
      </c>
      <c r="AD4567">
        <v>1</v>
      </c>
      <c r="AE4567">
        <v>1</v>
      </c>
      <c r="AF4567">
        <v>0</v>
      </c>
      <c r="AG4567">
        <v>20677.060000000001</v>
      </c>
      <c r="AH4567">
        <v>134</v>
      </c>
      <c r="AI4567">
        <v>132</v>
      </c>
      <c r="AJ4567">
        <v>2</v>
      </c>
      <c r="AK4567">
        <v>1</v>
      </c>
      <c r="AL4567">
        <v>1</v>
      </c>
      <c r="AM4567">
        <v>98.51</v>
      </c>
      <c r="AN4567">
        <v>159.22730000000001</v>
      </c>
      <c r="AO4567">
        <v>308.61</v>
      </c>
      <c r="AP4567" s="13">
        <v>45758</v>
      </c>
      <c r="AQ4567">
        <v>0</v>
      </c>
      <c r="AR4567">
        <v>1</v>
      </c>
    </row>
    <row r="4568" spans="1:44" x14ac:dyDescent="0.35">
      <c r="A4568" s="12" t="s">
        <v>5555</v>
      </c>
      <c r="B4568" s="12" t="s">
        <v>62</v>
      </c>
      <c r="C4568" s="12" t="s">
        <v>63</v>
      </c>
      <c r="D4568" s="12" t="s">
        <v>64</v>
      </c>
      <c r="E4568" s="12" t="s">
        <v>65</v>
      </c>
      <c r="F4568">
        <v>1</v>
      </c>
      <c r="G4568">
        <v>2</v>
      </c>
      <c r="H4568">
        <v>1</v>
      </c>
      <c r="I4568" s="12" t="s">
        <v>66</v>
      </c>
      <c r="J4568" s="12" t="s">
        <v>67</v>
      </c>
      <c r="K4568" s="12" t="s">
        <v>68</v>
      </c>
      <c r="L4568" s="12" t="s">
        <v>69</v>
      </c>
      <c r="M4568">
        <v>17.66</v>
      </c>
      <c r="N4568" s="12" t="s">
        <v>70</v>
      </c>
      <c r="O4568" s="12" t="s">
        <v>71</v>
      </c>
      <c r="P4568" s="12" t="s">
        <v>72</v>
      </c>
      <c r="Q4568" s="13">
        <v>45730</v>
      </c>
      <c r="R4568" s="13">
        <v>45759</v>
      </c>
      <c r="S4568">
        <v>2025</v>
      </c>
      <c r="T4568" s="12" t="s">
        <v>5461</v>
      </c>
      <c r="U4568">
        <v>515</v>
      </c>
      <c r="V4568">
        <v>26.023900000000001</v>
      </c>
      <c r="W4568">
        <v>143.97999999999999</v>
      </c>
      <c r="X4568">
        <v>0</v>
      </c>
      <c r="Y4568">
        <v>0</v>
      </c>
      <c r="Z4568">
        <v>13402.31</v>
      </c>
      <c r="AA4568">
        <v>13546.29</v>
      </c>
      <c r="AB4568" s="12" t="s">
        <v>201</v>
      </c>
      <c r="AD4568">
        <v>0</v>
      </c>
      <c r="AE4568">
        <v>0</v>
      </c>
      <c r="AH4568">
        <v>515</v>
      </c>
      <c r="AI4568">
        <v>513</v>
      </c>
      <c r="AJ4568">
        <v>2</v>
      </c>
      <c r="AK4568">
        <v>1</v>
      </c>
      <c r="AL4568">
        <v>1</v>
      </c>
      <c r="AM4568">
        <v>99.61</v>
      </c>
      <c r="AN4568">
        <v>26.405999999999999</v>
      </c>
      <c r="AO4568">
        <v>52.05</v>
      </c>
      <c r="AP4568" s="13">
        <v>45762</v>
      </c>
      <c r="AQ4568">
        <v>3</v>
      </c>
      <c r="AR4568">
        <v>0</v>
      </c>
    </row>
    <row r="4569" spans="1:44" x14ac:dyDescent="0.35">
      <c r="A4569" s="12" t="s">
        <v>5556</v>
      </c>
      <c r="B4569" s="12" t="s">
        <v>621</v>
      </c>
      <c r="C4569" s="12" t="s">
        <v>622</v>
      </c>
      <c r="D4569" s="12" t="s">
        <v>103</v>
      </c>
      <c r="E4569" s="12" t="s">
        <v>65</v>
      </c>
      <c r="F4569">
        <v>1</v>
      </c>
      <c r="G4569">
        <v>2</v>
      </c>
      <c r="H4569">
        <v>1</v>
      </c>
      <c r="I4569" s="12" t="s">
        <v>486</v>
      </c>
      <c r="J4569" s="12" t="s">
        <v>487</v>
      </c>
      <c r="K4569" s="12" t="s">
        <v>125</v>
      </c>
      <c r="L4569" s="12" t="s">
        <v>69</v>
      </c>
      <c r="M4569">
        <v>36.86</v>
      </c>
      <c r="N4569" s="12" t="s">
        <v>107</v>
      </c>
      <c r="O4569" s="12" t="s">
        <v>108</v>
      </c>
      <c r="P4569" s="12" t="s">
        <v>109</v>
      </c>
      <c r="Q4569" s="13">
        <v>45730</v>
      </c>
      <c r="R4569" s="13">
        <v>45764</v>
      </c>
      <c r="S4569">
        <v>2025</v>
      </c>
      <c r="T4569" s="12" t="s">
        <v>5461</v>
      </c>
      <c r="U4569">
        <v>115</v>
      </c>
      <c r="V4569">
        <v>200.7516</v>
      </c>
      <c r="W4569">
        <v>158.68</v>
      </c>
      <c r="X4569">
        <v>0</v>
      </c>
      <c r="Y4569">
        <v>0</v>
      </c>
      <c r="Z4569">
        <v>23086.43</v>
      </c>
      <c r="AA4569">
        <v>23245.11</v>
      </c>
      <c r="AB4569" s="12" t="s">
        <v>5123</v>
      </c>
      <c r="AC4569">
        <v>200.7516</v>
      </c>
      <c r="AD4569">
        <v>1</v>
      </c>
      <c r="AE4569">
        <v>1</v>
      </c>
      <c r="AF4569">
        <v>0</v>
      </c>
      <c r="AG4569">
        <v>23086.43</v>
      </c>
      <c r="AH4569">
        <v>115</v>
      </c>
      <c r="AI4569">
        <v>113</v>
      </c>
      <c r="AJ4569">
        <v>2</v>
      </c>
      <c r="AK4569">
        <v>1</v>
      </c>
      <c r="AL4569">
        <v>1</v>
      </c>
      <c r="AM4569">
        <v>98.26</v>
      </c>
      <c r="AN4569">
        <v>205.709</v>
      </c>
      <c r="AO4569">
        <v>401.5</v>
      </c>
      <c r="AP4569" s="13">
        <v>45768</v>
      </c>
      <c r="AQ4569">
        <v>4</v>
      </c>
      <c r="AR4569">
        <v>0</v>
      </c>
    </row>
    <row r="4570" spans="1:44" x14ac:dyDescent="0.35">
      <c r="A4570" s="12" t="s">
        <v>5557</v>
      </c>
      <c r="B4570" s="12" t="s">
        <v>193</v>
      </c>
      <c r="C4570" s="12" t="s">
        <v>194</v>
      </c>
      <c r="D4570" s="12" t="s">
        <v>114</v>
      </c>
      <c r="E4570" s="12" t="s">
        <v>65</v>
      </c>
      <c r="F4570">
        <v>3</v>
      </c>
      <c r="G4570">
        <v>4</v>
      </c>
      <c r="H4570">
        <v>0</v>
      </c>
      <c r="I4570" s="12" t="s">
        <v>195</v>
      </c>
      <c r="J4570" s="12" t="s">
        <v>196</v>
      </c>
      <c r="K4570" s="12" t="s">
        <v>117</v>
      </c>
      <c r="L4570" s="12" t="s">
        <v>134</v>
      </c>
      <c r="M4570">
        <v>4.7699999999999996</v>
      </c>
      <c r="N4570" s="12" t="s">
        <v>70</v>
      </c>
      <c r="O4570" s="12" t="s">
        <v>71</v>
      </c>
      <c r="P4570" s="12" t="s">
        <v>72</v>
      </c>
      <c r="Q4570" s="13">
        <v>45730</v>
      </c>
      <c r="R4570" s="13">
        <v>45759</v>
      </c>
      <c r="S4570">
        <v>2025</v>
      </c>
      <c r="T4570" s="12" t="s">
        <v>5461</v>
      </c>
      <c r="U4570">
        <v>75</v>
      </c>
      <c r="V4570">
        <v>104.5202</v>
      </c>
      <c r="W4570">
        <v>188.16</v>
      </c>
      <c r="X4570">
        <v>0</v>
      </c>
      <c r="Y4570">
        <v>0</v>
      </c>
      <c r="Z4570">
        <v>7839.02</v>
      </c>
      <c r="AA4570">
        <v>8027.18</v>
      </c>
      <c r="AB4570" s="12" t="s">
        <v>5258</v>
      </c>
      <c r="AC4570">
        <v>104.5202</v>
      </c>
      <c r="AD4570">
        <v>1</v>
      </c>
      <c r="AE4570">
        <v>1</v>
      </c>
      <c r="AF4570">
        <v>0</v>
      </c>
      <c r="AG4570">
        <v>7839.02</v>
      </c>
      <c r="AH4570">
        <v>75</v>
      </c>
      <c r="AI4570">
        <v>75</v>
      </c>
      <c r="AJ4570">
        <v>0</v>
      </c>
      <c r="AK4570">
        <v>1</v>
      </c>
      <c r="AL4570">
        <v>1</v>
      </c>
      <c r="AM4570">
        <v>100</v>
      </c>
      <c r="AN4570">
        <v>107.029</v>
      </c>
      <c r="AO4570">
        <v>0</v>
      </c>
      <c r="AP4570" s="13">
        <v>45759</v>
      </c>
      <c r="AQ4570">
        <v>0</v>
      </c>
      <c r="AR4570">
        <v>1</v>
      </c>
    </row>
    <row r="4571" spans="1:44" x14ac:dyDescent="0.35">
      <c r="A4571" s="12" t="s">
        <v>5558</v>
      </c>
      <c r="B4571" s="12" t="s">
        <v>1042</v>
      </c>
      <c r="C4571" s="12" t="s">
        <v>1043</v>
      </c>
      <c r="D4571" s="12" t="s">
        <v>269</v>
      </c>
      <c r="E4571" s="12" t="s">
        <v>104</v>
      </c>
      <c r="F4571">
        <v>2</v>
      </c>
      <c r="G4571">
        <v>0</v>
      </c>
      <c r="H4571">
        <v>0</v>
      </c>
      <c r="I4571" s="12" t="s">
        <v>199</v>
      </c>
      <c r="J4571" s="12" t="s">
        <v>200</v>
      </c>
      <c r="K4571" s="12" t="s">
        <v>68</v>
      </c>
      <c r="L4571" s="12" t="s">
        <v>96</v>
      </c>
      <c r="M4571">
        <v>9.4700000000000006</v>
      </c>
      <c r="N4571" s="12" t="s">
        <v>159</v>
      </c>
      <c r="O4571" s="12" t="s">
        <v>160</v>
      </c>
      <c r="P4571" s="12" t="s">
        <v>137</v>
      </c>
      <c r="Q4571" s="13">
        <v>45730</v>
      </c>
      <c r="R4571" s="13">
        <v>45746</v>
      </c>
      <c r="S4571">
        <v>2025</v>
      </c>
      <c r="T4571" s="12" t="s">
        <v>5461</v>
      </c>
      <c r="U4571">
        <v>43</v>
      </c>
      <c r="V4571">
        <v>290.43689999999998</v>
      </c>
      <c r="W4571">
        <v>320.54000000000002</v>
      </c>
      <c r="X4571">
        <v>0</v>
      </c>
      <c r="Y4571">
        <v>0</v>
      </c>
      <c r="Z4571">
        <v>12488.79</v>
      </c>
      <c r="AA4571">
        <v>12809.33</v>
      </c>
      <c r="AB4571" s="12" t="s">
        <v>4127</v>
      </c>
      <c r="AC4571">
        <v>290.43689999999998</v>
      </c>
      <c r="AD4571">
        <v>1</v>
      </c>
      <c r="AE4571">
        <v>1</v>
      </c>
      <c r="AF4571">
        <v>0</v>
      </c>
      <c r="AG4571">
        <v>12488.79</v>
      </c>
      <c r="AH4571">
        <v>43</v>
      </c>
      <c r="AI4571">
        <v>43</v>
      </c>
      <c r="AJ4571">
        <v>0</v>
      </c>
      <c r="AK4571">
        <v>1</v>
      </c>
      <c r="AL4571">
        <v>1</v>
      </c>
      <c r="AM4571">
        <v>100</v>
      </c>
      <c r="AN4571">
        <v>297.8913</v>
      </c>
      <c r="AO4571">
        <v>0</v>
      </c>
      <c r="AP4571" s="13">
        <v>45745</v>
      </c>
      <c r="AQ4571">
        <v>-1</v>
      </c>
      <c r="AR4571">
        <v>1</v>
      </c>
    </row>
    <row r="4572" spans="1:44" x14ac:dyDescent="0.35">
      <c r="A4572" s="12" t="s">
        <v>5559</v>
      </c>
      <c r="B4572" s="12" t="s">
        <v>85</v>
      </c>
      <c r="C4572" s="12" t="s">
        <v>86</v>
      </c>
      <c r="D4572" s="12" t="s">
        <v>78</v>
      </c>
      <c r="E4572" s="12" t="s">
        <v>65</v>
      </c>
      <c r="F4572">
        <v>3</v>
      </c>
      <c r="G4572">
        <v>5</v>
      </c>
      <c r="H4572">
        <v>0</v>
      </c>
      <c r="I4572" s="12" t="s">
        <v>87</v>
      </c>
      <c r="J4572" s="12" t="s">
        <v>88</v>
      </c>
      <c r="K4572" s="12" t="s">
        <v>89</v>
      </c>
      <c r="L4572" s="12" t="s">
        <v>69</v>
      </c>
      <c r="M4572">
        <v>14.93</v>
      </c>
      <c r="N4572" s="12" t="s">
        <v>97</v>
      </c>
      <c r="O4572" s="12" t="s">
        <v>98</v>
      </c>
      <c r="P4572" s="12" t="s">
        <v>72</v>
      </c>
      <c r="Q4572" s="13">
        <v>45730</v>
      </c>
      <c r="R4572" s="13">
        <v>45754</v>
      </c>
      <c r="S4572">
        <v>2025</v>
      </c>
      <c r="T4572" s="12" t="s">
        <v>5461</v>
      </c>
      <c r="U4572">
        <v>93</v>
      </c>
      <c r="V4572">
        <v>139.54810000000001</v>
      </c>
      <c r="W4572">
        <v>84.98</v>
      </c>
      <c r="X4572">
        <v>0</v>
      </c>
      <c r="Y4572">
        <v>0</v>
      </c>
      <c r="Z4572">
        <v>12977.97</v>
      </c>
      <c r="AA4572">
        <v>13062.95</v>
      </c>
      <c r="AB4572" s="12" t="s">
        <v>5445</v>
      </c>
      <c r="AC4572">
        <v>132.05160000000001</v>
      </c>
      <c r="AD4572">
        <v>1</v>
      </c>
      <c r="AE4572">
        <v>1</v>
      </c>
      <c r="AF4572">
        <v>697.17</v>
      </c>
      <c r="AG4572">
        <v>12280.8</v>
      </c>
      <c r="AH4572">
        <v>93</v>
      </c>
      <c r="AI4572">
        <v>92</v>
      </c>
      <c r="AJ4572">
        <v>1</v>
      </c>
      <c r="AK4572">
        <v>1</v>
      </c>
      <c r="AL4572">
        <v>1</v>
      </c>
      <c r="AM4572">
        <v>98.92</v>
      </c>
      <c r="AN4572">
        <v>141.98859999999999</v>
      </c>
      <c r="AO4572">
        <v>139.55000000000001</v>
      </c>
      <c r="AP4572" s="13">
        <v>45752</v>
      </c>
      <c r="AQ4572">
        <v>-2</v>
      </c>
      <c r="AR4572">
        <v>1</v>
      </c>
    </row>
    <row r="4573" spans="1:44" x14ac:dyDescent="0.35">
      <c r="A4573" s="12" t="s">
        <v>5560</v>
      </c>
      <c r="B4573" s="12" t="s">
        <v>602</v>
      </c>
      <c r="C4573" s="12" t="s">
        <v>603</v>
      </c>
      <c r="D4573" s="12" t="s">
        <v>114</v>
      </c>
      <c r="E4573" s="12" t="s">
        <v>142</v>
      </c>
      <c r="F4573">
        <v>2</v>
      </c>
      <c r="G4573">
        <v>10</v>
      </c>
      <c r="H4573">
        <v>0</v>
      </c>
      <c r="I4573" s="12" t="s">
        <v>263</v>
      </c>
      <c r="J4573" s="12" t="s">
        <v>264</v>
      </c>
      <c r="K4573" s="12" t="s">
        <v>125</v>
      </c>
      <c r="L4573" s="12" t="s">
        <v>82</v>
      </c>
      <c r="M4573">
        <v>10.210000000000001</v>
      </c>
      <c r="N4573" s="12" t="s">
        <v>97</v>
      </c>
      <c r="O4573" s="12" t="s">
        <v>98</v>
      </c>
      <c r="P4573" s="12" t="s">
        <v>72</v>
      </c>
      <c r="Q4573" s="13">
        <v>45730</v>
      </c>
      <c r="R4573" s="13">
        <v>45769</v>
      </c>
      <c r="S4573">
        <v>2025</v>
      </c>
      <c r="T4573" s="12" t="s">
        <v>5461</v>
      </c>
      <c r="U4573">
        <v>41</v>
      </c>
      <c r="V4573">
        <v>207.9658</v>
      </c>
      <c r="W4573">
        <v>158.54</v>
      </c>
      <c r="X4573">
        <v>0</v>
      </c>
      <c r="Y4573">
        <v>0</v>
      </c>
      <c r="Z4573">
        <v>8526.6</v>
      </c>
      <c r="AA4573">
        <v>8685.14</v>
      </c>
      <c r="AB4573" s="12" t="s">
        <v>5373</v>
      </c>
      <c r="AC4573">
        <v>207.9658</v>
      </c>
      <c r="AD4573">
        <v>1</v>
      </c>
      <c r="AE4573">
        <v>1</v>
      </c>
      <c r="AF4573">
        <v>0</v>
      </c>
      <c r="AG4573">
        <v>8526.6</v>
      </c>
      <c r="AH4573">
        <v>41</v>
      </c>
      <c r="AI4573">
        <v>41</v>
      </c>
      <c r="AJ4573">
        <v>0</v>
      </c>
      <c r="AK4573">
        <v>1</v>
      </c>
      <c r="AL4573">
        <v>1</v>
      </c>
      <c r="AM4573">
        <v>100</v>
      </c>
      <c r="AN4573">
        <v>211.83260000000001</v>
      </c>
      <c r="AO4573">
        <v>0</v>
      </c>
      <c r="AP4573" s="13">
        <v>45772</v>
      </c>
      <c r="AQ4573">
        <v>3</v>
      </c>
      <c r="AR4573">
        <v>0</v>
      </c>
    </row>
    <row r="4574" spans="1:44" x14ac:dyDescent="0.35">
      <c r="A4574" s="12" t="s">
        <v>5561</v>
      </c>
      <c r="B4574" s="12" t="s">
        <v>317</v>
      </c>
      <c r="C4574" s="12" t="s">
        <v>318</v>
      </c>
      <c r="D4574" s="12" t="s">
        <v>64</v>
      </c>
      <c r="E4574" s="12" t="s">
        <v>104</v>
      </c>
      <c r="F4574">
        <v>2</v>
      </c>
      <c r="G4574">
        <v>0</v>
      </c>
      <c r="H4574">
        <v>0</v>
      </c>
      <c r="I4574" s="12" t="s">
        <v>169</v>
      </c>
      <c r="J4574" s="12" t="s">
        <v>170</v>
      </c>
      <c r="K4574" s="12" t="s">
        <v>89</v>
      </c>
      <c r="L4574" s="12" t="s">
        <v>134</v>
      </c>
      <c r="M4574">
        <v>1.37</v>
      </c>
      <c r="N4574" s="12" t="s">
        <v>97</v>
      </c>
      <c r="O4574" s="12" t="s">
        <v>98</v>
      </c>
      <c r="P4574" s="12" t="s">
        <v>72</v>
      </c>
      <c r="Q4574" s="13">
        <v>45733</v>
      </c>
      <c r="R4574" s="13">
        <v>45760</v>
      </c>
      <c r="S4574">
        <v>2025</v>
      </c>
      <c r="T4574" s="12" t="s">
        <v>5461</v>
      </c>
      <c r="U4574">
        <v>879</v>
      </c>
      <c r="V4574">
        <v>15.823399999999999</v>
      </c>
      <c r="W4574">
        <v>339.48</v>
      </c>
      <c r="X4574">
        <v>0</v>
      </c>
      <c r="Y4574">
        <v>0</v>
      </c>
      <c r="Z4574">
        <v>13908.77</v>
      </c>
      <c r="AA4574">
        <v>14248.25</v>
      </c>
      <c r="AB4574" s="12" t="s">
        <v>5518</v>
      </c>
      <c r="AC4574">
        <v>15.823399999999999</v>
      </c>
      <c r="AD4574">
        <v>1</v>
      </c>
      <c r="AE4574">
        <v>1</v>
      </c>
      <c r="AF4574">
        <v>0</v>
      </c>
      <c r="AG4574">
        <v>13908.77</v>
      </c>
      <c r="AH4574">
        <v>879</v>
      </c>
      <c r="AI4574">
        <v>868</v>
      </c>
      <c r="AJ4574">
        <v>11</v>
      </c>
      <c r="AK4574">
        <v>1</v>
      </c>
      <c r="AL4574">
        <v>1</v>
      </c>
      <c r="AM4574">
        <v>98.75</v>
      </c>
      <c r="AN4574">
        <v>16.414999999999999</v>
      </c>
      <c r="AO4574">
        <v>174.06</v>
      </c>
      <c r="AP4574" s="13">
        <v>45760</v>
      </c>
      <c r="AQ4574">
        <v>0</v>
      </c>
      <c r="AR4574">
        <v>1</v>
      </c>
    </row>
    <row r="4575" spans="1:44" x14ac:dyDescent="0.35">
      <c r="A4575" s="12" t="s">
        <v>5562</v>
      </c>
      <c r="B4575" s="12" t="s">
        <v>101</v>
      </c>
      <c r="C4575" s="12" t="s">
        <v>102</v>
      </c>
      <c r="D4575" s="12" t="s">
        <v>103</v>
      </c>
      <c r="E4575" s="12" t="s">
        <v>104</v>
      </c>
      <c r="F4575">
        <v>1</v>
      </c>
      <c r="G4575">
        <v>0</v>
      </c>
      <c r="H4575">
        <v>1</v>
      </c>
      <c r="I4575" s="12" t="s">
        <v>105</v>
      </c>
      <c r="J4575" s="12" t="s">
        <v>106</v>
      </c>
      <c r="K4575" s="12" t="s">
        <v>81</v>
      </c>
      <c r="L4575" s="12" t="s">
        <v>96</v>
      </c>
      <c r="M4575">
        <v>5.01</v>
      </c>
      <c r="N4575" s="12" t="s">
        <v>145</v>
      </c>
      <c r="O4575" s="12" t="s">
        <v>146</v>
      </c>
      <c r="P4575" s="12" t="s">
        <v>109</v>
      </c>
      <c r="Q4575" s="13">
        <v>45733</v>
      </c>
      <c r="R4575" s="13">
        <v>45752</v>
      </c>
      <c r="S4575">
        <v>2025</v>
      </c>
      <c r="T4575" s="12" t="s">
        <v>5461</v>
      </c>
      <c r="U4575">
        <v>65</v>
      </c>
      <c r="V4575">
        <v>203.18520000000001</v>
      </c>
      <c r="W4575">
        <v>284.99</v>
      </c>
      <c r="X4575">
        <v>0</v>
      </c>
      <c r="Y4575">
        <v>0</v>
      </c>
      <c r="Z4575">
        <v>13207.04</v>
      </c>
      <c r="AA4575">
        <v>13492.03</v>
      </c>
      <c r="AB4575" s="12" t="s">
        <v>5173</v>
      </c>
      <c r="AC4575">
        <v>203.18520000000001</v>
      </c>
      <c r="AD4575">
        <v>1</v>
      </c>
      <c r="AE4575">
        <v>1</v>
      </c>
      <c r="AF4575">
        <v>0</v>
      </c>
      <c r="AG4575">
        <v>13207.04</v>
      </c>
      <c r="AH4575">
        <v>65</v>
      </c>
      <c r="AI4575">
        <v>64</v>
      </c>
      <c r="AJ4575">
        <v>1</v>
      </c>
      <c r="AK4575">
        <v>1</v>
      </c>
      <c r="AL4575">
        <v>1</v>
      </c>
      <c r="AM4575">
        <v>98.46</v>
      </c>
      <c r="AN4575">
        <v>210.81290000000001</v>
      </c>
      <c r="AO4575">
        <v>203.19</v>
      </c>
      <c r="AP4575" s="13">
        <v>45751</v>
      </c>
      <c r="AQ4575">
        <v>-1</v>
      </c>
      <c r="AR4575">
        <v>1</v>
      </c>
    </row>
    <row r="4576" spans="1:44" x14ac:dyDescent="0.35">
      <c r="A4576" s="12" t="s">
        <v>5563</v>
      </c>
      <c r="B4576" s="12" t="s">
        <v>1108</v>
      </c>
      <c r="C4576" s="12" t="s">
        <v>1109</v>
      </c>
      <c r="D4576" s="12" t="s">
        <v>103</v>
      </c>
      <c r="E4576" s="12" t="s">
        <v>65</v>
      </c>
      <c r="F4576">
        <v>3</v>
      </c>
      <c r="G4576">
        <v>4</v>
      </c>
      <c r="H4576">
        <v>0</v>
      </c>
      <c r="I4576" s="12" t="s">
        <v>79</v>
      </c>
      <c r="J4576" s="12" t="s">
        <v>80</v>
      </c>
      <c r="K4576" s="12" t="s">
        <v>81</v>
      </c>
      <c r="L4576" s="12" t="s">
        <v>82</v>
      </c>
      <c r="M4576">
        <v>12.07</v>
      </c>
      <c r="N4576" s="12" t="s">
        <v>107</v>
      </c>
      <c r="O4576" s="12" t="s">
        <v>108</v>
      </c>
      <c r="P4576" s="12" t="s">
        <v>109</v>
      </c>
      <c r="Q4576" s="13">
        <v>45733</v>
      </c>
      <c r="R4576" s="13">
        <v>45763</v>
      </c>
      <c r="S4576">
        <v>2025</v>
      </c>
      <c r="T4576" s="12" t="s">
        <v>5461</v>
      </c>
      <c r="U4576">
        <v>83</v>
      </c>
      <c r="V4576">
        <v>85.889600000000002</v>
      </c>
      <c r="W4576">
        <v>125.49</v>
      </c>
      <c r="X4576">
        <v>0</v>
      </c>
      <c r="Y4576">
        <v>0</v>
      </c>
      <c r="Z4576">
        <v>7128.84</v>
      </c>
      <c r="AA4576">
        <v>7254.33</v>
      </c>
      <c r="AB4576" s="12" t="s">
        <v>3269</v>
      </c>
      <c r="AC4576">
        <v>85.889600000000002</v>
      </c>
      <c r="AD4576">
        <v>1</v>
      </c>
      <c r="AE4576">
        <v>1</v>
      </c>
      <c r="AF4576">
        <v>0</v>
      </c>
      <c r="AG4576">
        <v>7128.84</v>
      </c>
      <c r="AH4576">
        <v>83</v>
      </c>
      <c r="AI4576">
        <v>82</v>
      </c>
      <c r="AJ4576">
        <v>1</v>
      </c>
      <c r="AK4576">
        <v>1</v>
      </c>
      <c r="AL4576">
        <v>1</v>
      </c>
      <c r="AM4576">
        <v>98.8</v>
      </c>
      <c r="AN4576">
        <v>88.467399999999998</v>
      </c>
      <c r="AO4576">
        <v>85.89</v>
      </c>
      <c r="AP4576" s="13">
        <v>45769</v>
      </c>
      <c r="AQ4576">
        <v>6</v>
      </c>
      <c r="AR4576">
        <v>0</v>
      </c>
    </row>
    <row r="4577" spans="1:44" x14ac:dyDescent="0.35">
      <c r="A4577" s="12" t="s">
        <v>5564</v>
      </c>
      <c r="B4577" s="12" t="s">
        <v>76</v>
      </c>
      <c r="C4577" s="12" t="s">
        <v>77</v>
      </c>
      <c r="D4577" s="12" t="s">
        <v>78</v>
      </c>
      <c r="E4577" s="12" t="s">
        <v>65</v>
      </c>
      <c r="F4577">
        <v>2</v>
      </c>
      <c r="G4577">
        <v>4</v>
      </c>
      <c r="H4577">
        <v>0</v>
      </c>
      <c r="I4577" s="12" t="s">
        <v>79</v>
      </c>
      <c r="J4577" s="12" t="s">
        <v>80</v>
      </c>
      <c r="K4577" s="12" t="s">
        <v>81</v>
      </c>
      <c r="L4577" s="12" t="s">
        <v>82</v>
      </c>
      <c r="M4577">
        <v>12.07</v>
      </c>
      <c r="N4577" s="12" t="s">
        <v>70</v>
      </c>
      <c r="O4577" s="12" t="s">
        <v>71</v>
      </c>
      <c r="P4577" s="12" t="s">
        <v>72</v>
      </c>
      <c r="Q4577" s="13">
        <v>45733</v>
      </c>
      <c r="R4577" s="13">
        <v>45755</v>
      </c>
      <c r="S4577">
        <v>2025</v>
      </c>
      <c r="T4577" s="12" t="s">
        <v>5461</v>
      </c>
      <c r="U4577">
        <v>59</v>
      </c>
      <c r="V4577">
        <v>44.0946</v>
      </c>
      <c r="W4577">
        <v>31.77</v>
      </c>
      <c r="X4577">
        <v>0</v>
      </c>
      <c r="Y4577">
        <v>0</v>
      </c>
      <c r="Z4577">
        <v>2601.58</v>
      </c>
      <c r="AA4577">
        <v>2633.35</v>
      </c>
      <c r="AB4577" s="12" t="s">
        <v>5427</v>
      </c>
      <c r="AC4577">
        <v>44.0946</v>
      </c>
      <c r="AD4577">
        <v>1</v>
      </c>
      <c r="AE4577">
        <v>1</v>
      </c>
      <c r="AF4577">
        <v>0</v>
      </c>
      <c r="AG4577">
        <v>2601.58</v>
      </c>
      <c r="AH4577">
        <v>59</v>
      </c>
      <c r="AI4577">
        <v>58</v>
      </c>
      <c r="AJ4577">
        <v>1</v>
      </c>
      <c r="AK4577">
        <v>1</v>
      </c>
      <c r="AL4577">
        <v>1</v>
      </c>
      <c r="AM4577">
        <v>98.31</v>
      </c>
      <c r="AN4577">
        <v>45.4026</v>
      </c>
      <c r="AO4577">
        <v>44.09</v>
      </c>
      <c r="AP4577" s="13">
        <v>45753</v>
      </c>
      <c r="AQ4577">
        <v>-2</v>
      </c>
      <c r="AR4577">
        <v>1</v>
      </c>
    </row>
    <row r="4578" spans="1:44" x14ac:dyDescent="0.35">
      <c r="A4578" s="12" t="s">
        <v>5565</v>
      </c>
      <c r="B4578" s="12" t="s">
        <v>408</v>
      </c>
      <c r="C4578" s="12" t="s">
        <v>409</v>
      </c>
      <c r="D4578" s="12" t="s">
        <v>130</v>
      </c>
      <c r="E4578" s="12" t="s">
        <v>65</v>
      </c>
      <c r="F4578">
        <v>3</v>
      </c>
      <c r="G4578">
        <v>5</v>
      </c>
      <c r="H4578">
        <v>0</v>
      </c>
      <c r="I4578" s="12" t="s">
        <v>105</v>
      </c>
      <c r="J4578" s="12" t="s">
        <v>106</v>
      </c>
      <c r="K4578" s="12" t="s">
        <v>81</v>
      </c>
      <c r="L4578" s="12" t="s">
        <v>96</v>
      </c>
      <c r="M4578">
        <v>5.01</v>
      </c>
      <c r="N4578" s="12" t="s">
        <v>135</v>
      </c>
      <c r="O4578" s="12" t="s">
        <v>136</v>
      </c>
      <c r="P4578" s="12" t="s">
        <v>137</v>
      </c>
      <c r="Q4578" s="13">
        <v>45733</v>
      </c>
      <c r="R4578" s="13">
        <v>45755</v>
      </c>
      <c r="S4578">
        <v>2025</v>
      </c>
      <c r="T4578" s="12" t="s">
        <v>5461</v>
      </c>
      <c r="U4578">
        <v>23</v>
      </c>
      <c r="V4578">
        <v>724.06979999999999</v>
      </c>
      <c r="W4578">
        <v>309.38</v>
      </c>
      <c r="X4578">
        <v>0</v>
      </c>
      <c r="Y4578">
        <v>0</v>
      </c>
      <c r="Z4578">
        <v>16653.61</v>
      </c>
      <c r="AA4578">
        <v>16962.990000000002</v>
      </c>
      <c r="AB4578" s="12" t="s">
        <v>5490</v>
      </c>
      <c r="AC4578">
        <v>724.06979999999999</v>
      </c>
      <c r="AD4578">
        <v>1</v>
      </c>
      <c r="AE4578">
        <v>1</v>
      </c>
      <c r="AF4578">
        <v>0</v>
      </c>
      <c r="AG4578">
        <v>16653.61</v>
      </c>
      <c r="AH4578">
        <v>23</v>
      </c>
      <c r="AI4578">
        <v>23</v>
      </c>
      <c r="AJ4578">
        <v>0</v>
      </c>
      <c r="AK4578">
        <v>1</v>
      </c>
      <c r="AL4578">
        <v>1</v>
      </c>
      <c r="AM4578">
        <v>100</v>
      </c>
      <c r="AN4578">
        <v>737.52110000000005</v>
      </c>
      <c r="AO4578">
        <v>0</v>
      </c>
      <c r="AP4578" s="13">
        <v>45765</v>
      </c>
      <c r="AQ4578">
        <v>10</v>
      </c>
      <c r="AR4578">
        <v>0</v>
      </c>
    </row>
    <row r="4579" spans="1:44" x14ac:dyDescent="0.35">
      <c r="A4579" s="12" t="s">
        <v>5566</v>
      </c>
      <c r="B4579" s="12" t="s">
        <v>755</v>
      </c>
      <c r="C4579" s="12" t="s">
        <v>756</v>
      </c>
      <c r="D4579" s="12" t="s">
        <v>78</v>
      </c>
      <c r="E4579" s="12" t="s">
        <v>65</v>
      </c>
      <c r="F4579">
        <v>2</v>
      </c>
      <c r="G4579">
        <v>2</v>
      </c>
      <c r="H4579">
        <v>0</v>
      </c>
      <c r="I4579" s="12" t="s">
        <v>359</v>
      </c>
      <c r="J4579" s="12" t="s">
        <v>360</v>
      </c>
      <c r="K4579" s="12" t="s">
        <v>133</v>
      </c>
      <c r="L4579" s="12" t="s">
        <v>82</v>
      </c>
      <c r="M4579">
        <v>12.65</v>
      </c>
      <c r="N4579" s="12" t="s">
        <v>97</v>
      </c>
      <c r="O4579" s="12" t="s">
        <v>98</v>
      </c>
      <c r="P4579" s="12" t="s">
        <v>72</v>
      </c>
      <c r="Q4579" s="13">
        <v>45733</v>
      </c>
      <c r="R4579" s="13">
        <v>45768</v>
      </c>
      <c r="S4579">
        <v>2025</v>
      </c>
      <c r="T4579" s="12" t="s">
        <v>5461</v>
      </c>
      <c r="U4579">
        <v>242</v>
      </c>
      <c r="V4579">
        <v>43.122799999999998</v>
      </c>
      <c r="W4579">
        <v>152.72999999999999</v>
      </c>
      <c r="X4579">
        <v>0</v>
      </c>
      <c r="Y4579">
        <v>0</v>
      </c>
      <c r="Z4579">
        <v>10435.719999999999</v>
      </c>
      <c r="AA4579">
        <v>10588.45</v>
      </c>
      <c r="AB4579" s="12" t="s">
        <v>3414</v>
      </c>
      <c r="AC4579">
        <v>43.122799999999998</v>
      </c>
      <c r="AD4579">
        <v>1</v>
      </c>
      <c r="AE4579">
        <v>1</v>
      </c>
      <c r="AF4579">
        <v>0</v>
      </c>
      <c r="AG4579">
        <v>10435.719999999999</v>
      </c>
      <c r="AH4579">
        <v>242</v>
      </c>
      <c r="AI4579">
        <v>239</v>
      </c>
      <c r="AJ4579">
        <v>3</v>
      </c>
      <c r="AK4579">
        <v>1</v>
      </c>
      <c r="AL4579">
        <v>1</v>
      </c>
      <c r="AM4579">
        <v>98.76</v>
      </c>
      <c r="AN4579">
        <v>44.303100000000001</v>
      </c>
      <c r="AO4579">
        <v>129.37</v>
      </c>
      <c r="AP4579" s="13">
        <v>45768</v>
      </c>
      <c r="AQ4579">
        <v>0</v>
      </c>
      <c r="AR4579">
        <v>1</v>
      </c>
    </row>
    <row r="4580" spans="1:44" x14ac:dyDescent="0.35">
      <c r="A4580" s="12" t="s">
        <v>5567</v>
      </c>
      <c r="B4580" s="12" t="s">
        <v>755</v>
      </c>
      <c r="C4580" s="12" t="s">
        <v>756</v>
      </c>
      <c r="D4580" s="12" t="s">
        <v>78</v>
      </c>
      <c r="E4580" s="12" t="s">
        <v>65</v>
      </c>
      <c r="F4580">
        <v>2</v>
      </c>
      <c r="G4580">
        <v>2</v>
      </c>
      <c r="H4580">
        <v>0</v>
      </c>
      <c r="I4580" s="12" t="s">
        <v>359</v>
      </c>
      <c r="J4580" s="12" t="s">
        <v>360</v>
      </c>
      <c r="K4580" s="12" t="s">
        <v>133</v>
      </c>
      <c r="L4580" s="12" t="s">
        <v>82</v>
      </c>
      <c r="M4580">
        <v>12.65</v>
      </c>
      <c r="N4580" s="12" t="s">
        <v>70</v>
      </c>
      <c r="O4580" s="12" t="s">
        <v>71</v>
      </c>
      <c r="P4580" s="12" t="s">
        <v>72</v>
      </c>
      <c r="Q4580" s="13">
        <v>45733</v>
      </c>
      <c r="R4580" s="13">
        <v>45760</v>
      </c>
      <c r="S4580">
        <v>2025</v>
      </c>
      <c r="T4580" s="12" t="s">
        <v>5461</v>
      </c>
      <c r="U4580">
        <v>140</v>
      </c>
      <c r="V4580">
        <v>43.122799999999998</v>
      </c>
      <c r="W4580">
        <v>54.4</v>
      </c>
      <c r="X4580">
        <v>181.4</v>
      </c>
      <c r="Y4580">
        <v>1</v>
      </c>
      <c r="Z4580">
        <v>6037.19</v>
      </c>
      <c r="AA4580">
        <v>6272.99</v>
      </c>
      <c r="AB4580" s="12" t="s">
        <v>3414</v>
      </c>
      <c r="AC4580">
        <v>43.122799999999998</v>
      </c>
      <c r="AD4580">
        <v>1</v>
      </c>
      <c r="AE4580">
        <v>1</v>
      </c>
      <c r="AF4580">
        <v>0</v>
      </c>
      <c r="AG4580">
        <v>6037.19</v>
      </c>
      <c r="AH4580">
        <v>140</v>
      </c>
      <c r="AI4580">
        <v>137</v>
      </c>
      <c r="AJ4580">
        <v>3</v>
      </c>
      <c r="AK4580">
        <v>1</v>
      </c>
      <c r="AL4580">
        <v>1</v>
      </c>
      <c r="AM4580">
        <v>97.86</v>
      </c>
      <c r="AN4580">
        <v>45.7883</v>
      </c>
      <c r="AO4580">
        <v>129.37</v>
      </c>
      <c r="AP4580" s="13">
        <v>45760</v>
      </c>
      <c r="AQ4580">
        <v>0</v>
      </c>
      <c r="AR4580">
        <v>1</v>
      </c>
    </row>
    <row r="4581" spans="1:44" x14ac:dyDescent="0.35">
      <c r="A4581" s="12" t="s">
        <v>5568</v>
      </c>
      <c r="B4581" s="12" t="s">
        <v>207</v>
      </c>
      <c r="C4581" s="12" t="s">
        <v>208</v>
      </c>
      <c r="D4581" s="12" t="s">
        <v>78</v>
      </c>
      <c r="E4581" s="12" t="s">
        <v>65</v>
      </c>
      <c r="F4581">
        <v>2</v>
      </c>
      <c r="G4581">
        <v>3</v>
      </c>
      <c r="H4581">
        <v>0</v>
      </c>
      <c r="I4581" s="12" t="s">
        <v>209</v>
      </c>
      <c r="J4581" s="12" t="s">
        <v>210</v>
      </c>
      <c r="K4581" s="12" t="s">
        <v>133</v>
      </c>
      <c r="L4581" s="12" t="s">
        <v>96</v>
      </c>
      <c r="M4581">
        <v>7.82</v>
      </c>
      <c r="N4581" s="12" t="s">
        <v>70</v>
      </c>
      <c r="O4581" s="12" t="s">
        <v>71</v>
      </c>
      <c r="P4581" s="12" t="s">
        <v>72</v>
      </c>
      <c r="Q4581" s="13">
        <v>45733</v>
      </c>
      <c r="R4581" s="13">
        <v>45755</v>
      </c>
      <c r="S4581">
        <v>2025</v>
      </c>
      <c r="T4581" s="12" t="s">
        <v>5461</v>
      </c>
      <c r="U4581">
        <v>68</v>
      </c>
      <c r="V4581">
        <v>145.1729</v>
      </c>
      <c r="W4581">
        <v>205.61</v>
      </c>
      <c r="X4581">
        <v>0</v>
      </c>
      <c r="Y4581">
        <v>0</v>
      </c>
      <c r="Z4581">
        <v>9871.76</v>
      </c>
      <c r="AA4581">
        <v>10077.370000000001</v>
      </c>
      <c r="AB4581" s="12" t="s">
        <v>5196</v>
      </c>
      <c r="AC4581">
        <v>145.1729</v>
      </c>
      <c r="AD4581">
        <v>1</v>
      </c>
      <c r="AE4581">
        <v>1</v>
      </c>
      <c r="AF4581">
        <v>0</v>
      </c>
      <c r="AG4581">
        <v>9871.76</v>
      </c>
      <c r="AH4581">
        <v>68</v>
      </c>
      <c r="AI4581">
        <v>68</v>
      </c>
      <c r="AJ4581">
        <v>0</v>
      </c>
      <c r="AK4581">
        <v>1</v>
      </c>
      <c r="AL4581">
        <v>1</v>
      </c>
      <c r="AM4581">
        <v>100</v>
      </c>
      <c r="AN4581">
        <v>148.19659999999999</v>
      </c>
      <c r="AO4581">
        <v>0</v>
      </c>
      <c r="AP4581" s="13">
        <v>45761</v>
      </c>
      <c r="AQ4581">
        <v>6</v>
      </c>
      <c r="AR4581">
        <v>0</v>
      </c>
    </row>
    <row r="4582" spans="1:44" x14ac:dyDescent="0.35">
      <c r="A4582" s="12" t="s">
        <v>5569</v>
      </c>
      <c r="B4582" s="12" t="s">
        <v>952</v>
      </c>
      <c r="C4582" s="12" t="s">
        <v>953</v>
      </c>
      <c r="D4582" s="12" t="s">
        <v>64</v>
      </c>
      <c r="E4582" s="12" t="s">
        <v>142</v>
      </c>
      <c r="F4582">
        <v>1</v>
      </c>
      <c r="G4582">
        <v>8</v>
      </c>
      <c r="H4582">
        <v>1</v>
      </c>
      <c r="I4582" s="12" t="s">
        <v>131</v>
      </c>
      <c r="J4582" s="12" t="s">
        <v>132</v>
      </c>
      <c r="K4582" s="12" t="s">
        <v>133</v>
      </c>
      <c r="L4582" s="12" t="s">
        <v>134</v>
      </c>
      <c r="M4582">
        <v>1.51</v>
      </c>
      <c r="N4582" s="12" t="s">
        <v>97</v>
      </c>
      <c r="O4582" s="12" t="s">
        <v>98</v>
      </c>
      <c r="P4582" s="12" t="s">
        <v>72</v>
      </c>
      <c r="Q4582" s="13">
        <v>45733</v>
      </c>
      <c r="R4582" s="13">
        <v>45775</v>
      </c>
      <c r="S4582">
        <v>2025</v>
      </c>
      <c r="T4582" s="12" t="s">
        <v>5461</v>
      </c>
      <c r="U4582">
        <v>486</v>
      </c>
      <c r="V4582">
        <v>32.995800000000003</v>
      </c>
      <c r="W4582">
        <v>379.27</v>
      </c>
      <c r="X4582">
        <v>0</v>
      </c>
      <c r="Y4582">
        <v>0</v>
      </c>
      <c r="Z4582">
        <v>16035.96</v>
      </c>
      <c r="AA4582">
        <v>16415.23</v>
      </c>
      <c r="AB4582" s="12" t="s">
        <v>3261</v>
      </c>
      <c r="AC4582">
        <v>31.110399999999998</v>
      </c>
      <c r="AD4582">
        <v>1</v>
      </c>
      <c r="AE4582">
        <v>1</v>
      </c>
      <c r="AF4582">
        <v>916.3</v>
      </c>
      <c r="AG4582">
        <v>15119.65</v>
      </c>
      <c r="AH4582">
        <v>486</v>
      </c>
      <c r="AI4582">
        <v>484</v>
      </c>
      <c r="AJ4582">
        <v>2</v>
      </c>
      <c r="AK4582">
        <v>1</v>
      </c>
      <c r="AL4582">
        <v>1</v>
      </c>
      <c r="AM4582">
        <v>99.59</v>
      </c>
      <c r="AN4582">
        <v>33.915799999999997</v>
      </c>
      <c r="AO4582">
        <v>65.989999999999995</v>
      </c>
      <c r="AP4582" s="13">
        <v>45783</v>
      </c>
      <c r="AQ4582">
        <v>8</v>
      </c>
      <c r="AR4582">
        <v>0</v>
      </c>
    </row>
    <row r="4583" spans="1:44" x14ac:dyDescent="0.35">
      <c r="A4583" s="12" t="s">
        <v>5570</v>
      </c>
      <c r="B4583" s="12" t="s">
        <v>565</v>
      </c>
      <c r="C4583" s="12" t="s">
        <v>566</v>
      </c>
      <c r="D4583" s="12" t="s">
        <v>122</v>
      </c>
      <c r="E4583" s="12" t="s">
        <v>104</v>
      </c>
      <c r="F4583">
        <v>3</v>
      </c>
      <c r="G4583">
        <v>1</v>
      </c>
      <c r="H4583">
        <v>0</v>
      </c>
      <c r="I4583" s="12" t="s">
        <v>131</v>
      </c>
      <c r="J4583" s="12" t="s">
        <v>132</v>
      </c>
      <c r="K4583" s="12" t="s">
        <v>133</v>
      </c>
      <c r="L4583" s="12" t="s">
        <v>134</v>
      </c>
      <c r="M4583">
        <v>1.51</v>
      </c>
      <c r="N4583" s="12" t="s">
        <v>97</v>
      </c>
      <c r="O4583" s="12" t="s">
        <v>98</v>
      </c>
      <c r="P4583" s="12" t="s">
        <v>72</v>
      </c>
      <c r="Q4583" s="13">
        <v>45734</v>
      </c>
      <c r="R4583" s="13">
        <v>45761</v>
      </c>
      <c r="S4583">
        <v>2025</v>
      </c>
      <c r="T4583" s="12" t="s">
        <v>5461</v>
      </c>
      <c r="U4583">
        <v>1720</v>
      </c>
      <c r="V4583">
        <v>33.039499999999997</v>
      </c>
      <c r="W4583">
        <v>455.52</v>
      </c>
      <c r="X4583">
        <v>0</v>
      </c>
      <c r="Y4583">
        <v>0</v>
      </c>
      <c r="Z4583">
        <v>56827.94</v>
      </c>
      <c r="AA4583">
        <v>57283.46</v>
      </c>
      <c r="AB4583" s="12" t="s">
        <v>5571</v>
      </c>
      <c r="AC4583">
        <v>35.119900000000001</v>
      </c>
      <c r="AD4583">
        <v>1</v>
      </c>
      <c r="AE4583">
        <v>1</v>
      </c>
      <c r="AF4583">
        <v>-3578.29</v>
      </c>
      <c r="AG4583">
        <v>60406.23</v>
      </c>
      <c r="AH4583">
        <v>1720</v>
      </c>
      <c r="AI4583">
        <v>1710</v>
      </c>
      <c r="AJ4583">
        <v>10</v>
      </c>
      <c r="AK4583">
        <v>1</v>
      </c>
      <c r="AL4583">
        <v>1</v>
      </c>
      <c r="AM4583">
        <v>99.42</v>
      </c>
      <c r="AN4583">
        <v>33.499099999999999</v>
      </c>
      <c r="AO4583">
        <v>330.4</v>
      </c>
      <c r="AP4583" s="13">
        <v>45759</v>
      </c>
      <c r="AQ4583">
        <v>-2</v>
      </c>
      <c r="AR4583">
        <v>1</v>
      </c>
    </row>
    <row r="4584" spans="1:44" x14ac:dyDescent="0.35">
      <c r="A4584" s="12" t="s">
        <v>5572</v>
      </c>
      <c r="B4584" s="12" t="s">
        <v>609</v>
      </c>
      <c r="C4584" s="12" t="s">
        <v>610</v>
      </c>
      <c r="D4584" s="12" t="s">
        <v>64</v>
      </c>
      <c r="E4584" s="12" t="s">
        <v>104</v>
      </c>
      <c r="F4584">
        <v>1</v>
      </c>
      <c r="G4584">
        <v>0</v>
      </c>
      <c r="H4584">
        <v>1</v>
      </c>
      <c r="I4584" s="12" t="s">
        <v>227</v>
      </c>
      <c r="J4584" s="12" t="s">
        <v>228</v>
      </c>
      <c r="K4584" s="12" t="s">
        <v>89</v>
      </c>
      <c r="L4584" s="12" t="s">
        <v>96</v>
      </c>
      <c r="M4584">
        <v>9.15</v>
      </c>
      <c r="N4584" s="12" t="s">
        <v>97</v>
      </c>
      <c r="O4584" s="12" t="s">
        <v>98</v>
      </c>
      <c r="P4584" s="12" t="s">
        <v>72</v>
      </c>
      <c r="Q4584" s="13">
        <v>45734</v>
      </c>
      <c r="R4584" s="13">
        <v>45751</v>
      </c>
      <c r="S4584">
        <v>2025</v>
      </c>
      <c r="T4584" s="12" t="s">
        <v>5461</v>
      </c>
      <c r="U4584">
        <v>390</v>
      </c>
      <c r="V4584">
        <v>21.587299999999999</v>
      </c>
      <c r="W4584">
        <v>163.91</v>
      </c>
      <c r="X4584">
        <v>0</v>
      </c>
      <c r="Y4584">
        <v>0</v>
      </c>
      <c r="Z4584">
        <v>8419.0499999999993</v>
      </c>
      <c r="AA4584">
        <v>8582.9599999999991</v>
      </c>
      <c r="AB4584" s="12" t="s">
        <v>5573</v>
      </c>
      <c r="AC4584">
        <v>20.683900000000001</v>
      </c>
      <c r="AD4584">
        <v>1</v>
      </c>
      <c r="AE4584">
        <v>1</v>
      </c>
      <c r="AF4584">
        <v>352.33</v>
      </c>
      <c r="AG4584">
        <v>8066.72</v>
      </c>
      <c r="AH4584">
        <v>390</v>
      </c>
      <c r="AI4584">
        <v>385</v>
      </c>
      <c r="AJ4584">
        <v>5</v>
      </c>
      <c r="AK4584">
        <v>1</v>
      </c>
      <c r="AL4584">
        <v>1</v>
      </c>
      <c r="AM4584">
        <v>98.72</v>
      </c>
      <c r="AN4584">
        <v>22.293399999999998</v>
      </c>
      <c r="AO4584">
        <v>107.94</v>
      </c>
      <c r="AP4584" s="13">
        <v>45751</v>
      </c>
      <c r="AQ4584">
        <v>0</v>
      </c>
      <c r="AR4584">
        <v>1</v>
      </c>
    </row>
    <row r="4585" spans="1:44" x14ac:dyDescent="0.35">
      <c r="A4585" s="12" t="s">
        <v>5574</v>
      </c>
      <c r="B4585" s="12" t="s">
        <v>76</v>
      </c>
      <c r="C4585" s="12" t="s">
        <v>77</v>
      </c>
      <c r="D4585" s="12" t="s">
        <v>78</v>
      </c>
      <c r="E4585" s="12" t="s">
        <v>65</v>
      </c>
      <c r="F4585">
        <v>2</v>
      </c>
      <c r="G4585">
        <v>4</v>
      </c>
      <c r="H4585">
        <v>0</v>
      </c>
      <c r="I4585" s="12" t="s">
        <v>79</v>
      </c>
      <c r="J4585" s="12" t="s">
        <v>80</v>
      </c>
      <c r="K4585" s="12" t="s">
        <v>81</v>
      </c>
      <c r="L4585" s="12" t="s">
        <v>82</v>
      </c>
      <c r="M4585">
        <v>12.07</v>
      </c>
      <c r="N4585" s="12" t="s">
        <v>97</v>
      </c>
      <c r="O4585" s="12" t="s">
        <v>98</v>
      </c>
      <c r="P4585" s="12" t="s">
        <v>72</v>
      </c>
      <c r="Q4585" s="13">
        <v>45734</v>
      </c>
      <c r="R4585" s="13">
        <v>45770</v>
      </c>
      <c r="S4585">
        <v>2025</v>
      </c>
      <c r="T4585" s="12" t="s">
        <v>5461</v>
      </c>
      <c r="U4585">
        <v>269</v>
      </c>
      <c r="V4585">
        <v>44.0946</v>
      </c>
      <c r="W4585">
        <v>187.82</v>
      </c>
      <c r="X4585">
        <v>0</v>
      </c>
      <c r="Y4585">
        <v>0</v>
      </c>
      <c r="Z4585">
        <v>11861.45</v>
      </c>
      <c r="AA4585">
        <v>12049.27</v>
      </c>
      <c r="AB4585" s="12" t="s">
        <v>5427</v>
      </c>
      <c r="AC4585">
        <v>44.0946</v>
      </c>
      <c r="AD4585">
        <v>1</v>
      </c>
      <c r="AE4585">
        <v>1</v>
      </c>
      <c r="AF4585">
        <v>0</v>
      </c>
      <c r="AG4585">
        <v>11861.45</v>
      </c>
      <c r="AH4585">
        <v>269</v>
      </c>
      <c r="AI4585">
        <v>267</v>
      </c>
      <c r="AJ4585">
        <v>2</v>
      </c>
      <c r="AK4585">
        <v>1</v>
      </c>
      <c r="AL4585">
        <v>1</v>
      </c>
      <c r="AM4585">
        <v>99.26</v>
      </c>
      <c r="AN4585">
        <v>45.128300000000003</v>
      </c>
      <c r="AO4585">
        <v>88.19</v>
      </c>
      <c r="AP4585" s="13">
        <v>45769</v>
      </c>
      <c r="AQ4585">
        <v>-1</v>
      </c>
      <c r="AR4585">
        <v>1</v>
      </c>
    </row>
    <row r="4586" spans="1:44" x14ac:dyDescent="0.35">
      <c r="A4586" s="12" t="s">
        <v>5575</v>
      </c>
      <c r="B4586" s="12" t="s">
        <v>613</v>
      </c>
      <c r="C4586" s="12" t="s">
        <v>614</v>
      </c>
      <c r="D4586" s="12" t="s">
        <v>130</v>
      </c>
      <c r="E4586" s="12" t="s">
        <v>104</v>
      </c>
      <c r="F4586">
        <v>3</v>
      </c>
      <c r="G4586">
        <v>1</v>
      </c>
      <c r="H4586">
        <v>0</v>
      </c>
      <c r="I4586" s="12" t="s">
        <v>676</v>
      </c>
      <c r="J4586" s="12" t="s">
        <v>677</v>
      </c>
      <c r="K4586" s="12" t="s">
        <v>68</v>
      </c>
      <c r="L4586" s="12" t="s">
        <v>96</v>
      </c>
      <c r="M4586">
        <v>3.57</v>
      </c>
      <c r="N4586" s="12" t="s">
        <v>159</v>
      </c>
      <c r="O4586" s="12" t="s">
        <v>160</v>
      </c>
      <c r="P4586" s="12" t="s">
        <v>137</v>
      </c>
      <c r="Q4586" s="13">
        <v>45734</v>
      </c>
      <c r="R4586" s="13">
        <v>45753</v>
      </c>
      <c r="S4586">
        <v>2025</v>
      </c>
      <c r="T4586" s="12" t="s">
        <v>5461</v>
      </c>
      <c r="U4586">
        <v>66</v>
      </c>
      <c r="V4586">
        <v>173.9537</v>
      </c>
      <c r="W4586">
        <v>196.19</v>
      </c>
      <c r="X4586">
        <v>0</v>
      </c>
      <c r="Y4586">
        <v>0</v>
      </c>
      <c r="Z4586">
        <v>11480.94</v>
      </c>
      <c r="AA4586">
        <v>11677.13</v>
      </c>
      <c r="AB4586" s="12" t="s">
        <v>201</v>
      </c>
      <c r="AD4586">
        <v>0</v>
      </c>
      <c r="AE4586">
        <v>0</v>
      </c>
      <c r="AH4586">
        <v>66</v>
      </c>
      <c r="AI4586">
        <v>65</v>
      </c>
      <c r="AJ4586">
        <v>1</v>
      </c>
      <c r="AK4586">
        <v>1</v>
      </c>
      <c r="AL4586">
        <v>1</v>
      </c>
      <c r="AM4586">
        <v>98.48</v>
      </c>
      <c r="AN4586">
        <v>179.6482</v>
      </c>
      <c r="AO4586">
        <v>173.95</v>
      </c>
      <c r="AP4586" s="13">
        <v>45750</v>
      </c>
      <c r="AQ4586">
        <v>-3</v>
      </c>
      <c r="AR4586">
        <v>1</v>
      </c>
    </row>
    <row r="4587" spans="1:44" x14ac:dyDescent="0.35">
      <c r="A4587" s="12" t="s">
        <v>5576</v>
      </c>
      <c r="B4587" s="12" t="s">
        <v>284</v>
      </c>
      <c r="C4587" s="12" t="s">
        <v>285</v>
      </c>
      <c r="D4587" s="12" t="s">
        <v>269</v>
      </c>
      <c r="E4587" s="12" t="s">
        <v>104</v>
      </c>
      <c r="F4587">
        <v>3</v>
      </c>
      <c r="G4587">
        <v>1</v>
      </c>
      <c r="H4587">
        <v>0</v>
      </c>
      <c r="I4587" s="12" t="s">
        <v>243</v>
      </c>
      <c r="J4587" s="12" t="s">
        <v>244</v>
      </c>
      <c r="K4587" s="12" t="s">
        <v>81</v>
      </c>
      <c r="L4587" s="12" t="s">
        <v>82</v>
      </c>
      <c r="M4587">
        <v>9.2200000000000006</v>
      </c>
      <c r="N4587" s="12" t="s">
        <v>159</v>
      </c>
      <c r="O4587" s="12" t="s">
        <v>160</v>
      </c>
      <c r="P4587" s="12" t="s">
        <v>137</v>
      </c>
      <c r="Q4587" s="13">
        <v>45734</v>
      </c>
      <c r="R4587" s="13">
        <v>45758</v>
      </c>
      <c r="S4587">
        <v>2025</v>
      </c>
      <c r="T4587" s="12" t="s">
        <v>5461</v>
      </c>
      <c r="U4587">
        <v>105</v>
      </c>
      <c r="V4587">
        <v>356.03199999999998</v>
      </c>
      <c r="W4587">
        <v>613.79</v>
      </c>
      <c r="X4587">
        <v>0</v>
      </c>
      <c r="Y4587">
        <v>0</v>
      </c>
      <c r="Z4587">
        <v>37383.360000000001</v>
      </c>
      <c r="AA4587">
        <v>37997.15</v>
      </c>
      <c r="AB4587" s="12" t="s">
        <v>5577</v>
      </c>
      <c r="AC4587">
        <v>378.6003</v>
      </c>
      <c r="AD4587">
        <v>1</v>
      </c>
      <c r="AE4587">
        <v>1</v>
      </c>
      <c r="AF4587">
        <v>-2369.67</v>
      </c>
      <c r="AG4587">
        <v>39753.03</v>
      </c>
      <c r="AH4587">
        <v>105</v>
      </c>
      <c r="AI4587">
        <v>103</v>
      </c>
      <c r="AJ4587">
        <v>2</v>
      </c>
      <c r="AK4587">
        <v>1</v>
      </c>
      <c r="AL4587">
        <v>1</v>
      </c>
      <c r="AM4587">
        <v>98.1</v>
      </c>
      <c r="AN4587">
        <v>368.90440000000001</v>
      </c>
      <c r="AO4587">
        <v>712.06</v>
      </c>
      <c r="AP4587" s="13">
        <v>45756</v>
      </c>
      <c r="AQ4587">
        <v>-2</v>
      </c>
      <c r="AR4587">
        <v>1</v>
      </c>
    </row>
    <row r="4588" spans="1:44" x14ac:dyDescent="0.35">
      <c r="A4588" s="12" t="s">
        <v>5578</v>
      </c>
      <c r="B4588" s="12" t="s">
        <v>598</v>
      </c>
      <c r="C4588" s="12" t="s">
        <v>599</v>
      </c>
      <c r="D4588" s="12" t="s">
        <v>269</v>
      </c>
      <c r="E4588" s="12" t="s">
        <v>65</v>
      </c>
      <c r="F4588">
        <v>1</v>
      </c>
      <c r="G4588">
        <v>2</v>
      </c>
      <c r="H4588">
        <v>1</v>
      </c>
      <c r="I4588" s="12" t="s">
        <v>176</v>
      </c>
      <c r="J4588" s="12" t="s">
        <v>177</v>
      </c>
      <c r="K4588" s="12" t="s">
        <v>125</v>
      </c>
      <c r="L4588" s="12" t="s">
        <v>134</v>
      </c>
      <c r="M4588">
        <v>1.75</v>
      </c>
      <c r="N4588" s="12" t="s">
        <v>159</v>
      </c>
      <c r="O4588" s="12" t="s">
        <v>160</v>
      </c>
      <c r="P4588" s="12" t="s">
        <v>137</v>
      </c>
      <c r="Q4588" s="13">
        <v>45734</v>
      </c>
      <c r="R4588" s="13">
        <v>45762</v>
      </c>
      <c r="S4588">
        <v>2025</v>
      </c>
      <c r="T4588" s="12" t="s">
        <v>5461</v>
      </c>
      <c r="U4588">
        <v>65</v>
      </c>
      <c r="V4588">
        <v>501.375</v>
      </c>
      <c r="W4588">
        <v>668.67</v>
      </c>
      <c r="X4588">
        <v>0</v>
      </c>
      <c r="Y4588">
        <v>0</v>
      </c>
      <c r="Z4588">
        <v>32589.38</v>
      </c>
      <c r="AA4588">
        <v>33258.050000000003</v>
      </c>
      <c r="AB4588" s="12" t="s">
        <v>201</v>
      </c>
      <c r="AD4588">
        <v>0</v>
      </c>
      <c r="AE4588">
        <v>0</v>
      </c>
      <c r="AH4588">
        <v>65</v>
      </c>
      <c r="AI4588">
        <v>65</v>
      </c>
      <c r="AJ4588">
        <v>0</v>
      </c>
      <c r="AK4588">
        <v>1</v>
      </c>
      <c r="AL4588">
        <v>1</v>
      </c>
      <c r="AM4588">
        <v>100</v>
      </c>
      <c r="AN4588">
        <v>511.66219999999998</v>
      </c>
      <c r="AO4588">
        <v>0</v>
      </c>
      <c r="AP4588" s="13">
        <v>45762</v>
      </c>
      <c r="AQ4588">
        <v>0</v>
      </c>
      <c r="AR4588">
        <v>1</v>
      </c>
    </row>
    <row r="4589" spans="1:44" x14ac:dyDescent="0.35">
      <c r="A4589" s="12" t="s">
        <v>5579</v>
      </c>
      <c r="B4589" s="12" t="s">
        <v>952</v>
      </c>
      <c r="C4589" s="12" t="s">
        <v>953</v>
      </c>
      <c r="D4589" s="12" t="s">
        <v>64</v>
      </c>
      <c r="E4589" s="12" t="s">
        <v>142</v>
      </c>
      <c r="F4589">
        <v>1</v>
      </c>
      <c r="G4589">
        <v>8</v>
      </c>
      <c r="H4589">
        <v>1</v>
      </c>
      <c r="I4589" s="12" t="s">
        <v>131</v>
      </c>
      <c r="J4589" s="12" t="s">
        <v>132</v>
      </c>
      <c r="K4589" s="12" t="s">
        <v>133</v>
      </c>
      <c r="L4589" s="12" t="s">
        <v>134</v>
      </c>
      <c r="M4589">
        <v>1.51</v>
      </c>
      <c r="N4589" s="12" t="s">
        <v>70</v>
      </c>
      <c r="O4589" s="12" t="s">
        <v>71</v>
      </c>
      <c r="P4589" s="12" t="s">
        <v>72</v>
      </c>
      <c r="Q4589" s="13">
        <v>45734</v>
      </c>
      <c r="R4589" s="13">
        <v>45786</v>
      </c>
      <c r="S4589">
        <v>2025</v>
      </c>
      <c r="T4589" s="12" t="s">
        <v>5461</v>
      </c>
      <c r="U4589">
        <v>950</v>
      </c>
      <c r="V4589">
        <v>31.110399999999998</v>
      </c>
      <c r="W4589">
        <v>205.27</v>
      </c>
      <c r="X4589">
        <v>0</v>
      </c>
      <c r="Y4589">
        <v>0</v>
      </c>
      <c r="Z4589">
        <v>29554.880000000001</v>
      </c>
      <c r="AA4589">
        <v>29760.15</v>
      </c>
      <c r="AB4589" s="12" t="s">
        <v>3261</v>
      </c>
      <c r="AC4589">
        <v>31.110399999999998</v>
      </c>
      <c r="AD4589">
        <v>1</v>
      </c>
      <c r="AE4589">
        <v>1</v>
      </c>
      <c r="AF4589">
        <v>0</v>
      </c>
      <c r="AG4589">
        <v>29554.880000000001</v>
      </c>
      <c r="AH4589">
        <v>950</v>
      </c>
      <c r="AI4589">
        <v>944</v>
      </c>
      <c r="AJ4589">
        <v>6</v>
      </c>
      <c r="AK4589">
        <v>1</v>
      </c>
      <c r="AL4589">
        <v>1</v>
      </c>
      <c r="AM4589">
        <v>99.37</v>
      </c>
      <c r="AN4589">
        <v>31.525600000000001</v>
      </c>
      <c r="AO4589">
        <v>186.66</v>
      </c>
      <c r="AP4589" s="13">
        <v>45795</v>
      </c>
      <c r="AQ4589">
        <v>9</v>
      </c>
      <c r="AR4589">
        <v>0</v>
      </c>
    </row>
    <row r="4590" spans="1:44" x14ac:dyDescent="0.35">
      <c r="A4590" s="12" t="s">
        <v>5580</v>
      </c>
      <c r="B4590" s="12" t="s">
        <v>1166</v>
      </c>
      <c r="C4590" s="12" t="s">
        <v>1167</v>
      </c>
      <c r="D4590" s="12" t="s">
        <v>175</v>
      </c>
      <c r="E4590" s="12" t="s">
        <v>65</v>
      </c>
      <c r="F4590">
        <v>3</v>
      </c>
      <c r="G4590">
        <v>5</v>
      </c>
      <c r="H4590">
        <v>0</v>
      </c>
      <c r="I4590" s="12" t="s">
        <v>143</v>
      </c>
      <c r="J4590" s="12" t="s">
        <v>144</v>
      </c>
      <c r="K4590" s="12" t="s">
        <v>133</v>
      </c>
      <c r="L4590" s="12" t="s">
        <v>96</v>
      </c>
      <c r="M4590">
        <v>5.43</v>
      </c>
      <c r="N4590" s="12" t="s">
        <v>107</v>
      </c>
      <c r="O4590" s="12" t="s">
        <v>108</v>
      </c>
      <c r="P4590" s="12" t="s">
        <v>109</v>
      </c>
      <c r="Q4590" s="13">
        <v>45734</v>
      </c>
      <c r="R4590" s="13">
        <v>45769</v>
      </c>
      <c r="S4590">
        <v>2025</v>
      </c>
      <c r="T4590" s="12" t="s">
        <v>5461</v>
      </c>
      <c r="U4590">
        <v>125</v>
      </c>
      <c r="V4590">
        <v>255.99430000000001</v>
      </c>
      <c r="W4590">
        <v>503.28</v>
      </c>
      <c r="X4590">
        <v>0</v>
      </c>
      <c r="Y4590">
        <v>0</v>
      </c>
      <c r="Z4590">
        <v>31999.29</v>
      </c>
      <c r="AA4590">
        <v>32502.57</v>
      </c>
      <c r="AB4590" s="12" t="s">
        <v>201</v>
      </c>
      <c r="AD4590">
        <v>0</v>
      </c>
      <c r="AE4590">
        <v>0</v>
      </c>
      <c r="AH4590">
        <v>125</v>
      </c>
      <c r="AI4590">
        <v>123</v>
      </c>
      <c r="AJ4590">
        <v>2</v>
      </c>
      <c r="AK4590">
        <v>1</v>
      </c>
      <c r="AL4590">
        <v>1</v>
      </c>
      <c r="AM4590">
        <v>98.4</v>
      </c>
      <c r="AN4590">
        <v>264.24849999999998</v>
      </c>
      <c r="AO4590">
        <v>511.99</v>
      </c>
      <c r="AP4590" s="13">
        <v>45767</v>
      </c>
      <c r="AQ4590">
        <v>-2</v>
      </c>
      <c r="AR4590">
        <v>1</v>
      </c>
    </row>
    <row r="4591" spans="1:44" x14ac:dyDescent="0.35">
      <c r="A4591" s="12" t="s">
        <v>5581</v>
      </c>
      <c r="B4591" s="12" t="s">
        <v>972</v>
      </c>
      <c r="C4591" s="12" t="s">
        <v>973</v>
      </c>
      <c r="D4591" s="12" t="s">
        <v>130</v>
      </c>
      <c r="E4591" s="12" t="s">
        <v>142</v>
      </c>
      <c r="F4591">
        <v>2</v>
      </c>
      <c r="G4591">
        <v>9</v>
      </c>
      <c r="H4591">
        <v>0</v>
      </c>
      <c r="I4591" s="12" t="s">
        <v>676</v>
      </c>
      <c r="J4591" s="12" t="s">
        <v>677</v>
      </c>
      <c r="K4591" s="12" t="s">
        <v>68</v>
      </c>
      <c r="L4591" s="12" t="s">
        <v>96</v>
      </c>
      <c r="M4591">
        <v>3.57</v>
      </c>
      <c r="N4591" s="12" t="s">
        <v>135</v>
      </c>
      <c r="O4591" s="12" t="s">
        <v>136</v>
      </c>
      <c r="P4591" s="12" t="s">
        <v>137</v>
      </c>
      <c r="Q4591" s="13">
        <v>45734</v>
      </c>
      <c r="R4591" s="13">
        <v>45786</v>
      </c>
      <c r="S4591">
        <v>2025</v>
      </c>
      <c r="T4591" s="12" t="s">
        <v>5461</v>
      </c>
      <c r="U4591">
        <v>144</v>
      </c>
      <c r="V4591">
        <v>841.25639999999999</v>
      </c>
      <c r="W4591">
        <v>3037.23</v>
      </c>
      <c r="X4591">
        <v>0</v>
      </c>
      <c r="Y4591">
        <v>0</v>
      </c>
      <c r="Z4591">
        <v>121140.92</v>
      </c>
      <c r="AA4591">
        <v>124178.15</v>
      </c>
      <c r="AB4591" s="12" t="s">
        <v>3546</v>
      </c>
      <c r="AC4591">
        <v>841.25639999999999</v>
      </c>
      <c r="AD4591">
        <v>1</v>
      </c>
      <c r="AE4591">
        <v>1</v>
      </c>
      <c r="AF4591">
        <v>0</v>
      </c>
      <c r="AG4591">
        <v>121140.92</v>
      </c>
      <c r="AH4591">
        <v>144</v>
      </c>
      <c r="AI4591">
        <v>142</v>
      </c>
      <c r="AJ4591">
        <v>2</v>
      </c>
      <c r="AK4591">
        <v>1</v>
      </c>
      <c r="AL4591">
        <v>1</v>
      </c>
      <c r="AM4591">
        <v>98.61</v>
      </c>
      <c r="AN4591">
        <v>874.49400000000003</v>
      </c>
      <c r="AO4591">
        <v>1682.51</v>
      </c>
      <c r="AP4591" s="13">
        <v>45786</v>
      </c>
      <c r="AQ4591">
        <v>0</v>
      </c>
      <c r="AR4591">
        <v>1</v>
      </c>
    </row>
    <row r="4592" spans="1:44" x14ac:dyDescent="0.35">
      <c r="A4592" s="12" t="s">
        <v>5582</v>
      </c>
      <c r="B4592" s="12" t="s">
        <v>1433</v>
      </c>
      <c r="C4592" s="12" t="s">
        <v>1434</v>
      </c>
      <c r="D4592" s="12" t="s">
        <v>269</v>
      </c>
      <c r="E4592" s="12" t="s">
        <v>65</v>
      </c>
      <c r="F4592">
        <v>3</v>
      </c>
      <c r="G4592">
        <v>5</v>
      </c>
      <c r="H4592">
        <v>0</v>
      </c>
      <c r="I4592" s="12" t="s">
        <v>115</v>
      </c>
      <c r="J4592" s="12" t="s">
        <v>116</v>
      </c>
      <c r="K4592" s="12" t="s">
        <v>117</v>
      </c>
      <c r="L4592" s="12" t="s">
        <v>82</v>
      </c>
      <c r="M4592">
        <v>17.170000000000002</v>
      </c>
      <c r="N4592" s="12" t="s">
        <v>159</v>
      </c>
      <c r="O4592" s="12" t="s">
        <v>160</v>
      </c>
      <c r="P4592" s="12" t="s">
        <v>137</v>
      </c>
      <c r="Q4592" s="13">
        <v>45734</v>
      </c>
      <c r="R4592" s="13">
        <v>45761</v>
      </c>
      <c r="S4592">
        <v>2025</v>
      </c>
      <c r="T4592" s="12" t="s">
        <v>5461</v>
      </c>
      <c r="U4592">
        <v>58</v>
      </c>
      <c r="V4592">
        <v>445.78800000000001</v>
      </c>
      <c r="W4592">
        <v>545.77</v>
      </c>
      <c r="X4592">
        <v>0</v>
      </c>
      <c r="Y4592">
        <v>0</v>
      </c>
      <c r="Z4592">
        <v>25855.7</v>
      </c>
      <c r="AA4592">
        <v>26401.47</v>
      </c>
      <c r="AB4592" s="12" t="s">
        <v>4061</v>
      </c>
      <c r="AC4592">
        <v>445.78800000000001</v>
      </c>
      <c r="AD4592">
        <v>1</v>
      </c>
      <c r="AE4592">
        <v>1</v>
      </c>
      <c r="AF4592">
        <v>0</v>
      </c>
      <c r="AG4592">
        <v>25855.7</v>
      </c>
      <c r="AH4592">
        <v>58</v>
      </c>
      <c r="AI4592">
        <v>58</v>
      </c>
      <c r="AJ4592">
        <v>0</v>
      </c>
      <c r="AK4592">
        <v>1</v>
      </c>
      <c r="AL4592">
        <v>1</v>
      </c>
      <c r="AM4592">
        <v>100</v>
      </c>
      <c r="AN4592">
        <v>455.19779999999997</v>
      </c>
      <c r="AO4592">
        <v>0</v>
      </c>
      <c r="AP4592" s="13">
        <v>45761</v>
      </c>
      <c r="AQ4592">
        <v>0</v>
      </c>
      <c r="AR4592">
        <v>1</v>
      </c>
    </row>
    <row r="4593" spans="1:44" x14ac:dyDescent="0.35">
      <c r="A4593" s="12" t="s">
        <v>5583</v>
      </c>
      <c r="B4593" s="12" t="s">
        <v>317</v>
      </c>
      <c r="C4593" s="12" t="s">
        <v>318</v>
      </c>
      <c r="D4593" s="12" t="s">
        <v>64</v>
      </c>
      <c r="E4593" s="12" t="s">
        <v>104</v>
      </c>
      <c r="F4593">
        <v>2</v>
      </c>
      <c r="G4593">
        <v>0</v>
      </c>
      <c r="H4593">
        <v>0</v>
      </c>
      <c r="I4593" s="12" t="s">
        <v>169</v>
      </c>
      <c r="J4593" s="12" t="s">
        <v>170</v>
      </c>
      <c r="K4593" s="12" t="s">
        <v>89</v>
      </c>
      <c r="L4593" s="12" t="s">
        <v>134</v>
      </c>
      <c r="M4593">
        <v>1.37</v>
      </c>
      <c r="N4593" s="12" t="s">
        <v>70</v>
      </c>
      <c r="O4593" s="12" t="s">
        <v>71</v>
      </c>
      <c r="P4593" s="12" t="s">
        <v>72</v>
      </c>
      <c r="Q4593" s="13">
        <v>45735</v>
      </c>
      <c r="R4593" s="13">
        <v>45764</v>
      </c>
      <c r="S4593">
        <v>2025</v>
      </c>
      <c r="T4593" s="12" t="s">
        <v>5461</v>
      </c>
      <c r="U4593">
        <v>985</v>
      </c>
      <c r="V4593">
        <v>15.823399999999999</v>
      </c>
      <c r="W4593">
        <v>164.48</v>
      </c>
      <c r="X4593">
        <v>0</v>
      </c>
      <c r="Y4593">
        <v>0</v>
      </c>
      <c r="Z4593">
        <v>15586.05</v>
      </c>
      <c r="AA4593">
        <v>15750.53</v>
      </c>
      <c r="AB4593" s="12" t="s">
        <v>5518</v>
      </c>
      <c r="AC4593">
        <v>15.823399999999999</v>
      </c>
      <c r="AD4593">
        <v>1</v>
      </c>
      <c r="AE4593">
        <v>1</v>
      </c>
      <c r="AF4593">
        <v>0</v>
      </c>
      <c r="AG4593">
        <v>15586.05</v>
      </c>
      <c r="AH4593">
        <v>985</v>
      </c>
      <c r="AI4593">
        <v>976</v>
      </c>
      <c r="AJ4593">
        <v>9</v>
      </c>
      <c r="AK4593">
        <v>1</v>
      </c>
      <c r="AL4593">
        <v>1</v>
      </c>
      <c r="AM4593">
        <v>99.09</v>
      </c>
      <c r="AN4593">
        <v>16.137799999999999</v>
      </c>
      <c r="AO4593">
        <v>142.41</v>
      </c>
      <c r="AP4593" s="13">
        <v>45774</v>
      </c>
      <c r="AQ4593">
        <v>10</v>
      </c>
      <c r="AR4593">
        <v>0</v>
      </c>
    </row>
    <row r="4594" spans="1:44" x14ac:dyDescent="0.35">
      <c r="A4594" s="12" t="s">
        <v>5584</v>
      </c>
      <c r="B4594" s="12" t="s">
        <v>1068</v>
      </c>
      <c r="C4594" s="12" t="s">
        <v>1069</v>
      </c>
      <c r="D4594" s="12" t="s">
        <v>122</v>
      </c>
      <c r="E4594" s="12" t="s">
        <v>65</v>
      </c>
      <c r="F4594">
        <v>2</v>
      </c>
      <c r="G4594">
        <v>2</v>
      </c>
      <c r="H4594">
        <v>0</v>
      </c>
      <c r="I4594" s="12" t="s">
        <v>79</v>
      </c>
      <c r="J4594" s="12" t="s">
        <v>80</v>
      </c>
      <c r="K4594" s="12" t="s">
        <v>81</v>
      </c>
      <c r="L4594" s="12" t="s">
        <v>82</v>
      </c>
      <c r="M4594">
        <v>12.07</v>
      </c>
      <c r="N4594" s="12" t="s">
        <v>70</v>
      </c>
      <c r="O4594" s="12" t="s">
        <v>71</v>
      </c>
      <c r="P4594" s="12" t="s">
        <v>72</v>
      </c>
      <c r="Q4594" s="13">
        <v>45735</v>
      </c>
      <c r="R4594" s="13">
        <v>45770</v>
      </c>
      <c r="S4594">
        <v>2025</v>
      </c>
      <c r="T4594" s="12" t="s">
        <v>5461</v>
      </c>
      <c r="U4594">
        <v>1635</v>
      </c>
      <c r="V4594">
        <v>20.8949</v>
      </c>
      <c r="W4594">
        <v>253.57</v>
      </c>
      <c r="X4594">
        <v>0</v>
      </c>
      <c r="Y4594">
        <v>0</v>
      </c>
      <c r="Z4594">
        <v>34163.160000000003</v>
      </c>
      <c r="AA4594">
        <v>34416.730000000003</v>
      </c>
      <c r="AB4594" s="12" t="s">
        <v>5478</v>
      </c>
      <c r="AC4594">
        <v>20.8949</v>
      </c>
      <c r="AD4594">
        <v>1</v>
      </c>
      <c r="AE4594">
        <v>1</v>
      </c>
      <c r="AF4594">
        <v>0</v>
      </c>
      <c r="AG4594">
        <v>34163.160000000003</v>
      </c>
      <c r="AH4594">
        <v>1635</v>
      </c>
      <c r="AI4594">
        <v>1618</v>
      </c>
      <c r="AJ4594">
        <v>17</v>
      </c>
      <c r="AK4594">
        <v>1</v>
      </c>
      <c r="AL4594">
        <v>1</v>
      </c>
      <c r="AM4594">
        <v>98.96</v>
      </c>
      <c r="AN4594">
        <v>21.2712</v>
      </c>
      <c r="AO4594">
        <v>355.21</v>
      </c>
      <c r="AP4594" s="13">
        <v>45767</v>
      </c>
      <c r="AQ4594">
        <v>-3</v>
      </c>
      <c r="AR4594">
        <v>1</v>
      </c>
    </row>
    <row r="4595" spans="1:44" x14ac:dyDescent="0.35">
      <c r="A4595" s="12" t="s">
        <v>5585</v>
      </c>
      <c r="B4595" s="12" t="s">
        <v>273</v>
      </c>
      <c r="C4595" s="12" t="s">
        <v>274</v>
      </c>
      <c r="D4595" s="12" t="s">
        <v>175</v>
      </c>
      <c r="E4595" s="12" t="s">
        <v>104</v>
      </c>
      <c r="F4595">
        <v>3</v>
      </c>
      <c r="G4595">
        <v>1</v>
      </c>
      <c r="H4595">
        <v>0</v>
      </c>
      <c r="I4595" s="12" t="s">
        <v>94</v>
      </c>
      <c r="J4595" s="12" t="s">
        <v>95</v>
      </c>
      <c r="K4595" s="12" t="s">
        <v>81</v>
      </c>
      <c r="L4595" s="12" t="s">
        <v>96</v>
      </c>
      <c r="M4595">
        <v>4.8099999999999996</v>
      </c>
      <c r="N4595" s="12" t="s">
        <v>145</v>
      </c>
      <c r="O4595" s="12" t="s">
        <v>146</v>
      </c>
      <c r="P4595" s="12" t="s">
        <v>109</v>
      </c>
      <c r="Q4595" s="13">
        <v>45735</v>
      </c>
      <c r="R4595" s="13">
        <v>45752</v>
      </c>
      <c r="S4595">
        <v>2025</v>
      </c>
      <c r="T4595" s="12" t="s">
        <v>5461</v>
      </c>
      <c r="U4595">
        <v>52</v>
      </c>
      <c r="V4595">
        <v>116.5831</v>
      </c>
      <c r="W4595">
        <v>124.43</v>
      </c>
      <c r="X4595">
        <v>0</v>
      </c>
      <c r="Y4595">
        <v>0</v>
      </c>
      <c r="Z4595">
        <v>6062.32</v>
      </c>
      <c r="AA4595">
        <v>6186.75</v>
      </c>
      <c r="AB4595" s="12" t="s">
        <v>201</v>
      </c>
      <c r="AD4595">
        <v>0</v>
      </c>
      <c r="AE4595">
        <v>0</v>
      </c>
      <c r="AH4595">
        <v>52</v>
      </c>
      <c r="AI4595">
        <v>52</v>
      </c>
      <c r="AJ4595">
        <v>0</v>
      </c>
      <c r="AK4595">
        <v>1</v>
      </c>
      <c r="AL4595">
        <v>1</v>
      </c>
      <c r="AM4595">
        <v>100</v>
      </c>
      <c r="AN4595">
        <v>118.976</v>
      </c>
      <c r="AO4595">
        <v>0</v>
      </c>
      <c r="AP4595" s="13">
        <v>45750</v>
      </c>
      <c r="AQ4595">
        <v>-2</v>
      </c>
      <c r="AR4595">
        <v>1</v>
      </c>
    </row>
    <row r="4596" spans="1:44" x14ac:dyDescent="0.35">
      <c r="A4596" s="12" t="s">
        <v>5586</v>
      </c>
      <c r="B4596" s="12" t="s">
        <v>728</v>
      </c>
      <c r="C4596" s="12" t="s">
        <v>729</v>
      </c>
      <c r="D4596" s="12" t="s">
        <v>269</v>
      </c>
      <c r="E4596" s="12" t="s">
        <v>65</v>
      </c>
      <c r="F4596">
        <v>2</v>
      </c>
      <c r="G4596">
        <v>3</v>
      </c>
      <c r="H4596">
        <v>0</v>
      </c>
      <c r="I4596" s="12" t="s">
        <v>243</v>
      </c>
      <c r="J4596" s="12" t="s">
        <v>244</v>
      </c>
      <c r="K4596" s="12" t="s">
        <v>81</v>
      </c>
      <c r="L4596" s="12" t="s">
        <v>82</v>
      </c>
      <c r="M4596">
        <v>9.2200000000000006</v>
      </c>
      <c r="N4596" s="12" t="s">
        <v>159</v>
      </c>
      <c r="O4596" s="12" t="s">
        <v>160</v>
      </c>
      <c r="P4596" s="12" t="s">
        <v>137</v>
      </c>
      <c r="Q4596" s="13">
        <v>45735</v>
      </c>
      <c r="R4596" s="13">
        <v>45767</v>
      </c>
      <c r="S4596">
        <v>2025</v>
      </c>
      <c r="T4596" s="12" t="s">
        <v>5461</v>
      </c>
      <c r="U4596">
        <v>100</v>
      </c>
      <c r="V4596">
        <v>364.83319999999998</v>
      </c>
      <c r="W4596">
        <v>886.91</v>
      </c>
      <c r="X4596">
        <v>0</v>
      </c>
      <c r="Y4596">
        <v>0</v>
      </c>
      <c r="Z4596">
        <v>36483.32</v>
      </c>
      <c r="AA4596">
        <v>37370.230000000003</v>
      </c>
      <c r="AB4596" s="12" t="s">
        <v>3540</v>
      </c>
      <c r="AC4596">
        <v>364.83319999999998</v>
      </c>
      <c r="AD4596">
        <v>1</v>
      </c>
      <c r="AE4596">
        <v>1</v>
      </c>
      <c r="AF4596">
        <v>0</v>
      </c>
      <c r="AG4596">
        <v>36483.32</v>
      </c>
      <c r="AH4596">
        <v>100</v>
      </c>
      <c r="AI4596">
        <v>98</v>
      </c>
      <c r="AJ4596">
        <v>2</v>
      </c>
      <c r="AK4596">
        <v>1</v>
      </c>
      <c r="AL4596">
        <v>1</v>
      </c>
      <c r="AM4596">
        <v>98</v>
      </c>
      <c r="AN4596">
        <v>381.32889999999998</v>
      </c>
      <c r="AO4596">
        <v>729.67</v>
      </c>
      <c r="AP4596" s="13">
        <v>45765</v>
      </c>
      <c r="AQ4596">
        <v>-2</v>
      </c>
      <c r="AR4596">
        <v>1</v>
      </c>
    </row>
    <row r="4597" spans="1:44" x14ac:dyDescent="0.35">
      <c r="A4597" s="12" t="s">
        <v>5587</v>
      </c>
      <c r="B4597" s="12" t="s">
        <v>823</v>
      </c>
      <c r="C4597" s="12" t="s">
        <v>824</v>
      </c>
      <c r="D4597" s="12" t="s">
        <v>114</v>
      </c>
      <c r="E4597" s="12" t="s">
        <v>142</v>
      </c>
      <c r="F4597">
        <v>1</v>
      </c>
      <c r="G4597">
        <v>8</v>
      </c>
      <c r="H4597">
        <v>1</v>
      </c>
      <c r="I4597" s="12" t="s">
        <v>515</v>
      </c>
      <c r="J4597" s="12" t="s">
        <v>516</v>
      </c>
      <c r="K4597" s="12" t="s">
        <v>68</v>
      </c>
      <c r="L4597" s="12" t="s">
        <v>134</v>
      </c>
      <c r="M4597">
        <v>3.69</v>
      </c>
      <c r="N4597" s="12" t="s">
        <v>97</v>
      </c>
      <c r="O4597" s="12" t="s">
        <v>98</v>
      </c>
      <c r="P4597" s="12" t="s">
        <v>72</v>
      </c>
      <c r="Q4597" s="13">
        <v>45735</v>
      </c>
      <c r="R4597" s="13">
        <v>45776</v>
      </c>
      <c r="S4597">
        <v>2025</v>
      </c>
      <c r="T4597" s="12" t="s">
        <v>5461</v>
      </c>
      <c r="U4597">
        <v>57</v>
      </c>
      <c r="V4597">
        <v>382.541</v>
      </c>
      <c r="W4597">
        <v>456.95</v>
      </c>
      <c r="X4597">
        <v>0</v>
      </c>
      <c r="Y4597">
        <v>0</v>
      </c>
      <c r="Z4597">
        <v>21804.84</v>
      </c>
      <c r="AA4597">
        <v>22261.79</v>
      </c>
      <c r="AB4597" s="12" t="s">
        <v>3483</v>
      </c>
      <c r="AC4597">
        <v>361.71230000000003</v>
      </c>
      <c r="AD4597">
        <v>1</v>
      </c>
      <c r="AE4597">
        <v>1</v>
      </c>
      <c r="AF4597">
        <v>1187.24</v>
      </c>
      <c r="AG4597">
        <v>20617.599999999999</v>
      </c>
      <c r="AH4597">
        <v>57</v>
      </c>
      <c r="AI4597">
        <v>56</v>
      </c>
      <c r="AJ4597">
        <v>1</v>
      </c>
      <c r="AK4597">
        <v>1</v>
      </c>
      <c r="AL4597">
        <v>1</v>
      </c>
      <c r="AM4597">
        <v>98.25</v>
      </c>
      <c r="AN4597">
        <v>397.53190000000001</v>
      </c>
      <c r="AO4597">
        <v>382.54</v>
      </c>
      <c r="AP4597" s="13">
        <v>45776</v>
      </c>
      <c r="AQ4597">
        <v>0</v>
      </c>
      <c r="AR4597">
        <v>1</v>
      </c>
    </row>
    <row r="4598" spans="1:44" x14ac:dyDescent="0.35">
      <c r="A4598" s="12" t="s">
        <v>5588</v>
      </c>
      <c r="B4598" s="12" t="s">
        <v>952</v>
      </c>
      <c r="C4598" s="12" t="s">
        <v>953</v>
      </c>
      <c r="D4598" s="12" t="s">
        <v>64</v>
      </c>
      <c r="E4598" s="12" t="s">
        <v>142</v>
      </c>
      <c r="F4598">
        <v>1</v>
      </c>
      <c r="G4598">
        <v>8</v>
      </c>
      <c r="H4598">
        <v>1</v>
      </c>
      <c r="I4598" s="12" t="s">
        <v>131</v>
      </c>
      <c r="J4598" s="12" t="s">
        <v>132</v>
      </c>
      <c r="K4598" s="12" t="s">
        <v>133</v>
      </c>
      <c r="L4598" s="12" t="s">
        <v>134</v>
      </c>
      <c r="M4598">
        <v>1.51</v>
      </c>
      <c r="N4598" s="12" t="s">
        <v>97</v>
      </c>
      <c r="O4598" s="12" t="s">
        <v>98</v>
      </c>
      <c r="P4598" s="12" t="s">
        <v>72</v>
      </c>
      <c r="Q4598" s="13">
        <v>45735</v>
      </c>
      <c r="R4598" s="13">
        <v>45784</v>
      </c>
      <c r="S4598">
        <v>2025</v>
      </c>
      <c r="T4598" s="12" t="s">
        <v>5461</v>
      </c>
      <c r="U4598">
        <v>825</v>
      </c>
      <c r="V4598">
        <v>31.110399999999998</v>
      </c>
      <c r="W4598">
        <v>179.28</v>
      </c>
      <c r="X4598">
        <v>0</v>
      </c>
      <c r="Y4598">
        <v>0</v>
      </c>
      <c r="Z4598">
        <v>25666.080000000002</v>
      </c>
      <c r="AA4598">
        <v>25845.360000000001</v>
      </c>
      <c r="AB4598" s="12" t="s">
        <v>3261</v>
      </c>
      <c r="AC4598">
        <v>31.110399999999998</v>
      </c>
      <c r="AD4598">
        <v>1</v>
      </c>
      <c r="AE4598">
        <v>1</v>
      </c>
      <c r="AF4598">
        <v>0</v>
      </c>
      <c r="AG4598">
        <v>25666.080000000002</v>
      </c>
      <c r="AH4598">
        <v>825</v>
      </c>
      <c r="AI4598">
        <v>817</v>
      </c>
      <c r="AJ4598">
        <v>8</v>
      </c>
      <c r="AK4598">
        <v>1</v>
      </c>
      <c r="AL4598">
        <v>1</v>
      </c>
      <c r="AM4598">
        <v>99.03</v>
      </c>
      <c r="AN4598">
        <v>31.634499999999999</v>
      </c>
      <c r="AO4598">
        <v>248.88</v>
      </c>
      <c r="AP4598" s="13">
        <v>45782</v>
      </c>
      <c r="AQ4598">
        <v>-2</v>
      </c>
      <c r="AR4598">
        <v>1</v>
      </c>
    </row>
    <row r="4599" spans="1:44" x14ac:dyDescent="0.35">
      <c r="A4599" s="12" t="s">
        <v>5589</v>
      </c>
      <c r="B4599" s="12" t="s">
        <v>454</v>
      </c>
      <c r="C4599" s="12" t="s">
        <v>455</v>
      </c>
      <c r="D4599" s="12" t="s">
        <v>122</v>
      </c>
      <c r="E4599" s="12" t="s">
        <v>104</v>
      </c>
      <c r="F4599">
        <v>3</v>
      </c>
      <c r="G4599">
        <v>1</v>
      </c>
      <c r="H4599">
        <v>0</v>
      </c>
      <c r="I4599" s="12" t="s">
        <v>87</v>
      </c>
      <c r="J4599" s="12" t="s">
        <v>88</v>
      </c>
      <c r="K4599" s="12" t="s">
        <v>89</v>
      </c>
      <c r="L4599" s="12" t="s">
        <v>69</v>
      </c>
      <c r="M4599">
        <v>14.93</v>
      </c>
      <c r="N4599" s="12" t="s">
        <v>70</v>
      </c>
      <c r="O4599" s="12" t="s">
        <v>71</v>
      </c>
      <c r="P4599" s="12" t="s">
        <v>72</v>
      </c>
      <c r="Q4599" s="13">
        <v>45735</v>
      </c>
      <c r="R4599" s="13">
        <v>45756</v>
      </c>
      <c r="S4599">
        <v>2025</v>
      </c>
      <c r="T4599" s="12" t="s">
        <v>5461</v>
      </c>
      <c r="U4599">
        <v>1151</v>
      </c>
      <c r="V4599">
        <v>21.032599999999999</v>
      </c>
      <c r="W4599">
        <v>578.59</v>
      </c>
      <c r="X4599">
        <v>0</v>
      </c>
      <c r="Y4599">
        <v>0</v>
      </c>
      <c r="Z4599">
        <v>24208.52</v>
      </c>
      <c r="AA4599">
        <v>24787.11</v>
      </c>
      <c r="AB4599" s="12" t="s">
        <v>5456</v>
      </c>
      <c r="AC4599">
        <v>21.032599999999999</v>
      </c>
      <c r="AD4599">
        <v>1</v>
      </c>
      <c r="AE4599">
        <v>1</v>
      </c>
      <c r="AF4599">
        <v>0</v>
      </c>
      <c r="AG4599">
        <v>24208.52</v>
      </c>
      <c r="AH4599">
        <v>1151</v>
      </c>
      <c r="AI4599">
        <v>1142</v>
      </c>
      <c r="AJ4599">
        <v>9</v>
      </c>
      <c r="AK4599">
        <v>1</v>
      </c>
      <c r="AL4599">
        <v>1</v>
      </c>
      <c r="AM4599">
        <v>99.22</v>
      </c>
      <c r="AN4599">
        <v>21.704999999999998</v>
      </c>
      <c r="AO4599">
        <v>189.29</v>
      </c>
      <c r="AP4599" s="13">
        <v>45755</v>
      </c>
      <c r="AQ4599">
        <v>-1</v>
      </c>
      <c r="AR4599">
        <v>1</v>
      </c>
    </row>
    <row r="4600" spans="1:44" x14ac:dyDescent="0.35">
      <c r="A4600" s="12" t="s">
        <v>5590</v>
      </c>
      <c r="B4600" s="12" t="s">
        <v>362</v>
      </c>
      <c r="C4600" s="12" t="s">
        <v>363</v>
      </c>
      <c r="D4600" s="12" t="s">
        <v>78</v>
      </c>
      <c r="E4600" s="12" t="s">
        <v>104</v>
      </c>
      <c r="F4600">
        <v>3</v>
      </c>
      <c r="G4600">
        <v>0</v>
      </c>
      <c r="H4600">
        <v>0</v>
      </c>
      <c r="I4600" s="12" t="s">
        <v>105</v>
      </c>
      <c r="J4600" s="12" t="s">
        <v>106</v>
      </c>
      <c r="K4600" s="12" t="s">
        <v>81</v>
      </c>
      <c r="L4600" s="12" t="s">
        <v>96</v>
      </c>
      <c r="M4600">
        <v>5.01</v>
      </c>
      <c r="N4600" s="12" t="s">
        <v>97</v>
      </c>
      <c r="O4600" s="12" t="s">
        <v>98</v>
      </c>
      <c r="P4600" s="12" t="s">
        <v>72</v>
      </c>
      <c r="Q4600" s="13">
        <v>45735</v>
      </c>
      <c r="R4600" s="13">
        <v>45756</v>
      </c>
      <c r="S4600">
        <v>2025</v>
      </c>
      <c r="T4600" s="12" t="s">
        <v>5461</v>
      </c>
      <c r="U4600">
        <v>172</v>
      </c>
      <c r="V4600">
        <v>56.555</v>
      </c>
      <c r="W4600">
        <v>232.32</v>
      </c>
      <c r="X4600">
        <v>0</v>
      </c>
      <c r="Y4600">
        <v>0</v>
      </c>
      <c r="Z4600">
        <v>9727.4599999999991</v>
      </c>
      <c r="AA4600">
        <v>9959.7800000000007</v>
      </c>
      <c r="AB4600" s="12" t="s">
        <v>5591</v>
      </c>
      <c r="AC4600">
        <v>56.555</v>
      </c>
      <c r="AD4600">
        <v>1</v>
      </c>
      <c r="AE4600">
        <v>1</v>
      </c>
      <c r="AF4600">
        <v>0</v>
      </c>
      <c r="AG4600">
        <v>9727.4599999999991</v>
      </c>
      <c r="AH4600">
        <v>172</v>
      </c>
      <c r="AI4600">
        <v>171</v>
      </c>
      <c r="AJ4600">
        <v>1</v>
      </c>
      <c r="AK4600">
        <v>1</v>
      </c>
      <c r="AL4600">
        <v>1</v>
      </c>
      <c r="AM4600">
        <v>99.42</v>
      </c>
      <c r="AN4600">
        <v>58.244300000000003</v>
      </c>
      <c r="AO4600">
        <v>56.56</v>
      </c>
      <c r="AP4600" s="13">
        <v>45758</v>
      </c>
      <c r="AQ4600">
        <v>2</v>
      </c>
      <c r="AR4600">
        <v>0</v>
      </c>
    </row>
    <row r="4601" spans="1:44" x14ac:dyDescent="0.35">
      <c r="A4601" s="12" t="s">
        <v>5592</v>
      </c>
      <c r="B4601" s="12" t="s">
        <v>391</v>
      </c>
      <c r="C4601" s="12" t="s">
        <v>392</v>
      </c>
      <c r="D4601" s="12" t="s">
        <v>114</v>
      </c>
      <c r="E4601" s="12" t="s">
        <v>65</v>
      </c>
      <c r="F4601">
        <v>2</v>
      </c>
      <c r="G4601">
        <v>2</v>
      </c>
      <c r="H4601">
        <v>0</v>
      </c>
      <c r="I4601" s="12" t="s">
        <v>195</v>
      </c>
      <c r="J4601" s="12" t="s">
        <v>196</v>
      </c>
      <c r="K4601" s="12" t="s">
        <v>117</v>
      </c>
      <c r="L4601" s="12" t="s">
        <v>134</v>
      </c>
      <c r="M4601">
        <v>4.7699999999999996</v>
      </c>
      <c r="N4601" s="12" t="s">
        <v>97</v>
      </c>
      <c r="O4601" s="12" t="s">
        <v>98</v>
      </c>
      <c r="P4601" s="12" t="s">
        <v>72</v>
      </c>
      <c r="Q4601" s="13">
        <v>45735</v>
      </c>
      <c r="R4601" s="13">
        <v>45757</v>
      </c>
      <c r="S4601">
        <v>2025</v>
      </c>
      <c r="T4601" s="12" t="s">
        <v>5461</v>
      </c>
      <c r="U4601">
        <v>23</v>
      </c>
      <c r="V4601">
        <v>239.91560000000001</v>
      </c>
      <c r="W4601">
        <v>78.81</v>
      </c>
      <c r="X4601">
        <v>0</v>
      </c>
      <c r="Y4601">
        <v>0</v>
      </c>
      <c r="Z4601">
        <v>5518.06</v>
      </c>
      <c r="AA4601">
        <v>5596.87</v>
      </c>
      <c r="AB4601" s="12" t="s">
        <v>201</v>
      </c>
      <c r="AD4601">
        <v>0</v>
      </c>
      <c r="AE4601">
        <v>0</v>
      </c>
      <c r="AH4601">
        <v>23</v>
      </c>
      <c r="AI4601">
        <v>23</v>
      </c>
      <c r="AJ4601">
        <v>0</v>
      </c>
      <c r="AK4601">
        <v>1</v>
      </c>
      <c r="AL4601">
        <v>1</v>
      </c>
      <c r="AM4601">
        <v>100</v>
      </c>
      <c r="AN4601">
        <v>243.34209999999999</v>
      </c>
      <c r="AO4601">
        <v>0</v>
      </c>
      <c r="AP4601" s="13">
        <v>45757</v>
      </c>
      <c r="AQ4601">
        <v>0</v>
      </c>
      <c r="AR4601">
        <v>1</v>
      </c>
    </row>
    <row r="4602" spans="1:44" x14ac:dyDescent="0.35">
      <c r="A4602" s="12" t="s">
        <v>5593</v>
      </c>
      <c r="B4602" s="12" t="s">
        <v>482</v>
      </c>
      <c r="C4602" s="12" t="s">
        <v>483</v>
      </c>
      <c r="D4602" s="12" t="s">
        <v>78</v>
      </c>
      <c r="E4602" s="12" t="s">
        <v>142</v>
      </c>
      <c r="F4602">
        <v>2</v>
      </c>
      <c r="G4602">
        <v>9</v>
      </c>
      <c r="H4602">
        <v>0</v>
      </c>
      <c r="I4602" s="12" t="s">
        <v>183</v>
      </c>
      <c r="J4602" s="12" t="s">
        <v>184</v>
      </c>
      <c r="K4602" s="12" t="s">
        <v>133</v>
      </c>
      <c r="L4602" s="12" t="s">
        <v>82</v>
      </c>
      <c r="M4602">
        <v>8.6199999999999992</v>
      </c>
      <c r="N4602" s="12" t="s">
        <v>97</v>
      </c>
      <c r="O4602" s="12" t="s">
        <v>98</v>
      </c>
      <c r="P4602" s="12" t="s">
        <v>72</v>
      </c>
      <c r="Q4602" s="13">
        <v>45735</v>
      </c>
      <c r="R4602" s="13">
        <v>45773</v>
      </c>
      <c r="S4602">
        <v>2025</v>
      </c>
      <c r="T4602" s="12" t="s">
        <v>5461</v>
      </c>
      <c r="U4602">
        <v>90</v>
      </c>
      <c r="V4602">
        <v>50.302500000000002</v>
      </c>
      <c r="W4602">
        <v>96.42</v>
      </c>
      <c r="X4602">
        <v>0</v>
      </c>
      <c r="Y4602">
        <v>0</v>
      </c>
      <c r="Z4602">
        <v>4527.2299999999996</v>
      </c>
      <c r="AA4602">
        <v>4623.6499999999996</v>
      </c>
      <c r="AB4602" s="12" t="s">
        <v>201</v>
      </c>
      <c r="AD4602">
        <v>0</v>
      </c>
      <c r="AE4602">
        <v>0</v>
      </c>
      <c r="AH4602">
        <v>90</v>
      </c>
      <c r="AI4602">
        <v>89</v>
      </c>
      <c r="AJ4602">
        <v>1</v>
      </c>
      <c r="AK4602">
        <v>1</v>
      </c>
      <c r="AL4602">
        <v>1</v>
      </c>
      <c r="AM4602">
        <v>98.89</v>
      </c>
      <c r="AN4602">
        <v>51.951099999999997</v>
      </c>
      <c r="AO4602">
        <v>50.3</v>
      </c>
      <c r="AP4602" s="13">
        <v>45773</v>
      </c>
      <c r="AQ4602">
        <v>0</v>
      </c>
      <c r="AR4602">
        <v>1</v>
      </c>
    </row>
    <row r="4603" spans="1:44" x14ac:dyDescent="0.35">
      <c r="A4603" s="12" t="s">
        <v>5594</v>
      </c>
      <c r="B4603" s="12" t="s">
        <v>1042</v>
      </c>
      <c r="C4603" s="12" t="s">
        <v>1043</v>
      </c>
      <c r="D4603" s="12" t="s">
        <v>269</v>
      </c>
      <c r="E4603" s="12" t="s">
        <v>104</v>
      </c>
      <c r="F4603">
        <v>2</v>
      </c>
      <c r="G4603">
        <v>0</v>
      </c>
      <c r="H4603">
        <v>0</v>
      </c>
      <c r="I4603" s="12" t="s">
        <v>199</v>
      </c>
      <c r="J4603" s="12" t="s">
        <v>200</v>
      </c>
      <c r="K4603" s="12" t="s">
        <v>68</v>
      </c>
      <c r="L4603" s="12" t="s">
        <v>96</v>
      </c>
      <c r="M4603">
        <v>9.4700000000000006</v>
      </c>
      <c r="N4603" s="12" t="s">
        <v>159</v>
      </c>
      <c r="O4603" s="12" t="s">
        <v>160</v>
      </c>
      <c r="P4603" s="12" t="s">
        <v>137</v>
      </c>
      <c r="Q4603" s="13">
        <v>45735</v>
      </c>
      <c r="R4603" s="13">
        <v>45748</v>
      </c>
      <c r="S4603">
        <v>2025</v>
      </c>
      <c r="T4603" s="12" t="s">
        <v>5461</v>
      </c>
      <c r="U4603">
        <v>17</v>
      </c>
      <c r="V4603">
        <v>290.43689999999998</v>
      </c>
      <c r="W4603">
        <v>113.16</v>
      </c>
      <c r="X4603">
        <v>0</v>
      </c>
      <c r="Y4603">
        <v>0</v>
      </c>
      <c r="Z4603">
        <v>4937.43</v>
      </c>
      <c r="AA4603">
        <v>5050.59</v>
      </c>
      <c r="AB4603" s="12" t="s">
        <v>4127</v>
      </c>
      <c r="AC4603">
        <v>290.43689999999998</v>
      </c>
      <c r="AD4603">
        <v>1</v>
      </c>
      <c r="AE4603">
        <v>1</v>
      </c>
      <c r="AF4603">
        <v>0</v>
      </c>
      <c r="AG4603">
        <v>4937.43</v>
      </c>
      <c r="AH4603">
        <v>17</v>
      </c>
      <c r="AI4603">
        <v>17</v>
      </c>
      <c r="AJ4603">
        <v>0</v>
      </c>
      <c r="AK4603">
        <v>1</v>
      </c>
      <c r="AL4603">
        <v>1</v>
      </c>
      <c r="AM4603">
        <v>100</v>
      </c>
      <c r="AN4603">
        <v>297.09339999999997</v>
      </c>
      <c r="AO4603">
        <v>0</v>
      </c>
      <c r="AP4603" s="13">
        <v>45750</v>
      </c>
      <c r="AQ4603">
        <v>2</v>
      </c>
      <c r="AR4603">
        <v>0</v>
      </c>
    </row>
    <row r="4604" spans="1:44" x14ac:dyDescent="0.35">
      <c r="A4604" s="12" t="s">
        <v>5595</v>
      </c>
      <c r="B4604" s="12" t="s">
        <v>680</v>
      </c>
      <c r="C4604" s="12" t="s">
        <v>681</v>
      </c>
      <c r="D4604" s="12" t="s">
        <v>122</v>
      </c>
      <c r="E4604" s="12" t="s">
        <v>104</v>
      </c>
      <c r="F4604">
        <v>3</v>
      </c>
      <c r="G4604">
        <v>1</v>
      </c>
      <c r="H4604">
        <v>0</v>
      </c>
      <c r="I4604" s="12" t="s">
        <v>227</v>
      </c>
      <c r="J4604" s="12" t="s">
        <v>228</v>
      </c>
      <c r="K4604" s="12" t="s">
        <v>89</v>
      </c>
      <c r="L4604" s="12" t="s">
        <v>96</v>
      </c>
      <c r="M4604">
        <v>9.15</v>
      </c>
      <c r="N4604" s="12" t="s">
        <v>70</v>
      </c>
      <c r="O4604" s="12" t="s">
        <v>71</v>
      </c>
      <c r="P4604" s="12" t="s">
        <v>72</v>
      </c>
      <c r="Q4604" s="13">
        <v>45736</v>
      </c>
      <c r="R4604" s="13">
        <v>45754</v>
      </c>
      <c r="S4604">
        <v>2025</v>
      </c>
      <c r="T4604" s="12" t="s">
        <v>5461</v>
      </c>
      <c r="U4604">
        <v>876</v>
      </c>
      <c r="V4604">
        <v>22.590800000000002</v>
      </c>
      <c r="W4604">
        <v>412.84</v>
      </c>
      <c r="X4604">
        <v>0</v>
      </c>
      <c r="Y4604">
        <v>0</v>
      </c>
      <c r="Z4604">
        <v>19789.54</v>
      </c>
      <c r="AA4604">
        <v>20202.38</v>
      </c>
      <c r="AB4604" s="12" t="s">
        <v>201</v>
      </c>
      <c r="AD4604">
        <v>0</v>
      </c>
      <c r="AE4604">
        <v>0</v>
      </c>
      <c r="AH4604">
        <v>876</v>
      </c>
      <c r="AI4604">
        <v>867</v>
      </c>
      <c r="AJ4604">
        <v>9</v>
      </c>
      <c r="AK4604">
        <v>1</v>
      </c>
      <c r="AL4604">
        <v>1</v>
      </c>
      <c r="AM4604">
        <v>98.97</v>
      </c>
      <c r="AN4604">
        <v>23.301500000000001</v>
      </c>
      <c r="AO4604">
        <v>203.32</v>
      </c>
      <c r="AP4604" s="13">
        <v>45751</v>
      </c>
      <c r="AQ4604">
        <v>-3</v>
      </c>
      <c r="AR4604">
        <v>1</v>
      </c>
    </row>
    <row r="4605" spans="1:44" x14ac:dyDescent="0.35">
      <c r="A4605" s="12" t="s">
        <v>5596</v>
      </c>
      <c r="B4605" s="12" t="s">
        <v>317</v>
      </c>
      <c r="C4605" s="12" t="s">
        <v>318</v>
      </c>
      <c r="D4605" s="12" t="s">
        <v>64</v>
      </c>
      <c r="E4605" s="12" t="s">
        <v>104</v>
      </c>
      <c r="F4605">
        <v>2</v>
      </c>
      <c r="G4605">
        <v>0</v>
      </c>
      <c r="H4605">
        <v>0</v>
      </c>
      <c r="I4605" s="12" t="s">
        <v>169</v>
      </c>
      <c r="J4605" s="12" t="s">
        <v>170</v>
      </c>
      <c r="K4605" s="12" t="s">
        <v>89</v>
      </c>
      <c r="L4605" s="12" t="s">
        <v>134</v>
      </c>
      <c r="M4605">
        <v>1.37</v>
      </c>
      <c r="N4605" s="12" t="s">
        <v>70</v>
      </c>
      <c r="O4605" s="12" t="s">
        <v>71</v>
      </c>
      <c r="P4605" s="12" t="s">
        <v>72</v>
      </c>
      <c r="Q4605" s="13">
        <v>45736</v>
      </c>
      <c r="R4605" s="13">
        <v>45764</v>
      </c>
      <c r="S4605">
        <v>2025</v>
      </c>
      <c r="T4605" s="12" t="s">
        <v>5461</v>
      </c>
      <c r="U4605">
        <v>906</v>
      </c>
      <c r="V4605">
        <v>15.823399999999999</v>
      </c>
      <c r="W4605">
        <v>216.6</v>
      </c>
      <c r="X4605">
        <v>0</v>
      </c>
      <c r="Y4605">
        <v>0</v>
      </c>
      <c r="Z4605">
        <v>14336</v>
      </c>
      <c r="AA4605">
        <v>14552.6</v>
      </c>
      <c r="AB4605" s="12" t="s">
        <v>5518</v>
      </c>
      <c r="AC4605">
        <v>15.823399999999999</v>
      </c>
      <c r="AD4605">
        <v>1</v>
      </c>
      <c r="AE4605">
        <v>1</v>
      </c>
      <c r="AF4605">
        <v>0</v>
      </c>
      <c r="AG4605">
        <v>14336</v>
      </c>
      <c r="AH4605">
        <v>906</v>
      </c>
      <c r="AI4605">
        <v>893</v>
      </c>
      <c r="AJ4605">
        <v>13</v>
      </c>
      <c r="AK4605">
        <v>1</v>
      </c>
      <c r="AL4605">
        <v>1</v>
      </c>
      <c r="AM4605">
        <v>98.57</v>
      </c>
      <c r="AN4605">
        <v>16.296299999999999</v>
      </c>
      <c r="AO4605">
        <v>205.7</v>
      </c>
      <c r="AP4605" s="13">
        <v>45773</v>
      </c>
      <c r="AQ4605">
        <v>9</v>
      </c>
      <c r="AR4605">
        <v>0</v>
      </c>
    </row>
    <row r="4606" spans="1:44" x14ac:dyDescent="0.35">
      <c r="A4606" s="12" t="s">
        <v>5597</v>
      </c>
      <c r="B4606" s="12" t="s">
        <v>843</v>
      </c>
      <c r="C4606" s="12" t="s">
        <v>844</v>
      </c>
      <c r="D4606" s="12" t="s">
        <v>175</v>
      </c>
      <c r="E4606" s="12" t="s">
        <v>65</v>
      </c>
      <c r="F4606">
        <v>3</v>
      </c>
      <c r="G4606">
        <v>5</v>
      </c>
      <c r="H4606">
        <v>0</v>
      </c>
      <c r="I4606" s="12" t="s">
        <v>359</v>
      </c>
      <c r="J4606" s="12" t="s">
        <v>360</v>
      </c>
      <c r="K4606" s="12" t="s">
        <v>133</v>
      </c>
      <c r="L4606" s="12" t="s">
        <v>82</v>
      </c>
      <c r="M4606">
        <v>12.65</v>
      </c>
      <c r="N4606" s="12" t="s">
        <v>145</v>
      </c>
      <c r="O4606" s="12" t="s">
        <v>146</v>
      </c>
      <c r="P4606" s="12" t="s">
        <v>109</v>
      </c>
      <c r="Q4606" s="13">
        <v>45736</v>
      </c>
      <c r="R4606" s="13">
        <v>45757</v>
      </c>
      <c r="S4606">
        <v>2025</v>
      </c>
      <c r="T4606" s="12" t="s">
        <v>5461</v>
      </c>
      <c r="U4606">
        <v>15</v>
      </c>
      <c r="V4606">
        <v>251.77279999999999</v>
      </c>
      <c r="W4606">
        <v>43.92</v>
      </c>
      <c r="X4606">
        <v>113.84</v>
      </c>
      <c r="Y4606">
        <v>1</v>
      </c>
      <c r="Z4606">
        <v>3776.59</v>
      </c>
      <c r="AA4606">
        <v>3934.35</v>
      </c>
      <c r="AB4606" s="12" t="s">
        <v>3324</v>
      </c>
      <c r="AC4606">
        <v>251.77279999999999</v>
      </c>
      <c r="AD4606">
        <v>1</v>
      </c>
      <c r="AE4606">
        <v>1</v>
      </c>
      <c r="AF4606">
        <v>0</v>
      </c>
      <c r="AG4606">
        <v>3776.59</v>
      </c>
      <c r="AH4606">
        <v>15</v>
      </c>
      <c r="AI4606">
        <v>15</v>
      </c>
      <c r="AJ4606">
        <v>0</v>
      </c>
      <c r="AK4606">
        <v>1</v>
      </c>
      <c r="AL4606">
        <v>1</v>
      </c>
      <c r="AM4606">
        <v>100</v>
      </c>
      <c r="AN4606">
        <v>262.2901</v>
      </c>
      <c r="AO4606">
        <v>0</v>
      </c>
      <c r="AP4606" s="13">
        <v>45754</v>
      </c>
      <c r="AQ4606">
        <v>-3</v>
      </c>
      <c r="AR4606">
        <v>1</v>
      </c>
    </row>
    <row r="4607" spans="1:44" x14ac:dyDescent="0.35">
      <c r="A4607" s="12" t="s">
        <v>5598</v>
      </c>
      <c r="B4607" s="12" t="s">
        <v>261</v>
      </c>
      <c r="C4607" s="12" t="s">
        <v>262</v>
      </c>
      <c r="D4607" s="12" t="s">
        <v>114</v>
      </c>
      <c r="E4607" s="12" t="s">
        <v>142</v>
      </c>
      <c r="F4607">
        <v>1</v>
      </c>
      <c r="G4607">
        <v>8</v>
      </c>
      <c r="H4607">
        <v>1</v>
      </c>
      <c r="I4607" s="12" t="s">
        <v>263</v>
      </c>
      <c r="J4607" s="12" t="s">
        <v>264</v>
      </c>
      <c r="K4607" s="12" t="s">
        <v>125</v>
      </c>
      <c r="L4607" s="12" t="s">
        <v>82</v>
      </c>
      <c r="M4607">
        <v>10.210000000000001</v>
      </c>
      <c r="N4607" s="12" t="s">
        <v>70</v>
      </c>
      <c r="O4607" s="12" t="s">
        <v>71</v>
      </c>
      <c r="P4607" s="12" t="s">
        <v>72</v>
      </c>
      <c r="Q4607" s="13">
        <v>45736</v>
      </c>
      <c r="R4607" s="13">
        <v>45771</v>
      </c>
      <c r="S4607">
        <v>2025</v>
      </c>
      <c r="T4607" s="12" t="s">
        <v>5461</v>
      </c>
      <c r="U4607">
        <v>14</v>
      </c>
      <c r="V4607">
        <v>153.459</v>
      </c>
      <c r="W4607">
        <v>48.74</v>
      </c>
      <c r="X4607">
        <v>0</v>
      </c>
      <c r="Y4607">
        <v>0</v>
      </c>
      <c r="Z4607">
        <v>2148.4299999999998</v>
      </c>
      <c r="AA4607">
        <v>2197.17</v>
      </c>
      <c r="AB4607" s="12" t="s">
        <v>201</v>
      </c>
      <c r="AD4607">
        <v>0</v>
      </c>
      <c r="AE4607">
        <v>0</v>
      </c>
      <c r="AH4607">
        <v>14</v>
      </c>
      <c r="AI4607">
        <v>14</v>
      </c>
      <c r="AJ4607">
        <v>0</v>
      </c>
      <c r="AK4607">
        <v>1</v>
      </c>
      <c r="AL4607">
        <v>1</v>
      </c>
      <c r="AM4607">
        <v>100</v>
      </c>
      <c r="AN4607">
        <v>156.94040000000001</v>
      </c>
      <c r="AO4607">
        <v>0</v>
      </c>
      <c r="AP4607" s="13">
        <v>45768</v>
      </c>
      <c r="AQ4607">
        <v>-3</v>
      </c>
      <c r="AR4607">
        <v>1</v>
      </c>
    </row>
    <row r="4608" spans="1:44" x14ac:dyDescent="0.35">
      <c r="A4608" s="12" t="s">
        <v>5599</v>
      </c>
      <c r="B4608" s="12" t="s">
        <v>399</v>
      </c>
      <c r="C4608" s="12" t="s">
        <v>400</v>
      </c>
      <c r="D4608" s="12" t="s">
        <v>114</v>
      </c>
      <c r="E4608" s="12" t="s">
        <v>65</v>
      </c>
      <c r="F4608">
        <v>1</v>
      </c>
      <c r="G4608">
        <v>2</v>
      </c>
      <c r="H4608">
        <v>1</v>
      </c>
      <c r="I4608" s="12" t="s">
        <v>151</v>
      </c>
      <c r="J4608" s="12" t="s">
        <v>152</v>
      </c>
      <c r="K4608" s="12" t="s">
        <v>125</v>
      </c>
      <c r="L4608" s="12" t="s">
        <v>69</v>
      </c>
      <c r="M4608">
        <v>36.479999999999997</v>
      </c>
      <c r="N4608" s="12" t="s">
        <v>97</v>
      </c>
      <c r="O4608" s="12" t="s">
        <v>98</v>
      </c>
      <c r="P4608" s="12" t="s">
        <v>72</v>
      </c>
      <c r="Q4608" s="13">
        <v>45736</v>
      </c>
      <c r="R4608" s="13">
        <v>45766</v>
      </c>
      <c r="S4608">
        <v>2025</v>
      </c>
      <c r="T4608" s="12" t="s">
        <v>5461</v>
      </c>
      <c r="U4608">
        <v>84</v>
      </c>
      <c r="V4608">
        <v>305.14159999999998</v>
      </c>
      <c r="W4608">
        <v>580.45000000000005</v>
      </c>
      <c r="X4608">
        <v>0</v>
      </c>
      <c r="Y4608">
        <v>0</v>
      </c>
      <c r="Z4608">
        <v>25631.89</v>
      </c>
      <c r="AA4608">
        <v>26212.34</v>
      </c>
      <c r="AB4608" s="12" t="s">
        <v>201</v>
      </c>
      <c r="AD4608">
        <v>0</v>
      </c>
      <c r="AE4608">
        <v>0</v>
      </c>
      <c r="AH4608">
        <v>84</v>
      </c>
      <c r="AI4608">
        <v>83</v>
      </c>
      <c r="AJ4608">
        <v>1</v>
      </c>
      <c r="AK4608">
        <v>1</v>
      </c>
      <c r="AL4608">
        <v>1</v>
      </c>
      <c r="AM4608">
        <v>98.81</v>
      </c>
      <c r="AN4608">
        <v>315.81139999999999</v>
      </c>
      <c r="AO4608">
        <v>305.14</v>
      </c>
      <c r="AP4608" s="13">
        <v>45764</v>
      </c>
      <c r="AQ4608">
        <v>-2</v>
      </c>
      <c r="AR4608">
        <v>1</v>
      </c>
    </row>
    <row r="4609" spans="1:44" x14ac:dyDescent="0.35">
      <c r="A4609" s="12" t="s">
        <v>5600</v>
      </c>
      <c r="B4609" s="12" t="s">
        <v>62</v>
      </c>
      <c r="C4609" s="12" t="s">
        <v>63</v>
      </c>
      <c r="D4609" s="12" t="s">
        <v>64</v>
      </c>
      <c r="E4609" s="12" t="s">
        <v>65</v>
      </c>
      <c r="F4609">
        <v>1</v>
      </c>
      <c r="G4609">
        <v>2</v>
      </c>
      <c r="H4609">
        <v>1</v>
      </c>
      <c r="I4609" s="12" t="s">
        <v>66</v>
      </c>
      <c r="J4609" s="12" t="s">
        <v>67</v>
      </c>
      <c r="K4609" s="12" t="s">
        <v>68</v>
      </c>
      <c r="L4609" s="12" t="s">
        <v>69</v>
      </c>
      <c r="M4609">
        <v>17.66</v>
      </c>
      <c r="N4609" s="12" t="s">
        <v>70</v>
      </c>
      <c r="O4609" s="12" t="s">
        <v>71</v>
      </c>
      <c r="P4609" s="12" t="s">
        <v>72</v>
      </c>
      <c r="Q4609" s="13">
        <v>45736</v>
      </c>
      <c r="R4609" s="13">
        <v>45772</v>
      </c>
      <c r="S4609">
        <v>2025</v>
      </c>
      <c r="T4609" s="12" t="s">
        <v>5461</v>
      </c>
      <c r="U4609">
        <v>873</v>
      </c>
      <c r="V4609">
        <v>24.444199999999999</v>
      </c>
      <c r="W4609">
        <v>348.45</v>
      </c>
      <c r="X4609">
        <v>0</v>
      </c>
      <c r="Y4609">
        <v>0</v>
      </c>
      <c r="Z4609">
        <v>21339.79</v>
      </c>
      <c r="AA4609">
        <v>21688.240000000002</v>
      </c>
      <c r="AB4609" s="12" t="s">
        <v>201</v>
      </c>
      <c r="AD4609">
        <v>0</v>
      </c>
      <c r="AE4609">
        <v>0</v>
      </c>
      <c r="AH4609">
        <v>873</v>
      </c>
      <c r="AI4609">
        <v>861</v>
      </c>
      <c r="AJ4609">
        <v>12</v>
      </c>
      <c r="AK4609">
        <v>1</v>
      </c>
      <c r="AL4609">
        <v>1</v>
      </c>
      <c r="AM4609">
        <v>98.63</v>
      </c>
      <c r="AN4609">
        <v>25.189599999999999</v>
      </c>
      <c r="AO4609">
        <v>293.33</v>
      </c>
      <c r="AP4609" s="13">
        <v>45772</v>
      </c>
      <c r="AQ4609">
        <v>0</v>
      </c>
      <c r="AR4609">
        <v>1</v>
      </c>
    </row>
    <row r="4610" spans="1:44" x14ac:dyDescent="0.35">
      <c r="A4610" s="12" t="s">
        <v>5601</v>
      </c>
      <c r="B4610" s="12" t="s">
        <v>339</v>
      </c>
      <c r="C4610" s="12" t="s">
        <v>340</v>
      </c>
      <c r="D4610" s="12" t="s">
        <v>103</v>
      </c>
      <c r="E4610" s="12" t="s">
        <v>142</v>
      </c>
      <c r="F4610">
        <v>2</v>
      </c>
      <c r="G4610">
        <v>9</v>
      </c>
      <c r="H4610">
        <v>0</v>
      </c>
      <c r="I4610" s="12" t="s">
        <v>169</v>
      </c>
      <c r="J4610" s="12" t="s">
        <v>170</v>
      </c>
      <c r="K4610" s="12" t="s">
        <v>89</v>
      </c>
      <c r="L4610" s="12" t="s">
        <v>134</v>
      </c>
      <c r="M4610">
        <v>1.37</v>
      </c>
      <c r="N4610" s="12" t="s">
        <v>107</v>
      </c>
      <c r="O4610" s="12" t="s">
        <v>108</v>
      </c>
      <c r="P4610" s="12" t="s">
        <v>109</v>
      </c>
      <c r="Q4610" s="13">
        <v>45736</v>
      </c>
      <c r="R4610" s="13">
        <v>45774</v>
      </c>
      <c r="S4610">
        <v>2025</v>
      </c>
      <c r="T4610" s="12" t="s">
        <v>5461</v>
      </c>
      <c r="U4610">
        <v>40</v>
      </c>
      <c r="V4610">
        <v>236.3116</v>
      </c>
      <c r="W4610">
        <v>184.97</v>
      </c>
      <c r="X4610">
        <v>0</v>
      </c>
      <c r="Y4610">
        <v>0</v>
      </c>
      <c r="Z4610">
        <v>9452.4599999999991</v>
      </c>
      <c r="AA4610">
        <v>9637.43</v>
      </c>
      <c r="AB4610" s="12" t="s">
        <v>5394</v>
      </c>
      <c r="AC4610">
        <v>236.3116</v>
      </c>
      <c r="AD4610">
        <v>1</v>
      </c>
      <c r="AE4610">
        <v>1</v>
      </c>
      <c r="AF4610">
        <v>0</v>
      </c>
      <c r="AG4610">
        <v>9452.4599999999991</v>
      </c>
      <c r="AH4610">
        <v>40</v>
      </c>
      <c r="AI4610">
        <v>40</v>
      </c>
      <c r="AJ4610">
        <v>0</v>
      </c>
      <c r="AK4610">
        <v>1</v>
      </c>
      <c r="AL4610">
        <v>1</v>
      </c>
      <c r="AM4610">
        <v>100</v>
      </c>
      <c r="AN4610">
        <v>240.9359</v>
      </c>
      <c r="AO4610">
        <v>0</v>
      </c>
      <c r="AP4610" s="13">
        <v>45774</v>
      </c>
      <c r="AQ4610">
        <v>0</v>
      </c>
      <c r="AR4610">
        <v>1</v>
      </c>
    </row>
    <row r="4611" spans="1:44" x14ac:dyDescent="0.35">
      <c r="A4611" s="12" t="s">
        <v>5602</v>
      </c>
      <c r="B4611" s="12" t="s">
        <v>255</v>
      </c>
      <c r="C4611" s="12" t="s">
        <v>256</v>
      </c>
      <c r="D4611" s="12" t="s">
        <v>103</v>
      </c>
      <c r="E4611" s="12" t="s">
        <v>65</v>
      </c>
      <c r="F4611">
        <v>2</v>
      </c>
      <c r="G4611">
        <v>4</v>
      </c>
      <c r="H4611">
        <v>0</v>
      </c>
      <c r="I4611" s="12" t="s">
        <v>143</v>
      </c>
      <c r="J4611" s="12" t="s">
        <v>144</v>
      </c>
      <c r="K4611" s="12" t="s">
        <v>133</v>
      </c>
      <c r="L4611" s="12" t="s">
        <v>96</v>
      </c>
      <c r="M4611">
        <v>5.43</v>
      </c>
      <c r="N4611" s="12" t="s">
        <v>107</v>
      </c>
      <c r="O4611" s="12" t="s">
        <v>108</v>
      </c>
      <c r="P4611" s="12" t="s">
        <v>109</v>
      </c>
      <c r="Q4611" s="13">
        <v>45736</v>
      </c>
      <c r="R4611" s="13">
        <v>45773</v>
      </c>
      <c r="S4611">
        <v>2025</v>
      </c>
      <c r="T4611" s="12" t="s">
        <v>5461</v>
      </c>
      <c r="U4611">
        <v>139</v>
      </c>
      <c r="V4611">
        <v>95.061000000000007</v>
      </c>
      <c r="W4611">
        <v>156.31</v>
      </c>
      <c r="X4611">
        <v>0</v>
      </c>
      <c r="Y4611">
        <v>0</v>
      </c>
      <c r="Z4611">
        <v>13213.48</v>
      </c>
      <c r="AA4611">
        <v>13369.79</v>
      </c>
      <c r="AB4611" s="12" t="s">
        <v>5188</v>
      </c>
      <c r="AC4611">
        <v>95.061000000000007</v>
      </c>
      <c r="AD4611">
        <v>1</v>
      </c>
      <c r="AE4611">
        <v>1</v>
      </c>
      <c r="AF4611">
        <v>0</v>
      </c>
      <c r="AG4611">
        <v>13213.48</v>
      </c>
      <c r="AH4611">
        <v>139</v>
      </c>
      <c r="AI4611">
        <v>139</v>
      </c>
      <c r="AJ4611">
        <v>0</v>
      </c>
      <c r="AK4611">
        <v>1</v>
      </c>
      <c r="AL4611">
        <v>1</v>
      </c>
      <c r="AM4611">
        <v>100</v>
      </c>
      <c r="AN4611">
        <v>96.185500000000005</v>
      </c>
      <c r="AO4611">
        <v>0</v>
      </c>
      <c r="AP4611" s="13">
        <v>45771</v>
      </c>
      <c r="AQ4611">
        <v>-2</v>
      </c>
      <c r="AR4611">
        <v>1</v>
      </c>
    </row>
    <row r="4612" spans="1:44" x14ac:dyDescent="0.35">
      <c r="A4612" s="12" t="s">
        <v>5603</v>
      </c>
      <c r="B4612" s="12" t="s">
        <v>661</v>
      </c>
      <c r="C4612" s="12" t="s">
        <v>662</v>
      </c>
      <c r="D4612" s="12" t="s">
        <v>175</v>
      </c>
      <c r="E4612" s="12" t="s">
        <v>104</v>
      </c>
      <c r="F4612">
        <v>1</v>
      </c>
      <c r="G4612">
        <v>0</v>
      </c>
      <c r="H4612">
        <v>1</v>
      </c>
      <c r="I4612" s="12" t="s">
        <v>183</v>
      </c>
      <c r="J4612" s="12" t="s">
        <v>184</v>
      </c>
      <c r="K4612" s="12" t="s">
        <v>133</v>
      </c>
      <c r="L4612" s="12" t="s">
        <v>82</v>
      </c>
      <c r="M4612">
        <v>8.6199999999999992</v>
      </c>
      <c r="N4612" s="12" t="s">
        <v>107</v>
      </c>
      <c r="O4612" s="12" t="s">
        <v>108</v>
      </c>
      <c r="P4612" s="12" t="s">
        <v>109</v>
      </c>
      <c r="Q4612" s="13">
        <v>45736</v>
      </c>
      <c r="R4612" s="13">
        <v>45749</v>
      </c>
      <c r="S4612">
        <v>2025</v>
      </c>
      <c r="T4612" s="12" t="s">
        <v>5461</v>
      </c>
      <c r="U4612">
        <v>23</v>
      </c>
      <c r="V4612">
        <v>166.30070000000001</v>
      </c>
      <c r="W4612">
        <v>74.86</v>
      </c>
      <c r="X4612">
        <v>0</v>
      </c>
      <c r="Y4612">
        <v>0</v>
      </c>
      <c r="Z4612">
        <v>3824.92</v>
      </c>
      <c r="AA4612">
        <v>3899.78</v>
      </c>
      <c r="AB4612" s="12" t="s">
        <v>5336</v>
      </c>
      <c r="AC4612">
        <v>166.30070000000001</v>
      </c>
      <c r="AD4612">
        <v>1</v>
      </c>
      <c r="AE4612">
        <v>1</v>
      </c>
      <c r="AF4612">
        <v>0</v>
      </c>
      <c r="AG4612">
        <v>3824.92</v>
      </c>
      <c r="AH4612">
        <v>23</v>
      </c>
      <c r="AI4612">
        <v>23</v>
      </c>
      <c r="AJ4612">
        <v>0</v>
      </c>
      <c r="AK4612">
        <v>1</v>
      </c>
      <c r="AL4612">
        <v>1</v>
      </c>
      <c r="AM4612">
        <v>100</v>
      </c>
      <c r="AN4612">
        <v>169.55549999999999</v>
      </c>
      <c r="AO4612">
        <v>0</v>
      </c>
      <c r="AP4612" s="13">
        <v>45747</v>
      </c>
      <c r="AQ4612">
        <v>-2</v>
      </c>
      <c r="AR4612">
        <v>1</v>
      </c>
    </row>
    <row r="4613" spans="1:44" x14ac:dyDescent="0.35">
      <c r="A4613" s="12" t="s">
        <v>5604</v>
      </c>
      <c r="B4613" s="12" t="s">
        <v>869</v>
      </c>
      <c r="C4613" s="12" t="s">
        <v>870</v>
      </c>
      <c r="D4613" s="12" t="s">
        <v>130</v>
      </c>
      <c r="E4613" s="12" t="s">
        <v>104</v>
      </c>
      <c r="F4613">
        <v>2</v>
      </c>
      <c r="G4613">
        <v>0</v>
      </c>
      <c r="H4613">
        <v>0</v>
      </c>
      <c r="I4613" s="12" t="s">
        <v>515</v>
      </c>
      <c r="J4613" s="12" t="s">
        <v>516</v>
      </c>
      <c r="K4613" s="12" t="s">
        <v>68</v>
      </c>
      <c r="L4613" s="12" t="s">
        <v>134</v>
      </c>
      <c r="M4613">
        <v>3.69</v>
      </c>
      <c r="N4613" s="12" t="s">
        <v>159</v>
      </c>
      <c r="O4613" s="12" t="s">
        <v>160</v>
      </c>
      <c r="P4613" s="12" t="s">
        <v>137</v>
      </c>
      <c r="Q4613" s="13">
        <v>45736</v>
      </c>
      <c r="R4613" s="13">
        <v>45749</v>
      </c>
      <c r="S4613">
        <v>2025</v>
      </c>
      <c r="T4613" s="12" t="s">
        <v>5461</v>
      </c>
      <c r="U4613">
        <v>20</v>
      </c>
      <c r="V4613">
        <v>652.27829999999994</v>
      </c>
      <c r="W4613">
        <v>201.67</v>
      </c>
      <c r="X4613">
        <v>0</v>
      </c>
      <c r="Y4613">
        <v>0</v>
      </c>
      <c r="Z4613">
        <v>13045.57</v>
      </c>
      <c r="AA4613">
        <v>13247.24</v>
      </c>
      <c r="AB4613" s="12" t="s">
        <v>201</v>
      </c>
      <c r="AD4613">
        <v>0</v>
      </c>
      <c r="AE4613">
        <v>0</v>
      </c>
      <c r="AH4613">
        <v>20</v>
      </c>
      <c r="AI4613">
        <v>20</v>
      </c>
      <c r="AJ4613">
        <v>0</v>
      </c>
      <c r="AK4613">
        <v>1</v>
      </c>
      <c r="AL4613">
        <v>1</v>
      </c>
      <c r="AM4613">
        <v>100</v>
      </c>
      <c r="AN4613">
        <v>662.36180000000002</v>
      </c>
      <c r="AO4613">
        <v>0</v>
      </c>
      <c r="AP4613" s="13">
        <v>45748</v>
      </c>
      <c r="AQ4613">
        <v>-1</v>
      </c>
      <c r="AR4613">
        <v>1</v>
      </c>
    </row>
    <row r="4614" spans="1:44" x14ac:dyDescent="0.35">
      <c r="A4614" s="12" t="s">
        <v>5605</v>
      </c>
      <c r="B4614" s="12" t="s">
        <v>561</v>
      </c>
      <c r="C4614" s="12" t="s">
        <v>562</v>
      </c>
      <c r="D4614" s="12" t="s">
        <v>130</v>
      </c>
      <c r="E4614" s="12" t="s">
        <v>142</v>
      </c>
      <c r="F4614">
        <v>1</v>
      </c>
      <c r="G4614">
        <v>9</v>
      </c>
      <c r="H4614">
        <v>1</v>
      </c>
      <c r="I4614" s="12" t="s">
        <v>223</v>
      </c>
      <c r="J4614" s="12" t="s">
        <v>224</v>
      </c>
      <c r="K4614" s="12" t="s">
        <v>81</v>
      </c>
      <c r="L4614" s="12" t="s">
        <v>134</v>
      </c>
      <c r="M4614">
        <v>2.4900000000000002</v>
      </c>
      <c r="N4614" s="12" t="s">
        <v>135</v>
      </c>
      <c r="O4614" s="12" t="s">
        <v>136</v>
      </c>
      <c r="P4614" s="12" t="s">
        <v>137</v>
      </c>
      <c r="Q4614" s="13">
        <v>45736</v>
      </c>
      <c r="R4614" s="13">
        <v>45786</v>
      </c>
      <c r="S4614">
        <v>2025</v>
      </c>
      <c r="T4614" s="12" t="s">
        <v>5461</v>
      </c>
      <c r="U4614">
        <v>126</v>
      </c>
      <c r="V4614">
        <v>520.97209999999995</v>
      </c>
      <c r="W4614">
        <v>1376.88</v>
      </c>
      <c r="X4614">
        <v>0</v>
      </c>
      <c r="Y4614">
        <v>0</v>
      </c>
      <c r="Z4614">
        <v>65642.48</v>
      </c>
      <c r="AA4614">
        <v>67019.360000000001</v>
      </c>
      <c r="AB4614" s="12" t="s">
        <v>201</v>
      </c>
      <c r="AD4614">
        <v>0</v>
      </c>
      <c r="AE4614">
        <v>0</v>
      </c>
      <c r="AH4614">
        <v>126</v>
      </c>
      <c r="AI4614">
        <v>125</v>
      </c>
      <c r="AJ4614">
        <v>1</v>
      </c>
      <c r="AK4614">
        <v>1</v>
      </c>
      <c r="AL4614">
        <v>1</v>
      </c>
      <c r="AM4614">
        <v>99.21</v>
      </c>
      <c r="AN4614">
        <v>536.1549</v>
      </c>
      <c r="AO4614">
        <v>520.97</v>
      </c>
      <c r="AP4614" s="13">
        <v>45793</v>
      </c>
      <c r="AQ4614">
        <v>7</v>
      </c>
      <c r="AR4614">
        <v>0</v>
      </c>
    </row>
    <row r="4615" spans="1:44" x14ac:dyDescent="0.35">
      <c r="A4615" s="12" t="s">
        <v>5606</v>
      </c>
      <c r="B4615" s="12" t="s">
        <v>347</v>
      </c>
      <c r="C4615" s="12" t="s">
        <v>348</v>
      </c>
      <c r="D4615" s="12" t="s">
        <v>78</v>
      </c>
      <c r="E4615" s="12" t="s">
        <v>104</v>
      </c>
      <c r="F4615">
        <v>3</v>
      </c>
      <c r="G4615">
        <v>1</v>
      </c>
      <c r="H4615">
        <v>0</v>
      </c>
      <c r="I4615" s="12" t="s">
        <v>105</v>
      </c>
      <c r="J4615" s="12" t="s">
        <v>106</v>
      </c>
      <c r="K4615" s="12" t="s">
        <v>81</v>
      </c>
      <c r="L4615" s="12" t="s">
        <v>96</v>
      </c>
      <c r="M4615">
        <v>5.01</v>
      </c>
      <c r="N4615" s="12" t="s">
        <v>70</v>
      </c>
      <c r="O4615" s="12" t="s">
        <v>71</v>
      </c>
      <c r="P4615" s="12" t="s">
        <v>72</v>
      </c>
      <c r="Q4615" s="13">
        <v>45737</v>
      </c>
      <c r="R4615" s="13">
        <v>45766</v>
      </c>
      <c r="S4615">
        <v>2025</v>
      </c>
      <c r="T4615" s="12" t="s">
        <v>5461</v>
      </c>
      <c r="U4615">
        <v>295</v>
      </c>
      <c r="V4615">
        <v>105.24299999999999</v>
      </c>
      <c r="W4615">
        <v>564.92999999999995</v>
      </c>
      <c r="X4615">
        <v>0</v>
      </c>
      <c r="Y4615">
        <v>0</v>
      </c>
      <c r="Z4615">
        <v>31046.69</v>
      </c>
      <c r="AA4615">
        <v>31611.62</v>
      </c>
      <c r="AB4615" s="12" t="s">
        <v>201</v>
      </c>
      <c r="AD4615">
        <v>0</v>
      </c>
      <c r="AE4615">
        <v>0</v>
      </c>
      <c r="AH4615">
        <v>295</v>
      </c>
      <c r="AI4615">
        <v>287</v>
      </c>
      <c r="AJ4615">
        <v>8</v>
      </c>
      <c r="AK4615">
        <v>1</v>
      </c>
      <c r="AL4615">
        <v>1</v>
      </c>
      <c r="AM4615">
        <v>97.29</v>
      </c>
      <c r="AN4615">
        <v>110.145</v>
      </c>
      <c r="AO4615">
        <v>841.94</v>
      </c>
      <c r="AP4615" s="13">
        <v>45773</v>
      </c>
      <c r="AQ4615">
        <v>7</v>
      </c>
      <c r="AR4615">
        <v>0</v>
      </c>
    </row>
    <row r="4616" spans="1:44" x14ac:dyDescent="0.35">
      <c r="A4616" s="12" t="s">
        <v>5607</v>
      </c>
      <c r="B4616" s="12" t="s">
        <v>1054</v>
      </c>
      <c r="C4616" s="12" t="s">
        <v>1055</v>
      </c>
      <c r="D4616" s="12" t="s">
        <v>122</v>
      </c>
      <c r="E4616" s="12" t="s">
        <v>65</v>
      </c>
      <c r="F4616">
        <v>1</v>
      </c>
      <c r="G4616">
        <v>2</v>
      </c>
      <c r="H4616">
        <v>1</v>
      </c>
      <c r="I4616" s="12" t="s">
        <v>176</v>
      </c>
      <c r="J4616" s="12" t="s">
        <v>177</v>
      </c>
      <c r="K4616" s="12" t="s">
        <v>125</v>
      </c>
      <c r="L4616" s="12" t="s">
        <v>134</v>
      </c>
      <c r="M4616">
        <v>1.75</v>
      </c>
      <c r="N4616" s="12" t="s">
        <v>70</v>
      </c>
      <c r="O4616" s="12" t="s">
        <v>71</v>
      </c>
      <c r="P4616" s="12" t="s">
        <v>72</v>
      </c>
      <c r="Q4616" s="13">
        <v>45737</v>
      </c>
      <c r="R4616" s="13">
        <v>45768</v>
      </c>
      <c r="S4616">
        <v>2025</v>
      </c>
      <c r="T4616" s="12" t="s">
        <v>5461</v>
      </c>
      <c r="U4616">
        <v>1211</v>
      </c>
      <c r="V4616">
        <v>44.811300000000003</v>
      </c>
      <c r="W4616">
        <v>1189</v>
      </c>
      <c r="X4616">
        <v>0</v>
      </c>
      <c r="Y4616">
        <v>0</v>
      </c>
      <c r="Z4616">
        <v>54266.48</v>
      </c>
      <c r="AA4616">
        <v>55455.48</v>
      </c>
      <c r="AB4616" s="12" t="s">
        <v>5608</v>
      </c>
      <c r="AC4616">
        <v>44.811300000000003</v>
      </c>
      <c r="AD4616">
        <v>1</v>
      </c>
      <c r="AE4616">
        <v>1</v>
      </c>
      <c r="AF4616">
        <v>0</v>
      </c>
      <c r="AG4616">
        <v>54266.48</v>
      </c>
      <c r="AH4616">
        <v>1211</v>
      </c>
      <c r="AI4616">
        <v>1200</v>
      </c>
      <c r="AJ4616">
        <v>11</v>
      </c>
      <c r="AK4616">
        <v>1</v>
      </c>
      <c r="AL4616">
        <v>1</v>
      </c>
      <c r="AM4616">
        <v>99.09</v>
      </c>
      <c r="AN4616">
        <v>46.212899999999998</v>
      </c>
      <c r="AO4616">
        <v>492.92</v>
      </c>
      <c r="AP4616" s="13">
        <v>45768</v>
      </c>
      <c r="AQ4616">
        <v>0</v>
      </c>
      <c r="AR4616">
        <v>1</v>
      </c>
    </row>
    <row r="4617" spans="1:44" x14ac:dyDescent="0.35">
      <c r="A4617" s="12" t="s">
        <v>5609</v>
      </c>
      <c r="B4617" s="12" t="s">
        <v>76</v>
      </c>
      <c r="C4617" s="12" t="s">
        <v>77</v>
      </c>
      <c r="D4617" s="12" t="s">
        <v>78</v>
      </c>
      <c r="E4617" s="12" t="s">
        <v>65</v>
      </c>
      <c r="F4617">
        <v>2</v>
      </c>
      <c r="G4617">
        <v>4</v>
      </c>
      <c r="H4617">
        <v>0</v>
      </c>
      <c r="I4617" s="12" t="s">
        <v>79</v>
      </c>
      <c r="J4617" s="12" t="s">
        <v>80</v>
      </c>
      <c r="K4617" s="12" t="s">
        <v>81</v>
      </c>
      <c r="L4617" s="12" t="s">
        <v>82</v>
      </c>
      <c r="M4617">
        <v>12.07</v>
      </c>
      <c r="N4617" s="12" t="s">
        <v>97</v>
      </c>
      <c r="O4617" s="12" t="s">
        <v>98</v>
      </c>
      <c r="P4617" s="12" t="s">
        <v>72</v>
      </c>
      <c r="Q4617" s="13">
        <v>45737</v>
      </c>
      <c r="R4617" s="13">
        <v>45770</v>
      </c>
      <c r="S4617">
        <v>2025</v>
      </c>
      <c r="T4617" s="12" t="s">
        <v>5461</v>
      </c>
      <c r="U4617">
        <v>215</v>
      </c>
      <c r="V4617">
        <v>44.0946</v>
      </c>
      <c r="W4617">
        <v>236.85</v>
      </c>
      <c r="X4617">
        <v>0</v>
      </c>
      <c r="Y4617">
        <v>0</v>
      </c>
      <c r="Z4617">
        <v>9480.34</v>
      </c>
      <c r="AA4617">
        <v>9717.19</v>
      </c>
      <c r="AB4617" s="12" t="s">
        <v>5427</v>
      </c>
      <c r="AC4617">
        <v>44.0946</v>
      </c>
      <c r="AD4617">
        <v>1</v>
      </c>
      <c r="AE4617">
        <v>1</v>
      </c>
      <c r="AF4617">
        <v>0</v>
      </c>
      <c r="AG4617">
        <v>9480.34</v>
      </c>
      <c r="AH4617">
        <v>215</v>
      </c>
      <c r="AI4617">
        <v>213</v>
      </c>
      <c r="AJ4617">
        <v>2</v>
      </c>
      <c r="AK4617">
        <v>1</v>
      </c>
      <c r="AL4617">
        <v>1</v>
      </c>
      <c r="AM4617">
        <v>99.07</v>
      </c>
      <c r="AN4617">
        <v>45.620600000000003</v>
      </c>
      <c r="AO4617">
        <v>88.19</v>
      </c>
      <c r="AP4617" s="13">
        <v>45771</v>
      </c>
      <c r="AQ4617">
        <v>1</v>
      </c>
      <c r="AR4617">
        <v>0</v>
      </c>
    </row>
    <row r="4618" spans="1:44" x14ac:dyDescent="0.35">
      <c r="A4618" s="12" t="s">
        <v>5610</v>
      </c>
      <c r="B4618" s="12" t="s">
        <v>308</v>
      </c>
      <c r="C4618" s="12" t="s">
        <v>309</v>
      </c>
      <c r="D4618" s="12" t="s">
        <v>122</v>
      </c>
      <c r="E4618" s="12" t="s">
        <v>142</v>
      </c>
      <c r="F4618">
        <v>1</v>
      </c>
      <c r="G4618">
        <v>6</v>
      </c>
      <c r="H4618">
        <v>1</v>
      </c>
      <c r="I4618" s="12" t="s">
        <v>310</v>
      </c>
      <c r="J4618" s="12" t="s">
        <v>311</v>
      </c>
      <c r="K4618" s="12" t="s">
        <v>81</v>
      </c>
      <c r="L4618" s="12" t="s">
        <v>69</v>
      </c>
      <c r="M4618">
        <v>28.3</v>
      </c>
      <c r="N4618" s="12" t="s">
        <v>70</v>
      </c>
      <c r="O4618" s="12" t="s">
        <v>71</v>
      </c>
      <c r="P4618" s="12" t="s">
        <v>72</v>
      </c>
      <c r="Q4618" s="13">
        <v>45737</v>
      </c>
      <c r="R4618" s="13">
        <v>45785</v>
      </c>
      <c r="S4618">
        <v>2025</v>
      </c>
      <c r="T4618" s="12" t="s">
        <v>5461</v>
      </c>
      <c r="U4618">
        <v>1550</v>
      </c>
      <c r="V4618">
        <v>56.789000000000001</v>
      </c>
      <c r="W4618">
        <v>671.1</v>
      </c>
      <c r="X4618">
        <v>0</v>
      </c>
      <c r="Y4618">
        <v>0</v>
      </c>
      <c r="Z4618">
        <v>88022.95</v>
      </c>
      <c r="AA4618">
        <v>88694.05</v>
      </c>
      <c r="AB4618" s="12" t="s">
        <v>5357</v>
      </c>
      <c r="AC4618">
        <v>56.789000000000001</v>
      </c>
      <c r="AD4618">
        <v>1</v>
      </c>
      <c r="AE4618">
        <v>1</v>
      </c>
      <c r="AF4618">
        <v>0</v>
      </c>
      <c r="AG4618">
        <v>88022.95</v>
      </c>
      <c r="AH4618">
        <v>1550</v>
      </c>
      <c r="AI4618">
        <v>1543</v>
      </c>
      <c r="AJ4618">
        <v>7</v>
      </c>
      <c r="AK4618">
        <v>1</v>
      </c>
      <c r="AL4618">
        <v>1</v>
      </c>
      <c r="AM4618">
        <v>99.55</v>
      </c>
      <c r="AN4618">
        <v>57.4816</v>
      </c>
      <c r="AO4618">
        <v>397.52</v>
      </c>
      <c r="AP4618" s="13">
        <v>45783</v>
      </c>
      <c r="AQ4618">
        <v>-2</v>
      </c>
      <c r="AR4618">
        <v>1</v>
      </c>
    </row>
    <row r="4619" spans="1:44" x14ac:dyDescent="0.35">
      <c r="A4619" s="12" t="s">
        <v>5611</v>
      </c>
      <c r="B4619" s="12" t="s">
        <v>249</v>
      </c>
      <c r="C4619" s="12" t="s">
        <v>250</v>
      </c>
      <c r="D4619" s="12" t="s">
        <v>64</v>
      </c>
      <c r="E4619" s="12" t="s">
        <v>65</v>
      </c>
      <c r="F4619">
        <v>2</v>
      </c>
      <c r="G4619">
        <v>3</v>
      </c>
      <c r="H4619">
        <v>0</v>
      </c>
      <c r="I4619" s="12" t="s">
        <v>251</v>
      </c>
      <c r="J4619" s="12" t="s">
        <v>252</v>
      </c>
      <c r="K4619" s="12" t="s">
        <v>133</v>
      </c>
      <c r="L4619" s="12" t="s">
        <v>69</v>
      </c>
      <c r="M4619">
        <v>34.49</v>
      </c>
      <c r="N4619" s="12" t="s">
        <v>70</v>
      </c>
      <c r="O4619" s="12" t="s">
        <v>71</v>
      </c>
      <c r="P4619" s="12" t="s">
        <v>72</v>
      </c>
      <c r="Q4619" s="13">
        <v>45737</v>
      </c>
      <c r="R4619" s="13">
        <v>45759</v>
      </c>
      <c r="S4619">
        <v>2025</v>
      </c>
      <c r="T4619" s="12" t="s">
        <v>5461</v>
      </c>
      <c r="U4619">
        <v>198</v>
      </c>
      <c r="V4619">
        <v>9.3792000000000009</v>
      </c>
      <c r="W4619">
        <v>45.03</v>
      </c>
      <c r="X4619">
        <v>0</v>
      </c>
      <c r="Y4619">
        <v>0</v>
      </c>
      <c r="Z4619">
        <v>1857.08</v>
      </c>
      <c r="AA4619">
        <v>1902.11</v>
      </c>
      <c r="AB4619" s="12" t="s">
        <v>5207</v>
      </c>
      <c r="AC4619">
        <v>9.9464000000000006</v>
      </c>
      <c r="AD4619">
        <v>1</v>
      </c>
      <c r="AE4619">
        <v>1</v>
      </c>
      <c r="AF4619">
        <v>-112.31</v>
      </c>
      <c r="AG4619">
        <v>1969.39</v>
      </c>
      <c r="AH4619">
        <v>198</v>
      </c>
      <c r="AI4619">
        <v>197</v>
      </c>
      <c r="AJ4619">
        <v>1</v>
      </c>
      <c r="AK4619">
        <v>1</v>
      </c>
      <c r="AL4619">
        <v>1</v>
      </c>
      <c r="AM4619">
        <v>99.49</v>
      </c>
      <c r="AN4619">
        <v>9.6554000000000002</v>
      </c>
      <c r="AO4619">
        <v>9.3800000000000008</v>
      </c>
      <c r="AP4619" s="13">
        <v>45759</v>
      </c>
      <c r="AQ4619">
        <v>0</v>
      </c>
      <c r="AR4619">
        <v>1</v>
      </c>
    </row>
    <row r="4620" spans="1:44" x14ac:dyDescent="0.35">
      <c r="A4620" s="12" t="s">
        <v>5612</v>
      </c>
      <c r="B4620" s="12" t="s">
        <v>773</v>
      </c>
      <c r="C4620" s="12" t="s">
        <v>774</v>
      </c>
      <c r="D4620" s="12" t="s">
        <v>64</v>
      </c>
      <c r="E4620" s="12" t="s">
        <v>142</v>
      </c>
      <c r="F4620">
        <v>1</v>
      </c>
      <c r="G4620">
        <v>7</v>
      </c>
      <c r="H4620">
        <v>1</v>
      </c>
      <c r="I4620" s="12" t="s">
        <v>251</v>
      </c>
      <c r="J4620" s="12" t="s">
        <v>252</v>
      </c>
      <c r="K4620" s="12" t="s">
        <v>133</v>
      </c>
      <c r="L4620" s="12" t="s">
        <v>69</v>
      </c>
      <c r="M4620">
        <v>34.49</v>
      </c>
      <c r="N4620" s="12" t="s">
        <v>97</v>
      </c>
      <c r="O4620" s="12" t="s">
        <v>98</v>
      </c>
      <c r="P4620" s="12" t="s">
        <v>72</v>
      </c>
      <c r="Q4620" s="13">
        <v>45737</v>
      </c>
      <c r="R4620" s="13">
        <v>45778</v>
      </c>
      <c r="S4620">
        <v>2025</v>
      </c>
      <c r="T4620" s="12" t="s">
        <v>5461</v>
      </c>
      <c r="U4620">
        <v>401</v>
      </c>
      <c r="V4620">
        <v>9.9849999999999994</v>
      </c>
      <c r="W4620">
        <v>100.2</v>
      </c>
      <c r="X4620">
        <v>0</v>
      </c>
      <c r="Y4620">
        <v>0</v>
      </c>
      <c r="Z4620">
        <v>4003.99</v>
      </c>
      <c r="AA4620">
        <v>4104.1899999999996</v>
      </c>
      <c r="AB4620" s="12" t="s">
        <v>5613</v>
      </c>
      <c r="AC4620">
        <v>9.9849999999999994</v>
      </c>
      <c r="AD4620">
        <v>1</v>
      </c>
      <c r="AE4620">
        <v>1</v>
      </c>
      <c r="AF4620">
        <v>0</v>
      </c>
      <c r="AG4620">
        <v>4003.99</v>
      </c>
      <c r="AH4620">
        <v>401</v>
      </c>
      <c r="AI4620">
        <v>395</v>
      </c>
      <c r="AJ4620">
        <v>6</v>
      </c>
      <c r="AK4620">
        <v>1</v>
      </c>
      <c r="AL4620">
        <v>1</v>
      </c>
      <c r="AM4620">
        <v>98.5</v>
      </c>
      <c r="AN4620">
        <v>10.3903</v>
      </c>
      <c r="AO4620">
        <v>59.91</v>
      </c>
      <c r="AP4620" s="13">
        <v>45778</v>
      </c>
      <c r="AQ4620">
        <v>0</v>
      </c>
      <c r="AR4620">
        <v>1</v>
      </c>
    </row>
    <row r="4621" spans="1:44" x14ac:dyDescent="0.35">
      <c r="A4621" s="12" t="s">
        <v>5614</v>
      </c>
      <c r="B4621" s="12" t="s">
        <v>941</v>
      </c>
      <c r="C4621" s="12" t="s">
        <v>942</v>
      </c>
      <c r="D4621" s="12" t="s">
        <v>130</v>
      </c>
      <c r="E4621" s="12" t="s">
        <v>104</v>
      </c>
      <c r="F4621">
        <v>2</v>
      </c>
      <c r="G4621">
        <v>0</v>
      </c>
      <c r="H4621">
        <v>0</v>
      </c>
      <c r="I4621" s="12" t="s">
        <v>131</v>
      </c>
      <c r="J4621" s="12" t="s">
        <v>132</v>
      </c>
      <c r="K4621" s="12" t="s">
        <v>133</v>
      </c>
      <c r="L4621" s="12" t="s">
        <v>134</v>
      </c>
      <c r="M4621">
        <v>1.51</v>
      </c>
      <c r="N4621" s="12" t="s">
        <v>135</v>
      </c>
      <c r="O4621" s="12" t="s">
        <v>136</v>
      </c>
      <c r="P4621" s="12" t="s">
        <v>137</v>
      </c>
      <c r="Q4621" s="13">
        <v>45737</v>
      </c>
      <c r="R4621" s="13">
        <v>45752</v>
      </c>
      <c r="S4621">
        <v>2025</v>
      </c>
      <c r="T4621" s="12" t="s">
        <v>5461</v>
      </c>
      <c r="U4621">
        <v>37</v>
      </c>
      <c r="V4621">
        <v>839.4819</v>
      </c>
      <c r="W4621">
        <v>220.55</v>
      </c>
      <c r="X4621">
        <v>0</v>
      </c>
      <c r="Y4621">
        <v>0</v>
      </c>
      <c r="Z4621">
        <v>31060.83</v>
      </c>
      <c r="AA4621">
        <v>31281.38</v>
      </c>
      <c r="AB4621" s="12" t="s">
        <v>3518</v>
      </c>
      <c r="AC4621">
        <v>839.4819</v>
      </c>
      <c r="AD4621">
        <v>1</v>
      </c>
      <c r="AE4621">
        <v>1</v>
      </c>
      <c r="AF4621">
        <v>0</v>
      </c>
      <c r="AG4621">
        <v>31060.83</v>
      </c>
      <c r="AH4621">
        <v>37</v>
      </c>
      <c r="AI4621">
        <v>33</v>
      </c>
      <c r="AJ4621">
        <v>4</v>
      </c>
      <c r="AK4621">
        <v>1</v>
      </c>
      <c r="AL4621">
        <v>1</v>
      </c>
      <c r="AM4621">
        <v>89.19</v>
      </c>
      <c r="AN4621">
        <v>947.92060000000004</v>
      </c>
      <c r="AO4621">
        <v>3357.93</v>
      </c>
      <c r="AP4621" s="13">
        <v>45751</v>
      </c>
      <c r="AQ4621">
        <v>-1</v>
      </c>
      <c r="AR4621">
        <v>1</v>
      </c>
    </row>
    <row r="4622" spans="1:44" x14ac:dyDescent="0.35">
      <c r="A4622" s="12" t="s">
        <v>5615</v>
      </c>
      <c r="B4622" s="12" t="s">
        <v>149</v>
      </c>
      <c r="C4622" s="12" t="s">
        <v>150</v>
      </c>
      <c r="D4622" s="12" t="s">
        <v>78</v>
      </c>
      <c r="E4622" s="12" t="s">
        <v>65</v>
      </c>
      <c r="F4622">
        <v>2</v>
      </c>
      <c r="G4622">
        <v>2</v>
      </c>
      <c r="H4622">
        <v>0</v>
      </c>
      <c r="I4622" s="12" t="s">
        <v>151</v>
      </c>
      <c r="J4622" s="12" t="s">
        <v>152</v>
      </c>
      <c r="K4622" s="12" t="s">
        <v>125</v>
      </c>
      <c r="L4622" s="12" t="s">
        <v>69</v>
      </c>
      <c r="M4622">
        <v>36.479999999999997</v>
      </c>
      <c r="N4622" s="12" t="s">
        <v>97</v>
      </c>
      <c r="O4622" s="12" t="s">
        <v>98</v>
      </c>
      <c r="P4622" s="12" t="s">
        <v>72</v>
      </c>
      <c r="Q4622" s="13">
        <v>45740</v>
      </c>
      <c r="R4622" s="13">
        <v>45764</v>
      </c>
      <c r="S4622">
        <v>2025</v>
      </c>
      <c r="T4622" s="12" t="s">
        <v>5461</v>
      </c>
      <c r="U4622">
        <v>95</v>
      </c>
      <c r="V4622">
        <v>65.934700000000007</v>
      </c>
      <c r="W4622">
        <v>141.41</v>
      </c>
      <c r="X4622">
        <v>0</v>
      </c>
      <c r="Y4622">
        <v>0</v>
      </c>
      <c r="Z4622">
        <v>6263.8</v>
      </c>
      <c r="AA4622">
        <v>6405.21</v>
      </c>
      <c r="AB4622" s="12" t="s">
        <v>5076</v>
      </c>
      <c r="AC4622">
        <v>65.934700000000007</v>
      </c>
      <c r="AD4622">
        <v>1</v>
      </c>
      <c r="AE4622">
        <v>1</v>
      </c>
      <c r="AF4622">
        <v>0</v>
      </c>
      <c r="AG4622">
        <v>6263.8</v>
      </c>
      <c r="AH4622">
        <v>95</v>
      </c>
      <c r="AI4622">
        <v>93</v>
      </c>
      <c r="AJ4622">
        <v>2</v>
      </c>
      <c r="AK4622">
        <v>1</v>
      </c>
      <c r="AL4622">
        <v>1</v>
      </c>
      <c r="AM4622">
        <v>97.89</v>
      </c>
      <c r="AN4622">
        <v>68.873199999999997</v>
      </c>
      <c r="AO4622">
        <v>131.87</v>
      </c>
      <c r="AP4622" s="13">
        <v>45762</v>
      </c>
      <c r="AQ4622">
        <v>-2</v>
      </c>
      <c r="AR4622">
        <v>1</v>
      </c>
    </row>
    <row r="4623" spans="1:44" x14ac:dyDescent="0.35">
      <c r="A4623" s="12" t="s">
        <v>5616</v>
      </c>
      <c r="B4623" s="12" t="s">
        <v>609</v>
      </c>
      <c r="C4623" s="12" t="s">
        <v>610</v>
      </c>
      <c r="D4623" s="12" t="s">
        <v>64</v>
      </c>
      <c r="E4623" s="12" t="s">
        <v>104</v>
      </c>
      <c r="F4623">
        <v>1</v>
      </c>
      <c r="G4623">
        <v>0</v>
      </c>
      <c r="H4623">
        <v>1</v>
      </c>
      <c r="I4623" s="12" t="s">
        <v>227</v>
      </c>
      <c r="J4623" s="12" t="s">
        <v>228</v>
      </c>
      <c r="K4623" s="12" t="s">
        <v>89</v>
      </c>
      <c r="L4623" s="12" t="s">
        <v>96</v>
      </c>
      <c r="M4623">
        <v>9.15</v>
      </c>
      <c r="N4623" s="12" t="s">
        <v>70</v>
      </c>
      <c r="O4623" s="12" t="s">
        <v>71</v>
      </c>
      <c r="P4623" s="12" t="s">
        <v>72</v>
      </c>
      <c r="Q4623" s="13">
        <v>45740</v>
      </c>
      <c r="R4623" s="13">
        <v>45762</v>
      </c>
      <c r="S4623">
        <v>2025</v>
      </c>
      <c r="T4623" s="12" t="s">
        <v>5461</v>
      </c>
      <c r="U4623">
        <v>601</v>
      </c>
      <c r="V4623">
        <v>20.683900000000001</v>
      </c>
      <c r="W4623">
        <v>318.38</v>
      </c>
      <c r="X4623">
        <v>0</v>
      </c>
      <c r="Y4623">
        <v>0</v>
      </c>
      <c r="Z4623">
        <v>12431.02</v>
      </c>
      <c r="AA4623">
        <v>12749.4</v>
      </c>
      <c r="AB4623" s="12" t="s">
        <v>5573</v>
      </c>
      <c r="AC4623">
        <v>20.683900000000001</v>
      </c>
      <c r="AD4623">
        <v>1</v>
      </c>
      <c r="AE4623">
        <v>1</v>
      </c>
      <c r="AF4623">
        <v>0</v>
      </c>
      <c r="AG4623">
        <v>12431.02</v>
      </c>
      <c r="AH4623">
        <v>601</v>
      </c>
      <c r="AI4623">
        <v>592</v>
      </c>
      <c r="AJ4623">
        <v>9</v>
      </c>
      <c r="AK4623">
        <v>1</v>
      </c>
      <c r="AL4623">
        <v>1</v>
      </c>
      <c r="AM4623">
        <v>98.5</v>
      </c>
      <c r="AN4623">
        <v>21.536200000000001</v>
      </c>
      <c r="AO4623">
        <v>186.16</v>
      </c>
      <c r="AP4623" s="13">
        <v>45761</v>
      </c>
      <c r="AQ4623">
        <v>-1</v>
      </c>
      <c r="AR4623">
        <v>1</v>
      </c>
    </row>
    <row r="4624" spans="1:44" x14ac:dyDescent="0.35">
      <c r="A4624" s="12" t="s">
        <v>5617</v>
      </c>
      <c r="B4624" s="12" t="s">
        <v>308</v>
      </c>
      <c r="C4624" s="12" t="s">
        <v>309</v>
      </c>
      <c r="D4624" s="12" t="s">
        <v>122</v>
      </c>
      <c r="E4624" s="12" t="s">
        <v>142</v>
      </c>
      <c r="F4624">
        <v>1</v>
      </c>
      <c r="G4624">
        <v>6</v>
      </c>
      <c r="H4624">
        <v>1</v>
      </c>
      <c r="I4624" s="12" t="s">
        <v>310</v>
      </c>
      <c r="J4624" s="12" t="s">
        <v>311</v>
      </c>
      <c r="K4624" s="12" t="s">
        <v>81</v>
      </c>
      <c r="L4624" s="12" t="s">
        <v>69</v>
      </c>
      <c r="M4624">
        <v>28.3</v>
      </c>
      <c r="N4624" s="12" t="s">
        <v>70</v>
      </c>
      <c r="O4624" s="12" t="s">
        <v>71</v>
      </c>
      <c r="P4624" s="12" t="s">
        <v>72</v>
      </c>
      <c r="Q4624" s="13">
        <v>45740</v>
      </c>
      <c r="R4624" s="13">
        <v>45781</v>
      </c>
      <c r="S4624">
        <v>2025</v>
      </c>
      <c r="T4624" s="12" t="s">
        <v>5461</v>
      </c>
      <c r="U4624">
        <v>888</v>
      </c>
      <c r="V4624">
        <v>56.789000000000001</v>
      </c>
      <c r="W4624">
        <v>996.07</v>
      </c>
      <c r="X4624">
        <v>0</v>
      </c>
      <c r="Y4624">
        <v>0</v>
      </c>
      <c r="Z4624">
        <v>50428.63</v>
      </c>
      <c r="AA4624">
        <v>51424.7</v>
      </c>
      <c r="AB4624" s="12" t="s">
        <v>5357</v>
      </c>
      <c r="AC4624">
        <v>56.789000000000001</v>
      </c>
      <c r="AD4624">
        <v>1</v>
      </c>
      <c r="AE4624">
        <v>1</v>
      </c>
      <c r="AF4624">
        <v>0</v>
      </c>
      <c r="AG4624">
        <v>50428.63</v>
      </c>
      <c r="AH4624">
        <v>888</v>
      </c>
      <c r="AI4624">
        <v>884</v>
      </c>
      <c r="AJ4624">
        <v>4</v>
      </c>
      <c r="AK4624">
        <v>1</v>
      </c>
      <c r="AL4624">
        <v>1</v>
      </c>
      <c r="AM4624">
        <v>99.55</v>
      </c>
      <c r="AN4624">
        <v>58.172699999999999</v>
      </c>
      <c r="AO4624">
        <v>227.16</v>
      </c>
      <c r="AP4624" s="13">
        <v>45781</v>
      </c>
      <c r="AQ4624">
        <v>0</v>
      </c>
      <c r="AR4624">
        <v>1</v>
      </c>
    </row>
    <row r="4625" spans="1:44" x14ac:dyDescent="0.35">
      <c r="A4625" s="12" t="s">
        <v>5618</v>
      </c>
      <c r="B4625" s="12" t="s">
        <v>519</v>
      </c>
      <c r="C4625" s="12" t="s">
        <v>520</v>
      </c>
      <c r="D4625" s="12" t="s">
        <v>78</v>
      </c>
      <c r="E4625" s="12" t="s">
        <v>65</v>
      </c>
      <c r="F4625">
        <v>2</v>
      </c>
      <c r="G4625">
        <v>3</v>
      </c>
      <c r="H4625">
        <v>0</v>
      </c>
      <c r="I4625" s="12" t="s">
        <v>143</v>
      </c>
      <c r="J4625" s="12" t="s">
        <v>144</v>
      </c>
      <c r="K4625" s="12" t="s">
        <v>133</v>
      </c>
      <c r="L4625" s="12" t="s">
        <v>96</v>
      </c>
      <c r="M4625">
        <v>5.43</v>
      </c>
      <c r="N4625" s="12" t="s">
        <v>70</v>
      </c>
      <c r="O4625" s="12" t="s">
        <v>71</v>
      </c>
      <c r="P4625" s="12" t="s">
        <v>72</v>
      </c>
      <c r="Q4625" s="13">
        <v>45740</v>
      </c>
      <c r="R4625" s="13">
        <v>45775</v>
      </c>
      <c r="S4625">
        <v>2025</v>
      </c>
      <c r="T4625" s="12" t="s">
        <v>5461</v>
      </c>
      <c r="U4625">
        <v>255</v>
      </c>
      <c r="V4625">
        <v>28.570399999999999</v>
      </c>
      <c r="W4625">
        <v>111.1</v>
      </c>
      <c r="X4625">
        <v>0</v>
      </c>
      <c r="Y4625">
        <v>0</v>
      </c>
      <c r="Z4625">
        <v>7285.45</v>
      </c>
      <c r="AA4625">
        <v>7396.55</v>
      </c>
      <c r="AB4625" s="12" t="s">
        <v>5619</v>
      </c>
      <c r="AC4625">
        <v>28.570399999999999</v>
      </c>
      <c r="AD4625">
        <v>1</v>
      </c>
      <c r="AE4625">
        <v>1</v>
      </c>
      <c r="AF4625">
        <v>0</v>
      </c>
      <c r="AG4625">
        <v>7285.45</v>
      </c>
      <c r="AH4625">
        <v>255</v>
      </c>
      <c r="AI4625">
        <v>251</v>
      </c>
      <c r="AJ4625">
        <v>4</v>
      </c>
      <c r="AK4625">
        <v>1</v>
      </c>
      <c r="AL4625">
        <v>1</v>
      </c>
      <c r="AM4625">
        <v>98.43</v>
      </c>
      <c r="AN4625">
        <v>29.468299999999999</v>
      </c>
      <c r="AO4625">
        <v>114.28</v>
      </c>
      <c r="AP4625" s="13">
        <v>45778</v>
      </c>
      <c r="AQ4625">
        <v>3</v>
      </c>
      <c r="AR4625">
        <v>0</v>
      </c>
    </row>
    <row r="4626" spans="1:44" x14ac:dyDescent="0.35">
      <c r="A4626" s="12" t="s">
        <v>5620</v>
      </c>
      <c r="B4626" s="12" t="s">
        <v>378</v>
      </c>
      <c r="C4626" s="12" t="s">
        <v>379</v>
      </c>
      <c r="D4626" s="12" t="s">
        <v>64</v>
      </c>
      <c r="E4626" s="12" t="s">
        <v>104</v>
      </c>
      <c r="F4626">
        <v>3</v>
      </c>
      <c r="G4626">
        <v>1</v>
      </c>
      <c r="H4626">
        <v>0</v>
      </c>
      <c r="I4626" s="12" t="s">
        <v>380</v>
      </c>
      <c r="J4626" s="12" t="s">
        <v>381</v>
      </c>
      <c r="K4626" s="12" t="s">
        <v>89</v>
      </c>
      <c r="L4626" s="12" t="s">
        <v>96</v>
      </c>
      <c r="M4626">
        <v>10.210000000000001</v>
      </c>
      <c r="N4626" s="12" t="s">
        <v>97</v>
      </c>
      <c r="O4626" s="12" t="s">
        <v>98</v>
      </c>
      <c r="P4626" s="12" t="s">
        <v>72</v>
      </c>
      <c r="Q4626" s="13">
        <v>45740</v>
      </c>
      <c r="R4626" s="13">
        <v>45764</v>
      </c>
      <c r="S4626">
        <v>2025</v>
      </c>
      <c r="T4626" s="12" t="s">
        <v>5461</v>
      </c>
      <c r="U4626">
        <v>727</v>
      </c>
      <c r="V4626">
        <v>15.3193</v>
      </c>
      <c r="W4626">
        <v>169.57</v>
      </c>
      <c r="X4626">
        <v>0</v>
      </c>
      <c r="Y4626">
        <v>0</v>
      </c>
      <c r="Z4626">
        <v>11137.13</v>
      </c>
      <c r="AA4626">
        <v>11306.7</v>
      </c>
      <c r="AB4626" s="12" t="s">
        <v>5544</v>
      </c>
      <c r="AC4626">
        <v>15.3193</v>
      </c>
      <c r="AD4626">
        <v>1</v>
      </c>
      <c r="AE4626">
        <v>1</v>
      </c>
      <c r="AF4626">
        <v>0</v>
      </c>
      <c r="AG4626">
        <v>11137.13</v>
      </c>
      <c r="AH4626">
        <v>727</v>
      </c>
      <c r="AI4626">
        <v>725</v>
      </c>
      <c r="AJ4626">
        <v>2</v>
      </c>
      <c r="AK4626">
        <v>1</v>
      </c>
      <c r="AL4626">
        <v>1</v>
      </c>
      <c r="AM4626">
        <v>99.72</v>
      </c>
      <c r="AN4626">
        <v>15.5954</v>
      </c>
      <c r="AO4626">
        <v>30.64</v>
      </c>
      <c r="AP4626" s="13">
        <v>45771</v>
      </c>
      <c r="AQ4626">
        <v>7</v>
      </c>
      <c r="AR4626">
        <v>0</v>
      </c>
    </row>
    <row r="4627" spans="1:44" x14ac:dyDescent="0.35">
      <c r="A4627" s="12" t="s">
        <v>5621</v>
      </c>
      <c r="B4627" s="12" t="s">
        <v>957</v>
      </c>
      <c r="C4627" s="12" t="s">
        <v>958</v>
      </c>
      <c r="D4627" s="12" t="s">
        <v>103</v>
      </c>
      <c r="E4627" s="12" t="s">
        <v>142</v>
      </c>
      <c r="F4627">
        <v>1</v>
      </c>
      <c r="G4627">
        <v>7</v>
      </c>
      <c r="H4627">
        <v>1</v>
      </c>
      <c r="I4627" s="12" t="s">
        <v>183</v>
      </c>
      <c r="J4627" s="12" t="s">
        <v>184</v>
      </c>
      <c r="K4627" s="12" t="s">
        <v>133</v>
      </c>
      <c r="L4627" s="12" t="s">
        <v>82</v>
      </c>
      <c r="M4627">
        <v>8.6199999999999992</v>
      </c>
      <c r="N4627" s="12" t="s">
        <v>145</v>
      </c>
      <c r="O4627" s="12" t="s">
        <v>146</v>
      </c>
      <c r="P4627" s="12" t="s">
        <v>109</v>
      </c>
      <c r="Q4627" s="13">
        <v>45740</v>
      </c>
      <c r="R4627" s="13">
        <v>45775</v>
      </c>
      <c r="S4627">
        <v>2025</v>
      </c>
      <c r="T4627" s="12" t="s">
        <v>5461</v>
      </c>
      <c r="U4627">
        <v>15</v>
      </c>
      <c r="V4627">
        <v>188.30439999999999</v>
      </c>
      <c r="W4627">
        <v>27.44</v>
      </c>
      <c r="X4627">
        <v>0</v>
      </c>
      <c r="Y4627">
        <v>0</v>
      </c>
      <c r="Z4627">
        <v>2824.57</v>
      </c>
      <c r="AA4627">
        <v>2852.01</v>
      </c>
      <c r="AB4627" s="12" t="s">
        <v>5622</v>
      </c>
      <c r="AC4627">
        <v>188.30439999999999</v>
      </c>
      <c r="AD4627">
        <v>1</v>
      </c>
      <c r="AE4627">
        <v>1</v>
      </c>
      <c r="AF4627">
        <v>0</v>
      </c>
      <c r="AG4627">
        <v>2824.57</v>
      </c>
      <c r="AH4627">
        <v>15</v>
      </c>
      <c r="AI4627">
        <v>15</v>
      </c>
      <c r="AJ4627">
        <v>0</v>
      </c>
      <c r="AK4627">
        <v>1</v>
      </c>
      <c r="AL4627">
        <v>1</v>
      </c>
      <c r="AM4627">
        <v>100</v>
      </c>
      <c r="AN4627">
        <v>190.1337</v>
      </c>
      <c r="AO4627">
        <v>0</v>
      </c>
      <c r="AP4627" s="13">
        <v>45773</v>
      </c>
      <c r="AQ4627">
        <v>-2</v>
      </c>
      <c r="AR4627">
        <v>1</v>
      </c>
    </row>
    <row r="4628" spans="1:44" x14ac:dyDescent="0.35">
      <c r="A4628" s="12" t="s">
        <v>5623</v>
      </c>
      <c r="B4628" s="12" t="s">
        <v>1179</v>
      </c>
      <c r="C4628" s="12" t="s">
        <v>1180</v>
      </c>
      <c r="D4628" s="12" t="s">
        <v>122</v>
      </c>
      <c r="E4628" s="12" t="s">
        <v>142</v>
      </c>
      <c r="F4628">
        <v>1</v>
      </c>
      <c r="G4628">
        <v>8</v>
      </c>
      <c r="H4628">
        <v>1</v>
      </c>
      <c r="I4628" s="12" t="s">
        <v>143</v>
      </c>
      <c r="J4628" s="12" t="s">
        <v>144</v>
      </c>
      <c r="K4628" s="12" t="s">
        <v>133</v>
      </c>
      <c r="L4628" s="12" t="s">
        <v>96</v>
      </c>
      <c r="M4628">
        <v>5.43</v>
      </c>
      <c r="N4628" s="12" t="s">
        <v>70</v>
      </c>
      <c r="O4628" s="12" t="s">
        <v>71</v>
      </c>
      <c r="P4628" s="12" t="s">
        <v>72</v>
      </c>
      <c r="Q4628" s="13">
        <v>45740</v>
      </c>
      <c r="R4628" s="13">
        <v>45787</v>
      </c>
      <c r="S4628">
        <v>2025</v>
      </c>
      <c r="T4628" s="12" t="s">
        <v>5461</v>
      </c>
      <c r="U4628">
        <v>1451</v>
      </c>
      <c r="V4628">
        <v>52.209899999999998</v>
      </c>
      <c r="W4628">
        <v>843.56</v>
      </c>
      <c r="X4628">
        <v>0</v>
      </c>
      <c r="Y4628">
        <v>0</v>
      </c>
      <c r="Z4628">
        <v>75756.56</v>
      </c>
      <c r="AA4628">
        <v>76600.12</v>
      </c>
      <c r="AB4628" s="12" t="s">
        <v>5533</v>
      </c>
      <c r="AC4628">
        <v>52.209899999999998</v>
      </c>
      <c r="AD4628">
        <v>1</v>
      </c>
      <c r="AE4628">
        <v>1</v>
      </c>
      <c r="AF4628">
        <v>0</v>
      </c>
      <c r="AG4628">
        <v>75756.56</v>
      </c>
      <c r="AH4628">
        <v>1451</v>
      </c>
      <c r="AI4628">
        <v>1442</v>
      </c>
      <c r="AJ4628">
        <v>9</v>
      </c>
      <c r="AK4628">
        <v>1</v>
      </c>
      <c r="AL4628">
        <v>1</v>
      </c>
      <c r="AM4628">
        <v>99.38</v>
      </c>
      <c r="AN4628">
        <v>53.120800000000003</v>
      </c>
      <c r="AO4628">
        <v>469.89</v>
      </c>
      <c r="AP4628" s="13">
        <v>45791</v>
      </c>
      <c r="AQ4628">
        <v>4</v>
      </c>
      <c r="AR4628">
        <v>0</v>
      </c>
    </row>
    <row r="4629" spans="1:44" x14ac:dyDescent="0.35">
      <c r="A4629" s="12" t="s">
        <v>5624</v>
      </c>
      <c r="B4629" s="12" t="s">
        <v>561</v>
      </c>
      <c r="C4629" s="12" t="s">
        <v>562</v>
      </c>
      <c r="D4629" s="12" t="s">
        <v>130</v>
      </c>
      <c r="E4629" s="12" t="s">
        <v>142</v>
      </c>
      <c r="F4629">
        <v>1</v>
      </c>
      <c r="G4629">
        <v>9</v>
      </c>
      <c r="H4629">
        <v>1</v>
      </c>
      <c r="I4629" s="12" t="s">
        <v>223</v>
      </c>
      <c r="J4629" s="12" t="s">
        <v>224</v>
      </c>
      <c r="K4629" s="12" t="s">
        <v>81</v>
      </c>
      <c r="L4629" s="12" t="s">
        <v>134</v>
      </c>
      <c r="M4629">
        <v>2.4900000000000002</v>
      </c>
      <c r="N4629" s="12" t="s">
        <v>135</v>
      </c>
      <c r="O4629" s="12" t="s">
        <v>136</v>
      </c>
      <c r="P4629" s="12" t="s">
        <v>137</v>
      </c>
      <c r="Q4629" s="13">
        <v>45740</v>
      </c>
      <c r="R4629" s="13">
        <v>45792</v>
      </c>
      <c r="S4629">
        <v>2025</v>
      </c>
      <c r="T4629" s="12" t="s">
        <v>5461</v>
      </c>
      <c r="U4629">
        <v>143</v>
      </c>
      <c r="V4629">
        <v>554.97799999999995</v>
      </c>
      <c r="W4629">
        <v>1602.2</v>
      </c>
      <c r="X4629">
        <v>0</v>
      </c>
      <c r="Y4629">
        <v>0</v>
      </c>
      <c r="Z4629">
        <v>79361.850000000006</v>
      </c>
      <c r="AA4629">
        <v>80964.05</v>
      </c>
      <c r="AB4629" s="12" t="s">
        <v>201</v>
      </c>
      <c r="AD4629">
        <v>0</v>
      </c>
      <c r="AE4629">
        <v>0</v>
      </c>
      <c r="AH4629">
        <v>143</v>
      </c>
      <c r="AI4629">
        <v>142</v>
      </c>
      <c r="AJ4629">
        <v>1</v>
      </c>
      <c r="AK4629">
        <v>1</v>
      </c>
      <c r="AL4629">
        <v>1</v>
      </c>
      <c r="AM4629">
        <v>99.3</v>
      </c>
      <c r="AN4629">
        <v>570.1694</v>
      </c>
      <c r="AO4629">
        <v>554.98</v>
      </c>
      <c r="AP4629" s="13">
        <v>45799</v>
      </c>
      <c r="AQ4629">
        <v>7</v>
      </c>
      <c r="AR4629">
        <v>0</v>
      </c>
    </row>
    <row r="4630" spans="1:44" x14ac:dyDescent="0.35">
      <c r="A4630" s="12" t="s">
        <v>5625</v>
      </c>
      <c r="B4630" s="12" t="s">
        <v>674</v>
      </c>
      <c r="C4630" s="12" t="s">
        <v>675</v>
      </c>
      <c r="D4630" s="12" t="s">
        <v>269</v>
      </c>
      <c r="E4630" s="12" t="s">
        <v>142</v>
      </c>
      <c r="F4630">
        <v>1</v>
      </c>
      <c r="G4630">
        <v>7</v>
      </c>
      <c r="H4630">
        <v>1</v>
      </c>
      <c r="I4630" s="12" t="s">
        <v>676</v>
      </c>
      <c r="J4630" s="12" t="s">
        <v>677</v>
      </c>
      <c r="K4630" s="12" t="s">
        <v>68</v>
      </c>
      <c r="L4630" s="12" t="s">
        <v>96</v>
      </c>
      <c r="M4630">
        <v>3.57</v>
      </c>
      <c r="N4630" s="12" t="s">
        <v>135</v>
      </c>
      <c r="O4630" s="12" t="s">
        <v>136</v>
      </c>
      <c r="P4630" s="12" t="s">
        <v>137</v>
      </c>
      <c r="Q4630" s="13">
        <v>45741</v>
      </c>
      <c r="R4630" s="13">
        <v>45789</v>
      </c>
      <c r="S4630">
        <v>2025</v>
      </c>
      <c r="T4630" s="12" t="s">
        <v>5461</v>
      </c>
      <c r="U4630">
        <v>114</v>
      </c>
      <c r="V4630">
        <v>390.35109999999997</v>
      </c>
      <c r="W4630">
        <v>1091.79</v>
      </c>
      <c r="X4630">
        <v>0</v>
      </c>
      <c r="Y4630">
        <v>0</v>
      </c>
      <c r="Z4630">
        <v>44500.03</v>
      </c>
      <c r="AA4630">
        <v>45591.82</v>
      </c>
      <c r="AB4630" s="12" t="s">
        <v>201</v>
      </c>
      <c r="AD4630">
        <v>0</v>
      </c>
      <c r="AE4630">
        <v>0</v>
      </c>
      <c r="AH4630">
        <v>114</v>
      </c>
      <c r="AI4630">
        <v>114</v>
      </c>
      <c r="AJ4630">
        <v>0</v>
      </c>
      <c r="AK4630">
        <v>1</v>
      </c>
      <c r="AL4630">
        <v>1</v>
      </c>
      <c r="AM4630">
        <v>100</v>
      </c>
      <c r="AN4630">
        <v>399.9282</v>
      </c>
      <c r="AO4630">
        <v>0</v>
      </c>
      <c r="AP4630" s="13">
        <v>45789</v>
      </c>
      <c r="AQ4630">
        <v>0</v>
      </c>
      <c r="AR4630">
        <v>1</v>
      </c>
    </row>
    <row r="4631" spans="1:44" x14ac:dyDescent="0.35">
      <c r="A4631" s="12" t="s">
        <v>5626</v>
      </c>
      <c r="B4631" s="12" t="s">
        <v>565</v>
      </c>
      <c r="C4631" s="12" t="s">
        <v>566</v>
      </c>
      <c r="D4631" s="12" t="s">
        <v>122</v>
      </c>
      <c r="E4631" s="12" t="s">
        <v>104</v>
      </c>
      <c r="F4631">
        <v>3</v>
      </c>
      <c r="G4631">
        <v>1</v>
      </c>
      <c r="H4631">
        <v>0</v>
      </c>
      <c r="I4631" s="12" t="s">
        <v>131</v>
      </c>
      <c r="J4631" s="12" t="s">
        <v>132</v>
      </c>
      <c r="K4631" s="12" t="s">
        <v>133</v>
      </c>
      <c r="L4631" s="12" t="s">
        <v>134</v>
      </c>
      <c r="M4631">
        <v>1.51</v>
      </c>
      <c r="N4631" s="12" t="s">
        <v>97</v>
      </c>
      <c r="O4631" s="12" t="s">
        <v>98</v>
      </c>
      <c r="P4631" s="12" t="s">
        <v>72</v>
      </c>
      <c r="Q4631" s="13">
        <v>45741</v>
      </c>
      <c r="R4631" s="13">
        <v>45763</v>
      </c>
      <c r="S4631">
        <v>2025</v>
      </c>
      <c r="T4631" s="12" t="s">
        <v>5461</v>
      </c>
      <c r="U4631">
        <v>1239</v>
      </c>
      <c r="V4631">
        <v>35.119900000000001</v>
      </c>
      <c r="W4631">
        <v>677.06</v>
      </c>
      <c r="X4631">
        <v>0</v>
      </c>
      <c r="Y4631">
        <v>0</v>
      </c>
      <c r="Z4631">
        <v>43513.56</v>
      </c>
      <c r="AA4631">
        <v>44190.62</v>
      </c>
      <c r="AB4631" s="12" t="s">
        <v>5571</v>
      </c>
      <c r="AC4631">
        <v>35.119900000000001</v>
      </c>
      <c r="AD4631">
        <v>1</v>
      </c>
      <c r="AE4631">
        <v>1</v>
      </c>
      <c r="AF4631">
        <v>0</v>
      </c>
      <c r="AG4631">
        <v>43513.56</v>
      </c>
      <c r="AH4631">
        <v>1239</v>
      </c>
      <c r="AI4631">
        <v>1234</v>
      </c>
      <c r="AJ4631">
        <v>5</v>
      </c>
      <c r="AK4631">
        <v>1</v>
      </c>
      <c r="AL4631">
        <v>1</v>
      </c>
      <c r="AM4631">
        <v>99.6</v>
      </c>
      <c r="AN4631">
        <v>35.810899999999997</v>
      </c>
      <c r="AO4631">
        <v>175.6</v>
      </c>
      <c r="AP4631" s="13">
        <v>45760</v>
      </c>
      <c r="AQ4631">
        <v>-3</v>
      </c>
      <c r="AR4631">
        <v>1</v>
      </c>
    </row>
    <row r="4632" spans="1:44" x14ac:dyDescent="0.35">
      <c r="A4632" s="12" t="s">
        <v>5627</v>
      </c>
      <c r="B4632" s="12" t="s">
        <v>350</v>
      </c>
      <c r="C4632" s="12" t="s">
        <v>351</v>
      </c>
      <c r="D4632" s="12" t="s">
        <v>64</v>
      </c>
      <c r="E4632" s="12" t="s">
        <v>104</v>
      </c>
      <c r="F4632">
        <v>3</v>
      </c>
      <c r="G4632">
        <v>1</v>
      </c>
      <c r="H4632">
        <v>0</v>
      </c>
      <c r="I4632" s="12" t="s">
        <v>486</v>
      </c>
      <c r="J4632" s="12" t="s">
        <v>487</v>
      </c>
      <c r="K4632" s="12" t="s">
        <v>125</v>
      </c>
      <c r="L4632" s="12" t="s">
        <v>69</v>
      </c>
      <c r="M4632">
        <v>36.86</v>
      </c>
      <c r="N4632" s="12" t="s">
        <v>97</v>
      </c>
      <c r="O4632" s="12" t="s">
        <v>98</v>
      </c>
      <c r="P4632" s="12" t="s">
        <v>72</v>
      </c>
      <c r="Q4632" s="13">
        <v>45741</v>
      </c>
      <c r="R4632" s="13">
        <v>45758</v>
      </c>
      <c r="S4632">
        <v>2025</v>
      </c>
      <c r="T4632" s="12" t="s">
        <v>5461</v>
      </c>
      <c r="U4632">
        <v>373</v>
      </c>
      <c r="V4632">
        <v>8.2452000000000005</v>
      </c>
      <c r="W4632">
        <v>63.16</v>
      </c>
      <c r="X4632">
        <v>0</v>
      </c>
      <c r="Y4632">
        <v>0</v>
      </c>
      <c r="Z4632">
        <v>3075.46</v>
      </c>
      <c r="AA4632">
        <v>3138.62</v>
      </c>
      <c r="AB4632" s="12" t="s">
        <v>5628</v>
      </c>
      <c r="AC4632">
        <v>8.2452000000000005</v>
      </c>
      <c r="AD4632">
        <v>1</v>
      </c>
      <c r="AE4632">
        <v>1</v>
      </c>
      <c r="AF4632">
        <v>0</v>
      </c>
      <c r="AG4632">
        <v>3075.46</v>
      </c>
      <c r="AH4632">
        <v>373</v>
      </c>
      <c r="AI4632">
        <v>368</v>
      </c>
      <c r="AJ4632">
        <v>5</v>
      </c>
      <c r="AK4632">
        <v>1</v>
      </c>
      <c r="AL4632">
        <v>1</v>
      </c>
      <c r="AM4632">
        <v>98.66</v>
      </c>
      <c r="AN4632">
        <v>8.5289000000000001</v>
      </c>
      <c r="AO4632">
        <v>41.23</v>
      </c>
      <c r="AP4632" s="13">
        <v>45755</v>
      </c>
      <c r="AQ4632">
        <v>-3</v>
      </c>
      <c r="AR4632">
        <v>1</v>
      </c>
    </row>
    <row r="4633" spans="1:44" x14ac:dyDescent="0.35">
      <c r="A4633" s="12" t="s">
        <v>5629</v>
      </c>
      <c r="B4633" s="12" t="s">
        <v>621</v>
      </c>
      <c r="C4633" s="12" t="s">
        <v>622</v>
      </c>
      <c r="D4633" s="12" t="s">
        <v>103</v>
      </c>
      <c r="E4633" s="12" t="s">
        <v>65</v>
      </c>
      <c r="F4633">
        <v>1</v>
      </c>
      <c r="G4633">
        <v>2</v>
      </c>
      <c r="H4633">
        <v>1</v>
      </c>
      <c r="I4633" s="12" t="s">
        <v>486</v>
      </c>
      <c r="J4633" s="12" t="s">
        <v>487</v>
      </c>
      <c r="K4633" s="12" t="s">
        <v>125</v>
      </c>
      <c r="L4633" s="12" t="s">
        <v>69</v>
      </c>
      <c r="M4633">
        <v>36.86</v>
      </c>
      <c r="N4633" s="12" t="s">
        <v>145</v>
      </c>
      <c r="O4633" s="12" t="s">
        <v>146</v>
      </c>
      <c r="P4633" s="12" t="s">
        <v>109</v>
      </c>
      <c r="Q4633" s="13">
        <v>45741</v>
      </c>
      <c r="R4633" s="13">
        <v>45767</v>
      </c>
      <c r="S4633">
        <v>2025</v>
      </c>
      <c r="T4633" s="12" t="s">
        <v>5461</v>
      </c>
      <c r="U4633">
        <v>52</v>
      </c>
      <c r="V4633">
        <v>200.7516</v>
      </c>
      <c r="W4633">
        <v>77.23</v>
      </c>
      <c r="X4633">
        <v>0</v>
      </c>
      <c r="Y4633">
        <v>0</v>
      </c>
      <c r="Z4633">
        <v>10439.08</v>
      </c>
      <c r="AA4633">
        <v>10516.31</v>
      </c>
      <c r="AB4633" s="12" t="s">
        <v>5123</v>
      </c>
      <c r="AC4633">
        <v>200.7516</v>
      </c>
      <c r="AD4633">
        <v>1</v>
      </c>
      <c r="AE4633">
        <v>1</v>
      </c>
      <c r="AF4633">
        <v>0</v>
      </c>
      <c r="AG4633">
        <v>10439.08</v>
      </c>
      <c r="AH4633">
        <v>52</v>
      </c>
      <c r="AI4633">
        <v>51</v>
      </c>
      <c r="AJ4633">
        <v>1</v>
      </c>
      <c r="AK4633">
        <v>1</v>
      </c>
      <c r="AL4633">
        <v>1</v>
      </c>
      <c r="AM4633">
        <v>98.08</v>
      </c>
      <c r="AN4633">
        <v>206.2022</v>
      </c>
      <c r="AO4633">
        <v>200.75</v>
      </c>
      <c r="AP4633" s="13">
        <v>45766</v>
      </c>
      <c r="AQ4633">
        <v>-1</v>
      </c>
      <c r="AR4633">
        <v>1</v>
      </c>
    </row>
    <row r="4634" spans="1:44" x14ac:dyDescent="0.35">
      <c r="A4634" s="12" t="s">
        <v>5630</v>
      </c>
      <c r="B4634" s="12" t="s">
        <v>255</v>
      </c>
      <c r="C4634" s="12" t="s">
        <v>256</v>
      </c>
      <c r="D4634" s="12" t="s">
        <v>103</v>
      </c>
      <c r="E4634" s="12" t="s">
        <v>65</v>
      </c>
      <c r="F4634">
        <v>2</v>
      </c>
      <c r="G4634">
        <v>4</v>
      </c>
      <c r="H4634">
        <v>0</v>
      </c>
      <c r="I4634" s="12" t="s">
        <v>143</v>
      </c>
      <c r="J4634" s="12" t="s">
        <v>144</v>
      </c>
      <c r="K4634" s="12" t="s">
        <v>133</v>
      </c>
      <c r="L4634" s="12" t="s">
        <v>96</v>
      </c>
      <c r="M4634">
        <v>5.43</v>
      </c>
      <c r="N4634" s="12" t="s">
        <v>107</v>
      </c>
      <c r="O4634" s="12" t="s">
        <v>108</v>
      </c>
      <c r="P4634" s="12" t="s">
        <v>109</v>
      </c>
      <c r="Q4634" s="13">
        <v>45741</v>
      </c>
      <c r="R4634" s="13">
        <v>45777</v>
      </c>
      <c r="S4634">
        <v>2025</v>
      </c>
      <c r="T4634" s="12" t="s">
        <v>5461</v>
      </c>
      <c r="U4634">
        <v>130</v>
      </c>
      <c r="V4634">
        <v>95.061000000000007</v>
      </c>
      <c r="W4634">
        <v>148.56</v>
      </c>
      <c r="X4634">
        <v>0</v>
      </c>
      <c r="Y4634">
        <v>0</v>
      </c>
      <c r="Z4634">
        <v>12357.93</v>
      </c>
      <c r="AA4634">
        <v>12506.49</v>
      </c>
      <c r="AB4634" s="12" t="s">
        <v>5188</v>
      </c>
      <c r="AC4634">
        <v>95.061000000000007</v>
      </c>
      <c r="AD4634">
        <v>1</v>
      </c>
      <c r="AE4634">
        <v>1</v>
      </c>
      <c r="AF4634">
        <v>0</v>
      </c>
      <c r="AG4634">
        <v>12357.93</v>
      </c>
      <c r="AH4634">
        <v>130</v>
      </c>
      <c r="AI4634">
        <v>129</v>
      </c>
      <c r="AJ4634">
        <v>1</v>
      </c>
      <c r="AK4634">
        <v>1</v>
      </c>
      <c r="AL4634">
        <v>1</v>
      </c>
      <c r="AM4634">
        <v>99.23</v>
      </c>
      <c r="AN4634">
        <v>96.9495</v>
      </c>
      <c r="AO4634">
        <v>95.06</v>
      </c>
      <c r="AP4634" s="13">
        <v>45774</v>
      </c>
      <c r="AQ4634">
        <v>-3</v>
      </c>
      <c r="AR4634">
        <v>1</v>
      </c>
    </row>
    <row r="4635" spans="1:44" x14ac:dyDescent="0.35">
      <c r="A4635" s="12" t="s">
        <v>5631</v>
      </c>
      <c r="B4635" s="12" t="s">
        <v>792</v>
      </c>
      <c r="C4635" s="12" t="s">
        <v>793</v>
      </c>
      <c r="D4635" s="12" t="s">
        <v>103</v>
      </c>
      <c r="E4635" s="12" t="s">
        <v>65</v>
      </c>
      <c r="F4635">
        <v>2</v>
      </c>
      <c r="G4635">
        <v>3</v>
      </c>
      <c r="H4635">
        <v>0</v>
      </c>
      <c r="I4635" s="12" t="s">
        <v>115</v>
      </c>
      <c r="J4635" s="12" t="s">
        <v>116</v>
      </c>
      <c r="K4635" s="12" t="s">
        <v>117</v>
      </c>
      <c r="L4635" s="12" t="s">
        <v>82</v>
      </c>
      <c r="M4635">
        <v>17.170000000000002</v>
      </c>
      <c r="N4635" s="12" t="s">
        <v>145</v>
      </c>
      <c r="O4635" s="12" t="s">
        <v>146</v>
      </c>
      <c r="P4635" s="12" t="s">
        <v>109</v>
      </c>
      <c r="Q4635" s="13">
        <v>45741</v>
      </c>
      <c r="R4635" s="13">
        <v>45778</v>
      </c>
      <c r="S4635">
        <v>2025</v>
      </c>
      <c r="T4635" s="12" t="s">
        <v>5461</v>
      </c>
      <c r="U4635">
        <v>138</v>
      </c>
      <c r="V4635">
        <v>98.330600000000004</v>
      </c>
      <c r="W4635">
        <v>113.69</v>
      </c>
      <c r="X4635">
        <v>0</v>
      </c>
      <c r="Y4635">
        <v>0</v>
      </c>
      <c r="Z4635">
        <v>13569.62</v>
      </c>
      <c r="AA4635">
        <v>13683.31</v>
      </c>
      <c r="AB4635" s="12" t="s">
        <v>3411</v>
      </c>
      <c r="AC4635">
        <v>98.330600000000004</v>
      </c>
      <c r="AD4635">
        <v>1</v>
      </c>
      <c r="AE4635">
        <v>1</v>
      </c>
      <c r="AF4635">
        <v>0</v>
      </c>
      <c r="AG4635">
        <v>13569.62</v>
      </c>
      <c r="AH4635">
        <v>138</v>
      </c>
      <c r="AI4635">
        <v>136</v>
      </c>
      <c r="AJ4635">
        <v>2</v>
      </c>
      <c r="AK4635">
        <v>1</v>
      </c>
      <c r="AL4635">
        <v>1</v>
      </c>
      <c r="AM4635">
        <v>98.55</v>
      </c>
      <c r="AN4635">
        <v>100.6126</v>
      </c>
      <c r="AO4635">
        <v>196.66</v>
      </c>
      <c r="AP4635" s="13">
        <v>45775</v>
      </c>
      <c r="AQ4635">
        <v>-3</v>
      </c>
      <c r="AR4635">
        <v>1</v>
      </c>
    </row>
    <row r="4636" spans="1:44" x14ac:dyDescent="0.35">
      <c r="A4636" s="12" t="s">
        <v>5632</v>
      </c>
      <c r="B4636" s="12" t="s">
        <v>404</v>
      </c>
      <c r="C4636" s="12" t="s">
        <v>405</v>
      </c>
      <c r="D4636" s="12" t="s">
        <v>269</v>
      </c>
      <c r="E4636" s="12" t="s">
        <v>65</v>
      </c>
      <c r="F4636">
        <v>3</v>
      </c>
      <c r="G4636">
        <v>5</v>
      </c>
      <c r="H4636">
        <v>0</v>
      </c>
      <c r="I4636" s="12" t="s">
        <v>79</v>
      </c>
      <c r="J4636" s="12" t="s">
        <v>80</v>
      </c>
      <c r="K4636" s="12" t="s">
        <v>81</v>
      </c>
      <c r="L4636" s="12" t="s">
        <v>82</v>
      </c>
      <c r="M4636">
        <v>12.07</v>
      </c>
      <c r="N4636" s="12" t="s">
        <v>135</v>
      </c>
      <c r="O4636" s="12" t="s">
        <v>136</v>
      </c>
      <c r="P4636" s="12" t="s">
        <v>137</v>
      </c>
      <c r="Q4636" s="13">
        <v>45742</v>
      </c>
      <c r="R4636" s="13">
        <v>45774</v>
      </c>
      <c r="S4636">
        <v>2025</v>
      </c>
      <c r="T4636" s="12" t="s">
        <v>5461</v>
      </c>
      <c r="U4636">
        <v>96</v>
      </c>
      <c r="V4636">
        <v>430.10059999999999</v>
      </c>
      <c r="W4636">
        <v>873.2</v>
      </c>
      <c r="X4636">
        <v>0</v>
      </c>
      <c r="Y4636">
        <v>0</v>
      </c>
      <c r="Z4636">
        <v>41289.660000000003</v>
      </c>
      <c r="AA4636">
        <v>42162.86</v>
      </c>
      <c r="AB4636" s="12" t="s">
        <v>5503</v>
      </c>
      <c r="AC4636">
        <v>430.10059999999999</v>
      </c>
      <c r="AD4636">
        <v>1</v>
      </c>
      <c r="AE4636">
        <v>1</v>
      </c>
      <c r="AF4636">
        <v>0</v>
      </c>
      <c r="AG4636">
        <v>41289.660000000003</v>
      </c>
      <c r="AH4636">
        <v>96</v>
      </c>
      <c r="AI4636">
        <v>96</v>
      </c>
      <c r="AJ4636">
        <v>0</v>
      </c>
      <c r="AK4636">
        <v>1</v>
      </c>
      <c r="AL4636">
        <v>1</v>
      </c>
      <c r="AM4636">
        <v>100</v>
      </c>
      <c r="AN4636">
        <v>439.19639999999998</v>
      </c>
      <c r="AO4636">
        <v>0</v>
      </c>
      <c r="AP4636" s="13">
        <v>45771</v>
      </c>
      <c r="AQ4636">
        <v>-3</v>
      </c>
      <c r="AR4636">
        <v>1</v>
      </c>
    </row>
    <row r="4637" spans="1:44" x14ac:dyDescent="0.35">
      <c r="A4637" s="12" t="s">
        <v>5633</v>
      </c>
      <c r="B4637" s="12" t="s">
        <v>437</v>
      </c>
      <c r="C4637" s="12" t="s">
        <v>438</v>
      </c>
      <c r="D4637" s="12" t="s">
        <v>269</v>
      </c>
      <c r="E4637" s="12" t="s">
        <v>65</v>
      </c>
      <c r="F4637">
        <v>2</v>
      </c>
      <c r="G4637">
        <v>4</v>
      </c>
      <c r="H4637">
        <v>0</v>
      </c>
      <c r="I4637" s="12" t="s">
        <v>115</v>
      </c>
      <c r="J4637" s="12" t="s">
        <v>116</v>
      </c>
      <c r="K4637" s="12" t="s">
        <v>117</v>
      </c>
      <c r="L4637" s="12" t="s">
        <v>82</v>
      </c>
      <c r="M4637">
        <v>17.170000000000002</v>
      </c>
      <c r="N4637" s="12" t="s">
        <v>135</v>
      </c>
      <c r="O4637" s="12" t="s">
        <v>136</v>
      </c>
      <c r="P4637" s="12" t="s">
        <v>137</v>
      </c>
      <c r="Q4637" s="13">
        <v>45742</v>
      </c>
      <c r="R4637" s="13">
        <v>45769</v>
      </c>
      <c r="S4637">
        <v>2025</v>
      </c>
      <c r="T4637" s="12" t="s">
        <v>5461</v>
      </c>
      <c r="U4637">
        <v>58</v>
      </c>
      <c r="V4637">
        <v>409.1377</v>
      </c>
      <c r="W4637">
        <v>393.95</v>
      </c>
      <c r="X4637">
        <v>0</v>
      </c>
      <c r="Y4637">
        <v>0</v>
      </c>
      <c r="Z4637">
        <v>23729.99</v>
      </c>
      <c r="AA4637">
        <v>24123.94</v>
      </c>
      <c r="AB4637" s="12" t="s">
        <v>5505</v>
      </c>
      <c r="AC4637">
        <v>409.1377</v>
      </c>
      <c r="AD4637">
        <v>1</v>
      </c>
      <c r="AE4637">
        <v>1</v>
      </c>
      <c r="AF4637">
        <v>0</v>
      </c>
      <c r="AG4637">
        <v>23729.99</v>
      </c>
      <c r="AH4637">
        <v>58</v>
      </c>
      <c r="AI4637">
        <v>58</v>
      </c>
      <c r="AJ4637">
        <v>0</v>
      </c>
      <c r="AK4637">
        <v>1</v>
      </c>
      <c r="AL4637">
        <v>1</v>
      </c>
      <c r="AM4637">
        <v>100</v>
      </c>
      <c r="AN4637">
        <v>415.92989999999998</v>
      </c>
      <c r="AO4637">
        <v>0</v>
      </c>
      <c r="AP4637" s="13">
        <v>45768</v>
      </c>
      <c r="AQ4637">
        <v>-1</v>
      </c>
      <c r="AR4637">
        <v>1</v>
      </c>
    </row>
    <row r="4638" spans="1:44" x14ac:dyDescent="0.35">
      <c r="A4638" s="12" t="s">
        <v>5634</v>
      </c>
      <c r="B4638" s="12" t="s">
        <v>1068</v>
      </c>
      <c r="C4638" s="12" t="s">
        <v>1069</v>
      </c>
      <c r="D4638" s="12" t="s">
        <v>122</v>
      </c>
      <c r="E4638" s="12" t="s">
        <v>65</v>
      </c>
      <c r="F4638">
        <v>2</v>
      </c>
      <c r="G4638">
        <v>2</v>
      </c>
      <c r="H4638">
        <v>0</v>
      </c>
      <c r="I4638" s="12" t="s">
        <v>195</v>
      </c>
      <c r="J4638" s="12" t="s">
        <v>196</v>
      </c>
      <c r="K4638" s="12" t="s">
        <v>117</v>
      </c>
      <c r="L4638" s="12" t="s">
        <v>134</v>
      </c>
      <c r="M4638">
        <v>4.7699999999999996</v>
      </c>
      <c r="N4638" s="12" t="s">
        <v>97</v>
      </c>
      <c r="O4638" s="12" t="s">
        <v>98</v>
      </c>
      <c r="P4638" s="12" t="s">
        <v>72</v>
      </c>
      <c r="Q4638" s="13">
        <v>45742</v>
      </c>
      <c r="R4638" s="13">
        <v>45764</v>
      </c>
      <c r="S4638">
        <v>2025</v>
      </c>
      <c r="T4638" s="12" t="s">
        <v>5461</v>
      </c>
      <c r="U4638">
        <v>333</v>
      </c>
      <c r="V4638">
        <v>22.3445</v>
      </c>
      <c r="W4638">
        <v>70.42</v>
      </c>
      <c r="X4638">
        <v>0</v>
      </c>
      <c r="Y4638">
        <v>0</v>
      </c>
      <c r="Z4638">
        <v>7440.72</v>
      </c>
      <c r="AA4638">
        <v>7511.14</v>
      </c>
      <c r="AB4638" s="12" t="s">
        <v>201</v>
      </c>
      <c r="AD4638">
        <v>0</v>
      </c>
      <c r="AE4638">
        <v>0</v>
      </c>
      <c r="AH4638">
        <v>333</v>
      </c>
      <c r="AI4638">
        <v>330</v>
      </c>
      <c r="AJ4638">
        <v>3</v>
      </c>
      <c r="AK4638">
        <v>1</v>
      </c>
      <c r="AL4638">
        <v>1</v>
      </c>
      <c r="AM4638">
        <v>99.1</v>
      </c>
      <c r="AN4638">
        <v>22.760999999999999</v>
      </c>
      <c r="AO4638">
        <v>67.03</v>
      </c>
      <c r="AP4638" s="13">
        <v>45763</v>
      </c>
      <c r="AQ4638">
        <v>-1</v>
      </c>
      <c r="AR4638">
        <v>1</v>
      </c>
    </row>
    <row r="4639" spans="1:44" x14ac:dyDescent="0.35">
      <c r="A4639" s="12" t="s">
        <v>5635</v>
      </c>
      <c r="B4639" s="12" t="s">
        <v>1166</v>
      </c>
      <c r="C4639" s="12" t="s">
        <v>1167</v>
      </c>
      <c r="D4639" s="12" t="s">
        <v>175</v>
      </c>
      <c r="E4639" s="12" t="s">
        <v>65</v>
      </c>
      <c r="F4639">
        <v>3</v>
      </c>
      <c r="G4639">
        <v>5</v>
      </c>
      <c r="H4639">
        <v>0</v>
      </c>
      <c r="I4639" s="12" t="s">
        <v>105</v>
      </c>
      <c r="J4639" s="12" t="s">
        <v>106</v>
      </c>
      <c r="K4639" s="12" t="s">
        <v>81</v>
      </c>
      <c r="L4639" s="12" t="s">
        <v>96</v>
      </c>
      <c r="M4639">
        <v>5.01</v>
      </c>
      <c r="N4639" s="12" t="s">
        <v>145</v>
      </c>
      <c r="O4639" s="12" t="s">
        <v>146</v>
      </c>
      <c r="P4639" s="12" t="s">
        <v>109</v>
      </c>
      <c r="Q4639" s="13">
        <v>45742</v>
      </c>
      <c r="R4639" s="13">
        <v>45773</v>
      </c>
      <c r="S4639">
        <v>2025</v>
      </c>
      <c r="T4639" s="12" t="s">
        <v>5461</v>
      </c>
      <c r="U4639">
        <v>88</v>
      </c>
      <c r="V4639">
        <v>233.78229999999999</v>
      </c>
      <c r="W4639">
        <v>203.59</v>
      </c>
      <c r="X4639">
        <v>0</v>
      </c>
      <c r="Y4639">
        <v>0</v>
      </c>
      <c r="Z4639">
        <v>20572.84</v>
      </c>
      <c r="AA4639">
        <v>20776.43</v>
      </c>
      <c r="AB4639" s="12" t="s">
        <v>3746</v>
      </c>
      <c r="AC4639">
        <v>233.78229999999999</v>
      </c>
      <c r="AD4639">
        <v>1</v>
      </c>
      <c r="AE4639">
        <v>1</v>
      </c>
      <c r="AF4639">
        <v>0</v>
      </c>
      <c r="AG4639">
        <v>20572.84</v>
      </c>
      <c r="AH4639">
        <v>88</v>
      </c>
      <c r="AI4639">
        <v>88</v>
      </c>
      <c r="AJ4639">
        <v>0</v>
      </c>
      <c r="AK4639">
        <v>1</v>
      </c>
      <c r="AL4639">
        <v>1</v>
      </c>
      <c r="AM4639">
        <v>100</v>
      </c>
      <c r="AN4639">
        <v>236.0958</v>
      </c>
      <c r="AO4639">
        <v>0</v>
      </c>
      <c r="AP4639" s="13">
        <v>45773</v>
      </c>
      <c r="AQ4639">
        <v>0</v>
      </c>
      <c r="AR4639">
        <v>1</v>
      </c>
    </row>
    <row r="4640" spans="1:44" x14ac:dyDescent="0.35">
      <c r="A4640" s="12" t="s">
        <v>5636</v>
      </c>
      <c r="B4640" s="12" t="s">
        <v>843</v>
      </c>
      <c r="C4640" s="12" t="s">
        <v>844</v>
      </c>
      <c r="D4640" s="12" t="s">
        <v>175</v>
      </c>
      <c r="E4640" s="12" t="s">
        <v>65</v>
      </c>
      <c r="F4640">
        <v>3</v>
      </c>
      <c r="G4640">
        <v>5</v>
      </c>
      <c r="H4640">
        <v>0</v>
      </c>
      <c r="I4640" s="12" t="s">
        <v>79</v>
      </c>
      <c r="J4640" s="12" t="s">
        <v>80</v>
      </c>
      <c r="K4640" s="12" t="s">
        <v>81</v>
      </c>
      <c r="L4640" s="12" t="s">
        <v>82</v>
      </c>
      <c r="M4640">
        <v>12.07</v>
      </c>
      <c r="N4640" s="12" t="s">
        <v>145</v>
      </c>
      <c r="O4640" s="12" t="s">
        <v>146</v>
      </c>
      <c r="P4640" s="12" t="s">
        <v>109</v>
      </c>
      <c r="Q4640" s="13">
        <v>45743</v>
      </c>
      <c r="R4640" s="13">
        <v>45778</v>
      </c>
      <c r="S4640">
        <v>2025</v>
      </c>
      <c r="T4640" s="12" t="s">
        <v>5461</v>
      </c>
      <c r="U4640">
        <v>124</v>
      </c>
      <c r="V4640">
        <v>251.68450000000001</v>
      </c>
      <c r="W4640">
        <v>775.4</v>
      </c>
      <c r="X4640">
        <v>0</v>
      </c>
      <c r="Y4640">
        <v>0</v>
      </c>
      <c r="Z4640">
        <v>31208.880000000001</v>
      </c>
      <c r="AA4640">
        <v>31984.28</v>
      </c>
      <c r="AB4640" s="12" t="s">
        <v>3871</v>
      </c>
      <c r="AC4640">
        <v>251.68450000000001</v>
      </c>
      <c r="AD4640">
        <v>1</v>
      </c>
      <c r="AE4640">
        <v>1</v>
      </c>
      <c r="AF4640">
        <v>0</v>
      </c>
      <c r="AG4640">
        <v>31208.880000000001</v>
      </c>
      <c r="AH4640">
        <v>124</v>
      </c>
      <c r="AI4640">
        <v>124</v>
      </c>
      <c r="AJ4640">
        <v>0</v>
      </c>
      <c r="AK4640">
        <v>1</v>
      </c>
      <c r="AL4640">
        <v>1</v>
      </c>
      <c r="AM4640">
        <v>100</v>
      </c>
      <c r="AN4640">
        <v>257.93770000000001</v>
      </c>
      <c r="AO4640">
        <v>0</v>
      </c>
      <c r="AP4640" s="13">
        <v>45775</v>
      </c>
      <c r="AQ4640">
        <v>-3</v>
      </c>
      <c r="AR4640">
        <v>1</v>
      </c>
    </row>
    <row r="4641" spans="1:44" x14ac:dyDescent="0.35">
      <c r="A4641" s="12" t="s">
        <v>5637</v>
      </c>
      <c r="B4641" s="12" t="s">
        <v>609</v>
      </c>
      <c r="C4641" s="12" t="s">
        <v>610</v>
      </c>
      <c r="D4641" s="12" t="s">
        <v>64</v>
      </c>
      <c r="E4641" s="12" t="s">
        <v>104</v>
      </c>
      <c r="F4641">
        <v>1</v>
      </c>
      <c r="G4641">
        <v>0</v>
      </c>
      <c r="H4641">
        <v>1</v>
      </c>
      <c r="I4641" s="12" t="s">
        <v>227</v>
      </c>
      <c r="J4641" s="12" t="s">
        <v>228</v>
      </c>
      <c r="K4641" s="12" t="s">
        <v>89</v>
      </c>
      <c r="L4641" s="12" t="s">
        <v>96</v>
      </c>
      <c r="M4641">
        <v>9.15</v>
      </c>
      <c r="N4641" s="12" t="s">
        <v>70</v>
      </c>
      <c r="O4641" s="12" t="s">
        <v>71</v>
      </c>
      <c r="P4641" s="12" t="s">
        <v>72</v>
      </c>
      <c r="Q4641" s="13">
        <v>45743</v>
      </c>
      <c r="R4641" s="13">
        <v>45768</v>
      </c>
      <c r="S4641">
        <v>2025</v>
      </c>
      <c r="T4641" s="12" t="s">
        <v>5461</v>
      </c>
      <c r="U4641">
        <v>786</v>
      </c>
      <c r="V4641">
        <v>21.9405</v>
      </c>
      <c r="W4641">
        <v>359.32</v>
      </c>
      <c r="X4641">
        <v>555.4</v>
      </c>
      <c r="Y4641">
        <v>1</v>
      </c>
      <c r="Z4641">
        <v>17245.23</v>
      </c>
      <c r="AA4641">
        <v>18159.95</v>
      </c>
      <c r="AB4641" s="12" t="s">
        <v>5573</v>
      </c>
      <c r="AC4641">
        <v>20.683900000000001</v>
      </c>
      <c r="AD4641">
        <v>1</v>
      </c>
      <c r="AE4641">
        <v>1</v>
      </c>
      <c r="AF4641">
        <v>987.69</v>
      </c>
      <c r="AG4641">
        <v>16257.55</v>
      </c>
      <c r="AH4641">
        <v>786</v>
      </c>
      <c r="AI4641">
        <v>779</v>
      </c>
      <c r="AJ4641">
        <v>7</v>
      </c>
      <c r="AK4641">
        <v>1</v>
      </c>
      <c r="AL4641">
        <v>1</v>
      </c>
      <c r="AM4641">
        <v>99.11</v>
      </c>
      <c r="AN4641">
        <v>23.311900000000001</v>
      </c>
      <c r="AO4641">
        <v>153.58000000000001</v>
      </c>
      <c r="AP4641" s="13">
        <v>45768</v>
      </c>
      <c r="AQ4641">
        <v>0</v>
      </c>
      <c r="AR4641">
        <v>1</v>
      </c>
    </row>
    <row r="4642" spans="1:44" x14ac:dyDescent="0.35">
      <c r="A4642" s="12" t="s">
        <v>5638</v>
      </c>
      <c r="B4642" s="12" t="s">
        <v>241</v>
      </c>
      <c r="C4642" s="12" t="s">
        <v>242</v>
      </c>
      <c r="D4642" s="12" t="s">
        <v>103</v>
      </c>
      <c r="E4642" s="12" t="s">
        <v>142</v>
      </c>
      <c r="F4642">
        <v>3</v>
      </c>
      <c r="G4642">
        <v>11</v>
      </c>
      <c r="H4642">
        <v>0</v>
      </c>
      <c r="I4642" s="12" t="s">
        <v>243</v>
      </c>
      <c r="J4642" s="12" t="s">
        <v>244</v>
      </c>
      <c r="K4642" s="12" t="s">
        <v>81</v>
      </c>
      <c r="L4642" s="12" t="s">
        <v>82</v>
      </c>
      <c r="M4642">
        <v>9.2200000000000006</v>
      </c>
      <c r="N4642" s="12" t="s">
        <v>107</v>
      </c>
      <c r="O4642" s="12" t="s">
        <v>108</v>
      </c>
      <c r="P4642" s="12" t="s">
        <v>109</v>
      </c>
      <c r="Q4642" s="13">
        <v>45743</v>
      </c>
      <c r="R4642" s="13">
        <v>45788</v>
      </c>
      <c r="S4642">
        <v>2025</v>
      </c>
      <c r="T4642" s="12" t="s">
        <v>5461</v>
      </c>
      <c r="U4642">
        <v>93</v>
      </c>
      <c r="V4642">
        <v>171.2236</v>
      </c>
      <c r="W4642">
        <v>101.95</v>
      </c>
      <c r="X4642">
        <v>0</v>
      </c>
      <c r="Y4642">
        <v>0</v>
      </c>
      <c r="Z4642">
        <v>15923.79</v>
      </c>
      <c r="AA4642">
        <v>16025.74</v>
      </c>
      <c r="AB4642" s="12" t="s">
        <v>201</v>
      </c>
      <c r="AD4642">
        <v>0</v>
      </c>
      <c r="AE4642">
        <v>0</v>
      </c>
      <c r="AH4642">
        <v>93</v>
      </c>
      <c r="AI4642">
        <v>92</v>
      </c>
      <c r="AJ4642">
        <v>1</v>
      </c>
      <c r="AK4642">
        <v>1</v>
      </c>
      <c r="AL4642">
        <v>1</v>
      </c>
      <c r="AM4642">
        <v>98.92</v>
      </c>
      <c r="AN4642">
        <v>174.19290000000001</v>
      </c>
      <c r="AO4642">
        <v>171.22</v>
      </c>
      <c r="AP4642" s="13">
        <v>45787</v>
      </c>
      <c r="AQ4642">
        <v>-1</v>
      </c>
      <c r="AR4642">
        <v>1</v>
      </c>
    </row>
    <row r="4643" spans="1:44" x14ac:dyDescent="0.35">
      <c r="A4643" s="12" t="s">
        <v>5639</v>
      </c>
      <c r="B4643" s="12" t="s">
        <v>173</v>
      </c>
      <c r="C4643" s="12" t="s">
        <v>174</v>
      </c>
      <c r="D4643" s="12" t="s">
        <v>175</v>
      </c>
      <c r="E4643" s="12" t="s">
        <v>104</v>
      </c>
      <c r="F4643">
        <v>3</v>
      </c>
      <c r="G4643">
        <v>1</v>
      </c>
      <c r="H4643">
        <v>0</v>
      </c>
      <c r="I4643" s="12" t="s">
        <v>176</v>
      </c>
      <c r="J4643" s="12" t="s">
        <v>177</v>
      </c>
      <c r="K4643" s="12" t="s">
        <v>125</v>
      </c>
      <c r="L4643" s="12" t="s">
        <v>134</v>
      </c>
      <c r="M4643">
        <v>1.75</v>
      </c>
      <c r="N4643" s="12" t="s">
        <v>107</v>
      </c>
      <c r="O4643" s="12" t="s">
        <v>108</v>
      </c>
      <c r="P4643" s="12" t="s">
        <v>109</v>
      </c>
      <c r="Q4643" s="13">
        <v>45743</v>
      </c>
      <c r="R4643" s="13">
        <v>45759</v>
      </c>
      <c r="S4643">
        <v>2025</v>
      </c>
      <c r="T4643" s="12" t="s">
        <v>5461</v>
      </c>
      <c r="U4643">
        <v>44</v>
      </c>
      <c r="V4643">
        <v>71.519599999999997</v>
      </c>
      <c r="W4643">
        <v>27.27</v>
      </c>
      <c r="X4643">
        <v>0</v>
      </c>
      <c r="Y4643">
        <v>0</v>
      </c>
      <c r="Z4643">
        <v>3146.86</v>
      </c>
      <c r="AA4643">
        <v>3174.13</v>
      </c>
      <c r="AB4643" s="12" t="s">
        <v>5221</v>
      </c>
      <c r="AC4643">
        <v>71.519599999999997</v>
      </c>
      <c r="AD4643">
        <v>1</v>
      </c>
      <c r="AE4643">
        <v>1</v>
      </c>
      <c r="AF4643">
        <v>0</v>
      </c>
      <c r="AG4643">
        <v>3146.86</v>
      </c>
      <c r="AH4643">
        <v>44</v>
      </c>
      <c r="AI4643">
        <v>44</v>
      </c>
      <c r="AJ4643">
        <v>0</v>
      </c>
      <c r="AK4643">
        <v>1</v>
      </c>
      <c r="AL4643">
        <v>1</v>
      </c>
      <c r="AM4643">
        <v>100</v>
      </c>
      <c r="AN4643">
        <v>72.139399999999995</v>
      </c>
      <c r="AO4643">
        <v>0</v>
      </c>
      <c r="AP4643" s="13">
        <v>45756</v>
      </c>
      <c r="AQ4643">
        <v>-3</v>
      </c>
      <c r="AR4643">
        <v>1</v>
      </c>
    </row>
    <row r="4644" spans="1:44" x14ac:dyDescent="0.35">
      <c r="A4644" s="12" t="s">
        <v>5640</v>
      </c>
      <c r="B4644" s="12" t="s">
        <v>420</v>
      </c>
      <c r="C4644" s="12" t="s">
        <v>421</v>
      </c>
      <c r="D4644" s="12" t="s">
        <v>269</v>
      </c>
      <c r="E4644" s="12" t="s">
        <v>104</v>
      </c>
      <c r="F4644">
        <v>2</v>
      </c>
      <c r="G4644">
        <v>0</v>
      </c>
      <c r="H4644">
        <v>0</v>
      </c>
      <c r="I4644" s="12" t="s">
        <v>335</v>
      </c>
      <c r="J4644" s="12" t="s">
        <v>336</v>
      </c>
      <c r="K4644" s="12" t="s">
        <v>89</v>
      </c>
      <c r="L4644" s="12" t="s">
        <v>82</v>
      </c>
      <c r="M4644">
        <v>16</v>
      </c>
      <c r="N4644" s="12" t="s">
        <v>159</v>
      </c>
      <c r="O4644" s="12" t="s">
        <v>160</v>
      </c>
      <c r="P4644" s="12" t="s">
        <v>137</v>
      </c>
      <c r="Q4644" s="13">
        <v>45743</v>
      </c>
      <c r="R4644" s="13">
        <v>45765</v>
      </c>
      <c r="S4644">
        <v>2025</v>
      </c>
      <c r="T4644" s="12" t="s">
        <v>5461</v>
      </c>
      <c r="U4644">
        <v>95</v>
      </c>
      <c r="V4644">
        <v>170.66040000000001</v>
      </c>
      <c r="W4644">
        <v>172.16</v>
      </c>
      <c r="X4644">
        <v>0</v>
      </c>
      <c r="Y4644">
        <v>0</v>
      </c>
      <c r="Z4644">
        <v>16212.74</v>
      </c>
      <c r="AA4644">
        <v>16384.900000000001</v>
      </c>
      <c r="AB4644" s="12" t="s">
        <v>201</v>
      </c>
      <c r="AD4644">
        <v>0</v>
      </c>
      <c r="AE4644">
        <v>0</v>
      </c>
      <c r="AH4644">
        <v>95</v>
      </c>
      <c r="AI4644">
        <v>94</v>
      </c>
      <c r="AJ4644">
        <v>1</v>
      </c>
      <c r="AK4644">
        <v>1</v>
      </c>
      <c r="AL4644">
        <v>1</v>
      </c>
      <c r="AM4644">
        <v>98.95</v>
      </c>
      <c r="AN4644">
        <v>174.3074</v>
      </c>
      <c r="AO4644">
        <v>170.66</v>
      </c>
      <c r="AP4644" s="13">
        <v>45765</v>
      </c>
      <c r="AQ4644">
        <v>0</v>
      </c>
      <c r="AR4644">
        <v>1</v>
      </c>
    </row>
    <row r="4645" spans="1:44" x14ac:dyDescent="0.35">
      <c r="A4645" s="12" t="s">
        <v>5641</v>
      </c>
      <c r="B4645" s="12" t="s">
        <v>823</v>
      </c>
      <c r="C4645" s="12" t="s">
        <v>824</v>
      </c>
      <c r="D4645" s="12" t="s">
        <v>114</v>
      </c>
      <c r="E4645" s="12" t="s">
        <v>142</v>
      </c>
      <c r="F4645">
        <v>1</v>
      </c>
      <c r="G4645">
        <v>8</v>
      </c>
      <c r="H4645">
        <v>1</v>
      </c>
      <c r="I4645" s="12" t="s">
        <v>515</v>
      </c>
      <c r="J4645" s="12" t="s">
        <v>516</v>
      </c>
      <c r="K4645" s="12" t="s">
        <v>68</v>
      </c>
      <c r="L4645" s="12" t="s">
        <v>134</v>
      </c>
      <c r="M4645">
        <v>3.69</v>
      </c>
      <c r="N4645" s="12" t="s">
        <v>70</v>
      </c>
      <c r="O4645" s="12" t="s">
        <v>71</v>
      </c>
      <c r="P4645" s="12" t="s">
        <v>72</v>
      </c>
      <c r="Q4645" s="13">
        <v>45743</v>
      </c>
      <c r="R4645" s="13">
        <v>45784</v>
      </c>
      <c r="S4645">
        <v>2025</v>
      </c>
      <c r="T4645" s="12" t="s">
        <v>5461</v>
      </c>
      <c r="U4645">
        <v>57</v>
      </c>
      <c r="V4645">
        <v>340.0874</v>
      </c>
      <c r="W4645">
        <v>416.66</v>
      </c>
      <c r="X4645">
        <v>0</v>
      </c>
      <c r="Y4645">
        <v>0</v>
      </c>
      <c r="Z4645">
        <v>19384.98</v>
      </c>
      <c r="AA4645">
        <v>19801.64</v>
      </c>
      <c r="AB4645" s="12" t="s">
        <v>3483</v>
      </c>
      <c r="AC4645">
        <v>361.71230000000003</v>
      </c>
      <c r="AD4645">
        <v>1</v>
      </c>
      <c r="AE4645">
        <v>1</v>
      </c>
      <c r="AF4645">
        <v>-1232.6199999999999</v>
      </c>
      <c r="AG4645">
        <v>20617.599999999999</v>
      </c>
      <c r="AH4645">
        <v>57</v>
      </c>
      <c r="AI4645">
        <v>56</v>
      </c>
      <c r="AJ4645">
        <v>1</v>
      </c>
      <c r="AK4645">
        <v>1</v>
      </c>
      <c r="AL4645">
        <v>1</v>
      </c>
      <c r="AM4645">
        <v>98.25</v>
      </c>
      <c r="AN4645">
        <v>353.60070000000002</v>
      </c>
      <c r="AO4645">
        <v>340.09</v>
      </c>
      <c r="AP4645" s="13">
        <v>45783</v>
      </c>
      <c r="AQ4645">
        <v>-1</v>
      </c>
      <c r="AR4645">
        <v>1</v>
      </c>
    </row>
    <row r="4646" spans="1:44" x14ac:dyDescent="0.35">
      <c r="A4646" s="12" t="s">
        <v>5642</v>
      </c>
      <c r="B4646" s="12" t="s">
        <v>458</v>
      </c>
      <c r="C4646" s="12" t="s">
        <v>459</v>
      </c>
      <c r="D4646" s="12" t="s">
        <v>64</v>
      </c>
      <c r="E4646" s="12" t="s">
        <v>104</v>
      </c>
      <c r="F4646">
        <v>2</v>
      </c>
      <c r="G4646">
        <v>0</v>
      </c>
      <c r="H4646">
        <v>0</v>
      </c>
      <c r="I4646" s="12" t="s">
        <v>199</v>
      </c>
      <c r="J4646" s="12" t="s">
        <v>200</v>
      </c>
      <c r="K4646" s="12" t="s">
        <v>68</v>
      </c>
      <c r="L4646" s="12" t="s">
        <v>96</v>
      </c>
      <c r="M4646">
        <v>9.4700000000000006</v>
      </c>
      <c r="N4646" s="12" t="s">
        <v>70</v>
      </c>
      <c r="O4646" s="12" t="s">
        <v>71</v>
      </c>
      <c r="P4646" s="12" t="s">
        <v>72</v>
      </c>
      <c r="Q4646" s="13">
        <v>45743</v>
      </c>
      <c r="R4646" s="13">
        <v>45757</v>
      </c>
      <c r="S4646">
        <v>2025</v>
      </c>
      <c r="T4646" s="12" t="s">
        <v>5461</v>
      </c>
      <c r="U4646">
        <v>232</v>
      </c>
      <c r="V4646">
        <v>21.352799999999998</v>
      </c>
      <c r="W4646">
        <v>102.65</v>
      </c>
      <c r="X4646">
        <v>0</v>
      </c>
      <c r="Y4646">
        <v>0</v>
      </c>
      <c r="Z4646">
        <v>4953.8500000000004</v>
      </c>
      <c r="AA4646">
        <v>5056.5</v>
      </c>
      <c r="AB4646" s="12" t="s">
        <v>5527</v>
      </c>
      <c r="AC4646">
        <v>21.352799999999998</v>
      </c>
      <c r="AD4646">
        <v>1</v>
      </c>
      <c r="AE4646">
        <v>1</v>
      </c>
      <c r="AF4646">
        <v>0</v>
      </c>
      <c r="AG4646">
        <v>4953.8500000000004</v>
      </c>
      <c r="AH4646">
        <v>232</v>
      </c>
      <c r="AI4646">
        <v>229</v>
      </c>
      <c r="AJ4646">
        <v>3</v>
      </c>
      <c r="AK4646">
        <v>1</v>
      </c>
      <c r="AL4646">
        <v>1</v>
      </c>
      <c r="AM4646">
        <v>98.71</v>
      </c>
      <c r="AN4646">
        <v>22.0808</v>
      </c>
      <c r="AO4646">
        <v>64.06</v>
      </c>
      <c r="AP4646" s="13">
        <v>45759</v>
      </c>
      <c r="AQ4646">
        <v>2</v>
      </c>
      <c r="AR4646">
        <v>0</v>
      </c>
    </row>
    <row r="4647" spans="1:44" x14ac:dyDescent="0.35">
      <c r="A4647" s="12" t="s">
        <v>5643</v>
      </c>
      <c r="B4647" s="12" t="s">
        <v>323</v>
      </c>
      <c r="C4647" s="12" t="s">
        <v>324</v>
      </c>
      <c r="D4647" s="12" t="s">
        <v>64</v>
      </c>
      <c r="E4647" s="12" t="s">
        <v>142</v>
      </c>
      <c r="F4647">
        <v>1</v>
      </c>
      <c r="G4647">
        <v>7</v>
      </c>
      <c r="H4647">
        <v>1</v>
      </c>
      <c r="I4647" s="12" t="s">
        <v>143</v>
      </c>
      <c r="J4647" s="12" t="s">
        <v>144</v>
      </c>
      <c r="K4647" s="12" t="s">
        <v>133</v>
      </c>
      <c r="L4647" s="12" t="s">
        <v>96</v>
      </c>
      <c r="M4647">
        <v>5.43</v>
      </c>
      <c r="N4647" s="12" t="s">
        <v>97</v>
      </c>
      <c r="O4647" s="12" t="s">
        <v>98</v>
      </c>
      <c r="P4647" s="12" t="s">
        <v>72</v>
      </c>
      <c r="Q4647" s="13">
        <v>45743</v>
      </c>
      <c r="R4647" s="13">
        <v>45788</v>
      </c>
      <c r="S4647">
        <v>2025</v>
      </c>
      <c r="T4647" s="12" t="s">
        <v>5461</v>
      </c>
      <c r="U4647">
        <v>615</v>
      </c>
      <c r="V4647">
        <v>39.226399999999998</v>
      </c>
      <c r="W4647">
        <v>589.11</v>
      </c>
      <c r="X4647">
        <v>0</v>
      </c>
      <c r="Y4647">
        <v>0</v>
      </c>
      <c r="Z4647">
        <v>24124.240000000002</v>
      </c>
      <c r="AA4647">
        <v>24713.35</v>
      </c>
      <c r="AB4647" s="12" t="s">
        <v>5324</v>
      </c>
      <c r="AC4647">
        <v>39.226399999999998</v>
      </c>
      <c r="AD4647">
        <v>1</v>
      </c>
      <c r="AE4647">
        <v>1</v>
      </c>
      <c r="AF4647">
        <v>0</v>
      </c>
      <c r="AG4647">
        <v>24124.240000000002</v>
      </c>
      <c r="AH4647">
        <v>615</v>
      </c>
      <c r="AI4647">
        <v>607</v>
      </c>
      <c r="AJ4647">
        <v>8</v>
      </c>
      <c r="AK4647">
        <v>1</v>
      </c>
      <c r="AL4647">
        <v>1</v>
      </c>
      <c r="AM4647">
        <v>98.7</v>
      </c>
      <c r="AN4647">
        <v>40.713900000000002</v>
      </c>
      <c r="AO4647">
        <v>313.81</v>
      </c>
      <c r="AP4647" s="13">
        <v>45794</v>
      </c>
      <c r="AQ4647">
        <v>6</v>
      </c>
      <c r="AR4647">
        <v>0</v>
      </c>
    </row>
    <row r="4648" spans="1:44" x14ac:dyDescent="0.35">
      <c r="A4648" s="12" t="s">
        <v>5644</v>
      </c>
      <c r="B4648" s="12" t="s">
        <v>284</v>
      </c>
      <c r="C4648" s="12" t="s">
        <v>285</v>
      </c>
      <c r="D4648" s="12" t="s">
        <v>269</v>
      </c>
      <c r="E4648" s="12" t="s">
        <v>104</v>
      </c>
      <c r="F4648">
        <v>3</v>
      </c>
      <c r="G4648">
        <v>1</v>
      </c>
      <c r="H4648">
        <v>0</v>
      </c>
      <c r="I4648" s="12" t="s">
        <v>199</v>
      </c>
      <c r="J4648" s="12" t="s">
        <v>200</v>
      </c>
      <c r="K4648" s="12" t="s">
        <v>68</v>
      </c>
      <c r="L4648" s="12" t="s">
        <v>96</v>
      </c>
      <c r="M4648">
        <v>9.4700000000000006</v>
      </c>
      <c r="N4648" s="12" t="s">
        <v>159</v>
      </c>
      <c r="O4648" s="12" t="s">
        <v>160</v>
      </c>
      <c r="P4648" s="12" t="s">
        <v>137</v>
      </c>
      <c r="Q4648" s="13">
        <v>45744</v>
      </c>
      <c r="R4648" s="13">
        <v>45769</v>
      </c>
      <c r="S4648">
        <v>2025</v>
      </c>
      <c r="T4648" s="12" t="s">
        <v>5461</v>
      </c>
      <c r="U4648">
        <v>114</v>
      </c>
      <c r="V4648">
        <v>408.51560000000001</v>
      </c>
      <c r="W4648">
        <v>1152.1300000000001</v>
      </c>
      <c r="X4648">
        <v>0</v>
      </c>
      <c r="Y4648">
        <v>0</v>
      </c>
      <c r="Z4648">
        <v>46570.78</v>
      </c>
      <c r="AA4648">
        <v>47722.91</v>
      </c>
      <c r="AB4648" s="12" t="s">
        <v>201</v>
      </c>
      <c r="AD4648">
        <v>0</v>
      </c>
      <c r="AE4648">
        <v>0</v>
      </c>
      <c r="AH4648">
        <v>114</v>
      </c>
      <c r="AI4648">
        <v>113</v>
      </c>
      <c r="AJ4648">
        <v>1</v>
      </c>
      <c r="AK4648">
        <v>1</v>
      </c>
      <c r="AL4648">
        <v>1</v>
      </c>
      <c r="AM4648">
        <v>99.12</v>
      </c>
      <c r="AN4648">
        <v>422.32659999999998</v>
      </c>
      <c r="AO4648">
        <v>408.52</v>
      </c>
      <c r="AP4648" s="13">
        <v>45767</v>
      </c>
      <c r="AQ4648">
        <v>-2</v>
      </c>
      <c r="AR4648">
        <v>1</v>
      </c>
    </row>
    <row r="4649" spans="1:44" x14ac:dyDescent="0.35">
      <c r="A4649" s="12" t="s">
        <v>5645</v>
      </c>
      <c r="B4649" s="12" t="s">
        <v>876</v>
      </c>
      <c r="C4649" s="12" t="s">
        <v>877</v>
      </c>
      <c r="D4649" s="12" t="s">
        <v>269</v>
      </c>
      <c r="E4649" s="12" t="s">
        <v>142</v>
      </c>
      <c r="F4649">
        <v>3</v>
      </c>
      <c r="G4649">
        <v>11</v>
      </c>
      <c r="H4649">
        <v>0</v>
      </c>
      <c r="I4649" s="12" t="s">
        <v>515</v>
      </c>
      <c r="J4649" s="12" t="s">
        <v>516</v>
      </c>
      <c r="K4649" s="12" t="s">
        <v>68</v>
      </c>
      <c r="L4649" s="12" t="s">
        <v>134</v>
      </c>
      <c r="M4649">
        <v>3.69</v>
      </c>
      <c r="N4649" s="12" t="s">
        <v>135</v>
      </c>
      <c r="O4649" s="12" t="s">
        <v>136</v>
      </c>
      <c r="P4649" s="12" t="s">
        <v>137</v>
      </c>
      <c r="Q4649" s="13">
        <v>45744</v>
      </c>
      <c r="R4649" s="13">
        <v>45783</v>
      </c>
      <c r="S4649">
        <v>2025</v>
      </c>
      <c r="T4649" s="12" t="s">
        <v>5461</v>
      </c>
      <c r="U4649">
        <v>43</v>
      </c>
      <c r="V4649">
        <v>191.71029999999999</v>
      </c>
      <c r="W4649">
        <v>203.28</v>
      </c>
      <c r="X4649">
        <v>0</v>
      </c>
      <c r="Y4649">
        <v>0</v>
      </c>
      <c r="Z4649">
        <v>8243.5400000000009</v>
      </c>
      <c r="AA4649">
        <v>8446.82</v>
      </c>
      <c r="AB4649" s="12" t="s">
        <v>3591</v>
      </c>
      <c r="AC4649">
        <v>191.71029999999999</v>
      </c>
      <c r="AD4649">
        <v>1</v>
      </c>
      <c r="AE4649">
        <v>1</v>
      </c>
      <c r="AF4649">
        <v>0</v>
      </c>
      <c r="AG4649">
        <v>8243.5400000000009</v>
      </c>
      <c r="AH4649">
        <v>43</v>
      </c>
      <c r="AI4649">
        <v>42</v>
      </c>
      <c r="AJ4649">
        <v>1</v>
      </c>
      <c r="AK4649">
        <v>1</v>
      </c>
      <c r="AL4649">
        <v>1</v>
      </c>
      <c r="AM4649">
        <v>97.67</v>
      </c>
      <c r="AN4649">
        <v>201.1148</v>
      </c>
      <c r="AO4649">
        <v>191.71</v>
      </c>
      <c r="AP4649" s="13">
        <v>45780</v>
      </c>
      <c r="AQ4649">
        <v>-3</v>
      </c>
      <c r="AR4649">
        <v>1</v>
      </c>
    </row>
    <row r="4650" spans="1:44" x14ac:dyDescent="0.35">
      <c r="A4650" s="12" t="s">
        <v>5646</v>
      </c>
      <c r="B4650" s="12" t="s">
        <v>420</v>
      </c>
      <c r="C4650" s="12" t="s">
        <v>421</v>
      </c>
      <c r="D4650" s="12" t="s">
        <v>269</v>
      </c>
      <c r="E4650" s="12" t="s">
        <v>104</v>
      </c>
      <c r="F4650">
        <v>2</v>
      </c>
      <c r="G4650">
        <v>0</v>
      </c>
      <c r="H4650">
        <v>0</v>
      </c>
      <c r="I4650" s="12" t="s">
        <v>335</v>
      </c>
      <c r="J4650" s="12" t="s">
        <v>336</v>
      </c>
      <c r="K4650" s="12" t="s">
        <v>89</v>
      </c>
      <c r="L4650" s="12" t="s">
        <v>82</v>
      </c>
      <c r="M4650">
        <v>16</v>
      </c>
      <c r="N4650" s="12" t="s">
        <v>159</v>
      </c>
      <c r="O4650" s="12" t="s">
        <v>160</v>
      </c>
      <c r="P4650" s="12" t="s">
        <v>137</v>
      </c>
      <c r="Q4650" s="13">
        <v>45744</v>
      </c>
      <c r="R4650" s="13">
        <v>45765</v>
      </c>
      <c r="S4650">
        <v>2025</v>
      </c>
      <c r="T4650" s="12" t="s">
        <v>5461</v>
      </c>
      <c r="U4650">
        <v>85</v>
      </c>
      <c r="V4650">
        <v>163.10650000000001</v>
      </c>
      <c r="W4650">
        <v>195.75</v>
      </c>
      <c r="X4650">
        <v>0</v>
      </c>
      <c r="Y4650">
        <v>0</v>
      </c>
      <c r="Z4650">
        <v>13864.05</v>
      </c>
      <c r="AA4650">
        <v>14059.8</v>
      </c>
      <c r="AB4650" s="12" t="s">
        <v>201</v>
      </c>
      <c r="AD4650">
        <v>0</v>
      </c>
      <c r="AE4650">
        <v>0</v>
      </c>
      <c r="AH4650">
        <v>85</v>
      </c>
      <c r="AI4650">
        <v>85</v>
      </c>
      <c r="AJ4650">
        <v>0</v>
      </c>
      <c r="AK4650">
        <v>1</v>
      </c>
      <c r="AL4650">
        <v>1</v>
      </c>
      <c r="AM4650">
        <v>100</v>
      </c>
      <c r="AN4650">
        <v>165.40940000000001</v>
      </c>
      <c r="AO4650">
        <v>0</v>
      </c>
      <c r="AP4650" s="13">
        <v>45762</v>
      </c>
      <c r="AQ4650">
        <v>-3</v>
      </c>
      <c r="AR4650">
        <v>1</v>
      </c>
    </row>
    <row r="4651" spans="1:44" x14ac:dyDescent="0.35">
      <c r="A4651" s="12" t="s">
        <v>5647</v>
      </c>
      <c r="B4651" s="12" t="s">
        <v>420</v>
      </c>
      <c r="C4651" s="12" t="s">
        <v>421</v>
      </c>
      <c r="D4651" s="12" t="s">
        <v>269</v>
      </c>
      <c r="E4651" s="12" t="s">
        <v>104</v>
      </c>
      <c r="F4651">
        <v>2</v>
      </c>
      <c r="G4651">
        <v>0</v>
      </c>
      <c r="H4651">
        <v>0</v>
      </c>
      <c r="I4651" s="12" t="s">
        <v>380</v>
      </c>
      <c r="J4651" s="12" t="s">
        <v>381</v>
      </c>
      <c r="K4651" s="12" t="s">
        <v>89</v>
      </c>
      <c r="L4651" s="12" t="s">
        <v>96</v>
      </c>
      <c r="M4651">
        <v>10.210000000000001</v>
      </c>
      <c r="N4651" s="12" t="s">
        <v>135</v>
      </c>
      <c r="O4651" s="12" t="s">
        <v>136</v>
      </c>
      <c r="P4651" s="12" t="s">
        <v>137</v>
      </c>
      <c r="Q4651" s="13">
        <v>45744</v>
      </c>
      <c r="R4651" s="13">
        <v>45759</v>
      </c>
      <c r="S4651">
        <v>2025</v>
      </c>
      <c r="T4651" s="12" t="s">
        <v>5461</v>
      </c>
      <c r="U4651">
        <v>40</v>
      </c>
      <c r="V4651">
        <v>137.98429999999999</v>
      </c>
      <c r="W4651">
        <v>86.07</v>
      </c>
      <c r="X4651">
        <v>0</v>
      </c>
      <c r="Y4651">
        <v>0</v>
      </c>
      <c r="Z4651">
        <v>5519.37</v>
      </c>
      <c r="AA4651">
        <v>5605.44</v>
      </c>
      <c r="AB4651" s="12" t="s">
        <v>5648</v>
      </c>
      <c r="AC4651">
        <v>137.98429999999999</v>
      </c>
      <c r="AD4651">
        <v>1</v>
      </c>
      <c r="AE4651">
        <v>1</v>
      </c>
      <c r="AF4651">
        <v>0</v>
      </c>
      <c r="AG4651">
        <v>5519.37</v>
      </c>
      <c r="AH4651">
        <v>40</v>
      </c>
      <c r="AI4651">
        <v>39</v>
      </c>
      <c r="AJ4651">
        <v>1</v>
      </c>
      <c r="AK4651">
        <v>1</v>
      </c>
      <c r="AL4651">
        <v>1</v>
      </c>
      <c r="AM4651">
        <v>97.5</v>
      </c>
      <c r="AN4651">
        <v>143.72929999999999</v>
      </c>
      <c r="AO4651">
        <v>137.97999999999999</v>
      </c>
      <c r="AP4651" s="13">
        <v>45760</v>
      </c>
      <c r="AQ4651">
        <v>1</v>
      </c>
      <c r="AR4651">
        <v>0</v>
      </c>
    </row>
    <row r="4652" spans="1:44" x14ac:dyDescent="0.35">
      <c r="A4652" s="12" t="s">
        <v>5649</v>
      </c>
      <c r="B4652" s="12" t="s">
        <v>978</v>
      </c>
      <c r="C4652" s="12" t="s">
        <v>979</v>
      </c>
      <c r="D4652" s="12" t="s">
        <v>122</v>
      </c>
      <c r="E4652" s="12" t="s">
        <v>65</v>
      </c>
      <c r="F4652">
        <v>1</v>
      </c>
      <c r="G4652">
        <v>2</v>
      </c>
      <c r="H4652">
        <v>1</v>
      </c>
      <c r="I4652" s="12" t="s">
        <v>310</v>
      </c>
      <c r="J4652" s="12" t="s">
        <v>311</v>
      </c>
      <c r="K4652" s="12" t="s">
        <v>81</v>
      </c>
      <c r="L4652" s="12" t="s">
        <v>69</v>
      </c>
      <c r="M4652">
        <v>28.3</v>
      </c>
      <c r="N4652" s="12" t="s">
        <v>97</v>
      </c>
      <c r="O4652" s="12" t="s">
        <v>98</v>
      </c>
      <c r="P4652" s="12" t="s">
        <v>72</v>
      </c>
      <c r="Q4652" s="13">
        <v>45744</v>
      </c>
      <c r="R4652" s="13">
        <v>45780</v>
      </c>
      <c r="S4652">
        <v>2025</v>
      </c>
      <c r="T4652" s="12" t="s">
        <v>5461</v>
      </c>
      <c r="U4652">
        <v>1720</v>
      </c>
      <c r="V4652">
        <v>43.574800000000003</v>
      </c>
      <c r="W4652">
        <v>1085.99</v>
      </c>
      <c r="X4652">
        <v>0</v>
      </c>
      <c r="Y4652">
        <v>0</v>
      </c>
      <c r="Z4652">
        <v>74948.66</v>
      </c>
      <c r="AA4652">
        <v>76034.649999999994</v>
      </c>
      <c r="AB4652" s="12" t="s">
        <v>3471</v>
      </c>
      <c r="AC4652">
        <v>43.574800000000003</v>
      </c>
      <c r="AD4652">
        <v>1</v>
      </c>
      <c r="AE4652">
        <v>1</v>
      </c>
      <c r="AF4652">
        <v>0</v>
      </c>
      <c r="AG4652">
        <v>74948.66</v>
      </c>
      <c r="AH4652">
        <v>1720</v>
      </c>
      <c r="AI4652">
        <v>1709</v>
      </c>
      <c r="AJ4652">
        <v>11</v>
      </c>
      <c r="AK4652">
        <v>1</v>
      </c>
      <c r="AL4652">
        <v>1</v>
      </c>
      <c r="AM4652">
        <v>99.36</v>
      </c>
      <c r="AN4652">
        <v>44.490699999999997</v>
      </c>
      <c r="AO4652">
        <v>479.32</v>
      </c>
      <c r="AP4652" s="13">
        <v>45777</v>
      </c>
      <c r="AQ4652">
        <v>-3</v>
      </c>
      <c r="AR4652">
        <v>1</v>
      </c>
    </row>
    <row r="4653" spans="1:44" x14ac:dyDescent="0.35">
      <c r="A4653" s="12" t="s">
        <v>5650</v>
      </c>
      <c r="B4653" s="12" t="s">
        <v>1179</v>
      </c>
      <c r="C4653" s="12" t="s">
        <v>1180</v>
      </c>
      <c r="D4653" s="12" t="s">
        <v>122</v>
      </c>
      <c r="E4653" s="12" t="s">
        <v>142</v>
      </c>
      <c r="F4653">
        <v>1</v>
      </c>
      <c r="G4653">
        <v>8</v>
      </c>
      <c r="H4653">
        <v>1</v>
      </c>
      <c r="I4653" s="12" t="s">
        <v>143</v>
      </c>
      <c r="J4653" s="12" t="s">
        <v>144</v>
      </c>
      <c r="K4653" s="12" t="s">
        <v>133</v>
      </c>
      <c r="L4653" s="12" t="s">
        <v>96</v>
      </c>
      <c r="M4653">
        <v>5.43</v>
      </c>
      <c r="N4653" s="12" t="s">
        <v>97</v>
      </c>
      <c r="O4653" s="12" t="s">
        <v>98</v>
      </c>
      <c r="P4653" s="12" t="s">
        <v>72</v>
      </c>
      <c r="Q4653" s="13">
        <v>45744</v>
      </c>
      <c r="R4653" s="13">
        <v>45790</v>
      </c>
      <c r="S4653">
        <v>2025</v>
      </c>
      <c r="T4653" s="12" t="s">
        <v>5461</v>
      </c>
      <c r="U4653">
        <v>1314</v>
      </c>
      <c r="V4653">
        <v>52.209899999999998</v>
      </c>
      <c r="W4653">
        <v>930.76</v>
      </c>
      <c r="X4653">
        <v>0</v>
      </c>
      <c r="Y4653">
        <v>0</v>
      </c>
      <c r="Z4653">
        <v>68603.81</v>
      </c>
      <c r="AA4653">
        <v>69534.570000000007</v>
      </c>
      <c r="AB4653" s="12" t="s">
        <v>5533</v>
      </c>
      <c r="AC4653">
        <v>52.209899999999998</v>
      </c>
      <c r="AD4653">
        <v>1</v>
      </c>
      <c r="AE4653">
        <v>1</v>
      </c>
      <c r="AF4653">
        <v>0</v>
      </c>
      <c r="AG4653">
        <v>68603.81</v>
      </c>
      <c r="AH4653">
        <v>1314</v>
      </c>
      <c r="AI4653">
        <v>1307</v>
      </c>
      <c r="AJ4653">
        <v>7</v>
      </c>
      <c r="AK4653">
        <v>1</v>
      </c>
      <c r="AL4653">
        <v>1</v>
      </c>
      <c r="AM4653">
        <v>99.47</v>
      </c>
      <c r="AN4653">
        <v>53.201700000000002</v>
      </c>
      <c r="AO4653">
        <v>365.47</v>
      </c>
      <c r="AP4653" s="13">
        <v>45795</v>
      </c>
      <c r="AQ4653">
        <v>5</v>
      </c>
      <c r="AR4653">
        <v>0</v>
      </c>
    </row>
    <row r="4654" spans="1:44" x14ac:dyDescent="0.35">
      <c r="A4654" s="12" t="s">
        <v>5651</v>
      </c>
      <c r="B4654" s="12" t="s">
        <v>537</v>
      </c>
      <c r="C4654" s="12" t="s">
        <v>538</v>
      </c>
      <c r="D4654" s="12" t="s">
        <v>103</v>
      </c>
      <c r="E4654" s="12" t="s">
        <v>104</v>
      </c>
      <c r="F4654">
        <v>3</v>
      </c>
      <c r="G4654">
        <v>0</v>
      </c>
      <c r="H4654">
        <v>0</v>
      </c>
      <c r="I4654" s="12" t="s">
        <v>143</v>
      </c>
      <c r="J4654" s="12" t="s">
        <v>144</v>
      </c>
      <c r="K4654" s="12" t="s">
        <v>133</v>
      </c>
      <c r="L4654" s="12" t="s">
        <v>96</v>
      </c>
      <c r="M4654">
        <v>5.43</v>
      </c>
      <c r="N4654" s="12" t="s">
        <v>145</v>
      </c>
      <c r="O4654" s="12" t="s">
        <v>146</v>
      </c>
      <c r="P4654" s="12" t="s">
        <v>109</v>
      </c>
      <c r="Q4654" s="13">
        <v>45747</v>
      </c>
      <c r="R4654" s="13">
        <v>45765</v>
      </c>
      <c r="S4654">
        <v>2025</v>
      </c>
      <c r="T4654" s="12" t="s">
        <v>5461</v>
      </c>
      <c r="U4654">
        <v>61</v>
      </c>
      <c r="V4654">
        <v>238.64240000000001</v>
      </c>
      <c r="W4654">
        <v>130.18</v>
      </c>
      <c r="X4654">
        <v>0</v>
      </c>
      <c r="Y4654">
        <v>0</v>
      </c>
      <c r="Z4654">
        <v>14557.19</v>
      </c>
      <c r="AA4654">
        <v>14687.37</v>
      </c>
      <c r="AB4654" s="12" t="s">
        <v>5652</v>
      </c>
      <c r="AC4654">
        <v>238.64240000000001</v>
      </c>
      <c r="AD4654">
        <v>1</v>
      </c>
      <c r="AE4654">
        <v>1</v>
      </c>
      <c r="AF4654">
        <v>0</v>
      </c>
      <c r="AG4654">
        <v>14557.19</v>
      </c>
      <c r="AH4654">
        <v>61</v>
      </c>
      <c r="AI4654">
        <v>60</v>
      </c>
      <c r="AJ4654">
        <v>1</v>
      </c>
      <c r="AK4654">
        <v>1</v>
      </c>
      <c r="AL4654">
        <v>1</v>
      </c>
      <c r="AM4654">
        <v>98.36</v>
      </c>
      <c r="AN4654">
        <v>244.7894</v>
      </c>
      <c r="AO4654">
        <v>238.64</v>
      </c>
      <c r="AP4654" s="13">
        <v>45765</v>
      </c>
      <c r="AQ4654">
        <v>0</v>
      </c>
      <c r="AR4654">
        <v>1</v>
      </c>
    </row>
    <row r="4655" spans="1:44" x14ac:dyDescent="0.35">
      <c r="A4655" s="12" t="s">
        <v>5653</v>
      </c>
      <c r="B4655" s="12" t="s">
        <v>630</v>
      </c>
      <c r="C4655" s="12" t="s">
        <v>631</v>
      </c>
      <c r="D4655" s="12" t="s">
        <v>130</v>
      </c>
      <c r="E4655" s="12" t="s">
        <v>65</v>
      </c>
      <c r="F4655">
        <v>1</v>
      </c>
      <c r="G4655">
        <v>2</v>
      </c>
      <c r="H4655">
        <v>1</v>
      </c>
      <c r="I4655" s="12" t="s">
        <v>335</v>
      </c>
      <c r="J4655" s="12" t="s">
        <v>336</v>
      </c>
      <c r="K4655" s="12" t="s">
        <v>89</v>
      </c>
      <c r="L4655" s="12" t="s">
        <v>82</v>
      </c>
      <c r="M4655">
        <v>16</v>
      </c>
      <c r="N4655" s="12" t="s">
        <v>159</v>
      </c>
      <c r="O4655" s="12" t="s">
        <v>160</v>
      </c>
      <c r="P4655" s="12" t="s">
        <v>137</v>
      </c>
      <c r="Q4655" s="13">
        <v>45747</v>
      </c>
      <c r="R4655" s="13">
        <v>45770</v>
      </c>
      <c r="S4655">
        <v>2025</v>
      </c>
      <c r="T4655" s="12" t="s">
        <v>5461</v>
      </c>
      <c r="U4655">
        <v>27</v>
      </c>
      <c r="V4655">
        <v>444.29629999999997</v>
      </c>
      <c r="W4655">
        <v>84.74</v>
      </c>
      <c r="X4655">
        <v>0</v>
      </c>
      <c r="Y4655">
        <v>0</v>
      </c>
      <c r="Z4655">
        <v>11996</v>
      </c>
      <c r="AA4655">
        <v>12080.74</v>
      </c>
      <c r="AB4655" s="12" t="s">
        <v>5553</v>
      </c>
      <c r="AC4655">
        <v>444.29629999999997</v>
      </c>
      <c r="AD4655">
        <v>1</v>
      </c>
      <c r="AE4655">
        <v>1</v>
      </c>
      <c r="AF4655">
        <v>0</v>
      </c>
      <c r="AG4655">
        <v>11996</v>
      </c>
      <c r="AH4655">
        <v>27</v>
      </c>
      <c r="AI4655">
        <v>27</v>
      </c>
      <c r="AJ4655">
        <v>0</v>
      </c>
      <c r="AK4655">
        <v>1</v>
      </c>
      <c r="AL4655">
        <v>1</v>
      </c>
      <c r="AM4655">
        <v>100</v>
      </c>
      <c r="AN4655">
        <v>447.4348</v>
      </c>
      <c r="AO4655">
        <v>0</v>
      </c>
      <c r="AP4655" s="13">
        <v>45769</v>
      </c>
      <c r="AQ4655">
        <v>-1</v>
      </c>
      <c r="AR4655">
        <v>1</v>
      </c>
    </row>
    <row r="4656" spans="1:44" x14ac:dyDescent="0.35">
      <c r="A4656" s="12" t="s">
        <v>5654</v>
      </c>
      <c r="B4656" s="12" t="s">
        <v>284</v>
      </c>
      <c r="C4656" s="12" t="s">
        <v>285</v>
      </c>
      <c r="D4656" s="12" t="s">
        <v>269</v>
      </c>
      <c r="E4656" s="12" t="s">
        <v>104</v>
      </c>
      <c r="F4656">
        <v>3</v>
      </c>
      <c r="G4656">
        <v>1</v>
      </c>
      <c r="H4656">
        <v>0</v>
      </c>
      <c r="I4656" s="12" t="s">
        <v>199</v>
      </c>
      <c r="J4656" s="12" t="s">
        <v>200</v>
      </c>
      <c r="K4656" s="12" t="s">
        <v>68</v>
      </c>
      <c r="L4656" s="12" t="s">
        <v>96</v>
      </c>
      <c r="M4656">
        <v>9.4700000000000006</v>
      </c>
      <c r="N4656" s="12" t="s">
        <v>135</v>
      </c>
      <c r="O4656" s="12" t="s">
        <v>136</v>
      </c>
      <c r="P4656" s="12" t="s">
        <v>137</v>
      </c>
      <c r="Q4656" s="13">
        <v>45747</v>
      </c>
      <c r="R4656" s="13">
        <v>45759</v>
      </c>
      <c r="S4656">
        <v>2025</v>
      </c>
      <c r="T4656" s="12" t="s">
        <v>5461</v>
      </c>
      <c r="U4656">
        <v>11</v>
      </c>
      <c r="V4656">
        <v>400.04520000000002</v>
      </c>
      <c r="W4656">
        <v>34.450000000000003</v>
      </c>
      <c r="X4656">
        <v>0</v>
      </c>
      <c r="Y4656">
        <v>0</v>
      </c>
      <c r="Z4656">
        <v>4400.5</v>
      </c>
      <c r="AA4656">
        <v>4434.95</v>
      </c>
      <c r="AB4656" s="12" t="s">
        <v>201</v>
      </c>
      <c r="AD4656">
        <v>0</v>
      </c>
      <c r="AE4656">
        <v>0</v>
      </c>
      <c r="AH4656">
        <v>11</v>
      </c>
      <c r="AI4656">
        <v>11</v>
      </c>
      <c r="AJ4656">
        <v>0</v>
      </c>
      <c r="AK4656">
        <v>1</v>
      </c>
      <c r="AL4656">
        <v>1</v>
      </c>
      <c r="AM4656">
        <v>100</v>
      </c>
      <c r="AN4656">
        <v>403.17700000000002</v>
      </c>
      <c r="AO4656">
        <v>0</v>
      </c>
      <c r="AP4656" s="13">
        <v>45764</v>
      </c>
      <c r="AQ4656">
        <v>5</v>
      </c>
      <c r="AR4656">
        <v>0</v>
      </c>
    </row>
    <row r="4657" spans="1:44" x14ac:dyDescent="0.35">
      <c r="A4657" s="12" t="s">
        <v>5655</v>
      </c>
      <c r="B4657" s="12" t="s">
        <v>167</v>
      </c>
      <c r="C4657" s="12" t="s">
        <v>168</v>
      </c>
      <c r="D4657" s="12" t="s">
        <v>64</v>
      </c>
      <c r="E4657" s="12" t="s">
        <v>104</v>
      </c>
      <c r="F4657">
        <v>3</v>
      </c>
      <c r="G4657">
        <v>1</v>
      </c>
      <c r="H4657">
        <v>0</v>
      </c>
      <c r="I4657" s="12" t="s">
        <v>169</v>
      </c>
      <c r="J4657" s="12" t="s">
        <v>170</v>
      </c>
      <c r="K4657" s="12" t="s">
        <v>89</v>
      </c>
      <c r="L4657" s="12" t="s">
        <v>134</v>
      </c>
      <c r="M4657">
        <v>1.37</v>
      </c>
      <c r="N4657" s="12" t="s">
        <v>97</v>
      </c>
      <c r="O4657" s="12" t="s">
        <v>98</v>
      </c>
      <c r="P4657" s="12" t="s">
        <v>72</v>
      </c>
      <c r="Q4657" s="13">
        <v>45747</v>
      </c>
      <c r="R4657" s="13">
        <v>45774</v>
      </c>
      <c r="S4657">
        <v>2025</v>
      </c>
      <c r="T4657" s="12" t="s">
        <v>5461</v>
      </c>
      <c r="U4657">
        <v>874</v>
      </c>
      <c r="V4657">
        <v>23.115300000000001</v>
      </c>
      <c r="W4657">
        <v>349.02</v>
      </c>
      <c r="X4657">
        <v>0</v>
      </c>
      <c r="Y4657">
        <v>0</v>
      </c>
      <c r="Z4657">
        <v>20202.77</v>
      </c>
      <c r="AA4657">
        <v>20551.79</v>
      </c>
      <c r="AB4657" s="12" t="s">
        <v>5232</v>
      </c>
      <c r="AC4657">
        <v>24.557099999999998</v>
      </c>
      <c r="AD4657">
        <v>1</v>
      </c>
      <c r="AE4657">
        <v>1</v>
      </c>
      <c r="AF4657">
        <v>-1260.1300000000001</v>
      </c>
      <c r="AG4657">
        <v>21462.91</v>
      </c>
      <c r="AH4657">
        <v>874</v>
      </c>
      <c r="AI4657">
        <v>867</v>
      </c>
      <c r="AJ4657">
        <v>7</v>
      </c>
      <c r="AK4657">
        <v>1</v>
      </c>
      <c r="AL4657">
        <v>1</v>
      </c>
      <c r="AM4657">
        <v>99.2</v>
      </c>
      <c r="AN4657">
        <v>23.704499999999999</v>
      </c>
      <c r="AO4657">
        <v>161.81</v>
      </c>
      <c r="AP4657" s="13">
        <v>45774</v>
      </c>
      <c r="AQ4657">
        <v>0</v>
      </c>
      <c r="AR4657">
        <v>1</v>
      </c>
    </row>
    <row r="4658" spans="1:44" x14ac:dyDescent="0.35">
      <c r="A4658" s="12" t="s">
        <v>5656</v>
      </c>
      <c r="B4658" s="12" t="s">
        <v>855</v>
      </c>
      <c r="C4658" s="12" t="s">
        <v>856</v>
      </c>
      <c r="D4658" s="12" t="s">
        <v>269</v>
      </c>
      <c r="E4658" s="12" t="s">
        <v>65</v>
      </c>
      <c r="F4658">
        <v>3</v>
      </c>
      <c r="G4658">
        <v>5</v>
      </c>
      <c r="H4658">
        <v>0</v>
      </c>
      <c r="I4658" s="12" t="s">
        <v>94</v>
      </c>
      <c r="J4658" s="12" t="s">
        <v>95</v>
      </c>
      <c r="K4658" s="12" t="s">
        <v>81</v>
      </c>
      <c r="L4658" s="12" t="s">
        <v>96</v>
      </c>
      <c r="M4658">
        <v>4.8099999999999996</v>
      </c>
      <c r="N4658" s="12" t="s">
        <v>159</v>
      </c>
      <c r="O4658" s="12" t="s">
        <v>160</v>
      </c>
      <c r="P4658" s="12" t="s">
        <v>137</v>
      </c>
      <c r="Q4658" s="13">
        <v>45747</v>
      </c>
      <c r="R4658" s="13">
        <v>45772</v>
      </c>
      <c r="S4658">
        <v>2025</v>
      </c>
      <c r="T4658" s="12" t="s">
        <v>5461</v>
      </c>
      <c r="U4658">
        <v>42</v>
      </c>
      <c r="V4658">
        <v>479.86860000000001</v>
      </c>
      <c r="W4658">
        <v>218.66</v>
      </c>
      <c r="X4658">
        <v>0</v>
      </c>
      <c r="Y4658">
        <v>0</v>
      </c>
      <c r="Z4658">
        <v>20154.48</v>
      </c>
      <c r="AA4658">
        <v>20373.14</v>
      </c>
      <c r="AB4658" s="12" t="s">
        <v>3699</v>
      </c>
      <c r="AC4658">
        <v>479.86860000000001</v>
      </c>
      <c r="AD4658">
        <v>1</v>
      </c>
      <c r="AE4658">
        <v>1</v>
      </c>
      <c r="AF4658">
        <v>0</v>
      </c>
      <c r="AG4658">
        <v>20154.48</v>
      </c>
      <c r="AH4658">
        <v>42</v>
      </c>
      <c r="AI4658">
        <v>41</v>
      </c>
      <c r="AJ4658">
        <v>1</v>
      </c>
      <c r="AK4658">
        <v>1</v>
      </c>
      <c r="AL4658">
        <v>1</v>
      </c>
      <c r="AM4658">
        <v>97.62</v>
      </c>
      <c r="AN4658">
        <v>496.90589999999997</v>
      </c>
      <c r="AO4658">
        <v>479.87</v>
      </c>
      <c r="AP4658" s="13">
        <v>45772</v>
      </c>
      <c r="AQ4658">
        <v>0</v>
      </c>
      <c r="AR4658">
        <v>1</v>
      </c>
    </row>
    <row r="4659" spans="1:44" x14ac:dyDescent="0.35">
      <c r="A4659" s="12" t="s">
        <v>5657</v>
      </c>
      <c r="B4659" s="12" t="s">
        <v>482</v>
      </c>
      <c r="C4659" s="12" t="s">
        <v>483</v>
      </c>
      <c r="D4659" s="12" t="s">
        <v>78</v>
      </c>
      <c r="E4659" s="12" t="s">
        <v>142</v>
      </c>
      <c r="F4659">
        <v>2</v>
      </c>
      <c r="G4659">
        <v>9</v>
      </c>
      <c r="H4659">
        <v>0</v>
      </c>
      <c r="I4659" s="12" t="s">
        <v>87</v>
      </c>
      <c r="J4659" s="12" t="s">
        <v>88</v>
      </c>
      <c r="K4659" s="12" t="s">
        <v>89</v>
      </c>
      <c r="L4659" s="12" t="s">
        <v>69</v>
      </c>
      <c r="M4659">
        <v>14.93</v>
      </c>
      <c r="N4659" s="12" t="s">
        <v>97</v>
      </c>
      <c r="O4659" s="12" t="s">
        <v>98</v>
      </c>
      <c r="P4659" s="12" t="s">
        <v>72</v>
      </c>
      <c r="Q4659" s="13">
        <v>45747</v>
      </c>
      <c r="R4659" s="13">
        <v>45782</v>
      </c>
      <c r="S4659">
        <v>2025</v>
      </c>
      <c r="T4659" s="12" t="s">
        <v>5461</v>
      </c>
      <c r="U4659">
        <v>53</v>
      </c>
      <c r="V4659">
        <v>44.658099999999997</v>
      </c>
      <c r="W4659">
        <v>55.42</v>
      </c>
      <c r="X4659">
        <v>0</v>
      </c>
      <c r="Y4659">
        <v>0</v>
      </c>
      <c r="Z4659">
        <v>2366.88</v>
      </c>
      <c r="AA4659">
        <v>2422.3000000000002</v>
      </c>
      <c r="AB4659" s="12" t="s">
        <v>5658</v>
      </c>
      <c r="AC4659">
        <v>44.658099999999997</v>
      </c>
      <c r="AD4659">
        <v>1</v>
      </c>
      <c r="AE4659">
        <v>1</v>
      </c>
      <c r="AF4659">
        <v>0</v>
      </c>
      <c r="AG4659">
        <v>2366.88</v>
      </c>
      <c r="AH4659">
        <v>53</v>
      </c>
      <c r="AI4659">
        <v>52</v>
      </c>
      <c r="AJ4659">
        <v>1</v>
      </c>
      <c r="AK4659">
        <v>1</v>
      </c>
      <c r="AL4659">
        <v>1</v>
      </c>
      <c r="AM4659">
        <v>98.11</v>
      </c>
      <c r="AN4659">
        <v>46.582700000000003</v>
      </c>
      <c r="AO4659">
        <v>44.66</v>
      </c>
      <c r="AP4659" s="13">
        <v>45779</v>
      </c>
      <c r="AQ4659">
        <v>-3</v>
      </c>
      <c r="AR4659">
        <v>1</v>
      </c>
    </row>
    <row r="4660" spans="1:44" x14ac:dyDescent="0.35">
      <c r="A4660" s="12" t="s">
        <v>5659</v>
      </c>
      <c r="B4660" s="12" t="s">
        <v>317</v>
      </c>
      <c r="C4660" s="12" t="s">
        <v>318</v>
      </c>
      <c r="D4660" s="12" t="s">
        <v>64</v>
      </c>
      <c r="E4660" s="12" t="s">
        <v>104</v>
      </c>
      <c r="F4660">
        <v>2</v>
      </c>
      <c r="G4660">
        <v>0</v>
      </c>
      <c r="H4660">
        <v>0</v>
      </c>
      <c r="I4660" s="12" t="s">
        <v>169</v>
      </c>
      <c r="J4660" s="12" t="s">
        <v>170</v>
      </c>
      <c r="K4660" s="12" t="s">
        <v>89</v>
      </c>
      <c r="L4660" s="12" t="s">
        <v>134</v>
      </c>
      <c r="M4660">
        <v>1.37</v>
      </c>
      <c r="N4660" s="12" t="s">
        <v>97</v>
      </c>
      <c r="O4660" s="12" t="s">
        <v>98</v>
      </c>
      <c r="P4660" s="12" t="s">
        <v>72</v>
      </c>
      <c r="Q4660" s="13">
        <v>45748</v>
      </c>
      <c r="R4660" s="13">
        <v>45774</v>
      </c>
      <c r="S4660">
        <v>2025</v>
      </c>
      <c r="T4660" s="12" t="s">
        <v>5660</v>
      </c>
      <c r="U4660">
        <v>813</v>
      </c>
      <c r="V4660">
        <v>15.823399999999999</v>
      </c>
      <c r="W4660">
        <v>328.97</v>
      </c>
      <c r="X4660">
        <v>403.72</v>
      </c>
      <c r="Y4660">
        <v>1</v>
      </c>
      <c r="Z4660">
        <v>12864.42</v>
      </c>
      <c r="AA4660">
        <v>13597.11</v>
      </c>
      <c r="AB4660" s="12" t="s">
        <v>5518</v>
      </c>
      <c r="AC4660">
        <v>15.823399999999999</v>
      </c>
      <c r="AD4660">
        <v>1</v>
      </c>
      <c r="AE4660">
        <v>1</v>
      </c>
      <c r="AF4660">
        <v>0</v>
      </c>
      <c r="AG4660">
        <v>12864.42</v>
      </c>
      <c r="AH4660">
        <v>813</v>
      </c>
      <c r="AI4660">
        <v>804</v>
      </c>
      <c r="AJ4660">
        <v>9</v>
      </c>
      <c r="AK4660">
        <v>1</v>
      </c>
      <c r="AL4660">
        <v>1</v>
      </c>
      <c r="AM4660">
        <v>98.89</v>
      </c>
      <c r="AN4660">
        <v>16.911799999999999</v>
      </c>
      <c r="AO4660">
        <v>142.41</v>
      </c>
      <c r="AP4660" s="13">
        <v>45772</v>
      </c>
      <c r="AQ4660">
        <v>-2</v>
      </c>
      <c r="AR4660">
        <v>1</v>
      </c>
    </row>
    <row r="4661" spans="1:44" x14ac:dyDescent="0.35">
      <c r="A4661" s="12" t="s">
        <v>5661</v>
      </c>
      <c r="B4661" s="12" t="s">
        <v>766</v>
      </c>
      <c r="C4661" s="12" t="s">
        <v>767</v>
      </c>
      <c r="D4661" s="12" t="s">
        <v>175</v>
      </c>
      <c r="E4661" s="12" t="s">
        <v>65</v>
      </c>
      <c r="F4661">
        <v>3</v>
      </c>
      <c r="G4661">
        <v>5</v>
      </c>
      <c r="H4661">
        <v>0</v>
      </c>
      <c r="I4661" s="12" t="s">
        <v>87</v>
      </c>
      <c r="J4661" s="12" t="s">
        <v>88</v>
      </c>
      <c r="K4661" s="12" t="s">
        <v>89</v>
      </c>
      <c r="L4661" s="12" t="s">
        <v>69</v>
      </c>
      <c r="M4661">
        <v>14.93</v>
      </c>
      <c r="N4661" s="12" t="s">
        <v>107</v>
      </c>
      <c r="O4661" s="12" t="s">
        <v>108</v>
      </c>
      <c r="P4661" s="12" t="s">
        <v>109</v>
      </c>
      <c r="Q4661" s="13">
        <v>45748</v>
      </c>
      <c r="R4661" s="13">
        <v>45776</v>
      </c>
      <c r="S4661">
        <v>2025</v>
      </c>
      <c r="T4661" s="12" t="s">
        <v>5660</v>
      </c>
      <c r="U4661">
        <v>71</v>
      </c>
      <c r="V4661">
        <v>76.991200000000006</v>
      </c>
      <c r="W4661">
        <v>67.59</v>
      </c>
      <c r="X4661">
        <v>0</v>
      </c>
      <c r="Y4661">
        <v>0</v>
      </c>
      <c r="Z4661">
        <v>5466.38</v>
      </c>
      <c r="AA4661">
        <v>5533.97</v>
      </c>
      <c r="AB4661" s="12" t="s">
        <v>5662</v>
      </c>
      <c r="AC4661">
        <v>76.991200000000006</v>
      </c>
      <c r="AD4661">
        <v>1</v>
      </c>
      <c r="AE4661">
        <v>1</v>
      </c>
      <c r="AF4661">
        <v>0</v>
      </c>
      <c r="AG4661">
        <v>5466.38</v>
      </c>
      <c r="AH4661">
        <v>71</v>
      </c>
      <c r="AI4661">
        <v>70</v>
      </c>
      <c r="AJ4661">
        <v>1</v>
      </c>
      <c r="AK4661">
        <v>1</v>
      </c>
      <c r="AL4661">
        <v>1</v>
      </c>
      <c r="AM4661">
        <v>98.59</v>
      </c>
      <c r="AN4661">
        <v>79.056600000000003</v>
      </c>
      <c r="AO4661">
        <v>76.989999999999995</v>
      </c>
      <c r="AP4661" s="13">
        <v>45776</v>
      </c>
      <c r="AQ4661">
        <v>0</v>
      </c>
      <c r="AR4661">
        <v>1</v>
      </c>
    </row>
    <row r="4662" spans="1:44" x14ac:dyDescent="0.35">
      <c r="A4662" s="12" t="s">
        <v>5663</v>
      </c>
      <c r="B4662" s="12" t="s">
        <v>1068</v>
      </c>
      <c r="C4662" s="12" t="s">
        <v>1069</v>
      </c>
      <c r="D4662" s="12" t="s">
        <v>122</v>
      </c>
      <c r="E4662" s="12" t="s">
        <v>65</v>
      </c>
      <c r="F4662">
        <v>2</v>
      </c>
      <c r="G4662">
        <v>2</v>
      </c>
      <c r="H4662">
        <v>0</v>
      </c>
      <c r="I4662" s="12" t="s">
        <v>79</v>
      </c>
      <c r="J4662" s="12" t="s">
        <v>80</v>
      </c>
      <c r="K4662" s="12" t="s">
        <v>81</v>
      </c>
      <c r="L4662" s="12" t="s">
        <v>82</v>
      </c>
      <c r="M4662">
        <v>12.07</v>
      </c>
      <c r="N4662" s="12" t="s">
        <v>70</v>
      </c>
      <c r="O4662" s="12" t="s">
        <v>71</v>
      </c>
      <c r="P4662" s="12" t="s">
        <v>72</v>
      </c>
      <c r="Q4662" s="13">
        <v>45748</v>
      </c>
      <c r="R4662" s="13">
        <v>45776</v>
      </c>
      <c r="S4662">
        <v>2025</v>
      </c>
      <c r="T4662" s="12" t="s">
        <v>5660</v>
      </c>
      <c r="U4662">
        <v>904</v>
      </c>
      <c r="V4662">
        <v>19.644600000000001</v>
      </c>
      <c r="W4662">
        <v>343.66</v>
      </c>
      <c r="X4662">
        <v>0</v>
      </c>
      <c r="Y4662">
        <v>0</v>
      </c>
      <c r="Z4662">
        <v>17758.72</v>
      </c>
      <c r="AA4662">
        <v>18102.38</v>
      </c>
      <c r="AB4662" s="12" t="s">
        <v>5478</v>
      </c>
      <c r="AC4662">
        <v>20.8949</v>
      </c>
      <c r="AD4662">
        <v>1</v>
      </c>
      <c r="AE4662">
        <v>1</v>
      </c>
      <c r="AF4662">
        <v>-1130.27</v>
      </c>
      <c r="AG4662">
        <v>18888.990000000002</v>
      </c>
      <c r="AH4662">
        <v>904</v>
      </c>
      <c r="AI4662">
        <v>898</v>
      </c>
      <c r="AJ4662">
        <v>6</v>
      </c>
      <c r="AK4662">
        <v>1</v>
      </c>
      <c r="AL4662">
        <v>1</v>
      </c>
      <c r="AM4662">
        <v>99.34</v>
      </c>
      <c r="AN4662">
        <v>20.1586</v>
      </c>
      <c r="AO4662">
        <v>117.87</v>
      </c>
      <c r="AP4662" s="13">
        <v>45775</v>
      </c>
      <c r="AQ4662">
        <v>-1</v>
      </c>
      <c r="AR4662">
        <v>1</v>
      </c>
    </row>
    <row r="4663" spans="1:44" x14ac:dyDescent="0.35">
      <c r="A4663" s="12" t="s">
        <v>5664</v>
      </c>
      <c r="B4663" s="12" t="s">
        <v>331</v>
      </c>
      <c r="C4663" s="12" t="s">
        <v>332</v>
      </c>
      <c r="D4663" s="12" t="s">
        <v>122</v>
      </c>
      <c r="E4663" s="12" t="s">
        <v>142</v>
      </c>
      <c r="F4663">
        <v>3</v>
      </c>
      <c r="G4663">
        <v>11</v>
      </c>
      <c r="H4663">
        <v>0</v>
      </c>
      <c r="I4663" s="12" t="s">
        <v>263</v>
      </c>
      <c r="J4663" s="12" t="s">
        <v>264</v>
      </c>
      <c r="K4663" s="12" t="s">
        <v>125</v>
      </c>
      <c r="L4663" s="12" t="s">
        <v>82</v>
      </c>
      <c r="M4663">
        <v>10.210000000000001</v>
      </c>
      <c r="N4663" s="12" t="s">
        <v>70</v>
      </c>
      <c r="O4663" s="12" t="s">
        <v>71</v>
      </c>
      <c r="P4663" s="12" t="s">
        <v>72</v>
      </c>
      <c r="Q4663" s="13">
        <v>45748</v>
      </c>
      <c r="R4663" s="13">
        <v>45792</v>
      </c>
      <c r="S4663">
        <v>2025</v>
      </c>
      <c r="T4663" s="12" t="s">
        <v>5660</v>
      </c>
      <c r="U4663">
        <v>1126</v>
      </c>
      <c r="V4663">
        <v>23.006</v>
      </c>
      <c r="W4663">
        <v>614.1</v>
      </c>
      <c r="X4663">
        <v>0</v>
      </c>
      <c r="Y4663">
        <v>0</v>
      </c>
      <c r="Z4663">
        <v>25904.76</v>
      </c>
      <c r="AA4663">
        <v>26518.86</v>
      </c>
      <c r="AB4663" s="12" t="s">
        <v>5234</v>
      </c>
      <c r="AC4663">
        <v>23.006</v>
      </c>
      <c r="AD4663">
        <v>1</v>
      </c>
      <c r="AE4663">
        <v>1</v>
      </c>
      <c r="AF4663">
        <v>0</v>
      </c>
      <c r="AG4663">
        <v>25904.76</v>
      </c>
      <c r="AH4663">
        <v>1126</v>
      </c>
      <c r="AI4663">
        <v>1115</v>
      </c>
      <c r="AJ4663">
        <v>11</v>
      </c>
      <c r="AK4663">
        <v>1</v>
      </c>
      <c r="AL4663">
        <v>1</v>
      </c>
      <c r="AM4663">
        <v>99.02</v>
      </c>
      <c r="AN4663">
        <v>23.7837</v>
      </c>
      <c r="AO4663">
        <v>253.07</v>
      </c>
      <c r="AP4663" s="13">
        <v>45790</v>
      </c>
      <c r="AQ4663">
        <v>-2</v>
      </c>
      <c r="AR4663">
        <v>1</v>
      </c>
    </row>
    <row r="4664" spans="1:44" x14ac:dyDescent="0.35">
      <c r="A4664" s="12" t="s">
        <v>5665</v>
      </c>
      <c r="B4664" s="12" t="s">
        <v>855</v>
      </c>
      <c r="C4664" s="12" t="s">
        <v>856</v>
      </c>
      <c r="D4664" s="12" t="s">
        <v>269</v>
      </c>
      <c r="E4664" s="12" t="s">
        <v>65</v>
      </c>
      <c r="F4664">
        <v>3</v>
      </c>
      <c r="G4664">
        <v>5</v>
      </c>
      <c r="H4664">
        <v>0</v>
      </c>
      <c r="I4664" s="12" t="s">
        <v>94</v>
      </c>
      <c r="J4664" s="12" t="s">
        <v>95</v>
      </c>
      <c r="K4664" s="12" t="s">
        <v>81</v>
      </c>
      <c r="L4664" s="12" t="s">
        <v>96</v>
      </c>
      <c r="M4664">
        <v>4.8099999999999996</v>
      </c>
      <c r="N4664" s="12" t="s">
        <v>135</v>
      </c>
      <c r="O4664" s="12" t="s">
        <v>136</v>
      </c>
      <c r="P4664" s="12" t="s">
        <v>137</v>
      </c>
      <c r="Q4664" s="13">
        <v>45748</v>
      </c>
      <c r="R4664" s="13">
        <v>45785</v>
      </c>
      <c r="S4664">
        <v>2025</v>
      </c>
      <c r="T4664" s="12" t="s">
        <v>5660</v>
      </c>
      <c r="U4664">
        <v>139</v>
      </c>
      <c r="V4664">
        <v>479.86860000000001</v>
      </c>
      <c r="W4664">
        <v>615.70000000000005</v>
      </c>
      <c r="X4664">
        <v>0</v>
      </c>
      <c r="Y4664">
        <v>0</v>
      </c>
      <c r="Z4664">
        <v>66701.740000000005</v>
      </c>
      <c r="AA4664">
        <v>67317.440000000002</v>
      </c>
      <c r="AB4664" s="12" t="s">
        <v>3699</v>
      </c>
      <c r="AC4664">
        <v>479.86860000000001</v>
      </c>
      <c r="AD4664">
        <v>1</v>
      </c>
      <c r="AE4664">
        <v>1</v>
      </c>
      <c r="AF4664">
        <v>0</v>
      </c>
      <c r="AG4664">
        <v>66701.740000000005</v>
      </c>
      <c r="AH4664">
        <v>139</v>
      </c>
      <c r="AI4664">
        <v>138</v>
      </c>
      <c r="AJ4664">
        <v>1</v>
      </c>
      <c r="AK4664">
        <v>1</v>
      </c>
      <c r="AL4664">
        <v>1</v>
      </c>
      <c r="AM4664">
        <v>99.28</v>
      </c>
      <c r="AN4664">
        <v>487.8075</v>
      </c>
      <c r="AO4664">
        <v>479.87</v>
      </c>
      <c r="AP4664" s="13">
        <v>45781</v>
      </c>
      <c r="AQ4664">
        <v>-4</v>
      </c>
      <c r="AR4664">
        <v>1</v>
      </c>
    </row>
    <row r="4665" spans="1:44" x14ac:dyDescent="0.35">
      <c r="A4665" s="12" t="s">
        <v>5666</v>
      </c>
      <c r="B4665" s="12" t="s">
        <v>289</v>
      </c>
      <c r="C4665" s="12" t="s">
        <v>290</v>
      </c>
      <c r="D4665" s="12" t="s">
        <v>175</v>
      </c>
      <c r="E4665" s="12" t="s">
        <v>104</v>
      </c>
      <c r="F4665">
        <v>3</v>
      </c>
      <c r="G4665">
        <v>1</v>
      </c>
      <c r="H4665">
        <v>0</v>
      </c>
      <c r="I4665" s="12" t="s">
        <v>157</v>
      </c>
      <c r="J4665" s="12" t="s">
        <v>158</v>
      </c>
      <c r="K4665" s="12" t="s">
        <v>117</v>
      </c>
      <c r="L4665" s="12" t="s">
        <v>96</v>
      </c>
      <c r="M4665">
        <v>4.72</v>
      </c>
      <c r="N4665" s="12" t="s">
        <v>107</v>
      </c>
      <c r="O4665" s="12" t="s">
        <v>108</v>
      </c>
      <c r="P4665" s="12" t="s">
        <v>109</v>
      </c>
      <c r="Q4665" s="13">
        <v>45748</v>
      </c>
      <c r="R4665" s="13">
        <v>45767</v>
      </c>
      <c r="S4665">
        <v>2025</v>
      </c>
      <c r="T4665" s="12" t="s">
        <v>5660</v>
      </c>
      <c r="U4665">
        <v>71</v>
      </c>
      <c r="V4665">
        <v>181.2405</v>
      </c>
      <c r="W4665">
        <v>273.94</v>
      </c>
      <c r="X4665">
        <v>0</v>
      </c>
      <c r="Y4665">
        <v>0</v>
      </c>
      <c r="Z4665">
        <v>12868.08</v>
      </c>
      <c r="AA4665">
        <v>13142.02</v>
      </c>
      <c r="AB4665" s="12" t="s">
        <v>201</v>
      </c>
      <c r="AD4665">
        <v>0</v>
      </c>
      <c r="AE4665">
        <v>0</v>
      </c>
      <c r="AH4665">
        <v>71</v>
      </c>
      <c r="AI4665">
        <v>70</v>
      </c>
      <c r="AJ4665">
        <v>1</v>
      </c>
      <c r="AK4665">
        <v>1</v>
      </c>
      <c r="AL4665">
        <v>1</v>
      </c>
      <c r="AM4665">
        <v>98.59</v>
      </c>
      <c r="AN4665">
        <v>187.7431</v>
      </c>
      <c r="AO4665">
        <v>181.24</v>
      </c>
      <c r="AP4665" s="13">
        <v>45767</v>
      </c>
      <c r="AQ4665">
        <v>0</v>
      </c>
      <c r="AR4665">
        <v>1</v>
      </c>
    </row>
    <row r="4666" spans="1:44" x14ac:dyDescent="0.35">
      <c r="A4666" s="12" t="s">
        <v>5667</v>
      </c>
      <c r="B4666" s="12" t="s">
        <v>1013</v>
      </c>
      <c r="C4666" s="12" t="s">
        <v>1014</v>
      </c>
      <c r="D4666" s="12" t="s">
        <v>78</v>
      </c>
      <c r="E4666" s="12" t="s">
        <v>65</v>
      </c>
      <c r="F4666">
        <v>2</v>
      </c>
      <c r="G4666">
        <v>3</v>
      </c>
      <c r="H4666">
        <v>0</v>
      </c>
      <c r="I4666" s="12" t="s">
        <v>123</v>
      </c>
      <c r="J4666" s="12" t="s">
        <v>124</v>
      </c>
      <c r="K4666" s="12" t="s">
        <v>125</v>
      </c>
      <c r="L4666" s="12" t="s">
        <v>82</v>
      </c>
      <c r="M4666">
        <v>6.75</v>
      </c>
      <c r="N4666" s="12" t="s">
        <v>70</v>
      </c>
      <c r="O4666" s="12" t="s">
        <v>71</v>
      </c>
      <c r="P4666" s="12" t="s">
        <v>72</v>
      </c>
      <c r="Q4666" s="13">
        <v>45748</v>
      </c>
      <c r="R4666" s="13">
        <v>45775</v>
      </c>
      <c r="S4666">
        <v>2025</v>
      </c>
      <c r="T4666" s="12" t="s">
        <v>5660</v>
      </c>
      <c r="U4666">
        <v>133</v>
      </c>
      <c r="V4666">
        <v>125.10590000000001</v>
      </c>
      <c r="W4666">
        <v>228.81</v>
      </c>
      <c r="X4666">
        <v>0</v>
      </c>
      <c r="Y4666">
        <v>0</v>
      </c>
      <c r="Z4666">
        <v>16639.080000000002</v>
      </c>
      <c r="AA4666">
        <v>16867.89</v>
      </c>
      <c r="AB4666" s="12" t="s">
        <v>3398</v>
      </c>
      <c r="AC4666">
        <v>125.10590000000001</v>
      </c>
      <c r="AD4666">
        <v>1</v>
      </c>
      <c r="AE4666">
        <v>1</v>
      </c>
      <c r="AF4666">
        <v>0</v>
      </c>
      <c r="AG4666">
        <v>16639.080000000002</v>
      </c>
      <c r="AH4666">
        <v>133</v>
      </c>
      <c r="AI4666">
        <v>132</v>
      </c>
      <c r="AJ4666">
        <v>1</v>
      </c>
      <c r="AK4666">
        <v>1</v>
      </c>
      <c r="AL4666">
        <v>1</v>
      </c>
      <c r="AM4666">
        <v>99.25</v>
      </c>
      <c r="AN4666">
        <v>127.7871</v>
      </c>
      <c r="AO4666">
        <v>125.11</v>
      </c>
      <c r="AP4666" s="13">
        <v>45775</v>
      </c>
      <c r="AQ4666">
        <v>0</v>
      </c>
      <c r="AR4666">
        <v>1</v>
      </c>
    </row>
    <row r="4667" spans="1:44" x14ac:dyDescent="0.35">
      <c r="A4667" s="12" t="s">
        <v>5668</v>
      </c>
      <c r="B4667" s="12" t="s">
        <v>670</v>
      </c>
      <c r="C4667" s="12" t="s">
        <v>671</v>
      </c>
      <c r="D4667" s="12" t="s">
        <v>175</v>
      </c>
      <c r="E4667" s="12" t="s">
        <v>142</v>
      </c>
      <c r="F4667">
        <v>2</v>
      </c>
      <c r="G4667">
        <v>9</v>
      </c>
      <c r="H4667">
        <v>0</v>
      </c>
      <c r="I4667" s="12" t="s">
        <v>105</v>
      </c>
      <c r="J4667" s="12" t="s">
        <v>106</v>
      </c>
      <c r="K4667" s="12" t="s">
        <v>81</v>
      </c>
      <c r="L4667" s="12" t="s">
        <v>96</v>
      </c>
      <c r="M4667">
        <v>5.01</v>
      </c>
      <c r="N4667" s="12" t="s">
        <v>145</v>
      </c>
      <c r="O4667" s="12" t="s">
        <v>146</v>
      </c>
      <c r="P4667" s="12" t="s">
        <v>109</v>
      </c>
      <c r="Q4667" s="13">
        <v>45748</v>
      </c>
      <c r="R4667" s="13">
        <v>45799</v>
      </c>
      <c r="S4667">
        <v>2025</v>
      </c>
      <c r="T4667" s="12" t="s">
        <v>5660</v>
      </c>
      <c r="U4667">
        <v>135</v>
      </c>
      <c r="V4667">
        <v>157.62540000000001</v>
      </c>
      <c r="W4667">
        <v>543.55999999999995</v>
      </c>
      <c r="X4667">
        <v>0</v>
      </c>
      <c r="Y4667">
        <v>0</v>
      </c>
      <c r="Z4667">
        <v>21279.43</v>
      </c>
      <c r="AA4667">
        <v>21822.99</v>
      </c>
      <c r="AB4667" s="12" t="s">
        <v>201</v>
      </c>
      <c r="AD4667">
        <v>0</v>
      </c>
      <c r="AE4667">
        <v>0</v>
      </c>
      <c r="AH4667">
        <v>135</v>
      </c>
      <c r="AI4667">
        <v>133</v>
      </c>
      <c r="AJ4667">
        <v>2</v>
      </c>
      <c r="AK4667">
        <v>1</v>
      </c>
      <c r="AL4667">
        <v>1</v>
      </c>
      <c r="AM4667">
        <v>98.52</v>
      </c>
      <c r="AN4667">
        <v>164.08260000000001</v>
      </c>
      <c r="AO4667">
        <v>315.25</v>
      </c>
      <c r="AP4667" s="13">
        <v>45799</v>
      </c>
      <c r="AQ4667">
        <v>0</v>
      </c>
      <c r="AR4667">
        <v>1</v>
      </c>
    </row>
    <row r="4668" spans="1:44" x14ac:dyDescent="0.35">
      <c r="A4668" s="12" t="s">
        <v>5669</v>
      </c>
      <c r="B4668" s="12" t="s">
        <v>1220</v>
      </c>
      <c r="C4668" s="12" t="s">
        <v>1221</v>
      </c>
      <c r="D4668" s="12" t="s">
        <v>175</v>
      </c>
      <c r="E4668" s="12" t="s">
        <v>104</v>
      </c>
      <c r="F4668">
        <v>3</v>
      </c>
      <c r="G4668">
        <v>1</v>
      </c>
      <c r="H4668">
        <v>0</v>
      </c>
      <c r="I4668" s="12" t="s">
        <v>515</v>
      </c>
      <c r="J4668" s="12" t="s">
        <v>516</v>
      </c>
      <c r="K4668" s="12" t="s">
        <v>68</v>
      </c>
      <c r="L4668" s="12" t="s">
        <v>134</v>
      </c>
      <c r="M4668">
        <v>3.69</v>
      </c>
      <c r="N4668" s="12" t="s">
        <v>145</v>
      </c>
      <c r="O4668" s="12" t="s">
        <v>146</v>
      </c>
      <c r="P4668" s="12" t="s">
        <v>109</v>
      </c>
      <c r="Q4668" s="13">
        <v>45749</v>
      </c>
      <c r="R4668" s="13">
        <v>45768</v>
      </c>
      <c r="S4668">
        <v>2025</v>
      </c>
      <c r="T4668" s="12" t="s">
        <v>5660</v>
      </c>
      <c r="U4668">
        <v>70</v>
      </c>
      <c r="V4668">
        <v>128.2681</v>
      </c>
      <c r="W4668">
        <v>198.07</v>
      </c>
      <c r="X4668">
        <v>0</v>
      </c>
      <c r="Y4668">
        <v>0</v>
      </c>
      <c r="Z4668">
        <v>8978.77</v>
      </c>
      <c r="AA4668">
        <v>9176.84</v>
      </c>
      <c r="AB4668" s="12" t="s">
        <v>3405</v>
      </c>
      <c r="AC4668">
        <v>136.08099999999999</v>
      </c>
      <c r="AD4668">
        <v>1</v>
      </c>
      <c r="AE4668">
        <v>1</v>
      </c>
      <c r="AF4668">
        <v>-546.9</v>
      </c>
      <c r="AG4668">
        <v>9525.67</v>
      </c>
      <c r="AH4668">
        <v>70</v>
      </c>
      <c r="AI4668">
        <v>70</v>
      </c>
      <c r="AJ4668">
        <v>0</v>
      </c>
      <c r="AK4668">
        <v>1</v>
      </c>
      <c r="AL4668">
        <v>1</v>
      </c>
      <c r="AM4668">
        <v>100</v>
      </c>
      <c r="AN4668">
        <v>131.0977</v>
      </c>
      <c r="AO4668">
        <v>0</v>
      </c>
      <c r="AP4668" s="13">
        <v>45765</v>
      </c>
      <c r="AQ4668">
        <v>-3</v>
      </c>
      <c r="AR4668">
        <v>1</v>
      </c>
    </row>
    <row r="4669" spans="1:44" x14ac:dyDescent="0.35">
      <c r="A4669" s="12" t="s">
        <v>5670</v>
      </c>
      <c r="B4669" s="12" t="s">
        <v>1068</v>
      </c>
      <c r="C4669" s="12" t="s">
        <v>1069</v>
      </c>
      <c r="D4669" s="12" t="s">
        <v>122</v>
      </c>
      <c r="E4669" s="12" t="s">
        <v>65</v>
      </c>
      <c r="F4669">
        <v>2</v>
      </c>
      <c r="G4669">
        <v>2</v>
      </c>
      <c r="H4669">
        <v>0</v>
      </c>
      <c r="I4669" s="12" t="s">
        <v>79</v>
      </c>
      <c r="J4669" s="12" t="s">
        <v>80</v>
      </c>
      <c r="K4669" s="12" t="s">
        <v>81</v>
      </c>
      <c r="L4669" s="12" t="s">
        <v>82</v>
      </c>
      <c r="M4669">
        <v>12.07</v>
      </c>
      <c r="N4669" s="12" t="s">
        <v>97</v>
      </c>
      <c r="O4669" s="12" t="s">
        <v>98</v>
      </c>
      <c r="P4669" s="12" t="s">
        <v>72</v>
      </c>
      <c r="Q4669" s="13">
        <v>45749</v>
      </c>
      <c r="R4669" s="13">
        <v>45782</v>
      </c>
      <c r="S4669">
        <v>2025</v>
      </c>
      <c r="T4669" s="12" t="s">
        <v>5660</v>
      </c>
      <c r="U4669">
        <v>1496</v>
      </c>
      <c r="V4669">
        <v>20.8949</v>
      </c>
      <c r="W4669">
        <v>189.29</v>
      </c>
      <c r="X4669">
        <v>0</v>
      </c>
      <c r="Y4669">
        <v>0</v>
      </c>
      <c r="Z4669">
        <v>31258.77</v>
      </c>
      <c r="AA4669">
        <v>31448.06</v>
      </c>
      <c r="AB4669" s="12" t="s">
        <v>5478</v>
      </c>
      <c r="AC4669">
        <v>20.8949</v>
      </c>
      <c r="AD4669">
        <v>1</v>
      </c>
      <c r="AE4669">
        <v>1</v>
      </c>
      <c r="AF4669">
        <v>0</v>
      </c>
      <c r="AG4669">
        <v>31258.77</v>
      </c>
      <c r="AH4669">
        <v>1496</v>
      </c>
      <c r="AI4669">
        <v>1487</v>
      </c>
      <c r="AJ4669">
        <v>9</v>
      </c>
      <c r="AK4669">
        <v>1</v>
      </c>
      <c r="AL4669">
        <v>1</v>
      </c>
      <c r="AM4669">
        <v>99.4</v>
      </c>
      <c r="AN4669">
        <v>21.148700000000002</v>
      </c>
      <c r="AO4669">
        <v>188.05</v>
      </c>
      <c r="AP4669" s="13">
        <v>45779</v>
      </c>
      <c r="AQ4669">
        <v>-3</v>
      </c>
      <c r="AR4669">
        <v>1</v>
      </c>
    </row>
    <row r="4670" spans="1:44" x14ac:dyDescent="0.35">
      <c r="A4670" s="12" t="s">
        <v>5671</v>
      </c>
      <c r="B4670" s="12" t="s">
        <v>809</v>
      </c>
      <c r="C4670" s="12" t="s">
        <v>810</v>
      </c>
      <c r="D4670" s="12" t="s">
        <v>114</v>
      </c>
      <c r="E4670" s="12" t="s">
        <v>65</v>
      </c>
      <c r="F4670">
        <v>3</v>
      </c>
      <c r="G4670">
        <v>5</v>
      </c>
      <c r="H4670">
        <v>0</v>
      </c>
      <c r="I4670" s="12" t="s">
        <v>804</v>
      </c>
      <c r="J4670" s="12" t="s">
        <v>342</v>
      </c>
      <c r="K4670" s="12" t="s">
        <v>117</v>
      </c>
      <c r="L4670" s="12" t="s">
        <v>69</v>
      </c>
      <c r="M4670">
        <v>30.07</v>
      </c>
      <c r="N4670" s="12" t="s">
        <v>70</v>
      </c>
      <c r="O4670" s="12" t="s">
        <v>71</v>
      </c>
      <c r="P4670" s="12" t="s">
        <v>72</v>
      </c>
      <c r="Q4670" s="13">
        <v>45749</v>
      </c>
      <c r="R4670" s="13">
        <v>45771</v>
      </c>
      <c r="S4670">
        <v>2025</v>
      </c>
      <c r="T4670" s="12" t="s">
        <v>5660</v>
      </c>
      <c r="U4670">
        <v>18</v>
      </c>
      <c r="V4670">
        <v>302.71480000000003</v>
      </c>
      <c r="W4670">
        <v>53.82</v>
      </c>
      <c r="X4670">
        <v>0</v>
      </c>
      <c r="Y4670">
        <v>0</v>
      </c>
      <c r="Z4670">
        <v>5448.87</v>
      </c>
      <c r="AA4670">
        <v>5502.69</v>
      </c>
      <c r="AB4670" s="12" t="s">
        <v>5511</v>
      </c>
      <c r="AC4670">
        <v>302.71480000000003</v>
      </c>
      <c r="AD4670">
        <v>1</v>
      </c>
      <c r="AE4670">
        <v>1</v>
      </c>
      <c r="AF4670">
        <v>0</v>
      </c>
      <c r="AG4670">
        <v>5448.87</v>
      </c>
      <c r="AH4670">
        <v>18</v>
      </c>
      <c r="AI4670">
        <v>18</v>
      </c>
      <c r="AJ4670">
        <v>0</v>
      </c>
      <c r="AK4670">
        <v>1</v>
      </c>
      <c r="AL4670">
        <v>1</v>
      </c>
      <c r="AM4670">
        <v>100</v>
      </c>
      <c r="AN4670">
        <v>305.70479999999998</v>
      </c>
      <c r="AO4670">
        <v>0</v>
      </c>
      <c r="AP4670" s="13">
        <v>45771</v>
      </c>
      <c r="AQ4670">
        <v>0</v>
      </c>
      <c r="AR4670">
        <v>1</v>
      </c>
    </row>
    <row r="4671" spans="1:44" x14ac:dyDescent="0.35">
      <c r="A4671" s="12" t="s">
        <v>5672</v>
      </c>
      <c r="B4671" s="12" t="s">
        <v>207</v>
      </c>
      <c r="C4671" s="12" t="s">
        <v>208</v>
      </c>
      <c r="D4671" s="12" t="s">
        <v>78</v>
      </c>
      <c r="E4671" s="12" t="s">
        <v>65</v>
      </c>
      <c r="F4671">
        <v>2</v>
      </c>
      <c r="G4671">
        <v>3</v>
      </c>
      <c r="H4671">
        <v>0</v>
      </c>
      <c r="I4671" s="12" t="s">
        <v>209</v>
      </c>
      <c r="J4671" s="12" t="s">
        <v>210</v>
      </c>
      <c r="K4671" s="12" t="s">
        <v>133</v>
      </c>
      <c r="L4671" s="12" t="s">
        <v>96</v>
      </c>
      <c r="M4671">
        <v>7.82</v>
      </c>
      <c r="N4671" s="12" t="s">
        <v>97</v>
      </c>
      <c r="O4671" s="12" t="s">
        <v>98</v>
      </c>
      <c r="P4671" s="12" t="s">
        <v>72</v>
      </c>
      <c r="Q4671" s="13">
        <v>45749</v>
      </c>
      <c r="R4671" s="13">
        <v>45773</v>
      </c>
      <c r="S4671">
        <v>2025</v>
      </c>
      <c r="T4671" s="12" t="s">
        <v>5660</v>
      </c>
      <c r="U4671">
        <v>86</v>
      </c>
      <c r="V4671">
        <v>145.1729</v>
      </c>
      <c r="W4671">
        <v>321.31</v>
      </c>
      <c r="X4671">
        <v>0</v>
      </c>
      <c r="Y4671">
        <v>0</v>
      </c>
      <c r="Z4671">
        <v>12484.87</v>
      </c>
      <c r="AA4671">
        <v>12806.18</v>
      </c>
      <c r="AB4671" s="12" t="s">
        <v>5196</v>
      </c>
      <c r="AC4671">
        <v>145.1729</v>
      </c>
      <c r="AD4671">
        <v>1</v>
      </c>
      <c r="AE4671">
        <v>1</v>
      </c>
      <c r="AF4671">
        <v>0</v>
      </c>
      <c r="AG4671">
        <v>12484.87</v>
      </c>
      <c r="AH4671">
        <v>86</v>
      </c>
      <c r="AI4671">
        <v>84</v>
      </c>
      <c r="AJ4671">
        <v>2</v>
      </c>
      <c r="AK4671">
        <v>1</v>
      </c>
      <c r="AL4671">
        <v>1</v>
      </c>
      <c r="AM4671">
        <v>97.67</v>
      </c>
      <c r="AN4671">
        <v>152.4545</v>
      </c>
      <c r="AO4671">
        <v>290.35000000000002</v>
      </c>
      <c r="AP4671" s="13">
        <v>45771</v>
      </c>
      <c r="AQ4671">
        <v>-2</v>
      </c>
      <c r="AR4671">
        <v>1</v>
      </c>
    </row>
    <row r="4672" spans="1:44" x14ac:dyDescent="0.35">
      <c r="A4672" s="12" t="s">
        <v>5673</v>
      </c>
      <c r="B4672" s="12" t="s">
        <v>193</v>
      </c>
      <c r="C4672" s="12" t="s">
        <v>194</v>
      </c>
      <c r="D4672" s="12" t="s">
        <v>114</v>
      </c>
      <c r="E4672" s="12" t="s">
        <v>65</v>
      </c>
      <c r="F4672">
        <v>3</v>
      </c>
      <c r="G4672">
        <v>4</v>
      </c>
      <c r="H4672">
        <v>0</v>
      </c>
      <c r="I4672" s="12" t="s">
        <v>199</v>
      </c>
      <c r="J4672" s="12" t="s">
        <v>200</v>
      </c>
      <c r="K4672" s="12" t="s">
        <v>68</v>
      </c>
      <c r="L4672" s="12" t="s">
        <v>96</v>
      </c>
      <c r="M4672">
        <v>9.4700000000000006</v>
      </c>
      <c r="N4672" s="12" t="s">
        <v>97</v>
      </c>
      <c r="O4672" s="12" t="s">
        <v>98</v>
      </c>
      <c r="P4672" s="12" t="s">
        <v>72</v>
      </c>
      <c r="Q4672" s="13">
        <v>45749</v>
      </c>
      <c r="R4672" s="13">
        <v>45781</v>
      </c>
      <c r="S4672">
        <v>2025</v>
      </c>
      <c r="T4672" s="12" t="s">
        <v>5660</v>
      </c>
      <c r="U4672">
        <v>100</v>
      </c>
      <c r="V4672">
        <v>115.0218</v>
      </c>
      <c r="W4672">
        <v>259.38</v>
      </c>
      <c r="X4672">
        <v>0</v>
      </c>
      <c r="Y4672">
        <v>0</v>
      </c>
      <c r="Z4672">
        <v>11502.18</v>
      </c>
      <c r="AA4672">
        <v>11761.56</v>
      </c>
      <c r="AB4672" s="12" t="s">
        <v>201</v>
      </c>
      <c r="AD4672">
        <v>0</v>
      </c>
      <c r="AE4672">
        <v>0</v>
      </c>
      <c r="AH4672">
        <v>100</v>
      </c>
      <c r="AI4672">
        <v>98</v>
      </c>
      <c r="AJ4672">
        <v>2</v>
      </c>
      <c r="AK4672">
        <v>1</v>
      </c>
      <c r="AL4672">
        <v>1</v>
      </c>
      <c r="AM4672">
        <v>98</v>
      </c>
      <c r="AN4672">
        <v>120.0159</v>
      </c>
      <c r="AO4672">
        <v>230.04</v>
      </c>
      <c r="AP4672" s="13">
        <v>45787</v>
      </c>
      <c r="AQ4672">
        <v>6</v>
      </c>
      <c r="AR4672">
        <v>0</v>
      </c>
    </row>
    <row r="4673" spans="1:44" x14ac:dyDescent="0.35">
      <c r="A4673" s="12" t="s">
        <v>5674</v>
      </c>
      <c r="B4673" s="12" t="s">
        <v>458</v>
      </c>
      <c r="C4673" s="12" t="s">
        <v>459</v>
      </c>
      <c r="D4673" s="12" t="s">
        <v>64</v>
      </c>
      <c r="E4673" s="12" t="s">
        <v>104</v>
      </c>
      <c r="F4673">
        <v>2</v>
      </c>
      <c r="G4673">
        <v>0</v>
      </c>
      <c r="H4673">
        <v>0</v>
      </c>
      <c r="I4673" s="12" t="s">
        <v>199</v>
      </c>
      <c r="J4673" s="12" t="s">
        <v>200</v>
      </c>
      <c r="K4673" s="12" t="s">
        <v>68</v>
      </c>
      <c r="L4673" s="12" t="s">
        <v>96</v>
      </c>
      <c r="M4673">
        <v>9.4700000000000006</v>
      </c>
      <c r="N4673" s="12" t="s">
        <v>70</v>
      </c>
      <c r="O4673" s="12" t="s">
        <v>71</v>
      </c>
      <c r="P4673" s="12" t="s">
        <v>72</v>
      </c>
      <c r="Q4673" s="13">
        <v>45749</v>
      </c>
      <c r="R4673" s="13">
        <v>45772</v>
      </c>
      <c r="S4673">
        <v>2025</v>
      </c>
      <c r="T4673" s="12" t="s">
        <v>5660</v>
      </c>
      <c r="U4673">
        <v>660</v>
      </c>
      <c r="V4673">
        <v>21.352799999999998</v>
      </c>
      <c r="W4673">
        <v>301.23</v>
      </c>
      <c r="X4673">
        <v>0</v>
      </c>
      <c r="Y4673">
        <v>0</v>
      </c>
      <c r="Z4673">
        <v>14092.85</v>
      </c>
      <c r="AA4673">
        <v>14394.08</v>
      </c>
      <c r="AB4673" s="12" t="s">
        <v>5527</v>
      </c>
      <c r="AC4673">
        <v>21.352799999999998</v>
      </c>
      <c r="AD4673">
        <v>1</v>
      </c>
      <c r="AE4673">
        <v>1</v>
      </c>
      <c r="AF4673">
        <v>0</v>
      </c>
      <c r="AG4673">
        <v>14092.85</v>
      </c>
      <c r="AH4673">
        <v>660</v>
      </c>
      <c r="AI4673">
        <v>651</v>
      </c>
      <c r="AJ4673">
        <v>9</v>
      </c>
      <c r="AK4673">
        <v>1</v>
      </c>
      <c r="AL4673">
        <v>1</v>
      </c>
      <c r="AM4673">
        <v>98.64</v>
      </c>
      <c r="AN4673">
        <v>22.110700000000001</v>
      </c>
      <c r="AO4673">
        <v>192.18</v>
      </c>
      <c r="AP4673" s="13">
        <v>45775</v>
      </c>
      <c r="AQ4673">
        <v>3</v>
      </c>
      <c r="AR4673">
        <v>0</v>
      </c>
    </row>
    <row r="4674" spans="1:44" x14ac:dyDescent="0.35">
      <c r="A4674" s="12" t="s">
        <v>5675</v>
      </c>
      <c r="B4674" s="12" t="s">
        <v>532</v>
      </c>
      <c r="C4674" s="12" t="s">
        <v>533</v>
      </c>
      <c r="D4674" s="12" t="s">
        <v>114</v>
      </c>
      <c r="E4674" s="12" t="s">
        <v>65</v>
      </c>
      <c r="F4674">
        <v>2</v>
      </c>
      <c r="G4674">
        <v>3</v>
      </c>
      <c r="H4674">
        <v>0</v>
      </c>
      <c r="I4674" s="12" t="s">
        <v>105</v>
      </c>
      <c r="J4674" s="12" t="s">
        <v>106</v>
      </c>
      <c r="K4674" s="12" t="s">
        <v>81</v>
      </c>
      <c r="L4674" s="12" t="s">
        <v>96</v>
      </c>
      <c r="M4674">
        <v>5.01</v>
      </c>
      <c r="N4674" s="12" t="s">
        <v>97</v>
      </c>
      <c r="O4674" s="12" t="s">
        <v>98</v>
      </c>
      <c r="P4674" s="12" t="s">
        <v>72</v>
      </c>
      <c r="Q4674" s="13">
        <v>45749</v>
      </c>
      <c r="R4674" s="13">
        <v>45776</v>
      </c>
      <c r="S4674">
        <v>2025</v>
      </c>
      <c r="T4674" s="12" t="s">
        <v>5660</v>
      </c>
      <c r="U4674">
        <v>63</v>
      </c>
      <c r="V4674">
        <v>249.89959999999999</v>
      </c>
      <c r="W4674">
        <v>104.67</v>
      </c>
      <c r="X4674">
        <v>0</v>
      </c>
      <c r="Y4674">
        <v>0</v>
      </c>
      <c r="Z4674">
        <v>15743.67</v>
      </c>
      <c r="AA4674">
        <v>15848.34</v>
      </c>
      <c r="AB4674" s="12" t="s">
        <v>5676</v>
      </c>
      <c r="AC4674">
        <v>249.89959999999999</v>
      </c>
      <c r="AD4674">
        <v>1</v>
      </c>
      <c r="AE4674">
        <v>1</v>
      </c>
      <c r="AF4674">
        <v>0</v>
      </c>
      <c r="AG4674">
        <v>15743.67</v>
      </c>
      <c r="AH4674">
        <v>63</v>
      </c>
      <c r="AI4674">
        <v>62</v>
      </c>
      <c r="AJ4674">
        <v>1</v>
      </c>
      <c r="AK4674">
        <v>1</v>
      </c>
      <c r="AL4674">
        <v>1</v>
      </c>
      <c r="AM4674">
        <v>98.41</v>
      </c>
      <c r="AN4674">
        <v>255.61850000000001</v>
      </c>
      <c r="AO4674">
        <v>249.9</v>
      </c>
      <c r="AP4674" s="13">
        <v>45773</v>
      </c>
      <c r="AQ4674">
        <v>-3</v>
      </c>
      <c r="AR4674">
        <v>1</v>
      </c>
    </row>
    <row r="4675" spans="1:44" x14ac:dyDescent="0.35">
      <c r="A4675" s="12" t="s">
        <v>5677</v>
      </c>
      <c r="B4675" s="12" t="s">
        <v>140</v>
      </c>
      <c r="C4675" s="12" t="s">
        <v>141</v>
      </c>
      <c r="D4675" s="12" t="s">
        <v>103</v>
      </c>
      <c r="E4675" s="12" t="s">
        <v>142</v>
      </c>
      <c r="F4675">
        <v>1</v>
      </c>
      <c r="G4675">
        <v>7</v>
      </c>
      <c r="H4675">
        <v>1</v>
      </c>
      <c r="I4675" s="12" t="s">
        <v>143</v>
      </c>
      <c r="J4675" s="12" t="s">
        <v>144</v>
      </c>
      <c r="K4675" s="12" t="s">
        <v>133</v>
      </c>
      <c r="L4675" s="12" t="s">
        <v>96</v>
      </c>
      <c r="M4675">
        <v>5.43</v>
      </c>
      <c r="N4675" s="12" t="s">
        <v>107</v>
      </c>
      <c r="O4675" s="12" t="s">
        <v>108</v>
      </c>
      <c r="P4675" s="12" t="s">
        <v>109</v>
      </c>
      <c r="Q4675" s="13">
        <v>45749</v>
      </c>
      <c r="R4675" s="13">
        <v>45795</v>
      </c>
      <c r="S4675">
        <v>2025</v>
      </c>
      <c r="T4675" s="12" t="s">
        <v>5660</v>
      </c>
      <c r="U4675">
        <v>100</v>
      </c>
      <c r="V4675">
        <v>210.93029999999999</v>
      </c>
      <c r="W4675">
        <v>171.45</v>
      </c>
      <c r="X4675">
        <v>0</v>
      </c>
      <c r="Y4675">
        <v>0</v>
      </c>
      <c r="Z4675">
        <v>21093.03</v>
      </c>
      <c r="AA4675">
        <v>21264.48</v>
      </c>
      <c r="AB4675" s="12" t="s">
        <v>5126</v>
      </c>
      <c r="AC4675">
        <v>210.93029999999999</v>
      </c>
      <c r="AD4675">
        <v>1</v>
      </c>
      <c r="AE4675">
        <v>1</v>
      </c>
      <c r="AF4675">
        <v>0</v>
      </c>
      <c r="AG4675">
        <v>21093.03</v>
      </c>
      <c r="AH4675">
        <v>100</v>
      </c>
      <c r="AI4675">
        <v>99</v>
      </c>
      <c r="AJ4675">
        <v>1</v>
      </c>
      <c r="AK4675">
        <v>1</v>
      </c>
      <c r="AL4675">
        <v>1</v>
      </c>
      <c r="AM4675">
        <v>99</v>
      </c>
      <c r="AN4675">
        <v>214.7927</v>
      </c>
      <c r="AO4675">
        <v>210.93</v>
      </c>
      <c r="AP4675" s="13">
        <v>45795</v>
      </c>
      <c r="AQ4675">
        <v>0</v>
      </c>
      <c r="AR4675">
        <v>1</v>
      </c>
    </row>
    <row r="4676" spans="1:44" x14ac:dyDescent="0.35">
      <c r="A4676" s="12" t="s">
        <v>5678</v>
      </c>
      <c r="B4676" s="12" t="s">
        <v>787</v>
      </c>
      <c r="C4676" s="12" t="s">
        <v>788</v>
      </c>
      <c r="D4676" s="12" t="s">
        <v>269</v>
      </c>
      <c r="E4676" s="12" t="s">
        <v>65</v>
      </c>
      <c r="F4676">
        <v>2</v>
      </c>
      <c r="G4676">
        <v>3</v>
      </c>
      <c r="H4676">
        <v>0</v>
      </c>
      <c r="I4676" s="12" t="s">
        <v>143</v>
      </c>
      <c r="J4676" s="12" t="s">
        <v>144</v>
      </c>
      <c r="K4676" s="12" t="s">
        <v>133</v>
      </c>
      <c r="L4676" s="12" t="s">
        <v>96</v>
      </c>
      <c r="M4676">
        <v>5.43</v>
      </c>
      <c r="N4676" s="12" t="s">
        <v>159</v>
      </c>
      <c r="O4676" s="12" t="s">
        <v>160</v>
      </c>
      <c r="P4676" s="12" t="s">
        <v>137</v>
      </c>
      <c r="Q4676" s="13">
        <v>45749</v>
      </c>
      <c r="R4676" s="13">
        <v>45783</v>
      </c>
      <c r="S4676">
        <v>2025</v>
      </c>
      <c r="T4676" s="12" t="s">
        <v>5660</v>
      </c>
      <c r="U4676">
        <v>115</v>
      </c>
      <c r="V4676">
        <v>342.88099999999997</v>
      </c>
      <c r="W4676">
        <v>931.59</v>
      </c>
      <c r="X4676">
        <v>0</v>
      </c>
      <c r="Y4676">
        <v>0</v>
      </c>
      <c r="Z4676">
        <v>39431.32</v>
      </c>
      <c r="AA4676">
        <v>40362.910000000003</v>
      </c>
      <c r="AB4676" s="12" t="s">
        <v>3813</v>
      </c>
      <c r="AC4676">
        <v>342.88099999999997</v>
      </c>
      <c r="AD4676">
        <v>1</v>
      </c>
      <c r="AE4676">
        <v>1</v>
      </c>
      <c r="AF4676">
        <v>0</v>
      </c>
      <c r="AG4676">
        <v>39431.32</v>
      </c>
      <c r="AH4676">
        <v>115</v>
      </c>
      <c r="AI4676">
        <v>114</v>
      </c>
      <c r="AJ4676">
        <v>1</v>
      </c>
      <c r="AK4676">
        <v>1</v>
      </c>
      <c r="AL4676">
        <v>1</v>
      </c>
      <c r="AM4676">
        <v>99.13</v>
      </c>
      <c r="AN4676">
        <v>354.06060000000002</v>
      </c>
      <c r="AO4676">
        <v>342.88</v>
      </c>
      <c r="AP4676" s="13">
        <v>45791</v>
      </c>
      <c r="AQ4676">
        <v>8</v>
      </c>
      <c r="AR4676">
        <v>0</v>
      </c>
    </row>
    <row r="4677" spans="1:44" x14ac:dyDescent="0.35">
      <c r="A4677" s="12" t="s">
        <v>5679</v>
      </c>
      <c r="B4677" s="12" t="s">
        <v>924</v>
      </c>
      <c r="C4677" s="12" t="s">
        <v>925</v>
      </c>
      <c r="D4677" s="12" t="s">
        <v>103</v>
      </c>
      <c r="E4677" s="12" t="s">
        <v>104</v>
      </c>
      <c r="F4677">
        <v>2</v>
      </c>
      <c r="G4677">
        <v>0</v>
      </c>
      <c r="H4677">
        <v>0</v>
      </c>
      <c r="I4677" s="12" t="s">
        <v>335</v>
      </c>
      <c r="J4677" s="12" t="s">
        <v>336</v>
      </c>
      <c r="K4677" s="12" t="s">
        <v>89</v>
      </c>
      <c r="L4677" s="12" t="s">
        <v>82</v>
      </c>
      <c r="M4677">
        <v>16</v>
      </c>
      <c r="N4677" s="12" t="s">
        <v>145</v>
      </c>
      <c r="O4677" s="12" t="s">
        <v>146</v>
      </c>
      <c r="P4677" s="12" t="s">
        <v>109</v>
      </c>
      <c r="Q4677" s="13">
        <v>45749</v>
      </c>
      <c r="R4677" s="13">
        <v>45761</v>
      </c>
      <c r="S4677">
        <v>2025</v>
      </c>
      <c r="T4677" s="12" t="s">
        <v>5660</v>
      </c>
      <c r="U4677">
        <v>16</v>
      </c>
      <c r="V4677">
        <v>164.59909999999999</v>
      </c>
      <c r="W4677">
        <v>22.32</v>
      </c>
      <c r="X4677">
        <v>0</v>
      </c>
      <c r="Y4677">
        <v>0</v>
      </c>
      <c r="Z4677">
        <v>2633.59</v>
      </c>
      <c r="AA4677">
        <v>2655.91</v>
      </c>
      <c r="AB4677" s="12" t="s">
        <v>201</v>
      </c>
      <c r="AD4677">
        <v>0</v>
      </c>
      <c r="AE4677">
        <v>0</v>
      </c>
      <c r="AH4677">
        <v>16</v>
      </c>
      <c r="AI4677">
        <v>16</v>
      </c>
      <c r="AJ4677">
        <v>0</v>
      </c>
      <c r="AK4677">
        <v>1</v>
      </c>
      <c r="AL4677">
        <v>1</v>
      </c>
      <c r="AM4677">
        <v>100</v>
      </c>
      <c r="AN4677">
        <v>165.9941</v>
      </c>
      <c r="AO4677">
        <v>0</v>
      </c>
      <c r="AP4677" s="13">
        <v>45770</v>
      </c>
      <c r="AQ4677">
        <v>9</v>
      </c>
      <c r="AR4677">
        <v>0</v>
      </c>
    </row>
    <row r="4678" spans="1:44" x14ac:dyDescent="0.35">
      <c r="A4678" s="12" t="s">
        <v>5680</v>
      </c>
      <c r="B4678" s="12" t="s">
        <v>1042</v>
      </c>
      <c r="C4678" s="12" t="s">
        <v>1043</v>
      </c>
      <c r="D4678" s="12" t="s">
        <v>269</v>
      </c>
      <c r="E4678" s="12" t="s">
        <v>104</v>
      </c>
      <c r="F4678">
        <v>2</v>
      </c>
      <c r="G4678">
        <v>0</v>
      </c>
      <c r="H4678">
        <v>0</v>
      </c>
      <c r="I4678" s="12" t="s">
        <v>143</v>
      </c>
      <c r="J4678" s="12" t="s">
        <v>144</v>
      </c>
      <c r="K4678" s="12" t="s">
        <v>133</v>
      </c>
      <c r="L4678" s="12" t="s">
        <v>96</v>
      </c>
      <c r="M4678">
        <v>5.43</v>
      </c>
      <c r="N4678" s="12" t="s">
        <v>135</v>
      </c>
      <c r="O4678" s="12" t="s">
        <v>136</v>
      </c>
      <c r="P4678" s="12" t="s">
        <v>137</v>
      </c>
      <c r="Q4678" s="13">
        <v>45749</v>
      </c>
      <c r="R4678" s="13">
        <v>45772</v>
      </c>
      <c r="S4678">
        <v>2025</v>
      </c>
      <c r="T4678" s="12" t="s">
        <v>5660</v>
      </c>
      <c r="U4678">
        <v>97</v>
      </c>
      <c r="V4678">
        <v>308.0027</v>
      </c>
      <c r="W4678">
        <v>516.22</v>
      </c>
      <c r="X4678">
        <v>0</v>
      </c>
      <c r="Y4678">
        <v>0</v>
      </c>
      <c r="Z4678">
        <v>29876.26</v>
      </c>
      <c r="AA4678">
        <v>30392.48</v>
      </c>
      <c r="AB4678" s="12" t="s">
        <v>201</v>
      </c>
      <c r="AD4678">
        <v>0</v>
      </c>
      <c r="AE4678">
        <v>0</v>
      </c>
      <c r="AH4678">
        <v>97</v>
      </c>
      <c r="AI4678">
        <v>96</v>
      </c>
      <c r="AJ4678">
        <v>1</v>
      </c>
      <c r="AK4678">
        <v>1</v>
      </c>
      <c r="AL4678">
        <v>1</v>
      </c>
      <c r="AM4678">
        <v>98.97</v>
      </c>
      <c r="AN4678">
        <v>316.58839999999998</v>
      </c>
      <c r="AO4678">
        <v>308</v>
      </c>
      <c r="AP4678" s="13">
        <v>45769</v>
      </c>
      <c r="AQ4678">
        <v>-3</v>
      </c>
      <c r="AR4678">
        <v>1</v>
      </c>
    </row>
    <row r="4679" spans="1:44" x14ac:dyDescent="0.35">
      <c r="A4679" s="12" t="s">
        <v>5681</v>
      </c>
      <c r="B4679" s="12" t="s">
        <v>149</v>
      </c>
      <c r="C4679" s="12" t="s">
        <v>150</v>
      </c>
      <c r="D4679" s="12" t="s">
        <v>78</v>
      </c>
      <c r="E4679" s="12" t="s">
        <v>65</v>
      </c>
      <c r="F4679">
        <v>2</v>
      </c>
      <c r="G4679">
        <v>2</v>
      </c>
      <c r="H4679">
        <v>0</v>
      </c>
      <c r="I4679" s="12" t="s">
        <v>169</v>
      </c>
      <c r="J4679" s="12" t="s">
        <v>170</v>
      </c>
      <c r="K4679" s="12" t="s">
        <v>89</v>
      </c>
      <c r="L4679" s="12" t="s">
        <v>134</v>
      </c>
      <c r="M4679">
        <v>1.37</v>
      </c>
      <c r="N4679" s="12" t="s">
        <v>97</v>
      </c>
      <c r="O4679" s="12" t="s">
        <v>98</v>
      </c>
      <c r="P4679" s="12" t="s">
        <v>72</v>
      </c>
      <c r="Q4679" s="13">
        <v>45750</v>
      </c>
      <c r="R4679" s="13">
        <v>45787</v>
      </c>
      <c r="S4679">
        <v>2025</v>
      </c>
      <c r="T4679" s="12" t="s">
        <v>5660</v>
      </c>
      <c r="U4679">
        <v>283</v>
      </c>
      <c r="V4679">
        <v>71.191000000000003</v>
      </c>
      <c r="W4679">
        <v>469.64</v>
      </c>
      <c r="X4679">
        <v>0</v>
      </c>
      <c r="Y4679">
        <v>0</v>
      </c>
      <c r="Z4679">
        <v>20147.05</v>
      </c>
      <c r="AA4679">
        <v>20616.689999999999</v>
      </c>
      <c r="AB4679" s="12" t="s">
        <v>201</v>
      </c>
      <c r="AD4679">
        <v>0</v>
      </c>
      <c r="AE4679">
        <v>0</v>
      </c>
      <c r="AH4679">
        <v>283</v>
      </c>
      <c r="AI4679">
        <v>279</v>
      </c>
      <c r="AJ4679">
        <v>4</v>
      </c>
      <c r="AK4679">
        <v>1</v>
      </c>
      <c r="AL4679">
        <v>1</v>
      </c>
      <c r="AM4679">
        <v>98.59</v>
      </c>
      <c r="AN4679">
        <v>73.894999999999996</v>
      </c>
      <c r="AO4679">
        <v>284.76</v>
      </c>
      <c r="AP4679" s="13">
        <v>45792</v>
      </c>
      <c r="AQ4679">
        <v>5</v>
      </c>
      <c r="AR4679">
        <v>0</v>
      </c>
    </row>
    <row r="4680" spans="1:44" x14ac:dyDescent="0.35">
      <c r="A4680" s="12" t="s">
        <v>5682</v>
      </c>
      <c r="B4680" s="12" t="s">
        <v>494</v>
      </c>
      <c r="C4680" s="12" t="s">
        <v>495</v>
      </c>
      <c r="D4680" s="12" t="s">
        <v>175</v>
      </c>
      <c r="E4680" s="12" t="s">
        <v>65</v>
      </c>
      <c r="F4680">
        <v>2</v>
      </c>
      <c r="G4680">
        <v>3</v>
      </c>
      <c r="H4680">
        <v>0</v>
      </c>
      <c r="I4680" s="12" t="s">
        <v>515</v>
      </c>
      <c r="J4680" s="12" t="s">
        <v>516</v>
      </c>
      <c r="K4680" s="12" t="s">
        <v>68</v>
      </c>
      <c r="L4680" s="12" t="s">
        <v>134</v>
      </c>
      <c r="M4680">
        <v>3.69</v>
      </c>
      <c r="N4680" s="12" t="s">
        <v>107</v>
      </c>
      <c r="O4680" s="12" t="s">
        <v>108</v>
      </c>
      <c r="P4680" s="12" t="s">
        <v>109</v>
      </c>
      <c r="Q4680" s="13">
        <v>45750</v>
      </c>
      <c r="R4680" s="13">
        <v>45777</v>
      </c>
      <c r="S4680">
        <v>2025</v>
      </c>
      <c r="T4680" s="12" t="s">
        <v>5660</v>
      </c>
      <c r="U4680">
        <v>58</v>
      </c>
      <c r="V4680">
        <v>153.36940000000001</v>
      </c>
      <c r="W4680">
        <v>222.53</v>
      </c>
      <c r="X4680">
        <v>0</v>
      </c>
      <c r="Y4680">
        <v>0</v>
      </c>
      <c r="Z4680">
        <v>8895.43</v>
      </c>
      <c r="AA4680">
        <v>9117.9599999999991</v>
      </c>
      <c r="AB4680" s="12" t="s">
        <v>5442</v>
      </c>
      <c r="AC4680">
        <v>153.36940000000001</v>
      </c>
      <c r="AD4680">
        <v>1</v>
      </c>
      <c r="AE4680">
        <v>1</v>
      </c>
      <c r="AF4680">
        <v>0</v>
      </c>
      <c r="AG4680">
        <v>8895.43</v>
      </c>
      <c r="AH4680">
        <v>58</v>
      </c>
      <c r="AI4680">
        <v>57</v>
      </c>
      <c r="AJ4680">
        <v>1</v>
      </c>
      <c r="AK4680">
        <v>1</v>
      </c>
      <c r="AL4680">
        <v>1</v>
      </c>
      <c r="AM4680">
        <v>98.28</v>
      </c>
      <c r="AN4680">
        <v>159.9641</v>
      </c>
      <c r="AO4680">
        <v>153.37</v>
      </c>
      <c r="AP4680" s="13">
        <v>45775</v>
      </c>
      <c r="AQ4680">
        <v>-2</v>
      </c>
      <c r="AR4680">
        <v>1</v>
      </c>
    </row>
    <row r="4681" spans="1:44" x14ac:dyDescent="0.35">
      <c r="A4681" s="12" t="s">
        <v>5683</v>
      </c>
      <c r="B4681" s="12" t="s">
        <v>221</v>
      </c>
      <c r="C4681" s="12" t="s">
        <v>222</v>
      </c>
      <c r="D4681" s="12" t="s">
        <v>114</v>
      </c>
      <c r="E4681" s="12" t="s">
        <v>142</v>
      </c>
      <c r="F4681">
        <v>3</v>
      </c>
      <c r="G4681">
        <v>11</v>
      </c>
      <c r="H4681">
        <v>0</v>
      </c>
      <c r="I4681" s="12" t="s">
        <v>105</v>
      </c>
      <c r="J4681" s="12" t="s">
        <v>106</v>
      </c>
      <c r="K4681" s="12" t="s">
        <v>81</v>
      </c>
      <c r="L4681" s="12" t="s">
        <v>96</v>
      </c>
      <c r="M4681">
        <v>5.01</v>
      </c>
      <c r="N4681" s="12" t="s">
        <v>97</v>
      </c>
      <c r="O4681" s="12" t="s">
        <v>98</v>
      </c>
      <c r="P4681" s="12" t="s">
        <v>72</v>
      </c>
      <c r="Q4681" s="13">
        <v>45750</v>
      </c>
      <c r="R4681" s="13">
        <v>45794</v>
      </c>
      <c r="S4681">
        <v>2025</v>
      </c>
      <c r="T4681" s="12" t="s">
        <v>5660</v>
      </c>
      <c r="U4681">
        <v>86</v>
      </c>
      <c r="V4681">
        <v>260.48939999999999</v>
      </c>
      <c r="W4681">
        <v>431.74</v>
      </c>
      <c r="X4681">
        <v>0</v>
      </c>
      <c r="Y4681">
        <v>0</v>
      </c>
      <c r="Z4681">
        <v>22402.09</v>
      </c>
      <c r="AA4681">
        <v>22833.83</v>
      </c>
      <c r="AB4681" s="12" t="s">
        <v>201</v>
      </c>
      <c r="AD4681">
        <v>0</v>
      </c>
      <c r="AE4681">
        <v>0</v>
      </c>
      <c r="AH4681">
        <v>86</v>
      </c>
      <c r="AI4681">
        <v>86</v>
      </c>
      <c r="AJ4681">
        <v>0</v>
      </c>
      <c r="AK4681">
        <v>1</v>
      </c>
      <c r="AL4681">
        <v>1</v>
      </c>
      <c r="AM4681">
        <v>100</v>
      </c>
      <c r="AN4681">
        <v>265.50959999999998</v>
      </c>
      <c r="AO4681">
        <v>0</v>
      </c>
      <c r="AP4681" s="13">
        <v>45800</v>
      </c>
      <c r="AQ4681">
        <v>6</v>
      </c>
      <c r="AR4681">
        <v>0</v>
      </c>
    </row>
    <row r="4682" spans="1:44" x14ac:dyDescent="0.35">
      <c r="A4682" s="12" t="s">
        <v>5684</v>
      </c>
      <c r="B4682" s="12" t="s">
        <v>447</v>
      </c>
      <c r="C4682" s="12" t="s">
        <v>448</v>
      </c>
      <c r="D4682" s="12" t="s">
        <v>269</v>
      </c>
      <c r="E4682" s="12" t="s">
        <v>65</v>
      </c>
      <c r="F4682">
        <v>2</v>
      </c>
      <c r="G4682">
        <v>2</v>
      </c>
      <c r="H4682">
        <v>0</v>
      </c>
      <c r="I4682" s="12" t="s">
        <v>94</v>
      </c>
      <c r="J4682" s="12" t="s">
        <v>95</v>
      </c>
      <c r="K4682" s="12" t="s">
        <v>81</v>
      </c>
      <c r="L4682" s="12" t="s">
        <v>96</v>
      </c>
      <c r="M4682">
        <v>4.8099999999999996</v>
      </c>
      <c r="N4682" s="12" t="s">
        <v>159</v>
      </c>
      <c r="O4682" s="12" t="s">
        <v>160</v>
      </c>
      <c r="P4682" s="12" t="s">
        <v>137</v>
      </c>
      <c r="Q4682" s="13">
        <v>45750</v>
      </c>
      <c r="R4682" s="13">
        <v>45776</v>
      </c>
      <c r="S4682">
        <v>2025</v>
      </c>
      <c r="T4682" s="12" t="s">
        <v>5660</v>
      </c>
      <c r="U4682">
        <v>51</v>
      </c>
      <c r="V4682">
        <v>367.30009999999999</v>
      </c>
      <c r="W4682">
        <v>243.84</v>
      </c>
      <c r="X4682">
        <v>0</v>
      </c>
      <c r="Y4682">
        <v>0</v>
      </c>
      <c r="Z4682">
        <v>18732.310000000001</v>
      </c>
      <c r="AA4682">
        <v>18976.150000000001</v>
      </c>
      <c r="AB4682" s="12" t="s">
        <v>5685</v>
      </c>
      <c r="AC4682">
        <v>367.30009999999999</v>
      </c>
      <c r="AD4682">
        <v>1</v>
      </c>
      <c r="AE4682">
        <v>1</v>
      </c>
      <c r="AF4682">
        <v>0</v>
      </c>
      <c r="AG4682">
        <v>18732.310000000001</v>
      </c>
      <c r="AH4682">
        <v>51</v>
      </c>
      <c r="AI4682">
        <v>51</v>
      </c>
      <c r="AJ4682">
        <v>0</v>
      </c>
      <c r="AK4682">
        <v>1</v>
      </c>
      <c r="AL4682">
        <v>1</v>
      </c>
      <c r="AM4682">
        <v>100</v>
      </c>
      <c r="AN4682">
        <v>372.0813</v>
      </c>
      <c r="AO4682">
        <v>0</v>
      </c>
      <c r="AP4682" s="13">
        <v>45776</v>
      </c>
      <c r="AQ4682">
        <v>0</v>
      </c>
      <c r="AR4682">
        <v>1</v>
      </c>
    </row>
    <row r="4683" spans="1:44" x14ac:dyDescent="0.35">
      <c r="A4683" s="12" t="s">
        <v>5686</v>
      </c>
      <c r="B4683" s="12" t="s">
        <v>1433</v>
      </c>
      <c r="C4683" s="12" t="s">
        <v>1434</v>
      </c>
      <c r="D4683" s="12" t="s">
        <v>269</v>
      </c>
      <c r="E4683" s="12" t="s">
        <v>65</v>
      </c>
      <c r="F4683">
        <v>3</v>
      </c>
      <c r="G4683">
        <v>5</v>
      </c>
      <c r="H4683">
        <v>0</v>
      </c>
      <c r="I4683" s="12" t="s">
        <v>223</v>
      </c>
      <c r="J4683" s="12" t="s">
        <v>224</v>
      </c>
      <c r="K4683" s="12" t="s">
        <v>81</v>
      </c>
      <c r="L4683" s="12" t="s">
        <v>134</v>
      </c>
      <c r="M4683">
        <v>2.4900000000000002</v>
      </c>
      <c r="N4683" s="12" t="s">
        <v>135</v>
      </c>
      <c r="O4683" s="12" t="s">
        <v>136</v>
      </c>
      <c r="P4683" s="12" t="s">
        <v>137</v>
      </c>
      <c r="Q4683" s="13">
        <v>45750</v>
      </c>
      <c r="R4683" s="13">
        <v>45771</v>
      </c>
      <c r="S4683">
        <v>2025</v>
      </c>
      <c r="T4683" s="12" t="s">
        <v>5660</v>
      </c>
      <c r="U4683">
        <v>10</v>
      </c>
      <c r="V4683">
        <v>484.58300000000003</v>
      </c>
      <c r="W4683">
        <v>48.92</v>
      </c>
      <c r="X4683">
        <v>0</v>
      </c>
      <c r="Y4683">
        <v>0</v>
      </c>
      <c r="Z4683">
        <v>4845.83</v>
      </c>
      <c r="AA4683">
        <v>4894.75</v>
      </c>
      <c r="AB4683" s="12" t="s">
        <v>201</v>
      </c>
      <c r="AD4683">
        <v>0</v>
      </c>
      <c r="AE4683">
        <v>0</v>
      </c>
      <c r="AH4683">
        <v>10</v>
      </c>
      <c r="AI4683">
        <v>10</v>
      </c>
      <c r="AJ4683">
        <v>0</v>
      </c>
      <c r="AK4683">
        <v>1</v>
      </c>
      <c r="AL4683">
        <v>1</v>
      </c>
      <c r="AM4683">
        <v>100</v>
      </c>
      <c r="AN4683">
        <v>489.47500000000002</v>
      </c>
      <c r="AO4683">
        <v>0</v>
      </c>
      <c r="AP4683" s="13">
        <v>45768</v>
      </c>
      <c r="AQ4683">
        <v>-3</v>
      </c>
      <c r="AR4683">
        <v>1</v>
      </c>
    </row>
    <row r="4684" spans="1:44" x14ac:dyDescent="0.35">
      <c r="A4684" s="12" t="s">
        <v>5687</v>
      </c>
      <c r="B4684" s="12" t="s">
        <v>848</v>
      </c>
      <c r="C4684" s="12" t="s">
        <v>849</v>
      </c>
      <c r="D4684" s="12" t="s">
        <v>103</v>
      </c>
      <c r="E4684" s="12" t="s">
        <v>65</v>
      </c>
      <c r="F4684">
        <v>2</v>
      </c>
      <c r="G4684">
        <v>4</v>
      </c>
      <c r="H4684">
        <v>0</v>
      </c>
      <c r="I4684" s="12" t="s">
        <v>87</v>
      </c>
      <c r="J4684" s="12" t="s">
        <v>88</v>
      </c>
      <c r="K4684" s="12" t="s">
        <v>89</v>
      </c>
      <c r="L4684" s="12" t="s">
        <v>69</v>
      </c>
      <c r="M4684">
        <v>14.93</v>
      </c>
      <c r="N4684" s="12" t="s">
        <v>107</v>
      </c>
      <c r="O4684" s="12" t="s">
        <v>108</v>
      </c>
      <c r="P4684" s="12" t="s">
        <v>109</v>
      </c>
      <c r="Q4684" s="13">
        <v>45751</v>
      </c>
      <c r="R4684" s="13">
        <v>45785</v>
      </c>
      <c r="S4684">
        <v>2025</v>
      </c>
      <c r="T4684" s="12" t="s">
        <v>5660</v>
      </c>
      <c r="U4684">
        <v>117</v>
      </c>
      <c r="V4684">
        <v>121.1635</v>
      </c>
      <c r="W4684">
        <v>247.81</v>
      </c>
      <c r="X4684">
        <v>0</v>
      </c>
      <c r="Y4684">
        <v>0</v>
      </c>
      <c r="Z4684">
        <v>14176.13</v>
      </c>
      <c r="AA4684">
        <v>14423.94</v>
      </c>
      <c r="AB4684" s="12" t="s">
        <v>3680</v>
      </c>
      <c r="AC4684">
        <v>121.1635</v>
      </c>
      <c r="AD4684">
        <v>1</v>
      </c>
      <c r="AE4684">
        <v>1</v>
      </c>
      <c r="AF4684">
        <v>0</v>
      </c>
      <c r="AG4684">
        <v>14176.13</v>
      </c>
      <c r="AH4684">
        <v>117</v>
      </c>
      <c r="AI4684">
        <v>116</v>
      </c>
      <c r="AJ4684">
        <v>1</v>
      </c>
      <c r="AK4684">
        <v>1</v>
      </c>
      <c r="AL4684">
        <v>1</v>
      </c>
      <c r="AM4684">
        <v>99.15</v>
      </c>
      <c r="AN4684">
        <v>124.3443</v>
      </c>
      <c r="AO4684">
        <v>121.16</v>
      </c>
      <c r="AP4684" s="13">
        <v>45785</v>
      </c>
      <c r="AQ4684">
        <v>0</v>
      </c>
      <c r="AR4684">
        <v>1</v>
      </c>
    </row>
    <row r="4685" spans="1:44" x14ac:dyDescent="0.35">
      <c r="A4685" s="12" t="s">
        <v>5688</v>
      </c>
      <c r="B4685" s="12" t="s">
        <v>62</v>
      </c>
      <c r="C4685" s="12" t="s">
        <v>63</v>
      </c>
      <c r="D4685" s="12" t="s">
        <v>64</v>
      </c>
      <c r="E4685" s="12" t="s">
        <v>65</v>
      </c>
      <c r="F4685">
        <v>1</v>
      </c>
      <c r="G4685">
        <v>2</v>
      </c>
      <c r="H4685">
        <v>1</v>
      </c>
      <c r="I4685" s="12" t="s">
        <v>66</v>
      </c>
      <c r="J4685" s="12" t="s">
        <v>67</v>
      </c>
      <c r="K4685" s="12" t="s">
        <v>68</v>
      </c>
      <c r="L4685" s="12" t="s">
        <v>69</v>
      </c>
      <c r="M4685">
        <v>17.66</v>
      </c>
      <c r="N4685" s="12" t="s">
        <v>97</v>
      </c>
      <c r="O4685" s="12" t="s">
        <v>98</v>
      </c>
      <c r="P4685" s="12" t="s">
        <v>72</v>
      </c>
      <c r="Q4685" s="13">
        <v>45751</v>
      </c>
      <c r="R4685" s="13">
        <v>45787</v>
      </c>
      <c r="S4685">
        <v>2025</v>
      </c>
      <c r="T4685" s="12" t="s">
        <v>5660</v>
      </c>
      <c r="U4685">
        <v>883</v>
      </c>
      <c r="V4685">
        <v>25.1296</v>
      </c>
      <c r="W4685">
        <v>386.47</v>
      </c>
      <c r="X4685">
        <v>0</v>
      </c>
      <c r="Y4685">
        <v>0</v>
      </c>
      <c r="Z4685">
        <v>22189.439999999999</v>
      </c>
      <c r="AA4685">
        <v>22575.91</v>
      </c>
      <c r="AB4685" s="12" t="s">
        <v>201</v>
      </c>
      <c r="AD4685">
        <v>0</v>
      </c>
      <c r="AE4685">
        <v>0</v>
      </c>
      <c r="AH4685">
        <v>883</v>
      </c>
      <c r="AI4685">
        <v>871</v>
      </c>
      <c r="AJ4685">
        <v>12</v>
      </c>
      <c r="AK4685">
        <v>1</v>
      </c>
      <c r="AL4685">
        <v>1</v>
      </c>
      <c r="AM4685">
        <v>98.64</v>
      </c>
      <c r="AN4685">
        <v>25.919499999999999</v>
      </c>
      <c r="AO4685">
        <v>301.56</v>
      </c>
      <c r="AP4685" s="13">
        <v>45785</v>
      </c>
      <c r="AQ4685">
        <v>-2</v>
      </c>
      <c r="AR4685">
        <v>1</v>
      </c>
    </row>
    <row r="4686" spans="1:44" x14ac:dyDescent="0.35">
      <c r="A4686" s="12" t="s">
        <v>5689</v>
      </c>
      <c r="B4686" s="12" t="s">
        <v>120</v>
      </c>
      <c r="C4686" s="12" t="s">
        <v>121</v>
      </c>
      <c r="D4686" s="12" t="s">
        <v>122</v>
      </c>
      <c r="E4686" s="12" t="s">
        <v>65</v>
      </c>
      <c r="F4686">
        <v>3</v>
      </c>
      <c r="G4686">
        <v>4</v>
      </c>
      <c r="H4686">
        <v>0</v>
      </c>
      <c r="I4686" s="12" t="s">
        <v>123</v>
      </c>
      <c r="J4686" s="12" t="s">
        <v>124</v>
      </c>
      <c r="K4686" s="12" t="s">
        <v>125</v>
      </c>
      <c r="L4686" s="12" t="s">
        <v>82</v>
      </c>
      <c r="M4686">
        <v>6.75</v>
      </c>
      <c r="N4686" s="12" t="s">
        <v>70</v>
      </c>
      <c r="O4686" s="12" t="s">
        <v>71</v>
      </c>
      <c r="P4686" s="12" t="s">
        <v>72</v>
      </c>
      <c r="Q4686" s="13">
        <v>45751</v>
      </c>
      <c r="R4686" s="13">
        <v>45788</v>
      </c>
      <c r="S4686">
        <v>2025</v>
      </c>
      <c r="T4686" s="12" t="s">
        <v>5660</v>
      </c>
      <c r="U4686">
        <v>1857</v>
      </c>
      <c r="V4686">
        <v>50.976100000000002</v>
      </c>
      <c r="W4686">
        <v>1362.26</v>
      </c>
      <c r="X4686">
        <v>3050.14</v>
      </c>
      <c r="Y4686">
        <v>1</v>
      </c>
      <c r="Z4686">
        <v>94662.62</v>
      </c>
      <c r="AA4686">
        <v>99075.02</v>
      </c>
      <c r="AB4686" s="12" t="s">
        <v>5139</v>
      </c>
      <c r="AC4686">
        <v>50.976100000000002</v>
      </c>
      <c r="AD4686">
        <v>1</v>
      </c>
      <c r="AE4686">
        <v>1</v>
      </c>
      <c r="AF4686">
        <v>0</v>
      </c>
      <c r="AG4686">
        <v>94662.62</v>
      </c>
      <c r="AH4686">
        <v>1857</v>
      </c>
      <c r="AI4686">
        <v>1850</v>
      </c>
      <c r="AJ4686">
        <v>7</v>
      </c>
      <c r="AK4686">
        <v>1</v>
      </c>
      <c r="AL4686">
        <v>1</v>
      </c>
      <c r="AM4686">
        <v>99.62</v>
      </c>
      <c r="AN4686">
        <v>53.554099999999998</v>
      </c>
      <c r="AO4686">
        <v>356.83</v>
      </c>
      <c r="AP4686" s="13">
        <v>45785</v>
      </c>
      <c r="AQ4686">
        <v>-3</v>
      </c>
      <c r="AR4686">
        <v>1</v>
      </c>
    </row>
    <row r="4687" spans="1:44" x14ac:dyDescent="0.35">
      <c r="A4687" s="12" t="s">
        <v>5690</v>
      </c>
      <c r="B4687" s="12" t="s">
        <v>1075</v>
      </c>
      <c r="C4687" s="12" t="s">
        <v>1076</v>
      </c>
      <c r="D4687" s="12" t="s">
        <v>103</v>
      </c>
      <c r="E4687" s="12" t="s">
        <v>65</v>
      </c>
      <c r="F4687">
        <v>2</v>
      </c>
      <c r="G4687">
        <v>4</v>
      </c>
      <c r="H4687">
        <v>0</v>
      </c>
      <c r="I4687" s="12" t="s">
        <v>183</v>
      </c>
      <c r="J4687" s="12" t="s">
        <v>184</v>
      </c>
      <c r="K4687" s="12" t="s">
        <v>133</v>
      </c>
      <c r="L4687" s="12" t="s">
        <v>82</v>
      </c>
      <c r="M4687">
        <v>8.6199999999999992</v>
      </c>
      <c r="N4687" s="12" t="s">
        <v>107</v>
      </c>
      <c r="O4687" s="12" t="s">
        <v>108</v>
      </c>
      <c r="P4687" s="12" t="s">
        <v>109</v>
      </c>
      <c r="Q4687" s="13">
        <v>45751</v>
      </c>
      <c r="R4687" s="13">
        <v>45775</v>
      </c>
      <c r="S4687">
        <v>2025</v>
      </c>
      <c r="T4687" s="12" t="s">
        <v>5660</v>
      </c>
      <c r="U4687">
        <v>39</v>
      </c>
      <c r="V4687">
        <v>71.394300000000001</v>
      </c>
      <c r="W4687">
        <v>25.31</v>
      </c>
      <c r="X4687">
        <v>0</v>
      </c>
      <c r="Y4687">
        <v>0</v>
      </c>
      <c r="Z4687">
        <v>2784.38</v>
      </c>
      <c r="AA4687">
        <v>2809.69</v>
      </c>
      <c r="AB4687" s="12" t="s">
        <v>201</v>
      </c>
      <c r="AD4687">
        <v>0</v>
      </c>
      <c r="AE4687">
        <v>0</v>
      </c>
      <c r="AH4687">
        <v>39</v>
      </c>
      <c r="AI4687">
        <v>38</v>
      </c>
      <c r="AJ4687">
        <v>1</v>
      </c>
      <c r="AK4687">
        <v>1</v>
      </c>
      <c r="AL4687">
        <v>1</v>
      </c>
      <c r="AM4687">
        <v>97.44</v>
      </c>
      <c r="AN4687">
        <v>73.9392</v>
      </c>
      <c r="AO4687">
        <v>71.39</v>
      </c>
      <c r="AP4687" s="13">
        <v>45773</v>
      </c>
      <c r="AQ4687">
        <v>-2</v>
      </c>
      <c r="AR4687">
        <v>1</v>
      </c>
    </row>
    <row r="4688" spans="1:44" x14ac:dyDescent="0.35">
      <c r="A4688" s="12" t="s">
        <v>5691</v>
      </c>
      <c r="B4688" s="12" t="s">
        <v>221</v>
      </c>
      <c r="C4688" s="12" t="s">
        <v>222</v>
      </c>
      <c r="D4688" s="12" t="s">
        <v>114</v>
      </c>
      <c r="E4688" s="12" t="s">
        <v>142</v>
      </c>
      <c r="F4688">
        <v>3</v>
      </c>
      <c r="G4688">
        <v>11</v>
      </c>
      <c r="H4688">
        <v>0</v>
      </c>
      <c r="I4688" s="12" t="s">
        <v>105</v>
      </c>
      <c r="J4688" s="12" t="s">
        <v>106</v>
      </c>
      <c r="K4688" s="12" t="s">
        <v>81</v>
      </c>
      <c r="L4688" s="12" t="s">
        <v>96</v>
      </c>
      <c r="M4688">
        <v>5.01</v>
      </c>
      <c r="N4688" s="12" t="s">
        <v>97</v>
      </c>
      <c r="O4688" s="12" t="s">
        <v>98</v>
      </c>
      <c r="P4688" s="12" t="s">
        <v>72</v>
      </c>
      <c r="Q4688" s="13">
        <v>45751</v>
      </c>
      <c r="R4688" s="13">
        <v>45793</v>
      </c>
      <c r="S4688">
        <v>2025</v>
      </c>
      <c r="T4688" s="12" t="s">
        <v>5660</v>
      </c>
      <c r="U4688">
        <v>67</v>
      </c>
      <c r="V4688">
        <v>256.11169999999998</v>
      </c>
      <c r="W4688">
        <v>343.09</v>
      </c>
      <c r="X4688">
        <v>0</v>
      </c>
      <c r="Y4688">
        <v>0</v>
      </c>
      <c r="Z4688">
        <v>17159.48</v>
      </c>
      <c r="AA4688">
        <v>17502.57</v>
      </c>
      <c r="AB4688" s="12" t="s">
        <v>201</v>
      </c>
      <c r="AD4688">
        <v>0</v>
      </c>
      <c r="AE4688">
        <v>0</v>
      </c>
      <c r="AH4688">
        <v>67</v>
      </c>
      <c r="AI4688">
        <v>66</v>
      </c>
      <c r="AJ4688">
        <v>1</v>
      </c>
      <c r="AK4688">
        <v>1</v>
      </c>
      <c r="AL4688">
        <v>1</v>
      </c>
      <c r="AM4688">
        <v>98.51</v>
      </c>
      <c r="AN4688">
        <v>265.19049999999999</v>
      </c>
      <c r="AO4688">
        <v>256.11</v>
      </c>
      <c r="AP4688" s="13">
        <v>45792</v>
      </c>
      <c r="AQ4688">
        <v>-1</v>
      </c>
      <c r="AR4688">
        <v>1</v>
      </c>
    </row>
    <row r="4689" spans="1:44" x14ac:dyDescent="0.35">
      <c r="A4689" s="12" t="s">
        <v>5692</v>
      </c>
      <c r="B4689" s="12" t="s">
        <v>85</v>
      </c>
      <c r="C4689" s="12" t="s">
        <v>86</v>
      </c>
      <c r="D4689" s="12" t="s">
        <v>78</v>
      </c>
      <c r="E4689" s="12" t="s">
        <v>65</v>
      </c>
      <c r="F4689">
        <v>3</v>
      </c>
      <c r="G4689">
        <v>5</v>
      </c>
      <c r="H4689">
        <v>0</v>
      </c>
      <c r="I4689" s="12" t="s">
        <v>87</v>
      </c>
      <c r="J4689" s="12" t="s">
        <v>88</v>
      </c>
      <c r="K4689" s="12" t="s">
        <v>89</v>
      </c>
      <c r="L4689" s="12" t="s">
        <v>69</v>
      </c>
      <c r="M4689">
        <v>14.93</v>
      </c>
      <c r="N4689" s="12" t="s">
        <v>97</v>
      </c>
      <c r="O4689" s="12" t="s">
        <v>98</v>
      </c>
      <c r="P4689" s="12" t="s">
        <v>72</v>
      </c>
      <c r="Q4689" s="13">
        <v>45751</v>
      </c>
      <c r="R4689" s="13">
        <v>45780</v>
      </c>
      <c r="S4689">
        <v>2025</v>
      </c>
      <c r="T4689" s="12" t="s">
        <v>5660</v>
      </c>
      <c r="U4689">
        <v>167</v>
      </c>
      <c r="V4689">
        <v>132.05160000000001</v>
      </c>
      <c r="W4689">
        <v>180.63</v>
      </c>
      <c r="X4689">
        <v>0</v>
      </c>
      <c r="Y4689">
        <v>0</v>
      </c>
      <c r="Z4689">
        <v>22052.62</v>
      </c>
      <c r="AA4689">
        <v>22233.25</v>
      </c>
      <c r="AB4689" s="12" t="s">
        <v>5445</v>
      </c>
      <c r="AC4689">
        <v>132.05160000000001</v>
      </c>
      <c r="AD4689">
        <v>1</v>
      </c>
      <c r="AE4689">
        <v>1</v>
      </c>
      <c r="AF4689">
        <v>0</v>
      </c>
      <c r="AG4689">
        <v>22052.62</v>
      </c>
      <c r="AH4689">
        <v>167</v>
      </c>
      <c r="AI4689">
        <v>166</v>
      </c>
      <c r="AJ4689">
        <v>1</v>
      </c>
      <c r="AK4689">
        <v>1</v>
      </c>
      <c r="AL4689">
        <v>1</v>
      </c>
      <c r="AM4689">
        <v>99.4</v>
      </c>
      <c r="AN4689">
        <v>133.93520000000001</v>
      </c>
      <c r="AO4689">
        <v>132.05000000000001</v>
      </c>
      <c r="AP4689" s="13">
        <v>45777</v>
      </c>
      <c r="AQ4689">
        <v>-3</v>
      </c>
      <c r="AR4689">
        <v>1</v>
      </c>
    </row>
    <row r="4690" spans="1:44" x14ac:dyDescent="0.35">
      <c r="A4690" s="12" t="s">
        <v>5693</v>
      </c>
      <c r="B4690" s="12" t="s">
        <v>433</v>
      </c>
      <c r="C4690" s="12" t="s">
        <v>434</v>
      </c>
      <c r="D4690" s="12" t="s">
        <v>78</v>
      </c>
      <c r="E4690" s="12" t="s">
        <v>65</v>
      </c>
      <c r="F4690">
        <v>2</v>
      </c>
      <c r="G4690">
        <v>4</v>
      </c>
      <c r="H4690">
        <v>0</v>
      </c>
      <c r="I4690" s="12" t="s">
        <v>105</v>
      </c>
      <c r="J4690" s="12" t="s">
        <v>106</v>
      </c>
      <c r="K4690" s="12" t="s">
        <v>81</v>
      </c>
      <c r="L4690" s="12" t="s">
        <v>96</v>
      </c>
      <c r="M4690">
        <v>5.01</v>
      </c>
      <c r="N4690" s="12" t="s">
        <v>97</v>
      </c>
      <c r="O4690" s="12" t="s">
        <v>98</v>
      </c>
      <c r="P4690" s="12" t="s">
        <v>72</v>
      </c>
      <c r="Q4690" s="13">
        <v>45751</v>
      </c>
      <c r="R4690" s="13">
        <v>45780</v>
      </c>
      <c r="S4690">
        <v>2025</v>
      </c>
      <c r="T4690" s="12" t="s">
        <v>5660</v>
      </c>
      <c r="U4690">
        <v>165</v>
      </c>
      <c r="V4690">
        <v>68.594099999999997</v>
      </c>
      <c r="W4690">
        <v>95.73</v>
      </c>
      <c r="X4690">
        <v>0</v>
      </c>
      <c r="Y4690">
        <v>0</v>
      </c>
      <c r="Z4690">
        <v>11318.03</v>
      </c>
      <c r="AA4690">
        <v>11413.76</v>
      </c>
      <c r="AB4690" s="12" t="s">
        <v>5436</v>
      </c>
      <c r="AC4690">
        <v>68.594099999999997</v>
      </c>
      <c r="AD4690">
        <v>1</v>
      </c>
      <c r="AE4690">
        <v>1</v>
      </c>
      <c r="AF4690">
        <v>0</v>
      </c>
      <c r="AG4690">
        <v>11318.03</v>
      </c>
      <c r="AH4690">
        <v>165</v>
      </c>
      <c r="AI4690">
        <v>162</v>
      </c>
      <c r="AJ4690">
        <v>3</v>
      </c>
      <c r="AK4690">
        <v>1</v>
      </c>
      <c r="AL4690">
        <v>1</v>
      </c>
      <c r="AM4690">
        <v>98.18</v>
      </c>
      <c r="AN4690">
        <v>70.455299999999994</v>
      </c>
      <c r="AO4690">
        <v>205.78</v>
      </c>
      <c r="AP4690" s="13">
        <v>45785</v>
      </c>
      <c r="AQ4690">
        <v>5</v>
      </c>
      <c r="AR4690">
        <v>0</v>
      </c>
    </row>
    <row r="4691" spans="1:44" x14ac:dyDescent="0.35">
      <c r="A4691" s="12" t="s">
        <v>5694</v>
      </c>
      <c r="B4691" s="12" t="s">
        <v>412</v>
      </c>
      <c r="C4691" s="12" t="s">
        <v>413</v>
      </c>
      <c r="D4691" s="12" t="s">
        <v>269</v>
      </c>
      <c r="E4691" s="12" t="s">
        <v>65</v>
      </c>
      <c r="F4691">
        <v>1</v>
      </c>
      <c r="G4691">
        <v>2</v>
      </c>
      <c r="H4691">
        <v>1</v>
      </c>
      <c r="I4691" s="12" t="s">
        <v>233</v>
      </c>
      <c r="J4691" s="12" t="s">
        <v>234</v>
      </c>
      <c r="K4691" s="12" t="s">
        <v>125</v>
      </c>
      <c r="L4691" s="12" t="s">
        <v>96</v>
      </c>
      <c r="M4691">
        <v>3.73</v>
      </c>
      <c r="N4691" s="12" t="s">
        <v>159</v>
      </c>
      <c r="O4691" s="12" t="s">
        <v>160</v>
      </c>
      <c r="P4691" s="12" t="s">
        <v>137</v>
      </c>
      <c r="Q4691" s="13">
        <v>45754</v>
      </c>
      <c r="R4691" s="13">
        <v>45775</v>
      </c>
      <c r="S4691">
        <v>2025</v>
      </c>
      <c r="T4691" s="12" t="s">
        <v>5660</v>
      </c>
      <c r="U4691">
        <v>10</v>
      </c>
      <c r="V4691">
        <v>103.87350000000001</v>
      </c>
      <c r="W4691">
        <v>10.63</v>
      </c>
      <c r="X4691">
        <v>0</v>
      </c>
      <c r="Y4691">
        <v>0</v>
      </c>
      <c r="Z4691">
        <v>1038.74</v>
      </c>
      <c r="AA4691">
        <v>1049.3699999999999</v>
      </c>
      <c r="AB4691" s="12" t="s">
        <v>5424</v>
      </c>
      <c r="AC4691">
        <v>103.87350000000001</v>
      </c>
      <c r="AD4691">
        <v>1</v>
      </c>
      <c r="AE4691">
        <v>1</v>
      </c>
      <c r="AF4691">
        <v>0</v>
      </c>
      <c r="AG4691">
        <v>1038.74</v>
      </c>
      <c r="AH4691">
        <v>10</v>
      </c>
      <c r="AI4691">
        <v>10</v>
      </c>
      <c r="AJ4691">
        <v>0</v>
      </c>
      <c r="AK4691">
        <v>1</v>
      </c>
      <c r="AL4691">
        <v>1</v>
      </c>
      <c r="AM4691">
        <v>100</v>
      </c>
      <c r="AN4691">
        <v>104.9365</v>
      </c>
      <c r="AO4691">
        <v>0</v>
      </c>
      <c r="AP4691" s="13">
        <v>45779</v>
      </c>
      <c r="AQ4691">
        <v>4</v>
      </c>
      <c r="AR4691">
        <v>0</v>
      </c>
    </row>
    <row r="4692" spans="1:44" x14ac:dyDescent="0.35">
      <c r="A4692" s="12" t="s">
        <v>5695</v>
      </c>
      <c r="B4692" s="12" t="s">
        <v>503</v>
      </c>
      <c r="C4692" s="12" t="s">
        <v>504</v>
      </c>
      <c r="D4692" s="12" t="s">
        <v>103</v>
      </c>
      <c r="E4692" s="12" t="s">
        <v>104</v>
      </c>
      <c r="F4692">
        <v>3</v>
      </c>
      <c r="G4692">
        <v>1</v>
      </c>
      <c r="H4692">
        <v>0</v>
      </c>
      <c r="I4692" s="12" t="s">
        <v>209</v>
      </c>
      <c r="J4692" s="12" t="s">
        <v>210</v>
      </c>
      <c r="K4692" s="12" t="s">
        <v>133</v>
      </c>
      <c r="L4692" s="12" t="s">
        <v>96</v>
      </c>
      <c r="M4692">
        <v>7.82</v>
      </c>
      <c r="N4692" s="12" t="s">
        <v>107</v>
      </c>
      <c r="O4692" s="12" t="s">
        <v>108</v>
      </c>
      <c r="P4692" s="12" t="s">
        <v>109</v>
      </c>
      <c r="Q4692" s="13">
        <v>45754</v>
      </c>
      <c r="R4692" s="13">
        <v>45772</v>
      </c>
      <c r="S4692">
        <v>2025</v>
      </c>
      <c r="T4692" s="12" t="s">
        <v>5660</v>
      </c>
      <c r="U4692">
        <v>59</v>
      </c>
      <c r="V4692">
        <v>183.40180000000001</v>
      </c>
      <c r="W4692">
        <v>271.38</v>
      </c>
      <c r="X4692">
        <v>0</v>
      </c>
      <c r="Y4692">
        <v>0</v>
      </c>
      <c r="Z4692">
        <v>10820.71</v>
      </c>
      <c r="AA4692">
        <v>11092.09</v>
      </c>
      <c r="AB4692" s="12" t="s">
        <v>201</v>
      </c>
      <c r="AD4692">
        <v>0</v>
      </c>
      <c r="AE4692">
        <v>0</v>
      </c>
      <c r="AH4692">
        <v>59</v>
      </c>
      <c r="AI4692">
        <v>58</v>
      </c>
      <c r="AJ4692">
        <v>1</v>
      </c>
      <c r="AK4692">
        <v>1</v>
      </c>
      <c r="AL4692">
        <v>1</v>
      </c>
      <c r="AM4692">
        <v>98.31</v>
      </c>
      <c r="AN4692">
        <v>191.24289999999999</v>
      </c>
      <c r="AO4692">
        <v>183.4</v>
      </c>
      <c r="AP4692" s="13">
        <v>45770</v>
      </c>
      <c r="AQ4692">
        <v>-2</v>
      </c>
      <c r="AR4692">
        <v>1</v>
      </c>
    </row>
    <row r="4693" spans="1:44" x14ac:dyDescent="0.35">
      <c r="A4693" s="12" t="s">
        <v>5696</v>
      </c>
      <c r="B4693" s="12" t="s">
        <v>76</v>
      </c>
      <c r="C4693" s="12" t="s">
        <v>77</v>
      </c>
      <c r="D4693" s="12" t="s">
        <v>78</v>
      </c>
      <c r="E4693" s="12" t="s">
        <v>65</v>
      </c>
      <c r="F4693">
        <v>2</v>
      </c>
      <c r="G4693">
        <v>4</v>
      </c>
      <c r="H4693">
        <v>0</v>
      </c>
      <c r="I4693" s="12" t="s">
        <v>79</v>
      </c>
      <c r="J4693" s="12" t="s">
        <v>80</v>
      </c>
      <c r="K4693" s="12" t="s">
        <v>81</v>
      </c>
      <c r="L4693" s="12" t="s">
        <v>82</v>
      </c>
      <c r="M4693">
        <v>12.07</v>
      </c>
      <c r="N4693" s="12" t="s">
        <v>70</v>
      </c>
      <c r="O4693" s="12" t="s">
        <v>71</v>
      </c>
      <c r="P4693" s="12" t="s">
        <v>72</v>
      </c>
      <c r="Q4693" s="13">
        <v>45754</v>
      </c>
      <c r="R4693" s="13">
        <v>45778</v>
      </c>
      <c r="S4693">
        <v>2025</v>
      </c>
      <c r="T4693" s="12" t="s">
        <v>5660</v>
      </c>
      <c r="U4693">
        <v>93</v>
      </c>
      <c r="V4693">
        <v>45.131799999999998</v>
      </c>
      <c r="W4693">
        <v>40.130000000000003</v>
      </c>
      <c r="X4693">
        <v>0</v>
      </c>
      <c r="Y4693">
        <v>0</v>
      </c>
      <c r="Z4693">
        <v>4197.26</v>
      </c>
      <c r="AA4693">
        <v>4237.3900000000003</v>
      </c>
      <c r="AB4693" s="12" t="s">
        <v>5427</v>
      </c>
      <c r="AC4693">
        <v>44.0946</v>
      </c>
      <c r="AD4693">
        <v>1</v>
      </c>
      <c r="AE4693">
        <v>1</v>
      </c>
      <c r="AF4693">
        <v>96.46</v>
      </c>
      <c r="AG4693">
        <v>4100.8</v>
      </c>
      <c r="AH4693">
        <v>93</v>
      </c>
      <c r="AI4693">
        <v>92</v>
      </c>
      <c r="AJ4693">
        <v>1</v>
      </c>
      <c r="AK4693">
        <v>1</v>
      </c>
      <c r="AL4693">
        <v>1</v>
      </c>
      <c r="AM4693">
        <v>98.92</v>
      </c>
      <c r="AN4693">
        <v>46.058599999999998</v>
      </c>
      <c r="AO4693">
        <v>45.13</v>
      </c>
      <c r="AP4693" s="13">
        <v>45778</v>
      </c>
      <c r="AQ4693">
        <v>0</v>
      </c>
      <c r="AR4693">
        <v>1</v>
      </c>
    </row>
    <row r="4694" spans="1:44" x14ac:dyDescent="0.35">
      <c r="A4694" s="12" t="s">
        <v>5697</v>
      </c>
      <c r="B4694" s="12" t="s">
        <v>909</v>
      </c>
      <c r="C4694" s="12" t="s">
        <v>910</v>
      </c>
      <c r="D4694" s="12" t="s">
        <v>269</v>
      </c>
      <c r="E4694" s="12" t="s">
        <v>65</v>
      </c>
      <c r="F4694">
        <v>3</v>
      </c>
      <c r="G4694">
        <v>4</v>
      </c>
      <c r="H4694">
        <v>0</v>
      </c>
      <c r="I4694" s="12" t="s">
        <v>199</v>
      </c>
      <c r="J4694" s="12" t="s">
        <v>200</v>
      </c>
      <c r="K4694" s="12" t="s">
        <v>68</v>
      </c>
      <c r="L4694" s="12" t="s">
        <v>96</v>
      </c>
      <c r="M4694">
        <v>9.4700000000000006</v>
      </c>
      <c r="N4694" s="12" t="s">
        <v>135</v>
      </c>
      <c r="O4694" s="12" t="s">
        <v>136</v>
      </c>
      <c r="P4694" s="12" t="s">
        <v>137</v>
      </c>
      <c r="Q4694" s="13">
        <v>45754</v>
      </c>
      <c r="R4694" s="13">
        <v>45787</v>
      </c>
      <c r="S4694">
        <v>2025</v>
      </c>
      <c r="T4694" s="12" t="s">
        <v>5660</v>
      </c>
      <c r="U4694">
        <v>106</v>
      </c>
      <c r="V4694">
        <v>111.6249</v>
      </c>
      <c r="W4694">
        <v>275.62</v>
      </c>
      <c r="X4694">
        <v>0</v>
      </c>
      <c r="Y4694">
        <v>0</v>
      </c>
      <c r="Z4694">
        <v>11832.24</v>
      </c>
      <c r="AA4694">
        <v>12107.86</v>
      </c>
      <c r="AB4694" s="12" t="s">
        <v>3479</v>
      </c>
      <c r="AC4694">
        <v>105.6481</v>
      </c>
      <c r="AD4694">
        <v>1</v>
      </c>
      <c r="AE4694">
        <v>1</v>
      </c>
      <c r="AF4694">
        <v>633.54</v>
      </c>
      <c r="AG4694">
        <v>11198.7</v>
      </c>
      <c r="AH4694">
        <v>106</v>
      </c>
      <c r="AI4694">
        <v>105</v>
      </c>
      <c r="AJ4694">
        <v>1</v>
      </c>
      <c r="AK4694">
        <v>1</v>
      </c>
      <c r="AL4694">
        <v>1</v>
      </c>
      <c r="AM4694">
        <v>99.06</v>
      </c>
      <c r="AN4694">
        <v>115.3129</v>
      </c>
      <c r="AO4694">
        <v>111.62</v>
      </c>
      <c r="AP4694" s="13">
        <v>45790</v>
      </c>
      <c r="AQ4694">
        <v>3</v>
      </c>
      <c r="AR4694">
        <v>0</v>
      </c>
    </row>
    <row r="4695" spans="1:44" x14ac:dyDescent="0.35">
      <c r="A4695" s="12" t="s">
        <v>5698</v>
      </c>
      <c r="B4695" s="12" t="s">
        <v>823</v>
      </c>
      <c r="C4695" s="12" t="s">
        <v>824</v>
      </c>
      <c r="D4695" s="12" t="s">
        <v>114</v>
      </c>
      <c r="E4695" s="12" t="s">
        <v>142</v>
      </c>
      <c r="F4695">
        <v>1</v>
      </c>
      <c r="G4695">
        <v>8</v>
      </c>
      <c r="H4695">
        <v>1</v>
      </c>
      <c r="I4695" s="12" t="s">
        <v>515</v>
      </c>
      <c r="J4695" s="12" t="s">
        <v>516</v>
      </c>
      <c r="K4695" s="12" t="s">
        <v>68</v>
      </c>
      <c r="L4695" s="12" t="s">
        <v>134</v>
      </c>
      <c r="M4695">
        <v>3.69</v>
      </c>
      <c r="N4695" s="12" t="s">
        <v>97</v>
      </c>
      <c r="O4695" s="12" t="s">
        <v>98</v>
      </c>
      <c r="P4695" s="12" t="s">
        <v>72</v>
      </c>
      <c r="Q4695" s="13">
        <v>45754</v>
      </c>
      <c r="R4695" s="13">
        <v>45799</v>
      </c>
      <c r="S4695">
        <v>2025</v>
      </c>
      <c r="T4695" s="12" t="s">
        <v>5660</v>
      </c>
      <c r="U4695">
        <v>95</v>
      </c>
      <c r="V4695">
        <v>374.32760000000002</v>
      </c>
      <c r="W4695">
        <v>364.58</v>
      </c>
      <c r="X4695">
        <v>0</v>
      </c>
      <c r="Y4695">
        <v>0</v>
      </c>
      <c r="Z4695">
        <v>35561.120000000003</v>
      </c>
      <c r="AA4695">
        <v>35925.699999999997</v>
      </c>
      <c r="AB4695" s="12" t="s">
        <v>3483</v>
      </c>
      <c r="AC4695">
        <v>361.71230000000003</v>
      </c>
      <c r="AD4695">
        <v>1</v>
      </c>
      <c r="AE4695">
        <v>1</v>
      </c>
      <c r="AF4695">
        <v>1198.45</v>
      </c>
      <c r="AG4695">
        <v>34362.67</v>
      </c>
      <c r="AH4695">
        <v>95</v>
      </c>
      <c r="AI4695">
        <v>93</v>
      </c>
      <c r="AJ4695">
        <v>2</v>
      </c>
      <c r="AK4695">
        <v>1</v>
      </c>
      <c r="AL4695">
        <v>1</v>
      </c>
      <c r="AM4695">
        <v>97.89</v>
      </c>
      <c r="AN4695">
        <v>386.29790000000003</v>
      </c>
      <c r="AO4695">
        <v>748.66</v>
      </c>
      <c r="AP4695" s="13">
        <v>45796</v>
      </c>
      <c r="AQ4695">
        <v>-3</v>
      </c>
      <c r="AR4695">
        <v>1</v>
      </c>
    </row>
    <row r="4696" spans="1:44" x14ac:dyDescent="0.35">
      <c r="A4696" s="12" t="s">
        <v>5699</v>
      </c>
      <c r="B4696" s="12" t="s">
        <v>357</v>
      </c>
      <c r="C4696" s="12" t="s">
        <v>358</v>
      </c>
      <c r="D4696" s="12" t="s">
        <v>103</v>
      </c>
      <c r="E4696" s="12" t="s">
        <v>104</v>
      </c>
      <c r="F4696">
        <v>3</v>
      </c>
      <c r="G4696">
        <v>1</v>
      </c>
      <c r="H4696">
        <v>0</v>
      </c>
      <c r="I4696" s="12" t="s">
        <v>105</v>
      </c>
      <c r="J4696" s="12" t="s">
        <v>106</v>
      </c>
      <c r="K4696" s="12" t="s">
        <v>81</v>
      </c>
      <c r="L4696" s="12" t="s">
        <v>96</v>
      </c>
      <c r="M4696">
        <v>5.01</v>
      </c>
      <c r="N4696" s="12" t="s">
        <v>107</v>
      </c>
      <c r="O4696" s="12" t="s">
        <v>108</v>
      </c>
      <c r="P4696" s="12" t="s">
        <v>109</v>
      </c>
      <c r="Q4696" s="13">
        <v>45754</v>
      </c>
      <c r="R4696" s="13">
        <v>45783</v>
      </c>
      <c r="S4696">
        <v>2025</v>
      </c>
      <c r="T4696" s="12" t="s">
        <v>5660</v>
      </c>
      <c r="U4696">
        <v>142</v>
      </c>
      <c r="V4696">
        <v>106.63800000000001</v>
      </c>
      <c r="W4696">
        <v>352.73</v>
      </c>
      <c r="X4696">
        <v>0</v>
      </c>
      <c r="Y4696">
        <v>0</v>
      </c>
      <c r="Z4696">
        <v>15142.6</v>
      </c>
      <c r="AA4696">
        <v>15495.33</v>
      </c>
      <c r="AB4696" s="12" t="s">
        <v>5265</v>
      </c>
      <c r="AC4696">
        <v>106.63800000000001</v>
      </c>
      <c r="AD4696">
        <v>1</v>
      </c>
      <c r="AE4696">
        <v>1</v>
      </c>
      <c r="AF4696">
        <v>0</v>
      </c>
      <c r="AG4696">
        <v>15142.6</v>
      </c>
      <c r="AH4696">
        <v>142</v>
      </c>
      <c r="AI4696">
        <v>141</v>
      </c>
      <c r="AJ4696">
        <v>1</v>
      </c>
      <c r="AK4696">
        <v>1</v>
      </c>
      <c r="AL4696">
        <v>1</v>
      </c>
      <c r="AM4696">
        <v>99.3</v>
      </c>
      <c r="AN4696">
        <v>109.8959</v>
      </c>
      <c r="AO4696">
        <v>106.64</v>
      </c>
      <c r="AP4696" s="13">
        <v>45781</v>
      </c>
      <c r="AQ4696">
        <v>-2</v>
      </c>
      <c r="AR4696">
        <v>1</v>
      </c>
    </row>
    <row r="4697" spans="1:44" x14ac:dyDescent="0.35">
      <c r="A4697" s="12" t="s">
        <v>5700</v>
      </c>
      <c r="B4697" s="12" t="s">
        <v>92</v>
      </c>
      <c r="C4697" s="12" t="s">
        <v>93</v>
      </c>
      <c r="D4697" s="12" t="s">
        <v>64</v>
      </c>
      <c r="E4697" s="12" t="s">
        <v>65</v>
      </c>
      <c r="F4697">
        <v>3</v>
      </c>
      <c r="G4697">
        <v>5</v>
      </c>
      <c r="H4697">
        <v>0</v>
      </c>
      <c r="I4697" s="12" t="s">
        <v>94</v>
      </c>
      <c r="J4697" s="12" t="s">
        <v>95</v>
      </c>
      <c r="K4697" s="12" t="s">
        <v>81</v>
      </c>
      <c r="L4697" s="12" t="s">
        <v>96</v>
      </c>
      <c r="M4697">
        <v>4.8099999999999996</v>
      </c>
      <c r="N4697" s="12" t="s">
        <v>70</v>
      </c>
      <c r="O4697" s="12" t="s">
        <v>71</v>
      </c>
      <c r="P4697" s="12" t="s">
        <v>72</v>
      </c>
      <c r="Q4697" s="13">
        <v>45754</v>
      </c>
      <c r="R4697" s="13">
        <v>45791</v>
      </c>
      <c r="S4697">
        <v>2025</v>
      </c>
      <c r="T4697" s="12" t="s">
        <v>5660</v>
      </c>
      <c r="U4697">
        <v>938</v>
      </c>
      <c r="V4697">
        <v>23.1553</v>
      </c>
      <c r="W4697">
        <v>284.39999999999998</v>
      </c>
      <c r="X4697">
        <v>0</v>
      </c>
      <c r="Y4697">
        <v>0</v>
      </c>
      <c r="Z4697">
        <v>21719.67</v>
      </c>
      <c r="AA4697">
        <v>22004.07</v>
      </c>
      <c r="AB4697" s="12" t="s">
        <v>5110</v>
      </c>
      <c r="AC4697">
        <v>23.1553</v>
      </c>
      <c r="AD4697">
        <v>1</v>
      </c>
      <c r="AE4697">
        <v>1</v>
      </c>
      <c r="AF4697">
        <v>0</v>
      </c>
      <c r="AG4697">
        <v>21719.67</v>
      </c>
      <c r="AH4697">
        <v>938</v>
      </c>
      <c r="AI4697">
        <v>933</v>
      </c>
      <c r="AJ4697">
        <v>5</v>
      </c>
      <c r="AK4697">
        <v>1</v>
      </c>
      <c r="AL4697">
        <v>1</v>
      </c>
      <c r="AM4697">
        <v>99.47</v>
      </c>
      <c r="AN4697">
        <v>23.584199999999999</v>
      </c>
      <c r="AO4697">
        <v>115.78</v>
      </c>
      <c r="AP4697" s="13">
        <v>45793</v>
      </c>
      <c r="AQ4697">
        <v>2</v>
      </c>
      <c r="AR4697">
        <v>0</v>
      </c>
    </row>
    <row r="4698" spans="1:44" x14ac:dyDescent="0.35">
      <c r="A4698" s="12" t="s">
        <v>5701</v>
      </c>
      <c r="B4698" s="12" t="s">
        <v>957</v>
      </c>
      <c r="C4698" s="12" t="s">
        <v>958</v>
      </c>
      <c r="D4698" s="12" t="s">
        <v>103</v>
      </c>
      <c r="E4698" s="12" t="s">
        <v>142</v>
      </c>
      <c r="F4698">
        <v>1</v>
      </c>
      <c r="G4698">
        <v>7</v>
      </c>
      <c r="H4698">
        <v>1</v>
      </c>
      <c r="I4698" s="12" t="s">
        <v>183</v>
      </c>
      <c r="J4698" s="12" t="s">
        <v>184</v>
      </c>
      <c r="K4698" s="12" t="s">
        <v>133</v>
      </c>
      <c r="L4698" s="12" t="s">
        <v>82</v>
      </c>
      <c r="M4698">
        <v>8.6199999999999992</v>
      </c>
      <c r="N4698" s="12" t="s">
        <v>107</v>
      </c>
      <c r="O4698" s="12" t="s">
        <v>108</v>
      </c>
      <c r="P4698" s="12" t="s">
        <v>109</v>
      </c>
      <c r="Q4698" s="13">
        <v>45754</v>
      </c>
      <c r="R4698" s="13">
        <v>45799</v>
      </c>
      <c r="S4698">
        <v>2025</v>
      </c>
      <c r="T4698" s="12" t="s">
        <v>5660</v>
      </c>
      <c r="U4698">
        <v>89</v>
      </c>
      <c r="V4698">
        <v>177.10749999999999</v>
      </c>
      <c r="W4698">
        <v>247.96</v>
      </c>
      <c r="X4698">
        <v>0</v>
      </c>
      <c r="Y4698">
        <v>0</v>
      </c>
      <c r="Z4698">
        <v>15762.57</v>
      </c>
      <c r="AA4698">
        <v>16010.53</v>
      </c>
      <c r="AB4698" s="12" t="s">
        <v>5622</v>
      </c>
      <c r="AC4698">
        <v>188.30439999999999</v>
      </c>
      <c r="AD4698">
        <v>1</v>
      </c>
      <c r="AE4698">
        <v>1</v>
      </c>
      <c r="AF4698">
        <v>-996.52</v>
      </c>
      <c r="AG4698">
        <v>16759.09</v>
      </c>
      <c r="AH4698">
        <v>89</v>
      </c>
      <c r="AI4698">
        <v>89</v>
      </c>
      <c r="AJ4698">
        <v>0</v>
      </c>
      <c r="AK4698">
        <v>1</v>
      </c>
      <c r="AL4698">
        <v>1</v>
      </c>
      <c r="AM4698">
        <v>100</v>
      </c>
      <c r="AN4698">
        <v>179.89359999999999</v>
      </c>
      <c r="AO4698">
        <v>0</v>
      </c>
      <c r="AP4698" s="13">
        <v>45797</v>
      </c>
      <c r="AQ4698">
        <v>-2</v>
      </c>
      <c r="AR4698">
        <v>1</v>
      </c>
    </row>
    <row r="4699" spans="1:44" x14ac:dyDescent="0.35">
      <c r="A4699" s="12" t="s">
        <v>5702</v>
      </c>
      <c r="B4699" s="12" t="s">
        <v>532</v>
      </c>
      <c r="C4699" s="12" t="s">
        <v>533</v>
      </c>
      <c r="D4699" s="12" t="s">
        <v>114</v>
      </c>
      <c r="E4699" s="12" t="s">
        <v>65</v>
      </c>
      <c r="F4699">
        <v>2</v>
      </c>
      <c r="G4699">
        <v>3</v>
      </c>
      <c r="H4699">
        <v>0</v>
      </c>
      <c r="I4699" s="12" t="s">
        <v>105</v>
      </c>
      <c r="J4699" s="12" t="s">
        <v>106</v>
      </c>
      <c r="K4699" s="12" t="s">
        <v>81</v>
      </c>
      <c r="L4699" s="12" t="s">
        <v>96</v>
      </c>
      <c r="M4699">
        <v>5.01</v>
      </c>
      <c r="N4699" s="12" t="s">
        <v>97</v>
      </c>
      <c r="O4699" s="12" t="s">
        <v>98</v>
      </c>
      <c r="P4699" s="12" t="s">
        <v>72</v>
      </c>
      <c r="Q4699" s="13">
        <v>45754</v>
      </c>
      <c r="R4699" s="13">
        <v>45783</v>
      </c>
      <c r="S4699">
        <v>2025</v>
      </c>
      <c r="T4699" s="12" t="s">
        <v>5660</v>
      </c>
      <c r="U4699">
        <v>78</v>
      </c>
      <c r="V4699">
        <v>249.89959999999999</v>
      </c>
      <c r="W4699">
        <v>210.03</v>
      </c>
      <c r="X4699">
        <v>635.99</v>
      </c>
      <c r="Y4699">
        <v>1</v>
      </c>
      <c r="Z4699">
        <v>19492.169999999998</v>
      </c>
      <c r="AA4699">
        <v>20338.189999999999</v>
      </c>
      <c r="AB4699" s="12" t="s">
        <v>5676</v>
      </c>
      <c r="AC4699">
        <v>249.89959999999999</v>
      </c>
      <c r="AD4699">
        <v>1</v>
      </c>
      <c r="AE4699">
        <v>1</v>
      </c>
      <c r="AF4699">
        <v>0</v>
      </c>
      <c r="AG4699">
        <v>19492.169999999998</v>
      </c>
      <c r="AH4699">
        <v>78</v>
      </c>
      <c r="AI4699">
        <v>77</v>
      </c>
      <c r="AJ4699">
        <v>1</v>
      </c>
      <c r="AK4699">
        <v>1</v>
      </c>
      <c r="AL4699">
        <v>1</v>
      </c>
      <c r="AM4699">
        <v>98.72</v>
      </c>
      <c r="AN4699">
        <v>264.13229999999999</v>
      </c>
      <c r="AO4699">
        <v>249.9</v>
      </c>
      <c r="AP4699" s="13">
        <v>45781</v>
      </c>
      <c r="AQ4699">
        <v>-2</v>
      </c>
      <c r="AR4699">
        <v>1</v>
      </c>
    </row>
    <row r="4700" spans="1:44" x14ac:dyDescent="0.35">
      <c r="A4700" s="12" t="s">
        <v>5703</v>
      </c>
      <c r="B4700" s="12" t="s">
        <v>736</v>
      </c>
      <c r="C4700" s="12" t="s">
        <v>737</v>
      </c>
      <c r="D4700" s="12" t="s">
        <v>64</v>
      </c>
      <c r="E4700" s="12" t="s">
        <v>104</v>
      </c>
      <c r="F4700">
        <v>3</v>
      </c>
      <c r="G4700">
        <v>1</v>
      </c>
      <c r="H4700">
        <v>0</v>
      </c>
      <c r="I4700" s="12" t="s">
        <v>115</v>
      </c>
      <c r="J4700" s="12" t="s">
        <v>116</v>
      </c>
      <c r="K4700" s="12" t="s">
        <v>117</v>
      </c>
      <c r="L4700" s="12" t="s">
        <v>82</v>
      </c>
      <c r="M4700">
        <v>17.170000000000002</v>
      </c>
      <c r="N4700" s="12" t="s">
        <v>97</v>
      </c>
      <c r="O4700" s="12" t="s">
        <v>98</v>
      </c>
      <c r="P4700" s="12" t="s">
        <v>72</v>
      </c>
      <c r="Q4700" s="13">
        <v>45754</v>
      </c>
      <c r="R4700" s="13">
        <v>45771</v>
      </c>
      <c r="S4700">
        <v>2025</v>
      </c>
      <c r="T4700" s="12" t="s">
        <v>5660</v>
      </c>
      <c r="U4700">
        <v>390</v>
      </c>
      <c r="V4700">
        <v>21.764800000000001</v>
      </c>
      <c r="W4700">
        <v>59.72</v>
      </c>
      <c r="X4700">
        <v>0</v>
      </c>
      <c r="Y4700">
        <v>0</v>
      </c>
      <c r="Z4700">
        <v>8488.27</v>
      </c>
      <c r="AA4700">
        <v>8547.99</v>
      </c>
      <c r="AB4700" s="12" t="s">
        <v>5704</v>
      </c>
      <c r="AC4700">
        <v>21.297499999999999</v>
      </c>
      <c r="AD4700">
        <v>1</v>
      </c>
      <c r="AE4700">
        <v>1</v>
      </c>
      <c r="AF4700">
        <v>182.25</v>
      </c>
      <c r="AG4700">
        <v>8306.0300000000007</v>
      </c>
      <c r="AH4700">
        <v>390</v>
      </c>
      <c r="AI4700">
        <v>389</v>
      </c>
      <c r="AJ4700">
        <v>1</v>
      </c>
      <c r="AK4700">
        <v>1</v>
      </c>
      <c r="AL4700">
        <v>1</v>
      </c>
      <c r="AM4700">
        <v>99.74</v>
      </c>
      <c r="AN4700">
        <v>21.974299999999999</v>
      </c>
      <c r="AO4700">
        <v>21.76</v>
      </c>
      <c r="AP4700" s="13">
        <v>45771</v>
      </c>
      <c r="AQ4700">
        <v>0</v>
      </c>
      <c r="AR4700">
        <v>1</v>
      </c>
    </row>
    <row r="4701" spans="1:44" x14ac:dyDescent="0.35">
      <c r="A4701" s="12" t="s">
        <v>5705</v>
      </c>
      <c r="B4701" s="12" t="s">
        <v>215</v>
      </c>
      <c r="C4701" s="12" t="s">
        <v>216</v>
      </c>
      <c r="D4701" s="12" t="s">
        <v>122</v>
      </c>
      <c r="E4701" s="12" t="s">
        <v>142</v>
      </c>
      <c r="F4701">
        <v>3</v>
      </c>
      <c r="G4701">
        <v>11</v>
      </c>
      <c r="H4701">
        <v>0</v>
      </c>
      <c r="I4701" s="12" t="s">
        <v>217</v>
      </c>
      <c r="J4701" s="12" t="s">
        <v>218</v>
      </c>
      <c r="K4701" s="12" t="s">
        <v>68</v>
      </c>
      <c r="L4701" s="12" t="s">
        <v>82</v>
      </c>
      <c r="M4701">
        <v>14.24</v>
      </c>
      <c r="N4701" s="12" t="s">
        <v>70</v>
      </c>
      <c r="O4701" s="12" t="s">
        <v>71</v>
      </c>
      <c r="P4701" s="12" t="s">
        <v>72</v>
      </c>
      <c r="Q4701" s="13">
        <v>45754</v>
      </c>
      <c r="R4701" s="13">
        <v>45792</v>
      </c>
      <c r="S4701">
        <v>2025</v>
      </c>
      <c r="T4701" s="12" t="s">
        <v>5660</v>
      </c>
      <c r="U4701">
        <v>537</v>
      </c>
      <c r="V4701">
        <v>14.1587</v>
      </c>
      <c r="W4701">
        <v>113.17</v>
      </c>
      <c r="X4701">
        <v>0</v>
      </c>
      <c r="Y4701">
        <v>0</v>
      </c>
      <c r="Z4701">
        <v>7603.22</v>
      </c>
      <c r="AA4701">
        <v>7716.39</v>
      </c>
      <c r="AB4701" s="12" t="s">
        <v>5706</v>
      </c>
      <c r="AC4701">
        <v>14.1587</v>
      </c>
      <c r="AD4701">
        <v>1</v>
      </c>
      <c r="AE4701">
        <v>1</v>
      </c>
      <c r="AF4701">
        <v>0</v>
      </c>
      <c r="AG4701">
        <v>7603.22</v>
      </c>
      <c r="AH4701">
        <v>537</v>
      </c>
      <c r="AI4701">
        <v>531</v>
      </c>
      <c r="AJ4701">
        <v>6</v>
      </c>
      <c r="AK4701">
        <v>1</v>
      </c>
      <c r="AL4701">
        <v>1</v>
      </c>
      <c r="AM4701">
        <v>98.88</v>
      </c>
      <c r="AN4701">
        <v>14.5318</v>
      </c>
      <c r="AO4701">
        <v>84.95</v>
      </c>
      <c r="AP4701" s="13">
        <v>45792</v>
      </c>
      <c r="AQ4701">
        <v>0</v>
      </c>
      <c r="AR4701">
        <v>1</v>
      </c>
    </row>
    <row r="4702" spans="1:44" x14ac:dyDescent="0.35">
      <c r="A4702" s="12" t="s">
        <v>5707</v>
      </c>
      <c r="B4702" s="12" t="s">
        <v>221</v>
      </c>
      <c r="C4702" s="12" t="s">
        <v>222</v>
      </c>
      <c r="D4702" s="12" t="s">
        <v>114</v>
      </c>
      <c r="E4702" s="12" t="s">
        <v>142</v>
      </c>
      <c r="F4702">
        <v>3</v>
      </c>
      <c r="G4702">
        <v>11</v>
      </c>
      <c r="H4702">
        <v>0</v>
      </c>
      <c r="I4702" s="12" t="s">
        <v>223</v>
      </c>
      <c r="J4702" s="12" t="s">
        <v>224</v>
      </c>
      <c r="K4702" s="12" t="s">
        <v>81</v>
      </c>
      <c r="L4702" s="12" t="s">
        <v>134</v>
      </c>
      <c r="M4702">
        <v>2.4900000000000002</v>
      </c>
      <c r="N4702" s="12" t="s">
        <v>97</v>
      </c>
      <c r="O4702" s="12" t="s">
        <v>98</v>
      </c>
      <c r="P4702" s="12" t="s">
        <v>72</v>
      </c>
      <c r="Q4702" s="13">
        <v>45754</v>
      </c>
      <c r="R4702" s="13">
        <v>45794</v>
      </c>
      <c r="S4702">
        <v>2025</v>
      </c>
      <c r="T4702" s="12" t="s">
        <v>5660</v>
      </c>
      <c r="U4702">
        <v>54</v>
      </c>
      <c r="V4702">
        <v>247.92939999999999</v>
      </c>
      <c r="W4702">
        <v>131.32</v>
      </c>
      <c r="X4702">
        <v>0</v>
      </c>
      <c r="Y4702">
        <v>0</v>
      </c>
      <c r="Z4702">
        <v>13388.19</v>
      </c>
      <c r="AA4702">
        <v>13519.51</v>
      </c>
      <c r="AB4702" s="12" t="s">
        <v>201</v>
      </c>
      <c r="AD4702">
        <v>0</v>
      </c>
      <c r="AE4702">
        <v>0</v>
      </c>
      <c r="AH4702">
        <v>54</v>
      </c>
      <c r="AI4702">
        <v>53</v>
      </c>
      <c r="AJ4702">
        <v>1</v>
      </c>
      <c r="AK4702">
        <v>1</v>
      </c>
      <c r="AL4702">
        <v>1</v>
      </c>
      <c r="AM4702">
        <v>98.15</v>
      </c>
      <c r="AN4702">
        <v>255.08500000000001</v>
      </c>
      <c r="AO4702">
        <v>247.93</v>
      </c>
      <c r="AP4702" s="13">
        <v>45791</v>
      </c>
      <c r="AQ4702">
        <v>-3</v>
      </c>
      <c r="AR4702">
        <v>1</v>
      </c>
    </row>
    <row r="4703" spans="1:44" x14ac:dyDescent="0.35">
      <c r="A4703" s="12" t="s">
        <v>5708</v>
      </c>
      <c r="B4703" s="12" t="s">
        <v>706</v>
      </c>
      <c r="C4703" s="12" t="s">
        <v>707</v>
      </c>
      <c r="D4703" s="12" t="s">
        <v>130</v>
      </c>
      <c r="E4703" s="12" t="s">
        <v>142</v>
      </c>
      <c r="F4703">
        <v>1</v>
      </c>
      <c r="G4703">
        <v>8</v>
      </c>
      <c r="H4703">
        <v>1</v>
      </c>
      <c r="I4703" s="12" t="s">
        <v>263</v>
      </c>
      <c r="J4703" s="12" t="s">
        <v>264</v>
      </c>
      <c r="K4703" s="12" t="s">
        <v>125</v>
      </c>
      <c r="L4703" s="12" t="s">
        <v>82</v>
      </c>
      <c r="M4703">
        <v>10.210000000000001</v>
      </c>
      <c r="N4703" s="12" t="s">
        <v>135</v>
      </c>
      <c r="O4703" s="12" t="s">
        <v>136</v>
      </c>
      <c r="P4703" s="12" t="s">
        <v>137</v>
      </c>
      <c r="Q4703" s="13">
        <v>45755</v>
      </c>
      <c r="R4703" s="13">
        <v>45793</v>
      </c>
      <c r="S4703">
        <v>2025</v>
      </c>
      <c r="T4703" s="12" t="s">
        <v>5660</v>
      </c>
      <c r="U4703">
        <v>39</v>
      </c>
      <c r="V4703">
        <v>277.214</v>
      </c>
      <c r="W4703">
        <v>212.48</v>
      </c>
      <c r="X4703">
        <v>0</v>
      </c>
      <c r="Y4703">
        <v>0</v>
      </c>
      <c r="Z4703">
        <v>10811.35</v>
      </c>
      <c r="AA4703">
        <v>11023.83</v>
      </c>
      <c r="AB4703" s="12" t="s">
        <v>3434</v>
      </c>
      <c r="AC4703">
        <v>277.214</v>
      </c>
      <c r="AD4703">
        <v>1</v>
      </c>
      <c r="AE4703">
        <v>1</v>
      </c>
      <c r="AF4703">
        <v>0</v>
      </c>
      <c r="AG4703">
        <v>10811.35</v>
      </c>
      <c r="AH4703">
        <v>39</v>
      </c>
      <c r="AI4703">
        <v>39</v>
      </c>
      <c r="AJ4703">
        <v>0</v>
      </c>
      <c r="AK4703">
        <v>1</v>
      </c>
      <c r="AL4703">
        <v>1</v>
      </c>
      <c r="AM4703">
        <v>100</v>
      </c>
      <c r="AN4703">
        <v>282.66219999999998</v>
      </c>
      <c r="AO4703">
        <v>0</v>
      </c>
      <c r="AP4703" s="13">
        <v>45791</v>
      </c>
      <c r="AQ4703">
        <v>-2</v>
      </c>
      <c r="AR4703">
        <v>1</v>
      </c>
    </row>
    <row r="4704" spans="1:44" x14ac:dyDescent="0.35">
      <c r="A4704" s="12" t="s">
        <v>5709</v>
      </c>
      <c r="B4704" s="12" t="s">
        <v>437</v>
      </c>
      <c r="C4704" s="12" t="s">
        <v>438</v>
      </c>
      <c r="D4704" s="12" t="s">
        <v>269</v>
      </c>
      <c r="E4704" s="12" t="s">
        <v>65</v>
      </c>
      <c r="F4704">
        <v>2</v>
      </c>
      <c r="G4704">
        <v>4</v>
      </c>
      <c r="H4704">
        <v>0</v>
      </c>
      <c r="I4704" s="12" t="s">
        <v>115</v>
      </c>
      <c r="J4704" s="12" t="s">
        <v>116</v>
      </c>
      <c r="K4704" s="12" t="s">
        <v>117</v>
      </c>
      <c r="L4704" s="12" t="s">
        <v>82</v>
      </c>
      <c r="M4704">
        <v>17.170000000000002</v>
      </c>
      <c r="N4704" s="12" t="s">
        <v>135</v>
      </c>
      <c r="O4704" s="12" t="s">
        <v>136</v>
      </c>
      <c r="P4704" s="12" t="s">
        <v>137</v>
      </c>
      <c r="Q4704" s="13">
        <v>45755</v>
      </c>
      <c r="R4704" s="13">
        <v>45786</v>
      </c>
      <c r="S4704">
        <v>2025</v>
      </c>
      <c r="T4704" s="12" t="s">
        <v>5660</v>
      </c>
      <c r="U4704">
        <v>94</v>
      </c>
      <c r="V4704">
        <v>385.79430000000002</v>
      </c>
      <c r="W4704">
        <v>731.49</v>
      </c>
      <c r="X4704">
        <v>0</v>
      </c>
      <c r="Y4704">
        <v>0</v>
      </c>
      <c r="Z4704">
        <v>36264.660000000003</v>
      </c>
      <c r="AA4704">
        <v>36996.15</v>
      </c>
      <c r="AB4704" s="12" t="s">
        <v>5505</v>
      </c>
      <c r="AC4704">
        <v>409.1377</v>
      </c>
      <c r="AD4704">
        <v>1</v>
      </c>
      <c r="AE4704">
        <v>1</v>
      </c>
      <c r="AF4704">
        <v>-2194.2800000000002</v>
      </c>
      <c r="AG4704">
        <v>38458.94</v>
      </c>
      <c r="AH4704">
        <v>94</v>
      </c>
      <c r="AI4704">
        <v>93</v>
      </c>
      <c r="AJ4704">
        <v>1</v>
      </c>
      <c r="AK4704">
        <v>1</v>
      </c>
      <c r="AL4704">
        <v>1</v>
      </c>
      <c r="AM4704">
        <v>98.94</v>
      </c>
      <c r="AN4704">
        <v>397.80810000000002</v>
      </c>
      <c r="AO4704">
        <v>385.79</v>
      </c>
      <c r="AP4704" s="13">
        <v>45786</v>
      </c>
      <c r="AQ4704">
        <v>0</v>
      </c>
      <c r="AR4704">
        <v>1</v>
      </c>
    </row>
    <row r="4705" spans="1:44" x14ac:dyDescent="0.35">
      <c r="A4705" s="12" t="s">
        <v>5710</v>
      </c>
      <c r="B4705" s="12" t="s">
        <v>565</v>
      </c>
      <c r="C4705" s="12" t="s">
        <v>566</v>
      </c>
      <c r="D4705" s="12" t="s">
        <v>122</v>
      </c>
      <c r="E4705" s="12" t="s">
        <v>104</v>
      </c>
      <c r="F4705">
        <v>3</v>
      </c>
      <c r="G4705">
        <v>1</v>
      </c>
      <c r="H4705">
        <v>0</v>
      </c>
      <c r="I4705" s="12" t="s">
        <v>87</v>
      </c>
      <c r="J4705" s="12" t="s">
        <v>88</v>
      </c>
      <c r="K4705" s="12" t="s">
        <v>89</v>
      </c>
      <c r="L4705" s="12" t="s">
        <v>69</v>
      </c>
      <c r="M4705">
        <v>14.93</v>
      </c>
      <c r="N4705" s="12" t="s">
        <v>70</v>
      </c>
      <c r="O4705" s="12" t="s">
        <v>71</v>
      </c>
      <c r="P4705" s="12" t="s">
        <v>72</v>
      </c>
      <c r="Q4705" s="13">
        <v>45755</v>
      </c>
      <c r="R4705" s="13">
        <v>45774</v>
      </c>
      <c r="S4705">
        <v>2025</v>
      </c>
      <c r="T4705" s="12" t="s">
        <v>5660</v>
      </c>
      <c r="U4705">
        <v>929</v>
      </c>
      <c r="V4705">
        <v>33.2194</v>
      </c>
      <c r="W4705">
        <v>312.13</v>
      </c>
      <c r="X4705">
        <v>0</v>
      </c>
      <c r="Y4705">
        <v>0</v>
      </c>
      <c r="Z4705">
        <v>30860.82</v>
      </c>
      <c r="AA4705">
        <v>31172.95</v>
      </c>
      <c r="AB4705" s="12" t="s">
        <v>5711</v>
      </c>
      <c r="AC4705">
        <v>33.2194</v>
      </c>
      <c r="AD4705">
        <v>1</v>
      </c>
      <c r="AE4705">
        <v>1</v>
      </c>
      <c r="AF4705">
        <v>0</v>
      </c>
      <c r="AG4705">
        <v>30860.82</v>
      </c>
      <c r="AH4705">
        <v>929</v>
      </c>
      <c r="AI4705">
        <v>918</v>
      </c>
      <c r="AJ4705">
        <v>11</v>
      </c>
      <c r="AK4705">
        <v>1</v>
      </c>
      <c r="AL4705">
        <v>1</v>
      </c>
      <c r="AM4705">
        <v>98.82</v>
      </c>
      <c r="AN4705">
        <v>33.957500000000003</v>
      </c>
      <c r="AO4705">
        <v>365.41</v>
      </c>
      <c r="AP4705" s="13">
        <v>45771</v>
      </c>
      <c r="AQ4705">
        <v>-3</v>
      </c>
      <c r="AR4705">
        <v>1</v>
      </c>
    </row>
    <row r="4706" spans="1:44" x14ac:dyDescent="0.35">
      <c r="A4706" s="12" t="s">
        <v>5712</v>
      </c>
      <c r="B4706" s="12" t="s">
        <v>609</v>
      </c>
      <c r="C4706" s="12" t="s">
        <v>610</v>
      </c>
      <c r="D4706" s="12" t="s">
        <v>64</v>
      </c>
      <c r="E4706" s="12" t="s">
        <v>104</v>
      </c>
      <c r="F4706">
        <v>1</v>
      </c>
      <c r="G4706">
        <v>0</v>
      </c>
      <c r="H4706">
        <v>1</v>
      </c>
      <c r="I4706" s="12" t="s">
        <v>227</v>
      </c>
      <c r="J4706" s="12" t="s">
        <v>228</v>
      </c>
      <c r="K4706" s="12" t="s">
        <v>89</v>
      </c>
      <c r="L4706" s="12" t="s">
        <v>96</v>
      </c>
      <c r="M4706">
        <v>9.15</v>
      </c>
      <c r="N4706" s="12" t="s">
        <v>70</v>
      </c>
      <c r="O4706" s="12" t="s">
        <v>71</v>
      </c>
      <c r="P4706" s="12" t="s">
        <v>72</v>
      </c>
      <c r="Q4706" s="13">
        <v>45755</v>
      </c>
      <c r="R4706" s="13">
        <v>45782</v>
      </c>
      <c r="S4706">
        <v>2025</v>
      </c>
      <c r="T4706" s="12" t="s">
        <v>5660</v>
      </c>
      <c r="U4706">
        <v>863</v>
      </c>
      <c r="V4706">
        <v>20.683900000000001</v>
      </c>
      <c r="W4706">
        <v>267.04000000000002</v>
      </c>
      <c r="X4706">
        <v>0</v>
      </c>
      <c r="Y4706">
        <v>0</v>
      </c>
      <c r="Z4706">
        <v>17850.21</v>
      </c>
      <c r="AA4706">
        <v>18117.25</v>
      </c>
      <c r="AB4706" s="12" t="s">
        <v>5573</v>
      </c>
      <c r="AC4706">
        <v>20.683900000000001</v>
      </c>
      <c r="AD4706">
        <v>1</v>
      </c>
      <c r="AE4706">
        <v>1</v>
      </c>
      <c r="AF4706">
        <v>0</v>
      </c>
      <c r="AG4706">
        <v>17850.21</v>
      </c>
      <c r="AH4706">
        <v>863</v>
      </c>
      <c r="AI4706">
        <v>860</v>
      </c>
      <c r="AJ4706">
        <v>3</v>
      </c>
      <c r="AK4706">
        <v>1</v>
      </c>
      <c r="AL4706">
        <v>1</v>
      </c>
      <c r="AM4706">
        <v>99.65</v>
      </c>
      <c r="AN4706">
        <v>21.066600000000001</v>
      </c>
      <c r="AO4706">
        <v>62.05</v>
      </c>
      <c r="AP4706" s="13">
        <v>45779</v>
      </c>
      <c r="AQ4706">
        <v>-3</v>
      </c>
      <c r="AR4706">
        <v>1</v>
      </c>
    </row>
    <row r="4707" spans="1:44" x14ac:dyDescent="0.35">
      <c r="A4707" s="12" t="s">
        <v>5713</v>
      </c>
      <c r="B4707" s="12" t="s">
        <v>472</v>
      </c>
      <c r="C4707" s="12" t="s">
        <v>473</v>
      </c>
      <c r="D4707" s="12" t="s">
        <v>122</v>
      </c>
      <c r="E4707" s="12" t="s">
        <v>142</v>
      </c>
      <c r="F4707">
        <v>2</v>
      </c>
      <c r="G4707">
        <v>9</v>
      </c>
      <c r="H4707">
        <v>0</v>
      </c>
      <c r="I4707" s="12" t="s">
        <v>87</v>
      </c>
      <c r="J4707" s="12" t="s">
        <v>88</v>
      </c>
      <c r="K4707" s="12" t="s">
        <v>89</v>
      </c>
      <c r="L4707" s="12" t="s">
        <v>69</v>
      </c>
      <c r="M4707">
        <v>14.93</v>
      </c>
      <c r="N4707" s="12" t="s">
        <v>97</v>
      </c>
      <c r="O4707" s="12" t="s">
        <v>98</v>
      </c>
      <c r="P4707" s="12" t="s">
        <v>72</v>
      </c>
      <c r="Q4707" s="13">
        <v>45755</v>
      </c>
      <c r="R4707" s="13">
        <v>45790</v>
      </c>
      <c r="S4707">
        <v>2025</v>
      </c>
      <c r="T4707" s="12" t="s">
        <v>5660</v>
      </c>
      <c r="U4707">
        <v>229</v>
      </c>
      <c r="V4707">
        <v>46.924199999999999</v>
      </c>
      <c r="W4707">
        <v>269.76</v>
      </c>
      <c r="X4707">
        <v>0</v>
      </c>
      <c r="Y4707">
        <v>0</v>
      </c>
      <c r="Z4707">
        <v>10745.64</v>
      </c>
      <c r="AA4707">
        <v>11015.4</v>
      </c>
      <c r="AB4707" s="12" t="s">
        <v>5714</v>
      </c>
      <c r="AC4707">
        <v>46.924199999999999</v>
      </c>
      <c r="AD4707">
        <v>1</v>
      </c>
      <c r="AE4707">
        <v>1</v>
      </c>
      <c r="AF4707">
        <v>0</v>
      </c>
      <c r="AG4707">
        <v>10745.64</v>
      </c>
      <c r="AH4707">
        <v>229</v>
      </c>
      <c r="AI4707">
        <v>228</v>
      </c>
      <c r="AJ4707">
        <v>1</v>
      </c>
      <c r="AK4707">
        <v>1</v>
      </c>
      <c r="AL4707">
        <v>1</v>
      </c>
      <c r="AM4707">
        <v>99.56</v>
      </c>
      <c r="AN4707">
        <v>48.313200000000002</v>
      </c>
      <c r="AO4707">
        <v>46.92</v>
      </c>
      <c r="AP4707" s="13">
        <v>45790</v>
      </c>
      <c r="AQ4707">
        <v>0</v>
      </c>
      <c r="AR4707">
        <v>1</v>
      </c>
    </row>
    <row r="4708" spans="1:44" x14ac:dyDescent="0.35">
      <c r="A4708" s="12" t="s">
        <v>5715</v>
      </c>
      <c r="B4708" s="12" t="s">
        <v>465</v>
      </c>
      <c r="C4708" s="12" t="s">
        <v>466</v>
      </c>
      <c r="D4708" s="12" t="s">
        <v>78</v>
      </c>
      <c r="E4708" s="12" t="s">
        <v>142</v>
      </c>
      <c r="F4708">
        <v>3</v>
      </c>
      <c r="G4708">
        <v>11</v>
      </c>
      <c r="H4708">
        <v>0</v>
      </c>
      <c r="I4708" s="12" t="s">
        <v>195</v>
      </c>
      <c r="J4708" s="12" t="s">
        <v>196</v>
      </c>
      <c r="K4708" s="12" t="s">
        <v>117</v>
      </c>
      <c r="L4708" s="12" t="s">
        <v>134</v>
      </c>
      <c r="M4708">
        <v>4.7699999999999996</v>
      </c>
      <c r="N4708" s="12" t="s">
        <v>97</v>
      </c>
      <c r="O4708" s="12" t="s">
        <v>98</v>
      </c>
      <c r="P4708" s="12" t="s">
        <v>72</v>
      </c>
      <c r="Q4708" s="13">
        <v>45755</v>
      </c>
      <c r="R4708" s="13">
        <v>45801</v>
      </c>
      <c r="S4708">
        <v>2025</v>
      </c>
      <c r="T4708" s="12" t="s">
        <v>5660</v>
      </c>
      <c r="U4708">
        <v>212</v>
      </c>
      <c r="V4708">
        <v>105.56229999999999</v>
      </c>
      <c r="W4708">
        <v>320.76</v>
      </c>
      <c r="X4708">
        <v>0</v>
      </c>
      <c r="Y4708">
        <v>0</v>
      </c>
      <c r="Z4708">
        <v>22379.21</v>
      </c>
      <c r="AA4708">
        <v>22699.97</v>
      </c>
      <c r="AB4708" s="12" t="s">
        <v>5716</v>
      </c>
      <c r="AC4708">
        <v>105.56229999999999</v>
      </c>
      <c r="AD4708">
        <v>1</v>
      </c>
      <c r="AE4708">
        <v>1</v>
      </c>
      <c r="AF4708">
        <v>0</v>
      </c>
      <c r="AG4708">
        <v>22379.21</v>
      </c>
      <c r="AH4708">
        <v>212</v>
      </c>
      <c r="AI4708">
        <v>211</v>
      </c>
      <c r="AJ4708">
        <v>1</v>
      </c>
      <c r="AK4708">
        <v>1</v>
      </c>
      <c r="AL4708">
        <v>1</v>
      </c>
      <c r="AM4708">
        <v>99.53</v>
      </c>
      <c r="AN4708">
        <v>107.58280000000001</v>
      </c>
      <c r="AO4708">
        <v>105.56</v>
      </c>
      <c r="AP4708" s="13">
        <v>45799</v>
      </c>
      <c r="AQ4708">
        <v>-2</v>
      </c>
      <c r="AR4708">
        <v>1</v>
      </c>
    </row>
    <row r="4709" spans="1:44" x14ac:dyDescent="0.35">
      <c r="A4709" s="12" t="s">
        <v>5717</v>
      </c>
      <c r="B4709" s="12" t="s">
        <v>193</v>
      </c>
      <c r="C4709" s="12" t="s">
        <v>194</v>
      </c>
      <c r="D4709" s="12" t="s">
        <v>114</v>
      </c>
      <c r="E4709" s="12" t="s">
        <v>65</v>
      </c>
      <c r="F4709">
        <v>3</v>
      </c>
      <c r="G4709">
        <v>4</v>
      </c>
      <c r="H4709">
        <v>0</v>
      </c>
      <c r="I4709" s="12" t="s">
        <v>199</v>
      </c>
      <c r="J4709" s="12" t="s">
        <v>200</v>
      </c>
      <c r="K4709" s="12" t="s">
        <v>68</v>
      </c>
      <c r="L4709" s="12" t="s">
        <v>96</v>
      </c>
      <c r="M4709">
        <v>9.4700000000000006</v>
      </c>
      <c r="N4709" s="12" t="s">
        <v>97</v>
      </c>
      <c r="O4709" s="12" t="s">
        <v>98</v>
      </c>
      <c r="P4709" s="12" t="s">
        <v>72</v>
      </c>
      <c r="Q4709" s="13">
        <v>45755</v>
      </c>
      <c r="R4709" s="13">
        <v>45788</v>
      </c>
      <c r="S4709">
        <v>2025</v>
      </c>
      <c r="T4709" s="12" t="s">
        <v>5660</v>
      </c>
      <c r="U4709">
        <v>106</v>
      </c>
      <c r="V4709">
        <v>116.29810000000001</v>
      </c>
      <c r="W4709">
        <v>258.47000000000003</v>
      </c>
      <c r="X4709">
        <v>0</v>
      </c>
      <c r="Y4709">
        <v>0</v>
      </c>
      <c r="Z4709">
        <v>12327.6</v>
      </c>
      <c r="AA4709">
        <v>12586.07</v>
      </c>
      <c r="AB4709" s="12" t="s">
        <v>201</v>
      </c>
      <c r="AD4709">
        <v>0</v>
      </c>
      <c r="AE4709">
        <v>0</v>
      </c>
      <c r="AH4709">
        <v>106</v>
      </c>
      <c r="AI4709">
        <v>105</v>
      </c>
      <c r="AJ4709">
        <v>1</v>
      </c>
      <c r="AK4709">
        <v>1</v>
      </c>
      <c r="AL4709">
        <v>1</v>
      </c>
      <c r="AM4709">
        <v>99.06</v>
      </c>
      <c r="AN4709">
        <v>119.8673</v>
      </c>
      <c r="AO4709">
        <v>116.3</v>
      </c>
      <c r="AP4709" s="13">
        <v>45793</v>
      </c>
      <c r="AQ4709">
        <v>5</v>
      </c>
      <c r="AR4709">
        <v>0</v>
      </c>
    </row>
    <row r="4710" spans="1:44" x14ac:dyDescent="0.35">
      <c r="A4710" s="12" t="s">
        <v>5718</v>
      </c>
      <c r="B4710" s="12" t="s">
        <v>630</v>
      </c>
      <c r="C4710" s="12" t="s">
        <v>631</v>
      </c>
      <c r="D4710" s="12" t="s">
        <v>130</v>
      </c>
      <c r="E4710" s="12" t="s">
        <v>65</v>
      </c>
      <c r="F4710">
        <v>1</v>
      </c>
      <c r="G4710">
        <v>2</v>
      </c>
      <c r="H4710">
        <v>1</v>
      </c>
      <c r="I4710" s="12" t="s">
        <v>335</v>
      </c>
      <c r="J4710" s="12" t="s">
        <v>336</v>
      </c>
      <c r="K4710" s="12" t="s">
        <v>89</v>
      </c>
      <c r="L4710" s="12" t="s">
        <v>82</v>
      </c>
      <c r="M4710">
        <v>16</v>
      </c>
      <c r="N4710" s="12" t="s">
        <v>135</v>
      </c>
      <c r="O4710" s="12" t="s">
        <v>136</v>
      </c>
      <c r="P4710" s="12" t="s">
        <v>137</v>
      </c>
      <c r="Q4710" s="13">
        <v>45756</v>
      </c>
      <c r="R4710" s="13">
        <v>45790</v>
      </c>
      <c r="S4710">
        <v>2025</v>
      </c>
      <c r="T4710" s="12" t="s">
        <v>5660</v>
      </c>
      <c r="U4710">
        <v>113</v>
      </c>
      <c r="V4710">
        <v>444.29629999999997</v>
      </c>
      <c r="W4710">
        <v>470.22</v>
      </c>
      <c r="X4710">
        <v>0</v>
      </c>
      <c r="Y4710">
        <v>0</v>
      </c>
      <c r="Z4710">
        <v>50205.48</v>
      </c>
      <c r="AA4710">
        <v>50675.7</v>
      </c>
      <c r="AB4710" s="12" t="s">
        <v>5553</v>
      </c>
      <c r="AC4710">
        <v>444.29629999999997</v>
      </c>
      <c r="AD4710">
        <v>1</v>
      </c>
      <c r="AE4710">
        <v>1</v>
      </c>
      <c r="AF4710">
        <v>0</v>
      </c>
      <c r="AG4710">
        <v>50205.48</v>
      </c>
      <c r="AH4710">
        <v>113</v>
      </c>
      <c r="AI4710">
        <v>113</v>
      </c>
      <c r="AJ4710">
        <v>0</v>
      </c>
      <c r="AK4710">
        <v>1</v>
      </c>
      <c r="AL4710">
        <v>1</v>
      </c>
      <c r="AM4710">
        <v>100</v>
      </c>
      <c r="AN4710">
        <v>448.45749999999998</v>
      </c>
      <c r="AO4710">
        <v>0</v>
      </c>
      <c r="AP4710" s="13">
        <v>45790</v>
      </c>
      <c r="AQ4710">
        <v>0</v>
      </c>
      <c r="AR4710">
        <v>1</v>
      </c>
    </row>
    <row r="4711" spans="1:44" x14ac:dyDescent="0.35">
      <c r="A4711" s="12" t="s">
        <v>5719</v>
      </c>
      <c r="B4711" s="12" t="s">
        <v>609</v>
      </c>
      <c r="C4711" s="12" t="s">
        <v>610</v>
      </c>
      <c r="D4711" s="12" t="s">
        <v>64</v>
      </c>
      <c r="E4711" s="12" t="s">
        <v>104</v>
      </c>
      <c r="F4711">
        <v>1</v>
      </c>
      <c r="G4711">
        <v>0</v>
      </c>
      <c r="H4711">
        <v>1</v>
      </c>
      <c r="I4711" s="12" t="s">
        <v>227</v>
      </c>
      <c r="J4711" s="12" t="s">
        <v>228</v>
      </c>
      <c r="K4711" s="12" t="s">
        <v>89</v>
      </c>
      <c r="L4711" s="12" t="s">
        <v>96</v>
      </c>
      <c r="M4711">
        <v>9.15</v>
      </c>
      <c r="N4711" s="12" t="s">
        <v>97</v>
      </c>
      <c r="O4711" s="12" t="s">
        <v>98</v>
      </c>
      <c r="P4711" s="12" t="s">
        <v>72</v>
      </c>
      <c r="Q4711" s="13">
        <v>45756</v>
      </c>
      <c r="R4711" s="13">
        <v>45782</v>
      </c>
      <c r="S4711">
        <v>2025</v>
      </c>
      <c r="T4711" s="12" t="s">
        <v>5660</v>
      </c>
      <c r="U4711">
        <v>837</v>
      </c>
      <c r="V4711">
        <v>20.683900000000001</v>
      </c>
      <c r="W4711">
        <v>134.30000000000001</v>
      </c>
      <c r="X4711">
        <v>0</v>
      </c>
      <c r="Y4711">
        <v>0</v>
      </c>
      <c r="Z4711">
        <v>17312.419999999998</v>
      </c>
      <c r="AA4711">
        <v>17446.72</v>
      </c>
      <c r="AB4711" s="12" t="s">
        <v>5573</v>
      </c>
      <c r="AC4711">
        <v>20.683900000000001</v>
      </c>
      <c r="AD4711">
        <v>1</v>
      </c>
      <c r="AE4711">
        <v>1</v>
      </c>
      <c r="AF4711">
        <v>0</v>
      </c>
      <c r="AG4711">
        <v>17312.419999999998</v>
      </c>
      <c r="AH4711">
        <v>837</v>
      </c>
      <c r="AI4711">
        <v>825</v>
      </c>
      <c r="AJ4711">
        <v>12</v>
      </c>
      <c r="AK4711">
        <v>1</v>
      </c>
      <c r="AL4711">
        <v>1</v>
      </c>
      <c r="AM4711">
        <v>98.57</v>
      </c>
      <c r="AN4711">
        <v>21.147500000000001</v>
      </c>
      <c r="AO4711">
        <v>248.21</v>
      </c>
      <c r="AP4711" s="13">
        <v>45779</v>
      </c>
      <c r="AQ4711">
        <v>-3</v>
      </c>
      <c r="AR4711">
        <v>1</v>
      </c>
    </row>
    <row r="4712" spans="1:44" x14ac:dyDescent="0.35">
      <c r="A4712" s="12" t="s">
        <v>5720</v>
      </c>
      <c r="B4712" s="12" t="s">
        <v>694</v>
      </c>
      <c r="C4712" s="12" t="s">
        <v>695</v>
      </c>
      <c r="D4712" s="12" t="s">
        <v>103</v>
      </c>
      <c r="E4712" s="12" t="s">
        <v>65</v>
      </c>
      <c r="F4712">
        <v>2</v>
      </c>
      <c r="G4712">
        <v>3</v>
      </c>
      <c r="H4712">
        <v>0</v>
      </c>
      <c r="I4712" s="12" t="s">
        <v>263</v>
      </c>
      <c r="J4712" s="12" t="s">
        <v>264</v>
      </c>
      <c r="K4712" s="12" t="s">
        <v>125</v>
      </c>
      <c r="L4712" s="12" t="s">
        <v>82</v>
      </c>
      <c r="M4712">
        <v>10.210000000000001</v>
      </c>
      <c r="N4712" s="12" t="s">
        <v>145</v>
      </c>
      <c r="O4712" s="12" t="s">
        <v>146</v>
      </c>
      <c r="P4712" s="12" t="s">
        <v>109</v>
      </c>
      <c r="Q4712" s="13">
        <v>45756</v>
      </c>
      <c r="R4712" s="13">
        <v>45779</v>
      </c>
      <c r="S4712">
        <v>2025</v>
      </c>
      <c r="T4712" s="12" t="s">
        <v>5660</v>
      </c>
      <c r="U4712">
        <v>31</v>
      </c>
      <c r="V4712">
        <v>206.7869</v>
      </c>
      <c r="W4712">
        <v>98.8</v>
      </c>
      <c r="X4712">
        <v>0</v>
      </c>
      <c r="Y4712">
        <v>0</v>
      </c>
      <c r="Z4712">
        <v>6410.39</v>
      </c>
      <c r="AA4712">
        <v>6509.19</v>
      </c>
      <c r="AB4712" s="12" t="s">
        <v>5721</v>
      </c>
      <c r="AC4712">
        <v>206.7869</v>
      </c>
      <c r="AD4712">
        <v>1</v>
      </c>
      <c r="AE4712">
        <v>1</v>
      </c>
      <c r="AF4712">
        <v>0</v>
      </c>
      <c r="AG4712">
        <v>6410.39</v>
      </c>
      <c r="AH4712">
        <v>31</v>
      </c>
      <c r="AI4712">
        <v>31</v>
      </c>
      <c r="AJ4712">
        <v>0</v>
      </c>
      <c r="AK4712">
        <v>1</v>
      </c>
      <c r="AL4712">
        <v>1</v>
      </c>
      <c r="AM4712">
        <v>100</v>
      </c>
      <c r="AN4712">
        <v>209.97399999999999</v>
      </c>
      <c r="AO4712">
        <v>0</v>
      </c>
      <c r="AP4712" s="13">
        <v>45788</v>
      </c>
      <c r="AQ4712">
        <v>9</v>
      </c>
      <c r="AR4712">
        <v>0</v>
      </c>
    </row>
    <row r="4713" spans="1:44" x14ac:dyDescent="0.35">
      <c r="A4713" s="12" t="s">
        <v>5722</v>
      </c>
      <c r="B4713" s="12" t="s">
        <v>378</v>
      </c>
      <c r="C4713" s="12" t="s">
        <v>379</v>
      </c>
      <c r="D4713" s="12" t="s">
        <v>64</v>
      </c>
      <c r="E4713" s="12" t="s">
        <v>104</v>
      </c>
      <c r="F4713">
        <v>3</v>
      </c>
      <c r="G4713">
        <v>1</v>
      </c>
      <c r="H4713">
        <v>0</v>
      </c>
      <c r="I4713" s="12" t="s">
        <v>176</v>
      </c>
      <c r="J4713" s="12" t="s">
        <v>177</v>
      </c>
      <c r="K4713" s="12" t="s">
        <v>125</v>
      </c>
      <c r="L4713" s="12" t="s">
        <v>134</v>
      </c>
      <c r="M4713">
        <v>1.75</v>
      </c>
      <c r="N4713" s="12" t="s">
        <v>97</v>
      </c>
      <c r="O4713" s="12" t="s">
        <v>98</v>
      </c>
      <c r="P4713" s="12" t="s">
        <v>72</v>
      </c>
      <c r="Q4713" s="13">
        <v>45756</v>
      </c>
      <c r="R4713" s="13">
        <v>45769</v>
      </c>
      <c r="S4713">
        <v>2025</v>
      </c>
      <c r="T4713" s="12" t="s">
        <v>5660</v>
      </c>
      <c r="U4713">
        <v>196</v>
      </c>
      <c r="V4713">
        <v>14.7689</v>
      </c>
      <c r="W4713">
        <v>66.72</v>
      </c>
      <c r="X4713">
        <v>0</v>
      </c>
      <c r="Y4713">
        <v>0</v>
      </c>
      <c r="Z4713">
        <v>2894.7</v>
      </c>
      <c r="AA4713">
        <v>2961.42</v>
      </c>
      <c r="AB4713" s="12" t="s">
        <v>201</v>
      </c>
      <c r="AD4713">
        <v>0</v>
      </c>
      <c r="AE4713">
        <v>0</v>
      </c>
      <c r="AH4713">
        <v>196</v>
      </c>
      <c r="AI4713">
        <v>195</v>
      </c>
      <c r="AJ4713">
        <v>1</v>
      </c>
      <c r="AK4713">
        <v>1</v>
      </c>
      <c r="AL4713">
        <v>1</v>
      </c>
      <c r="AM4713">
        <v>99.49</v>
      </c>
      <c r="AN4713">
        <v>15.1868</v>
      </c>
      <c r="AO4713">
        <v>14.77</v>
      </c>
      <c r="AP4713" s="13">
        <v>45779</v>
      </c>
      <c r="AQ4713">
        <v>10</v>
      </c>
      <c r="AR4713">
        <v>0</v>
      </c>
    </row>
    <row r="4714" spans="1:44" x14ac:dyDescent="0.35">
      <c r="A4714" s="12" t="s">
        <v>5723</v>
      </c>
      <c r="B4714" s="12" t="s">
        <v>128</v>
      </c>
      <c r="C4714" s="12" t="s">
        <v>129</v>
      </c>
      <c r="D4714" s="12" t="s">
        <v>130</v>
      </c>
      <c r="E4714" s="12" t="s">
        <v>65</v>
      </c>
      <c r="F4714">
        <v>3</v>
      </c>
      <c r="G4714">
        <v>5</v>
      </c>
      <c r="H4714">
        <v>0</v>
      </c>
      <c r="I4714" s="12" t="s">
        <v>380</v>
      </c>
      <c r="J4714" s="12" t="s">
        <v>381</v>
      </c>
      <c r="K4714" s="12" t="s">
        <v>89</v>
      </c>
      <c r="L4714" s="12" t="s">
        <v>96</v>
      </c>
      <c r="M4714">
        <v>10.210000000000001</v>
      </c>
      <c r="N4714" s="12" t="s">
        <v>159</v>
      </c>
      <c r="O4714" s="12" t="s">
        <v>160</v>
      </c>
      <c r="P4714" s="12" t="s">
        <v>137</v>
      </c>
      <c r="Q4714" s="13">
        <v>45756</v>
      </c>
      <c r="R4714" s="13">
        <v>45785</v>
      </c>
      <c r="S4714">
        <v>2025</v>
      </c>
      <c r="T4714" s="12" t="s">
        <v>5660</v>
      </c>
      <c r="U4714">
        <v>78</v>
      </c>
      <c r="V4714">
        <v>468.52519999999998</v>
      </c>
      <c r="W4714">
        <v>263.52999999999997</v>
      </c>
      <c r="X4714">
        <v>0</v>
      </c>
      <c r="Y4714">
        <v>0</v>
      </c>
      <c r="Z4714">
        <v>36544.97</v>
      </c>
      <c r="AA4714">
        <v>36808.5</v>
      </c>
      <c r="AB4714" s="12" t="s">
        <v>5396</v>
      </c>
      <c r="AC4714">
        <v>468.52519999999998</v>
      </c>
      <c r="AD4714">
        <v>1</v>
      </c>
      <c r="AE4714">
        <v>1</v>
      </c>
      <c r="AF4714">
        <v>0</v>
      </c>
      <c r="AG4714">
        <v>36544.97</v>
      </c>
      <c r="AH4714">
        <v>78</v>
      </c>
      <c r="AI4714">
        <v>78</v>
      </c>
      <c r="AJ4714">
        <v>0</v>
      </c>
      <c r="AK4714">
        <v>1</v>
      </c>
      <c r="AL4714">
        <v>1</v>
      </c>
      <c r="AM4714">
        <v>100</v>
      </c>
      <c r="AN4714">
        <v>471.90379999999999</v>
      </c>
      <c r="AO4714">
        <v>0</v>
      </c>
      <c r="AP4714" s="13">
        <v>45784</v>
      </c>
      <c r="AQ4714">
        <v>-1</v>
      </c>
      <c r="AR4714">
        <v>1</v>
      </c>
    </row>
    <row r="4715" spans="1:44" x14ac:dyDescent="0.35">
      <c r="A4715" s="12" t="s">
        <v>5724</v>
      </c>
      <c r="B4715" s="12" t="s">
        <v>823</v>
      </c>
      <c r="C4715" s="12" t="s">
        <v>824</v>
      </c>
      <c r="D4715" s="12" t="s">
        <v>114</v>
      </c>
      <c r="E4715" s="12" t="s">
        <v>142</v>
      </c>
      <c r="F4715">
        <v>1</v>
      </c>
      <c r="G4715">
        <v>8</v>
      </c>
      <c r="H4715">
        <v>1</v>
      </c>
      <c r="I4715" s="12" t="s">
        <v>515</v>
      </c>
      <c r="J4715" s="12" t="s">
        <v>516</v>
      </c>
      <c r="K4715" s="12" t="s">
        <v>68</v>
      </c>
      <c r="L4715" s="12" t="s">
        <v>134</v>
      </c>
      <c r="M4715">
        <v>3.69</v>
      </c>
      <c r="N4715" s="12" t="s">
        <v>70</v>
      </c>
      <c r="O4715" s="12" t="s">
        <v>71</v>
      </c>
      <c r="P4715" s="12" t="s">
        <v>72</v>
      </c>
      <c r="Q4715" s="13">
        <v>45756</v>
      </c>
      <c r="R4715" s="13">
        <v>45800</v>
      </c>
      <c r="S4715">
        <v>2025</v>
      </c>
      <c r="T4715" s="12" t="s">
        <v>5660</v>
      </c>
      <c r="U4715">
        <v>80</v>
      </c>
      <c r="V4715">
        <v>361.71230000000003</v>
      </c>
      <c r="W4715">
        <v>283.74</v>
      </c>
      <c r="X4715">
        <v>0</v>
      </c>
      <c r="Y4715">
        <v>0</v>
      </c>
      <c r="Z4715">
        <v>28936.98</v>
      </c>
      <c r="AA4715">
        <v>29220.720000000001</v>
      </c>
      <c r="AB4715" s="12" t="s">
        <v>3483</v>
      </c>
      <c r="AC4715">
        <v>361.71230000000003</v>
      </c>
      <c r="AD4715">
        <v>1</v>
      </c>
      <c r="AE4715">
        <v>1</v>
      </c>
      <c r="AF4715">
        <v>0</v>
      </c>
      <c r="AG4715">
        <v>28936.98</v>
      </c>
      <c r="AH4715">
        <v>80</v>
      </c>
      <c r="AI4715">
        <v>79</v>
      </c>
      <c r="AJ4715">
        <v>1</v>
      </c>
      <c r="AK4715">
        <v>1</v>
      </c>
      <c r="AL4715">
        <v>1</v>
      </c>
      <c r="AM4715">
        <v>98.75</v>
      </c>
      <c r="AN4715">
        <v>369.88260000000002</v>
      </c>
      <c r="AO4715">
        <v>361.71</v>
      </c>
      <c r="AP4715" s="13">
        <v>45797</v>
      </c>
      <c r="AQ4715">
        <v>-3</v>
      </c>
      <c r="AR4715">
        <v>1</v>
      </c>
    </row>
    <row r="4716" spans="1:44" x14ac:dyDescent="0.35">
      <c r="A4716" s="12" t="s">
        <v>5725</v>
      </c>
      <c r="B4716" s="12" t="s">
        <v>1026</v>
      </c>
      <c r="C4716" s="12" t="s">
        <v>1027</v>
      </c>
      <c r="D4716" s="12" t="s">
        <v>122</v>
      </c>
      <c r="E4716" s="12" t="s">
        <v>104</v>
      </c>
      <c r="F4716">
        <v>3</v>
      </c>
      <c r="G4716">
        <v>1</v>
      </c>
      <c r="H4716">
        <v>0</v>
      </c>
      <c r="I4716" s="12" t="s">
        <v>604</v>
      </c>
      <c r="J4716" s="12" t="s">
        <v>605</v>
      </c>
      <c r="K4716" s="12" t="s">
        <v>68</v>
      </c>
      <c r="L4716" s="12" t="s">
        <v>82</v>
      </c>
      <c r="M4716">
        <v>7.24</v>
      </c>
      <c r="N4716" s="12" t="s">
        <v>97</v>
      </c>
      <c r="O4716" s="12" t="s">
        <v>98</v>
      </c>
      <c r="P4716" s="12" t="s">
        <v>72</v>
      </c>
      <c r="Q4716" s="13">
        <v>45756</v>
      </c>
      <c r="R4716" s="13">
        <v>45776</v>
      </c>
      <c r="S4716">
        <v>2025</v>
      </c>
      <c r="T4716" s="12" t="s">
        <v>5660</v>
      </c>
      <c r="U4716">
        <v>1051</v>
      </c>
      <c r="V4716">
        <v>41.213299999999997</v>
      </c>
      <c r="W4716">
        <v>719.12</v>
      </c>
      <c r="X4716">
        <v>0</v>
      </c>
      <c r="Y4716">
        <v>0</v>
      </c>
      <c r="Z4716">
        <v>43315.18</v>
      </c>
      <c r="AA4716">
        <v>44034.3</v>
      </c>
      <c r="AB4716" s="12" t="s">
        <v>3786</v>
      </c>
      <c r="AC4716">
        <v>41.213299999999997</v>
      </c>
      <c r="AD4716">
        <v>1</v>
      </c>
      <c r="AE4716">
        <v>1</v>
      </c>
      <c r="AF4716">
        <v>0</v>
      </c>
      <c r="AG4716">
        <v>43315.18</v>
      </c>
      <c r="AH4716">
        <v>1051</v>
      </c>
      <c r="AI4716">
        <v>1040</v>
      </c>
      <c r="AJ4716">
        <v>11</v>
      </c>
      <c r="AK4716">
        <v>1</v>
      </c>
      <c r="AL4716">
        <v>1</v>
      </c>
      <c r="AM4716">
        <v>98.95</v>
      </c>
      <c r="AN4716">
        <v>42.340699999999998</v>
      </c>
      <c r="AO4716">
        <v>453.35</v>
      </c>
      <c r="AP4716" s="13">
        <v>45774</v>
      </c>
      <c r="AQ4716">
        <v>-2</v>
      </c>
      <c r="AR4716">
        <v>1</v>
      </c>
    </row>
    <row r="4717" spans="1:44" x14ac:dyDescent="0.35">
      <c r="A4717" s="12" t="s">
        <v>5726</v>
      </c>
      <c r="B4717" s="12" t="s">
        <v>640</v>
      </c>
      <c r="C4717" s="12" t="s">
        <v>641</v>
      </c>
      <c r="D4717" s="12" t="s">
        <v>130</v>
      </c>
      <c r="E4717" s="12" t="s">
        <v>104</v>
      </c>
      <c r="F4717">
        <v>3</v>
      </c>
      <c r="G4717">
        <v>0</v>
      </c>
      <c r="H4717">
        <v>0</v>
      </c>
      <c r="I4717" s="12" t="s">
        <v>209</v>
      </c>
      <c r="J4717" s="12" t="s">
        <v>210</v>
      </c>
      <c r="K4717" s="12" t="s">
        <v>133</v>
      </c>
      <c r="L4717" s="12" t="s">
        <v>96</v>
      </c>
      <c r="M4717">
        <v>7.82</v>
      </c>
      <c r="N4717" s="12" t="s">
        <v>135</v>
      </c>
      <c r="O4717" s="12" t="s">
        <v>136</v>
      </c>
      <c r="P4717" s="12" t="s">
        <v>137</v>
      </c>
      <c r="Q4717" s="13">
        <v>45756</v>
      </c>
      <c r="R4717" s="13">
        <v>45780</v>
      </c>
      <c r="S4717">
        <v>2025</v>
      </c>
      <c r="T4717" s="12" t="s">
        <v>5660</v>
      </c>
      <c r="U4717">
        <v>108</v>
      </c>
      <c r="V4717">
        <v>947.05309999999997</v>
      </c>
      <c r="W4717">
        <v>1968.32</v>
      </c>
      <c r="X4717">
        <v>0</v>
      </c>
      <c r="Y4717">
        <v>0</v>
      </c>
      <c r="Z4717">
        <v>102281.73</v>
      </c>
      <c r="AA4717">
        <v>104250.05</v>
      </c>
      <c r="AB4717" s="12" t="s">
        <v>5727</v>
      </c>
      <c r="AC4717">
        <v>947.05309999999997</v>
      </c>
      <c r="AD4717">
        <v>1</v>
      </c>
      <c r="AE4717">
        <v>1</v>
      </c>
      <c r="AF4717">
        <v>0</v>
      </c>
      <c r="AG4717">
        <v>102281.73</v>
      </c>
      <c r="AH4717">
        <v>108</v>
      </c>
      <c r="AI4717">
        <v>106</v>
      </c>
      <c r="AJ4717">
        <v>2</v>
      </c>
      <c r="AK4717">
        <v>1</v>
      </c>
      <c r="AL4717">
        <v>1</v>
      </c>
      <c r="AM4717">
        <v>98.15</v>
      </c>
      <c r="AN4717">
        <v>983.49109999999996</v>
      </c>
      <c r="AO4717">
        <v>1894.11</v>
      </c>
      <c r="AP4717" s="13">
        <v>45790</v>
      </c>
      <c r="AQ4717">
        <v>10</v>
      </c>
      <c r="AR4717">
        <v>0</v>
      </c>
    </row>
    <row r="4718" spans="1:44" x14ac:dyDescent="0.35">
      <c r="A4718" s="12" t="s">
        <v>5728</v>
      </c>
      <c r="B4718" s="12" t="s">
        <v>498</v>
      </c>
      <c r="C4718" s="12" t="s">
        <v>499</v>
      </c>
      <c r="D4718" s="12" t="s">
        <v>175</v>
      </c>
      <c r="E4718" s="12" t="s">
        <v>104</v>
      </c>
      <c r="F4718">
        <v>3</v>
      </c>
      <c r="G4718">
        <v>1</v>
      </c>
      <c r="H4718">
        <v>0</v>
      </c>
      <c r="I4718" s="12" t="s">
        <v>233</v>
      </c>
      <c r="J4718" s="12" t="s">
        <v>234</v>
      </c>
      <c r="K4718" s="12" t="s">
        <v>125</v>
      </c>
      <c r="L4718" s="12" t="s">
        <v>96</v>
      </c>
      <c r="M4718">
        <v>3.73</v>
      </c>
      <c r="N4718" s="12" t="s">
        <v>145</v>
      </c>
      <c r="O4718" s="12" t="s">
        <v>146</v>
      </c>
      <c r="P4718" s="12" t="s">
        <v>109</v>
      </c>
      <c r="Q4718" s="13">
        <v>45756</v>
      </c>
      <c r="R4718" s="13">
        <v>45783</v>
      </c>
      <c r="S4718">
        <v>2025</v>
      </c>
      <c r="T4718" s="12" t="s">
        <v>5660</v>
      </c>
      <c r="U4718">
        <v>127</v>
      </c>
      <c r="V4718">
        <v>262.52229999999997</v>
      </c>
      <c r="W4718">
        <v>433.96</v>
      </c>
      <c r="X4718">
        <v>0</v>
      </c>
      <c r="Y4718">
        <v>0</v>
      </c>
      <c r="Z4718">
        <v>33340.33</v>
      </c>
      <c r="AA4718">
        <v>33774.29</v>
      </c>
      <c r="AB4718" s="12" t="s">
        <v>5729</v>
      </c>
      <c r="AC4718">
        <v>262.52229999999997</v>
      </c>
      <c r="AD4718">
        <v>1</v>
      </c>
      <c r="AE4718">
        <v>1</v>
      </c>
      <c r="AF4718">
        <v>0</v>
      </c>
      <c r="AG4718">
        <v>33340.33</v>
      </c>
      <c r="AH4718">
        <v>127</v>
      </c>
      <c r="AI4718">
        <v>126</v>
      </c>
      <c r="AJ4718">
        <v>1</v>
      </c>
      <c r="AK4718">
        <v>1</v>
      </c>
      <c r="AL4718">
        <v>1</v>
      </c>
      <c r="AM4718">
        <v>99.21</v>
      </c>
      <c r="AN4718">
        <v>268.04989999999998</v>
      </c>
      <c r="AO4718">
        <v>262.52</v>
      </c>
      <c r="AP4718" s="13">
        <v>45782</v>
      </c>
      <c r="AQ4718">
        <v>-1</v>
      </c>
      <c r="AR4718">
        <v>1</v>
      </c>
    </row>
    <row r="4719" spans="1:44" x14ac:dyDescent="0.35">
      <c r="A4719" s="12" t="s">
        <v>5730</v>
      </c>
      <c r="B4719" s="12" t="s">
        <v>498</v>
      </c>
      <c r="C4719" s="12" t="s">
        <v>499</v>
      </c>
      <c r="D4719" s="12" t="s">
        <v>175</v>
      </c>
      <c r="E4719" s="12" t="s">
        <v>104</v>
      </c>
      <c r="F4719">
        <v>3</v>
      </c>
      <c r="G4719">
        <v>1</v>
      </c>
      <c r="H4719">
        <v>0</v>
      </c>
      <c r="I4719" s="12" t="s">
        <v>676</v>
      </c>
      <c r="J4719" s="12" t="s">
        <v>677</v>
      </c>
      <c r="K4719" s="12" t="s">
        <v>68</v>
      </c>
      <c r="L4719" s="12" t="s">
        <v>96</v>
      </c>
      <c r="M4719">
        <v>3.57</v>
      </c>
      <c r="N4719" s="12" t="s">
        <v>145</v>
      </c>
      <c r="O4719" s="12" t="s">
        <v>146</v>
      </c>
      <c r="P4719" s="12" t="s">
        <v>109</v>
      </c>
      <c r="Q4719" s="13">
        <v>45756</v>
      </c>
      <c r="R4719" s="13">
        <v>45782</v>
      </c>
      <c r="S4719">
        <v>2025</v>
      </c>
      <c r="T4719" s="12" t="s">
        <v>5660</v>
      </c>
      <c r="U4719">
        <v>122</v>
      </c>
      <c r="V4719">
        <v>257.53820000000002</v>
      </c>
      <c r="W4719">
        <v>260.97000000000003</v>
      </c>
      <c r="X4719">
        <v>0</v>
      </c>
      <c r="Y4719">
        <v>0</v>
      </c>
      <c r="Z4719">
        <v>31419.66</v>
      </c>
      <c r="AA4719">
        <v>31680.63</v>
      </c>
      <c r="AB4719" s="12" t="s">
        <v>5731</v>
      </c>
      <c r="AC4719">
        <v>244.03489999999999</v>
      </c>
      <c r="AD4719">
        <v>1</v>
      </c>
      <c r="AE4719">
        <v>1</v>
      </c>
      <c r="AF4719">
        <v>1647.4</v>
      </c>
      <c r="AG4719">
        <v>29772.26</v>
      </c>
      <c r="AH4719">
        <v>122</v>
      </c>
      <c r="AI4719">
        <v>121</v>
      </c>
      <c r="AJ4719">
        <v>1</v>
      </c>
      <c r="AK4719">
        <v>1</v>
      </c>
      <c r="AL4719">
        <v>1</v>
      </c>
      <c r="AM4719">
        <v>99.18</v>
      </c>
      <c r="AN4719">
        <v>261.82339999999999</v>
      </c>
      <c r="AO4719">
        <v>257.54000000000002</v>
      </c>
      <c r="AP4719" s="13">
        <v>45781</v>
      </c>
      <c r="AQ4719">
        <v>-1</v>
      </c>
      <c r="AR4719">
        <v>1</v>
      </c>
    </row>
    <row r="4720" spans="1:44" x14ac:dyDescent="0.35">
      <c r="A4720" s="12" t="s">
        <v>5732</v>
      </c>
      <c r="B4720" s="12" t="s">
        <v>317</v>
      </c>
      <c r="C4720" s="12" t="s">
        <v>318</v>
      </c>
      <c r="D4720" s="12" t="s">
        <v>64</v>
      </c>
      <c r="E4720" s="12" t="s">
        <v>104</v>
      </c>
      <c r="F4720">
        <v>2</v>
      </c>
      <c r="G4720">
        <v>0</v>
      </c>
      <c r="H4720">
        <v>0</v>
      </c>
      <c r="I4720" s="12" t="s">
        <v>183</v>
      </c>
      <c r="J4720" s="12" t="s">
        <v>184</v>
      </c>
      <c r="K4720" s="12" t="s">
        <v>133</v>
      </c>
      <c r="L4720" s="12" t="s">
        <v>82</v>
      </c>
      <c r="M4720">
        <v>8.6199999999999992</v>
      </c>
      <c r="N4720" s="12" t="s">
        <v>97</v>
      </c>
      <c r="O4720" s="12" t="s">
        <v>98</v>
      </c>
      <c r="P4720" s="12" t="s">
        <v>72</v>
      </c>
      <c r="Q4720" s="13">
        <v>45757</v>
      </c>
      <c r="R4720" s="13">
        <v>45769</v>
      </c>
      <c r="S4720">
        <v>2025</v>
      </c>
      <c r="T4720" s="12" t="s">
        <v>5660</v>
      </c>
      <c r="U4720">
        <v>100</v>
      </c>
      <c r="V4720">
        <v>15.7446</v>
      </c>
      <c r="W4720">
        <v>18.12</v>
      </c>
      <c r="X4720">
        <v>0</v>
      </c>
      <c r="Y4720">
        <v>0</v>
      </c>
      <c r="Z4720">
        <v>1574.46</v>
      </c>
      <c r="AA4720">
        <v>1592.58</v>
      </c>
      <c r="AB4720" s="12" t="s">
        <v>5733</v>
      </c>
      <c r="AC4720">
        <v>15.7446</v>
      </c>
      <c r="AD4720">
        <v>1</v>
      </c>
      <c r="AE4720">
        <v>1</v>
      </c>
      <c r="AF4720">
        <v>0</v>
      </c>
      <c r="AG4720">
        <v>1574.46</v>
      </c>
      <c r="AH4720">
        <v>100</v>
      </c>
      <c r="AI4720">
        <v>100</v>
      </c>
      <c r="AJ4720">
        <v>0</v>
      </c>
      <c r="AK4720">
        <v>1</v>
      </c>
      <c r="AL4720">
        <v>1</v>
      </c>
      <c r="AM4720">
        <v>100</v>
      </c>
      <c r="AN4720">
        <v>15.925800000000001</v>
      </c>
      <c r="AO4720">
        <v>0</v>
      </c>
      <c r="AP4720" s="13">
        <v>45769</v>
      </c>
      <c r="AQ4720">
        <v>0</v>
      </c>
      <c r="AR4720">
        <v>1</v>
      </c>
    </row>
    <row r="4721" spans="1:44" x14ac:dyDescent="0.35">
      <c r="A4721" s="12" t="s">
        <v>5734</v>
      </c>
      <c r="B4721" s="12" t="s">
        <v>706</v>
      </c>
      <c r="C4721" s="12" t="s">
        <v>707</v>
      </c>
      <c r="D4721" s="12" t="s">
        <v>130</v>
      </c>
      <c r="E4721" s="12" t="s">
        <v>142</v>
      </c>
      <c r="F4721">
        <v>1</v>
      </c>
      <c r="G4721">
        <v>8</v>
      </c>
      <c r="H4721">
        <v>1</v>
      </c>
      <c r="I4721" s="12" t="s">
        <v>263</v>
      </c>
      <c r="J4721" s="12" t="s">
        <v>264</v>
      </c>
      <c r="K4721" s="12" t="s">
        <v>125</v>
      </c>
      <c r="L4721" s="12" t="s">
        <v>82</v>
      </c>
      <c r="M4721">
        <v>10.210000000000001</v>
      </c>
      <c r="N4721" s="12" t="s">
        <v>135</v>
      </c>
      <c r="O4721" s="12" t="s">
        <v>136</v>
      </c>
      <c r="P4721" s="12" t="s">
        <v>137</v>
      </c>
      <c r="Q4721" s="13">
        <v>45757</v>
      </c>
      <c r="R4721" s="13">
        <v>45801</v>
      </c>
      <c r="S4721">
        <v>2025</v>
      </c>
      <c r="T4721" s="12" t="s">
        <v>5660</v>
      </c>
      <c r="U4721">
        <v>81</v>
      </c>
      <c r="V4721">
        <v>276.71809999999999</v>
      </c>
      <c r="W4721">
        <v>505.16</v>
      </c>
      <c r="X4721">
        <v>0</v>
      </c>
      <c r="Y4721">
        <v>0</v>
      </c>
      <c r="Z4721">
        <v>22414.17</v>
      </c>
      <c r="AA4721">
        <v>22919.33</v>
      </c>
      <c r="AB4721" s="12" t="s">
        <v>5735</v>
      </c>
      <c r="AC4721">
        <v>276.71809999999999</v>
      </c>
      <c r="AD4721">
        <v>1</v>
      </c>
      <c r="AE4721">
        <v>1</v>
      </c>
      <c r="AF4721">
        <v>0</v>
      </c>
      <c r="AG4721">
        <v>22414.17</v>
      </c>
      <c r="AH4721">
        <v>81</v>
      </c>
      <c r="AI4721">
        <v>80</v>
      </c>
      <c r="AJ4721">
        <v>1</v>
      </c>
      <c r="AK4721">
        <v>1</v>
      </c>
      <c r="AL4721">
        <v>1</v>
      </c>
      <c r="AM4721">
        <v>98.77</v>
      </c>
      <c r="AN4721">
        <v>286.49160000000001</v>
      </c>
      <c r="AO4721">
        <v>276.72000000000003</v>
      </c>
      <c r="AP4721" s="13">
        <v>45798</v>
      </c>
      <c r="AQ4721">
        <v>-3</v>
      </c>
      <c r="AR4721">
        <v>1</v>
      </c>
    </row>
    <row r="4722" spans="1:44" x14ac:dyDescent="0.35">
      <c r="A4722" s="12" t="s">
        <v>5736</v>
      </c>
      <c r="B4722" s="12" t="s">
        <v>416</v>
      </c>
      <c r="C4722" s="12" t="s">
        <v>417</v>
      </c>
      <c r="D4722" s="12" t="s">
        <v>78</v>
      </c>
      <c r="E4722" s="12" t="s">
        <v>65</v>
      </c>
      <c r="F4722">
        <v>3</v>
      </c>
      <c r="G4722">
        <v>5</v>
      </c>
      <c r="H4722">
        <v>0</v>
      </c>
      <c r="I4722" s="12" t="s">
        <v>87</v>
      </c>
      <c r="J4722" s="12" t="s">
        <v>88</v>
      </c>
      <c r="K4722" s="12" t="s">
        <v>89</v>
      </c>
      <c r="L4722" s="12" t="s">
        <v>69</v>
      </c>
      <c r="M4722">
        <v>14.93</v>
      </c>
      <c r="N4722" s="12" t="s">
        <v>97</v>
      </c>
      <c r="O4722" s="12" t="s">
        <v>98</v>
      </c>
      <c r="P4722" s="12" t="s">
        <v>72</v>
      </c>
      <c r="Q4722" s="13">
        <v>45757</v>
      </c>
      <c r="R4722" s="13">
        <v>45783</v>
      </c>
      <c r="S4722">
        <v>2025</v>
      </c>
      <c r="T4722" s="12" t="s">
        <v>5660</v>
      </c>
      <c r="U4722">
        <v>123</v>
      </c>
      <c r="V4722">
        <v>164.20500000000001</v>
      </c>
      <c r="W4722">
        <v>509.69</v>
      </c>
      <c r="X4722">
        <v>0</v>
      </c>
      <c r="Y4722">
        <v>0</v>
      </c>
      <c r="Z4722">
        <v>20197.22</v>
      </c>
      <c r="AA4722">
        <v>20706.91</v>
      </c>
      <c r="AB4722" s="12" t="s">
        <v>201</v>
      </c>
      <c r="AD4722">
        <v>0</v>
      </c>
      <c r="AE4722">
        <v>0</v>
      </c>
      <c r="AH4722">
        <v>123</v>
      </c>
      <c r="AI4722">
        <v>120</v>
      </c>
      <c r="AJ4722">
        <v>3</v>
      </c>
      <c r="AK4722">
        <v>1</v>
      </c>
      <c r="AL4722">
        <v>1</v>
      </c>
      <c r="AM4722">
        <v>97.56</v>
      </c>
      <c r="AN4722">
        <v>172.5575</v>
      </c>
      <c r="AO4722">
        <v>492.62</v>
      </c>
      <c r="AP4722" s="13">
        <v>45783</v>
      </c>
      <c r="AQ4722">
        <v>0</v>
      </c>
      <c r="AR4722">
        <v>1</v>
      </c>
    </row>
    <row r="4723" spans="1:44" x14ac:dyDescent="0.35">
      <c r="A4723" s="12" t="s">
        <v>5737</v>
      </c>
      <c r="B4723" s="12" t="s">
        <v>503</v>
      </c>
      <c r="C4723" s="12" t="s">
        <v>504</v>
      </c>
      <c r="D4723" s="12" t="s">
        <v>103</v>
      </c>
      <c r="E4723" s="12" t="s">
        <v>104</v>
      </c>
      <c r="F4723">
        <v>3</v>
      </c>
      <c r="G4723">
        <v>1</v>
      </c>
      <c r="H4723">
        <v>0</v>
      </c>
      <c r="I4723" s="12" t="s">
        <v>209</v>
      </c>
      <c r="J4723" s="12" t="s">
        <v>210</v>
      </c>
      <c r="K4723" s="12" t="s">
        <v>133</v>
      </c>
      <c r="L4723" s="12" t="s">
        <v>96</v>
      </c>
      <c r="M4723">
        <v>7.82</v>
      </c>
      <c r="N4723" s="12" t="s">
        <v>107</v>
      </c>
      <c r="O4723" s="12" t="s">
        <v>108</v>
      </c>
      <c r="P4723" s="12" t="s">
        <v>109</v>
      </c>
      <c r="Q4723" s="13">
        <v>45757</v>
      </c>
      <c r="R4723" s="13">
        <v>45773</v>
      </c>
      <c r="S4723">
        <v>2025</v>
      </c>
      <c r="T4723" s="12" t="s">
        <v>5660</v>
      </c>
      <c r="U4723">
        <v>43</v>
      </c>
      <c r="V4723">
        <v>168.7954</v>
      </c>
      <c r="W4723">
        <v>157.96</v>
      </c>
      <c r="X4723">
        <v>0</v>
      </c>
      <c r="Y4723">
        <v>0</v>
      </c>
      <c r="Z4723">
        <v>7258.2</v>
      </c>
      <c r="AA4723">
        <v>7416.16</v>
      </c>
      <c r="AB4723" s="12" t="s">
        <v>201</v>
      </c>
      <c r="AD4723">
        <v>0</v>
      </c>
      <c r="AE4723">
        <v>0</v>
      </c>
      <c r="AH4723">
        <v>43</v>
      </c>
      <c r="AI4723">
        <v>43</v>
      </c>
      <c r="AJ4723">
        <v>0</v>
      </c>
      <c r="AK4723">
        <v>1</v>
      </c>
      <c r="AL4723">
        <v>1</v>
      </c>
      <c r="AM4723">
        <v>100</v>
      </c>
      <c r="AN4723">
        <v>172.46889999999999</v>
      </c>
      <c r="AO4723">
        <v>0</v>
      </c>
      <c r="AP4723" s="13">
        <v>45773</v>
      </c>
      <c r="AQ4723">
        <v>0</v>
      </c>
      <c r="AR4723">
        <v>1</v>
      </c>
    </row>
    <row r="4724" spans="1:44" x14ac:dyDescent="0.35">
      <c r="A4724" s="12" t="s">
        <v>5738</v>
      </c>
      <c r="B4724" s="12" t="s">
        <v>694</v>
      </c>
      <c r="C4724" s="12" t="s">
        <v>695</v>
      </c>
      <c r="D4724" s="12" t="s">
        <v>103</v>
      </c>
      <c r="E4724" s="12" t="s">
        <v>65</v>
      </c>
      <c r="F4724">
        <v>2</v>
      </c>
      <c r="G4724">
        <v>3</v>
      </c>
      <c r="H4724">
        <v>0</v>
      </c>
      <c r="I4724" s="12" t="s">
        <v>263</v>
      </c>
      <c r="J4724" s="12" t="s">
        <v>264</v>
      </c>
      <c r="K4724" s="12" t="s">
        <v>125</v>
      </c>
      <c r="L4724" s="12" t="s">
        <v>82</v>
      </c>
      <c r="M4724">
        <v>10.210000000000001</v>
      </c>
      <c r="N4724" s="12" t="s">
        <v>107</v>
      </c>
      <c r="O4724" s="12" t="s">
        <v>108</v>
      </c>
      <c r="P4724" s="12" t="s">
        <v>109</v>
      </c>
      <c r="Q4724" s="13">
        <v>45757</v>
      </c>
      <c r="R4724" s="13">
        <v>45795</v>
      </c>
      <c r="S4724">
        <v>2025</v>
      </c>
      <c r="T4724" s="12" t="s">
        <v>5660</v>
      </c>
      <c r="U4724">
        <v>149</v>
      </c>
      <c r="V4724">
        <v>206.7869</v>
      </c>
      <c r="W4724">
        <v>460.03</v>
      </c>
      <c r="X4724">
        <v>927.85</v>
      </c>
      <c r="Y4724">
        <v>1</v>
      </c>
      <c r="Z4724">
        <v>30811.25</v>
      </c>
      <c r="AA4724">
        <v>32199.13</v>
      </c>
      <c r="AB4724" s="12" t="s">
        <v>5721</v>
      </c>
      <c r="AC4724">
        <v>206.7869</v>
      </c>
      <c r="AD4724">
        <v>1</v>
      </c>
      <c r="AE4724">
        <v>1</v>
      </c>
      <c r="AF4724">
        <v>0</v>
      </c>
      <c r="AG4724">
        <v>30811.25</v>
      </c>
      <c r="AH4724">
        <v>149</v>
      </c>
      <c r="AI4724">
        <v>149</v>
      </c>
      <c r="AJ4724">
        <v>0</v>
      </c>
      <c r="AK4724">
        <v>1</v>
      </c>
      <c r="AL4724">
        <v>1</v>
      </c>
      <c r="AM4724">
        <v>100</v>
      </c>
      <c r="AN4724">
        <v>216.10149999999999</v>
      </c>
      <c r="AO4724">
        <v>0</v>
      </c>
      <c r="AP4724" s="13">
        <v>45794</v>
      </c>
      <c r="AQ4724">
        <v>-1</v>
      </c>
      <c r="AR4724">
        <v>1</v>
      </c>
    </row>
    <row r="4725" spans="1:44" x14ac:dyDescent="0.35">
      <c r="A4725" s="12" t="s">
        <v>5739</v>
      </c>
      <c r="B4725" s="12" t="s">
        <v>978</v>
      </c>
      <c r="C4725" s="12" t="s">
        <v>979</v>
      </c>
      <c r="D4725" s="12" t="s">
        <v>122</v>
      </c>
      <c r="E4725" s="12" t="s">
        <v>65</v>
      </c>
      <c r="F4725">
        <v>1</v>
      </c>
      <c r="G4725">
        <v>2</v>
      </c>
      <c r="H4725">
        <v>1</v>
      </c>
      <c r="I4725" s="12" t="s">
        <v>310</v>
      </c>
      <c r="J4725" s="12" t="s">
        <v>311</v>
      </c>
      <c r="K4725" s="12" t="s">
        <v>81</v>
      </c>
      <c r="L4725" s="12" t="s">
        <v>69</v>
      </c>
      <c r="M4725">
        <v>28.3</v>
      </c>
      <c r="N4725" s="12" t="s">
        <v>97</v>
      </c>
      <c r="O4725" s="12" t="s">
        <v>98</v>
      </c>
      <c r="P4725" s="12" t="s">
        <v>72</v>
      </c>
      <c r="Q4725" s="13">
        <v>45757</v>
      </c>
      <c r="R4725" s="13">
        <v>45790</v>
      </c>
      <c r="S4725">
        <v>2025</v>
      </c>
      <c r="T4725" s="12" t="s">
        <v>5660</v>
      </c>
      <c r="U4725">
        <v>1432</v>
      </c>
      <c r="V4725">
        <v>43.574800000000003</v>
      </c>
      <c r="W4725">
        <v>1157.74</v>
      </c>
      <c r="X4725">
        <v>0</v>
      </c>
      <c r="Y4725">
        <v>0</v>
      </c>
      <c r="Z4725">
        <v>62399.11</v>
      </c>
      <c r="AA4725">
        <v>63556.85</v>
      </c>
      <c r="AB4725" s="12" t="s">
        <v>3471</v>
      </c>
      <c r="AC4725">
        <v>43.574800000000003</v>
      </c>
      <c r="AD4725">
        <v>1</v>
      </c>
      <c r="AE4725">
        <v>1</v>
      </c>
      <c r="AF4725">
        <v>0</v>
      </c>
      <c r="AG4725">
        <v>62399.11</v>
      </c>
      <c r="AH4725">
        <v>1432</v>
      </c>
      <c r="AI4725">
        <v>1425</v>
      </c>
      <c r="AJ4725">
        <v>7</v>
      </c>
      <c r="AK4725">
        <v>1</v>
      </c>
      <c r="AL4725">
        <v>1</v>
      </c>
      <c r="AM4725">
        <v>99.51</v>
      </c>
      <c r="AN4725">
        <v>44.601300000000002</v>
      </c>
      <c r="AO4725">
        <v>305.02</v>
      </c>
      <c r="AP4725" s="13">
        <v>45788</v>
      </c>
      <c r="AQ4725">
        <v>-2</v>
      </c>
      <c r="AR4725">
        <v>1</v>
      </c>
    </row>
    <row r="4726" spans="1:44" x14ac:dyDescent="0.35">
      <c r="A4726" s="12" t="s">
        <v>5740</v>
      </c>
      <c r="B4726" s="12" t="s">
        <v>1013</v>
      </c>
      <c r="C4726" s="12" t="s">
        <v>1014</v>
      </c>
      <c r="D4726" s="12" t="s">
        <v>78</v>
      </c>
      <c r="E4726" s="12" t="s">
        <v>65</v>
      </c>
      <c r="F4726">
        <v>2</v>
      </c>
      <c r="G4726">
        <v>3</v>
      </c>
      <c r="H4726">
        <v>0</v>
      </c>
      <c r="I4726" s="12" t="s">
        <v>359</v>
      </c>
      <c r="J4726" s="12" t="s">
        <v>360</v>
      </c>
      <c r="K4726" s="12" t="s">
        <v>133</v>
      </c>
      <c r="L4726" s="12" t="s">
        <v>82</v>
      </c>
      <c r="M4726">
        <v>12.65</v>
      </c>
      <c r="N4726" s="12" t="s">
        <v>97</v>
      </c>
      <c r="O4726" s="12" t="s">
        <v>98</v>
      </c>
      <c r="P4726" s="12" t="s">
        <v>72</v>
      </c>
      <c r="Q4726" s="13">
        <v>45757</v>
      </c>
      <c r="R4726" s="13">
        <v>45779</v>
      </c>
      <c r="S4726">
        <v>2025</v>
      </c>
      <c r="T4726" s="12" t="s">
        <v>5660</v>
      </c>
      <c r="U4726">
        <v>56</v>
      </c>
      <c r="V4726">
        <v>118.70959999999999</v>
      </c>
      <c r="W4726">
        <v>69.75</v>
      </c>
      <c r="X4726">
        <v>0</v>
      </c>
      <c r="Y4726">
        <v>0</v>
      </c>
      <c r="Z4726">
        <v>6647.74</v>
      </c>
      <c r="AA4726">
        <v>6717.49</v>
      </c>
      <c r="AB4726" s="12" t="s">
        <v>4936</v>
      </c>
      <c r="AC4726">
        <v>118.70959999999999</v>
      </c>
      <c r="AD4726">
        <v>1</v>
      </c>
      <c r="AE4726">
        <v>1</v>
      </c>
      <c r="AF4726">
        <v>0</v>
      </c>
      <c r="AG4726">
        <v>6647.74</v>
      </c>
      <c r="AH4726">
        <v>56</v>
      </c>
      <c r="AI4726">
        <v>55</v>
      </c>
      <c r="AJ4726">
        <v>1</v>
      </c>
      <c r="AK4726">
        <v>1</v>
      </c>
      <c r="AL4726">
        <v>1</v>
      </c>
      <c r="AM4726">
        <v>98.21</v>
      </c>
      <c r="AN4726">
        <v>122.1361</v>
      </c>
      <c r="AO4726">
        <v>118.71</v>
      </c>
      <c r="AP4726" s="13">
        <v>45777</v>
      </c>
      <c r="AQ4726">
        <v>-2</v>
      </c>
      <c r="AR4726">
        <v>1</v>
      </c>
    </row>
    <row r="4727" spans="1:44" x14ac:dyDescent="0.35">
      <c r="A4727" s="12" t="s">
        <v>5741</v>
      </c>
      <c r="B4727" s="12" t="s">
        <v>261</v>
      </c>
      <c r="C4727" s="12" t="s">
        <v>262</v>
      </c>
      <c r="D4727" s="12" t="s">
        <v>114</v>
      </c>
      <c r="E4727" s="12" t="s">
        <v>142</v>
      </c>
      <c r="F4727">
        <v>1</v>
      </c>
      <c r="G4727">
        <v>8</v>
      </c>
      <c r="H4727">
        <v>1</v>
      </c>
      <c r="I4727" s="12" t="s">
        <v>263</v>
      </c>
      <c r="J4727" s="12" t="s">
        <v>264</v>
      </c>
      <c r="K4727" s="12" t="s">
        <v>125</v>
      </c>
      <c r="L4727" s="12" t="s">
        <v>82</v>
      </c>
      <c r="M4727">
        <v>10.210000000000001</v>
      </c>
      <c r="N4727" s="12" t="s">
        <v>97</v>
      </c>
      <c r="O4727" s="12" t="s">
        <v>98</v>
      </c>
      <c r="P4727" s="12" t="s">
        <v>72</v>
      </c>
      <c r="Q4727" s="13">
        <v>45758</v>
      </c>
      <c r="R4727" s="13">
        <v>45805</v>
      </c>
      <c r="S4727">
        <v>2025</v>
      </c>
      <c r="T4727" s="12" t="s">
        <v>5660</v>
      </c>
      <c r="U4727">
        <v>106</v>
      </c>
      <c r="V4727">
        <v>148.9949</v>
      </c>
      <c r="W4727">
        <v>339.53</v>
      </c>
      <c r="X4727">
        <v>0</v>
      </c>
      <c r="Y4727">
        <v>0</v>
      </c>
      <c r="Z4727">
        <v>15793.46</v>
      </c>
      <c r="AA4727">
        <v>16132.99</v>
      </c>
      <c r="AB4727" s="12" t="s">
        <v>201</v>
      </c>
      <c r="AD4727">
        <v>0</v>
      </c>
      <c r="AE4727">
        <v>0</v>
      </c>
      <c r="AH4727">
        <v>106</v>
      </c>
      <c r="AI4727">
        <v>104</v>
      </c>
      <c r="AJ4727">
        <v>2</v>
      </c>
      <c r="AK4727">
        <v>1</v>
      </c>
      <c r="AL4727">
        <v>1</v>
      </c>
      <c r="AM4727">
        <v>98.11</v>
      </c>
      <c r="AN4727">
        <v>155.1249</v>
      </c>
      <c r="AO4727">
        <v>297.99</v>
      </c>
      <c r="AP4727" s="13">
        <v>45802</v>
      </c>
      <c r="AQ4727">
        <v>-3</v>
      </c>
      <c r="AR4727">
        <v>1</v>
      </c>
    </row>
    <row r="4728" spans="1:44" x14ac:dyDescent="0.35">
      <c r="A4728" s="12" t="s">
        <v>5742</v>
      </c>
      <c r="B4728" s="12" t="s">
        <v>613</v>
      </c>
      <c r="C4728" s="12" t="s">
        <v>614</v>
      </c>
      <c r="D4728" s="12" t="s">
        <v>130</v>
      </c>
      <c r="E4728" s="12" t="s">
        <v>104</v>
      </c>
      <c r="F4728">
        <v>3</v>
      </c>
      <c r="G4728">
        <v>1</v>
      </c>
      <c r="H4728">
        <v>0</v>
      </c>
      <c r="I4728" s="12" t="s">
        <v>66</v>
      </c>
      <c r="J4728" s="12" t="s">
        <v>67</v>
      </c>
      <c r="K4728" s="12" t="s">
        <v>68</v>
      </c>
      <c r="L4728" s="12" t="s">
        <v>69</v>
      </c>
      <c r="M4728">
        <v>17.66</v>
      </c>
      <c r="N4728" s="12" t="s">
        <v>135</v>
      </c>
      <c r="O4728" s="12" t="s">
        <v>136</v>
      </c>
      <c r="P4728" s="12" t="s">
        <v>137</v>
      </c>
      <c r="Q4728" s="13">
        <v>45758</v>
      </c>
      <c r="R4728" s="13">
        <v>45778</v>
      </c>
      <c r="S4728">
        <v>2025</v>
      </c>
      <c r="T4728" s="12" t="s">
        <v>5660</v>
      </c>
      <c r="U4728">
        <v>73</v>
      </c>
      <c r="V4728">
        <v>154.3064</v>
      </c>
      <c r="W4728">
        <v>272.77999999999997</v>
      </c>
      <c r="X4728">
        <v>0</v>
      </c>
      <c r="Y4728">
        <v>0</v>
      </c>
      <c r="Z4728">
        <v>11264.37</v>
      </c>
      <c r="AA4728">
        <v>11537.15</v>
      </c>
      <c r="AB4728" s="12" t="s">
        <v>5538</v>
      </c>
      <c r="AC4728">
        <v>154.3064</v>
      </c>
      <c r="AD4728">
        <v>1</v>
      </c>
      <c r="AE4728">
        <v>1</v>
      </c>
      <c r="AF4728">
        <v>0</v>
      </c>
      <c r="AG4728">
        <v>11264.37</v>
      </c>
      <c r="AH4728">
        <v>73</v>
      </c>
      <c r="AI4728">
        <v>73</v>
      </c>
      <c r="AJ4728">
        <v>0</v>
      </c>
      <c r="AK4728">
        <v>1</v>
      </c>
      <c r="AL4728">
        <v>1</v>
      </c>
      <c r="AM4728">
        <v>100</v>
      </c>
      <c r="AN4728">
        <v>158.04310000000001</v>
      </c>
      <c r="AO4728">
        <v>0</v>
      </c>
      <c r="AP4728" s="13">
        <v>45775</v>
      </c>
      <c r="AQ4728">
        <v>-3</v>
      </c>
      <c r="AR4728">
        <v>1</v>
      </c>
    </row>
    <row r="4729" spans="1:44" x14ac:dyDescent="0.35">
      <c r="A4729" s="12" t="s">
        <v>5743</v>
      </c>
      <c r="B4729" s="12" t="s">
        <v>694</v>
      </c>
      <c r="C4729" s="12" t="s">
        <v>695</v>
      </c>
      <c r="D4729" s="12" t="s">
        <v>103</v>
      </c>
      <c r="E4729" s="12" t="s">
        <v>65</v>
      </c>
      <c r="F4729">
        <v>2</v>
      </c>
      <c r="G4729">
        <v>3</v>
      </c>
      <c r="H4729">
        <v>0</v>
      </c>
      <c r="I4729" s="12" t="s">
        <v>94</v>
      </c>
      <c r="J4729" s="12" t="s">
        <v>95</v>
      </c>
      <c r="K4729" s="12" t="s">
        <v>81</v>
      </c>
      <c r="L4729" s="12" t="s">
        <v>96</v>
      </c>
      <c r="M4729">
        <v>4.8099999999999996</v>
      </c>
      <c r="N4729" s="12" t="s">
        <v>145</v>
      </c>
      <c r="O4729" s="12" t="s">
        <v>146</v>
      </c>
      <c r="P4729" s="12" t="s">
        <v>109</v>
      </c>
      <c r="Q4729" s="13">
        <v>45758</v>
      </c>
      <c r="R4729" s="13">
        <v>45782</v>
      </c>
      <c r="S4729">
        <v>2025</v>
      </c>
      <c r="T4729" s="12" t="s">
        <v>5660</v>
      </c>
      <c r="U4729">
        <v>34</v>
      </c>
      <c r="V4729">
        <v>245.3449</v>
      </c>
      <c r="W4729">
        <v>149.33000000000001</v>
      </c>
      <c r="X4729">
        <v>0</v>
      </c>
      <c r="Y4729">
        <v>0</v>
      </c>
      <c r="Z4729">
        <v>8341.73</v>
      </c>
      <c r="AA4729">
        <v>8491.06</v>
      </c>
      <c r="AB4729" s="12" t="s">
        <v>201</v>
      </c>
      <c r="AD4729">
        <v>0</v>
      </c>
      <c r="AE4729">
        <v>0</v>
      </c>
      <c r="AH4729">
        <v>34</v>
      </c>
      <c r="AI4729">
        <v>34</v>
      </c>
      <c r="AJ4729">
        <v>0</v>
      </c>
      <c r="AK4729">
        <v>1</v>
      </c>
      <c r="AL4729">
        <v>1</v>
      </c>
      <c r="AM4729">
        <v>100</v>
      </c>
      <c r="AN4729">
        <v>249.73699999999999</v>
      </c>
      <c r="AO4729">
        <v>0</v>
      </c>
      <c r="AP4729" s="13">
        <v>45780</v>
      </c>
      <c r="AQ4729">
        <v>-2</v>
      </c>
      <c r="AR4729">
        <v>1</v>
      </c>
    </row>
    <row r="4730" spans="1:44" x14ac:dyDescent="0.35">
      <c r="A4730" s="12" t="s">
        <v>5744</v>
      </c>
      <c r="B4730" s="12" t="s">
        <v>617</v>
      </c>
      <c r="C4730" s="12" t="s">
        <v>618</v>
      </c>
      <c r="D4730" s="12" t="s">
        <v>78</v>
      </c>
      <c r="E4730" s="12" t="s">
        <v>65</v>
      </c>
      <c r="F4730">
        <v>2</v>
      </c>
      <c r="G4730">
        <v>4</v>
      </c>
      <c r="H4730">
        <v>0</v>
      </c>
      <c r="I4730" s="12" t="s">
        <v>209</v>
      </c>
      <c r="J4730" s="12" t="s">
        <v>210</v>
      </c>
      <c r="K4730" s="12" t="s">
        <v>133</v>
      </c>
      <c r="L4730" s="12" t="s">
        <v>96</v>
      </c>
      <c r="M4730">
        <v>7.82</v>
      </c>
      <c r="N4730" s="12" t="s">
        <v>97</v>
      </c>
      <c r="O4730" s="12" t="s">
        <v>98</v>
      </c>
      <c r="P4730" s="12" t="s">
        <v>72</v>
      </c>
      <c r="Q4730" s="13">
        <v>45758</v>
      </c>
      <c r="R4730" s="13">
        <v>45796</v>
      </c>
      <c r="S4730">
        <v>2025</v>
      </c>
      <c r="T4730" s="12" t="s">
        <v>5660</v>
      </c>
      <c r="U4730">
        <v>294</v>
      </c>
      <c r="V4730">
        <v>107.9961</v>
      </c>
      <c r="W4730">
        <v>315.94</v>
      </c>
      <c r="X4730">
        <v>0</v>
      </c>
      <c r="Y4730">
        <v>0</v>
      </c>
      <c r="Z4730">
        <v>31750.85</v>
      </c>
      <c r="AA4730">
        <v>32066.79</v>
      </c>
      <c r="AB4730" s="12" t="s">
        <v>5745</v>
      </c>
      <c r="AC4730">
        <v>107.9961</v>
      </c>
      <c r="AD4730">
        <v>1</v>
      </c>
      <c r="AE4730">
        <v>1</v>
      </c>
      <c r="AF4730">
        <v>0</v>
      </c>
      <c r="AG4730">
        <v>31750.85</v>
      </c>
      <c r="AH4730">
        <v>294</v>
      </c>
      <c r="AI4730">
        <v>288</v>
      </c>
      <c r="AJ4730">
        <v>6</v>
      </c>
      <c r="AK4730">
        <v>1</v>
      </c>
      <c r="AL4730">
        <v>1</v>
      </c>
      <c r="AM4730">
        <v>97.96</v>
      </c>
      <c r="AN4730">
        <v>111.343</v>
      </c>
      <c r="AO4730">
        <v>647.98</v>
      </c>
      <c r="AP4730" s="13">
        <v>45793</v>
      </c>
      <c r="AQ4730">
        <v>-3</v>
      </c>
      <c r="AR4730">
        <v>1</v>
      </c>
    </row>
    <row r="4731" spans="1:44" x14ac:dyDescent="0.35">
      <c r="A4731" s="12" t="s">
        <v>5746</v>
      </c>
      <c r="B4731" s="12" t="s">
        <v>1075</v>
      </c>
      <c r="C4731" s="12" t="s">
        <v>1076</v>
      </c>
      <c r="D4731" s="12" t="s">
        <v>103</v>
      </c>
      <c r="E4731" s="12" t="s">
        <v>65</v>
      </c>
      <c r="F4731">
        <v>2</v>
      </c>
      <c r="G4731">
        <v>4</v>
      </c>
      <c r="H4731">
        <v>0</v>
      </c>
      <c r="I4731" s="12" t="s">
        <v>183</v>
      </c>
      <c r="J4731" s="12" t="s">
        <v>184</v>
      </c>
      <c r="K4731" s="12" t="s">
        <v>133</v>
      </c>
      <c r="L4731" s="12" t="s">
        <v>82</v>
      </c>
      <c r="M4731">
        <v>8.6199999999999992</v>
      </c>
      <c r="N4731" s="12" t="s">
        <v>145</v>
      </c>
      <c r="O4731" s="12" t="s">
        <v>146</v>
      </c>
      <c r="P4731" s="12" t="s">
        <v>109</v>
      </c>
      <c r="Q4731" s="13">
        <v>45758</v>
      </c>
      <c r="R4731" s="13">
        <v>45783</v>
      </c>
      <c r="S4731">
        <v>2025</v>
      </c>
      <c r="T4731" s="12" t="s">
        <v>5660</v>
      </c>
      <c r="U4731">
        <v>48</v>
      </c>
      <c r="V4731">
        <v>76.666600000000003</v>
      </c>
      <c r="W4731">
        <v>26.73</v>
      </c>
      <c r="X4731">
        <v>0</v>
      </c>
      <c r="Y4731">
        <v>0</v>
      </c>
      <c r="Z4731">
        <v>3680</v>
      </c>
      <c r="AA4731">
        <v>3706.73</v>
      </c>
      <c r="AB4731" s="12" t="s">
        <v>201</v>
      </c>
      <c r="AD4731">
        <v>0</v>
      </c>
      <c r="AE4731">
        <v>0</v>
      </c>
      <c r="AH4731">
        <v>48</v>
      </c>
      <c r="AI4731">
        <v>47</v>
      </c>
      <c r="AJ4731">
        <v>1</v>
      </c>
      <c r="AK4731">
        <v>1</v>
      </c>
      <c r="AL4731">
        <v>1</v>
      </c>
      <c r="AM4731">
        <v>97.92</v>
      </c>
      <c r="AN4731">
        <v>78.866500000000002</v>
      </c>
      <c r="AO4731">
        <v>76.67</v>
      </c>
      <c r="AP4731" s="13">
        <v>45781</v>
      </c>
      <c r="AQ4731">
        <v>-2</v>
      </c>
      <c r="AR4731">
        <v>1</v>
      </c>
    </row>
    <row r="4732" spans="1:44" x14ac:dyDescent="0.35">
      <c r="A4732" s="12" t="s">
        <v>5747</v>
      </c>
      <c r="B4732" s="12" t="s">
        <v>773</v>
      </c>
      <c r="C4732" s="12" t="s">
        <v>774</v>
      </c>
      <c r="D4732" s="12" t="s">
        <v>64</v>
      </c>
      <c r="E4732" s="12" t="s">
        <v>142</v>
      </c>
      <c r="F4732">
        <v>1</v>
      </c>
      <c r="G4732">
        <v>7</v>
      </c>
      <c r="H4732">
        <v>1</v>
      </c>
      <c r="I4732" s="12" t="s">
        <v>251</v>
      </c>
      <c r="J4732" s="12" t="s">
        <v>252</v>
      </c>
      <c r="K4732" s="12" t="s">
        <v>133</v>
      </c>
      <c r="L4732" s="12" t="s">
        <v>69</v>
      </c>
      <c r="M4732">
        <v>34.49</v>
      </c>
      <c r="N4732" s="12" t="s">
        <v>70</v>
      </c>
      <c r="O4732" s="12" t="s">
        <v>71</v>
      </c>
      <c r="P4732" s="12" t="s">
        <v>72</v>
      </c>
      <c r="Q4732" s="13">
        <v>45758</v>
      </c>
      <c r="R4732" s="13">
        <v>45804</v>
      </c>
      <c r="S4732">
        <v>2025</v>
      </c>
      <c r="T4732" s="12" t="s">
        <v>5660</v>
      </c>
      <c r="U4732">
        <v>666</v>
      </c>
      <c r="V4732">
        <v>9.9849999999999994</v>
      </c>
      <c r="W4732">
        <v>87.2</v>
      </c>
      <c r="X4732">
        <v>0</v>
      </c>
      <c r="Y4732">
        <v>0</v>
      </c>
      <c r="Z4732">
        <v>6650.01</v>
      </c>
      <c r="AA4732">
        <v>6737.21</v>
      </c>
      <c r="AB4732" s="12" t="s">
        <v>5613</v>
      </c>
      <c r="AC4732">
        <v>9.9849999999999994</v>
      </c>
      <c r="AD4732">
        <v>1</v>
      </c>
      <c r="AE4732">
        <v>1</v>
      </c>
      <c r="AF4732">
        <v>0</v>
      </c>
      <c r="AG4732">
        <v>6650.01</v>
      </c>
      <c r="AH4732">
        <v>666</v>
      </c>
      <c r="AI4732">
        <v>656</v>
      </c>
      <c r="AJ4732">
        <v>10</v>
      </c>
      <c r="AK4732">
        <v>1</v>
      </c>
      <c r="AL4732">
        <v>1</v>
      </c>
      <c r="AM4732">
        <v>98.5</v>
      </c>
      <c r="AN4732">
        <v>10.270099999999999</v>
      </c>
      <c r="AO4732">
        <v>99.85</v>
      </c>
      <c r="AP4732" s="13">
        <v>45803</v>
      </c>
      <c r="AQ4732">
        <v>-1</v>
      </c>
      <c r="AR4732">
        <v>1</v>
      </c>
    </row>
    <row r="4733" spans="1:44" x14ac:dyDescent="0.35">
      <c r="A4733" s="12" t="s">
        <v>5748</v>
      </c>
      <c r="B4733" s="12" t="s">
        <v>404</v>
      </c>
      <c r="C4733" s="12" t="s">
        <v>405</v>
      </c>
      <c r="D4733" s="12" t="s">
        <v>269</v>
      </c>
      <c r="E4733" s="12" t="s">
        <v>65</v>
      </c>
      <c r="F4733">
        <v>3</v>
      </c>
      <c r="G4733">
        <v>5</v>
      </c>
      <c r="H4733">
        <v>0</v>
      </c>
      <c r="I4733" s="12" t="s">
        <v>79</v>
      </c>
      <c r="J4733" s="12" t="s">
        <v>80</v>
      </c>
      <c r="K4733" s="12" t="s">
        <v>81</v>
      </c>
      <c r="L4733" s="12" t="s">
        <v>82</v>
      </c>
      <c r="M4733">
        <v>12.07</v>
      </c>
      <c r="N4733" s="12" t="s">
        <v>135</v>
      </c>
      <c r="O4733" s="12" t="s">
        <v>136</v>
      </c>
      <c r="P4733" s="12" t="s">
        <v>137</v>
      </c>
      <c r="Q4733" s="13">
        <v>45761</v>
      </c>
      <c r="R4733" s="13">
        <v>45794</v>
      </c>
      <c r="S4733">
        <v>2025</v>
      </c>
      <c r="T4733" s="12" t="s">
        <v>5660</v>
      </c>
      <c r="U4733">
        <v>104</v>
      </c>
      <c r="V4733">
        <v>430.10059999999999</v>
      </c>
      <c r="W4733">
        <v>775.67</v>
      </c>
      <c r="X4733">
        <v>0</v>
      </c>
      <c r="Y4733">
        <v>0</v>
      </c>
      <c r="Z4733">
        <v>44730.46</v>
      </c>
      <c r="AA4733">
        <v>45506.13</v>
      </c>
      <c r="AB4733" s="12" t="s">
        <v>5503</v>
      </c>
      <c r="AC4733">
        <v>430.10059999999999</v>
      </c>
      <c r="AD4733">
        <v>1</v>
      </c>
      <c r="AE4733">
        <v>1</v>
      </c>
      <c r="AF4733">
        <v>0</v>
      </c>
      <c r="AG4733">
        <v>44730.46</v>
      </c>
      <c r="AH4733">
        <v>104</v>
      </c>
      <c r="AI4733">
        <v>103</v>
      </c>
      <c r="AJ4733">
        <v>1</v>
      </c>
      <c r="AK4733">
        <v>1</v>
      </c>
      <c r="AL4733">
        <v>1</v>
      </c>
      <c r="AM4733">
        <v>99.04</v>
      </c>
      <c r="AN4733">
        <v>441.80709999999999</v>
      </c>
      <c r="AO4733">
        <v>430.1</v>
      </c>
      <c r="AP4733" s="13">
        <v>45793</v>
      </c>
      <c r="AQ4733">
        <v>-1</v>
      </c>
      <c r="AR4733">
        <v>1</v>
      </c>
    </row>
    <row r="4734" spans="1:44" x14ac:dyDescent="0.35">
      <c r="A4734" s="12" t="s">
        <v>5749</v>
      </c>
      <c r="B4734" s="12" t="s">
        <v>408</v>
      </c>
      <c r="C4734" s="12" t="s">
        <v>409</v>
      </c>
      <c r="D4734" s="12" t="s">
        <v>130</v>
      </c>
      <c r="E4734" s="12" t="s">
        <v>65</v>
      </c>
      <c r="F4734">
        <v>3</v>
      </c>
      <c r="G4734">
        <v>5</v>
      </c>
      <c r="H4734">
        <v>0</v>
      </c>
      <c r="I4734" s="12" t="s">
        <v>105</v>
      </c>
      <c r="J4734" s="12" t="s">
        <v>106</v>
      </c>
      <c r="K4734" s="12" t="s">
        <v>81</v>
      </c>
      <c r="L4734" s="12" t="s">
        <v>96</v>
      </c>
      <c r="M4734">
        <v>5.01</v>
      </c>
      <c r="N4734" s="12" t="s">
        <v>135</v>
      </c>
      <c r="O4734" s="12" t="s">
        <v>136</v>
      </c>
      <c r="P4734" s="12" t="s">
        <v>137</v>
      </c>
      <c r="Q4734" s="13">
        <v>45761</v>
      </c>
      <c r="R4734" s="13">
        <v>45786</v>
      </c>
      <c r="S4734">
        <v>2025</v>
      </c>
      <c r="T4734" s="12" t="s">
        <v>5660</v>
      </c>
      <c r="U4734">
        <v>42</v>
      </c>
      <c r="V4734">
        <v>748.95240000000001</v>
      </c>
      <c r="W4734">
        <v>345.27</v>
      </c>
      <c r="X4734">
        <v>0</v>
      </c>
      <c r="Y4734">
        <v>0</v>
      </c>
      <c r="Z4734">
        <v>31456</v>
      </c>
      <c r="AA4734">
        <v>31801.27</v>
      </c>
      <c r="AB4734" s="12" t="s">
        <v>5490</v>
      </c>
      <c r="AC4734">
        <v>724.06979999999999</v>
      </c>
      <c r="AD4734">
        <v>1</v>
      </c>
      <c r="AE4734">
        <v>1</v>
      </c>
      <c r="AF4734">
        <v>1045.07</v>
      </c>
      <c r="AG4734">
        <v>30410.93</v>
      </c>
      <c r="AH4734">
        <v>42</v>
      </c>
      <c r="AI4734">
        <v>42</v>
      </c>
      <c r="AJ4734">
        <v>0</v>
      </c>
      <c r="AK4734">
        <v>1</v>
      </c>
      <c r="AL4734">
        <v>1</v>
      </c>
      <c r="AM4734">
        <v>100</v>
      </c>
      <c r="AN4734">
        <v>757.17309999999998</v>
      </c>
      <c r="AO4734">
        <v>0</v>
      </c>
      <c r="AP4734" s="13">
        <v>45784</v>
      </c>
      <c r="AQ4734">
        <v>-2</v>
      </c>
      <c r="AR4734">
        <v>1</v>
      </c>
    </row>
    <row r="4735" spans="1:44" x14ac:dyDescent="0.35">
      <c r="A4735" s="12" t="s">
        <v>5750</v>
      </c>
      <c r="B4735" s="12" t="s">
        <v>120</v>
      </c>
      <c r="C4735" s="12" t="s">
        <v>121</v>
      </c>
      <c r="D4735" s="12" t="s">
        <v>122</v>
      </c>
      <c r="E4735" s="12" t="s">
        <v>65</v>
      </c>
      <c r="F4735">
        <v>3</v>
      </c>
      <c r="G4735">
        <v>4</v>
      </c>
      <c r="H4735">
        <v>0</v>
      </c>
      <c r="I4735" s="12" t="s">
        <v>79</v>
      </c>
      <c r="J4735" s="12" t="s">
        <v>80</v>
      </c>
      <c r="K4735" s="12" t="s">
        <v>81</v>
      </c>
      <c r="L4735" s="12" t="s">
        <v>82</v>
      </c>
      <c r="M4735">
        <v>12.07</v>
      </c>
      <c r="N4735" s="12" t="s">
        <v>97</v>
      </c>
      <c r="O4735" s="12" t="s">
        <v>98</v>
      </c>
      <c r="P4735" s="12" t="s">
        <v>72</v>
      </c>
      <c r="Q4735" s="13">
        <v>45761</v>
      </c>
      <c r="R4735" s="13">
        <v>45787</v>
      </c>
      <c r="S4735">
        <v>2025</v>
      </c>
      <c r="T4735" s="12" t="s">
        <v>5660</v>
      </c>
      <c r="U4735">
        <v>757</v>
      </c>
      <c r="V4735">
        <v>51.058100000000003</v>
      </c>
      <c r="W4735">
        <v>790.77</v>
      </c>
      <c r="X4735">
        <v>0</v>
      </c>
      <c r="Y4735">
        <v>0</v>
      </c>
      <c r="Z4735">
        <v>38650.980000000003</v>
      </c>
      <c r="AA4735">
        <v>39441.75</v>
      </c>
      <c r="AB4735" s="12" t="s">
        <v>5751</v>
      </c>
      <c r="AC4735">
        <v>51.058100000000003</v>
      </c>
      <c r="AD4735">
        <v>1</v>
      </c>
      <c r="AE4735">
        <v>1</v>
      </c>
      <c r="AF4735">
        <v>0</v>
      </c>
      <c r="AG4735">
        <v>38650.980000000003</v>
      </c>
      <c r="AH4735">
        <v>757</v>
      </c>
      <c r="AI4735">
        <v>749</v>
      </c>
      <c r="AJ4735">
        <v>8</v>
      </c>
      <c r="AK4735">
        <v>1</v>
      </c>
      <c r="AL4735">
        <v>1</v>
      </c>
      <c r="AM4735">
        <v>98.94</v>
      </c>
      <c r="AN4735">
        <v>52.659199999999998</v>
      </c>
      <c r="AO4735">
        <v>408.46</v>
      </c>
      <c r="AP4735" s="13">
        <v>45786</v>
      </c>
      <c r="AQ4735">
        <v>-1</v>
      </c>
      <c r="AR4735">
        <v>1</v>
      </c>
    </row>
    <row r="4736" spans="1:44" x14ac:dyDescent="0.35">
      <c r="A4736" s="12" t="s">
        <v>5752</v>
      </c>
      <c r="B4736" s="12" t="s">
        <v>451</v>
      </c>
      <c r="C4736" s="12" t="s">
        <v>452</v>
      </c>
      <c r="D4736" s="12" t="s">
        <v>175</v>
      </c>
      <c r="E4736" s="12" t="s">
        <v>104</v>
      </c>
      <c r="F4736">
        <v>3</v>
      </c>
      <c r="G4736">
        <v>1</v>
      </c>
      <c r="H4736">
        <v>0</v>
      </c>
      <c r="I4736" s="12" t="s">
        <v>359</v>
      </c>
      <c r="J4736" s="12" t="s">
        <v>360</v>
      </c>
      <c r="K4736" s="12" t="s">
        <v>133</v>
      </c>
      <c r="L4736" s="12" t="s">
        <v>82</v>
      </c>
      <c r="M4736">
        <v>12.65</v>
      </c>
      <c r="N4736" s="12" t="s">
        <v>107</v>
      </c>
      <c r="O4736" s="12" t="s">
        <v>108</v>
      </c>
      <c r="P4736" s="12" t="s">
        <v>109</v>
      </c>
      <c r="Q4736" s="13">
        <v>45761</v>
      </c>
      <c r="R4736" s="13">
        <v>45774</v>
      </c>
      <c r="S4736">
        <v>2025</v>
      </c>
      <c r="T4736" s="12" t="s">
        <v>5660</v>
      </c>
      <c r="U4736">
        <v>23</v>
      </c>
      <c r="V4736">
        <v>204.1386</v>
      </c>
      <c r="W4736">
        <v>108.51</v>
      </c>
      <c r="X4736">
        <v>0</v>
      </c>
      <c r="Y4736">
        <v>0</v>
      </c>
      <c r="Z4736">
        <v>4695.1899999999996</v>
      </c>
      <c r="AA4736">
        <v>4803.7</v>
      </c>
      <c r="AB4736" s="12" t="s">
        <v>5244</v>
      </c>
      <c r="AC4736">
        <v>216.9588</v>
      </c>
      <c r="AD4736">
        <v>1</v>
      </c>
      <c r="AE4736">
        <v>1</v>
      </c>
      <c r="AF4736">
        <v>-294.86</v>
      </c>
      <c r="AG4736">
        <v>4990.05</v>
      </c>
      <c r="AH4736">
        <v>23</v>
      </c>
      <c r="AI4736">
        <v>23</v>
      </c>
      <c r="AJ4736">
        <v>0</v>
      </c>
      <c r="AK4736">
        <v>1</v>
      </c>
      <c r="AL4736">
        <v>1</v>
      </c>
      <c r="AM4736">
        <v>100</v>
      </c>
      <c r="AN4736">
        <v>208.85640000000001</v>
      </c>
      <c r="AO4736">
        <v>0</v>
      </c>
      <c r="AP4736" s="13">
        <v>45776</v>
      </c>
      <c r="AQ4736">
        <v>2</v>
      </c>
      <c r="AR4736">
        <v>0</v>
      </c>
    </row>
    <row r="4737" spans="1:44" x14ac:dyDescent="0.35">
      <c r="A4737" s="12" t="s">
        <v>5753</v>
      </c>
      <c r="B4737" s="12" t="s">
        <v>876</v>
      </c>
      <c r="C4737" s="12" t="s">
        <v>877</v>
      </c>
      <c r="D4737" s="12" t="s">
        <v>269</v>
      </c>
      <c r="E4737" s="12" t="s">
        <v>142</v>
      </c>
      <c r="F4737">
        <v>3</v>
      </c>
      <c r="G4737">
        <v>11</v>
      </c>
      <c r="H4737">
        <v>0</v>
      </c>
      <c r="I4737" s="12" t="s">
        <v>87</v>
      </c>
      <c r="J4737" s="12" t="s">
        <v>88</v>
      </c>
      <c r="K4737" s="12" t="s">
        <v>89</v>
      </c>
      <c r="L4737" s="12" t="s">
        <v>69</v>
      </c>
      <c r="M4737">
        <v>14.93</v>
      </c>
      <c r="N4737" s="12" t="s">
        <v>159</v>
      </c>
      <c r="O4737" s="12" t="s">
        <v>160</v>
      </c>
      <c r="P4737" s="12" t="s">
        <v>137</v>
      </c>
      <c r="Q4737" s="13">
        <v>45761</v>
      </c>
      <c r="R4737" s="13">
        <v>45800</v>
      </c>
      <c r="S4737">
        <v>2025</v>
      </c>
      <c r="T4737" s="12" t="s">
        <v>5660</v>
      </c>
      <c r="U4737">
        <v>46</v>
      </c>
      <c r="V4737">
        <v>221.57470000000001</v>
      </c>
      <c r="W4737">
        <v>68.92</v>
      </c>
      <c r="X4737">
        <v>0</v>
      </c>
      <c r="Y4737">
        <v>0</v>
      </c>
      <c r="Z4737">
        <v>10192.44</v>
      </c>
      <c r="AA4737">
        <v>10261.36</v>
      </c>
      <c r="AB4737" s="12" t="s">
        <v>201</v>
      </c>
      <c r="AD4737">
        <v>0</v>
      </c>
      <c r="AE4737">
        <v>0</v>
      </c>
      <c r="AH4737">
        <v>46</v>
      </c>
      <c r="AI4737">
        <v>46</v>
      </c>
      <c r="AJ4737">
        <v>0</v>
      </c>
      <c r="AK4737">
        <v>1</v>
      </c>
      <c r="AL4737">
        <v>1</v>
      </c>
      <c r="AM4737">
        <v>100</v>
      </c>
      <c r="AN4737">
        <v>223.07300000000001</v>
      </c>
      <c r="AO4737">
        <v>0</v>
      </c>
      <c r="AP4737" s="13">
        <v>45800</v>
      </c>
      <c r="AQ4737">
        <v>0</v>
      </c>
      <c r="AR4737">
        <v>1</v>
      </c>
    </row>
    <row r="4738" spans="1:44" x14ac:dyDescent="0.35">
      <c r="A4738" s="12" t="s">
        <v>5754</v>
      </c>
      <c r="B4738" s="12" t="s">
        <v>809</v>
      </c>
      <c r="C4738" s="12" t="s">
        <v>810</v>
      </c>
      <c r="D4738" s="12" t="s">
        <v>114</v>
      </c>
      <c r="E4738" s="12" t="s">
        <v>65</v>
      </c>
      <c r="F4738">
        <v>3</v>
      </c>
      <c r="G4738">
        <v>5</v>
      </c>
      <c r="H4738">
        <v>0</v>
      </c>
      <c r="I4738" s="12" t="s">
        <v>123</v>
      </c>
      <c r="J4738" s="12" t="s">
        <v>124</v>
      </c>
      <c r="K4738" s="12" t="s">
        <v>125</v>
      </c>
      <c r="L4738" s="12" t="s">
        <v>82</v>
      </c>
      <c r="M4738">
        <v>6.75</v>
      </c>
      <c r="N4738" s="12" t="s">
        <v>97</v>
      </c>
      <c r="O4738" s="12" t="s">
        <v>98</v>
      </c>
      <c r="P4738" s="12" t="s">
        <v>72</v>
      </c>
      <c r="Q4738" s="13">
        <v>45761</v>
      </c>
      <c r="R4738" s="13">
        <v>45783</v>
      </c>
      <c r="S4738">
        <v>2025</v>
      </c>
      <c r="T4738" s="12" t="s">
        <v>5660</v>
      </c>
      <c r="U4738">
        <v>21</v>
      </c>
      <c r="V4738">
        <v>339.48790000000002</v>
      </c>
      <c r="W4738">
        <v>43.01</v>
      </c>
      <c r="X4738">
        <v>0</v>
      </c>
      <c r="Y4738">
        <v>0</v>
      </c>
      <c r="Z4738">
        <v>7129.25</v>
      </c>
      <c r="AA4738">
        <v>7172.26</v>
      </c>
      <c r="AB4738" s="12" t="s">
        <v>201</v>
      </c>
      <c r="AD4738">
        <v>0</v>
      </c>
      <c r="AE4738">
        <v>0</v>
      </c>
      <c r="AH4738">
        <v>21</v>
      </c>
      <c r="AI4738">
        <v>21</v>
      </c>
      <c r="AJ4738">
        <v>0</v>
      </c>
      <c r="AK4738">
        <v>1</v>
      </c>
      <c r="AL4738">
        <v>1</v>
      </c>
      <c r="AM4738">
        <v>100</v>
      </c>
      <c r="AN4738">
        <v>341.536</v>
      </c>
      <c r="AO4738">
        <v>0</v>
      </c>
      <c r="AP4738" s="13">
        <v>45781</v>
      </c>
      <c r="AQ4738">
        <v>-2</v>
      </c>
      <c r="AR4738">
        <v>1</v>
      </c>
    </row>
    <row r="4739" spans="1:44" x14ac:dyDescent="0.35">
      <c r="A4739" s="12" t="s">
        <v>5755</v>
      </c>
      <c r="B4739" s="12" t="s">
        <v>238</v>
      </c>
      <c r="C4739" s="12" t="s">
        <v>239</v>
      </c>
      <c r="D4739" s="12" t="s">
        <v>122</v>
      </c>
      <c r="E4739" s="12" t="s">
        <v>65</v>
      </c>
      <c r="F4739">
        <v>3</v>
      </c>
      <c r="G4739">
        <v>4</v>
      </c>
      <c r="H4739">
        <v>0</v>
      </c>
      <c r="I4739" s="12" t="s">
        <v>79</v>
      </c>
      <c r="J4739" s="12" t="s">
        <v>80</v>
      </c>
      <c r="K4739" s="12" t="s">
        <v>81</v>
      </c>
      <c r="L4739" s="12" t="s">
        <v>82</v>
      </c>
      <c r="M4739">
        <v>12.07</v>
      </c>
      <c r="N4739" s="12" t="s">
        <v>97</v>
      </c>
      <c r="O4739" s="12" t="s">
        <v>98</v>
      </c>
      <c r="P4739" s="12" t="s">
        <v>72</v>
      </c>
      <c r="Q4739" s="13">
        <v>45761</v>
      </c>
      <c r="R4739" s="13">
        <v>45797</v>
      </c>
      <c r="S4739">
        <v>2025</v>
      </c>
      <c r="T4739" s="12" t="s">
        <v>5660</v>
      </c>
      <c r="U4739">
        <v>1762</v>
      </c>
      <c r="V4739">
        <v>34.205399999999997</v>
      </c>
      <c r="W4739">
        <v>679.8</v>
      </c>
      <c r="X4739">
        <v>0</v>
      </c>
      <c r="Y4739">
        <v>0</v>
      </c>
      <c r="Z4739">
        <v>60269.91</v>
      </c>
      <c r="AA4739">
        <v>60949.71</v>
      </c>
      <c r="AB4739" s="12" t="s">
        <v>5214</v>
      </c>
      <c r="AC4739">
        <v>34.205399999999997</v>
      </c>
      <c r="AD4739">
        <v>1</v>
      </c>
      <c r="AE4739">
        <v>1</v>
      </c>
      <c r="AF4739">
        <v>0</v>
      </c>
      <c r="AG4739">
        <v>60269.91</v>
      </c>
      <c r="AH4739">
        <v>1762</v>
      </c>
      <c r="AI4739">
        <v>1741</v>
      </c>
      <c r="AJ4739">
        <v>21</v>
      </c>
      <c r="AK4739">
        <v>1</v>
      </c>
      <c r="AL4739">
        <v>1</v>
      </c>
      <c r="AM4739">
        <v>98.81</v>
      </c>
      <c r="AN4739">
        <v>35.008499999999998</v>
      </c>
      <c r="AO4739">
        <v>718.31</v>
      </c>
      <c r="AP4739" s="13">
        <v>45795</v>
      </c>
      <c r="AQ4739">
        <v>-2</v>
      </c>
      <c r="AR4739">
        <v>1</v>
      </c>
    </row>
    <row r="4740" spans="1:44" x14ac:dyDescent="0.35">
      <c r="A4740" s="12" t="s">
        <v>5756</v>
      </c>
      <c r="B4740" s="12" t="s">
        <v>327</v>
      </c>
      <c r="C4740" s="12" t="s">
        <v>328</v>
      </c>
      <c r="D4740" s="12" t="s">
        <v>130</v>
      </c>
      <c r="E4740" s="12" t="s">
        <v>104</v>
      </c>
      <c r="F4740">
        <v>2</v>
      </c>
      <c r="G4740">
        <v>0</v>
      </c>
      <c r="H4740">
        <v>0</v>
      </c>
      <c r="I4740" s="12" t="s">
        <v>94</v>
      </c>
      <c r="J4740" s="12" t="s">
        <v>95</v>
      </c>
      <c r="K4740" s="12" t="s">
        <v>81</v>
      </c>
      <c r="L4740" s="12" t="s">
        <v>96</v>
      </c>
      <c r="M4740">
        <v>4.8099999999999996</v>
      </c>
      <c r="N4740" s="12" t="s">
        <v>135</v>
      </c>
      <c r="O4740" s="12" t="s">
        <v>136</v>
      </c>
      <c r="P4740" s="12" t="s">
        <v>137</v>
      </c>
      <c r="Q4740" s="13">
        <v>45762</v>
      </c>
      <c r="R4740" s="13">
        <v>45782</v>
      </c>
      <c r="S4740">
        <v>2025</v>
      </c>
      <c r="T4740" s="12" t="s">
        <v>5660</v>
      </c>
      <c r="U4740">
        <v>78</v>
      </c>
      <c r="V4740">
        <v>637.04729999999995</v>
      </c>
      <c r="W4740">
        <v>545.28</v>
      </c>
      <c r="X4740">
        <v>0</v>
      </c>
      <c r="Y4740">
        <v>0</v>
      </c>
      <c r="Z4740">
        <v>49689.69</v>
      </c>
      <c r="AA4740">
        <v>50234.97</v>
      </c>
      <c r="AB4740" s="12" t="s">
        <v>5449</v>
      </c>
      <c r="AC4740">
        <v>637.04729999999995</v>
      </c>
      <c r="AD4740">
        <v>1</v>
      </c>
      <c r="AE4740">
        <v>1</v>
      </c>
      <c r="AF4740">
        <v>0</v>
      </c>
      <c r="AG4740">
        <v>49689.69</v>
      </c>
      <c r="AH4740">
        <v>78</v>
      </c>
      <c r="AI4740">
        <v>77</v>
      </c>
      <c r="AJ4740">
        <v>1</v>
      </c>
      <c r="AK4740">
        <v>1</v>
      </c>
      <c r="AL4740">
        <v>1</v>
      </c>
      <c r="AM4740">
        <v>98.72</v>
      </c>
      <c r="AN4740">
        <v>652.40219999999999</v>
      </c>
      <c r="AO4740">
        <v>637.04999999999995</v>
      </c>
      <c r="AP4740" s="13">
        <v>45781</v>
      </c>
      <c r="AQ4740">
        <v>-1</v>
      </c>
      <c r="AR4740">
        <v>1</v>
      </c>
    </row>
    <row r="4741" spans="1:44" x14ac:dyDescent="0.35">
      <c r="A4741" s="12" t="s">
        <v>5757</v>
      </c>
      <c r="B4741" s="12" t="s">
        <v>399</v>
      </c>
      <c r="C4741" s="12" t="s">
        <v>400</v>
      </c>
      <c r="D4741" s="12" t="s">
        <v>114</v>
      </c>
      <c r="E4741" s="12" t="s">
        <v>65</v>
      </c>
      <c r="F4741">
        <v>1</v>
      </c>
      <c r="G4741">
        <v>2</v>
      </c>
      <c r="H4741">
        <v>1</v>
      </c>
      <c r="I4741" s="12" t="s">
        <v>151</v>
      </c>
      <c r="J4741" s="12" t="s">
        <v>152</v>
      </c>
      <c r="K4741" s="12" t="s">
        <v>125</v>
      </c>
      <c r="L4741" s="12" t="s">
        <v>69</v>
      </c>
      <c r="M4741">
        <v>36.479999999999997</v>
      </c>
      <c r="N4741" s="12" t="s">
        <v>70</v>
      </c>
      <c r="O4741" s="12" t="s">
        <v>71</v>
      </c>
      <c r="P4741" s="12" t="s">
        <v>72</v>
      </c>
      <c r="Q4741" s="13">
        <v>45762</v>
      </c>
      <c r="R4741" s="13">
        <v>45798</v>
      </c>
      <c r="S4741">
        <v>2025</v>
      </c>
      <c r="T4741" s="12" t="s">
        <v>5660</v>
      </c>
      <c r="U4741">
        <v>131</v>
      </c>
      <c r="V4741">
        <v>327.64890000000003</v>
      </c>
      <c r="W4741">
        <v>363.68</v>
      </c>
      <c r="X4741">
        <v>0</v>
      </c>
      <c r="Y4741">
        <v>0</v>
      </c>
      <c r="Z4741">
        <v>42922.01</v>
      </c>
      <c r="AA4741">
        <v>43285.69</v>
      </c>
      <c r="AB4741" s="12" t="s">
        <v>201</v>
      </c>
      <c r="AD4741">
        <v>0</v>
      </c>
      <c r="AE4741">
        <v>0</v>
      </c>
      <c r="AH4741">
        <v>131</v>
      </c>
      <c r="AI4741">
        <v>130</v>
      </c>
      <c r="AJ4741">
        <v>1</v>
      </c>
      <c r="AK4741">
        <v>1</v>
      </c>
      <c r="AL4741">
        <v>1</v>
      </c>
      <c r="AM4741">
        <v>99.24</v>
      </c>
      <c r="AN4741">
        <v>332.96679999999998</v>
      </c>
      <c r="AO4741">
        <v>327.64999999999998</v>
      </c>
      <c r="AP4741" s="13">
        <v>45796</v>
      </c>
      <c r="AQ4741">
        <v>-2</v>
      </c>
      <c r="AR4741">
        <v>1</v>
      </c>
    </row>
    <row r="4742" spans="1:44" x14ac:dyDescent="0.35">
      <c r="A4742" s="12" t="s">
        <v>5758</v>
      </c>
      <c r="B4742" s="12" t="s">
        <v>331</v>
      </c>
      <c r="C4742" s="12" t="s">
        <v>332</v>
      </c>
      <c r="D4742" s="12" t="s">
        <v>122</v>
      </c>
      <c r="E4742" s="12" t="s">
        <v>142</v>
      </c>
      <c r="F4742">
        <v>3</v>
      </c>
      <c r="G4742">
        <v>11</v>
      </c>
      <c r="H4742">
        <v>0</v>
      </c>
      <c r="I4742" s="12" t="s">
        <v>263</v>
      </c>
      <c r="J4742" s="12" t="s">
        <v>264</v>
      </c>
      <c r="K4742" s="12" t="s">
        <v>125</v>
      </c>
      <c r="L4742" s="12" t="s">
        <v>82</v>
      </c>
      <c r="M4742">
        <v>10.210000000000001</v>
      </c>
      <c r="N4742" s="12" t="s">
        <v>70</v>
      </c>
      <c r="O4742" s="12" t="s">
        <v>71</v>
      </c>
      <c r="P4742" s="12" t="s">
        <v>72</v>
      </c>
      <c r="Q4742" s="13">
        <v>45762</v>
      </c>
      <c r="R4742" s="13">
        <v>45809</v>
      </c>
      <c r="S4742">
        <v>2025</v>
      </c>
      <c r="T4742" s="12" t="s">
        <v>5660</v>
      </c>
      <c r="U4742">
        <v>1497</v>
      </c>
      <c r="V4742">
        <v>23.006</v>
      </c>
      <c r="W4742">
        <v>875.52</v>
      </c>
      <c r="X4742">
        <v>0</v>
      </c>
      <c r="Y4742">
        <v>0</v>
      </c>
      <c r="Z4742">
        <v>34439.980000000003</v>
      </c>
      <c r="AA4742">
        <v>35315.5</v>
      </c>
      <c r="AB4742" s="12" t="s">
        <v>5234</v>
      </c>
      <c r="AC4742">
        <v>23.006</v>
      </c>
      <c r="AD4742">
        <v>1</v>
      </c>
      <c r="AE4742">
        <v>1</v>
      </c>
      <c r="AF4742">
        <v>0</v>
      </c>
      <c r="AG4742">
        <v>34439.980000000003</v>
      </c>
      <c r="AH4742">
        <v>1497</v>
      </c>
      <c r="AI4742">
        <v>1481</v>
      </c>
      <c r="AJ4742">
        <v>16</v>
      </c>
      <c r="AK4742">
        <v>1</v>
      </c>
      <c r="AL4742">
        <v>1</v>
      </c>
      <c r="AM4742">
        <v>98.93</v>
      </c>
      <c r="AN4742">
        <v>23.845700000000001</v>
      </c>
      <c r="AO4742">
        <v>368.1</v>
      </c>
      <c r="AP4742" s="13">
        <v>45807</v>
      </c>
      <c r="AQ4742">
        <v>-2</v>
      </c>
      <c r="AR4742">
        <v>1</v>
      </c>
    </row>
    <row r="4743" spans="1:44" x14ac:dyDescent="0.35">
      <c r="A4743" s="12" t="s">
        <v>5759</v>
      </c>
      <c r="B4743" s="12" t="s">
        <v>490</v>
      </c>
      <c r="C4743" s="12" t="s">
        <v>491</v>
      </c>
      <c r="D4743" s="12" t="s">
        <v>130</v>
      </c>
      <c r="E4743" s="12" t="s">
        <v>104</v>
      </c>
      <c r="F4743">
        <v>3</v>
      </c>
      <c r="G4743">
        <v>1</v>
      </c>
      <c r="H4743">
        <v>0</v>
      </c>
      <c r="I4743" s="12" t="s">
        <v>176</v>
      </c>
      <c r="J4743" s="12" t="s">
        <v>177</v>
      </c>
      <c r="K4743" s="12" t="s">
        <v>125</v>
      </c>
      <c r="L4743" s="12" t="s">
        <v>134</v>
      </c>
      <c r="M4743">
        <v>1.75</v>
      </c>
      <c r="N4743" s="12" t="s">
        <v>159</v>
      </c>
      <c r="O4743" s="12" t="s">
        <v>160</v>
      </c>
      <c r="P4743" s="12" t="s">
        <v>137</v>
      </c>
      <c r="Q4743" s="13">
        <v>45762</v>
      </c>
      <c r="R4743" s="13">
        <v>45785</v>
      </c>
      <c r="S4743">
        <v>2025</v>
      </c>
      <c r="T4743" s="12" t="s">
        <v>5660</v>
      </c>
      <c r="U4743">
        <v>102</v>
      </c>
      <c r="V4743">
        <v>234.9982</v>
      </c>
      <c r="W4743">
        <v>482.53</v>
      </c>
      <c r="X4743">
        <v>0</v>
      </c>
      <c r="Y4743">
        <v>0</v>
      </c>
      <c r="Z4743">
        <v>23969.82</v>
      </c>
      <c r="AA4743">
        <v>24452.35</v>
      </c>
      <c r="AB4743" s="12" t="s">
        <v>5760</v>
      </c>
      <c r="AC4743">
        <v>234.9982</v>
      </c>
      <c r="AD4743">
        <v>1</v>
      </c>
      <c r="AE4743">
        <v>1</v>
      </c>
      <c r="AF4743">
        <v>0</v>
      </c>
      <c r="AG4743">
        <v>23969.82</v>
      </c>
      <c r="AH4743">
        <v>102</v>
      </c>
      <c r="AI4743">
        <v>101</v>
      </c>
      <c r="AJ4743">
        <v>1</v>
      </c>
      <c r="AK4743">
        <v>1</v>
      </c>
      <c r="AL4743">
        <v>1</v>
      </c>
      <c r="AM4743">
        <v>99.02</v>
      </c>
      <c r="AN4743">
        <v>242.10239999999999</v>
      </c>
      <c r="AO4743">
        <v>235</v>
      </c>
      <c r="AP4743" s="13">
        <v>45783</v>
      </c>
      <c r="AQ4743">
        <v>-2</v>
      </c>
      <c r="AR4743">
        <v>1</v>
      </c>
    </row>
    <row r="4744" spans="1:44" x14ac:dyDescent="0.35">
      <c r="A4744" s="12" t="s">
        <v>5761</v>
      </c>
      <c r="B4744" s="12" t="s">
        <v>231</v>
      </c>
      <c r="C4744" s="12" t="s">
        <v>232</v>
      </c>
      <c r="D4744" s="12" t="s">
        <v>130</v>
      </c>
      <c r="E4744" s="12" t="s">
        <v>65</v>
      </c>
      <c r="F4744">
        <v>1</v>
      </c>
      <c r="G4744">
        <v>2</v>
      </c>
      <c r="H4744">
        <v>1</v>
      </c>
      <c r="I4744" s="12" t="s">
        <v>233</v>
      </c>
      <c r="J4744" s="12" t="s">
        <v>234</v>
      </c>
      <c r="K4744" s="12" t="s">
        <v>125</v>
      </c>
      <c r="L4744" s="12" t="s">
        <v>96</v>
      </c>
      <c r="M4744">
        <v>3.73</v>
      </c>
      <c r="N4744" s="12" t="s">
        <v>159</v>
      </c>
      <c r="O4744" s="12" t="s">
        <v>160</v>
      </c>
      <c r="P4744" s="12" t="s">
        <v>137</v>
      </c>
      <c r="Q4744" s="13">
        <v>45762</v>
      </c>
      <c r="R4744" s="13">
        <v>45790</v>
      </c>
      <c r="S4744">
        <v>2025</v>
      </c>
      <c r="T4744" s="12" t="s">
        <v>5660</v>
      </c>
      <c r="U4744">
        <v>66</v>
      </c>
      <c r="V4744">
        <v>472.04140000000001</v>
      </c>
      <c r="W4744">
        <v>676.58</v>
      </c>
      <c r="X4744">
        <v>0</v>
      </c>
      <c r="Y4744">
        <v>0</v>
      </c>
      <c r="Z4744">
        <v>31154.73</v>
      </c>
      <c r="AA4744">
        <v>31831.31</v>
      </c>
      <c r="AB4744" s="12" t="s">
        <v>201</v>
      </c>
      <c r="AD4744">
        <v>0</v>
      </c>
      <c r="AE4744">
        <v>0</v>
      </c>
      <c r="AH4744">
        <v>66</v>
      </c>
      <c r="AI4744">
        <v>66</v>
      </c>
      <c r="AJ4744">
        <v>0</v>
      </c>
      <c r="AK4744">
        <v>1</v>
      </c>
      <c r="AL4744">
        <v>1</v>
      </c>
      <c r="AM4744">
        <v>100</v>
      </c>
      <c r="AN4744">
        <v>482.29259999999999</v>
      </c>
      <c r="AO4744">
        <v>0</v>
      </c>
      <c r="AP4744" s="13">
        <v>45787</v>
      </c>
      <c r="AQ4744">
        <v>-3</v>
      </c>
      <c r="AR4744">
        <v>1</v>
      </c>
    </row>
    <row r="4745" spans="1:44" x14ac:dyDescent="0.35">
      <c r="A4745" s="12" t="s">
        <v>5762</v>
      </c>
      <c r="B4745" s="12" t="s">
        <v>302</v>
      </c>
      <c r="C4745" s="12" t="s">
        <v>303</v>
      </c>
      <c r="D4745" s="12" t="s">
        <v>78</v>
      </c>
      <c r="E4745" s="12" t="s">
        <v>65</v>
      </c>
      <c r="F4745">
        <v>2</v>
      </c>
      <c r="G4745">
        <v>3</v>
      </c>
      <c r="H4745">
        <v>0</v>
      </c>
      <c r="I4745" s="12" t="s">
        <v>335</v>
      </c>
      <c r="J4745" s="12" t="s">
        <v>336</v>
      </c>
      <c r="K4745" s="12" t="s">
        <v>89</v>
      </c>
      <c r="L4745" s="12" t="s">
        <v>82</v>
      </c>
      <c r="M4745">
        <v>16</v>
      </c>
      <c r="N4745" s="12" t="s">
        <v>97</v>
      </c>
      <c r="O4745" s="12" t="s">
        <v>98</v>
      </c>
      <c r="P4745" s="12" t="s">
        <v>72</v>
      </c>
      <c r="Q4745" s="13">
        <v>45762</v>
      </c>
      <c r="R4745" s="13">
        <v>45787</v>
      </c>
      <c r="S4745">
        <v>2025</v>
      </c>
      <c r="T4745" s="12" t="s">
        <v>5660</v>
      </c>
      <c r="U4745">
        <v>110</v>
      </c>
      <c r="V4745">
        <v>137.82220000000001</v>
      </c>
      <c r="W4745">
        <v>207.86</v>
      </c>
      <c r="X4745">
        <v>0</v>
      </c>
      <c r="Y4745">
        <v>0</v>
      </c>
      <c r="Z4745">
        <v>15160.44</v>
      </c>
      <c r="AA4745">
        <v>15368.3</v>
      </c>
      <c r="AB4745" s="12" t="s">
        <v>5763</v>
      </c>
      <c r="AC4745">
        <v>137.82220000000001</v>
      </c>
      <c r="AD4745">
        <v>1</v>
      </c>
      <c r="AE4745">
        <v>1</v>
      </c>
      <c r="AF4745">
        <v>0</v>
      </c>
      <c r="AG4745">
        <v>15160.44</v>
      </c>
      <c r="AH4745">
        <v>110</v>
      </c>
      <c r="AI4745">
        <v>108</v>
      </c>
      <c r="AJ4745">
        <v>2</v>
      </c>
      <c r="AK4745">
        <v>1</v>
      </c>
      <c r="AL4745">
        <v>1</v>
      </c>
      <c r="AM4745">
        <v>98.18</v>
      </c>
      <c r="AN4745">
        <v>142.29910000000001</v>
      </c>
      <c r="AO4745">
        <v>275.64</v>
      </c>
      <c r="AP4745" s="13">
        <v>45793</v>
      </c>
      <c r="AQ4745">
        <v>6</v>
      </c>
      <c r="AR4745">
        <v>0</v>
      </c>
    </row>
    <row r="4746" spans="1:44" x14ac:dyDescent="0.35">
      <c r="A4746" s="12" t="s">
        <v>5764</v>
      </c>
      <c r="B4746" s="12" t="s">
        <v>787</v>
      </c>
      <c r="C4746" s="12" t="s">
        <v>788</v>
      </c>
      <c r="D4746" s="12" t="s">
        <v>269</v>
      </c>
      <c r="E4746" s="12" t="s">
        <v>65</v>
      </c>
      <c r="F4746">
        <v>2</v>
      </c>
      <c r="G4746">
        <v>3</v>
      </c>
      <c r="H4746">
        <v>0</v>
      </c>
      <c r="I4746" s="12" t="s">
        <v>143</v>
      </c>
      <c r="J4746" s="12" t="s">
        <v>144</v>
      </c>
      <c r="K4746" s="12" t="s">
        <v>133</v>
      </c>
      <c r="L4746" s="12" t="s">
        <v>96</v>
      </c>
      <c r="M4746">
        <v>5.43</v>
      </c>
      <c r="N4746" s="12" t="s">
        <v>159</v>
      </c>
      <c r="O4746" s="12" t="s">
        <v>160</v>
      </c>
      <c r="P4746" s="12" t="s">
        <v>137</v>
      </c>
      <c r="Q4746" s="13">
        <v>45762</v>
      </c>
      <c r="R4746" s="13">
        <v>45789</v>
      </c>
      <c r="S4746">
        <v>2025</v>
      </c>
      <c r="T4746" s="12" t="s">
        <v>5660</v>
      </c>
      <c r="U4746">
        <v>58</v>
      </c>
      <c r="V4746">
        <v>342.88099999999997</v>
      </c>
      <c r="W4746">
        <v>280.60000000000002</v>
      </c>
      <c r="X4746">
        <v>0</v>
      </c>
      <c r="Y4746">
        <v>0</v>
      </c>
      <c r="Z4746">
        <v>19887.099999999999</v>
      </c>
      <c r="AA4746">
        <v>20167.7</v>
      </c>
      <c r="AB4746" s="12" t="s">
        <v>3813</v>
      </c>
      <c r="AC4746">
        <v>342.88099999999997</v>
      </c>
      <c r="AD4746">
        <v>1</v>
      </c>
      <c r="AE4746">
        <v>1</v>
      </c>
      <c r="AF4746">
        <v>0</v>
      </c>
      <c r="AG4746">
        <v>19887.099999999999</v>
      </c>
      <c r="AH4746">
        <v>58</v>
      </c>
      <c r="AI4746">
        <v>58</v>
      </c>
      <c r="AJ4746">
        <v>0</v>
      </c>
      <c r="AK4746">
        <v>1</v>
      </c>
      <c r="AL4746">
        <v>1</v>
      </c>
      <c r="AM4746">
        <v>100</v>
      </c>
      <c r="AN4746">
        <v>347.71890000000002</v>
      </c>
      <c r="AO4746">
        <v>0</v>
      </c>
      <c r="AP4746" s="13">
        <v>45796</v>
      </c>
      <c r="AQ4746">
        <v>7</v>
      </c>
      <c r="AR4746">
        <v>0</v>
      </c>
    </row>
    <row r="4747" spans="1:44" x14ac:dyDescent="0.35">
      <c r="A4747" s="12" t="s">
        <v>5765</v>
      </c>
      <c r="B4747" s="12" t="s">
        <v>428</v>
      </c>
      <c r="C4747" s="12" t="s">
        <v>429</v>
      </c>
      <c r="D4747" s="12" t="s">
        <v>64</v>
      </c>
      <c r="E4747" s="12" t="s">
        <v>65</v>
      </c>
      <c r="F4747">
        <v>3</v>
      </c>
      <c r="G4747">
        <v>4</v>
      </c>
      <c r="H4747">
        <v>0</v>
      </c>
      <c r="I4747" s="12" t="s">
        <v>380</v>
      </c>
      <c r="J4747" s="12" t="s">
        <v>381</v>
      </c>
      <c r="K4747" s="12" t="s">
        <v>89</v>
      </c>
      <c r="L4747" s="12" t="s">
        <v>96</v>
      </c>
      <c r="M4747">
        <v>10.210000000000001</v>
      </c>
      <c r="N4747" s="12" t="s">
        <v>97</v>
      </c>
      <c r="O4747" s="12" t="s">
        <v>98</v>
      </c>
      <c r="P4747" s="12" t="s">
        <v>72</v>
      </c>
      <c r="Q4747" s="13">
        <v>45762</v>
      </c>
      <c r="R4747" s="13">
        <v>45787</v>
      </c>
      <c r="S4747">
        <v>2025</v>
      </c>
      <c r="T4747" s="12" t="s">
        <v>5660</v>
      </c>
      <c r="U4747">
        <v>338</v>
      </c>
      <c r="V4747">
        <v>12.879099999999999</v>
      </c>
      <c r="W4747">
        <v>58.62</v>
      </c>
      <c r="X4747">
        <v>0</v>
      </c>
      <c r="Y4747">
        <v>0</v>
      </c>
      <c r="Z4747">
        <v>4353.1400000000003</v>
      </c>
      <c r="AA4747">
        <v>4411.76</v>
      </c>
      <c r="AB4747" s="12" t="s">
        <v>5501</v>
      </c>
      <c r="AC4747">
        <v>12.879099999999999</v>
      </c>
      <c r="AD4747">
        <v>1</v>
      </c>
      <c r="AE4747">
        <v>1</v>
      </c>
      <c r="AF4747">
        <v>0</v>
      </c>
      <c r="AG4747">
        <v>4353.1400000000003</v>
      </c>
      <c r="AH4747">
        <v>338</v>
      </c>
      <c r="AI4747">
        <v>334</v>
      </c>
      <c r="AJ4747">
        <v>4</v>
      </c>
      <c r="AK4747">
        <v>1</v>
      </c>
      <c r="AL4747">
        <v>1</v>
      </c>
      <c r="AM4747">
        <v>98.82</v>
      </c>
      <c r="AN4747">
        <v>13.2088</v>
      </c>
      <c r="AO4747">
        <v>51.52</v>
      </c>
      <c r="AP4747" s="13">
        <v>45785</v>
      </c>
      <c r="AQ4747">
        <v>-2</v>
      </c>
      <c r="AR4747">
        <v>1</v>
      </c>
    </row>
    <row r="4748" spans="1:44" x14ac:dyDescent="0.35">
      <c r="A4748" s="12" t="s">
        <v>5766</v>
      </c>
      <c r="B4748" s="12" t="s">
        <v>792</v>
      </c>
      <c r="C4748" s="12" t="s">
        <v>793</v>
      </c>
      <c r="D4748" s="12" t="s">
        <v>103</v>
      </c>
      <c r="E4748" s="12" t="s">
        <v>65</v>
      </c>
      <c r="F4748">
        <v>2</v>
      </c>
      <c r="G4748">
        <v>3</v>
      </c>
      <c r="H4748">
        <v>0</v>
      </c>
      <c r="I4748" s="12" t="s">
        <v>115</v>
      </c>
      <c r="J4748" s="12" t="s">
        <v>116</v>
      </c>
      <c r="K4748" s="12" t="s">
        <v>117</v>
      </c>
      <c r="L4748" s="12" t="s">
        <v>82</v>
      </c>
      <c r="M4748">
        <v>17.170000000000002</v>
      </c>
      <c r="N4748" s="12" t="s">
        <v>107</v>
      </c>
      <c r="O4748" s="12" t="s">
        <v>108</v>
      </c>
      <c r="P4748" s="12" t="s">
        <v>109</v>
      </c>
      <c r="Q4748" s="13">
        <v>45762</v>
      </c>
      <c r="R4748" s="13">
        <v>45783</v>
      </c>
      <c r="S4748">
        <v>2025</v>
      </c>
      <c r="T4748" s="12" t="s">
        <v>5660</v>
      </c>
      <c r="U4748">
        <v>12</v>
      </c>
      <c r="V4748">
        <v>98.330600000000004</v>
      </c>
      <c r="W4748">
        <v>14.33</v>
      </c>
      <c r="X4748">
        <v>0</v>
      </c>
      <c r="Y4748">
        <v>0</v>
      </c>
      <c r="Z4748">
        <v>1179.97</v>
      </c>
      <c r="AA4748">
        <v>1194.3</v>
      </c>
      <c r="AB4748" s="12" t="s">
        <v>3411</v>
      </c>
      <c r="AC4748">
        <v>98.330600000000004</v>
      </c>
      <c r="AD4748">
        <v>1</v>
      </c>
      <c r="AE4748">
        <v>1</v>
      </c>
      <c r="AF4748">
        <v>0</v>
      </c>
      <c r="AG4748">
        <v>1179.97</v>
      </c>
      <c r="AH4748">
        <v>12</v>
      </c>
      <c r="AI4748">
        <v>12</v>
      </c>
      <c r="AJ4748">
        <v>0</v>
      </c>
      <c r="AK4748">
        <v>1</v>
      </c>
      <c r="AL4748">
        <v>1</v>
      </c>
      <c r="AM4748">
        <v>100</v>
      </c>
      <c r="AN4748">
        <v>99.524799999999999</v>
      </c>
      <c r="AO4748">
        <v>0</v>
      </c>
      <c r="AP4748" s="13">
        <v>45781</v>
      </c>
      <c r="AQ4748">
        <v>-2</v>
      </c>
      <c r="AR4748">
        <v>1</v>
      </c>
    </row>
    <row r="4749" spans="1:44" x14ac:dyDescent="0.35">
      <c r="A4749" s="12" t="s">
        <v>5767</v>
      </c>
      <c r="B4749" s="12" t="s">
        <v>327</v>
      </c>
      <c r="C4749" s="12" t="s">
        <v>328</v>
      </c>
      <c r="D4749" s="12" t="s">
        <v>130</v>
      </c>
      <c r="E4749" s="12" t="s">
        <v>104</v>
      </c>
      <c r="F4749">
        <v>2</v>
      </c>
      <c r="G4749">
        <v>0</v>
      </c>
      <c r="H4749">
        <v>0</v>
      </c>
      <c r="I4749" s="12" t="s">
        <v>94</v>
      </c>
      <c r="J4749" s="12" t="s">
        <v>95</v>
      </c>
      <c r="K4749" s="12" t="s">
        <v>81</v>
      </c>
      <c r="L4749" s="12" t="s">
        <v>96</v>
      </c>
      <c r="M4749">
        <v>4.8099999999999996</v>
      </c>
      <c r="N4749" s="12" t="s">
        <v>159</v>
      </c>
      <c r="O4749" s="12" t="s">
        <v>160</v>
      </c>
      <c r="P4749" s="12" t="s">
        <v>137</v>
      </c>
      <c r="Q4749" s="13">
        <v>45763</v>
      </c>
      <c r="R4749" s="13">
        <v>45782</v>
      </c>
      <c r="S4749">
        <v>2025</v>
      </c>
      <c r="T4749" s="12" t="s">
        <v>5660</v>
      </c>
      <c r="U4749">
        <v>67</v>
      </c>
      <c r="V4749">
        <v>637.04729999999995</v>
      </c>
      <c r="W4749">
        <v>772.6</v>
      </c>
      <c r="X4749">
        <v>0</v>
      </c>
      <c r="Y4749">
        <v>0</v>
      </c>
      <c r="Z4749">
        <v>42682.17</v>
      </c>
      <c r="AA4749">
        <v>43454.77</v>
      </c>
      <c r="AB4749" s="12" t="s">
        <v>5449</v>
      </c>
      <c r="AC4749">
        <v>637.04729999999995</v>
      </c>
      <c r="AD4749">
        <v>1</v>
      </c>
      <c r="AE4749">
        <v>1</v>
      </c>
      <c r="AF4749">
        <v>0</v>
      </c>
      <c r="AG4749">
        <v>42682.17</v>
      </c>
      <c r="AH4749">
        <v>67</v>
      </c>
      <c r="AI4749">
        <v>67</v>
      </c>
      <c r="AJ4749">
        <v>0</v>
      </c>
      <c r="AK4749">
        <v>1</v>
      </c>
      <c r="AL4749">
        <v>1</v>
      </c>
      <c r="AM4749">
        <v>100</v>
      </c>
      <c r="AN4749">
        <v>648.57860000000005</v>
      </c>
      <c r="AO4749">
        <v>0</v>
      </c>
      <c r="AP4749" s="13">
        <v>45779</v>
      </c>
      <c r="AQ4749">
        <v>-3</v>
      </c>
      <c r="AR4749">
        <v>1</v>
      </c>
    </row>
    <row r="4750" spans="1:44" x14ac:dyDescent="0.35">
      <c r="A4750" s="12" t="s">
        <v>5768</v>
      </c>
      <c r="B4750" s="12" t="s">
        <v>284</v>
      </c>
      <c r="C4750" s="12" t="s">
        <v>285</v>
      </c>
      <c r="D4750" s="12" t="s">
        <v>269</v>
      </c>
      <c r="E4750" s="12" t="s">
        <v>104</v>
      </c>
      <c r="F4750">
        <v>3</v>
      </c>
      <c r="G4750">
        <v>1</v>
      </c>
      <c r="H4750">
        <v>0</v>
      </c>
      <c r="I4750" s="12" t="s">
        <v>169</v>
      </c>
      <c r="J4750" s="12" t="s">
        <v>170</v>
      </c>
      <c r="K4750" s="12" t="s">
        <v>89</v>
      </c>
      <c r="L4750" s="12" t="s">
        <v>134</v>
      </c>
      <c r="M4750">
        <v>1.37</v>
      </c>
      <c r="N4750" s="12" t="s">
        <v>159</v>
      </c>
      <c r="O4750" s="12" t="s">
        <v>160</v>
      </c>
      <c r="P4750" s="12" t="s">
        <v>137</v>
      </c>
      <c r="Q4750" s="13">
        <v>45763</v>
      </c>
      <c r="R4750" s="13">
        <v>45782</v>
      </c>
      <c r="S4750">
        <v>2025</v>
      </c>
      <c r="T4750" s="12" t="s">
        <v>5660</v>
      </c>
      <c r="U4750">
        <v>71</v>
      </c>
      <c r="V4750">
        <v>390.76400000000001</v>
      </c>
      <c r="W4750">
        <v>407.31</v>
      </c>
      <c r="X4750">
        <v>873.85</v>
      </c>
      <c r="Y4750">
        <v>1</v>
      </c>
      <c r="Z4750">
        <v>27744.240000000002</v>
      </c>
      <c r="AA4750">
        <v>29025.4</v>
      </c>
      <c r="AB4750" s="12" t="s">
        <v>201</v>
      </c>
      <c r="AD4750">
        <v>0</v>
      </c>
      <c r="AE4750">
        <v>0</v>
      </c>
      <c r="AH4750">
        <v>71</v>
      </c>
      <c r="AI4750">
        <v>70</v>
      </c>
      <c r="AJ4750">
        <v>1</v>
      </c>
      <c r="AK4750">
        <v>1</v>
      </c>
      <c r="AL4750">
        <v>1</v>
      </c>
      <c r="AM4750">
        <v>98.59</v>
      </c>
      <c r="AN4750">
        <v>414.64859999999999</v>
      </c>
      <c r="AO4750">
        <v>390.76</v>
      </c>
      <c r="AP4750" s="13">
        <v>45778</v>
      </c>
      <c r="AQ4750">
        <v>-4</v>
      </c>
      <c r="AR4750">
        <v>1</v>
      </c>
    </row>
    <row r="4751" spans="1:44" x14ac:dyDescent="0.35">
      <c r="A4751" s="12" t="s">
        <v>5769</v>
      </c>
      <c r="B4751" s="12" t="s">
        <v>308</v>
      </c>
      <c r="C4751" s="12" t="s">
        <v>309</v>
      </c>
      <c r="D4751" s="12" t="s">
        <v>122</v>
      </c>
      <c r="E4751" s="12" t="s">
        <v>142</v>
      </c>
      <c r="F4751">
        <v>1</v>
      </c>
      <c r="G4751">
        <v>6</v>
      </c>
      <c r="H4751">
        <v>1</v>
      </c>
      <c r="I4751" s="12" t="s">
        <v>310</v>
      </c>
      <c r="J4751" s="12" t="s">
        <v>311</v>
      </c>
      <c r="K4751" s="12" t="s">
        <v>81</v>
      </c>
      <c r="L4751" s="12" t="s">
        <v>69</v>
      </c>
      <c r="M4751">
        <v>28.3</v>
      </c>
      <c r="N4751" s="12" t="s">
        <v>97</v>
      </c>
      <c r="O4751" s="12" t="s">
        <v>98</v>
      </c>
      <c r="P4751" s="12" t="s">
        <v>72</v>
      </c>
      <c r="Q4751" s="13">
        <v>45763</v>
      </c>
      <c r="R4751" s="13">
        <v>45801</v>
      </c>
      <c r="S4751">
        <v>2025</v>
      </c>
      <c r="T4751" s="12" t="s">
        <v>5660</v>
      </c>
      <c r="U4751">
        <v>556</v>
      </c>
      <c r="V4751">
        <v>56.789000000000001</v>
      </c>
      <c r="W4751">
        <v>265.3</v>
      </c>
      <c r="X4751">
        <v>0</v>
      </c>
      <c r="Y4751">
        <v>0</v>
      </c>
      <c r="Z4751">
        <v>31574.68</v>
      </c>
      <c r="AA4751">
        <v>31839.98</v>
      </c>
      <c r="AB4751" s="12" t="s">
        <v>5357</v>
      </c>
      <c r="AC4751">
        <v>56.789000000000001</v>
      </c>
      <c r="AD4751">
        <v>1</v>
      </c>
      <c r="AE4751">
        <v>1</v>
      </c>
      <c r="AF4751">
        <v>0</v>
      </c>
      <c r="AG4751">
        <v>31574.68</v>
      </c>
      <c r="AH4751">
        <v>556</v>
      </c>
      <c r="AI4751">
        <v>554</v>
      </c>
      <c r="AJ4751">
        <v>2</v>
      </c>
      <c r="AK4751">
        <v>1</v>
      </c>
      <c r="AL4751">
        <v>1</v>
      </c>
      <c r="AM4751">
        <v>99.64</v>
      </c>
      <c r="AN4751">
        <v>57.472900000000003</v>
      </c>
      <c r="AO4751">
        <v>113.58</v>
      </c>
      <c r="AP4751" s="13">
        <v>45799</v>
      </c>
      <c r="AQ4751">
        <v>-2</v>
      </c>
      <c r="AR4751">
        <v>1</v>
      </c>
    </row>
    <row r="4752" spans="1:44" x14ac:dyDescent="0.35">
      <c r="A4752" s="12" t="s">
        <v>5770</v>
      </c>
      <c r="B4752" s="12" t="s">
        <v>657</v>
      </c>
      <c r="C4752" s="12" t="s">
        <v>658</v>
      </c>
      <c r="D4752" s="12" t="s">
        <v>175</v>
      </c>
      <c r="E4752" s="12" t="s">
        <v>65</v>
      </c>
      <c r="F4752">
        <v>1</v>
      </c>
      <c r="G4752">
        <v>2</v>
      </c>
      <c r="H4752">
        <v>1</v>
      </c>
      <c r="I4752" s="12" t="s">
        <v>183</v>
      </c>
      <c r="J4752" s="12" t="s">
        <v>184</v>
      </c>
      <c r="K4752" s="12" t="s">
        <v>133</v>
      </c>
      <c r="L4752" s="12" t="s">
        <v>82</v>
      </c>
      <c r="M4752">
        <v>8.6199999999999992</v>
      </c>
      <c r="N4752" s="12" t="s">
        <v>145</v>
      </c>
      <c r="O4752" s="12" t="s">
        <v>146</v>
      </c>
      <c r="P4752" s="12" t="s">
        <v>109</v>
      </c>
      <c r="Q4752" s="13">
        <v>45763</v>
      </c>
      <c r="R4752" s="13">
        <v>45792</v>
      </c>
      <c r="S4752">
        <v>2025</v>
      </c>
      <c r="T4752" s="12" t="s">
        <v>5660</v>
      </c>
      <c r="U4752">
        <v>79</v>
      </c>
      <c r="V4752">
        <v>144.5094</v>
      </c>
      <c r="W4752">
        <v>266.05</v>
      </c>
      <c r="X4752">
        <v>364.64</v>
      </c>
      <c r="Y4752">
        <v>1</v>
      </c>
      <c r="Z4752">
        <v>11416.24</v>
      </c>
      <c r="AA4752">
        <v>12046.93</v>
      </c>
      <c r="AB4752" s="12" t="s">
        <v>5771</v>
      </c>
      <c r="AC4752">
        <v>144.5094</v>
      </c>
      <c r="AD4752">
        <v>1</v>
      </c>
      <c r="AE4752">
        <v>1</v>
      </c>
      <c r="AF4752">
        <v>0</v>
      </c>
      <c r="AG4752">
        <v>11416.24</v>
      </c>
      <c r="AH4752">
        <v>79</v>
      </c>
      <c r="AI4752">
        <v>79</v>
      </c>
      <c r="AJ4752">
        <v>0</v>
      </c>
      <c r="AK4752">
        <v>1</v>
      </c>
      <c r="AL4752">
        <v>1</v>
      </c>
      <c r="AM4752">
        <v>100</v>
      </c>
      <c r="AN4752">
        <v>152.49279999999999</v>
      </c>
      <c r="AO4752">
        <v>0</v>
      </c>
      <c r="AP4752" s="13">
        <v>45791</v>
      </c>
      <c r="AQ4752">
        <v>-1</v>
      </c>
      <c r="AR4752">
        <v>1</v>
      </c>
    </row>
    <row r="4753" spans="1:44" x14ac:dyDescent="0.35">
      <c r="A4753" s="12" t="s">
        <v>5772</v>
      </c>
      <c r="B4753" s="12" t="s">
        <v>267</v>
      </c>
      <c r="C4753" s="12" t="s">
        <v>268</v>
      </c>
      <c r="D4753" s="12" t="s">
        <v>269</v>
      </c>
      <c r="E4753" s="12" t="s">
        <v>142</v>
      </c>
      <c r="F4753">
        <v>1</v>
      </c>
      <c r="G4753">
        <v>8</v>
      </c>
      <c r="H4753">
        <v>1</v>
      </c>
      <c r="I4753" s="12" t="s">
        <v>94</v>
      </c>
      <c r="J4753" s="12" t="s">
        <v>95</v>
      </c>
      <c r="K4753" s="12" t="s">
        <v>81</v>
      </c>
      <c r="L4753" s="12" t="s">
        <v>96</v>
      </c>
      <c r="M4753">
        <v>4.8099999999999996</v>
      </c>
      <c r="N4753" s="12" t="s">
        <v>159</v>
      </c>
      <c r="O4753" s="12" t="s">
        <v>160</v>
      </c>
      <c r="P4753" s="12" t="s">
        <v>137</v>
      </c>
      <c r="Q4753" s="13">
        <v>45763</v>
      </c>
      <c r="R4753" s="13">
        <v>45809</v>
      </c>
      <c r="S4753">
        <v>2025</v>
      </c>
      <c r="T4753" s="12" t="s">
        <v>5660</v>
      </c>
      <c r="U4753">
        <v>101</v>
      </c>
      <c r="V4753">
        <v>213.03469999999999</v>
      </c>
      <c r="W4753">
        <v>284.87</v>
      </c>
      <c r="X4753">
        <v>0</v>
      </c>
      <c r="Y4753">
        <v>0</v>
      </c>
      <c r="Z4753">
        <v>21516.5</v>
      </c>
      <c r="AA4753">
        <v>21801.37</v>
      </c>
      <c r="AB4753" s="12" t="s">
        <v>201</v>
      </c>
      <c r="AD4753">
        <v>0</v>
      </c>
      <c r="AE4753">
        <v>0</v>
      </c>
      <c r="AH4753">
        <v>101</v>
      </c>
      <c r="AI4753">
        <v>101</v>
      </c>
      <c r="AJ4753">
        <v>0</v>
      </c>
      <c r="AK4753">
        <v>1</v>
      </c>
      <c r="AL4753">
        <v>1</v>
      </c>
      <c r="AM4753">
        <v>100</v>
      </c>
      <c r="AN4753">
        <v>215.8552</v>
      </c>
      <c r="AO4753">
        <v>0</v>
      </c>
      <c r="AP4753" s="13">
        <v>45807</v>
      </c>
      <c r="AQ4753">
        <v>-2</v>
      </c>
      <c r="AR4753">
        <v>1</v>
      </c>
    </row>
    <row r="4754" spans="1:44" x14ac:dyDescent="0.35">
      <c r="A4754" s="12" t="s">
        <v>5773</v>
      </c>
      <c r="B4754" s="12" t="s">
        <v>855</v>
      </c>
      <c r="C4754" s="12" t="s">
        <v>856</v>
      </c>
      <c r="D4754" s="12" t="s">
        <v>269</v>
      </c>
      <c r="E4754" s="12" t="s">
        <v>65</v>
      </c>
      <c r="F4754">
        <v>3</v>
      </c>
      <c r="G4754">
        <v>5</v>
      </c>
      <c r="H4754">
        <v>0</v>
      </c>
      <c r="I4754" s="12" t="s">
        <v>94</v>
      </c>
      <c r="J4754" s="12" t="s">
        <v>95</v>
      </c>
      <c r="K4754" s="12" t="s">
        <v>81</v>
      </c>
      <c r="L4754" s="12" t="s">
        <v>96</v>
      </c>
      <c r="M4754">
        <v>4.8099999999999996</v>
      </c>
      <c r="N4754" s="12" t="s">
        <v>135</v>
      </c>
      <c r="O4754" s="12" t="s">
        <v>136</v>
      </c>
      <c r="P4754" s="12" t="s">
        <v>137</v>
      </c>
      <c r="Q4754" s="13">
        <v>45763</v>
      </c>
      <c r="R4754" s="13">
        <v>45793</v>
      </c>
      <c r="S4754">
        <v>2025</v>
      </c>
      <c r="T4754" s="12" t="s">
        <v>5660</v>
      </c>
      <c r="U4754">
        <v>84</v>
      </c>
      <c r="V4754">
        <v>466.4701</v>
      </c>
      <c r="W4754">
        <v>696.07</v>
      </c>
      <c r="X4754">
        <v>1194.3</v>
      </c>
      <c r="Y4754">
        <v>1</v>
      </c>
      <c r="Z4754">
        <v>39183.49</v>
      </c>
      <c r="AA4754">
        <v>41073.86</v>
      </c>
      <c r="AB4754" s="12" t="s">
        <v>5774</v>
      </c>
      <c r="AC4754">
        <v>466.4701</v>
      </c>
      <c r="AD4754">
        <v>1</v>
      </c>
      <c r="AE4754">
        <v>1</v>
      </c>
      <c r="AF4754">
        <v>0</v>
      </c>
      <c r="AG4754">
        <v>39183.49</v>
      </c>
      <c r="AH4754">
        <v>84</v>
      </c>
      <c r="AI4754">
        <v>84</v>
      </c>
      <c r="AJ4754">
        <v>0</v>
      </c>
      <c r="AK4754">
        <v>1</v>
      </c>
      <c r="AL4754">
        <v>1</v>
      </c>
      <c r="AM4754">
        <v>100</v>
      </c>
      <c r="AN4754">
        <v>488.97449999999998</v>
      </c>
      <c r="AO4754">
        <v>0</v>
      </c>
      <c r="AP4754" s="13">
        <v>45798</v>
      </c>
      <c r="AQ4754">
        <v>5</v>
      </c>
      <c r="AR4754">
        <v>0</v>
      </c>
    </row>
    <row r="4755" spans="1:44" x14ac:dyDescent="0.35">
      <c r="A4755" s="12" t="s">
        <v>5775</v>
      </c>
      <c r="B4755" s="12" t="s">
        <v>670</v>
      </c>
      <c r="C4755" s="12" t="s">
        <v>671</v>
      </c>
      <c r="D4755" s="12" t="s">
        <v>175</v>
      </c>
      <c r="E4755" s="12" t="s">
        <v>142</v>
      </c>
      <c r="F4755">
        <v>2</v>
      </c>
      <c r="G4755">
        <v>9</v>
      </c>
      <c r="H4755">
        <v>0</v>
      </c>
      <c r="I4755" s="12" t="s">
        <v>105</v>
      </c>
      <c r="J4755" s="12" t="s">
        <v>106</v>
      </c>
      <c r="K4755" s="12" t="s">
        <v>81</v>
      </c>
      <c r="L4755" s="12" t="s">
        <v>96</v>
      </c>
      <c r="M4755">
        <v>5.01</v>
      </c>
      <c r="N4755" s="12" t="s">
        <v>107</v>
      </c>
      <c r="O4755" s="12" t="s">
        <v>108</v>
      </c>
      <c r="P4755" s="12" t="s">
        <v>109</v>
      </c>
      <c r="Q4755" s="13">
        <v>45763</v>
      </c>
      <c r="R4755" s="13">
        <v>45807</v>
      </c>
      <c r="S4755">
        <v>2025</v>
      </c>
      <c r="T4755" s="12" t="s">
        <v>5660</v>
      </c>
      <c r="U4755">
        <v>86</v>
      </c>
      <c r="V4755">
        <v>162.34889999999999</v>
      </c>
      <c r="W4755">
        <v>164.72</v>
      </c>
      <c r="X4755">
        <v>0</v>
      </c>
      <c r="Y4755">
        <v>0</v>
      </c>
      <c r="Z4755">
        <v>13962.01</v>
      </c>
      <c r="AA4755">
        <v>14126.73</v>
      </c>
      <c r="AB4755" s="12" t="s">
        <v>201</v>
      </c>
      <c r="AD4755">
        <v>0</v>
      </c>
      <c r="AE4755">
        <v>0</v>
      </c>
      <c r="AH4755">
        <v>86</v>
      </c>
      <c r="AI4755">
        <v>85</v>
      </c>
      <c r="AJ4755">
        <v>1</v>
      </c>
      <c r="AK4755">
        <v>1</v>
      </c>
      <c r="AL4755">
        <v>1</v>
      </c>
      <c r="AM4755">
        <v>98.84</v>
      </c>
      <c r="AN4755">
        <v>166.1968</v>
      </c>
      <c r="AO4755">
        <v>162.35</v>
      </c>
      <c r="AP4755" s="13">
        <v>45811</v>
      </c>
      <c r="AQ4755">
        <v>4</v>
      </c>
      <c r="AR4755">
        <v>0</v>
      </c>
    </row>
    <row r="4756" spans="1:44" x14ac:dyDescent="0.35">
      <c r="A4756" s="12" t="s">
        <v>5776</v>
      </c>
      <c r="B4756" s="12" t="s">
        <v>347</v>
      </c>
      <c r="C4756" s="12" t="s">
        <v>348</v>
      </c>
      <c r="D4756" s="12" t="s">
        <v>78</v>
      </c>
      <c r="E4756" s="12" t="s">
        <v>104</v>
      </c>
      <c r="F4756">
        <v>3</v>
      </c>
      <c r="G4756">
        <v>1</v>
      </c>
      <c r="H4756">
        <v>0</v>
      </c>
      <c r="I4756" s="12" t="s">
        <v>105</v>
      </c>
      <c r="J4756" s="12" t="s">
        <v>106</v>
      </c>
      <c r="K4756" s="12" t="s">
        <v>81</v>
      </c>
      <c r="L4756" s="12" t="s">
        <v>96</v>
      </c>
      <c r="M4756">
        <v>5.01</v>
      </c>
      <c r="N4756" s="12" t="s">
        <v>70</v>
      </c>
      <c r="O4756" s="12" t="s">
        <v>71</v>
      </c>
      <c r="P4756" s="12" t="s">
        <v>72</v>
      </c>
      <c r="Q4756" s="13">
        <v>45764</v>
      </c>
      <c r="R4756" s="13">
        <v>45787</v>
      </c>
      <c r="S4756">
        <v>2025</v>
      </c>
      <c r="T4756" s="12" t="s">
        <v>5660</v>
      </c>
      <c r="U4756">
        <v>199</v>
      </c>
      <c r="V4756">
        <v>117.52809999999999</v>
      </c>
      <c r="W4756">
        <v>353.88</v>
      </c>
      <c r="X4756">
        <v>0</v>
      </c>
      <c r="Y4756">
        <v>0</v>
      </c>
      <c r="Z4756">
        <v>23388.09</v>
      </c>
      <c r="AA4756">
        <v>23741.97</v>
      </c>
      <c r="AB4756" s="12" t="s">
        <v>201</v>
      </c>
      <c r="AD4756">
        <v>0</v>
      </c>
      <c r="AE4756">
        <v>0</v>
      </c>
      <c r="AH4756">
        <v>199</v>
      </c>
      <c r="AI4756">
        <v>198</v>
      </c>
      <c r="AJ4756">
        <v>1</v>
      </c>
      <c r="AK4756">
        <v>1</v>
      </c>
      <c r="AL4756">
        <v>1</v>
      </c>
      <c r="AM4756">
        <v>99.5</v>
      </c>
      <c r="AN4756">
        <v>119.9089</v>
      </c>
      <c r="AO4756">
        <v>117.53</v>
      </c>
      <c r="AP4756" s="13">
        <v>45784</v>
      </c>
      <c r="AQ4756">
        <v>-3</v>
      </c>
      <c r="AR4756">
        <v>1</v>
      </c>
    </row>
    <row r="4757" spans="1:44" x14ac:dyDescent="0.35">
      <c r="A4757" s="12" t="s">
        <v>5777</v>
      </c>
      <c r="B4757" s="12" t="s">
        <v>843</v>
      </c>
      <c r="C4757" s="12" t="s">
        <v>844</v>
      </c>
      <c r="D4757" s="12" t="s">
        <v>175</v>
      </c>
      <c r="E4757" s="12" t="s">
        <v>65</v>
      </c>
      <c r="F4757">
        <v>3</v>
      </c>
      <c r="G4757">
        <v>5</v>
      </c>
      <c r="H4757">
        <v>0</v>
      </c>
      <c r="I4757" s="12" t="s">
        <v>676</v>
      </c>
      <c r="J4757" s="12" t="s">
        <v>677</v>
      </c>
      <c r="K4757" s="12" t="s">
        <v>68</v>
      </c>
      <c r="L4757" s="12" t="s">
        <v>96</v>
      </c>
      <c r="M4757">
        <v>3.57</v>
      </c>
      <c r="N4757" s="12" t="s">
        <v>145</v>
      </c>
      <c r="O4757" s="12" t="s">
        <v>146</v>
      </c>
      <c r="P4757" s="12" t="s">
        <v>109</v>
      </c>
      <c r="Q4757" s="13">
        <v>45764</v>
      </c>
      <c r="R4757" s="13">
        <v>45788</v>
      </c>
      <c r="S4757">
        <v>2025</v>
      </c>
      <c r="T4757" s="12" t="s">
        <v>5660</v>
      </c>
      <c r="U4757">
        <v>40</v>
      </c>
      <c r="V4757">
        <v>261.32780000000002</v>
      </c>
      <c r="W4757">
        <v>259.66000000000003</v>
      </c>
      <c r="X4757">
        <v>0</v>
      </c>
      <c r="Y4757">
        <v>0</v>
      </c>
      <c r="Z4757">
        <v>10453.11</v>
      </c>
      <c r="AA4757">
        <v>10712.77</v>
      </c>
      <c r="AB4757" s="12" t="s">
        <v>201</v>
      </c>
      <c r="AD4757">
        <v>0</v>
      </c>
      <c r="AE4757">
        <v>0</v>
      </c>
      <c r="AH4757">
        <v>40</v>
      </c>
      <c r="AI4757">
        <v>40</v>
      </c>
      <c r="AJ4757">
        <v>0</v>
      </c>
      <c r="AK4757">
        <v>1</v>
      </c>
      <c r="AL4757">
        <v>1</v>
      </c>
      <c r="AM4757">
        <v>100</v>
      </c>
      <c r="AN4757">
        <v>267.8193</v>
      </c>
      <c r="AO4757">
        <v>0</v>
      </c>
      <c r="AP4757" s="13">
        <v>45788</v>
      </c>
      <c r="AQ4757">
        <v>0</v>
      </c>
      <c r="AR4757">
        <v>1</v>
      </c>
    </row>
    <row r="4758" spans="1:44" x14ac:dyDescent="0.35">
      <c r="A4758" s="12" t="s">
        <v>5778</v>
      </c>
      <c r="B4758" s="12" t="s">
        <v>503</v>
      </c>
      <c r="C4758" s="12" t="s">
        <v>504</v>
      </c>
      <c r="D4758" s="12" t="s">
        <v>103</v>
      </c>
      <c r="E4758" s="12" t="s">
        <v>104</v>
      </c>
      <c r="F4758">
        <v>3</v>
      </c>
      <c r="G4758">
        <v>1</v>
      </c>
      <c r="H4758">
        <v>0</v>
      </c>
      <c r="I4758" s="12" t="s">
        <v>209</v>
      </c>
      <c r="J4758" s="12" t="s">
        <v>210</v>
      </c>
      <c r="K4758" s="12" t="s">
        <v>133</v>
      </c>
      <c r="L4758" s="12" t="s">
        <v>96</v>
      </c>
      <c r="M4758">
        <v>7.82</v>
      </c>
      <c r="N4758" s="12" t="s">
        <v>145</v>
      </c>
      <c r="O4758" s="12" t="s">
        <v>146</v>
      </c>
      <c r="P4758" s="12" t="s">
        <v>109</v>
      </c>
      <c r="Q4758" s="13">
        <v>45764</v>
      </c>
      <c r="R4758" s="13">
        <v>45782</v>
      </c>
      <c r="S4758">
        <v>2025</v>
      </c>
      <c r="T4758" s="12" t="s">
        <v>5660</v>
      </c>
      <c r="U4758">
        <v>61</v>
      </c>
      <c r="V4758">
        <v>177.90100000000001</v>
      </c>
      <c r="W4758">
        <v>104.07</v>
      </c>
      <c r="X4758">
        <v>0</v>
      </c>
      <c r="Y4758">
        <v>0</v>
      </c>
      <c r="Z4758">
        <v>10851.96</v>
      </c>
      <c r="AA4758">
        <v>10956.03</v>
      </c>
      <c r="AB4758" s="12" t="s">
        <v>201</v>
      </c>
      <c r="AD4758">
        <v>0</v>
      </c>
      <c r="AE4758">
        <v>0</v>
      </c>
      <c r="AH4758">
        <v>61</v>
      </c>
      <c r="AI4758">
        <v>61</v>
      </c>
      <c r="AJ4758">
        <v>0</v>
      </c>
      <c r="AK4758">
        <v>1</v>
      </c>
      <c r="AL4758">
        <v>1</v>
      </c>
      <c r="AM4758">
        <v>100</v>
      </c>
      <c r="AN4758">
        <v>179.6071</v>
      </c>
      <c r="AO4758">
        <v>0</v>
      </c>
      <c r="AP4758" s="13">
        <v>45780</v>
      </c>
      <c r="AQ4758">
        <v>-2</v>
      </c>
      <c r="AR4758">
        <v>1</v>
      </c>
    </row>
    <row r="4759" spans="1:44" x14ac:dyDescent="0.35">
      <c r="A4759" s="12" t="s">
        <v>5779</v>
      </c>
      <c r="B4759" s="12" t="s">
        <v>685</v>
      </c>
      <c r="C4759" s="12" t="s">
        <v>686</v>
      </c>
      <c r="D4759" s="12" t="s">
        <v>175</v>
      </c>
      <c r="E4759" s="12" t="s">
        <v>104</v>
      </c>
      <c r="F4759">
        <v>2</v>
      </c>
      <c r="G4759">
        <v>0</v>
      </c>
      <c r="H4759">
        <v>0</v>
      </c>
      <c r="I4759" s="12" t="s">
        <v>195</v>
      </c>
      <c r="J4759" s="12" t="s">
        <v>196</v>
      </c>
      <c r="K4759" s="12" t="s">
        <v>117</v>
      </c>
      <c r="L4759" s="12" t="s">
        <v>134</v>
      </c>
      <c r="M4759">
        <v>4.7699999999999996</v>
      </c>
      <c r="N4759" s="12" t="s">
        <v>145</v>
      </c>
      <c r="O4759" s="12" t="s">
        <v>146</v>
      </c>
      <c r="P4759" s="12" t="s">
        <v>109</v>
      </c>
      <c r="Q4759" s="13">
        <v>45764</v>
      </c>
      <c r="R4759" s="13">
        <v>45778</v>
      </c>
      <c r="S4759">
        <v>2025</v>
      </c>
      <c r="T4759" s="12" t="s">
        <v>5660</v>
      </c>
      <c r="U4759">
        <v>28</v>
      </c>
      <c r="V4759">
        <v>221.73</v>
      </c>
      <c r="W4759">
        <v>126.89</v>
      </c>
      <c r="X4759">
        <v>0</v>
      </c>
      <c r="Y4759">
        <v>0</v>
      </c>
      <c r="Z4759">
        <v>6208.44</v>
      </c>
      <c r="AA4759">
        <v>6335.33</v>
      </c>
      <c r="AB4759" s="12" t="s">
        <v>5780</v>
      </c>
      <c r="AC4759">
        <v>221.73</v>
      </c>
      <c r="AD4759">
        <v>1</v>
      </c>
      <c r="AE4759">
        <v>1</v>
      </c>
      <c r="AF4759">
        <v>0</v>
      </c>
      <c r="AG4759">
        <v>6208.44</v>
      </c>
      <c r="AH4759">
        <v>28</v>
      </c>
      <c r="AI4759">
        <v>28</v>
      </c>
      <c r="AJ4759">
        <v>0</v>
      </c>
      <c r="AK4759">
        <v>1</v>
      </c>
      <c r="AL4759">
        <v>1</v>
      </c>
      <c r="AM4759">
        <v>100</v>
      </c>
      <c r="AN4759">
        <v>226.26179999999999</v>
      </c>
      <c r="AO4759">
        <v>0</v>
      </c>
      <c r="AP4759" s="13">
        <v>45778</v>
      </c>
      <c r="AQ4759">
        <v>0</v>
      </c>
      <c r="AR4759">
        <v>1</v>
      </c>
    </row>
    <row r="4760" spans="1:44" x14ac:dyDescent="0.35">
      <c r="A4760" s="12" t="s">
        <v>5781</v>
      </c>
      <c r="B4760" s="12" t="s">
        <v>273</v>
      </c>
      <c r="C4760" s="12" t="s">
        <v>274</v>
      </c>
      <c r="D4760" s="12" t="s">
        <v>175</v>
      </c>
      <c r="E4760" s="12" t="s">
        <v>104</v>
      </c>
      <c r="F4760">
        <v>3</v>
      </c>
      <c r="G4760">
        <v>1</v>
      </c>
      <c r="H4760">
        <v>0</v>
      </c>
      <c r="I4760" s="12" t="s">
        <v>275</v>
      </c>
      <c r="J4760" s="12" t="s">
        <v>276</v>
      </c>
      <c r="K4760" s="12" t="s">
        <v>89</v>
      </c>
      <c r="L4760" s="12" t="s">
        <v>82</v>
      </c>
      <c r="M4760">
        <v>14.26</v>
      </c>
      <c r="N4760" s="12" t="s">
        <v>107</v>
      </c>
      <c r="O4760" s="12" t="s">
        <v>108</v>
      </c>
      <c r="P4760" s="12" t="s">
        <v>109</v>
      </c>
      <c r="Q4760" s="13">
        <v>45764</v>
      </c>
      <c r="R4760" s="13">
        <v>45791</v>
      </c>
      <c r="S4760">
        <v>2025</v>
      </c>
      <c r="T4760" s="12" t="s">
        <v>5660</v>
      </c>
      <c r="U4760">
        <v>129</v>
      </c>
      <c r="V4760">
        <v>108.56229999999999</v>
      </c>
      <c r="W4760">
        <v>246.94</v>
      </c>
      <c r="X4760">
        <v>0</v>
      </c>
      <c r="Y4760">
        <v>0</v>
      </c>
      <c r="Z4760">
        <v>14004.54</v>
      </c>
      <c r="AA4760">
        <v>14251.48</v>
      </c>
      <c r="AB4760" s="12" t="s">
        <v>5782</v>
      </c>
      <c r="AC4760">
        <v>108.56229999999999</v>
      </c>
      <c r="AD4760">
        <v>1</v>
      </c>
      <c r="AE4760">
        <v>1</v>
      </c>
      <c r="AF4760">
        <v>0</v>
      </c>
      <c r="AG4760">
        <v>14004.54</v>
      </c>
      <c r="AH4760">
        <v>129</v>
      </c>
      <c r="AI4760">
        <v>127</v>
      </c>
      <c r="AJ4760">
        <v>2</v>
      </c>
      <c r="AK4760">
        <v>1</v>
      </c>
      <c r="AL4760">
        <v>1</v>
      </c>
      <c r="AM4760">
        <v>98.45</v>
      </c>
      <c r="AN4760">
        <v>112.21639999999999</v>
      </c>
      <c r="AO4760">
        <v>217.12</v>
      </c>
      <c r="AP4760" s="13">
        <v>45788</v>
      </c>
      <c r="AQ4760">
        <v>-3</v>
      </c>
      <c r="AR4760">
        <v>1</v>
      </c>
    </row>
    <row r="4761" spans="1:44" x14ac:dyDescent="0.35">
      <c r="A4761" s="12" t="s">
        <v>5783</v>
      </c>
      <c r="B4761" s="12" t="s">
        <v>990</v>
      </c>
      <c r="C4761" s="12" t="s">
        <v>991</v>
      </c>
      <c r="D4761" s="12" t="s">
        <v>122</v>
      </c>
      <c r="E4761" s="12" t="s">
        <v>142</v>
      </c>
      <c r="F4761">
        <v>1</v>
      </c>
      <c r="G4761">
        <v>6</v>
      </c>
      <c r="H4761">
        <v>1</v>
      </c>
      <c r="I4761" s="12" t="s">
        <v>217</v>
      </c>
      <c r="J4761" s="12" t="s">
        <v>218</v>
      </c>
      <c r="K4761" s="12" t="s">
        <v>68</v>
      </c>
      <c r="L4761" s="12" t="s">
        <v>82</v>
      </c>
      <c r="M4761">
        <v>14.24</v>
      </c>
      <c r="N4761" s="12" t="s">
        <v>97</v>
      </c>
      <c r="O4761" s="12" t="s">
        <v>98</v>
      </c>
      <c r="P4761" s="12" t="s">
        <v>72</v>
      </c>
      <c r="Q4761" s="13">
        <v>45764</v>
      </c>
      <c r="R4761" s="13">
        <v>45814</v>
      </c>
      <c r="S4761">
        <v>2025</v>
      </c>
      <c r="T4761" s="12" t="s">
        <v>5660</v>
      </c>
      <c r="U4761">
        <v>1763</v>
      </c>
      <c r="V4761">
        <v>33.6252</v>
      </c>
      <c r="W4761">
        <v>1417.42</v>
      </c>
      <c r="X4761">
        <v>0</v>
      </c>
      <c r="Y4761">
        <v>0</v>
      </c>
      <c r="Z4761">
        <v>59281.23</v>
      </c>
      <c r="AA4761">
        <v>60698.65</v>
      </c>
      <c r="AB4761" s="12" t="s">
        <v>3368</v>
      </c>
      <c r="AC4761">
        <v>33.6252</v>
      </c>
      <c r="AD4761">
        <v>1</v>
      </c>
      <c r="AE4761">
        <v>1</v>
      </c>
      <c r="AF4761">
        <v>0</v>
      </c>
      <c r="AG4761">
        <v>59281.23</v>
      </c>
      <c r="AH4761">
        <v>1763</v>
      </c>
      <c r="AI4761">
        <v>1754</v>
      </c>
      <c r="AJ4761">
        <v>9</v>
      </c>
      <c r="AK4761">
        <v>1</v>
      </c>
      <c r="AL4761">
        <v>1</v>
      </c>
      <c r="AM4761">
        <v>99.49</v>
      </c>
      <c r="AN4761">
        <v>34.605800000000002</v>
      </c>
      <c r="AO4761">
        <v>302.63</v>
      </c>
      <c r="AP4761" s="13">
        <v>45812</v>
      </c>
      <c r="AQ4761">
        <v>-2</v>
      </c>
      <c r="AR4761">
        <v>1</v>
      </c>
    </row>
    <row r="4762" spans="1:44" x14ac:dyDescent="0.35">
      <c r="A4762" s="12" t="s">
        <v>5784</v>
      </c>
      <c r="B4762" s="12" t="s">
        <v>1666</v>
      </c>
      <c r="C4762" s="12" t="s">
        <v>1667</v>
      </c>
      <c r="D4762" s="12" t="s">
        <v>78</v>
      </c>
      <c r="E4762" s="12" t="s">
        <v>65</v>
      </c>
      <c r="F4762">
        <v>2</v>
      </c>
      <c r="G4762">
        <v>3</v>
      </c>
      <c r="H4762">
        <v>0</v>
      </c>
      <c r="I4762" s="12" t="s">
        <v>310</v>
      </c>
      <c r="J4762" s="12" t="s">
        <v>311</v>
      </c>
      <c r="K4762" s="12" t="s">
        <v>81</v>
      </c>
      <c r="L4762" s="12" t="s">
        <v>69</v>
      </c>
      <c r="M4762">
        <v>28.3</v>
      </c>
      <c r="N4762" s="12" t="s">
        <v>70</v>
      </c>
      <c r="O4762" s="12" t="s">
        <v>71</v>
      </c>
      <c r="P4762" s="12" t="s">
        <v>72</v>
      </c>
      <c r="Q4762" s="13">
        <v>45764</v>
      </c>
      <c r="R4762" s="13">
        <v>45802</v>
      </c>
      <c r="S4762">
        <v>2025</v>
      </c>
      <c r="T4762" s="12" t="s">
        <v>5660</v>
      </c>
      <c r="U4762">
        <v>296</v>
      </c>
      <c r="V4762">
        <v>71.7453</v>
      </c>
      <c r="W4762">
        <v>538.57000000000005</v>
      </c>
      <c r="X4762">
        <v>0</v>
      </c>
      <c r="Y4762">
        <v>0</v>
      </c>
      <c r="Z4762">
        <v>21236.61</v>
      </c>
      <c r="AA4762">
        <v>21775.18</v>
      </c>
      <c r="AB4762" s="12" t="s">
        <v>5785</v>
      </c>
      <c r="AC4762">
        <v>71.7453</v>
      </c>
      <c r="AD4762">
        <v>1</v>
      </c>
      <c r="AE4762">
        <v>1</v>
      </c>
      <c r="AF4762">
        <v>0</v>
      </c>
      <c r="AG4762">
        <v>21236.61</v>
      </c>
      <c r="AH4762">
        <v>296</v>
      </c>
      <c r="AI4762">
        <v>289</v>
      </c>
      <c r="AJ4762">
        <v>7</v>
      </c>
      <c r="AK4762">
        <v>1</v>
      </c>
      <c r="AL4762">
        <v>1</v>
      </c>
      <c r="AM4762">
        <v>97.64</v>
      </c>
      <c r="AN4762">
        <v>75.346599999999995</v>
      </c>
      <c r="AO4762">
        <v>502.22</v>
      </c>
      <c r="AP4762" s="13">
        <v>45799</v>
      </c>
      <c r="AQ4762">
        <v>-3</v>
      </c>
      <c r="AR4762">
        <v>1</v>
      </c>
    </row>
    <row r="4763" spans="1:44" x14ac:dyDescent="0.35">
      <c r="A4763" s="12" t="s">
        <v>5786</v>
      </c>
      <c r="B4763" s="12" t="s">
        <v>238</v>
      </c>
      <c r="C4763" s="12" t="s">
        <v>239</v>
      </c>
      <c r="D4763" s="12" t="s">
        <v>122</v>
      </c>
      <c r="E4763" s="12" t="s">
        <v>65</v>
      </c>
      <c r="F4763">
        <v>3</v>
      </c>
      <c r="G4763">
        <v>4</v>
      </c>
      <c r="H4763">
        <v>0</v>
      </c>
      <c r="I4763" s="12" t="s">
        <v>79</v>
      </c>
      <c r="J4763" s="12" t="s">
        <v>80</v>
      </c>
      <c r="K4763" s="12" t="s">
        <v>81</v>
      </c>
      <c r="L4763" s="12" t="s">
        <v>82</v>
      </c>
      <c r="M4763">
        <v>12.07</v>
      </c>
      <c r="N4763" s="12" t="s">
        <v>97</v>
      </c>
      <c r="O4763" s="12" t="s">
        <v>98</v>
      </c>
      <c r="P4763" s="12" t="s">
        <v>72</v>
      </c>
      <c r="Q4763" s="13">
        <v>45764</v>
      </c>
      <c r="R4763" s="13">
        <v>45801</v>
      </c>
      <c r="S4763">
        <v>2025</v>
      </c>
      <c r="T4763" s="12" t="s">
        <v>5660</v>
      </c>
      <c r="U4763">
        <v>1898</v>
      </c>
      <c r="V4763">
        <v>34.205399999999997</v>
      </c>
      <c r="W4763">
        <v>891.71</v>
      </c>
      <c r="X4763">
        <v>0</v>
      </c>
      <c r="Y4763">
        <v>0</v>
      </c>
      <c r="Z4763">
        <v>64921.85</v>
      </c>
      <c r="AA4763">
        <v>65813.56</v>
      </c>
      <c r="AB4763" s="12" t="s">
        <v>5214</v>
      </c>
      <c r="AC4763">
        <v>34.205399999999997</v>
      </c>
      <c r="AD4763">
        <v>1</v>
      </c>
      <c r="AE4763">
        <v>1</v>
      </c>
      <c r="AF4763">
        <v>0</v>
      </c>
      <c r="AG4763">
        <v>64921.85</v>
      </c>
      <c r="AH4763">
        <v>1898</v>
      </c>
      <c r="AI4763">
        <v>1894</v>
      </c>
      <c r="AJ4763">
        <v>4</v>
      </c>
      <c r="AK4763">
        <v>1</v>
      </c>
      <c r="AL4763">
        <v>1</v>
      </c>
      <c r="AM4763">
        <v>99.79</v>
      </c>
      <c r="AN4763">
        <v>34.748399999999997</v>
      </c>
      <c r="AO4763">
        <v>136.82</v>
      </c>
      <c r="AP4763" s="13">
        <v>45810</v>
      </c>
      <c r="AQ4763">
        <v>9</v>
      </c>
      <c r="AR4763">
        <v>0</v>
      </c>
    </row>
    <row r="4764" spans="1:44" x14ac:dyDescent="0.35">
      <c r="A4764" s="12" t="s">
        <v>5787</v>
      </c>
      <c r="B4764" s="12" t="s">
        <v>680</v>
      </c>
      <c r="C4764" s="12" t="s">
        <v>681</v>
      </c>
      <c r="D4764" s="12" t="s">
        <v>122</v>
      </c>
      <c r="E4764" s="12" t="s">
        <v>104</v>
      </c>
      <c r="F4764">
        <v>3</v>
      </c>
      <c r="G4764">
        <v>1</v>
      </c>
      <c r="H4764">
        <v>0</v>
      </c>
      <c r="I4764" s="12" t="s">
        <v>227</v>
      </c>
      <c r="J4764" s="12" t="s">
        <v>228</v>
      </c>
      <c r="K4764" s="12" t="s">
        <v>89</v>
      </c>
      <c r="L4764" s="12" t="s">
        <v>96</v>
      </c>
      <c r="M4764">
        <v>9.15</v>
      </c>
      <c r="N4764" s="12" t="s">
        <v>70</v>
      </c>
      <c r="O4764" s="12" t="s">
        <v>71</v>
      </c>
      <c r="P4764" s="12" t="s">
        <v>72</v>
      </c>
      <c r="Q4764" s="13">
        <v>45765</v>
      </c>
      <c r="R4764" s="13">
        <v>45786</v>
      </c>
      <c r="S4764">
        <v>2025</v>
      </c>
      <c r="T4764" s="12" t="s">
        <v>5660</v>
      </c>
      <c r="U4764">
        <v>1179</v>
      </c>
      <c r="V4764">
        <v>21.918800000000001</v>
      </c>
      <c r="W4764">
        <v>156.1</v>
      </c>
      <c r="X4764">
        <v>0</v>
      </c>
      <c r="Y4764">
        <v>0</v>
      </c>
      <c r="Z4764">
        <v>25842.27</v>
      </c>
      <c r="AA4764">
        <v>25998.37</v>
      </c>
      <c r="AB4764" s="12" t="s">
        <v>201</v>
      </c>
      <c r="AD4764">
        <v>0</v>
      </c>
      <c r="AE4764">
        <v>0</v>
      </c>
      <c r="AH4764">
        <v>1179</v>
      </c>
      <c r="AI4764">
        <v>1173</v>
      </c>
      <c r="AJ4764">
        <v>6</v>
      </c>
      <c r="AK4764">
        <v>1</v>
      </c>
      <c r="AL4764">
        <v>1</v>
      </c>
      <c r="AM4764">
        <v>99.49</v>
      </c>
      <c r="AN4764">
        <v>22.164000000000001</v>
      </c>
      <c r="AO4764">
        <v>131.51</v>
      </c>
      <c r="AP4764" s="13">
        <v>45783</v>
      </c>
      <c r="AQ4764">
        <v>-3</v>
      </c>
      <c r="AR4764">
        <v>1</v>
      </c>
    </row>
    <row r="4765" spans="1:44" x14ac:dyDescent="0.35">
      <c r="A4765" s="12" t="s">
        <v>5788</v>
      </c>
      <c r="B4765" s="12" t="s">
        <v>740</v>
      </c>
      <c r="C4765" s="12" t="s">
        <v>741</v>
      </c>
      <c r="D4765" s="12" t="s">
        <v>64</v>
      </c>
      <c r="E4765" s="12" t="s">
        <v>104</v>
      </c>
      <c r="F4765">
        <v>2</v>
      </c>
      <c r="G4765">
        <v>0</v>
      </c>
      <c r="H4765">
        <v>0</v>
      </c>
      <c r="I4765" s="12" t="s">
        <v>183</v>
      </c>
      <c r="J4765" s="12" t="s">
        <v>184</v>
      </c>
      <c r="K4765" s="12" t="s">
        <v>133</v>
      </c>
      <c r="L4765" s="12" t="s">
        <v>82</v>
      </c>
      <c r="M4765">
        <v>8.6199999999999992</v>
      </c>
      <c r="N4765" s="12" t="s">
        <v>97</v>
      </c>
      <c r="O4765" s="12" t="s">
        <v>98</v>
      </c>
      <c r="P4765" s="12" t="s">
        <v>72</v>
      </c>
      <c r="Q4765" s="13">
        <v>45765</v>
      </c>
      <c r="R4765" s="13">
        <v>45782</v>
      </c>
      <c r="S4765">
        <v>2025</v>
      </c>
      <c r="T4765" s="12" t="s">
        <v>5660</v>
      </c>
      <c r="U4765">
        <v>370</v>
      </c>
      <c r="V4765">
        <v>41.1374</v>
      </c>
      <c r="W4765">
        <v>130.37</v>
      </c>
      <c r="X4765">
        <v>0</v>
      </c>
      <c r="Y4765">
        <v>0</v>
      </c>
      <c r="Z4765">
        <v>15220.84</v>
      </c>
      <c r="AA4765">
        <v>15351.21</v>
      </c>
      <c r="AB4765" s="12" t="s">
        <v>5789</v>
      </c>
      <c r="AC4765">
        <v>41.1374</v>
      </c>
      <c r="AD4765">
        <v>1</v>
      </c>
      <c r="AE4765">
        <v>1</v>
      </c>
      <c r="AF4765">
        <v>0</v>
      </c>
      <c r="AG4765">
        <v>15220.84</v>
      </c>
      <c r="AH4765">
        <v>370</v>
      </c>
      <c r="AI4765">
        <v>368</v>
      </c>
      <c r="AJ4765">
        <v>2</v>
      </c>
      <c r="AK4765">
        <v>1</v>
      </c>
      <c r="AL4765">
        <v>1</v>
      </c>
      <c r="AM4765">
        <v>99.46</v>
      </c>
      <c r="AN4765">
        <v>41.715200000000003</v>
      </c>
      <c r="AO4765">
        <v>82.27</v>
      </c>
      <c r="AP4765" s="13">
        <v>45780</v>
      </c>
      <c r="AQ4765">
        <v>-2</v>
      </c>
      <c r="AR4765">
        <v>1</v>
      </c>
    </row>
    <row r="4766" spans="1:44" x14ac:dyDescent="0.35">
      <c r="A4766" s="12" t="s">
        <v>5790</v>
      </c>
      <c r="B4766" s="12" t="s">
        <v>706</v>
      </c>
      <c r="C4766" s="12" t="s">
        <v>707</v>
      </c>
      <c r="D4766" s="12" t="s">
        <v>130</v>
      </c>
      <c r="E4766" s="12" t="s">
        <v>142</v>
      </c>
      <c r="F4766">
        <v>1</v>
      </c>
      <c r="G4766">
        <v>8</v>
      </c>
      <c r="H4766">
        <v>1</v>
      </c>
      <c r="I4766" s="12" t="s">
        <v>263</v>
      </c>
      <c r="J4766" s="12" t="s">
        <v>264</v>
      </c>
      <c r="K4766" s="12" t="s">
        <v>125</v>
      </c>
      <c r="L4766" s="12" t="s">
        <v>82</v>
      </c>
      <c r="M4766">
        <v>10.210000000000001</v>
      </c>
      <c r="N4766" s="12" t="s">
        <v>159</v>
      </c>
      <c r="O4766" s="12" t="s">
        <v>160</v>
      </c>
      <c r="P4766" s="12" t="s">
        <v>137</v>
      </c>
      <c r="Q4766" s="13">
        <v>45768</v>
      </c>
      <c r="R4766" s="13">
        <v>45803</v>
      </c>
      <c r="S4766">
        <v>2025</v>
      </c>
      <c r="T4766" s="12" t="s">
        <v>5660</v>
      </c>
      <c r="U4766">
        <v>13</v>
      </c>
      <c r="V4766">
        <v>284.88040000000001</v>
      </c>
      <c r="W4766">
        <v>46.35</v>
      </c>
      <c r="X4766">
        <v>0</v>
      </c>
      <c r="Y4766">
        <v>0</v>
      </c>
      <c r="Z4766">
        <v>3703.45</v>
      </c>
      <c r="AA4766">
        <v>3749.8</v>
      </c>
      <c r="AB4766" s="12" t="s">
        <v>5735</v>
      </c>
      <c r="AC4766">
        <v>276.71809999999999</v>
      </c>
      <c r="AD4766">
        <v>1</v>
      </c>
      <c r="AE4766">
        <v>1</v>
      </c>
      <c r="AF4766">
        <v>106.11</v>
      </c>
      <c r="AG4766">
        <v>3597.34</v>
      </c>
      <c r="AH4766">
        <v>13</v>
      </c>
      <c r="AI4766">
        <v>13</v>
      </c>
      <c r="AJ4766">
        <v>0</v>
      </c>
      <c r="AK4766">
        <v>1</v>
      </c>
      <c r="AL4766">
        <v>1</v>
      </c>
      <c r="AM4766">
        <v>100</v>
      </c>
      <c r="AN4766">
        <v>288.44580000000002</v>
      </c>
      <c r="AO4766">
        <v>0</v>
      </c>
      <c r="AP4766" s="13">
        <v>45803</v>
      </c>
      <c r="AQ4766">
        <v>0</v>
      </c>
      <c r="AR4766">
        <v>1</v>
      </c>
    </row>
    <row r="4767" spans="1:44" x14ac:dyDescent="0.35">
      <c r="A4767" s="12" t="s">
        <v>5791</v>
      </c>
      <c r="B4767" s="12" t="s">
        <v>412</v>
      </c>
      <c r="C4767" s="12" t="s">
        <v>413</v>
      </c>
      <c r="D4767" s="12" t="s">
        <v>269</v>
      </c>
      <c r="E4767" s="12" t="s">
        <v>65</v>
      </c>
      <c r="F4767">
        <v>1</v>
      </c>
      <c r="G4767">
        <v>2</v>
      </c>
      <c r="H4767">
        <v>1</v>
      </c>
      <c r="I4767" s="12" t="s">
        <v>233</v>
      </c>
      <c r="J4767" s="12" t="s">
        <v>234</v>
      </c>
      <c r="K4767" s="12" t="s">
        <v>125</v>
      </c>
      <c r="L4767" s="12" t="s">
        <v>96</v>
      </c>
      <c r="M4767">
        <v>3.73</v>
      </c>
      <c r="N4767" s="12" t="s">
        <v>135</v>
      </c>
      <c r="O4767" s="12" t="s">
        <v>136</v>
      </c>
      <c r="P4767" s="12" t="s">
        <v>137</v>
      </c>
      <c r="Q4767" s="13">
        <v>45768</v>
      </c>
      <c r="R4767" s="13">
        <v>45800</v>
      </c>
      <c r="S4767">
        <v>2025</v>
      </c>
      <c r="T4767" s="12" t="s">
        <v>5660</v>
      </c>
      <c r="U4767">
        <v>99</v>
      </c>
      <c r="V4767">
        <v>103.87350000000001</v>
      </c>
      <c r="W4767">
        <v>200.68</v>
      </c>
      <c r="X4767">
        <v>0</v>
      </c>
      <c r="Y4767">
        <v>0</v>
      </c>
      <c r="Z4767">
        <v>10283.48</v>
      </c>
      <c r="AA4767">
        <v>10484.16</v>
      </c>
      <c r="AB4767" s="12" t="s">
        <v>5424</v>
      </c>
      <c r="AC4767">
        <v>103.87350000000001</v>
      </c>
      <c r="AD4767">
        <v>1</v>
      </c>
      <c r="AE4767">
        <v>1</v>
      </c>
      <c r="AF4767">
        <v>0</v>
      </c>
      <c r="AG4767">
        <v>10283.48</v>
      </c>
      <c r="AH4767">
        <v>99</v>
      </c>
      <c r="AI4767">
        <v>98</v>
      </c>
      <c r="AJ4767">
        <v>1</v>
      </c>
      <c r="AK4767">
        <v>1</v>
      </c>
      <c r="AL4767">
        <v>1</v>
      </c>
      <c r="AM4767">
        <v>98.99</v>
      </c>
      <c r="AN4767">
        <v>106.9812</v>
      </c>
      <c r="AO4767">
        <v>103.87</v>
      </c>
      <c r="AP4767" s="13">
        <v>45799</v>
      </c>
      <c r="AQ4767">
        <v>-1</v>
      </c>
      <c r="AR4767">
        <v>1</v>
      </c>
    </row>
    <row r="4768" spans="1:44" x14ac:dyDescent="0.35">
      <c r="A4768" s="12" t="s">
        <v>5792</v>
      </c>
      <c r="B4768" s="12" t="s">
        <v>503</v>
      </c>
      <c r="C4768" s="12" t="s">
        <v>504</v>
      </c>
      <c r="D4768" s="12" t="s">
        <v>103</v>
      </c>
      <c r="E4768" s="12" t="s">
        <v>104</v>
      </c>
      <c r="F4768">
        <v>3</v>
      </c>
      <c r="G4768">
        <v>1</v>
      </c>
      <c r="H4768">
        <v>0</v>
      </c>
      <c r="I4768" s="12" t="s">
        <v>209</v>
      </c>
      <c r="J4768" s="12" t="s">
        <v>210</v>
      </c>
      <c r="K4768" s="12" t="s">
        <v>133</v>
      </c>
      <c r="L4768" s="12" t="s">
        <v>96</v>
      </c>
      <c r="M4768">
        <v>7.82</v>
      </c>
      <c r="N4768" s="12" t="s">
        <v>145</v>
      </c>
      <c r="O4768" s="12" t="s">
        <v>146</v>
      </c>
      <c r="P4768" s="12" t="s">
        <v>109</v>
      </c>
      <c r="Q4768" s="13">
        <v>45768</v>
      </c>
      <c r="R4768" s="13">
        <v>45794</v>
      </c>
      <c r="S4768">
        <v>2025</v>
      </c>
      <c r="T4768" s="12" t="s">
        <v>5660</v>
      </c>
      <c r="U4768">
        <v>118</v>
      </c>
      <c r="V4768">
        <v>172.13319999999999</v>
      </c>
      <c r="W4768">
        <v>500.98</v>
      </c>
      <c r="X4768">
        <v>0</v>
      </c>
      <c r="Y4768">
        <v>0</v>
      </c>
      <c r="Z4768">
        <v>20311.72</v>
      </c>
      <c r="AA4768">
        <v>20812.7</v>
      </c>
      <c r="AB4768" s="12" t="s">
        <v>201</v>
      </c>
      <c r="AD4768">
        <v>0</v>
      </c>
      <c r="AE4768">
        <v>0</v>
      </c>
      <c r="AH4768">
        <v>118</v>
      </c>
      <c r="AI4768">
        <v>116</v>
      </c>
      <c r="AJ4768">
        <v>2</v>
      </c>
      <c r="AK4768">
        <v>1</v>
      </c>
      <c r="AL4768">
        <v>1</v>
      </c>
      <c r="AM4768">
        <v>98.31</v>
      </c>
      <c r="AN4768">
        <v>179.41980000000001</v>
      </c>
      <c r="AO4768">
        <v>344.27</v>
      </c>
      <c r="AP4768" s="13">
        <v>45794</v>
      </c>
      <c r="AQ4768">
        <v>0</v>
      </c>
      <c r="AR4768">
        <v>1</v>
      </c>
    </row>
    <row r="4769" spans="1:44" x14ac:dyDescent="0.35">
      <c r="A4769" s="12" t="s">
        <v>5793</v>
      </c>
      <c r="B4769" s="12" t="s">
        <v>273</v>
      </c>
      <c r="C4769" s="12" t="s">
        <v>274</v>
      </c>
      <c r="D4769" s="12" t="s">
        <v>175</v>
      </c>
      <c r="E4769" s="12" t="s">
        <v>104</v>
      </c>
      <c r="F4769">
        <v>3</v>
      </c>
      <c r="G4769">
        <v>1</v>
      </c>
      <c r="H4769">
        <v>0</v>
      </c>
      <c r="I4769" s="12" t="s">
        <v>275</v>
      </c>
      <c r="J4769" s="12" t="s">
        <v>276</v>
      </c>
      <c r="K4769" s="12" t="s">
        <v>89</v>
      </c>
      <c r="L4769" s="12" t="s">
        <v>82</v>
      </c>
      <c r="M4769">
        <v>14.26</v>
      </c>
      <c r="N4769" s="12" t="s">
        <v>107</v>
      </c>
      <c r="O4769" s="12" t="s">
        <v>108</v>
      </c>
      <c r="P4769" s="12" t="s">
        <v>109</v>
      </c>
      <c r="Q4769" s="13">
        <v>45768</v>
      </c>
      <c r="R4769" s="13">
        <v>45790</v>
      </c>
      <c r="S4769">
        <v>2025</v>
      </c>
      <c r="T4769" s="12" t="s">
        <v>5660</v>
      </c>
      <c r="U4769">
        <v>90</v>
      </c>
      <c r="V4769">
        <v>108.56229999999999</v>
      </c>
      <c r="W4769">
        <v>172.57</v>
      </c>
      <c r="X4769">
        <v>0</v>
      </c>
      <c r="Y4769">
        <v>0</v>
      </c>
      <c r="Z4769">
        <v>9770.61</v>
      </c>
      <c r="AA4769">
        <v>9943.18</v>
      </c>
      <c r="AB4769" s="12" t="s">
        <v>5782</v>
      </c>
      <c r="AC4769">
        <v>108.56229999999999</v>
      </c>
      <c r="AD4769">
        <v>1</v>
      </c>
      <c r="AE4769">
        <v>1</v>
      </c>
      <c r="AF4769">
        <v>0</v>
      </c>
      <c r="AG4769">
        <v>9770.61</v>
      </c>
      <c r="AH4769">
        <v>90</v>
      </c>
      <c r="AI4769">
        <v>89</v>
      </c>
      <c r="AJ4769">
        <v>1</v>
      </c>
      <c r="AK4769">
        <v>1</v>
      </c>
      <c r="AL4769">
        <v>1</v>
      </c>
      <c r="AM4769">
        <v>98.89</v>
      </c>
      <c r="AN4769">
        <v>111.72110000000001</v>
      </c>
      <c r="AO4769">
        <v>108.56</v>
      </c>
      <c r="AP4769" s="13">
        <v>45787</v>
      </c>
      <c r="AQ4769">
        <v>-3</v>
      </c>
      <c r="AR4769">
        <v>1</v>
      </c>
    </row>
    <row r="4770" spans="1:44" x14ac:dyDescent="0.35">
      <c r="A4770" s="12" t="s">
        <v>5794</v>
      </c>
      <c r="B4770" s="12" t="s">
        <v>732</v>
      </c>
      <c r="C4770" s="12" t="s">
        <v>733</v>
      </c>
      <c r="D4770" s="12" t="s">
        <v>114</v>
      </c>
      <c r="E4770" s="12" t="s">
        <v>104</v>
      </c>
      <c r="F4770">
        <v>3</v>
      </c>
      <c r="G4770">
        <v>1</v>
      </c>
      <c r="H4770">
        <v>0</v>
      </c>
      <c r="I4770" s="12" t="s">
        <v>251</v>
      </c>
      <c r="J4770" s="12" t="s">
        <v>252</v>
      </c>
      <c r="K4770" s="12" t="s">
        <v>133</v>
      </c>
      <c r="L4770" s="12" t="s">
        <v>69</v>
      </c>
      <c r="M4770">
        <v>34.49</v>
      </c>
      <c r="N4770" s="12" t="s">
        <v>97</v>
      </c>
      <c r="O4770" s="12" t="s">
        <v>98</v>
      </c>
      <c r="P4770" s="12" t="s">
        <v>72</v>
      </c>
      <c r="Q4770" s="13">
        <v>45768</v>
      </c>
      <c r="R4770" s="13">
        <v>45794</v>
      </c>
      <c r="S4770">
        <v>2025</v>
      </c>
      <c r="T4770" s="12" t="s">
        <v>5660</v>
      </c>
      <c r="U4770">
        <v>120</v>
      </c>
      <c r="V4770">
        <v>295.06799999999998</v>
      </c>
      <c r="W4770">
        <v>820.58</v>
      </c>
      <c r="X4770">
        <v>0</v>
      </c>
      <c r="Y4770">
        <v>0</v>
      </c>
      <c r="Z4770">
        <v>35408.160000000003</v>
      </c>
      <c r="AA4770">
        <v>36228.74</v>
      </c>
      <c r="AB4770" s="12" t="s">
        <v>5795</v>
      </c>
      <c r="AC4770">
        <v>295.06799999999998</v>
      </c>
      <c r="AD4770">
        <v>1</v>
      </c>
      <c r="AE4770">
        <v>1</v>
      </c>
      <c r="AF4770">
        <v>0</v>
      </c>
      <c r="AG4770">
        <v>35408.160000000003</v>
      </c>
      <c r="AH4770">
        <v>120</v>
      </c>
      <c r="AI4770">
        <v>119</v>
      </c>
      <c r="AJ4770">
        <v>1</v>
      </c>
      <c r="AK4770">
        <v>1</v>
      </c>
      <c r="AL4770">
        <v>1</v>
      </c>
      <c r="AM4770">
        <v>99.17</v>
      </c>
      <c r="AN4770">
        <v>304.44319999999999</v>
      </c>
      <c r="AO4770">
        <v>295.07</v>
      </c>
      <c r="AP4770" s="13">
        <v>45794</v>
      </c>
      <c r="AQ4770">
        <v>0</v>
      </c>
      <c r="AR4770">
        <v>1</v>
      </c>
    </row>
    <row r="4771" spans="1:44" x14ac:dyDescent="0.35">
      <c r="A4771" s="12" t="s">
        <v>5796</v>
      </c>
      <c r="B4771" s="12" t="s">
        <v>437</v>
      </c>
      <c r="C4771" s="12" t="s">
        <v>438</v>
      </c>
      <c r="D4771" s="12" t="s">
        <v>269</v>
      </c>
      <c r="E4771" s="12" t="s">
        <v>65</v>
      </c>
      <c r="F4771">
        <v>2</v>
      </c>
      <c r="G4771">
        <v>4</v>
      </c>
      <c r="H4771">
        <v>0</v>
      </c>
      <c r="I4771" s="12" t="s">
        <v>115</v>
      </c>
      <c r="J4771" s="12" t="s">
        <v>116</v>
      </c>
      <c r="K4771" s="12" t="s">
        <v>117</v>
      </c>
      <c r="L4771" s="12" t="s">
        <v>82</v>
      </c>
      <c r="M4771">
        <v>17.170000000000002</v>
      </c>
      <c r="N4771" s="12" t="s">
        <v>135</v>
      </c>
      <c r="O4771" s="12" t="s">
        <v>136</v>
      </c>
      <c r="P4771" s="12" t="s">
        <v>137</v>
      </c>
      <c r="Q4771" s="13">
        <v>45769</v>
      </c>
      <c r="R4771" s="13">
        <v>45807</v>
      </c>
      <c r="S4771">
        <v>2025</v>
      </c>
      <c r="T4771" s="12" t="s">
        <v>5660</v>
      </c>
      <c r="U4771">
        <v>146</v>
      </c>
      <c r="V4771">
        <v>409.1377</v>
      </c>
      <c r="W4771">
        <v>1472.93</v>
      </c>
      <c r="X4771">
        <v>0</v>
      </c>
      <c r="Y4771">
        <v>0</v>
      </c>
      <c r="Z4771">
        <v>59734.1</v>
      </c>
      <c r="AA4771">
        <v>61207.03</v>
      </c>
      <c r="AB4771" s="12" t="s">
        <v>5505</v>
      </c>
      <c r="AC4771">
        <v>409.1377</v>
      </c>
      <c r="AD4771">
        <v>1</v>
      </c>
      <c r="AE4771">
        <v>1</v>
      </c>
      <c r="AF4771">
        <v>0</v>
      </c>
      <c r="AG4771">
        <v>59734.1</v>
      </c>
      <c r="AH4771">
        <v>146</v>
      </c>
      <c r="AI4771">
        <v>145</v>
      </c>
      <c r="AJ4771">
        <v>1</v>
      </c>
      <c r="AK4771">
        <v>1</v>
      </c>
      <c r="AL4771">
        <v>1</v>
      </c>
      <c r="AM4771">
        <v>99.32</v>
      </c>
      <c r="AN4771">
        <v>422.11750000000001</v>
      </c>
      <c r="AO4771">
        <v>409.14</v>
      </c>
      <c r="AP4771" s="13">
        <v>45804</v>
      </c>
      <c r="AQ4771">
        <v>-3</v>
      </c>
      <c r="AR4771">
        <v>1</v>
      </c>
    </row>
    <row r="4772" spans="1:44" x14ac:dyDescent="0.35">
      <c r="A4772" s="12" t="s">
        <v>5797</v>
      </c>
      <c r="B4772" s="12" t="s">
        <v>1034</v>
      </c>
      <c r="C4772" s="12" t="s">
        <v>1035</v>
      </c>
      <c r="D4772" s="12" t="s">
        <v>64</v>
      </c>
      <c r="E4772" s="12" t="s">
        <v>104</v>
      </c>
      <c r="F4772">
        <v>2</v>
      </c>
      <c r="G4772">
        <v>0</v>
      </c>
      <c r="H4772">
        <v>0</v>
      </c>
      <c r="I4772" s="12" t="s">
        <v>157</v>
      </c>
      <c r="J4772" s="12" t="s">
        <v>158</v>
      </c>
      <c r="K4772" s="12" t="s">
        <v>117</v>
      </c>
      <c r="L4772" s="12" t="s">
        <v>96</v>
      </c>
      <c r="M4772">
        <v>4.72</v>
      </c>
      <c r="N4772" s="12" t="s">
        <v>70</v>
      </c>
      <c r="O4772" s="12" t="s">
        <v>71</v>
      </c>
      <c r="P4772" s="12" t="s">
        <v>72</v>
      </c>
      <c r="Q4772" s="13">
        <v>45769</v>
      </c>
      <c r="R4772" s="13">
        <v>45796</v>
      </c>
      <c r="S4772">
        <v>2025</v>
      </c>
      <c r="T4772" s="12" t="s">
        <v>5660</v>
      </c>
      <c r="U4772">
        <v>891</v>
      </c>
      <c r="V4772">
        <v>8.7899999999999991</v>
      </c>
      <c r="W4772">
        <v>163.56</v>
      </c>
      <c r="X4772">
        <v>0</v>
      </c>
      <c r="Y4772">
        <v>0</v>
      </c>
      <c r="Z4772">
        <v>7831.89</v>
      </c>
      <c r="AA4772">
        <v>7995.45</v>
      </c>
      <c r="AB4772" s="12" t="s">
        <v>5798</v>
      </c>
      <c r="AC4772">
        <v>8.5963999999999992</v>
      </c>
      <c r="AD4772">
        <v>1</v>
      </c>
      <c r="AE4772">
        <v>1</v>
      </c>
      <c r="AF4772">
        <v>172.5</v>
      </c>
      <c r="AG4772">
        <v>7659.39</v>
      </c>
      <c r="AH4772">
        <v>891</v>
      </c>
      <c r="AI4772">
        <v>882</v>
      </c>
      <c r="AJ4772">
        <v>9</v>
      </c>
      <c r="AK4772">
        <v>1</v>
      </c>
      <c r="AL4772">
        <v>1</v>
      </c>
      <c r="AM4772">
        <v>98.99</v>
      </c>
      <c r="AN4772">
        <v>9.0650999999999993</v>
      </c>
      <c r="AO4772">
        <v>79.11</v>
      </c>
      <c r="AP4772" s="13">
        <v>45794</v>
      </c>
      <c r="AQ4772">
        <v>-2</v>
      </c>
      <c r="AR4772">
        <v>1</v>
      </c>
    </row>
    <row r="4773" spans="1:44" x14ac:dyDescent="0.35">
      <c r="A4773" s="12" t="s">
        <v>5799</v>
      </c>
      <c r="B4773" s="12" t="s">
        <v>442</v>
      </c>
      <c r="C4773" s="12" t="s">
        <v>443</v>
      </c>
      <c r="D4773" s="12" t="s">
        <v>130</v>
      </c>
      <c r="E4773" s="12" t="s">
        <v>65</v>
      </c>
      <c r="F4773">
        <v>3</v>
      </c>
      <c r="G4773">
        <v>4</v>
      </c>
      <c r="H4773">
        <v>0</v>
      </c>
      <c r="I4773" s="12" t="s">
        <v>115</v>
      </c>
      <c r="J4773" s="12" t="s">
        <v>116</v>
      </c>
      <c r="K4773" s="12" t="s">
        <v>117</v>
      </c>
      <c r="L4773" s="12" t="s">
        <v>82</v>
      </c>
      <c r="M4773">
        <v>17.170000000000002</v>
      </c>
      <c r="N4773" s="12" t="s">
        <v>159</v>
      </c>
      <c r="O4773" s="12" t="s">
        <v>160</v>
      </c>
      <c r="P4773" s="12" t="s">
        <v>137</v>
      </c>
      <c r="Q4773" s="13">
        <v>45769</v>
      </c>
      <c r="R4773" s="13">
        <v>45800</v>
      </c>
      <c r="S4773">
        <v>2025</v>
      </c>
      <c r="T4773" s="12" t="s">
        <v>5660</v>
      </c>
      <c r="U4773">
        <v>91</v>
      </c>
      <c r="V4773">
        <v>568.07240000000002</v>
      </c>
      <c r="W4773">
        <v>1244.56</v>
      </c>
      <c r="X4773">
        <v>0</v>
      </c>
      <c r="Y4773">
        <v>0</v>
      </c>
      <c r="Z4773">
        <v>51694.59</v>
      </c>
      <c r="AA4773">
        <v>52939.15</v>
      </c>
      <c r="AB4773" s="12" t="s">
        <v>5800</v>
      </c>
      <c r="AC4773">
        <v>568.07240000000002</v>
      </c>
      <c r="AD4773">
        <v>1</v>
      </c>
      <c r="AE4773">
        <v>1</v>
      </c>
      <c r="AF4773">
        <v>0</v>
      </c>
      <c r="AG4773">
        <v>51694.59</v>
      </c>
      <c r="AH4773">
        <v>91</v>
      </c>
      <c r="AI4773">
        <v>90</v>
      </c>
      <c r="AJ4773">
        <v>1</v>
      </c>
      <c r="AK4773">
        <v>1</v>
      </c>
      <c r="AL4773">
        <v>1</v>
      </c>
      <c r="AM4773">
        <v>98.9</v>
      </c>
      <c r="AN4773">
        <v>588.21280000000002</v>
      </c>
      <c r="AO4773">
        <v>568.07000000000005</v>
      </c>
      <c r="AP4773" s="13">
        <v>45798</v>
      </c>
      <c r="AQ4773">
        <v>-2</v>
      </c>
      <c r="AR4773">
        <v>1</v>
      </c>
    </row>
    <row r="4774" spans="1:44" x14ac:dyDescent="0.35">
      <c r="A4774" s="12" t="s">
        <v>5801</v>
      </c>
      <c r="B4774" s="12" t="s">
        <v>519</v>
      </c>
      <c r="C4774" s="12" t="s">
        <v>520</v>
      </c>
      <c r="D4774" s="12" t="s">
        <v>78</v>
      </c>
      <c r="E4774" s="12" t="s">
        <v>65</v>
      </c>
      <c r="F4774">
        <v>2</v>
      </c>
      <c r="G4774">
        <v>3</v>
      </c>
      <c r="H4774">
        <v>0</v>
      </c>
      <c r="I4774" s="12" t="s">
        <v>143</v>
      </c>
      <c r="J4774" s="12" t="s">
        <v>144</v>
      </c>
      <c r="K4774" s="12" t="s">
        <v>133</v>
      </c>
      <c r="L4774" s="12" t="s">
        <v>96</v>
      </c>
      <c r="M4774">
        <v>5.43</v>
      </c>
      <c r="N4774" s="12" t="s">
        <v>70</v>
      </c>
      <c r="O4774" s="12" t="s">
        <v>71</v>
      </c>
      <c r="P4774" s="12" t="s">
        <v>72</v>
      </c>
      <c r="Q4774" s="13">
        <v>45769</v>
      </c>
      <c r="R4774" s="13">
        <v>45806</v>
      </c>
      <c r="S4774">
        <v>2025</v>
      </c>
      <c r="T4774" s="12" t="s">
        <v>5660</v>
      </c>
      <c r="U4774">
        <v>283</v>
      </c>
      <c r="V4774">
        <v>29.405100000000001</v>
      </c>
      <c r="W4774">
        <v>177.33</v>
      </c>
      <c r="X4774">
        <v>0</v>
      </c>
      <c r="Y4774">
        <v>0</v>
      </c>
      <c r="Z4774">
        <v>8321.64</v>
      </c>
      <c r="AA4774">
        <v>8498.9699999999993</v>
      </c>
      <c r="AB4774" s="12" t="s">
        <v>5619</v>
      </c>
      <c r="AC4774">
        <v>28.570399999999999</v>
      </c>
      <c r="AD4774">
        <v>1</v>
      </c>
      <c r="AE4774">
        <v>1</v>
      </c>
      <c r="AF4774">
        <v>236.22</v>
      </c>
      <c r="AG4774">
        <v>8085.42</v>
      </c>
      <c r="AH4774">
        <v>283</v>
      </c>
      <c r="AI4774">
        <v>280</v>
      </c>
      <c r="AJ4774">
        <v>3</v>
      </c>
      <c r="AK4774">
        <v>1</v>
      </c>
      <c r="AL4774">
        <v>1</v>
      </c>
      <c r="AM4774">
        <v>98.94</v>
      </c>
      <c r="AN4774">
        <v>30.3535</v>
      </c>
      <c r="AO4774">
        <v>88.22</v>
      </c>
      <c r="AP4774" s="13">
        <v>45804</v>
      </c>
      <c r="AQ4774">
        <v>-2</v>
      </c>
      <c r="AR4774">
        <v>1</v>
      </c>
    </row>
    <row r="4775" spans="1:44" x14ac:dyDescent="0.35">
      <c r="A4775" s="12" t="s">
        <v>5802</v>
      </c>
      <c r="B4775" s="12" t="s">
        <v>621</v>
      </c>
      <c r="C4775" s="12" t="s">
        <v>622</v>
      </c>
      <c r="D4775" s="12" t="s">
        <v>103</v>
      </c>
      <c r="E4775" s="12" t="s">
        <v>65</v>
      </c>
      <c r="F4775">
        <v>1</v>
      </c>
      <c r="G4775">
        <v>2</v>
      </c>
      <c r="H4775">
        <v>1</v>
      </c>
      <c r="I4775" s="12" t="s">
        <v>486</v>
      </c>
      <c r="J4775" s="12" t="s">
        <v>487</v>
      </c>
      <c r="K4775" s="12" t="s">
        <v>125</v>
      </c>
      <c r="L4775" s="12" t="s">
        <v>69</v>
      </c>
      <c r="M4775">
        <v>36.86</v>
      </c>
      <c r="N4775" s="12" t="s">
        <v>145</v>
      </c>
      <c r="O4775" s="12" t="s">
        <v>146</v>
      </c>
      <c r="P4775" s="12" t="s">
        <v>109</v>
      </c>
      <c r="Q4775" s="13">
        <v>45769</v>
      </c>
      <c r="R4775" s="13">
        <v>45800</v>
      </c>
      <c r="S4775">
        <v>2025</v>
      </c>
      <c r="T4775" s="12" t="s">
        <v>5660</v>
      </c>
      <c r="U4775">
        <v>88</v>
      </c>
      <c r="V4775">
        <v>200.7516</v>
      </c>
      <c r="W4775">
        <v>398.92</v>
      </c>
      <c r="X4775">
        <v>0</v>
      </c>
      <c r="Y4775">
        <v>0</v>
      </c>
      <c r="Z4775">
        <v>17666.14</v>
      </c>
      <c r="AA4775">
        <v>18065.060000000001</v>
      </c>
      <c r="AB4775" s="12" t="s">
        <v>5123</v>
      </c>
      <c r="AC4775">
        <v>200.7516</v>
      </c>
      <c r="AD4775">
        <v>1</v>
      </c>
      <c r="AE4775">
        <v>1</v>
      </c>
      <c r="AF4775">
        <v>0</v>
      </c>
      <c r="AG4775">
        <v>17666.14</v>
      </c>
      <c r="AH4775">
        <v>88</v>
      </c>
      <c r="AI4775">
        <v>88</v>
      </c>
      <c r="AJ4775">
        <v>0</v>
      </c>
      <c r="AK4775">
        <v>1</v>
      </c>
      <c r="AL4775">
        <v>1</v>
      </c>
      <c r="AM4775">
        <v>100</v>
      </c>
      <c r="AN4775">
        <v>205.28479999999999</v>
      </c>
      <c r="AO4775">
        <v>0</v>
      </c>
      <c r="AP4775" s="13">
        <v>45800</v>
      </c>
      <c r="AQ4775">
        <v>0</v>
      </c>
      <c r="AR4775">
        <v>1</v>
      </c>
    </row>
    <row r="4776" spans="1:44" x14ac:dyDescent="0.35">
      <c r="A4776" s="12" t="s">
        <v>5803</v>
      </c>
      <c r="B4776" s="12" t="s">
        <v>1179</v>
      </c>
      <c r="C4776" s="12" t="s">
        <v>1180</v>
      </c>
      <c r="D4776" s="12" t="s">
        <v>122</v>
      </c>
      <c r="E4776" s="12" t="s">
        <v>142</v>
      </c>
      <c r="F4776">
        <v>1</v>
      </c>
      <c r="G4776">
        <v>8</v>
      </c>
      <c r="H4776">
        <v>1</v>
      </c>
      <c r="I4776" s="12" t="s">
        <v>143</v>
      </c>
      <c r="J4776" s="12" t="s">
        <v>144</v>
      </c>
      <c r="K4776" s="12" t="s">
        <v>133</v>
      </c>
      <c r="L4776" s="12" t="s">
        <v>96</v>
      </c>
      <c r="M4776">
        <v>5.43</v>
      </c>
      <c r="N4776" s="12" t="s">
        <v>97</v>
      </c>
      <c r="O4776" s="12" t="s">
        <v>98</v>
      </c>
      <c r="P4776" s="12" t="s">
        <v>72</v>
      </c>
      <c r="Q4776" s="13">
        <v>45769</v>
      </c>
      <c r="R4776" s="13">
        <v>45811</v>
      </c>
      <c r="S4776">
        <v>2025</v>
      </c>
      <c r="T4776" s="12" t="s">
        <v>5660</v>
      </c>
      <c r="U4776">
        <v>934</v>
      </c>
      <c r="V4776">
        <v>52.209899999999998</v>
      </c>
      <c r="W4776">
        <v>942.53</v>
      </c>
      <c r="X4776">
        <v>0</v>
      </c>
      <c r="Y4776">
        <v>0</v>
      </c>
      <c r="Z4776">
        <v>48764.05</v>
      </c>
      <c r="AA4776">
        <v>49706.58</v>
      </c>
      <c r="AB4776" s="12" t="s">
        <v>5533</v>
      </c>
      <c r="AC4776">
        <v>52.209899999999998</v>
      </c>
      <c r="AD4776">
        <v>1</v>
      </c>
      <c r="AE4776">
        <v>1</v>
      </c>
      <c r="AF4776">
        <v>0</v>
      </c>
      <c r="AG4776">
        <v>48764.05</v>
      </c>
      <c r="AH4776">
        <v>934</v>
      </c>
      <c r="AI4776">
        <v>932</v>
      </c>
      <c r="AJ4776">
        <v>2</v>
      </c>
      <c r="AK4776">
        <v>1</v>
      </c>
      <c r="AL4776">
        <v>1</v>
      </c>
      <c r="AM4776">
        <v>99.79</v>
      </c>
      <c r="AN4776">
        <v>53.333199999999998</v>
      </c>
      <c r="AO4776">
        <v>104.42</v>
      </c>
      <c r="AP4776" s="13">
        <v>45811</v>
      </c>
      <c r="AQ4776">
        <v>0</v>
      </c>
      <c r="AR4776">
        <v>1</v>
      </c>
    </row>
    <row r="4777" spans="1:44" x14ac:dyDescent="0.35">
      <c r="A4777" s="12" t="s">
        <v>5804</v>
      </c>
      <c r="B4777" s="12" t="s">
        <v>532</v>
      </c>
      <c r="C4777" s="12" t="s">
        <v>533</v>
      </c>
      <c r="D4777" s="12" t="s">
        <v>114</v>
      </c>
      <c r="E4777" s="12" t="s">
        <v>65</v>
      </c>
      <c r="F4777">
        <v>2</v>
      </c>
      <c r="G4777">
        <v>3</v>
      </c>
      <c r="H4777">
        <v>0</v>
      </c>
      <c r="I4777" s="12" t="s">
        <v>105</v>
      </c>
      <c r="J4777" s="12" t="s">
        <v>106</v>
      </c>
      <c r="K4777" s="12" t="s">
        <v>81</v>
      </c>
      <c r="L4777" s="12" t="s">
        <v>96</v>
      </c>
      <c r="M4777">
        <v>5.01</v>
      </c>
      <c r="N4777" s="12" t="s">
        <v>97</v>
      </c>
      <c r="O4777" s="12" t="s">
        <v>98</v>
      </c>
      <c r="P4777" s="12" t="s">
        <v>72</v>
      </c>
      <c r="Q4777" s="13">
        <v>45769</v>
      </c>
      <c r="R4777" s="13">
        <v>45791</v>
      </c>
      <c r="S4777">
        <v>2025</v>
      </c>
      <c r="T4777" s="12" t="s">
        <v>5660</v>
      </c>
      <c r="U4777">
        <v>21</v>
      </c>
      <c r="V4777">
        <v>249.89959999999999</v>
      </c>
      <c r="W4777">
        <v>38.450000000000003</v>
      </c>
      <c r="X4777">
        <v>0</v>
      </c>
      <c r="Y4777">
        <v>0</v>
      </c>
      <c r="Z4777">
        <v>5247.89</v>
      </c>
      <c r="AA4777">
        <v>5286.34</v>
      </c>
      <c r="AB4777" s="12" t="s">
        <v>5676</v>
      </c>
      <c r="AC4777">
        <v>249.89959999999999</v>
      </c>
      <c r="AD4777">
        <v>1</v>
      </c>
      <c r="AE4777">
        <v>1</v>
      </c>
      <c r="AF4777">
        <v>0</v>
      </c>
      <c r="AG4777">
        <v>5247.89</v>
      </c>
      <c r="AH4777">
        <v>21</v>
      </c>
      <c r="AI4777">
        <v>21</v>
      </c>
      <c r="AJ4777">
        <v>0</v>
      </c>
      <c r="AK4777">
        <v>1</v>
      </c>
      <c r="AL4777">
        <v>1</v>
      </c>
      <c r="AM4777">
        <v>100</v>
      </c>
      <c r="AN4777">
        <v>251.73060000000001</v>
      </c>
      <c r="AO4777">
        <v>0</v>
      </c>
      <c r="AP4777" s="13">
        <v>45788</v>
      </c>
      <c r="AQ4777">
        <v>-3</v>
      </c>
      <c r="AR4777">
        <v>1</v>
      </c>
    </row>
    <row r="4778" spans="1:44" x14ac:dyDescent="0.35">
      <c r="A4778" s="12" t="s">
        <v>5805</v>
      </c>
      <c r="B4778" s="12" t="s">
        <v>482</v>
      </c>
      <c r="C4778" s="12" t="s">
        <v>483</v>
      </c>
      <c r="D4778" s="12" t="s">
        <v>78</v>
      </c>
      <c r="E4778" s="12" t="s">
        <v>142</v>
      </c>
      <c r="F4778">
        <v>2</v>
      </c>
      <c r="G4778">
        <v>9</v>
      </c>
      <c r="H4778">
        <v>0</v>
      </c>
      <c r="I4778" s="12" t="s">
        <v>87</v>
      </c>
      <c r="J4778" s="12" t="s">
        <v>88</v>
      </c>
      <c r="K4778" s="12" t="s">
        <v>89</v>
      </c>
      <c r="L4778" s="12" t="s">
        <v>69</v>
      </c>
      <c r="M4778">
        <v>14.93</v>
      </c>
      <c r="N4778" s="12" t="s">
        <v>70</v>
      </c>
      <c r="O4778" s="12" t="s">
        <v>71</v>
      </c>
      <c r="P4778" s="12" t="s">
        <v>72</v>
      </c>
      <c r="Q4778" s="13">
        <v>45769</v>
      </c>
      <c r="R4778" s="13">
        <v>45820</v>
      </c>
      <c r="S4778">
        <v>2025</v>
      </c>
      <c r="T4778" s="12" t="s">
        <v>5660</v>
      </c>
      <c r="U4778">
        <v>271</v>
      </c>
      <c r="V4778">
        <v>44.658099999999997</v>
      </c>
      <c r="W4778">
        <v>241</v>
      </c>
      <c r="X4778">
        <v>0</v>
      </c>
      <c r="Y4778">
        <v>0</v>
      </c>
      <c r="Z4778">
        <v>12102.35</v>
      </c>
      <c r="AA4778">
        <v>12343.35</v>
      </c>
      <c r="AB4778" s="12" t="s">
        <v>5658</v>
      </c>
      <c r="AC4778">
        <v>44.658099999999997</v>
      </c>
      <c r="AD4778">
        <v>1</v>
      </c>
      <c r="AE4778">
        <v>1</v>
      </c>
      <c r="AF4778">
        <v>0</v>
      </c>
      <c r="AG4778">
        <v>12102.35</v>
      </c>
      <c r="AH4778">
        <v>271</v>
      </c>
      <c r="AI4778">
        <v>267</v>
      </c>
      <c r="AJ4778">
        <v>4</v>
      </c>
      <c r="AK4778">
        <v>1</v>
      </c>
      <c r="AL4778">
        <v>1</v>
      </c>
      <c r="AM4778">
        <v>98.52</v>
      </c>
      <c r="AN4778">
        <v>46.229799999999997</v>
      </c>
      <c r="AO4778">
        <v>178.63</v>
      </c>
      <c r="AP4778" s="13">
        <v>45822</v>
      </c>
      <c r="AQ4778">
        <v>2</v>
      </c>
      <c r="AR4778">
        <v>0</v>
      </c>
    </row>
    <row r="4779" spans="1:44" x14ac:dyDescent="0.35">
      <c r="A4779" s="12" t="s">
        <v>5806</v>
      </c>
      <c r="B4779" s="12" t="s">
        <v>447</v>
      </c>
      <c r="C4779" s="12" t="s">
        <v>448</v>
      </c>
      <c r="D4779" s="12" t="s">
        <v>269</v>
      </c>
      <c r="E4779" s="12" t="s">
        <v>65</v>
      </c>
      <c r="F4779">
        <v>2</v>
      </c>
      <c r="G4779">
        <v>2</v>
      </c>
      <c r="H4779">
        <v>0</v>
      </c>
      <c r="I4779" s="12" t="s">
        <v>94</v>
      </c>
      <c r="J4779" s="12" t="s">
        <v>95</v>
      </c>
      <c r="K4779" s="12" t="s">
        <v>81</v>
      </c>
      <c r="L4779" s="12" t="s">
        <v>96</v>
      </c>
      <c r="M4779">
        <v>4.8099999999999996</v>
      </c>
      <c r="N4779" s="12" t="s">
        <v>135</v>
      </c>
      <c r="O4779" s="12" t="s">
        <v>136</v>
      </c>
      <c r="P4779" s="12" t="s">
        <v>137</v>
      </c>
      <c r="Q4779" s="13">
        <v>45769</v>
      </c>
      <c r="R4779" s="13">
        <v>45791</v>
      </c>
      <c r="S4779">
        <v>2025</v>
      </c>
      <c r="T4779" s="12" t="s">
        <v>5660</v>
      </c>
      <c r="U4779">
        <v>18</v>
      </c>
      <c r="V4779">
        <v>367.30009999999999</v>
      </c>
      <c r="W4779">
        <v>106.01</v>
      </c>
      <c r="X4779">
        <v>199.74</v>
      </c>
      <c r="Y4779">
        <v>1</v>
      </c>
      <c r="Z4779">
        <v>6611.4</v>
      </c>
      <c r="AA4779">
        <v>6917.15</v>
      </c>
      <c r="AB4779" s="12" t="s">
        <v>5685</v>
      </c>
      <c r="AC4779">
        <v>367.30009999999999</v>
      </c>
      <c r="AD4779">
        <v>1</v>
      </c>
      <c r="AE4779">
        <v>1</v>
      </c>
      <c r="AF4779">
        <v>0</v>
      </c>
      <c r="AG4779">
        <v>6611.4</v>
      </c>
      <c r="AH4779">
        <v>18</v>
      </c>
      <c r="AI4779">
        <v>18</v>
      </c>
      <c r="AJ4779">
        <v>0</v>
      </c>
      <c r="AK4779">
        <v>1</v>
      </c>
      <c r="AL4779">
        <v>1</v>
      </c>
      <c r="AM4779">
        <v>100</v>
      </c>
      <c r="AN4779">
        <v>384.28620000000001</v>
      </c>
      <c r="AO4779">
        <v>0</v>
      </c>
      <c r="AP4779" s="13">
        <v>45791</v>
      </c>
      <c r="AQ4779">
        <v>0</v>
      </c>
      <c r="AR4779">
        <v>1</v>
      </c>
    </row>
    <row r="4780" spans="1:44" x14ac:dyDescent="0.35">
      <c r="A4780" s="12" t="s">
        <v>5807</v>
      </c>
      <c r="B4780" s="12" t="s">
        <v>433</v>
      </c>
      <c r="C4780" s="12" t="s">
        <v>434</v>
      </c>
      <c r="D4780" s="12" t="s">
        <v>78</v>
      </c>
      <c r="E4780" s="12" t="s">
        <v>65</v>
      </c>
      <c r="F4780">
        <v>2</v>
      </c>
      <c r="G4780">
        <v>4</v>
      </c>
      <c r="H4780">
        <v>0</v>
      </c>
      <c r="I4780" s="12" t="s">
        <v>243</v>
      </c>
      <c r="J4780" s="12" t="s">
        <v>244</v>
      </c>
      <c r="K4780" s="12" t="s">
        <v>81</v>
      </c>
      <c r="L4780" s="12" t="s">
        <v>82</v>
      </c>
      <c r="M4780">
        <v>9.2200000000000006</v>
      </c>
      <c r="N4780" s="12" t="s">
        <v>97</v>
      </c>
      <c r="O4780" s="12" t="s">
        <v>98</v>
      </c>
      <c r="P4780" s="12" t="s">
        <v>72</v>
      </c>
      <c r="Q4780" s="13">
        <v>45769</v>
      </c>
      <c r="R4780" s="13">
        <v>45803</v>
      </c>
      <c r="S4780">
        <v>2025</v>
      </c>
      <c r="T4780" s="12" t="s">
        <v>5660</v>
      </c>
      <c r="U4780">
        <v>235</v>
      </c>
      <c r="V4780">
        <v>68.537599999999998</v>
      </c>
      <c r="W4780">
        <v>96.65</v>
      </c>
      <c r="X4780">
        <v>0</v>
      </c>
      <c r="Y4780">
        <v>0</v>
      </c>
      <c r="Z4780">
        <v>16106.34</v>
      </c>
      <c r="AA4780">
        <v>16202.99</v>
      </c>
      <c r="AB4780" s="12" t="s">
        <v>5808</v>
      </c>
      <c r="AC4780">
        <v>68.537599999999998</v>
      </c>
      <c r="AD4780">
        <v>1</v>
      </c>
      <c r="AE4780">
        <v>1</v>
      </c>
      <c r="AF4780">
        <v>0</v>
      </c>
      <c r="AG4780">
        <v>16106.34</v>
      </c>
      <c r="AH4780">
        <v>235</v>
      </c>
      <c r="AI4780">
        <v>234</v>
      </c>
      <c r="AJ4780">
        <v>1</v>
      </c>
      <c r="AK4780">
        <v>1</v>
      </c>
      <c r="AL4780">
        <v>1</v>
      </c>
      <c r="AM4780">
        <v>99.57</v>
      </c>
      <c r="AN4780">
        <v>69.243499999999997</v>
      </c>
      <c r="AO4780">
        <v>68.540000000000006</v>
      </c>
      <c r="AP4780" s="13">
        <v>45800</v>
      </c>
      <c r="AQ4780">
        <v>-3</v>
      </c>
      <c r="AR4780">
        <v>1</v>
      </c>
    </row>
    <row r="4781" spans="1:44" x14ac:dyDescent="0.35">
      <c r="A4781" s="12" t="s">
        <v>5809</v>
      </c>
      <c r="B4781" s="12" t="s">
        <v>891</v>
      </c>
      <c r="C4781" s="12" t="s">
        <v>892</v>
      </c>
      <c r="D4781" s="12" t="s">
        <v>122</v>
      </c>
      <c r="E4781" s="12" t="s">
        <v>65</v>
      </c>
      <c r="F4781">
        <v>3</v>
      </c>
      <c r="G4781">
        <v>5</v>
      </c>
      <c r="H4781">
        <v>0</v>
      </c>
      <c r="I4781" s="12" t="s">
        <v>195</v>
      </c>
      <c r="J4781" s="12" t="s">
        <v>196</v>
      </c>
      <c r="K4781" s="12" t="s">
        <v>117</v>
      </c>
      <c r="L4781" s="12" t="s">
        <v>134</v>
      </c>
      <c r="M4781">
        <v>4.7699999999999996</v>
      </c>
      <c r="N4781" s="12" t="s">
        <v>97</v>
      </c>
      <c r="O4781" s="12" t="s">
        <v>98</v>
      </c>
      <c r="P4781" s="12" t="s">
        <v>72</v>
      </c>
      <c r="Q4781" s="13">
        <v>45770</v>
      </c>
      <c r="R4781" s="13">
        <v>45795</v>
      </c>
      <c r="S4781">
        <v>2025</v>
      </c>
      <c r="T4781" s="12" t="s">
        <v>5660</v>
      </c>
      <c r="U4781">
        <v>656</v>
      </c>
      <c r="V4781">
        <v>36.331099999999999</v>
      </c>
      <c r="W4781">
        <v>609.66</v>
      </c>
      <c r="X4781">
        <v>0</v>
      </c>
      <c r="Y4781">
        <v>0</v>
      </c>
      <c r="Z4781">
        <v>23833.200000000001</v>
      </c>
      <c r="AA4781">
        <v>24442.86</v>
      </c>
      <c r="AB4781" s="12" t="s">
        <v>5810</v>
      </c>
      <c r="AC4781">
        <v>36.331099999999999</v>
      </c>
      <c r="AD4781">
        <v>1</v>
      </c>
      <c r="AE4781">
        <v>1</v>
      </c>
      <c r="AF4781">
        <v>0</v>
      </c>
      <c r="AG4781">
        <v>23833.200000000001</v>
      </c>
      <c r="AH4781">
        <v>656</v>
      </c>
      <c r="AI4781">
        <v>652</v>
      </c>
      <c r="AJ4781">
        <v>4</v>
      </c>
      <c r="AK4781">
        <v>1</v>
      </c>
      <c r="AL4781">
        <v>1</v>
      </c>
      <c r="AM4781">
        <v>99.39</v>
      </c>
      <c r="AN4781">
        <v>37.489100000000001</v>
      </c>
      <c r="AO4781">
        <v>145.32</v>
      </c>
      <c r="AP4781" s="13">
        <v>45795</v>
      </c>
      <c r="AQ4781">
        <v>0</v>
      </c>
      <c r="AR4781">
        <v>1</v>
      </c>
    </row>
    <row r="4782" spans="1:44" x14ac:dyDescent="0.35">
      <c r="A4782" s="12" t="s">
        <v>5811</v>
      </c>
      <c r="B4782" s="12" t="s">
        <v>472</v>
      </c>
      <c r="C4782" s="12" t="s">
        <v>473</v>
      </c>
      <c r="D4782" s="12" t="s">
        <v>122</v>
      </c>
      <c r="E4782" s="12" t="s">
        <v>142</v>
      </c>
      <c r="F4782">
        <v>2</v>
      </c>
      <c r="G4782">
        <v>9</v>
      </c>
      <c r="H4782">
        <v>0</v>
      </c>
      <c r="I4782" s="12" t="s">
        <v>209</v>
      </c>
      <c r="J4782" s="12" t="s">
        <v>210</v>
      </c>
      <c r="K4782" s="12" t="s">
        <v>133</v>
      </c>
      <c r="L4782" s="12" t="s">
        <v>96</v>
      </c>
      <c r="M4782">
        <v>7.82</v>
      </c>
      <c r="N4782" s="12" t="s">
        <v>97</v>
      </c>
      <c r="O4782" s="12" t="s">
        <v>98</v>
      </c>
      <c r="P4782" s="12" t="s">
        <v>72</v>
      </c>
      <c r="Q4782" s="13">
        <v>45770</v>
      </c>
      <c r="R4782" s="13">
        <v>45822</v>
      </c>
      <c r="S4782">
        <v>2025</v>
      </c>
      <c r="T4782" s="12" t="s">
        <v>5660</v>
      </c>
      <c r="U4782">
        <v>1994</v>
      </c>
      <c r="V4782">
        <v>51.260199999999998</v>
      </c>
      <c r="W4782">
        <v>2020.28</v>
      </c>
      <c r="X4782">
        <v>0</v>
      </c>
      <c r="Y4782">
        <v>0</v>
      </c>
      <c r="Z4782">
        <v>102212.84</v>
      </c>
      <c r="AA4782">
        <v>104233.12</v>
      </c>
      <c r="AB4782" s="12" t="s">
        <v>201</v>
      </c>
      <c r="AD4782">
        <v>0</v>
      </c>
      <c r="AE4782">
        <v>0</v>
      </c>
      <c r="AH4782">
        <v>1994</v>
      </c>
      <c r="AI4782">
        <v>1980</v>
      </c>
      <c r="AJ4782">
        <v>14</v>
      </c>
      <c r="AK4782">
        <v>1</v>
      </c>
      <c r="AL4782">
        <v>1</v>
      </c>
      <c r="AM4782">
        <v>99.3</v>
      </c>
      <c r="AN4782">
        <v>52.643000000000001</v>
      </c>
      <c r="AO4782">
        <v>717.64</v>
      </c>
      <c r="AP4782" s="13">
        <v>45822</v>
      </c>
      <c r="AQ4782">
        <v>0</v>
      </c>
      <c r="AR4782">
        <v>1</v>
      </c>
    </row>
    <row r="4783" spans="1:44" x14ac:dyDescent="0.35">
      <c r="A4783" s="12" t="s">
        <v>5812</v>
      </c>
      <c r="B4783" s="12" t="s">
        <v>694</v>
      </c>
      <c r="C4783" s="12" t="s">
        <v>695</v>
      </c>
      <c r="D4783" s="12" t="s">
        <v>103</v>
      </c>
      <c r="E4783" s="12" t="s">
        <v>65</v>
      </c>
      <c r="F4783">
        <v>2</v>
      </c>
      <c r="G4783">
        <v>3</v>
      </c>
      <c r="H4783">
        <v>0</v>
      </c>
      <c r="I4783" s="12" t="s">
        <v>94</v>
      </c>
      <c r="J4783" s="12" t="s">
        <v>95</v>
      </c>
      <c r="K4783" s="12" t="s">
        <v>81</v>
      </c>
      <c r="L4783" s="12" t="s">
        <v>96</v>
      </c>
      <c r="M4783">
        <v>4.8099999999999996</v>
      </c>
      <c r="N4783" s="12" t="s">
        <v>145</v>
      </c>
      <c r="O4783" s="12" t="s">
        <v>146</v>
      </c>
      <c r="P4783" s="12" t="s">
        <v>109</v>
      </c>
      <c r="Q4783" s="13">
        <v>45770</v>
      </c>
      <c r="R4783" s="13">
        <v>45800</v>
      </c>
      <c r="S4783">
        <v>2025</v>
      </c>
      <c r="T4783" s="12" t="s">
        <v>5660</v>
      </c>
      <c r="U4783">
        <v>85</v>
      </c>
      <c r="V4783">
        <v>217.70410000000001</v>
      </c>
      <c r="W4783">
        <v>141.51</v>
      </c>
      <c r="X4783">
        <v>0</v>
      </c>
      <c r="Y4783">
        <v>0</v>
      </c>
      <c r="Z4783">
        <v>18504.849999999999</v>
      </c>
      <c r="AA4783">
        <v>18646.36</v>
      </c>
      <c r="AB4783" s="12" t="s">
        <v>201</v>
      </c>
      <c r="AD4783">
        <v>0</v>
      </c>
      <c r="AE4783">
        <v>0</v>
      </c>
      <c r="AH4783">
        <v>85</v>
      </c>
      <c r="AI4783">
        <v>84</v>
      </c>
      <c r="AJ4783">
        <v>1</v>
      </c>
      <c r="AK4783">
        <v>1</v>
      </c>
      <c r="AL4783">
        <v>1</v>
      </c>
      <c r="AM4783">
        <v>98.82</v>
      </c>
      <c r="AN4783">
        <v>221.98050000000001</v>
      </c>
      <c r="AO4783">
        <v>217.7</v>
      </c>
      <c r="AP4783" s="13">
        <v>45796</v>
      </c>
      <c r="AQ4783">
        <v>-4</v>
      </c>
      <c r="AR4783">
        <v>1</v>
      </c>
    </row>
    <row r="4784" spans="1:44" x14ac:dyDescent="0.35">
      <c r="A4784" s="12" t="s">
        <v>5813</v>
      </c>
      <c r="B4784" s="12" t="s">
        <v>442</v>
      </c>
      <c r="C4784" s="12" t="s">
        <v>443</v>
      </c>
      <c r="D4784" s="12" t="s">
        <v>130</v>
      </c>
      <c r="E4784" s="12" t="s">
        <v>65</v>
      </c>
      <c r="F4784">
        <v>3</v>
      </c>
      <c r="G4784">
        <v>4</v>
      </c>
      <c r="H4784">
        <v>0</v>
      </c>
      <c r="I4784" s="12" t="s">
        <v>251</v>
      </c>
      <c r="J4784" s="12" t="s">
        <v>252</v>
      </c>
      <c r="K4784" s="12" t="s">
        <v>133</v>
      </c>
      <c r="L4784" s="12" t="s">
        <v>69</v>
      </c>
      <c r="M4784">
        <v>34.49</v>
      </c>
      <c r="N4784" s="12" t="s">
        <v>159</v>
      </c>
      <c r="O4784" s="12" t="s">
        <v>160</v>
      </c>
      <c r="P4784" s="12" t="s">
        <v>137</v>
      </c>
      <c r="Q4784" s="13">
        <v>45770</v>
      </c>
      <c r="R4784" s="13">
        <v>45806</v>
      </c>
      <c r="S4784">
        <v>2025</v>
      </c>
      <c r="T4784" s="12" t="s">
        <v>5660</v>
      </c>
      <c r="U4784">
        <v>128</v>
      </c>
      <c r="V4784">
        <v>514.42409999999995</v>
      </c>
      <c r="W4784">
        <v>404.44</v>
      </c>
      <c r="X4784">
        <v>0</v>
      </c>
      <c r="Y4784">
        <v>0</v>
      </c>
      <c r="Z4784">
        <v>65846.28</v>
      </c>
      <c r="AA4784">
        <v>66250.720000000001</v>
      </c>
      <c r="AB4784" s="12" t="s">
        <v>5218</v>
      </c>
      <c r="AC4784">
        <v>514.42409999999995</v>
      </c>
      <c r="AD4784">
        <v>1</v>
      </c>
      <c r="AE4784">
        <v>1</v>
      </c>
      <c r="AF4784">
        <v>0</v>
      </c>
      <c r="AG4784">
        <v>65846.28</v>
      </c>
      <c r="AH4784">
        <v>128</v>
      </c>
      <c r="AI4784">
        <v>127</v>
      </c>
      <c r="AJ4784">
        <v>1</v>
      </c>
      <c r="AK4784">
        <v>1</v>
      </c>
      <c r="AL4784">
        <v>1</v>
      </c>
      <c r="AM4784">
        <v>99.22</v>
      </c>
      <c r="AN4784">
        <v>521.65930000000003</v>
      </c>
      <c r="AO4784">
        <v>514.41999999999996</v>
      </c>
      <c r="AP4784" s="13">
        <v>45803</v>
      </c>
      <c r="AQ4784">
        <v>-3</v>
      </c>
      <c r="AR4784">
        <v>1</v>
      </c>
    </row>
    <row r="4785" spans="1:44" x14ac:dyDescent="0.35">
      <c r="A4785" s="12" t="s">
        <v>5814</v>
      </c>
      <c r="B4785" s="12" t="s">
        <v>621</v>
      </c>
      <c r="C4785" s="12" t="s">
        <v>622</v>
      </c>
      <c r="D4785" s="12" t="s">
        <v>103</v>
      </c>
      <c r="E4785" s="12" t="s">
        <v>65</v>
      </c>
      <c r="F4785">
        <v>1</v>
      </c>
      <c r="G4785">
        <v>2</v>
      </c>
      <c r="H4785">
        <v>1</v>
      </c>
      <c r="I4785" s="12" t="s">
        <v>486</v>
      </c>
      <c r="J4785" s="12" t="s">
        <v>487</v>
      </c>
      <c r="K4785" s="12" t="s">
        <v>125</v>
      </c>
      <c r="L4785" s="12" t="s">
        <v>69</v>
      </c>
      <c r="M4785">
        <v>36.86</v>
      </c>
      <c r="N4785" s="12" t="s">
        <v>145</v>
      </c>
      <c r="O4785" s="12" t="s">
        <v>146</v>
      </c>
      <c r="P4785" s="12" t="s">
        <v>109</v>
      </c>
      <c r="Q4785" s="13">
        <v>45770</v>
      </c>
      <c r="R4785" s="13">
        <v>45804</v>
      </c>
      <c r="S4785">
        <v>2025</v>
      </c>
      <c r="T4785" s="12" t="s">
        <v>5660</v>
      </c>
      <c r="U4785">
        <v>118</v>
      </c>
      <c r="V4785">
        <v>200.7516</v>
      </c>
      <c r="W4785">
        <v>396.5</v>
      </c>
      <c r="X4785">
        <v>719.22</v>
      </c>
      <c r="Y4785">
        <v>1</v>
      </c>
      <c r="Z4785">
        <v>23688.69</v>
      </c>
      <c r="AA4785">
        <v>24804.41</v>
      </c>
      <c r="AB4785" s="12" t="s">
        <v>5123</v>
      </c>
      <c r="AC4785">
        <v>200.7516</v>
      </c>
      <c r="AD4785">
        <v>1</v>
      </c>
      <c r="AE4785">
        <v>1</v>
      </c>
      <c r="AF4785">
        <v>0</v>
      </c>
      <c r="AG4785">
        <v>23688.69</v>
      </c>
      <c r="AH4785">
        <v>118</v>
      </c>
      <c r="AI4785">
        <v>117</v>
      </c>
      <c r="AJ4785">
        <v>1</v>
      </c>
      <c r="AK4785">
        <v>1</v>
      </c>
      <c r="AL4785">
        <v>1</v>
      </c>
      <c r="AM4785">
        <v>99.15</v>
      </c>
      <c r="AN4785">
        <v>212.0035</v>
      </c>
      <c r="AO4785">
        <v>200.75</v>
      </c>
      <c r="AP4785" s="13">
        <v>45803</v>
      </c>
      <c r="AQ4785">
        <v>-1</v>
      </c>
      <c r="AR4785">
        <v>1</v>
      </c>
    </row>
    <row r="4786" spans="1:44" x14ac:dyDescent="0.35">
      <c r="A4786" s="12" t="s">
        <v>5815</v>
      </c>
      <c r="B4786" s="12" t="s">
        <v>331</v>
      </c>
      <c r="C4786" s="12" t="s">
        <v>332</v>
      </c>
      <c r="D4786" s="12" t="s">
        <v>122</v>
      </c>
      <c r="E4786" s="12" t="s">
        <v>142</v>
      </c>
      <c r="F4786">
        <v>3</v>
      </c>
      <c r="G4786">
        <v>11</v>
      </c>
      <c r="H4786">
        <v>0</v>
      </c>
      <c r="I4786" s="12" t="s">
        <v>263</v>
      </c>
      <c r="J4786" s="12" t="s">
        <v>264</v>
      </c>
      <c r="K4786" s="12" t="s">
        <v>125</v>
      </c>
      <c r="L4786" s="12" t="s">
        <v>82</v>
      </c>
      <c r="M4786">
        <v>10.210000000000001</v>
      </c>
      <c r="N4786" s="12" t="s">
        <v>97</v>
      </c>
      <c r="O4786" s="12" t="s">
        <v>98</v>
      </c>
      <c r="P4786" s="12" t="s">
        <v>72</v>
      </c>
      <c r="Q4786" s="13">
        <v>45770</v>
      </c>
      <c r="R4786" s="13">
        <v>45812</v>
      </c>
      <c r="S4786">
        <v>2025</v>
      </c>
      <c r="T4786" s="12" t="s">
        <v>5660</v>
      </c>
      <c r="U4786">
        <v>962</v>
      </c>
      <c r="V4786">
        <v>23.006</v>
      </c>
      <c r="W4786">
        <v>440.81</v>
      </c>
      <c r="X4786">
        <v>0</v>
      </c>
      <c r="Y4786">
        <v>0</v>
      </c>
      <c r="Z4786">
        <v>22131.77</v>
      </c>
      <c r="AA4786">
        <v>22572.58</v>
      </c>
      <c r="AB4786" s="12" t="s">
        <v>5234</v>
      </c>
      <c r="AC4786">
        <v>23.006</v>
      </c>
      <c r="AD4786">
        <v>1</v>
      </c>
      <c r="AE4786">
        <v>1</v>
      </c>
      <c r="AF4786">
        <v>0</v>
      </c>
      <c r="AG4786">
        <v>22131.77</v>
      </c>
      <c r="AH4786">
        <v>962</v>
      </c>
      <c r="AI4786">
        <v>952</v>
      </c>
      <c r="AJ4786">
        <v>10</v>
      </c>
      <c r="AK4786">
        <v>1</v>
      </c>
      <c r="AL4786">
        <v>1</v>
      </c>
      <c r="AM4786">
        <v>98.96</v>
      </c>
      <c r="AN4786">
        <v>23.710699999999999</v>
      </c>
      <c r="AO4786">
        <v>230.06</v>
      </c>
      <c r="AP4786" s="13">
        <v>45810</v>
      </c>
      <c r="AQ4786">
        <v>-2</v>
      </c>
      <c r="AR4786">
        <v>1</v>
      </c>
    </row>
    <row r="4787" spans="1:44" x14ac:dyDescent="0.35">
      <c r="A4787" s="12" t="s">
        <v>5816</v>
      </c>
      <c r="B4787" s="12" t="s">
        <v>569</v>
      </c>
      <c r="C4787" s="12" t="s">
        <v>570</v>
      </c>
      <c r="D4787" s="12" t="s">
        <v>114</v>
      </c>
      <c r="E4787" s="12" t="s">
        <v>142</v>
      </c>
      <c r="F4787">
        <v>1</v>
      </c>
      <c r="G4787">
        <v>6</v>
      </c>
      <c r="H4787">
        <v>1</v>
      </c>
      <c r="I4787" s="12" t="s">
        <v>123</v>
      </c>
      <c r="J4787" s="12" t="s">
        <v>124</v>
      </c>
      <c r="K4787" s="12" t="s">
        <v>125</v>
      </c>
      <c r="L4787" s="12" t="s">
        <v>82</v>
      </c>
      <c r="M4787">
        <v>6.75</v>
      </c>
      <c r="N4787" s="12" t="s">
        <v>70</v>
      </c>
      <c r="O4787" s="12" t="s">
        <v>71</v>
      </c>
      <c r="P4787" s="12" t="s">
        <v>72</v>
      </c>
      <c r="Q4787" s="13">
        <v>45770</v>
      </c>
      <c r="R4787" s="13">
        <v>45817</v>
      </c>
      <c r="S4787">
        <v>2025</v>
      </c>
      <c r="T4787" s="12" t="s">
        <v>5660</v>
      </c>
      <c r="U4787">
        <v>103</v>
      </c>
      <c r="V4787">
        <v>348.21159999999998</v>
      </c>
      <c r="W4787">
        <v>691.14</v>
      </c>
      <c r="X4787">
        <v>0</v>
      </c>
      <c r="Y4787">
        <v>0</v>
      </c>
      <c r="Z4787">
        <v>35865.79</v>
      </c>
      <c r="AA4787">
        <v>36556.93</v>
      </c>
      <c r="AB4787" s="12" t="s">
        <v>5817</v>
      </c>
      <c r="AC4787">
        <v>348.21159999999998</v>
      </c>
      <c r="AD4787">
        <v>1</v>
      </c>
      <c r="AE4787">
        <v>1</v>
      </c>
      <c r="AF4787">
        <v>0</v>
      </c>
      <c r="AG4787">
        <v>35865.79</v>
      </c>
      <c r="AH4787">
        <v>103</v>
      </c>
      <c r="AI4787">
        <v>102</v>
      </c>
      <c r="AJ4787">
        <v>1</v>
      </c>
      <c r="AK4787">
        <v>1</v>
      </c>
      <c r="AL4787">
        <v>1</v>
      </c>
      <c r="AM4787">
        <v>99.03</v>
      </c>
      <c r="AN4787">
        <v>358.40129999999999</v>
      </c>
      <c r="AO4787">
        <v>348.21</v>
      </c>
      <c r="AP4787" s="13">
        <v>45816</v>
      </c>
      <c r="AQ4787">
        <v>-1</v>
      </c>
      <c r="AR4787">
        <v>1</v>
      </c>
    </row>
    <row r="4788" spans="1:44" x14ac:dyDescent="0.35">
      <c r="A4788" s="12" t="s">
        <v>5818</v>
      </c>
      <c r="B4788" s="12" t="s">
        <v>420</v>
      </c>
      <c r="C4788" s="12" t="s">
        <v>421</v>
      </c>
      <c r="D4788" s="12" t="s">
        <v>269</v>
      </c>
      <c r="E4788" s="12" t="s">
        <v>104</v>
      </c>
      <c r="F4788">
        <v>2</v>
      </c>
      <c r="G4788">
        <v>0</v>
      </c>
      <c r="H4788">
        <v>0</v>
      </c>
      <c r="I4788" s="12" t="s">
        <v>380</v>
      </c>
      <c r="J4788" s="12" t="s">
        <v>381</v>
      </c>
      <c r="K4788" s="12" t="s">
        <v>89</v>
      </c>
      <c r="L4788" s="12" t="s">
        <v>96</v>
      </c>
      <c r="M4788">
        <v>10.210000000000001</v>
      </c>
      <c r="N4788" s="12" t="s">
        <v>135</v>
      </c>
      <c r="O4788" s="12" t="s">
        <v>136</v>
      </c>
      <c r="P4788" s="12" t="s">
        <v>137</v>
      </c>
      <c r="Q4788" s="13">
        <v>45770</v>
      </c>
      <c r="R4788" s="13">
        <v>45792</v>
      </c>
      <c r="S4788">
        <v>2025</v>
      </c>
      <c r="T4788" s="12" t="s">
        <v>5660</v>
      </c>
      <c r="U4788">
        <v>91</v>
      </c>
      <c r="V4788">
        <v>137.98429999999999</v>
      </c>
      <c r="W4788">
        <v>281.76</v>
      </c>
      <c r="X4788">
        <v>0</v>
      </c>
      <c r="Y4788">
        <v>0</v>
      </c>
      <c r="Z4788">
        <v>12556.57</v>
      </c>
      <c r="AA4788">
        <v>12838.33</v>
      </c>
      <c r="AB4788" s="12" t="s">
        <v>5648</v>
      </c>
      <c r="AC4788">
        <v>137.98429999999999</v>
      </c>
      <c r="AD4788">
        <v>1</v>
      </c>
      <c r="AE4788">
        <v>1</v>
      </c>
      <c r="AF4788">
        <v>0</v>
      </c>
      <c r="AG4788">
        <v>12556.57</v>
      </c>
      <c r="AH4788">
        <v>91</v>
      </c>
      <c r="AI4788">
        <v>90</v>
      </c>
      <c r="AJ4788">
        <v>1</v>
      </c>
      <c r="AK4788">
        <v>1</v>
      </c>
      <c r="AL4788">
        <v>1</v>
      </c>
      <c r="AM4788">
        <v>98.9</v>
      </c>
      <c r="AN4788">
        <v>142.6481</v>
      </c>
      <c r="AO4788">
        <v>137.97999999999999</v>
      </c>
      <c r="AP4788" s="13">
        <v>45797</v>
      </c>
      <c r="AQ4788">
        <v>5</v>
      </c>
      <c r="AR4788">
        <v>0</v>
      </c>
    </row>
    <row r="4789" spans="1:44" x14ac:dyDescent="0.35">
      <c r="A4789" s="12" t="s">
        <v>5819</v>
      </c>
      <c r="B4789" s="12" t="s">
        <v>728</v>
      </c>
      <c r="C4789" s="12" t="s">
        <v>729</v>
      </c>
      <c r="D4789" s="12" t="s">
        <v>269</v>
      </c>
      <c r="E4789" s="12" t="s">
        <v>65</v>
      </c>
      <c r="F4789">
        <v>2</v>
      </c>
      <c r="G4789">
        <v>3</v>
      </c>
      <c r="H4789">
        <v>0</v>
      </c>
      <c r="I4789" s="12" t="s">
        <v>310</v>
      </c>
      <c r="J4789" s="12" t="s">
        <v>311</v>
      </c>
      <c r="K4789" s="12" t="s">
        <v>81</v>
      </c>
      <c r="L4789" s="12" t="s">
        <v>69</v>
      </c>
      <c r="M4789">
        <v>28.3</v>
      </c>
      <c r="N4789" s="12" t="s">
        <v>135</v>
      </c>
      <c r="O4789" s="12" t="s">
        <v>136</v>
      </c>
      <c r="P4789" s="12" t="s">
        <v>137</v>
      </c>
      <c r="Q4789" s="13">
        <v>45770</v>
      </c>
      <c r="R4789" s="13">
        <v>45799</v>
      </c>
      <c r="S4789">
        <v>2025</v>
      </c>
      <c r="T4789" s="12" t="s">
        <v>5660</v>
      </c>
      <c r="U4789">
        <v>77</v>
      </c>
      <c r="V4789">
        <v>333.33749999999998</v>
      </c>
      <c r="W4789">
        <v>445.77</v>
      </c>
      <c r="X4789">
        <v>0</v>
      </c>
      <c r="Y4789">
        <v>0</v>
      </c>
      <c r="Z4789">
        <v>25666.99</v>
      </c>
      <c r="AA4789">
        <v>26112.76</v>
      </c>
      <c r="AB4789" s="12" t="s">
        <v>5820</v>
      </c>
      <c r="AC4789">
        <v>354.43099999999998</v>
      </c>
      <c r="AD4789">
        <v>1</v>
      </c>
      <c r="AE4789">
        <v>1</v>
      </c>
      <c r="AF4789">
        <v>-1624.2</v>
      </c>
      <c r="AG4789">
        <v>27291.19</v>
      </c>
      <c r="AH4789">
        <v>77</v>
      </c>
      <c r="AI4789">
        <v>76</v>
      </c>
      <c r="AJ4789">
        <v>1</v>
      </c>
      <c r="AK4789">
        <v>1</v>
      </c>
      <c r="AL4789">
        <v>1</v>
      </c>
      <c r="AM4789">
        <v>98.7</v>
      </c>
      <c r="AN4789">
        <v>343.58890000000002</v>
      </c>
      <c r="AO4789">
        <v>333.34</v>
      </c>
      <c r="AP4789" s="13">
        <v>45795</v>
      </c>
      <c r="AQ4789">
        <v>-4</v>
      </c>
      <c r="AR4789">
        <v>1</v>
      </c>
    </row>
    <row r="4790" spans="1:44" x14ac:dyDescent="0.35">
      <c r="A4790" s="12" t="s">
        <v>5821</v>
      </c>
      <c r="B4790" s="12" t="s">
        <v>494</v>
      </c>
      <c r="C4790" s="12" t="s">
        <v>495</v>
      </c>
      <c r="D4790" s="12" t="s">
        <v>175</v>
      </c>
      <c r="E4790" s="12" t="s">
        <v>65</v>
      </c>
      <c r="F4790">
        <v>2</v>
      </c>
      <c r="G4790">
        <v>3</v>
      </c>
      <c r="H4790">
        <v>0</v>
      </c>
      <c r="I4790" s="12" t="s">
        <v>515</v>
      </c>
      <c r="J4790" s="12" t="s">
        <v>516</v>
      </c>
      <c r="K4790" s="12" t="s">
        <v>68</v>
      </c>
      <c r="L4790" s="12" t="s">
        <v>134</v>
      </c>
      <c r="M4790">
        <v>3.69</v>
      </c>
      <c r="N4790" s="12" t="s">
        <v>145</v>
      </c>
      <c r="O4790" s="12" t="s">
        <v>146</v>
      </c>
      <c r="P4790" s="12" t="s">
        <v>109</v>
      </c>
      <c r="Q4790" s="13">
        <v>45770</v>
      </c>
      <c r="R4790" s="13">
        <v>45795</v>
      </c>
      <c r="S4790">
        <v>2025</v>
      </c>
      <c r="T4790" s="12" t="s">
        <v>5660</v>
      </c>
      <c r="U4790">
        <v>43</v>
      </c>
      <c r="V4790">
        <v>153.36940000000001</v>
      </c>
      <c r="W4790">
        <v>141.9</v>
      </c>
      <c r="X4790">
        <v>0</v>
      </c>
      <c r="Y4790">
        <v>0</v>
      </c>
      <c r="Z4790">
        <v>6594.88</v>
      </c>
      <c r="AA4790">
        <v>6736.78</v>
      </c>
      <c r="AB4790" s="12" t="s">
        <v>5442</v>
      </c>
      <c r="AC4790">
        <v>153.36940000000001</v>
      </c>
      <c r="AD4790">
        <v>1</v>
      </c>
      <c r="AE4790">
        <v>1</v>
      </c>
      <c r="AF4790">
        <v>0</v>
      </c>
      <c r="AG4790">
        <v>6594.88</v>
      </c>
      <c r="AH4790">
        <v>43</v>
      </c>
      <c r="AI4790">
        <v>43</v>
      </c>
      <c r="AJ4790">
        <v>0</v>
      </c>
      <c r="AK4790">
        <v>1</v>
      </c>
      <c r="AL4790">
        <v>1</v>
      </c>
      <c r="AM4790">
        <v>100</v>
      </c>
      <c r="AN4790">
        <v>156.6694</v>
      </c>
      <c r="AO4790">
        <v>0</v>
      </c>
      <c r="AP4790" s="13">
        <v>45794</v>
      </c>
      <c r="AQ4790">
        <v>-1</v>
      </c>
      <c r="AR4790">
        <v>1</v>
      </c>
    </row>
    <row r="4791" spans="1:44" x14ac:dyDescent="0.35">
      <c r="A4791" s="12" t="s">
        <v>5822</v>
      </c>
      <c r="B4791" s="12" t="s">
        <v>447</v>
      </c>
      <c r="C4791" s="12" t="s">
        <v>448</v>
      </c>
      <c r="D4791" s="12" t="s">
        <v>269</v>
      </c>
      <c r="E4791" s="12" t="s">
        <v>65</v>
      </c>
      <c r="F4791">
        <v>2</v>
      </c>
      <c r="G4791">
        <v>2</v>
      </c>
      <c r="H4791">
        <v>0</v>
      </c>
      <c r="I4791" s="12" t="s">
        <v>94</v>
      </c>
      <c r="J4791" s="12" t="s">
        <v>95</v>
      </c>
      <c r="K4791" s="12" t="s">
        <v>81</v>
      </c>
      <c r="L4791" s="12" t="s">
        <v>96</v>
      </c>
      <c r="M4791">
        <v>4.8099999999999996</v>
      </c>
      <c r="N4791" s="12" t="s">
        <v>135</v>
      </c>
      <c r="O4791" s="12" t="s">
        <v>136</v>
      </c>
      <c r="P4791" s="12" t="s">
        <v>137</v>
      </c>
      <c r="Q4791" s="13">
        <v>45770</v>
      </c>
      <c r="R4791" s="13">
        <v>45804</v>
      </c>
      <c r="S4791">
        <v>2025</v>
      </c>
      <c r="T4791" s="12" t="s">
        <v>5660</v>
      </c>
      <c r="U4791">
        <v>111</v>
      </c>
      <c r="V4791">
        <v>367.30009999999999</v>
      </c>
      <c r="W4791">
        <v>706.88</v>
      </c>
      <c r="X4791">
        <v>0</v>
      </c>
      <c r="Y4791">
        <v>0</v>
      </c>
      <c r="Z4791">
        <v>40770.31</v>
      </c>
      <c r="AA4791">
        <v>41477.19</v>
      </c>
      <c r="AB4791" s="12" t="s">
        <v>5685</v>
      </c>
      <c r="AC4791">
        <v>367.30009999999999</v>
      </c>
      <c r="AD4791">
        <v>1</v>
      </c>
      <c r="AE4791">
        <v>1</v>
      </c>
      <c r="AF4791">
        <v>0</v>
      </c>
      <c r="AG4791">
        <v>40770.31</v>
      </c>
      <c r="AH4791">
        <v>111</v>
      </c>
      <c r="AI4791">
        <v>110</v>
      </c>
      <c r="AJ4791">
        <v>1</v>
      </c>
      <c r="AK4791">
        <v>1</v>
      </c>
      <c r="AL4791">
        <v>1</v>
      </c>
      <c r="AM4791">
        <v>99.1</v>
      </c>
      <c r="AN4791">
        <v>377.06540000000001</v>
      </c>
      <c r="AO4791">
        <v>367.3</v>
      </c>
      <c r="AP4791" s="13">
        <v>45802</v>
      </c>
      <c r="AQ4791">
        <v>-2</v>
      </c>
      <c r="AR4791">
        <v>1</v>
      </c>
    </row>
    <row r="4792" spans="1:44" x14ac:dyDescent="0.35">
      <c r="A4792" s="12" t="s">
        <v>5823</v>
      </c>
      <c r="B4792" s="12" t="s">
        <v>902</v>
      </c>
      <c r="C4792" s="12" t="s">
        <v>903</v>
      </c>
      <c r="D4792" s="12" t="s">
        <v>122</v>
      </c>
      <c r="E4792" s="12" t="s">
        <v>142</v>
      </c>
      <c r="F4792">
        <v>1</v>
      </c>
      <c r="G4792">
        <v>6</v>
      </c>
      <c r="H4792">
        <v>1</v>
      </c>
      <c r="I4792" s="12" t="s">
        <v>105</v>
      </c>
      <c r="J4792" s="12" t="s">
        <v>106</v>
      </c>
      <c r="K4792" s="12" t="s">
        <v>81</v>
      </c>
      <c r="L4792" s="12" t="s">
        <v>96</v>
      </c>
      <c r="M4792">
        <v>5.01</v>
      </c>
      <c r="N4792" s="12" t="s">
        <v>70</v>
      </c>
      <c r="O4792" s="12" t="s">
        <v>71</v>
      </c>
      <c r="P4792" s="12" t="s">
        <v>72</v>
      </c>
      <c r="Q4792" s="13">
        <v>45770</v>
      </c>
      <c r="R4792" s="13">
        <v>45811</v>
      </c>
      <c r="S4792">
        <v>2025</v>
      </c>
      <c r="T4792" s="12" t="s">
        <v>5660</v>
      </c>
      <c r="U4792">
        <v>881</v>
      </c>
      <c r="V4792">
        <v>39.040100000000002</v>
      </c>
      <c r="W4792">
        <v>614.29999999999995</v>
      </c>
      <c r="X4792">
        <v>0</v>
      </c>
      <c r="Y4792">
        <v>0</v>
      </c>
      <c r="Z4792">
        <v>34394.33</v>
      </c>
      <c r="AA4792">
        <v>35008.629999999997</v>
      </c>
      <c r="AB4792" s="12" t="s">
        <v>5824</v>
      </c>
      <c r="AC4792">
        <v>41.5184</v>
      </c>
      <c r="AD4792">
        <v>1</v>
      </c>
      <c r="AE4792">
        <v>1</v>
      </c>
      <c r="AF4792">
        <v>-2183.38</v>
      </c>
      <c r="AG4792">
        <v>36577.71</v>
      </c>
      <c r="AH4792">
        <v>881</v>
      </c>
      <c r="AI4792">
        <v>875</v>
      </c>
      <c r="AJ4792">
        <v>6</v>
      </c>
      <c r="AK4792">
        <v>1</v>
      </c>
      <c r="AL4792">
        <v>1</v>
      </c>
      <c r="AM4792">
        <v>99.32</v>
      </c>
      <c r="AN4792">
        <v>40.009900000000002</v>
      </c>
      <c r="AO4792">
        <v>234.24</v>
      </c>
      <c r="AP4792" s="13">
        <v>45811</v>
      </c>
      <c r="AQ4792">
        <v>0</v>
      </c>
      <c r="AR4792">
        <v>1</v>
      </c>
    </row>
    <row r="4793" spans="1:44" x14ac:dyDescent="0.35">
      <c r="A4793" s="12" t="s">
        <v>5825</v>
      </c>
      <c r="B4793" s="12" t="s">
        <v>317</v>
      </c>
      <c r="C4793" s="12" t="s">
        <v>318</v>
      </c>
      <c r="D4793" s="12" t="s">
        <v>64</v>
      </c>
      <c r="E4793" s="12" t="s">
        <v>104</v>
      </c>
      <c r="F4793">
        <v>2</v>
      </c>
      <c r="G4793">
        <v>0</v>
      </c>
      <c r="H4793">
        <v>0</v>
      </c>
      <c r="I4793" s="12" t="s">
        <v>169</v>
      </c>
      <c r="J4793" s="12" t="s">
        <v>170</v>
      </c>
      <c r="K4793" s="12" t="s">
        <v>89</v>
      </c>
      <c r="L4793" s="12" t="s">
        <v>134</v>
      </c>
      <c r="M4793">
        <v>1.37</v>
      </c>
      <c r="N4793" s="12" t="s">
        <v>70</v>
      </c>
      <c r="O4793" s="12" t="s">
        <v>71</v>
      </c>
      <c r="P4793" s="12" t="s">
        <v>72</v>
      </c>
      <c r="Q4793" s="13">
        <v>45771</v>
      </c>
      <c r="R4793" s="13">
        <v>45786</v>
      </c>
      <c r="S4793">
        <v>2025</v>
      </c>
      <c r="T4793" s="12" t="s">
        <v>5660</v>
      </c>
      <c r="U4793">
        <v>255</v>
      </c>
      <c r="V4793">
        <v>15.823399999999999</v>
      </c>
      <c r="W4793">
        <v>26.09</v>
      </c>
      <c r="X4793">
        <v>0</v>
      </c>
      <c r="Y4793">
        <v>0</v>
      </c>
      <c r="Z4793">
        <v>4034.97</v>
      </c>
      <c r="AA4793">
        <v>4061.06</v>
      </c>
      <c r="AB4793" s="12" t="s">
        <v>5518</v>
      </c>
      <c r="AC4793">
        <v>15.823399999999999</v>
      </c>
      <c r="AD4793">
        <v>1</v>
      </c>
      <c r="AE4793">
        <v>1</v>
      </c>
      <c r="AF4793">
        <v>0</v>
      </c>
      <c r="AG4793">
        <v>4034.97</v>
      </c>
      <c r="AH4793">
        <v>255</v>
      </c>
      <c r="AI4793">
        <v>253</v>
      </c>
      <c r="AJ4793">
        <v>2</v>
      </c>
      <c r="AK4793">
        <v>1</v>
      </c>
      <c r="AL4793">
        <v>1</v>
      </c>
      <c r="AM4793">
        <v>99.22</v>
      </c>
      <c r="AN4793">
        <v>16.051600000000001</v>
      </c>
      <c r="AO4793">
        <v>31.65</v>
      </c>
      <c r="AP4793" s="13">
        <v>45785</v>
      </c>
      <c r="AQ4793">
        <v>-1</v>
      </c>
      <c r="AR4793">
        <v>1</v>
      </c>
    </row>
    <row r="4794" spans="1:44" x14ac:dyDescent="0.35">
      <c r="A4794" s="12" t="s">
        <v>5826</v>
      </c>
      <c r="B4794" s="12" t="s">
        <v>544</v>
      </c>
      <c r="C4794" s="12" t="s">
        <v>545</v>
      </c>
      <c r="D4794" s="12" t="s">
        <v>175</v>
      </c>
      <c r="E4794" s="12" t="s">
        <v>65</v>
      </c>
      <c r="F4794">
        <v>3</v>
      </c>
      <c r="G4794">
        <v>5</v>
      </c>
      <c r="H4794">
        <v>0</v>
      </c>
      <c r="I4794" s="12" t="s">
        <v>359</v>
      </c>
      <c r="J4794" s="12" t="s">
        <v>360</v>
      </c>
      <c r="K4794" s="12" t="s">
        <v>133</v>
      </c>
      <c r="L4794" s="12" t="s">
        <v>82</v>
      </c>
      <c r="M4794">
        <v>12.65</v>
      </c>
      <c r="N4794" s="12" t="s">
        <v>145</v>
      </c>
      <c r="O4794" s="12" t="s">
        <v>146</v>
      </c>
      <c r="P4794" s="12" t="s">
        <v>109</v>
      </c>
      <c r="Q4794" s="13">
        <v>45771</v>
      </c>
      <c r="R4794" s="13">
        <v>45805</v>
      </c>
      <c r="S4794">
        <v>2025</v>
      </c>
      <c r="T4794" s="12" t="s">
        <v>5660</v>
      </c>
      <c r="U4794">
        <v>116</v>
      </c>
      <c r="V4794">
        <v>138.72919999999999</v>
      </c>
      <c r="W4794">
        <v>202.03</v>
      </c>
      <c r="X4794">
        <v>0</v>
      </c>
      <c r="Y4794">
        <v>0</v>
      </c>
      <c r="Z4794">
        <v>16092.59</v>
      </c>
      <c r="AA4794">
        <v>16294.62</v>
      </c>
      <c r="AB4794" s="12" t="s">
        <v>5827</v>
      </c>
      <c r="AC4794">
        <v>138.72919999999999</v>
      </c>
      <c r="AD4794">
        <v>1</v>
      </c>
      <c r="AE4794">
        <v>1</v>
      </c>
      <c r="AF4794">
        <v>0</v>
      </c>
      <c r="AG4794">
        <v>16092.59</v>
      </c>
      <c r="AH4794">
        <v>116</v>
      </c>
      <c r="AI4794">
        <v>115</v>
      </c>
      <c r="AJ4794">
        <v>1</v>
      </c>
      <c r="AK4794">
        <v>1</v>
      </c>
      <c r="AL4794">
        <v>1</v>
      </c>
      <c r="AM4794">
        <v>99.14</v>
      </c>
      <c r="AN4794">
        <v>141.69229999999999</v>
      </c>
      <c r="AO4794">
        <v>138.72999999999999</v>
      </c>
      <c r="AP4794" s="13">
        <v>45803</v>
      </c>
      <c r="AQ4794">
        <v>-2</v>
      </c>
      <c r="AR4794">
        <v>1</v>
      </c>
    </row>
    <row r="4795" spans="1:44" x14ac:dyDescent="0.35">
      <c r="A4795" s="12" t="s">
        <v>5828</v>
      </c>
      <c r="B4795" s="12" t="s">
        <v>1054</v>
      </c>
      <c r="C4795" s="12" t="s">
        <v>1055</v>
      </c>
      <c r="D4795" s="12" t="s">
        <v>122</v>
      </c>
      <c r="E4795" s="12" t="s">
        <v>65</v>
      </c>
      <c r="F4795">
        <v>1</v>
      </c>
      <c r="G4795">
        <v>2</v>
      </c>
      <c r="H4795">
        <v>1</v>
      </c>
      <c r="I4795" s="12" t="s">
        <v>176</v>
      </c>
      <c r="J4795" s="12" t="s">
        <v>177</v>
      </c>
      <c r="K4795" s="12" t="s">
        <v>125</v>
      </c>
      <c r="L4795" s="12" t="s">
        <v>134</v>
      </c>
      <c r="M4795">
        <v>1.75</v>
      </c>
      <c r="N4795" s="12" t="s">
        <v>97</v>
      </c>
      <c r="O4795" s="12" t="s">
        <v>98</v>
      </c>
      <c r="P4795" s="12" t="s">
        <v>72</v>
      </c>
      <c r="Q4795" s="13">
        <v>45771</v>
      </c>
      <c r="R4795" s="13">
        <v>45798</v>
      </c>
      <c r="S4795">
        <v>2025</v>
      </c>
      <c r="T4795" s="12" t="s">
        <v>5660</v>
      </c>
      <c r="U4795">
        <v>867</v>
      </c>
      <c r="V4795">
        <v>44.811300000000003</v>
      </c>
      <c r="W4795">
        <v>356.78</v>
      </c>
      <c r="X4795">
        <v>0</v>
      </c>
      <c r="Y4795">
        <v>0</v>
      </c>
      <c r="Z4795">
        <v>38851.4</v>
      </c>
      <c r="AA4795">
        <v>39208.18</v>
      </c>
      <c r="AB4795" s="12" t="s">
        <v>5608</v>
      </c>
      <c r="AC4795">
        <v>44.811300000000003</v>
      </c>
      <c r="AD4795">
        <v>1</v>
      </c>
      <c r="AE4795">
        <v>1</v>
      </c>
      <c r="AF4795">
        <v>0</v>
      </c>
      <c r="AG4795">
        <v>38851.4</v>
      </c>
      <c r="AH4795">
        <v>867</v>
      </c>
      <c r="AI4795">
        <v>862</v>
      </c>
      <c r="AJ4795">
        <v>5</v>
      </c>
      <c r="AK4795">
        <v>1</v>
      </c>
      <c r="AL4795">
        <v>1</v>
      </c>
      <c r="AM4795">
        <v>99.42</v>
      </c>
      <c r="AN4795">
        <v>45.485100000000003</v>
      </c>
      <c r="AO4795">
        <v>224.06</v>
      </c>
      <c r="AP4795" s="13">
        <v>45797</v>
      </c>
      <c r="AQ4795">
        <v>-1</v>
      </c>
      <c r="AR4795">
        <v>1</v>
      </c>
    </row>
    <row r="4796" spans="1:44" x14ac:dyDescent="0.35">
      <c r="A4796" s="12" t="s">
        <v>5829</v>
      </c>
      <c r="B4796" s="12" t="s">
        <v>62</v>
      </c>
      <c r="C4796" s="12" t="s">
        <v>63</v>
      </c>
      <c r="D4796" s="12" t="s">
        <v>64</v>
      </c>
      <c r="E4796" s="12" t="s">
        <v>65</v>
      </c>
      <c r="F4796">
        <v>1</v>
      </c>
      <c r="G4796">
        <v>2</v>
      </c>
      <c r="H4796">
        <v>1</v>
      </c>
      <c r="I4796" s="12" t="s">
        <v>66</v>
      </c>
      <c r="J4796" s="12" t="s">
        <v>67</v>
      </c>
      <c r="K4796" s="12" t="s">
        <v>68</v>
      </c>
      <c r="L4796" s="12" t="s">
        <v>69</v>
      </c>
      <c r="M4796">
        <v>17.66</v>
      </c>
      <c r="N4796" s="12" t="s">
        <v>70</v>
      </c>
      <c r="O4796" s="12" t="s">
        <v>71</v>
      </c>
      <c r="P4796" s="12" t="s">
        <v>72</v>
      </c>
      <c r="Q4796" s="13">
        <v>45771</v>
      </c>
      <c r="R4796" s="13">
        <v>45795</v>
      </c>
      <c r="S4796">
        <v>2025</v>
      </c>
      <c r="T4796" s="12" t="s">
        <v>5660</v>
      </c>
      <c r="U4796">
        <v>262</v>
      </c>
      <c r="V4796">
        <v>24.502600000000001</v>
      </c>
      <c r="W4796">
        <v>75.42</v>
      </c>
      <c r="X4796">
        <v>0</v>
      </c>
      <c r="Y4796">
        <v>0</v>
      </c>
      <c r="Z4796">
        <v>6419.68</v>
      </c>
      <c r="AA4796">
        <v>6495.1</v>
      </c>
      <c r="AB4796" s="12" t="s">
        <v>201</v>
      </c>
      <c r="AD4796">
        <v>0</v>
      </c>
      <c r="AE4796">
        <v>0</v>
      </c>
      <c r="AH4796">
        <v>262</v>
      </c>
      <c r="AI4796">
        <v>258</v>
      </c>
      <c r="AJ4796">
        <v>4</v>
      </c>
      <c r="AK4796">
        <v>1</v>
      </c>
      <c r="AL4796">
        <v>1</v>
      </c>
      <c r="AM4796">
        <v>98.47</v>
      </c>
      <c r="AN4796">
        <v>25.174800000000001</v>
      </c>
      <c r="AO4796">
        <v>98.01</v>
      </c>
      <c r="AP4796" s="13">
        <v>45798</v>
      </c>
      <c r="AQ4796">
        <v>3</v>
      </c>
      <c r="AR4796">
        <v>0</v>
      </c>
    </row>
    <row r="4797" spans="1:44" x14ac:dyDescent="0.35">
      <c r="A4797" s="12" t="s">
        <v>5830</v>
      </c>
      <c r="B4797" s="12" t="s">
        <v>990</v>
      </c>
      <c r="C4797" s="12" t="s">
        <v>991</v>
      </c>
      <c r="D4797" s="12" t="s">
        <v>122</v>
      </c>
      <c r="E4797" s="12" t="s">
        <v>142</v>
      </c>
      <c r="F4797">
        <v>1</v>
      </c>
      <c r="G4797">
        <v>6</v>
      </c>
      <c r="H4797">
        <v>1</v>
      </c>
      <c r="I4797" s="12" t="s">
        <v>217</v>
      </c>
      <c r="J4797" s="12" t="s">
        <v>218</v>
      </c>
      <c r="K4797" s="12" t="s">
        <v>68</v>
      </c>
      <c r="L4797" s="12" t="s">
        <v>82</v>
      </c>
      <c r="M4797">
        <v>14.24</v>
      </c>
      <c r="N4797" s="12" t="s">
        <v>97</v>
      </c>
      <c r="O4797" s="12" t="s">
        <v>98</v>
      </c>
      <c r="P4797" s="12" t="s">
        <v>72</v>
      </c>
      <c r="Q4797" s="13">
        <v>45771</v>
      </c>
      <c r="R4797" s="13">
        <v>45823</v>
      </c>
      <c r="S4797">
        <v>2025</v>
      </c>
      <c r="T4797" s="12" t="s">
        <v>5660</v>
      </c>
      <c r="U4797">
        <v>1903</v>
      </c>
      <c r="V4797">
        <v>33.5533</v>
      </c>
      <c r="W4797">
        <v>593.84</v>
      </c>
      <c r="X4797">
        <v>0</v>
      </c>
      <c r="Y4797">
        <v>0</v>
      </c>
      <c r="Z4797">
        <v>63851.93</v>
      </c>
      <c r="AA4797">
        <v>64445.77</v>
      </c>
      <c r="AB4797" s="12" t="s">
        <v>5831</v>
      </c>
      <c r="AC4797">
        <v>33.5533</v>
      </c>
      <c r="AD4797">
        <v>1</v>
      </c>
      <c r="AE4797">
        <v>1</v>
      </c>
      <c r="AF4797">
        <v>0</v>
      </c>
      <c r="AG4797">
        <v>63851.93</v>
      </c>
      <c r="AH4797">
        <v>1903</v>
      </c>
      <c r="AI4797">
        <v>1882</v>
      </c>
      <c r="AJ4797">
        <v>21</v>
      </c>
      <c r="AK4797">
        <v>1</v>
      </c>
      <c r="AL4797">
        <v>1</v>
      </c>
      <c r="AM4797">
        <v>98.9</v>
      </c>
      <c r="AN4797">
        <v>34.243200000000002</v>
      </c>
      <c r="AO4797">
        <v>704.62</v>
      </c>
      <c r="AP4797" s="13">
        <v>45825</v>
      </c>
      <c r="AQ4797">
        <v>2</v>
      </c>
      <c r="AR4797">
        <v>0</v>
      </c>
    </row>
    <row r="4798" spans="1:44" x14ac:dyDescent="0.35">
      <c r="A4798" s="12" t="s">
        <v>5832</v>
      </c>
      <c r="B4798" s="12" t="s">
        <v>978</v>
      </c>
      <c r="C4798" s="12" t="s">
        <v>979</v>
      </c>
      <c r="D4798" s="12" t="s">
        <v>122</v>
      </c>
      <c r="E4798" s="12" t="s">
        <v>65</v>
      </c>
      <c r="F4798">
        <v>1</v>
      </c>
      <c r="G4798">
        <v>2</v>
      </c>
      <c r="H4798">
        <v>1</v>
      </c>
      <c r="I4798" s="12" t="s">
        <v>310</v>
      </c>
      <c r="J4798" s="12" t="s">
        <v>311</v>
      </c>
      <c r="K4798" s="12" t="s">
        <v>81</v>
      </c>
      <c r="L4798" s="12" t="s">
        <v>69</v>
      </c>
      <c r="M4798">
        <v>28.3</v>
      </c>
      <c r="N4798" s="12" t="s">
        <v>70</v>
      </c>
      <c r="O4798" s="12" t="s">
        <v>71</v>
      </c>
      <c r="P4798" s="12" t="s">
        <v>72</v>
      </c>
      <c r="Q4798" s="13">
        <v>45771</v>
      </c>
      <c r="R4798" s="13">
        <v>45800</v>
      </c>
      <c r="S4798">
        <v>2025</v>
      </c>
      <c r="T4798" s="12" t="s">
        <v>5660</v>
      </c>
      <c r="U4798">
        <v>1060</v>
      </c>
      <c r="V4798">
        <v>43.574800000000003</v>
      </c>
      <c r="W4798">
        <v>640.08000000000004</v>
      </c>
      <c r="X4798">
        <v>0</v>
      </c>
      <c r="Y4798">
        <v>0</v>
      </c>
      <c r="Z4798">
        <v>46189.29</v>
      </c>
      <c r="AA4798">
        <v>46829.37</v>
      </c>
      <c r="AB4798" s="12" t="s">
        <v>3471</v>
      </c>
      <c r="AC4798">
        <v>43.574800000000003</v>
      </c>
      <c r="AD4798">
        <v>1</v>
      </c>
      <c r="AE4798">
        <v>1</v>
      </c>
      <c r="AF4798">
        <v>0</v>
      </c>
      <c r="AG4798">
        <v>46189.29</v>
      </c>
      <c r="AH4798">
        <v>1060</v>
      </c>
      <c r="AI4798">
        <v>1054</v>
      </c>
      <c r="AJ4798">
        <v>6</v>
      </c>
      <c r="AK4798">
        <v>1</v>
      </c>
      <c r="AL4798">
        <v>1</v>
      </c>
      <c r="AM4798">
        <v>99.43</v>
      </c>
      <c r="AN4798">
        <v>44.430100000000003</v>
      </c>
      <c r="AO4798">
        <v>261.45</v>
      </c>
      <c r="AP4798" s="13">
        <v>45797</v>
      </c>
      <c r="AQ4798">
        <v>-3</v>
      </c>
      <c r="AR4798">
        <v>1</v>
      </c>
    </row>
    <row r="4799" spans="1:44" x14ac:dyDescent="0.35">
      <c r="A4799" s="12" t="s">
        <v>5833</v>
      </c>
      <c r="B4799" s="12" t="s">
        <v>357</v>
      </c>
      <c r="C4799" s="12" t="s">
        <v>358</v>
      </c>
      <c r="D4799" s="12" t="s">
        <v>103</v>
      </c>
      <c r="E4799" s="12" t="s">
        <v>104</v>
      </c>
      <c r="F4799">
        <v>3</v>
      </c>
      <c r="G4799">
        <v>1</v>
      </c>
      <c r="H4799">
        <v>0</v>
      </c>
      <c r="I4799" s="12" t="s">
        <v>105</v>
      </c>
      <c r="J4799" s="12" t="s">
        <v>106</v>
      </c>
      <c r="K4799" s="12" t="s">
        <v>81</v>
      </c>
      <c r="L4799" s="12" t="s">
        <v>96</v>
      </c>
      <c r="M4799">
        <v>5.01</v>
      </c>
      <c r="N4799" s="12" t="s">
        <v>107</v>
      </c>
      <c r="O4799" s="12" t="s">
        <v>108</v>
      </c>
      <c r="P4799" s="12" t="s">
        <v>109</v>
      </c>
      <c r="Q4799" s="13">
        <v>45771</v>
      </c>
      <c r="R4799" s="13">
        <v>45791</v>
      </c>
      <c r="S4799">
        <v>2025</v>
      </c>
      <c r="T4799" s="12" t="s">
        <v>5660</v>
      </c>
      <c r="U4799">
        <v>76</v>
      </c>
      <c r="V4799">
        <v>106.63800000000001</v>
      </c>
      <c r="W4799">
        <v>181.13</v>
      </c>
      <c r="X4799">
        <v>0</v>
      </c>
      <c r="Y4799">
        <v>0</v>
      </c>
      <c r="Z4799">
        <v>8104.49</v>
      </c>
      <c r="AA4799">
        <v>8285.6200000000008</v>
      </c>
      <c r="AB4799" s="12" t="s">
        <v>5265</v>
      </c>
      <c r="AC4799">
        <v>106.63800000000001</v>
      </c>
      <c r="AD4799">
        <v>1</v>
      </c>
      <c r="AE4799">
        <v>1</v>
      </c>
      <c r="AF4799">
        <v>0</v>
      </c>
      <c r="AG4799">
        <v>8104.49</v>
      </c>
      <c r="AH4799">
        <v>76</v>
      </c>
      <c r="AI4799">
        <v>75</v>
      </c>
      <c r="AJ4799">
        <v>1</v>
      </c>
      <c r="AK4799">
        <v>1</v>
      </c>
      <c r="AL4799">
        <v>1</v>
      </c>
      <c r="AM4799">
        <v>98.68</v>
      </c>
      <c r="AN4799">
        <v>110.47490000000001</v>
      </c>
      <c r="AO4799">
        <v>106.64</v>
      </c>
      <c r="AP4799" s="13">
        <v>45790</v>
      </c>
      <c r="AQ4799">
        <v>-1</v>
      </c>
      <c r="AR4799">
        <v>1</v>
      </c>
    </row>
    <row r="4800" spans="1:44" x14ac:dyDescent="0.35">
      <c r="A4800" s="12" t="s">
        <v>5834</v>
      </c>
      <c r="B4800" s="12" t="s">
        <v>1134</v>
      </c>
      <c r="C4800" s="12" t="s">
        <v>1135</v>
      </c>
      <c r="D4800" s="12" t="s">
        <v>269</v>
      </c>
      <c r="E4800" s="12" t="s">
        <v>104</v>
      </c>
      <c r="F4800">
        <v>2</v>
      </c>
      <c r="G4800">
        <v>0</v>
      </c>
      <c r="H4800">
        <v>0</v>
      </c>
      <c r="I4800" s="12" t="s">
        <v>380</v>
      </c>
      <c r="J4800" s="12" t="s">
        <v>381</v>
      </c>
      <c r="K4800" s="12" t="s">
        <v>89</v>
      </c>
      <c r="L4800" s="12" t="s">
        <v>96</v>
      </c>
      <c r="M4800">
        <v>10.210000000000001</v>
      </c>
      <c r="N4800" s="12" t="s">
        <v>135</v>
      </c>
      <c r="O4800" s="12" t="s">
        <v>136</v>
      </c>
      <c r="P4800" s="12" t="s">
        <v>137</v>
      </c>
      <c r="Q4800" s="13">
        <v>45771</v>
      </c>
      <c r="R4800" s="13">
        <v>45798</v>
      </c>
      <c r="S4800">
        <v>2025</v>
      </c>
      <c r="T4800" s="12" t="s">
        <v>5660</v>
      </c>
      <c r="U4800">
        <v>131</v>
      </c>
      <c r="V4800">
        <v>93.012100000000004</v>
      </c>
      <c r="W4800">
        <v>134.91999999999999</v>
      </c>
      <c r="X4800">
        <v>0</v>
      </c>
      <c r="Y4800">
        <v>0</v>
      </c>
      <c r="Z4800">
        <v>12184.59</v>
      </c>
      <c r="AA4800">
        <v>12319.51</v>
      </c>
      <c r="AB4800" s="12" t="s">
        <v>5835</v>
      </c>
      <c r="AC4800">
        <v>93.012100000000004</v>
      </c>
      <c r="AD4800">
        <v>1</v>
      </c>
      <c r="AE4800">
        <v>1</v>
      </c>
      <c r="AF4800">
        <v>0</v>
      </c>
      <c r="AG4800">
        <v>12184.59</v>
      </c>
      <c r="AH4800">
        <v>131</v>
      </c>
      <c r="AI4800">
        <v>129</v>
      </c>
      <c r="AJ4800">
        <v>2</v>
      </c>
      <c r="AK4800">
        <v>1</v>
      </c>
      <c r="AL4800">
        <v>1</v>
      </c>
      <c r="AM4800">
        <v>98.47</v>
      </c>
      <c r="AN4800">
        <v>95.5</v>
      </c>
      <c r="AO4800">
        <v>186.02</v>
      </c>
      <c r="AP4800" s="13">
        <v>45798</v>
      </c>
      <c r="AQ4800">
        <v>0</v>
      </c>
      <c r="AR4800">
        <v>1</v>
      </c>
    </row>
    <row r="4801" spans="1:44" x14ac:dyDescent="0.35">
      <c r="A4801" s="12" t="s">
        <v>5836</v>
      </c>
      <c r="B4801" s="12" t="s">
        <v>1166</v>
      </c>
      <c r="C4801" s="12" t="s">
        <v>1167</v>
      </c>
      <c r="D4801" s="12" t="s">
        <v>175</v>
      </c>
      <c r="E4801" s="12" t="s">
        <v>65</v>
      </c>
      <c r="F4801">
        <v>3</v>
      </c>
      <c r="G4801">
        <v>5</v>
      </c>
      <c r="H4801">
        <v>0</v>
      </c>
      <c r="I4801" s="12" t="s">
        <v>105</v>
      </c>
      <c r="J4801" s="12" t="s">
        <v>106</v>
      </c>
      <c r="K4801" s="12" t="s">
        <v>81</v>
      </c>
      <c r="L4801" s="12" t="s">
        <v>96</v>
      </c>
      <c r="M4801">
        <v>5.01</v>
      </c>
      <c r="N4801" s="12" t="s">
        <v>145</v>
      </c>
      <c r="O4801" s="12" t="s">
        <v>146</v>
      </c>
      <c r="P4801" s="12" t="s">
        <v>109</v>
      </c>
      <c r="Q4801" s="13">
        <v>45771</v>
      </c>
      <c r="R4801" s="13">
        <v>45801</v>
      </c>
      <c r="S4801">
        <v>2025</v>
      </c>
      <c r="T4801" s="12" t="s">
        <v>5660</v>
      </c>
      <c r="U4801">
        <v>81</v>
      </c>
      <c r="V4801">
        <v>220.27170000000001</v>
      </c>
      <c r="W4801">
        <v>229.99</v>
      </c>
      <c r="X4801">
        <v>0</v>
      </c>
      <c r="Y4801">
        <v>0</v>
      </c>
      <c r="Z4801">
        <v>17842.009999999998</v>
      </c>
      <c r="AA4801">
        <v>18072</v>
      </c>
      <c r="AB4801" s="12" t="s">
        <v>5837</v>
      </c>
      <c r="AC4801">
        <v>220.27170000000001</v>
      </c>
      <c r="AD4801">
        <v>1</v>
      </c>
      <c r="AE4801">
        <v>1</v>
      </c>
      <c r="AF4801">
        <v>0</v>
      </c>
      <c r="AG4801">
        <v>17842.009999999998</v>
      </c>
      <c r="AH4801">
        <v>81</v>
      </c>
      <c r="AI4801">
        <v>80</v>
      </c>
      <c r="AJ4801">
        <v>1</v>
      </c>
      <c r="AK4801">
        <v>1</v>
      </c>
      <c r="AL4801">
        <v>1</v>
      </c>
      <c r="AM4801">
        <v>98.77</v>
      </c>
      <c r="AN4801">
        <v>225.9</v>
      </c>
      <c r="AO4801">
        <v>220.27</v>
      </c>
      <c r="AP4801" s="13">
        <v>45811</v>
      </c>
      <c r="AQ4801">
        <v>10</v>
      </c>
      <c r="AR4801">
        <v>0</v>
      </c>
    </row>
    <row r="4802" spans="1:44" x14ac:dyDescent="0.35">
      <c r="A4802" s="12" t="s">
        <v>5838</v>
      </c>
      <c r="B4802" s="12" t="s">
        <v>740</v>
      </c>
      <c r="C4802" s="12" t="s">
        <v>741</v>
      </c>
      <c r="D4802" s="12" t="s">
        <v>64</v>
      </c>
      <c r="E4802" s="12" t="s">
        <v>104</v>
      </c>
      <c r="F4802">
        <v>2</v>
      </c>
      <c r="G4802">
        <v>0</v>
      </c>
      <c r="H4802">
        <v>0</v>
      </c>
      <c r="I4802" s="12" t="s">
        <v>183</v>
      </c>
      <c r="J4802" s="12" t="s">
        <v>184</v>
      </c>
      <c r="K4802" s="12" t="s">
        <v>133</v>
      </c>
      <c r="L4802" s="12" t="s">
        <v>82</v>
      </c>
      <c r="M4802">
        <v>8.6199999999999992</v>
      </c>
      <c r="N4802" s="12" t="s">
        <v>70</v>
      </c>
      <c r="O4802" s="12" t="s">
        <v>71</v>
      </c>
      <c r="P4802" s="12" t="s">
        <v>72</v>
      </c>
      <c r="Q4802" s="13">
        <v>45771</v>
      </c>
      <c r="R4802" s="13">
        <v>45800</v>
      </c>
      <c r="S4802">
        <v>2025</v>
      </c>
      <c r="T4802" s="12" t="s">
        <v>5660</v>
      </c>
      <c r="U4802">
        <v>969</v>
      </c>
      <c r="V4802">
        <v>41.1374</v>
      </c>
      <c r="W4802">
        <v>567.70000000000005</v>
      </c>
      <c r="X4802">
        <v>0</v>
      </c>
      <c r="Y4802">
        <v>0</v>
      </c>
      <c r="Z4802">
        <v>39862.14</v>
      </c>
      <c r="AA4802">
        <v>40429.839999999997</v>
      </c>
      <c r="AB4802" s="12" t="s">
        <v>5789</v>
      </c>
      <c r="AC4802">
        <v>41.1374</v>
      </c>
      <c r="AD4802">
        <v>1</v>
      </c>
      <c r="AE4802">
        <v>1</v>
      </c>
      <c r="AF4802">
        <v>0</v>
      </c>
      <c r="AG4802">
        <v>39862.14</v>
      </c>
      <c r="AH4802">
        <v>969</v>
      </c>
      <c r="AI4802">
        <v>965</v>
      </c>
      <c r="AJ4802">
        <v>4</v>
      </c>
      <c r="AK4802">
        <v>1</v>
      </c>
      <c r="AL4802">
        <v>1</v>
      </c>
      <c r="AM4802">
        <v>99.59</v>
      </c>
      <c r="AN4802">
        <v>41.8962</v>
      </c>
      <c r="AO4802">
        <v>164.55</v>
      </c>
      <c r="AP4802" s="13">
        <v>45800</v>
      </c>
      <c r="AQ4802">
        <v>0</v>
      </c>
      <c r="AR4802">
        <v>1</v>
      </c>
    </row>
    <row r="4803" spans="1:44" x14ac:dyDescent="0.35">
      <c r="A4803" s="12" t="s">
        <v>5839</v>
      </c>
      <c r="B4803" s="12" t="s">
        <v>670</v>
      </c>
      <c r="C4803" s="12" t="s">
        <v>671</v>
      </c>
      <c r="D4803" s="12" t="s">
        <v>175</v>
      </c>
      <c r="E4803" s="12" t="s">
        <v>142</v>
      </c>
      <c r="F4803">
        <v>2</v>
      </c>
      <c r="G4803">
        <v>9</v>
      </c>
      <c r="H4803">
        <v>0</v>
      </c>
      <c r="I4803" s="12" t="s">
        <v>105</v>
      </c>
      <c r="J4803" s="12" t="s">
        <v>106</v>
      </c>
      <c r="K4803" s="12" t="s">
        <v>81</v>
      </c>
      <c r="L4803" s="12" t="s">
        <v>96</v>
      </c>
      <c r="M4803">
        <v>5.01</v>
      </c>
      <c r="N4803" s="12" t="s">
        <v>107</v>
      </c>
      <c r="O4803" s="12" t="s">
        <v>108</v>
      </c>
      <c r="P4803" s="12" t="s">
        <v>109</v>
      </c>
      <c r="Q4803" s="13">
        <v>45771</v>
      </c>
      <c r="R4803" s="13">
        <v>45823</v>
      </c>
      <c r="S4803">
        <v>2025</v>
      </c>
      <c r="T4803" s="12" t="s">
        <v>5660</v>
      </c>
      <c r="U4803">
        <v>146</v>
      </c>
      <c r="V4803">
        <v>157.33439999999999</v>
      </c>
      <c r="W4803">
        <v>369.59</v>
      </c>
      <c r="X4803">
        <v>0</v>
      </c>
      <c r="Y4803">
        <v>0</v>
      </c>
      <c r="Z4803">
        <v>22970.82</v>
      </c>
      <c r="AA4803">
        <v>23340.41</v>
      </c>
      <c r="AB4803" s="12" t="s">
        <v>201</v>
      </c>
      <c r="AD4803">
        <v>0</v>
      </c>
      <c r="AE4803">
        <v>0</v>
      </c>
      <c r="AH4803">
        <v>146</v>
      </c>
      <c r="AI4803">
        <v>145</v>
      </c>
      <c r="AJ4803">
        <v>1</v>
      </c>
      <c r="AK4803">
        <v>1</v>
      </c>
      <c r="AL4803">
        <v>1</v>
      </c>
      <c r="AM4803">
        <v>99.32</v>
      </c>
      <c r="AN4803">
        <v>160.9684</v>
      </c>
      <c r="AO4803">
        <v>157.33000000000001</v>
      </c>
      <c r="AP4803" s="13">
        <v>45820</v>
      </c>
      <c r="AQ4803">
        <v>-3</v>
      </c>
      <c r="AR4803">
        <v>1</v>
      </c>
    </row>
    <row r="4804" spans="1:44" x14ac:dyDescent="0.35">
      <c r="A4804" s="12" t="s">
        <v>5840</v>
      </c>
      <c r="B4804" s="12" t="s">
        <v>565</v>
      </c>
      <c r="C4804" s="12" t="s">
        <v>566</v>
      </c>
      <c r="D4804" s="12" t="s">
        <v>122</v>
      </c>
      <c r="E4804" s="12" t="s">
        <v>104</v>
      </c>
      <c r="F4804">
        <v>3</v>
      </c>
      <c r="G4804">
        <v>1</v>
      </c>
      <c r="H4804">
        <v>0</v>
      </c>
      <c r="I4804" s="12" t="s">
        <v>87</v>
      </c>
      <c r="J4804" s="12" t="s">
        <v>88</v>
      </c>
      <c r="K4804" s="12" t="s">
        <v>89</v>
      </c>
      <c r="L4804" s="12" t="s">
        <v>69</v>
      </c>
      <c r="M4804">
        <v>14.93</v>
      </c>
      <c r="N4804" s="12" t="s">
        <v>97</v>
      </c>
      <c r="O4804" s="12" t="s">
        <v>98</v>
      </c>
      <c r="P4804" s="12" t="s">
        <v>72</v>
      </c>
      <c r="Q4804" s="13">
        <v>45772</v>
      </c>
      <c r="R4804" s="13">
        <v>45800</v>
      </c>
      <c r="S4804">
        <v>2025</v>
      </c>
      <c r="T4804" s="12" t="s">
        <v>5660</v>
      </c>
      <c r="U4804">
        <v>1885</v>
      </c>
      <c r="V4804">
        <v>33.2194</v>
      </c>
      <c r="W4804">
        <v>1188.9100000000001</v>
      </c>
      <c r="X4804">
        <v>0</v>
      </c>
      <c r="Y4804">
        <v>0</v>
      </c>
      <c r="Z4804">
        <v>62618.57</v>
      </c>
      <c r="AA4804">
        <v>63807.48</v>
      </c>
      <c r="AB4804" s="12" t="s">
        <v>5711</v>
      </c>
      <c r="AC4804">
        <v>33.2194</v>
      </c>
      <c r="AD4804">
        <v>1</v>
      </c>
      <c r="AE4804">
        <v>1</v>
      </c>
      <c r="AF4804">
        <v>0</v>
      </c>
      <c r="AG4804">
        <v>62618.57</v>
      </c>
      <c r="AH4804">
        <v>1885</v>
      </c>
      <c r="AI4804">
        <v>1871</v>
      </c>
      <c r="AJ4804">
        <v>14</v>
      </c>
      <c r="AK4804">
        <v>1</v>
      </c>
      <c r="AL4804">
        <v>1</v>
      </c>
      <c r="AM4804">
        <v>99.26</v>
      </c>
      <c r="AN4804">
        <v>34.103400000000001</v>
      </c>
      <c r="AO4804">
        <v>465.07</v>
      </c>
      <c r="AP4804" s="13">
        <v>45803</v>
      </c>
      <c r="AQ4804">
        <v>3</v>
      </c>
      <c r="AR4804">
        <v>0</v>
      </c>
    </row>
    <row r="4805" spans="1:44" x14ac:dyDescent="0.35">
      <c r="A4805" s="12" t="s">
        <v>5841</v>
      </c>
      <c r="B4805" s="12" t="s">
        <v>963</v>
      </c>
      <c r="C4805" s="12" t="s">
        <v>964</v>
      </c>
      <c r="D4805" s="12" t="s">
        <v>114</v>
      </c>
      <c r="E4805" s="12" t="s">
        <v>142</v>
      </c>
      <c r="F4805">
        <v>1</v>
      </c>
      <c r="G4805">
        <v>6</v>
      </c>
      <c r="H4805">
        <v>1</v>
      </c>
      <c r="I4805" s="12" t="s">
        <v>176</v>
      </c>
      <c r="J4805" s="12" t="s">
        <v>177</v>
      </c>
      <c r="K4805" s="12" t="s">
        <v>125</v>
      </c>
      <c r="L4805" s="12" t="s">
        <v>134</v>
      </c>
      <c r="M4805">
        <v>1.75</v>
      </c>
      <c r="N4805" s="12" t="s">
        <v>70</v>
      </c>
      <c r="O4805" s="12" t="s">
        <v>71</v>
      </c>
      <c r="P4805" s="12" t="s">
        <v>72</v>
      </c>
      <c r="Q4805" s="13">
        <v>45772</v>
      </c>
      <c r="R4805" s="13">
        <v>45813</v>
      </c>
      <c r="S4805">
        <v>2025</v>
      </c>
      <c r="T4805" s="12" t="s">
        <v>5660</v>
      </c>
      <c r="U4805">
        <v>56</v>
      </c>
      <c r="V4805">
        <v>203.24379999999999</v>
      </c>
      <c r="W4805">
        <v>100.26</v>
      </c>
      <c r="X4805">
        <v>0</v>
      </c>
      <c r="Y4805">
        <v>0</v>
      </c>
      <c r="Z4805">
        <v>11381.65</v>
      </c>
      <c r="AA4805">
        <v>11481.91</v>
      </c>
      <c r="AB4805" s="12" t="s">
        <v>201</v>
      </c>
      <c r="AD4805">
        <v>0</v>
      </c>
      <c r="AE4805">
        <v>0</v>
      </c>
      <c r="AH4805">
        <v>56</v>
      </c>
      <c r="AI4805">
        <v>55</v>
      </c>
      <c r="AJ4805">
        <v>1</v>
      </c>
      <c r="AK4805">
        <v>1</v>
      </c>
      <c r="AL4805">
        <v>1</v>
      </c>
      <c r="AM4805">
        <v>98.21</v>
      </c>
      <c r="AN4805">
        <v>208.7621</v>
      </c>
      <c r="AO4805">
        <v>203.24</v>
      </c>
      <c r="AP4805" s="13">
        <v>45812</v>
      </c>
      <c r="AQ4805">
        <v>-1</v>
      </c>
      <c r="AR4805">
        <v>1</v>
      </c>
    </row>
    <row r="4806" spans="1:44" x14ac:dyDescent="0.35">
      <c r="A4806" s="12" t="s">
        <v>5842</v>
      </c>
      <c r="B4806" s="12" t="s">
        <v>1034</v>
      </c>
      <c r="C4806" s="12" t="s">
        <v>1035</v>
      </c>
      <c r="D4806" s="12" t="s">
        <v>64</v>
      </c>
      <c r="E4806" s="12" t="s">
        <v>104</v>
      </c>
      <c r="F4806">
        <v>2</v>
      </c>
      <c r="G4806">
        <v>0</v>
      </c>
      <c r="H4806">
        <v>0</v>
      </c>
      <c r="I4806" s="12" t="s">
        <v>157</v>
      </c>
      <c r="J4806" s="12" t="s">
        <v>158</v>
      </c>
      <c r="K4806" s="12" t="s">
        <v>117</v>
      </c>
      <c r="L4806" s="12" t="s">
        <v>96</v>
      </c>
      <c r="M4806">
        <v>4.72</v>
      </c>
      <c r="N4806" s="12" t="s">
        <v>70</v>
      </c>
      <c r="O4806" s="12" t="s">
        <v>71</v>
      </c>
      <c r="P4806" s="12" t="s">
        <v>72</v>
      </c>
      <c r="Q4806" s="13">
        <v>45772</v>
      </c>
      <c r="R4806" s="13">
        <v>45800</v>
      </c>
      <c r="S4806">
        <v>2025</v>
      </c>
      <c r="T4806" s="12" t="s">
        <v>5660</v>
      </c>
      <c r="U4806">
        <v>933</v>
      </c>
      <c r="V4806">
        <v>8.5963999999999992</v>
      </c>
      <c r="W4806">
        <v>51.79</v>
      </c>
      <c r="X4806">
        <v>0</v>
      </c>
      <c r="Y4806">
        <v>0</v>
      </c>
      <c r="Z4806">
        <v>8020.44</v>
      </c>
      <c r="AA4806">
        <v>8072.23</v>
      </c>
      <c r="AB4806" s="12" t="s">
        <v>5798</v>
      </c>
      <c r="AC4806">
        <v>8.5963999999999992</v>
      </c>
      <c r="AD4806">
        <v>1</v>
      </c>
      <c r="AE4806">
        <v>1</v>
      </c>
      <c r="AF4806">
        <v>0</v>
      </c>
      <c r="AG4806">
        <v>8020.44</v>
      </c>
      <c r="AH4806">
        <v>933</v>
      </c>
      <c r="AI4806">
        <v>929</v>
      </c>
      <c r="AJ4806">
        <v>4</v>
      </c>
      <c r="AK4806">
        <v>1</v>
      </c>
      <c r="AL4806">
        <v>1</v>
      </c>
      <c r="AM4806">
        <v>99.57</v>
      </c>
      <c r="AN4806">
        <v>8.6891999999999996</v>
      </c>
      <c r="AO4806">
        <v>34.39</v>
      </c>
      <c r="AP4806" s="13">
        <v>45796</v>
      </c>
      <c r="AQ4806">
        <v>-4</v>
      </c>
      <c r="AR4806">
        <v>1</v>
      </c>
    </row>
    <row r="4807" spans="1:44" x14ac:dyDescent="0.35">
      <c r="A4807" s="12" t="s">
        <v>5843</v>
      </c>
      <c r="B4807" s="12" t="s">
        <v>1054</v>
      </c>
      <c r="C4807" s="12" t="s">
        <v>1055</v>
      </c>
      <c r="D4807" s="12" t="s">
        <v>122</v>
      </c>
      <c r="E4807" s="12" t="s">
        <v>65</v>
      </c>
      <c r="F4807">
        <v>1</v>
      </c>
      <c r="G4807">
        <v>2</v>
      </c>
      <c r="H4807">
        <v>1</v>
      </c>
      <c r="I4807" s="12" t="s">
        <v>176</v>
      </c>
      <c r="J4807" s="12" t="s">
        <v>177</v>
      </c>
      <c r="K4807" s="12" t="s">
        <v>125</v>
      </c>
      <c r="L4807" s="12" t="s">
        <v>134</v>
      </c>
      <c r="M4807">
        <v>1.75</v>
      </c>
      <c r="N4807" s="12" t="s">
        <v>70</v>
      </c>
      <c r="O4807" s="12" t="s">
        <v>71</v>
      </c>
      <c r="P4807" s="12" t="s">
        <v>72</v>
      </c>
      <c r="Q4807" s="13">
        <v>45772</v>
      </c>
      <c r="R4807" s="13">
        <v>45805</v>
      </c>
      <c r="S4807">
        <v>2025</v>
      </c>
      <c r="T4807" s="12" t="s">
        <v>5660</v>
      </c>
      <c r="U4807">
        <v>1452</v>
      </c>
      <c r="V4807">
        <v>44.811300000000003</v>
      </c>
      <c r="W4807">
        <v>1575.53</v>
      </c>
      <c r="X4807">
        <v>2099.9299999999998</v>
      </c>
      <c r="Y4807">
        <v>1</v>
      </c>
      <c r="Z4807">
        <v>65066.01</v>
      </c>
      <c r="AA4807">
        <v>68741.47</v>
      </c>
      <c r="AB4807" s="12" t="s">
        <v>5608</v>
      </c>
      <c r="AC4807">
        <v>44.811300000000003</v>
      </c>
      <c r="AD4807">
        <v>1</v>
      </c>
      <c r="AE4807">
        <v>1</v>
      </c>
      <c r="AF4807">
        <v>0</v>
      </c>
      <c r="AG4807">
        <v>65066.01</v>
      </c>
      <c r="AH4807">
        <v>1452</v>
      </c>
      <c r="AI4807">
        <v>1438</v>
      </c>
      <c r="AJ4807">
        <v>14</v>
      </c>
      <c r="AK4807">
        <v>1</v>
      </c>
      <c r="AL4807">
        <v>1</v>
      </c>
      <c r="AM4807">
        <v>99.04</v>
      </c>
      <c r="AN4807">
        <v>47.8035</v>
      </c>
      <c r="AO4807">
        <v>627.36</v>
      </c>
      <c r="AP4807" s="13">
        <v>45808</v>
      </c>
      <c r="AQ4807">
        <v>3</v>
      </c>
      <c r="AR4807">
        <v>0</v>
      </c>
    </row>
    <row r="4808" spans="1:44" x14ac:dyDescent="0.35">
      <c r="A4808" s="12" t="s">
        <v>5844</v>
      </c>
      <c r="B4808" s="12" t="s">
        <v>261</v>
      </c>
      <c r="C4808" s="12" t="s">
        <v>262</v>
      </c>
      <c r="D4808" s="12" t="s">
        <v>114</v>
      </c>
      <c r="E4808" s="12" t="s">
        <v>142</v>
      </c>
      <c r="F4808">
        <v>1</v>
      </c>
      <c r="G4808">
        <v>8</v>
      </c>
      <c r="H4808">
        <v>1</v>
      </c>
      <c r="I4808" s="12" t="s">
        <v>263</v>
      </c>
      <c r="J4808" s="12" t="s">
        <v>264</v>
      </c>
      <c r="K4808" s="12" t="s">
        <v>125</v>
      </c>
      <c r="L4808" s="12" t="s">
        <v>82</v>
      </c>
      <c r="M4808">
        <v>10.210000000000001</v>
      </c>
      <c r="N4808" s="12" t="s">
        <v>97</v>
      </c>
      <c r="O4808" s="12" t="s">
        <v>98</v>
      </c>
      <c r="P4808" s="12" t="s">
        <v>72</v>
      </c>
      <c r="Q4808" s="13">
        <v>45772</v>
      </c>
      <c r="R4808" s="13">
        <v>45811</v>
      </c>
      <c r="S4808">
        <v>2025</v>
      </c>
      <c r="T4808" s="12" t="s">
        <v>5660</v>
      </c>
      <c r="U4808">
        <v>42</v>
      </c>
      <c r="V4808">
        <v>145.3031</v>
      </c>
      <c r="W4808">
        <v>36.78</v>
      </c>
      <c r="X4808">
        <v>0</v>
      </c>
      <c r="Y4808">
        <v>0</v>
      </c>
      <c r="Z4808">
        <v>6102.73</v>
      </c>
      <c r="AA4808">
        <v>6139.51</v>
      </c>
      <c r="AB4808" s="12" t="s">
        <v>201</v>
      </c>
      <c r="AD4808">
        <v>0</v>
      </c>
      <c r="AE4808">
        <v>0</v>
      </c>
      <c r="AH4808">
        <v>42</v>
      </c>
      <c r="AI4808">
        <v>41</v>
      </c>
      <c r="AJ4808">
        <v>1</v>
      </c>
      <c r="AK4808">
        <v>1</v>
      </c>
      <c r="AL4808">
        <v>1</v>
      </c>
      <c r="AM4808">
        <v>97.62</v>
      </c>
      <c r="AN4808">
        <v>149.74420000000001</v>
      </c>
      <c r="AO4808">
        <v>145.30000000000001</v>
      </c>
      <c r="AP4808" s="13">
        <v>45814</v>
      </c>
      <c r="AQ4808">
        <v>3</v>
      </c>
      <c r="AR4808">
        <v>0</v>
      </c>
    </row>
    <row r="4809" spans="1:44" x14ac:dyDescent="0.35">
      <c r="A4809" s="12" t="s">
        <v>5845</v>
      </c>
      <c r="B4809" s="12" t="s">
        <v>128</v>
      </c>
      <c r="C4809" s="12" t="s">
        <v>129</v>
      </c>
      <c r="D4809" s="12" t="s">
        <v>130</v>
      </c>
      <c r="E4809" s="12" t="s">
        <v>65</v>
      </c>
      <c r="F4809">
        <v>3</v>
      </c>
      <c r="G4809">
        <v>5</v>
      </c>
      <c r="H4809">
        <v>0</v>
      </c>
      <c r="I4809" s="12" t="s">
        <v>131</v>
      </c>
      <c r="J4809" s="12" t="s">
        <v>132</v>
      </c>
      <c r="K4809" s="12" t="s">
        <v>133</v>
      </c>
      <c r="L4809" s="12" t="s">
        <v>134</v>
      </c>
      <c r="M4809">
        <v>1.51</v>
      </c>
      <c r="N4809" s="12" t="s">
        <v>135</v>
      </c>
      <c r="O4809" s="12" t="s">
        <v>136</v>
      </c>
      <c r="P4809" s="12" t="s">
        <v>137</v>
      </c>
      <c r="Q4809" s="13">
        <v>45772</v>
      </c>
      <c r="R4809" s="13">
        <v>45807</v>
      </c>
      <c r="S4809">
        <v>2025</v>
      </c>
      <c r="T4809" s="12" t="s">
        <v>5660</v>
      </c>
      <c r="U4809">
        <v>123</v>
      </c>
      <c r="V4809">
        <v>402.19819999999999</v>
      </c>
      <c r="W4809">
        <v>948.48</v>
      </c>
      <c r="X4809">
        <v>0</v>
      </c>
      <c r="Y4809">
        <v>0</v>
      </c>
      <c r="Z4809">
        <v>49470.38</v>
      </c>
      <c r="AA4809">
        <v>50418.86</v>
      </c>
      <c r="AB4809" s="12" t="s">
        <v>201</v>
      </c>
      <c r="AD4809">
        <v>0</v>
      </c>
      <c r="AE4809">
        <v>0</v>
      </c>
      <c r="AH4809">
        <v>123</v>
      </c>
      <c r="AI4809">
        <v>111</v>
      </c>
      <c r="AJ4809">
        <v>12</v>
      </c>
      <c r="AK4809">
        <v>1</v>
      </c>
      <c r="AL4809">
        <v>1</v>
      </c>
      <c r="AM4809">
        <v>90.24</v>
      </c>
      <c r="AN4809">
        <v>454.22399999999999</v>
      </c>
      <c r="AO4809">
        <v>4826.38</v>
      </c>
      <c r="AP4809" s="13">
        <v>45805</v>
      </c>
      <c r="AQ4809">
        <v>-2</v>
      </c>
      <c r="AR4809">
        <v>1</v>
      </c>
    </row>
    <row r="4810" spans="1:44" x14ac:dyDescent="0.35">
      <c r="A4810" s="12" t="s">
        <v>5846</v>
      </c>
      <c r="B4810" s="12" t="s">
        <v>728</v>
      </c>
      <c r="C4810" s="12" t="s">
        <v>729</v>
      </c>
      <c r="D4810" s="12" t="s">
        <v>269</v>
      </c>
      <c r="E4810" s="12" t="s">
        <v>65</v>
      </c>
      <c r="F4810">
        <v>2</v>
      </c>
      <c r="G4810">
        <v>3</v>
      </c>
      <c r="H4810">
        <v>0</v>
      </c>
      <c r="I4810" s="12" t="s">
        <v>243</v>
      </c>
      <c r="J4810" s="12" t="s">
        <v>244</v>
      </c>
      <c r="K4810" s="12" t="s">
        <v>81</v>
      </c>
      <c r="L4810" s="12" t="s">
        <v>82</v>
      </c>
      <c r="M4810">
        <v>9.2200000000000006</v>
      </c>
      <c r="N4810" s="12" t="s">
        <v>159</v>
      </c>
      <c r="O4810" s="12" t="s">
        <v>160</v>
      </c>
      <c r="P4810" s="12" t="s">
        <v>137</v>
      </c>
      <c r="Q4810" s="13">
        <v>45772</v>
      </c>
      <c r="R4810" s="13">
        <v>45806</v>
      </c>
      <c r="S4810">
        <v>2025</v>
      </c>
      <c r="T4810" s="12" t="s">
        <v>5660</v>
      </c>
      <c r="U4810">
        <v>111</v>
      </c>
      <c r="V4810">
        <v>334.66460000000001</v>
      </c>
      <c r="W4810">
        <v>580.26</v>
      </c>
      <c r="X4810">
        <v>0</v>
      </c>
      <c r="Y4810">
        <v>0</v>
      </c>
      <c r="Z4810">
        <v>37147.769999999997</v>
      </c>
      <c r="AA4810">
        <v>37728.03</v>
      </c>
      <c r="AB4810" s="12" t="s">
        <v>5847</v>
      </c>
      <c r="AC4810">
        <v>354.97109999999998</v>
      </c>
      <c r="AD4810">
        <v>1</v>
      </c>
      <c r="AE4810">
        <v>1</v>
      </c>
      <c r="AF4810">
        <v>-2254.02</v>
      </c>
      <c r="AG4810">
        <v>39401.79</v>
      </c>
      <c r="AH4810">
        <v>111</v>
      </c>
      <c r="AI4810">
        <v>110</v>
      </c>
      <c r="AJ4810">
        <v>1</v>
      </c>
      <c r="AK4810">
        <v>1</v>
      </c>
      <c r="AL4810">
        <v>1</v>
      </c>
      <c r="AM4810">
        <v>99.1</v>
      </c>
      <c r="AN4810">
        <v>342.9821</v>
      </c>
      <c r="AO4810">
        <v>334.66</v>
      </c>
      <c r="AP4810" s="13">
        <v>45804</v>
      </c>
      <c r="AQ4810">
        <v>-2</v>
      </c>
      <c r="AR4810">
        <v>1</v>
      </c>
    </row>
    <row r="4811" spans="1:44" x14ac:dyDescent="0.35">
      <c r="A4811" s="12" t="s">
        <v>5848</v>
      </c>
      <c r="B4811" s="12" t="s">
        <v>357</v>
      </c>
      <c r="C4811" s="12" t="s">
        <v>358</v>
      </c>
      <c r="D4811" s="12" t="s">
        <v>103</v>
      </c>
      <c r="E4811" s="12" t="s">
        <v>104</v>
      </c>
      <c r="F4811">
        <v>3</v>
      </c>
      <c r="G4811">
        <v>1</v>
      </c>
      <c r="H4811">
        <v>0</v>
      </c>
      <c r="I4811" s="12" t="s">
        <v>359</v>
      </c>
      <c r="J4811" s="12" t="s">
        <v>360</v>
      </c>
      <c r="K4811" s="12" t="s">
        <v>133</v>
      </c>
      <c r="L4811" s="12" t="s">
        <v>82</v>
      </c>
      <c r="M4811">
        <v>12.65</v>
      </c>
      <c r="N4811" s="12" t="s">
        <v>145</v>
      </c>
      <c r="O4811" s="12" t="s">
        <v>146</v>
      </c>
      <c r="P4811" s="12" t="s">
        <v>109</v>
      </c>
      <c r="Q4811" s="13">
        <v>45772</v>
      </c>
      <c r="R4811" s="13">
        <v>45798</v>
      </c>
      <c r="S4811">
        <v>2025</v>
      </c>
      <c r="T4811" s="12" t="s">
        <v>5660</v>
      </c>
      <c r="U4811">
        <v>124</v>
      </c>
      <c r="V4811">
        <v>115.7543</v>
      </c>
      <c r="W4811">
        <v>171</v>
      </c>
      <c r="X4811">
        <v>0</v>
      </c>
      <c r="Y4811">
        <v>0</v>
      </c>
      <c r="Z4811">
        <v>14353.53</v>
      </c>
      <c r="AA4811">
        <v>14524.53</v>
      </c>
      <c r="AB4811" s="12" t="s">
        <v>201</v>
      </c>
      <c r="AD4811">
        <v>0</v>
      </c>
      <c r="AE4811">
        <v>0</v>
      </c>
      <c r="AH4811">
        <v>124</v>
      </c>
      <c r="AI4811">
        <v>124</v>
      </c>
      <c r="AJ4811">
        <v>0</v>
      </c>
      <c r="AK4811">
        <v>1</v>
      </c>
      <c r="AL4811">
        <v>1</v>
      </c>
      <c r="AM4811">
        <v>100</v>
      </c>
      <c r="AN4811">
        <v>117.13330000000001</v>
      </c>
      <c r="AO4811">
        <v>0</v>
      </c>
      <c r="AP4811" s="13">
        <v>45795</v>
      </c>
      <c r="AQ4811">
        <v>-3</v>
      </c>
      <c r="AR4811">
        <v>1</v>
      </c>
    </row>
    <row r="4812" spans="1:44" x14ac:dyDescent="0.35">
      <c r="A4812" s="12" t="s">
        <v>5849</v>
      </c>
      <c r="B4812" s="12" t="s">
        <v>302</v>
      </c>
      <c r="C4812" s="12" t="s">
        <v>303</v>
      </c>
      <c r="D4812" s="12" t="s">
        <v>78</v>
      </c>
      <c r="E4812" s="12" t="s">
        <v>65</v>
      </c>
      <c r="F4812">
        <v>2</v>
      </c>
      <c r="G4812">
        <v>3</v>
      </c>
      <c r="H4812">
        <v>0</v>
      </c>
      <c r="I4812" s="12" t="s">
        <v>243</v>
      </c>
      <c r="J4812" s="12" t="s">
        <v>244</v>
      </c>
      <c r="K4812" s="12" t="s">
        <v>81</v>
      </c>
      <c r="L4812" s="12" t="s">
        <v>82</v>
      </c>
      <c r="M4812">
        <v>9.2200000000000006</v>
      </c>
      <c r="N4812" s="12" t="s">
        <v>97</v>
      </c>
      <c r="O4812" s="12" t="s">
        <v>98</v>
      </c>
      <c r="P4812" s="12" t="s">
        <v>72</v>
      </c>
      <c r="Q4812" s="13">
        <v>45772</v>
      </c>
      <c r="R4812" s="13">
        <v>45794</v>
      </c>
      <c r="S4812">
        <v>2025</v>
      </c>
      <c r="T4812" s="12" t="s">
        <v>5660</v>
      </c>
      <c r="U4812">
        <v>67</v>
      </c>
      <c r="V4812">
        <v>129.55869999999999</v>
      </c>
      <c r="W4812">
        <v>209.42</v>
      </c>
      <c r="X4812">
        <v>0</v>
      </c>
      <c r="Y4812">
        <v>0</v>
      </c>
      <c r="Z4812">
        <v>8680.43</v>
      </c>
      <c r="AA4812">
        <v>8889.85</v>
      </c>
      <c r="AB4812" s="12" t="s">
        <v>5850</v>
      </c>
      <c r="AC4812">
        <v>129.55869999999999</v>
      </c>
      <c r="AD4812">
        <v>1</v>
      </c>
      <c r="AE4812">
        <v>1</v>
      </c>
      <c r="AF4812">
        <v>0</v>
      </c>
      <c r="AG4812">
        <v>8680.43</v>
      </c>
      <c r="AH4812">
        <v>67</v>
      </c>
      <c r="AI4812">
        <v>65</v>
      </c>
      <c r="AJ4812">
        <v>2</v>
      </c>
      <c r="AK4812">
        <v>1</v>
      </c>
      <c r="AL4812">
        <v>1</v>
      </c>
      <c r="AM4812">
        <v>97.01</v>
      </c>
      <c r="AN4812">
        <v>136.767</v>
      </c>
      <c r="AO4812">
        <v>259.12</v>
      </c>
      <c r="AP4812" s="13">
        <v>45793</v>
      </c>
      <c r="AQ4812">
        <v>-1</v>
      </c>
      <c r="AR4812">
        <v>1</v>
      </c>
    </row>
    <row r="4813" spans="1:44" x14ac:dyDescent="0.35">
      <c r="A4813" s="12" t="s">
        <v>5851</v>
      </c>
      <c r="B4813" s="12" t="s">
        <v>215</v>
      </c>
      <c r="C4813" s="12" t="s">
        <v>216</v>
      </c>
      <c r="D4813" s="12" t="s">
        <v>122</v>
      </c>
      <c r="E4813" s="12" t="s">
        <v>142</v>
      </c>
      <c r="F4813">
        <v>3</v>
      </c>
      <c r="G4813">
        <v>11</v>
      </c>
      <c r="H4813">
        <v>0</v>
      </c>
      <c r="I4813" s="12" t="s">
        <v>217</v>
      </c>
      <c r="J4813" s="12" t="s">
        <v>218</v>
      </c>
      <c r="K4813" s="12" t="s">
        <v>68</v>
      </c>
      <c r="L4813" s="12" t="s">
        <v>82</v>
      </c>
      <c r="M4813">
        <v>14.24</v>
      </c>
      <c r="N4813" s="12" t="s">
        <v>70</v>
      </c>
      <c r="O4813" s="12" t="s">
        <v>71</v>
      </c>
      <c r="P4813" s="12" t="s">
        <v>72</v>
      </c>
      <c r="Q4813" s="13">
        <v>45772</v>
      </c>
      <c r="R4813" s="13">
        <v>45812</v>
      </c>
      <c r="S4813">
        <v>2025</v>
      </c>
      <c r="T4813" s="12" t="s">
        <v>5660</v>
      </c>
      <c r="U4813">
        <v>749</v>
      </c>
      <c r="V4813">
        <v>13.337899999999999</v>
      </c>
      <c r="W4813">
        <v>220.4</v>
      </c>
      <c r="X4813">
        <v>0</v>
      </c>
      <c r="Y4813">
        <v>0</v>
      </c>
      <c r="Z4813">
        <v>9990.09</v>
      </c>
      <c r="AA4813">
        <v>10210.49</v>
      </c>
      <c r="AB4813" s="12" t="s">
        <v>5706</v>
      </c>
      <c r="AC4813">
        <v>14.1587</v>
      </c>
      <c r="AD4813">
        <v>1</v>
      </c>
      <c r="AE4813">
        <v>1</v>
      </c>
      <c r="AF4813">
        <v>-614.78</v>
      </c>
      <c r="AG4813">
        <v>10604.87</v>
      </c>
      <c r="AH4813">
        <v>749</v>
      </c>
      <c r="AI4813">
        <v>745</v>
      </c>
      <c r="AJ4813">
        <v>4</v>
      </c>
      <c r="AK4813">
        <v>1</v>
      </c>
      <c r="AL4813">
        <v>1</v>
      </c>
      <c r="AM4813">
        <v>99.47</v>
      </c>
      <c r="AN4813">
        <v>13.705399999999999</v>
      </c>
      <c r="AO4813">
        <v>53.35</v>
      </c>
      <c r="AP4813" s="13">
        <v>45812</v>
      </c>
      <c r="AQ4813">
        <v>0</v>
      </c>
      <c r="AR4813">
        <v>1</v>
      </c>
    </row>
    <row r="4814" spans="1:44" x14ac:dyDescent="0.35">
      <c r="A4814" s="12" t="s">
        <v>5852</v>
      </c>
      <c r="B4814" s="12" t="s">
        <v>509</v>
      </c>
      <c r="C4814" s="12" t="s">
        <v>510</v>
      </c>
      <c r="D4814" s="12" t="s">
        <v>78</v>
      </c>
      <c r="E4814" s="12" t="s">
        <v>142</v>
      </c>
      <c r="F4814">
        <v>3</v>
      </c>
      <c r="G4814">
        <v>11</v>
      </c>
      <c r="H4814">
        <v>0</v>
      </c>
      <c r="I4814" s="12" t="s">
        <v>275</v>
      </c>
      <c r="J4814" s="12" t="s">
        <v>276</v>
      </c>
      <c r="K4814" s="12" t="s">
        <v>89</v>
      </c>
      <c r="L4814" s="12" t="s">
        <v>82</v>
      </c>
      <c r="M4814">
        <v>14.26</v>
      </c>
      <c r="N4814" s="12" t="s">
        <v>97</v>
      </c>
      <c r="O4814" s="12" t="s">
        <v>98</v>
      </c>
      <c r="P4814" s="12" t="s">
        <v>72</v>
      </c>
      <c r="Q4814" s="13">
        <v>45772</v>
      </c>
      <c r="R4814" s="13">
        <v>45821</v>
      </c>
      <c r="S4814">
        <v>2025</v>
      </c>
      <c r="T4814" s="12" t="s">
        <v>5660</v>
      </c>
      <c r="U4814">
        <v>248</v>
      </c>
      <c r="V4814">
        <v>129.607</v>
      </c>
      <c r="W4814">
        <v>706.47</v>
      </c>
      <c r="X4814">
        <v>0</v>
      </c>
      <c r="Y4814">
        <v>0</v>
      </c>
      <c r="Z4814">
        <v>32142.54</v>
      </c>
      <c r="AA4814">
        <v>32849.01</v>
      </c>
      <c r="AB4814" s="12" t="s">
        <v>5853</v>
      </c>
      <c r="AC4814">
        <v>129.607</v>
      </c>
      <c r="AD4814">
        <v>1</v>
      </c>
      <c r="AE4814">
        <v>1</v>
      </c>
      <c r="AF4814">
        <v>0</v>
      </c>
      <c r="AG4814">
        <v>32142.54</v>
      </c>
      <c r="AH4814">
        <v>248</v>
      </c>
      <c r="AI4814">
        <v>246</v>
      </c>
      <c r="AJ4814">
        <v>2</v>
      </c>
      <c r="AK4814">
        <v>1</v>
      </c>
      <c r="AL4814">
        <v>1</v>
      </c>
      <c r="AM4814">
        <v>99.19</v>
      </c>
      <c r="AN4814">
        <v>133.5325</v>
      </c>
      <c r="AO4814">
        <v>259.20999999999998</v>
      </c>
      <c r="AP4814" s="13">
        <v>45820</v>
      </c>
      <c r="AQ4814">
        <v>-1</v>
      </c>
      <c r="AR4814">
        <v>1</v>
      </c>
    </row>
    <row r="4815" spans="1:44" x14ac:dyDescent="0.35">
      <c r="A4815" s="12" t="s">
        <v>5854</v>
      </c>
      <c r="B4815" s="12" t="s">
        <v>602</v>
      </c>
      <c r="C4815" s="12" t="s">
        <v>603</v>
      </c>
      <c r="D4815" s="12" t="s">
        <v>114</v>
      </c>
      <c r="E4815" s="12" t="s">
        <v>142</v>
      </c>
      <c r="F4815">
        <v>2</v>
      </c>
      <c r="G4815">
        <v>10</v>
      </c>
      <c r="H4815">
        <v>0</v>
      </c>
      <c r="I4815" s="12" t="s">
        <v>263</v>
      </c>
      <c r="J4815" s="12" t="s">
        <v>264</v>
      </c>
      <c r="K4815" s="12" t="s">
        <v>125</v>
      </c>
      <c r="L4815" s="12" t="s">
        <v>82</v>
      </c>
      <c r="M4815">
        <v>10.210000000000001</v>
      </c>
      <c r="N4815" s="12" t="s">
        <v>97</v>
      </c>
      <c r="O4815" s="12" t="s">
        <v>98</v>
      </c>
      <c r="P4815" s="12" t="s">
        <v>72</v>
      </c>
      <c r="Q4815" s="13">
        <v>45772</v>
      </c>
      <c r="R4815" s="13">
        <v>45817</v>
      </c>
      <c r="S4815">
        <v>2025</v>
      </c>
      <c r="T4815" s="12" t="s">
        <v>5660</v>
      </c>
      <c r="U4815">
        <v>94</v>
      </c>
      <c r="V4815">
        <v>207.9658</v>
      </c>
      <c r="W4815">
        <v>446.64</v>
      </c>
      <c r="X4815">
        <v>0</v>
      </c>
      <c r="Y4815">
        <v>0</v>
      </c>
      <c r="Z4815">
        <v>19548.79</v>
      </c>
      <c r="AA4815">
        <v>19995.43</v>
      </c>
      <c r="AB4815" s="12" t="s">
        <v>5373</v>
      </c>
      <c r="AC4815">
        <v>207.9658</v>
      </c>
      <c r="AD4815">
        <v>1</v>
      </c>
      <c r="AE4815">
        <v>1</v>
      </c>
      <c r="AF4815">
        <v>0</v>
      </c>
      <c r="AG4815">
        <v>19548.79</v>
      </c>
      <c r="AH4815">
        <v>94</v>
      </c>
      <c r="AI4815">
        <v>92</v>
      </c>
      <c r="AJ4815">
        <v>2</v>
      </c>
      <c r="AK4815">
        <v>1</v>
      </c>
      <c r="AL4815">
        <v>1</v>
      </c>
      <c r="AM4815">
        <v>97.87</v>
      </c>
      <c r="AN4815">
        <v>217.3416</v>
      </c>
      <c r="AO4815">
        <v>415.93</v>
      </c>
      <c r="AP4815" s="13">
        <v>45814</v>
      </c>
      <c r="AQ4815">
        <v>-3</v>
      </c>
      <c r="AR4815">
        <v>1</v>
      </c>
    </row>
    <row r="4816" spans="1:44" x14ac:dyDescent="0.35">
      <c r="A4816" s="12" t="s">
        <v>5855</v>
      </c>
      <c r="B4816" s="12" t="s">
        <v>728</v>
      </c>
      <c r="C4816" s="12" t="s">
        <v>729</v>
      </c>
      <c r="D4816" s="12" t="s">
        <v>269</v>
      </c>
      <c r="E4816" s="12" t="s">
        <v>65</v>
      </c>
      <c r="F4816">
        <v>2</v>
      </c>
      <c r="G4816">
        <v>3</v>
      </c>
      <c r="H4816">
        <v>0</v>
      </c>
      <c r="I4816" s="12" t="s">
        <v>243</v>
      </c>
      <c r="J4816" s="12" t="s">
        <v>244</v>
      </c>
      <c r="K4816" s="12" t="s">
        <v>81</v>
      </c>
      <c r="L4816" s="12" t="s">
        <v>82</v>
      </c>
      <c r="M4816">
        <v>9.2200000000000006</v>
      </c>
      <c r="N4816" s="12" t="s">
        <v>159</v>
      </c>
      <c r="O4816" s="12" t="s">
        <v>160</v>
      </c>
      <c r="P4816" s="12" t="s">
        <v>137</v>
      </c>
      <c r="Q4816" s="13">
        <v>45772</v>
      </c>
      <c r="R4816" s="13">
        <v>45806</v>
      </c>
      <c r="S4816">
        <v>2025</v>
      </c>
      <c r="T4816" s="12" t="s">
        <v>5660</v>
      </c>
      <c r="U4816">
        <v>111</v>
      </c>
      <c r="V4816">
        <v>334.66460000000001</v>
      </c>
      <c r="W4816">
        <v>580.26</v>
      </c>
      <c r="X4816">
        <v>0</v>
      </c>
      <c r="Y4816">
        <v>0</v>
      </c>
      <c r="Z4816">
        <v>37147.769999999997</v>
      </c>
      <c r="AA4816">
        <v>37728.03</v>
      </c>
      <c r="AB4816" s="12" t="s">
        <v>5847</v>
      </c>
      <c r="AC4816">
        <v>354.97109999999998</v>
      </c>
      <c r="AD4816">
        <v>1</v>
      </c>
      <c r="AE4816">
        <v>1</v>
      </c>
      <c r="AF4816">
        <v>-2254.02</v>
      </c>
      <c r="AG4816">
        <v>39401.79</v>
      </c>
      <c r="AK4816">
        <v>0</v>
      </c>
      <c r="AL4816">
        <v>0</v>
      </c>
      <c r="AO4816">
        <v>0</v>
      </c>
      <c r="AP4816" s="13"/>
    </row>
    <row r="4817" spans="1:44" x14ac:dyDescent="0.35">
      <c r="A4817" s="12" t="s">
        <v>5856</v>
      </c>
      <c r="B4817" s="12" t="s">
        <v>565</v>
      </c>
      <c r="C4817" s="12" t="s">
        <v>566</v>
      </c>
      <c r="D4817" s="12" t="s">
        <v>122</v>
      </c>
      <c r="E4817" s="12" t="s">
        <v>104</v>
      </c>
      <c r="F4817">
        <v>3</v>
      </c>
      <c r="G4817">
        <v>1</v>
      </c>
      <c r="H4817">
        <v>0</v>
      </c>
      <c r="I4817" s="12" t="s">
        <v>87</v>
      </c>
      <c r="J4817" s="12" t="s">
        <v>88</v>
      </c>
      <c r="K4817" s="12" t="s">
        <v>89</v>
      </c>
      <c r="L4817" s="12" t="s">
        <v>69</v>
      </c>
      <c r="M4817">
        <v>14.93</v>
      </c>
      <c r="N4817" s="12" t="s">
        <v>70</v>
      </c>
      <c r="O4817" s="12" t="s">
        <v>71</v>
      </c>
      <c r="P4817" s="12" t="s">
        <v>72</v>
      </c>
      <c r="Q4817" s="13">
        <v>45775</v>
      </c>
      <c r="R4817" s="13">
        <v>45801</v>
      </c>
      <c r="S4817">
        <v>2025</v>
      </c>
      <c r="T4817" s="12" t="s">
        <v>5660</v>
      </c>
      <c r="U4817">
        <v>1687</v>
      </c>
      <c r="V4817">
        <v>33.2194</v>
      </c>
      <c r="W4817">
        <v>940.69</v>
      </c>
      <c r="X4817">
        <v>0</v>
      </c>
      <c r="Y4817">
        <v>0</v>
      </c>
      <c r="Z4817">
        <v>56041.13</v>
      </c>
      <c r="AA4817">
        <v>56981.82</v>
      </c>
      <c r="AB4817" s="12" t="s">
        <v>5711</v>
      </c>
      <c r="AC4817">
        <v>33.2194</v>
      </c>
      <c r="AD4817">
        <v>1</v>
      </c>
      <c r="AE4817">
        <v>1</v>
      </c>
      <c r="AF4817">
        <v>0</v>
      </c>
      <c r="AG4817">
        <v>56041.13</v>
      </c>
      <c r="AH4817">
        <v>1687</v>
      </c>
      <c r="AI4817">
        <v>1670</v>
      </c>
      <c r="AJ4817">
        <v>17</v>
      </c>
      <c r="AK4817">
        <v>1</v>
      </c>
      <c r="AL4817">
        <v>1</v>
      </c>
      <c r="AM4817">
        <v>98.99</v>
      </c>
      <c r="AN4817">
        <v>34.120800000000003</v>
      </c>
      <c r="AO4817">
        <v>564.73</v>
      </c>
      <c r="AP4817" s="13">
        <v>45798</v>
      </c>
      <c r="AQ4817">
        <v>-3</v>
      </c>
      <c r="AR4817">
        <v>1</v>
      </c>
    </row>
    <row r="4818" spans="1:44" x14ac:dyDescent="0.35">
      <c r="A4818" s="12" t="s">
        <v>5857</v>
      </c>
      <c r="B4818" s="12" t="s">
        <v>513</v>
      </c>
      <c r="C4818" s="12" t="s">
        <v>514</v>
      </c>
      <c r="D4818" s="12" t="s">
        <v>269</v>
      </c>
      <c r="E4818" s="12" t="s">
        <v>65</v>
      </c>
      <c r="F4818">
        <v>1</v>
      </c>
      <c r="G4818">
        <v>2</v>
      </c>
      <c r="H4818">
        <v>1</v>
      </c>
      <c r="I4818" s="12" t="s">
        <v>515</v>
      </c>
      <c r="J4818" s="12" t="s">
        <v>516</v>
      </c>
      <c r="K4818" s="12" t="s">
        <v>68</v>
      </c>
      <c r="L4818" s="12" t="s">
        <v>134</v>
      </c>
      <c r="M4818">
        <v>3.69</v>
      </c>
      <c r="N4818" s="12" t="s">
        <v>159</v>
      </c>
      <c r="O4818" s="12" t="s">
        <v>160</v>
      </c>
      <c r="P4818" s="12" t="s">
        <v>137</v>
      </c>
      <c r="Q4818" s="13">
        <v>45775</v>
      </c>
      <c r="R4818" s="13">
        <v>45797</v>
      </c>
      <c r="S4818">
        <v>2025</v>
      </c>
      <c r="T4818" s="12" t="s">
        <v>5660</v>
      </c>
      <c r="U4818">
        <v>24</v>
      </c>
      <c r="V4818">
        <v>216.8802</v>
      </c>
      <c r="W4818">
        <v>98</v>
      </c>
      <c r="X4818">
        <v>0</v>
      </c>
      <c r="Y4818">
        <v>0</v>
      </c>
      <c r="Z4818">
        <v>5205.12</v>
      </c>
      <c r="AA4818">
        <v>5303.12</v>
      </c>
      <c r="AB4818" s="12" t="s">
        <v>201</v>
      </c>
      <c r="AD4818">
        <v>0</v>
      </c>
      <c r="AE4818">
        <v>0</v>
      </c>
      <c r="AH4818">
        <v>24</v>
      </c>
      <c r="AI4818">
        <v>24</v>
      </c>
      <c r="AJ4818">
        <v>0</v>
      </c>
      <c r="AK4818">
        <v>1</v>
      </c>
      <c r="AL4818">
        <v>1</v>
      </c>
      <c r="AM4818">
        <v>100</v>
      </c>
      <c r="AN4818">
        <v>220.96350000000001</v>
      </c>
      <c r="AO4818">
        <v>0</v>
      </c>
      <c r="AP4818" s="13">
        <v>45795</v>
      </c>
      <c r="AQ4818">
        <v>-2</v>
      </c>
      <c r="AR4818">
        <v>1</v>
      </c>
    </row>
    <row r="4819" spans="1:44" x14ac:dyDescent="0.35">
      <c r="A4819" s="12" t="s">
        <v>5858</v>
      </c>
      <c r="B4819" s="12" t="s">
        <v>284</v>
      </c>
      <c r="C4819" s="12" t="s">
        <v>285</v>
      </c>
      <c r="D4819" s="12" t="s">
        <v>269</v>
      </c>
      <c r="E4819" s="12" t="s">
        <v>104</v>
      </c>
      <c r="F4819">
        <v>3</v>
      </c>
      <c r="G4819">
        <v>1</v>
      </c>
      <c r="H4819">
        <v>0</v>
      </c>
      <c r="I4819" s="12" t="s">
        <v>199</v>
      </c>
      <c r="J4819" s="12" t="s">
        <v>200</v>
      </c>
      <c r="K4819" s="12" t="s">
        <v>68</v>
      </c>
      <c r="L4819" s="12" t="s">
        <v>96</v>
      </c>
      <c r="M4819">
        <v>9.4700000000000006</v>
      </c>
      <c r="N4819" s="12" t="s">
        <v>159</v>
      </c>
      <c r="O4819" s="12" t="s">
        <v>160</v>
      </c>
      <c r="P4819" s="12" t="s">
        <v>137</v>
      </c>
      <c r="Q4819" s="13">
        <v>45775</v>
      </c>
      <c r="R4819" s="13">
        <v>45793</v>
      </c>
      <c r="S4819">
        <v>2025</v>
      </c>
      <c r="T4819" s="12" t="s">
        <v>5660</v>
      </c>
      <c r="U4819">
        <v>59</v>
      </c>
      <c r="V4819">
        <v>367.86450000000002</v>
      </c>
      <c r="W4819">
        <v>508.79</v>
      </c>
      <c r="X4819">
        <v>0</v>
      </c>
      <c r="Y4819">
        <v>0</v>
      </c>
      <c r="Z4819">
        <v>21704.01</v>
      </c>
      <c r="AA4819">
        <v>22212.799999999999</v>
      </c>
      <c r="AB4819" s="12" t="s">
        <v>201</v>
      </c>
      <c r="AD4819">
        <v>0</v>
      </c>
      <c r="AE4819">
        <v>0</v>
      </c>
      <c r="AH4819">
        <v>59</v>
      </c>
      <c r="AI4819">
        <v>58</v>
      </c>
      <c r="AJ4819">
        <v>1</v>
      </c>
      <c r="AK4819">
        <v>1</v>
      </c>
      <c r="AL4819">
        <v>1</v>
      </c>
      <c r="AM4819">
        <v>98.31</v>
      </c>
      <c r="AN4819">
        <v>382.97919999999999</v>
      </c>
      <c r="AO4819">
        <v>367.86</v>
      </c>
      <c r="AP4819" s="13">
        <v>45793</v>
      </c>
      <c r="AQ4819">
        <v>0</v>
      </c>
      <c r="AR4819">
        <v>1</v>
      </c>
    </row>
    <row r="4820" spans="1:44" x14ac:dyDescent="0.35">
      <c r="A4820" s="12" t="s">
        <v>5859</v>
      </c>
      <c r="B4820" s="12" t="s">
        <v>331</v>
      </c>
      <c r="C4820" s="12" t="s">
        <v>332</v>
      </c>
      <c r="D4820" s="12" t="s">
        <v>122</v>
      </c>
      <c r="E4820" s="12" t="s">
        <v>142</v>
      </c>
      <c r="F4820">
        <v>3</v>
      </c>
      <c r="G4820">
        <v>11</v>
      </c>
      <c r="H4820">
        <v>0</v>
      </c>
      <c r="I4820" s="12" t="s">
        <v>263</v>
      </c>
      <c r="J4820" s="12" t="s">
        <v>264</v>
      </c>
      <c r="K4820" s="12" t="s">
        <v>125</v>
      </c>
      <c r="L4820" s="12" t="s">
        <v>82</v>
      </c>
      <c r="M4820">
        <v>10.210000000000001</v>
      </c>
      <c r="N4820" s="12" t="s">
        <v>70</v>
      </c>
      <c r="O4820" s="12" t="s">
        <v>71</v>
      </c>
      <c r="P4820" s="12" t="s">
        <v>72</v>
      </c>
      <c r="Q4820" s="13">
        <v>45775</v>
      </c>
      <c r="R4820" s="13">
        <v>45816</v>
      </c>
      <c r="S4820">
        <v>2025</v>
      </c>
      <c r="T4820" s="12" t="s">
        <v>5660</v>
      </c>
      <c r="U4820">
        <v>869</v>
      </c>
      <c r="V4820">
        <v>23.006</v>
      </c>
      <c r="W4820">
        <v>212.85</v>
      </c>
      <c r="X4820">
        <v>0</v>
      </c>
      <c r="Y4820">
        <v>0</v>
      </c>
      <c r="Z4820">
        <v>19992.21</v>
      </c>
      <c r="AA4820">
        <v>20205.060000000001</v>
      </c>
      <c r="AB4820" s="12" t="s">
        <v>5234</v>
      </c>
      <c r="AC4820">
        <v>23.006</v>
      </c>
      <c r="AD4820">
        <v>1</v>
      </c>
      <c r="AE4820">
        <v>1</v>
      </c>
      <c r="AF4820">
        <v>0</v>
      </c>
      <c r="AG4820">
        <v>19992.21</v>
      </c>
      <c r="AH4820">
        <v>869</v>
      </c>
      <c r="AI4820">
        <v>864</v>
      </c>
      <c r="AJ4820">
        <v>5</v>
      </c>
      <c r="AK4820">
        <v>1</v>
      </c>
      <c r="AL4820">
        <v>1</v>
      </c>
      <c r="AM4820">
        <v>99.42</v>
      </c>
      <c r="AN4820">
        <v>23.3855</v>
      </c>
      <c r="AO4820">
        <v>115.03</v>
      </c>
      <c r="AP4820" s="13">
        <v>45815</v>
      </c>
      <c r="AQ4820">
        <v>-1</v>
      </c>
      <c r="AR4820">
        <v>1</v>
      </c>
    </row>
    <row r="4821" spans="1:44" x14ac:dyDescent="0.35">
      <c r="A4821" s="12" t="s">
        <v>5860</v>
      </c>
      <c r="B4821" s="12" t="s">
        <v>207</v>
      </c>
      <c r="C4821" s="12" t="s">
        <v>208</v>
      </c>
      <c r="D4821" s="12" t="s">
        <v>78</v>
      </c>
      <c r="E4821" s="12" t="s">
        <v>65</v>
      </c>
      <c r="F4821">
        <v>2</v>
      </c>
      <c r="G4821">
        <v>3</v>
      </c>
      <c r="H4821">
        <v>0</v>
      </c>
      <c r="I4821" s="12" t="s">
        <v>209</v>
      </c>
      <c r="J4821" s="12" t="s">
        <v>210</v>
      </c>
      <c r="K4821" s="12" t="s">
        <v>133</v>
      </c>
      <c r="L4821" s="12" t="s">
        <v>96</v>
      </c>
      <c r="M4821">
        <v>7.82</v>
      </c>
      <c r="N4821" s="12" t="s">
        <v>70</v>
      </c>
      <c r="O4821" s="12" t="s">
        <v>71</v>
      </c>
      <c r="P4821" s="12" t="s">
        <v>72</v>
      </c>
      <c r="Q4821" s="13">
        <v>45775</v>
      </c>
      <c r="R4821" s="13">
        <v>45808</v>
      </c>
      <c r="S4821">
        <v>2025</v>
      </c>
      <c r="T4821" s="12" t="s">
        <v>5660</v>
      </c>
      <c r="U4821">
        <v>219</v>
      </c>
      <c r="V4821">
        <v>145.1729</v>
      </c>
      <c r="W4821">
        <v>410.88</v>
      </c>
      <c r="X4821">
        <v>0</v>
      </c>
      <c r="Y4821">
        <v>0</v>
      </c>
      <c r="Z4821">
        <v>31792.87</v>
      </c>
      <c r="AA4821">
        <v>32203.75</v>
      </c>
      <c r="AB4821" s="12" t="s">
        <v>5196</v>
      </c>
      <c r="AC4821">
        <v>145.1729</v>
      </c>
      <c r="AD4821">
        <v>1</v>
      </c>
      <c r="AE4821">
        <v>1</v>
      </c>
      <c r="AF4821">
        <v>0</v>
      </c>
      <c r="AG4821">
        <v>31792.87</v>
      </c>
      <c r="AH4821">
        <v>219</v>
      </c>
      <c r="AI4821">
        <v>214</v>
      </c>
      <c r="AJ4821">
        <v>5</v>
      </c>
      <c r="AK4821">
        <v>1</v>
      </c>
      <c r="AL4821">
        <v>1</v>
      </c>
      <c r="AM4821">
        <v>97.72</v>
      </c>
      <c r="AN4821">
        <v>150.48480000000001</v>
      </c>
      <c r="AO4821">
        <v>725.86</v>
      </c>
      <c r="AP4821" s="13">
        <v>45806</v>
      </c>
      <c r="AQ4821">
        <v>-2</v>
      </c>
      <c r="AR4821">
        <v>1</v>
      </c>
    </row>
    <row r="4822" spans="1:44" x14ac:dyDescent="0.35">
      <c r="A4822" s="12" t="s">
        <v>5861</v>
      </c>
      <c r="B4822" s="12" t="s">
        <v>357</v>
      </c>
      <c r="C4822" s="12" t="s">
        <v>358</v>
      </c>
      <c r="D4822" s="12" t="s">
        <v>103</v>
      </c>
      <c r="E4822" s="12" t="s">
        <v>104</v>
      </c>
      <c r="F4822">
        <v>3</v>
      </c>
      <c r="G4822">
        <v>1</v>
      </c>
      <c r="H4822">
        <v>0</v>
      </c>
      <c r="I4822" s="12" t="s">
        <v>105</v>
      </c>
      <c r="J4822" s="12" t="s">
        <v>106</v>
      </c>
      <c r="K4822" s="12" t="s">
        <v>81</v>
      </c>
      <c r="L4822" s="12" t="s">
        <v>96</v>
      </c>
      <c r="M4822">
        <v>5.01</v>
      </c>
      <c r="N4822" s="12" t="s">
        <v>145</v>
      </c>
      <c r="O4822" s="12" t="s">
        <v>146</v>
      </c>
      <c r="P4822" s="12" t="s">
        <v>109</v>
      </c>
      <c r="Q4822" s="13">
        <v>45775</v>
      </c>
      <c r="R4822" s="13">
        <v>45800</v>
      </c>
      <c r="S4822">
        <v>2025</v>
      </c>
      <c r="T4822" s="12" t="s">
        <v>5660</v>
      </c>
      <c r="U4822">
        <v>113</v>
      </c>
      <c r="V4822">
        <v>106.63800000000001</v>
      </c>
      <c r="W4822">
        <v>247.27</v>
      </c>
      <c r="X4822">
        <v>0</v>
      </c>
      <c r="Y4822">
        <v>0</v>
      </c>
      <c r="Z4822">
        <v>12050.09</v>
      </c>
      <c r="AA4822">
        <v>12297.36</v>
      </c>
      <c r="AB4822" s="12" t="s">
        <v>5265</v>
      </c>
      <c r="AC4822">
        <v>106.63800000000001</v>
      </c>
      <c r="AD4822">
        <v>1</v>
      </c>
      <c r="AE4822">
        <v>1</v>
      </c>
      <c r="AF4822">
        <v>0</v>
      </c>
      <c r="AG4822">
        <v>12050.09</v>
      </c>
      <c r="AH4822">
        <v>113</v>
      </c>
      <c r="AI4822">
        <v>113</v>
      </c>
      <c r="AJ4822">
        <v>0</v>
      </c>
      <c r="AK4822">
        <v>1</v>
      </c>
      <c r="AL4822">
        <v>1</v>
      </c>
      <c r="AM4822">
        <v>100</v>
      </c>
      <c r="AN4822">
        <v>108.8262</v>
      </c>
      <c r="AO4822">
        <v>0</v>
      </c>
      <c r="AP4822" s="13">
        <v>45800</v>
      </c>
      <c r="AQ4822">
        <v>0</v>
      </c>
      <c r="AR4822">
        <v>1</v>
      </c>
    </row>
    <row r="4823" spans="1:44" x14ac:dyDescent="0.35">
      <c r="A4823" s="12" t="s">
        <v>5862</v>
      </c>
      <c r="B4823" s="12" t="s">
        <v>924</v>
      </c>
      <c r="C4823" s="12" t="s">
        <v>925</v>
      </c>
      <c r="D4823" s="12" t="s">
        <v>103</v>
      </c>
      <c r="E4823" s="12" t="s">
        <v>104</v>
      </c>
      <c r="F4823">
        <v>2</v>
      </c>
      <c r="G4823">
        <v>0</v>
      </c>
      <c r="H4823">
        <v>0</v>
      </c>
      <c r="I4823" s="12" t="s">
        <v>275</v>
      </c>
      <c r="J4823" s="12" t="s">
        <v>276</v>
      </c>
      <c r="K4823" s="12" t="s">
        <v>89</v>
      </c>
      <c r="L4823" s="12" t="s">
        <v>82</v>
      </c>
      <c r="M4823">
        <v>14.26</v>
      </c>
      <c r="N4823" s="12" t="s">
        <v>145</v>
      </c>
      <c r="O4823" s="12" t="s">
        <v>146</v>
      </c>
      <c r="P4823" s="12" t="s">
        <v>109</v>
      </c>
      <c r="Q4823" s="13">
        <v>45775</v>
      </c>
      <c r="R4823" s="13">
        <v>45788</v>
      </c>
      <c r="S4823">
        <v>2025</v>
      </c>
      <c r="T4823" s="12" t="s">
        <v>5660</v>
      </c>
      <c r="U4823">
        <v>22</v>
      </c>
      <c r="V4823">
        <v>145.61770000000001</v>
      </c>
      <c r="W4823">
        <v>19.559999999999999</v>
      </c>
      <c r="X4823">
        <v>0</v>
      </c>
      <c r="Y4823">
        <v>0</v>
      </c>
      <c r="Z4823">
        <v>3203.59</v>
      </c>
      <c r="AA4823">
        <v>3223.15</v>
      </c>
      <c r="AB4823" s="12" t="s">
        <v>5863</v>
      </c>
      <c r="AC4823">
        <v>154.6558</v>
      </c>
      <c r="AD4823">
        <v>1</v>
      </c>
      <c r="AE4823">
        <v>1</v>
      </c>
      <c r="AF4823">
        <v>-198.84</v>
      </c>
      <c r="AG4823">
        <v>3402.43</v>
      </c>
      <c r="AH4823">
        <v>22</v>
      </c>
      <c r="AI4823">
        <v>22</v>
      </c>
      <c r="AJ4823">
        <v>0</v>
      </c>
      <c r="AK4823">
        <v>1</v>
      </c>
      <c r="AL4823">
        <v>1</v>
      </c>
      <c r="AM4823">
        <v>100</v>
      </c>
      <c r="AN4823">
        <v>146.5068</v>
      </c>
      <c r="AO4823">
        <v>0</v>
      </c>
      <c r="AP4823" s="13">
        <v>45786</v>
      </c>
      <c r="AQ4823">
        <v>-2</v>
      </c>
      <c r="AR4823">
        <v>1</v>
      </c>
    </row>
    <row r="4824" spans="1:44" x14ac:dyDescent="0.35">
      <c r="A4824" s="12" t="s">
        <v>5864</v>
      </c>
      <c r="B4824" s="12" t="s">
        <v>902</v>
      </c>
      <c r="C4824" s="12" t="s">
        <v>903</v>
      </c>
      <c r="D4824" s="12" t="s">
        <v>122</v>
      </c>
      <c r="E4824" s="12" t="s">
        <v>142</v>
      </c>
      <c r="F4824">
        <v>1</v>
      </c>
      <c r="G4824">
        <v>6</v>
      </c>
      <c r="H4824">
        <v>1</v>
      </c>
      <c r="I4824" s="12" t="s">
        <v>105</v>
      </c>
      <c r="J4824" s="12" t="s">
        <v>106</v>
      </c>
      <c r="K4824" s="12" t="s">
        <v>81</v>
      </c>
      <c r="L4824" s="12" t="s">
        <v>96</v>
      </c>
      <c r="M4824">
        <v>5.01</v>
      </c>
      <c r="N4824" s="12" t="s">
        <v>97</v>
      </c>
      <c r="O4824" s="12" t="s">
        <v>98</v>
      </c>
      <c r="P4824" s="12" t="s">
        <v>72</v>
      </c>
      <c r="Q4824" s="13">
        <v>45775</v>
      </c>
      <c r="R4824" s="13">
        <v>45818</v>
      </c>
      <c r="S4824">
        <v>2025</v>
      </c>
      <c r="T4824" s="12" t="s">
        <v>5660</v>
      </c>
      <c r="U4824">
        <v>1099</v>
      </c>
      <c r="V4824">
        <v>41.5184</v>
      </c>
      <c r="W4824">
        <v>744.47</v>
      </c>
      <c r="X4824">
        <v>0</v>
      </c>
      <c r="Y4824">
        <v>0</v>
      </c>
      <c r="Z4824">
        <v>45628.72</v>
      </c>
      <c r="AA4824">
        <v>46373.19</v>
      </c>
      <c r="AB4824" s="12" t="s">
        <v>5824</v>
      </c>
      <c r="AC4824">
        <v>41.5184</v>
      </c>
      <c r="AD4824">
        <v>1</v>
      </c>
      <c r="AE4824">
        <v>1</v>
      </c>
      <c r="AF4824">
        <v>0</v>
      </c>
      <c r="AG4824">
        <v>45628.72</v>
      </c>
      <c r="AH4824">
        <v>1099</v>
      </c>
      <c r="AI4824">
        <v>1089</v>
      </c>
      <c r="AJ4824">
        <v>10</v>
      </c>
      <c r="AK4824">
        <v>1</v>
      </c>
      <c r="AL4824">
        <v>1</v>
      </c>
      <c r="AM4824">
        <v>99.09</v>
      </c>
      <c r="AN4824">
        <v>42.583300000000001</v>
      </c>
      <c r="AO4824">
        <v>415.18</v>
      </c>
      <c r="AP4824" s="13">
        <v>45817</v>
      </c>
      <c r="AQ4824">
        <v>-1</v>
      </c>
      <c r="AR4824">
        <v>1</v>
      </c>
    </row>
    <row r="4825" spans="1:44" x14ac:dyDescent="0.35">
      <c r="A4825" s="12" t="s">
        <v>5865</v>
      </c>
      <c r="B4825" s="12" t="s">
        <v>149</v>
      </c>
      <c r="C4825" s="12" t="s">
        <v>150</v>
      </c>
      <c r="D4825" s="12" t="s">
        <v>78</v>
      </c>
      <c r="E4825" s="12" t="s">
        <v>65</v>
      </c>
      <c r="F4825">
        <v>2</v>
      </c>
      <c r="G4825">
        <v>2</v>
      </c>
      <c r="H4825">
        <v>0</v>
      </c>
      <c r="I4825" s="12" t="s">
        <v>151</v>
      </c>
      <c r="J4825" s="12" t="s">
        <v>152</v>
      </c>
      <c r="K4825" s="12" t="s">
        <v>125</v>
      </c>
      <c r="L4825" s="12" t="s">
        <v>69</v>
      </c>
      <c r="M4825">
        <v>36.479999999999997</v>
      </c>
      <c r="N4825" s="12" t="s">
        <v>70</v>
      </c>
      <c r="O4825" s="12" t="s">
        <v>71</v>
      </c>
      <c r="P4825" s="12" t="s">
        <v>72</v>
      </c>
      <c r="Q4825" s="13">
        <v>45776</v>
      </c>
      <c r="R4825" s="13">
        <v>45807</v>
      </c>
      <c r="S4825">
        <v>2025</v>
      </c>
      <c r="T4825" s="12" t="s">
        <v>5660</v>
      </c>
      <c r="U4825">
        <v>190</v>
      </c>
      <c r="V4825">
        <v>65.934700000000007</v>
      </c>
      <c r="W4825">
        <v>298.58999999999997</v>
      </c>
      <c r="X4825">
        <v>0</v>
      </c>
      <c r="Y4825">
        <v>0</v>
      </c>
      <c r="Z4825">
        <v>12527.59</v>
      </c>
      <c r="AA4825">
        <v>12826.18</v>
      </c>
      <c r="AB4825" s="12" t="s">
        <v>5076</v>
      </c>
      <c r="AC4825">
        <v>65.934700000000007</v>
      </c>
      <c r="AD4825">
        <v>1</v>
      </c>
      <c r="AE4825">
        <v>1</v>
      </c>
      <c r="AF4825">
        <v>0</v>
      </c>
      <c r="AG4825">
        <v>12527.59</v>
      </c>
      <c r="AH4825">
        <v>190</v>
      </c>
      <c r="AI4825">
        <v>186</v>
      </c>
      <c r="AJ4825">
        <v>4</v>
      </c>
      <c r="AK4825">
        <v>1</v>
      </c>
      <c r="AL4825">
        <v>1</v>
      </c>
      <c r="AM4825">
        <v>97.89</v>
      </c>
      <c r="AN4825">
        <v>68.957999999999998</v>
      </c>
      <c r="AO4825">
        <v>263.74</v>
      </c>
      <c r="AP4825" s="13">
        <v>45807</v>
      </c>
      <c r="AQ4825">
        <v>0</v>
      </c>
      <c r="AR4825">
        <v>1</v>
      </c>
    </row>
    <row r="4826" spans="1:44" x14ac:dyDescent="0.35">
      <c r="A4826" s="12" t="s">
        <v>5866</v>
      </c>
      <c r="B4826" s="12" t="s">
        <v>706</v>
      </c>
      <c r="C4826" s="12" t="s">
        <v>707</v>
      </c>
      <c r="D4826" s="12" t="s">
        <v>130</v>
      </c>
      <c r="E4826" s="12" t="s">
        <v>142</v>
      </c>
      <c r="F4826">
        <v>1</v>
      </c>
      <c r="G4826">
        <v>8</v>
      </c>
      <c r="H4826">
        <v>1</v>
      </c>
      <c r="I4826" s="12" t="s">
        <v>263</v>
      </c>
      <c r="J4826" s="12" t="s">
        <v>264</v>
      </c>
      <c r="K4826" s="12" t="s">
        <v>125</v>
      </c>
      <c r="L4826" s="12" t="s">
        <v>82</v>
      </c>
      <c r="M4826">
        <v>10.210000000000001</v>
      </c>
      <c r="N4826" s="12" t="s">
        <v>135</v>
      </c>
      <c r="O4826" s="12" t="s">
        <v>136</v>
      </c>
      <c r="P4826" s="12" t="s">
        <v>137</v>
      </c>
      <c r="Q4826" s="13">
        <v>45776</v>
      </c>
      <c r="R4826" s="13">
        <v>45825</v>
      </c>
      <c r="S4826">
        <v>2025</v>
      </c>
      <c r="T4826" s="12" t="s">
        <v>5660</v>
      </c>
      <c r="U4826">
        <v>125</v>
      </c>
      <c r="V4826">
        <v>276.71809999999999</v>
      </c>
      <c r="W4826">
        <v>690.12</v>
      </c>
      <c r="X4826">
        <v>0</v>
      </c>
      <c r="Y4826">
        <v>0</v>
      </c>
      <c r="Z4826">
        <v>34589.760000000002</v>
      </c>
      <c r="AA4826">
        <v>35279.879999999997</v>
      </c>
      <c r="AB4826" s="12" t="s">
        <v>5735</v>
      </c>
      <c r="AC4826">
        <v>276.71809999999999</v>
      </c>
      <c r="AD4826">
        <v>1</v>
      </c>
      <c r="AE4826">
        <v>1</v>
      </c>
      <c r="AF4826">
        <v>0</v>
      </c>
      <c r="AG4826">
        <v>34589.760000000002</v>
      </c>
      <c r="AH4826">
        <v>125</v>
      </c>
      <c r="AI4826">
        <v>124</v>
      </c>
      <c r="AJ4826">
        <v>1</v>
      </c>
      <c r="AK4826">
        <v>1</v>
      </c>
      <c r="AL4826">
        <v>1</v>
      </c>
      <c r="AM4826">
        <v>99.2</v>
      </c>
      <c r="AN4826">
        <v>284.51519999999999</v>
      </c>
      <c r="AO4826">
        <v>276.72000000000003</v>
      </c>
      <c r="AP4826" s="13">
        <v>45824</v>
      </c>
      <c r="AQ4826">
        <v>-1</v>
      </c>
      <c r="AR4826">
        <v>1</v>
      </c>
    </row>
    <row r="4827" spans="1:44" x14ac:dyDescent="0.35">
      <c r="A4827" s="12" t="s">
        <v>5867</v>
      </c>
      <c r="B4827" s="12" t="s">
        <v>112</v>
      </c>
      <c r="C4827" s="12" t="s">
        <v>113</v>
      </c>
      <c r="D4827" s="12" t="s">
        <v>114</v>
      </c>
      <c r="E4827" s="12" t="s">
        <v>104</v>
      </c>
      <c r="F4827">
        <v>3</v>
      </c>
      <c r="G4827">
        <v>1</v>
      </c>
      <c r="H4827">
        <v>0</v>
      </c>
      <c r="I4827" s="12" t="s">
        <v>227</v>
      </c>
      <c r="J4827" s="12" t="s">
        <v>228</v>
      </c>
      <c r="K4827" s="12" t="s">
        <v>89</v>
      </c>
      <c r="L4827" s="12" t="s">
        <v>96</v>
      </c>
      <c r="M4827">
        <v>9.15</v>
      </c>
      <c r="N4827" s="12" t="s">
        <v>97</v>
      </c>
      <c r="O4827" s="12" t="s">
        <v>98</v>
      </c>
      <c r="P4827" s="12" t="s">
        <v>72</v>
      </c>
      <c r="Q4827" s="13">
        <v>45776</v>
      </c>
      <c r="R4827" s="13">
        <v>45805</v>
      </c>
      <c r="S4827">
        <v>2025</v>
      </c>
      <c r="T4827" s="12" t="s">
        <v>5660</v>
      </c>
      <c r="U4827">
        <v>146</v>
      </c>
      <c r="V4827">
        <v>260.70370000000003</v>
      </c>
      <c r="W4827">
        <v>441.59</v>
      </c>
      <c r="X4827">
        <v>0</v>
      </c>
      <c r="Y4827">
        <v>0</v>
      </c>
      <c r="Z4827">
        <v>38062.74</v>
      </c>
      <c r="AA4827">
        <v>38504.33</v>
      </c>
      <c r="AB4827" s="12" t="s">
        <v>201</v>
      </c>
      <c r="AD4827">
        <v>0</v>
      </c>
      <c r="AE4827">
        <v>0</v>
      </c>
      <c r="AH4827">
        <v>146</v>
      </c>
      <c r="AI4827">
        <v>143</v>
      </c>
      <c r="AJ4827">
        <v>3</v>
      </c>
      <c r="AK4827">
        <v>1</v>
      </c>
      <c r="AL4827">
        <v>1</v>
      </c>
      <c r="AM4827">
        <v>97.95</v>
      </c>
      <c r="AN4827">
        <v>269.2611</v>
      </c>
      <c r="AO4827">
        <v>782.11</v>
      </c>
      <c r="AP4827" s="13">
        <v>45805</v>
      </c>
      <c r="AQ4827">
        <v>0</v>
      </c>
      <c r="AR4827">
        <v>1</v>
      </c>
    </row>
    <row r="4828" spans="1:44" x14ac:dyDescent="0.35">
      <c r="A4828" s="12" t="s">
        <v>5868</v>
      </c>
      <c r="B4828" s="12" t="s">
        <v>76</v>
      </c>
      <c r="C4828" s="12" t="s">
        <v>77</v>
      </c>
      <c r="D4828" s="12" t="s">
        <v>78</v>
      </c>
      <c r="E4828" s="12" t="s">
        <v>65</v>
      </c>
      <c r="F4828">
        <v>2</v>
      </c>
      <c r="G4828">
        <v>4</v>
      </c>
      <c r="H4828">
        <v>0</v>
      </c>
      <c r="I4828" s="12" t="s">
        <v>79</v>
      </c>
      <c r="J4828" s="12" t="s">
        <v>80</v>
      </c>
      <c r="K4828" s="12" t="s">
        <v>81</v>
      </c>
      <c r="L4828" s="12" t="s">
        <v>82</v>
      </c>
      <c r="M4828">
        <v>12.07</v>
      </c>
      <c r="N4828" s="12" t="s">
        <v>97</v>
      </c>
      <c r="O4828" s="12" t="s">
        <v>98</v>
      </c>
      <c r="P4828" s="12" t="s">
        <v>72</v>
      </c>
      <c r="Q4828" s="13">
        <v>45776</v>
      </c>
      <c r="R4828" s="13">
        <v>45814</v>
      </c>
      <c r="S4828">
        <v>2025</v>
      </c>
      <c r="T4828" s="12" t="s">
        <v>5660</v>
      </c>
      <c r="U4828">
        <v>299</v>
      </c>
      <c r="V4828">
        <v>44.0946</v>
      </c>
      <c r="W4828">
        <v>118.3</v>
      </c>
      <c r="X4828">
        <v>0</v>
      </c>
      <c r="Y4828">
        <v>0</v>
      </c>
      <c r="Z4828">
        <v>13184.29</v>
      </c>
      <c r="AA4828">
        <v>13302.59</v>
      </c>
      <c r="AB4828" s="12" t="s">
        <v>5427</v>
      </c>
      <c r="AC4828">
        <v>44.0946</v>
      </c>
      <c r="AD4828">
        <v>1</v>
      </c>
      <c r="AE4828">
        <v>1</v>
      </c>
      <c r="AF4828">
        <v>0</v>
      </c>
      <c r="AG4828">
        <v>13184.29</v>
      </c>
      <c r="AH4828">
        <v>299</v>
      </c>
      <c r="AI4828">
        <v>293</v>
      </c>
      <c r="AJ4828">
        <v>6</v>
      </c>
      <c r="AK4828">
        <v>1</v>
      </c>
      <c r="AL4828">
        <v>1</v>
      </c>
      <c r="AM4828">
        <v>97.99</v>
      </c>
      <c r="AN4828">
        <v>45.401299999999999</v>
      </c>
      <c r="AO4828">
        <v>264.57</v>
      </c>
      <c r="AP4828" s="13">
        <v>45814</v>
      </c>
      <c r="AQ4828">
        <v>0</v>
      </c>
      <c r="AR4828">
        <v>1</v>
      </c>
    </row>
    <row r="4829" spans="1:44" x14ac:dyDescent="0.35">
      <c r="A4829" s="12" t="s">
        <v>5869</v>
      </c>
      <c r="B4829" s="12" t="s">
        <v>408</v>
      </c>
      <c r="C4829" s="12" t="s">
        <v>409</v>
      </c>
      <c r="D4829" s="12" t="s">
        <v>130</v>
      </c>
      <c r="E4829" s="12" t="s">
        <v>65</v>
      </c>
      <c r="F4829">
        <v>3</v>
      </c>
      <c r="G4829">
        <v>5</v>
      </c>
      <c r="H4829">
        <v>0</v>
      </c>
      <c r="I4829" s="12" t="s">
        <v>105</v>
      </c>
      <c r="J4829" s="12" t="s">
        <v>106</v>
      </c>
      <c r="K4829" s="12" t="s">
        <v>81</v>
      </c>
      <c r="L4829" s="12" t="s">
        <v>96</v>
      </c>
      <c r="M4829">
        <v>5.01</v>
      </c>
      <c r="N4829" s="12" t="s">
        <v>135</v>
      </c>
      <c r="O4829" s="12" t="s">
        <v>136</v>
      </c>
      <c r="P4829" s="12" t="s">
        <v>137</v>
      </c>
      <c r="Q4829" s="13">
        <v>45776</v>
      </c>
      <c r="R4829" s="13">
        <v>45799</v>
      </c>
      <c r="S4829">
        <v>2025</v>
      </c>
      <c r="T4829" s="12" t="s">
        <v>5660</v>
      </c>
      <c r="U4829">
        <v>27</v>
      </c>
      <c r="V4829">
        <v>724.06979999999999</v>
      </c>
      <c r="W4829">
        <v>318.48</v>
      </c>
      <c r="X4829">
        <v>0</v>
      </c>
      <c r="Y4829">
        <v>0</v>
      </c>
      <c r="Z4829">
        <v>19549.88</v>
      </c>
      <c r="AA4829">
        <v>19868.36</v>
      </c>
      <c r="AB4829" s="12" t="s">
        <v>5490</v>
      </c>
      <c r="AC4829">
        <v>724.06979999999999</v>
      </c>
      <c r="AD4829">
        <v>1</v>
      </c>
      <c r="AE4829">
        <v>1</v>
      </c>
      <c r="AF4829">
        <v>0</v>
      </c>
      <c r="AG4829">
        <v>19549.88</v>
      </c>
      <c r="AH4829">
        <v>27</v>
      </c>
      <c r="AI4829">
        <v>27</v>
      </c>
      <c r="AJ4829">
        <v>0</v>
      </c>
      <c r="AK4829">
        <v>1</v>
      </c>
      <c r="AL4829">
        <v>1</v>
      </c>
      <c r="AM4829">
        <v>100</v>
      </c>
      <c r="AN4829">
        <v>735.86540000000002</v>
      </c>
      <c r="AO4829">
        <v>0</v>
      </c>
      <c r="AP4829" s="13">
        <v>45796</v>
      </c>
      <c r="AQ4829">
        <v>-3</v>
      </c>
      <c r="AR4829">
        <v>1</v>
      </c>
    </row>
    <row r="4830" spans="1:44" x14ac:dyDescent="0.35">
      <c r="A4830" s="12" t="s">
        <v>5870</v>
      </c>
      <c r="B4830" s="12" t="s">
        <v>1068</v>
      </c>
      <c r="C4830" s="12" t="s">
        <v>1069</v>
      </c>
      <c r="D4830" s="12" t="s">
        <v>122</v>
      </c>
      <c r="E4830" s="12" t="s">
        <v>65</v>
      </c>
      <c r="F4830">
        <v>2</v>
      </c>
      <c r="G4830">
        <v>2</v>
      </c>
      <c r="H4830">
        <v>0</v>
      </c>
      <c r="I4830" s="12" t="s">
        <v>195</v>
      </c>
      <c r="J4830" s="12" t="s">
        <v>196</v>
      </c>
      <c r="K4830" s="12" t="s">
        <v>117</v>
      </c>
      <c r="L4830" s="12" t="s">
        <v>134</v>
      </c>
      <c r="M4830">
        <v>4.7699999999999996</v>
      </c>
      <c r="N4830" s="12" t="s">
        <v>97</v>
      </c>
      <c r="O4830" s="12" t="s">
        <v>98</v>
      </c>
      <c r="P4830" s="12" t="s">
        <v>72</v>
      </c>
      <c r="Q4830" s="13">
        <v>45776</v>
      </c>
      <c r="R4830" s="13">
        <v>45806</v>
      </c>
      <c r="S4830">
        <v>2025</v>
      </c>
      <c r="T4830" s="12" t="s">
        <v>5660</v>
      </c>
      <c r="U4830">
        <v>1104</v>
      </c>
      <c r="V4830">
        <v>21.049399999999999</v>
      </c>
      <c r="W4830">
        <v>337.11</v>
      </c>
      <c r="X4830">
        <v>0</v>
      </c>
      <c r="Y4830">
        <v>0</v>
      </c>
      <c r="Z4830">
        <v>23238.54</v>
      </c>
      <c r="AA4830">
        <v>23575.65</v>
      </c>
      <c r="AB4830" s="12" t="s">
        <v>201</v>
      </c>
      <c r="AD4830">
        <v>0</v>
      </c>
      <c r="AE4830">
        <v>0</v>
      </c>
      <c r="AH4830">
        <v>1104</v>
      </c>
      <c r="AI4830">
        <v>1092</v>
      </c>
      <c r="AJ4830">
        <v>12</v>
      </c>
      <c r="AK4830">
        <v>1</v>
      </c>
      <c r="AL4830">
        <v>1</v>
      </c>
      <c r="AM4830">
        <v>98.91</v>
      </c>
      <c r="AN4830">
        <v>21.589400000000001</v>
      </c>
      <c r="AO4830">
        <v>252.59</v>
      </c>
      <c r="AP4830" s="13">
        <v>45803</v>
      </c>
      <c r="AQ4830">
        <v>-3</v>
      </c>
      <c r="AR4830">
        <v>1</v>
      </c>
    </row>
    <row r="4831" spans="1:44" x14ac:dyDescent="0.35">
      <c r="A4831" s="12" t="s">
        <v>5871</v>
      </c>
      <c r="B4831" s="12" t="s">
        <v>477</v>
      </c>
      <c r="C4831" s="12" t="s">
        <v>478</v>
      </c>
      <c r="D4831" s="12" t="s">
        <v>130</v>
      </c>
      <c r="E4831" s="12" t="s">
        <v>104</v>
      </c>
      <c r="F4831">
        <v>3</v>
      </c>
      <c r="G4831">
        <v>1</v>
      </c>
      <c r="H4831">
        <v>0</v>
      </c>
      <c r="I4831" s="12" t="s">
        <v>380</v>
      </c>
      <c r="J4831" s="12" t="s">
        <v>381</v>
      </c>
      <c r="K4831" s="12" t="s">
        <v>89</v>
      </c>
      <c r="L4831" s="12" t="s">
        <v>96</v>
      </c>
      <c r="M4831">
        <v>10.210000000000001</v>
      </c>
      <c r="N4831" s="12" t="s">
        <v>135</v>
      </c>
      <c r="O4831" s="12" t="s">
        <v>136</v>
      </c>
      <c r="P4831" s="12" t="s">
        <v>137</v>
      </c>
      <c r="Q4831" s="13">
        <v>45776</v>
      </c>
      <c r="R4831" s="13">
        <v>45799</v>
      </c>
      <c r="S4831">
        <v>2025</v>
      </c>
      <c r="T4831" s="12" t="s">
        <v>5660</v>
      </c>
      <c r="U4831">
        <v>102</v>
      </c>
      <c r="V4831">
        <v>656.68050000000005</v>
      </c>
      <c r="W4831">
        <v>774.59</v>
      </c>
      <c r="X4831">
        <v>0</v>
      </c>
      <c r="Y4831">
        <v>0</v>
      </c>
      <c r="Z4831">
        <v>66981.41</v>
      </c>
      <c r="AA4831">
        <v>67756</v>
      </c>
      <c r="AB4831" s="12" t="s">
        <v>5872</v>
      </c>
      <c r="AC4831">
        <v>656.68050000000005</v>
      </c>
      <c r="AD4831">
        <v>1</v>
      </c>
      <c r="AE4831">
        <v>1</v>
      </c>
      <c r="AF4831">
        <v>0</v>
      </c>
      <c r="AG4831">
        <v>66981.41</v>
      </c>
      <c r="AH4831">
        <v>102</v>
      </c>
      <c r="AI4831">
        <v>101</v>
      </c>
      <c r="AJ4831">
        <v>1</v>
      </c>
      <c r="AK4831">
        <v>1</v>
      </c>
      <c r="AL4831">
        <v>1</v>
      </c>
      <c r="AM4831">
        <v>99.02</v>
      </c>
      <c r="AN4831">
        <v>670.85149999999999</v>
      </c>
      <c r="AO4831">
        <v>656.68</v>
      </c>
      <c r="AP4831" s="13">
        <v>45798</v>
      </c>
      <c r="AQ4831">
        <v>-1</v>
      </c>
      <c r="AR4831">
        <v>1</v>
      </c>
    </row>
    <row r="4832" spans="1:44" x14ac:dyDescent="0.35">
      <c r="A4832" s="12" t="s">
        <v>5873</v>
      </c>
      <c r="B4832" s="12" t="s">
        <v>140</v>
      </c>
      <c r="C4832" s="12" t="s">
        <v>141</v>
      </c>
      <c r="D4832" s="12" t="s">
        <v>103</v>
      </c>
      <c r="E4832" s="12" t="s">
        <v>142</v>
      </c>
      <c r="F4832">
        <v>1</v>
      </c>
      <c r="G4832">
        <v>7</v>
      </c>
      <c r="H4832">
        <v>1</v>
      </c>
      <c r="I4832" s="12" t="s">
        <v>143</v>
      </c>
      <c r="J4832" s="12" t="s">
        <v>144</v>
      </c>
      <c r="K4832" s="12" t="s">
        <v>133</v>
      </c>
      <c r="L4832" s="12" t="s">
        <v>96</v>
      </c>
      <c r="M4832">
        <v>5.43</v>
      </c>
      <c r="N4832" s="12" t="s">
        <v>145</v>
      </c>
      <c r="O4832" s="12" t="s">
        <v>146</v>
      </c>
      <c r="P4832" s="12" t="s">
        <v>109</v>
      </c>
      <c r="Q4832" s="13">
        <v>45776</v>
      </c>
      <c r="R4832" s="13">
        <v>45821</v>
      </c>
      <c r="S4832">
        <v>2025</v>
      </c>
      <c r="T4832" s="12" t="s">
        <v>5660</v>
      </c>
      <c r="U4832">
        <v>91</v>
      </c>
      <c r="V4832">
        <v>210.93029999999999</v>
      </c>
      <c r="W4832">
        <v>463.17</v>
      </c>
      <c r="X4832">
        <v>0</v>
      </c>
      <c r="Y4832">
        <v>0</v>
      </c>
      <c r="Z4832">
        <v>19194.66</v>
      </c>
      <c r="AA4832">
        <v>19657.830000000002</v>
      </c>
      <c r="AB4832" s="12" t="s">
        <v>5126</v>
      </c>
      <c r="AC4832">
        <v>210.93029999999999</v>
      </c>
      <c r="AD4832">
        <v>1</v>
      </c>
      <c r="AE4832">
        <v>1</v>
      </c>
      <c r="AF4832">
        <v>0</v>
      </c>
      <c r="AG4832">
        <v>19194.66</v>
      </c>
      <c r="AH4832">
        <v>91</v>
      </c>
      <c r="AI4832">
        <v>90</v>
      </c>
      <c r="AJ4832">
        <v>1</v>
      </c>
      <c r="AK4832">
        <v>1</v>
      </c>
      <c r="AL4832">
        <v>1</v>
      </c>
      <c r="AM4832">
        <v>98.9</v>
      </c>
      <c r="AN4832">
        <v>218.4203</v>
      </c>
      <c r="AO4832">
        <v>210.93</v>
      </c>
      <c r="AP4832" s="13">
        <v>45821</v>
      </c>
      <c r="AQ4832">
        <v>0</v>
      </c>
      <c r="AR4832">
        <v>1</v>
      </c>
    </row>
    <row r="4833" spans="1:44" x14ac:dyDescent="0.35">
      <c r="A4833" s="12" t="s">
        <v>5874</v>
      </c>
      <c r="B4833" s="12" t="s">
        <v>740</v>
      </c>
      <c r="C4833" s="12" t="s">
        <v>741</v>
      </c>
      <c r="D4833" s="12" t="s">
        <v>64</v>
      </c>
      <c r="E4833" s="12" t="s">
        <v>104</v>
      </c>
      <c r="F4833">
        <v>2</v>
      </c>
      <c r="G4833">
        <v>0</v>
      </c>
      <c r="H4833">
        <v>0</v>
      </c>
      <c r="I4833" s="12" t="s">
        <v>183</v>
      </c>
      <c r="J4833" s="12" t="s">
        <v>184</v>
      </c>
      <c r="K4833" s="12" t="s">
        <v>133</v>
      </c>
      <c r="L4833" s="12" t="s">
        <v>82</v>
      </c>
      <c r="M4833">
        <v>8.6199999999999992</v>
      </c>
      <c r="N4833" s="12" t="s">
        <v>70</v>
      </c>
      <c r="O4833" s="12" t="s">
        <v>71</v>
      </c>
      <c r="P4833" s="12" t="s">
        <v>72</v>
      </c>
      <c r="Q4833" s="13">
        <v>45776</v>
      </c>
      <c r="R4833" s="13">
        <v>45798</v>
      </c>
      <c r="S4833">
        <v>2025</v>
      </c>
      <c r="T4833" s="12" t="s">
        <v>5660</v>
      </c>
      <c r="U4833">
        <v>619</v>
      </c>
      <c r="V4833">
        <v>41.1374</v>
      </c>
      <c r="W4833">
        <v>436.32</v>
      </c>
      <c r="X4833">
        <v>0</v>
      </c>
      <c r="Y4833">
        <v>0</v>
      </c>
      <c r="Z4833">
        <v>25464.05</v>
      </c>
      <c r="AA4833">
        <v>25900.37</v>
      </c>
      <c r="AB4833" s="12" t="s">
        <v>5789</v>
      </c>
      <c r="AC4833">
        <v>41.1374</v>
      </c>
      <c r="AD4833">
        <v>1</v>
      </c>
      <c r="AE4833">
        <v>1</v>
      </c>
      <c r="AF4833">
        <v>0</v>
      </c>
      <c r="AG4833">
        <v>25464.05</v>
      </c>
      <c r="AH4833">
        <v>619</v>
      </c>
      <c r="AI4833">
        <v>613</v>
      </c>
      <c r="AJ4833">
        <v>6</v>
      </c>
      <c r="AK4833">
        <v>1</v>
      </c>
      <c r="AL4833">
        <v>1</v>
      </c>
      <c r="AM4833">
        <v>99.03</v>
      </c>
      <c r="AN4833">
        <v>42.251800000000003</v>
      </c>
      <c r="AO4833">
        <v>246.82</v>
      </c>
      <c r="AP4833" s="13">
        <v>45803</v>
      </c>
      <c r="AQ4833">
        <v>5</v>
      </c>
      <c r="AR4833">
        <v>0</v>
      </c>
    </row>
    <row r="4834" spans="1:44" x14ac:dyDescent="0.35">
      <c r="A4834" s="12" t="s">
        <v>5875</v>
      </c>
      <c r="B4834" s="12" t="s">
        <v>640</v>
      </c>
      <c r="C4834" s="12" t="s">
        <v>641</v>
      </c>
      <c r="D4834" s="12" t="s">
        <v>130</v>
      </c>
      <c r="E4834" s="12" t="s">
        <v>104</v>
      </c>
      <c r="F4834">
        <v>3</v>
      </c>
      <c r="G4834">
        <v>0</v>
      </c>
      <c r="H4834">
        <v>0</v>
      </c>
      <c r="I4834" s="12" t="s">
        <v>209</v>
      </c>
      <c r="J4834" s="12" t="s">
        <v>210</v>
      </c>
      <c r="K4834" s="12" t="s">
        <v>133</v>
      </c>
      <c r="L4834" s="12" t="s">
        <v>96</v>
      </c>
      <c r="M4834">
        <v>7.82</v>
      </c>
      <c r="N4834" s="12" t="s">
        <v>135</v>
      </c>
      <c r="O4834" s="12" t="s">
        <v>136</v>
      </c>
      <c r="P4834" s="12" t="s">
        <v>137</v>
      </c>
      <c r="Q4834" s="13">
        <v>45776</v>
      </c>
      <c r="R4834" s="13">
        <v>45791</v>
      </c>
      <c r="S4834">
        <v>2025</v>
      </c>
      <c r="T4834" s="12" t="s">
        <v>5660</v>
      </c>
      <c r="U4834">
        <v>34</v>
      </c>
      <c r="V4834">
        <v>892.60410000000002</v>
      </c>
      <c r="W4834">
        <v>593.84</v>
      </c>
      <c r="X4834">
        <v>0</v>
      </c>
      <c r="Y4834">
        <v>0</v>
      </c>
      <c r="Z4834">
        <v>30348.54</v>
      </c>
      <c r="AA4834">
        <v>30942.38</v>
      </c>
      <c r="AB4834" s="12" t="s">
        <v>5727</v>
      </c>
      <c r="AC4834">
        <v>947.05309999999997</v>
      </c>
      <c r="AD4834">
        <v>1</v>
      </c>
      <c r="AE4834">
        <v>1</v>
      </c>
      <c r="AF4834">
        <v>-1851.27</v>
      </c>
      <c r="AG4834">
        <v>32199.81</v>
      </c>
      <c r="AH4834">
        <v>34</v>
      </c>
      <c r="AI4834">
        <v>34</v>
      </c>
      <c r="AJ4834">
        <v>0</v>
      </c>
      <c r="AK4834">
        <v>1</v>
      </c>
      <c r="AL4834">
        <v>1</v>
      </c>
      <c r="AM4834">
        <v>100</v>
      </c>
      <c r="AN4834">
        <v>910.07</v>
      </c>
      <c r="AO4834">
        <v>0</v>
      </c>
      <c r="AP4834" s="13">
        <v>45788</v>
      </c>
      <c r="AQ4834">
        <v>-3</v>
      </c>
      <c r="AR4834">
        <v>1</v>
      </c>
    </row>
    <row r="4835" spans="1:44" x14ac:dyDescent="0.35">
      <c r="A4835" s="12" t="s">
        <v>5876</v>
      </c>
      <c r="B4835" s="12" t="s">
        <v>85</v>
      </c>
      <c r="C4835" s="12" t="s">
        <v>86</v>
      </c>
      <c r="D4835" s="12" t="s">
        <v>78</v>
      </c>
      <c r="E4835" s="12" t="s">
        <v>65</v>
      </c>
      <c r="F4835">
        <v>3</v>
      </c>
      <c r="G4835">
        <v>5</v>
      </c>
      <c r="H4835">
        <v>0</v>
      </c>
      <c r="I4835" s="12" t="s">
        <v>87</v>
      </c>
      <c r="J4835" s="12" t="s">
        <v>88</v>
      </c>
      <c r="K4835" s="12" t="s">
        <v>89</v>
      </c>
      <c r="L4835" s="12" t="s">
        <v>69</v>
      </c>
      <c r="M4835">
        <v>14.93</v>
      </c>
      <c r="N4835" s="12" t="s">
        <v>97</v>
      </c>
      <c r="O4835" s="12" t="s">
        <v>98</v>
      </c>
      <c r="P4835" s="12" t="s">
        <v>72</v>
      </c>
      <c r="Q4835" s="13">
        <v>45776</v>
      </c>
      <c r="R4835" s="13">
        <v>45802</v>
      </c>
      <c r="S4835">
        <v>2025</v>
      </c>
      <c r="T4835" s="12" t="s">
        <v>5660</v>
      </c>
      <c r="U4835">
        <v>118</v>
      </c>
      <c r="V4835">
        <v>132.05160000000001</v>
      </c>
      <c r="W4835">
        <v>316.70999999999998</v>
      </c>
      <c r="X4835">
        <v>0</v>
      </c>
      <c r="Y4835">
        <v>0</v>
      </c>
      <c r="Z4835">
        <v>15582.09</v>
      </c>
      <c r="AA4835">
        <v>15898.8</v>
      </c>
      <c r="AB4835" s="12" t="s">
        <v>5445</v>
      </c>
      <c r="AC4835">
        <v>132.05160000000001</v>
      </c>
      <c r="AD4835">
        <v>1</v>
      </c>
      <c r="AE4835">
        <v>1</v>
      </c>
      <c r="AF4835">
        <v>0</v>
      </c>
      <c r="AG4835">
        <v>15582.09</v>
      </c>
      <c r="AH4835">
        <v>118</v>
      </c>
      <c r="AI4835">
        <v>116</v>
      </c>
      <c r="AJ4835">
        <v>2</v>
      </c>
      <c r="AK4835">
        <v>1</v>
      </c>
      <c r="AL4835">
        <v>1</v>
      </c>
      <c r="AM4835">
        <v>98.31</v>
      </c>
      <c r="AN4835">
        <v>137.05860000000001</v>
      </c>
      <c r="AO4835">
        <v>264.10000000000002</v>
      </c>
      <c r="AP4835" s="13">
        <v>45810</v>
      </c>
      <c r="AQ4835">
        <v>8</v>
      </c>
      <c r="AR4835">
        <v>0</v>
      </c>
    </row>
    <row r="4836" spans="1:44" x14ac:dyDescent="0.35">
      <c r="A4836" s="12" t="s">
        <v>5877</v>
      </c>
      <c r="B4836" s="12" t="s">
        <v>670</v>
      </c>
      <c r="C4836" s="12" t="s">
        <v>671</v>
      </c>
      <c r="D4836" s="12" t="s">
        <v>175</v>
      </c>
      <c r="E4836" s="12" t="s">
        <v>142</v>
      </c>
      <c r="F4836">
        <v>2</v>
      </c>
      <c r="G4836">
        <v>9</v>
      </c>
      <c r="H4836">
        <v>0</v>
      </c>
      <c r="I4836" s="12" t="s">
        <v>105</v>
      </c>
      <c r="J4836" s="12" t="s">
        <v>106</v>
      </c>
      <c r="K4836" s="12" t="s">
        <v>81</v>
      </c>
      <c r="L4836" s="12" t="s">
        <v>96</v>
      </c>
      <c r="M4836">
        <v>5.01</v>
      </c>
      <c r="N4836" s="12" t="s">
        <v>145</v>
      </c>
      <c r="O4836" s="12" t="s">
        <v>146</v>
      </c>
      <c r="P4836" s="12" t="s">
        <v>109</v>
      </c>
      <c r="Q4836" s="13">
        <v>45776</v>
      </c>
      <c r="R4836" s="13">
        <v>45821</v>
      </c>
      <c r="S4836">
        <v>2025</v>
      </c>
      <c r="T4836" s="12" t="s">
        <v>5660</v>
      </c>
      <c r="U4836">
        <v>95</v>
      </c>
      <c r="V4836">
        <v>166.6318</v>
      </c>
      <c r="W4836">
        <v>411.02</v>
      </c>
      <c r="X4836">
        <v>0</v>
      </c>
      <c r="Y4836">
        <v>0</v>
      </c>
      <c r="Z4836">
        <v>15830.02</v>
      </c>
      <c r="AA4836">
        <v>16241.04</v>
      </c>
      <c r="AB4836" s="12" t="s">
        <v>201</v>
      </c>
      <c r="AD4836">
        <v>0</v>
      </c>
      <c r="AE4836">
        <v>0</v>
      </c>
      <c r="AH4836">
        <v>95</v>
      </c>
      <c r="AI4836">
        <v>94</v>
      </c>
      <c r="AJ4836">
        <v>1</v>
      </c>
      <c r="AK4836">
        <v>1</v>
      </c>
      <c r="AL4836">
        <v>1</v>
      </c>
      <c r="AM4836">
        <v>98.95</v>
      </c>
      <c r="AN4836">
        <v>172.77699999999999</v>
      </c>
      <c r="AO4836">
        <v>166.63</v>
      </c>
      <c r="AP4836" s="13">
        <v>45823</v>
      </c>
      <c r="AQ4836">
        <v>2</v>
      </c>
      <c r="AR4836">
        <v>0</v>
      </c>
    </row>
    <row r="4837" spans="1:44" x14ac:dyDescent="0.35">
      <c r="A4837" s="12" t="s">
        <v>5878</v>
      </c>
      <c r="B4837" s="12" t="s">
        <v>347</v>
      </c>
      <c r="C4837" s="12" t="s">
        <v>348</v>
      </c>
      <c r="D4837" s="12" t="s">
        <v>78</v>
      </c>
      <c r="E4837" s="12" t="s">
        <v>104</v>
      </c>
      <c r="F4837">
        <v>3</v>
      </c>
      <c r="G4837">
        <v>1</v>
      </c>
      <c r="H4837">
        <v>0</v>
      </c>
      <c r="I4837" s="12" t="s">
        <v>105</v>
      </c>
      <c r="J4837" s="12" t="s">
        <v>106</v>
      </c>
      <c r="K4837" s="12" t="s">
        <v>81</v>
      </c>
      <c r="L4837" s="12" t="s">
        <v>96</v>
      </c>
      <c r="M4837">
        <v>5.01</v>
      </c>
      <c r="N4837" s="12" t="s">
        <v>97</v>
      </c>
      <c r="O4837" s="12" t="s">
        <v>98</v>
      </c>
      <c r="P4837" s="12" t="s">
        <v>72</v>
      </c>
      <c r="Q4837" s="13">
        <v>45777</v>
      </c>
      <c r="R4837" s="13">
        <v>45790</v>
      </c>
      <c r="S4837">
        <v>2025</v>
      </c>
      <c r="T4837" s="12" t="s">
        <v>5660</v>
      </c>
      <c r="U4837">
        <v>67</v>
      </c>
      <c r="V4837">
        <v>117.2354</v>
      </c>
      <c r="W4837">
        <v>173.03</v>
      </c>
      <c r="X4837">
        <v>0</v>
      </c>
      <c r="Y4837">
        <v>0</v>
      </c>
      <c r="Z4837">
        <v>7854.77</v>
      </c>
      <c r="AA4837">
        <v>8027.8</v>
      </c>
      <c r="AB4837" s="12" t="s">
        <v>201</v>
      </c>
      <c r="AD4837">
        <v>0</v>
      </c>
      <c r="AE4837">
        <v>0</v>
      </c>
      <c r="AH4837">
        <v>67</v>
      </c>
      <c r="AI4837">
        <v>66</v>
      </c>
      <c r="AJ4837">
        <v>1</v>
      </c>
      <c r="AK4837">
        <v>1</v>
      </c>
      <c r="AL4837">
        <v>1</v>
      </c>
      <c r="AM4837">
        <v>98.51</v>
      </c>
      <c r="AN4837">
        <v>121.63339999999999</v>
      </c>
      <c r="AO4837">
        <v>117.24</v>
      </c>
      <c r="AP4837" s="13">
        <v>45790</v>
      </c>
      <c r="AQ4837">
        <v>0</v>
      </c>
      <c r="AR4837">
        <v>1</v>
      </c>
    </row>
    <row r="4838" spans="1:44" x14ac:dyDescent="0.35">
      <c r="A4838" s="12" t="s">
        <v>5879</v>
      </c>
      <c r="B4838" s="12" t="s">
        <v>241</v>
      </c>
      <c r="C4838" s="12" t="s">
        <v>242</v>
      </c>
      <c r="D4838" s="12" t="s">
        <v>103</v>
      </c>
      <c r="E4838" s="12" t="s">
        <v>142</v>
      </c>
      <c r="F4838">
        <v>3</v>
      </c>
      <c r="G4838">
        <v>11</v>
      </c>
      <c r="H4838">
        <v>0</v>
      </c>
      <c r="I4838" s="12" t="s">
        <v>243</v>
      </c>
      <c r="J4838" s="12" t="s">
        <v>244</v>
      </c>
      <c r="K4838" s="12" t="s">
        <v>81</v>
      </c>
      <c r="L4838" s="12" t="s">
        <v>82</v>
      </c>
      <c r="M4838">
        <v>9.2200000000000006</v>
      </c>
      <c r="N4838" s="12" t="s">
        <v>145</v>
      </c>
      <c r="O4838" s="12" t="s">
        <v>146</v>
      </c>
      <c r="P4838" s="12" t="s">
        <v>109</v>
      </c>
      <c r="Q4838" s="13">
        <v>45777</v>
      </c>
      <c r="R4838" s="13">
        <v>45821</v>
      </c>
      <c r="S4838">
        <v>2025</v>
      </c>
      <c r="T4838" s="12" t="s">
        <v>5660</v>
      </c>
      <c r="U4838">
        <v>83</v>
      </c>
      <c r="V4838">
        <v>174.65219999999999</v>
      </c>
      <c r="W4838">
        <v>158.76</v>
      </c>
      <c r="X4838">
        <v>0</v>
      </c>
      <c r="Y4838">
        <v>0</v>
      </c>
      <c r="Z4838">
        <v>14496.13</v>
      </c>
      <c r="AA4838">
        <v>14654.89</v>
      </c>
      <c r="AB4838" s="12" t="s">
        <v>201</v>
      </c>
      <c r="AD4838">
        <v>0</v>
      </c>
      <c r="AE4838">
        <v>0</v>
      </c>
      <c r="AH4838">
        <v>83</v>
      </c>
      <c r="AI4838">
        <v>82</v>
      </c>
      <c r="AJ4838">
        <v>1</v>
      </c>
      <c r="AK4838">
        <v>1</v>
      </c>
      <c r="AL4838">
        <v>1</v>
      </c>
      <c r="AM4838">
        <v>98.8</v>
      </c>
      <c r="AN4838">
        <v>178.7182</v>
      </c>
      <c r="AO4838">
        <v>174.65</v>
      </c>
      <c r="AP4838" s="13">
        <v>45818</v>
      </c>
      <c r="AQ4838">
        <v>-3</v>
      </c>
      <c r="AR4838">
        <v>1</v>
      </c>
    </row>
    <row r="4839" spans="1:44" x14ac:dyDescent="0.35">
      <c r="A4839" s="12" t="s">
        <v>5880</v>
      </c>
      <c r="B4839" s="12" t="s">
        <v>339</v>
      </c>
      <c r="C4839" s="12" t="s">
        <v>340</v>
      </c>
      <c r="D4839" s="12" t="s">
        <v>103</v>
      </c>
      <c r="E4839" s="12" t="s">
        <v>142</v>
      </c>
      <c r="F4839">
        <v>2</v>
      </c>
      <c r="G4839">
        <v>9</v>
      </c>
      <c r="H4839">
        <v>0</v>
      </c>
      <c r="I4839" s="12" t="s">
        <v>341</v>
      </c>
      <c r="J4839" s="12" t="s">
        <v>342</v>
      </c>
      <c r="K4839" s="12" t="s">
        <v>117</v>
      </c>
      <c r="L4839" s="12" t="s">
        <v>82</v>
      </c>
      <c r="M4839">
        <v>18.36</v>
      </c>
      <c r="N4839" s="12" t="s">
        <v>145</v>
      </c>
      <c r="O4839" s="12" t="s">
        <v>146</v>
      </c>
      <c r="P4839" s="12" t="s">
        <v>109</v>
      </c>
      <c r="Q4839" s="13">
        <v>45777</v>
      </c>
      <c r="R4839" s="13">
        <v>45817</v>
      </c>
      <c r="S4839">
        <v>2025</v>
      </c>
      <c r="T4839" s="12" t="s">
        <v>5660</v>
      </c>
      <c r="U4839">
        <v>56</v>
      </c>
      <c r="V4839">
        <v>236.22890000000001</v>
      </c>
      <c r="W4839">
        <v>119.92</v>
      </c>
      <c r="X4839">
        <v>0</v>
      </c>
      <c r="Y4839">
        <v>0</v>
      </c>
      <c r="Z4839">
        <v>13228.82</v>
      </c>
      <c r="AA4839">
        <v>13348.74</v>
      </c>
      <c r="AB4839" s="12" t="s">
        <v>5881</v>
      </c>
      <c r="AC4839">
        <v>236.22890000000001</v>
      </c>
      <c r="AD4839">
        <v>1</v>
      </c>
      <c r="AE4839">
        <v>1</v>
      </c>
      <c r="AF4839">
        <v>0</v>
      </c>
      <c r="AG4839">
        <v>13228.82</v>
      </c>
      <c r="AH4839">
        <v>56</v>
      </c>
      <c r="AI4839">
        <v>55</v>
      </c>
      <c r="AJ4839">
        <v>1</v>
      </c>
      <c r="AK4839">
        <v>1</v>
      </c>
      <c r="AL4839">
        <v>1</v>
      </c>
      <c r="AM4839">
        <v>98.21</v>
      </c>
      <c r="AN4839">
        <v>242.70429999999999</v>
      </c>
      <c r="AO4839">
        <v>236.23</v>
      </c>
      <c r="AP4839" s="13">
        <v>45820</v>
      </c>
      <c r="AQ4839">
        <v>3</v>
      </c>
      <c r="AR4839">
        <v>0</v>
      </c>
    </row>
    <row r="4840" spans="1:44" x14ac:dyDescent="0.35">
      <c r="A4840" s="12" t="s">
        <v>5882</v>
      </c>
      <c r="B4840" s="12" t="s">
        <v>823</v>
      </c>
      <c r="C4840" s="12" t="s">
        <v>824</v>
      </c>
      <c r="D4840" s="12" t="s">
        <v>114</v>
      </c>
      <c r="E4840" s="12" t="s">
        <v>142</v>
      </c>
      <c r="F4840">
        <v>1</v>
      </c>
      <c r="G4840">
        <v>8</v>
      </c>
      <c r="H4840">
        <v>1</v>
      </c>
      <c r="I4840" s="12" t="s">
        <v>515</v>
      </c>
      <c r="J4840" s="12" t="s">
        <v>516</v>
      </c>
      <c r="K4840" s="12" t="s">
        <v>68</v>
      </c>
      <c r="L4840" s="12" t="s">
        <v>134</v>
      </c>
      <c r="M4840">
        <v>3.69</v>
      </c>
      <c r="N4840" s="12" t="s">
        <v>70</v>
      </c>
      <c r="O4840" s="12" t="s">
        <v>71</v>
      </c>
      <c r="P4840" s="12" t="s">
        <v>72</v>
      </c>
      <c r="Q4840" s="13">
        <v>45777</v>
      </c>
      <c r="R4840" s="13">
        <v>45818</v>
      </c>
      <c r="S4840">
        <v>2025</v>
      </c>
      <c r="T4840" s="12" t="s">
        <v>5660</v>
      </c>
      <c r="U4840">
        <v>60</v>
      </c>
      <c r="V4840">
        <v>361.69060000000002</v>
      </c>
      <c r="W4840">
        <v>156.16</v>
      </c>
      <c r="X4840">
        <v>0</v>
      </c>
      <c r="Y4840">
        <v>0</v>
      </c>
      <c r="Z4840">
        <v>21701.439999999999</v>
      </c>
      <c r="AA4840">
        <v>21857.599999999999</v>
      </c>
      <c r="AB4840" s="12" t="s">
        <v>5883</v>
      </c>
      <c r="AC4840">
        <v>361.69060000000002</v>
      </c>
      <c r="AD4840">
        <v>1</v>
      </c>
      <c r="AE4840">
        <v>1</v>
      </c>
      <c r="AF4840">
        <v>0</v>
      </c>
      <c r="AG4840">
        <v>21701.439999999999</v>
      </c>
      <c r="AH4840">
        <v>60</v>
      </c>
      <c r="AI4840">
        <v>59</v>
      </c>
      <c r="AJ4840">
        <v>1</v>
      </c>
      <c r="AK4840">
        <v>1</v>
      </c>
      <c r="AL4840">
        <v>1</v>
      </c>
      <c r="AM4840">
        <v>98.33</v>
      </c>
      <c r="AN4840">
        <v>370.46769999999998</v>
      </c>
      <c r="AO4840">
        <v>361.69</v>
      </c>
      <c r="AP4840" s="13">
        <v>45825</v>
      </c>
      <c r="AQ4840">
        <v>7</v>
      </c>
      <c r="AR4840">
        <v>0</v>
      </c>
    </row>
    <row r="4841" spans="1:44" x14ac:dyDescent="0.35">
      <c r="A4841" s="12" t="s">
        <v>5884</v>
      </c>
      <c r="B4841" s="12" t="s">
        <v>293</v>
      </c>
      <c r="C4841" s="12" t="s">
        <v>294</v>
      </c>
      <c r="D4841" s="12" t="s">
        <v>114</v>
      </c>
      <c r="E4841" s="12" t="s">
        <v>142</v>
      </c>
      <c r="F4841">
        <v>1</v>
      </c>
      <c r="G4841">
        <v>6</v>
      </c>
      <c r="H4841">
        <v>1</v>
      </c>
      <c r="I4841" s="12" t="s">
        <v>195</v>
      </c>
      <c r="J4841" s="12" t="s">
        <v>196</v>
      </c>
      <c r="K4841" s="12" t="s">
        <v>117</v>
      </c>
      <c r="L4841" s="12" t="s">
        <v>134</v>
      </c>
      <c r="M4841">
        <v>4.7699999999999996</v>
      </c>
      <c r="N4841" s="12" t="s">
        <v>70</v>
      </c>
      <c r="O4841" s="12" t="s">
        <v>71</v>
      </c>
      <c r="P4841" s="12" t="s">
        <v>72</v>
      </c>
      <c r="Q4841" s="13">
        <v>45777</v>
      </c>
      <c r="R4841" s="13">
        <v>45822</v>
      </c>
      <c r="S4841">
        <v>2025</v>
      </c>
      <c r="T4841" s="12" t="s">
        <v>5660</v>
      </c>
      <c r="U4841">
        <v>92</v>
      </c>
      <c r="V4841">
        <v>199.8203</v>
      </c>
      <c r="W4841">
        <v>182.13</v>
      </c>
      <c r="X4841">
        <v>0</v>
      </c>
      <c r="Y4841">
        <v>0</v>
      </c>
      <c r="Z4841">
        <v>18383.47</v>
      </c>
      <c r="AA4841">
        <v>18565.599999999999</v>
      </c>
      <c r="AB4841" s="12" t="s">
        <v>5190</v>
      </c>
      <c r="AC4841">
        <v>199.8203</v>
      </c>
      <c r="AD4841">
        <v>1</v>
      </c>
      <c r="AE4841">
        <v>1</v>
      </c>
      <c r="AF4841">
        <v>0</v>
      </c>
      <c r="AG4841">
        <v>18383.47</v>
      </c>
      <c r="AH4841">
        <v>92</v>
      </c>
      <c r="AI4841">
        <v>90</v>
      </c>
      <c r="AJ4841">
        <v>2</v>
      </c>
      <c r="AK4841">
        <v>1</v>
      </c>
      <c r="AL4841">
        <v>1</v>
      </c>
      <c r="AM4841">
        <v>97.83</v>
      </c>
      <c r="AN4841">
        <v>206.28440000000001</v>
      </c>
      <c r="AO4841">
        <v>399.64</v>
      </c>
      <c r="AP4841" s="13">
        <v>45819</v>
      </c>
      <c r="AQ4841">
        <v>-3</v>
      </c>
      <c r="AR4841">
        <v>1</v>
      </c>
    </row>
    <row r="4842" spans="1:44" x14ac:dyDescent="0.35">
      <c r="A4842" s="12" t="s">
        <v>5885</v>
      </c>
      <c r="B4842" s="12" t="s">
        <v>802</v>
      </c>
      <c r="C4842" s="12" t="s">
        <v>803</v>
      </c>
      <c r="D4842" s="12" t="s">
        <v>114</v>
      </c>
      <c r="E4842" s="12" t="s">
        <v>65</v>
      </c>
      <c r="F4842">
        <v>3</v>
      </c>
      <c r="G4842">
        <v>5</v>
      </c>
      <c r="H4842">
        <v>0</v>
      </c>
      <c r="I4842" s="12" t="s">
        <v>804</v>
      </c>
      <c r="J4842" s="12" t="s">
        <v>342</v>
      </c>
      <c r="K4842" s="12" t="s">
        <v>117</v>
      </c>
      <c r="L4842" s="12" t="s">
        <v>69</v>
      </c>
      <c r="M4842">
        <v>30.07</v>
      </c>
      <c r="N4842" s="12" t="s">
        <v>97</v>
      </c>
      <c r="O4842" s="12" t="s">
        <v>98</v>
      </c>
      <c r="P4842" s="12" t="s">
        <v>72</v>
      </c>
      <c r="Q4842" s="13">
        <v>45778</v>
      </c>
      <c r="R4842" s="13">
        <v>45815</v>
      </c>
      <c r="S4842">
        <v>2025</v>
      </c>
      <c r="T4842" s="12" t="s">
        <v>5886</v>
      </c>
      <c r="U4842">
        <v>136</v>
      </c>
      <c r="V4842">
        <v>381.37</v>
      </c>
      <c r="W4842">
        <v>789.21</v>
      </c>
      <c r="X4842">
        <v>0</v>
      </c>
      <c r="Y4842">
        <v>0</v>
      </c>
      <c r="Z4842">
        <v>51866.32</v>
      </c>
      <c r="AA4842">
        <v>52655.53</v>
      </c>
      <c r="AB4842" s="12" t="s">
        <v>201</v>
      </c>
      <c r="AD4842">
        <v>0</v>
      </c>
      <c r="AE4842">
        <v>0</v>
      </c>
      <c r="AH4842">
        <v>136</v>
      </c>
      <c r="AI4842">
        <v>133</v>
      </c>
      <c r="AJ4842">
        <v>3</v>
      </c>
      <c r="AK4842">
        <v>1</v>
      </c>
      <c r="AL4842">
        <v>1</v>
      </c>
      <c r="AM4842">
        <v>97.79</v>
      </c>
      <c r="AN4842">
        <v>395.90620000000001</v>
      </c>
      <c r="AO4842">
        <v>1144.1099999999999</v>
      </c>
      <c r="AP4842" s="13">
        <v>45814</v>
      </c>
      <c r="AQ4842">
        <v>-1</v>
      </c>
      <c r="AR4842">
        <v>1</v>
      </c>
    </row>
    <row r="4843" spans="1:44" x14ac:dyDescent="0.35">
      <c r="A4843" s="12" t="s">
        <v>5887</v>
      </c>
      <c r="B4843" s="12" t="s">
        <v>706</v>
      </c>
      <c r="C4843" s="12" t="s">
        <v>707</v>
      </c>
      <c r="D4843" s="12" t="s">
        <v>130</v>
      </c>
      <c r="E4843" s="12" t="s">
        <v>142</v>
      </c>
      <c r="F4843">
        <v>1</v>
      </c>
      <c r="G4843">
        <v>8</v>
      </c>
      <c r="H4843">
        <v>1</v>
      </c>
      <c r="I4843" s="12" t="s">
        <v>263</v>
      </c>
      <c r="J4843" s="12" t="s">
        <v>264</v>
      </c>
      <c r="K4843" s="12" t="s">
        <v>125</v>
      </c>
      <c r="L4843" s="12" t="s">
        <v>82</v>
      </c>
      <c r="M4843">
        <v>10.210000000000001</v>
      </c>
      <c r="N4843" s="12" t="s">
        <v>135</v>
      </c>
      <c r="O4843" s="12" t="s">
        <v>136</v>
      </c>
      <c r="P4843" s="12" t="s">
        <v>137</v>
      </c>
      <c r="Q4843" s="13">
        <v>45778</v>
      </c>
      <c r="R4843" s="13">
        <v>45819</v>
      </c>
      <c r="S4843">
        <v>2025</v>
      </c>
      <c r="T4843" s="12" t="s">
        <v>5886</v>
      </c>
      <c r="U4843">
        <v>62</v>
      </c>
      <c r="V4843">
        <v>276.71809999999999</v>
      </c>
      <c r="W4843">
        <v>329.11</v>
      </c>
      <c r="X4843">
        <v>0</v>
      </c>
      <c r="Y4843">
        <v>0</v>
      </c>
      <c r="Z4843">
        <v>17156.52</v>
      </c>
      <c r="AA4843">
        <v>17485.63</v>
      </c>
      <c r="AB4843" s="12" t="s">
        <v>5735</v>
      </c>
      <c r="AC4843">
        <v>276.71809999999999</v>
      </c>
      <c r="AD4843">
        <v>1</v>
      </c>
      <c r="AE4843">
        <v>1</v>
      </c>
      <c r="AF4843">
        <v>0</v>
      </c>
      <c r="AG4843">
        <v>17156.52</v>
      </c>
      <c r="AH4843">
        <v>62</v>
      </c>
      <c r="AI4843">
        <v>62</v>
      </c>
      <c r="AJ4843">
        <v>0</v>
      </c>
      <c r="AK4843">
        <v>1</v>
      </c>
      <c r="AL4843">
        <v>1</v>
      </c>
      <c r="AM4843">
        <v>100</v>
      </c>
      <c r="AN4843">
        <v>282.02629999999999</v>
      </c>
      <c r="AO4843">
        <v>0</v>
      </c>
      <c r="AP4843" s="13">
        <v>45821</v>
      </c>
      <c r="AQ4843">
        <v>2</v>
      </c>
      <c r="AR4843">
        <v>0</v>
      </c>
    </row>
    <row r="4844" spans="1:44" x14ac:dyDescent="0.35">
      <c r="A4844" s="12" t="s">
        <v>5888</v>
      </c>
      <c r="B4844" s="12" t="s">
        <v>503</v>
      </c>
      <c r="C4844" s="12" t="s">
        <v>504</v>
      </c>
      <c r="D4844" s="12" t="s">
        <v>103</v>
      </c>
      <c r="E4844" s="12" t="s">
        <v>104</v>
      </c>
      <c r="F4844">
        <v>3</v>
      </c>
      <c r="G4844">
        <v>1</v>
      </c>
      <c r="H4844">
        <v>0</v>
      </c>
      <c r="I4844" s="12" t="s">
        <v>209</v>
      </c>
      <c r="J4844" s="12" t="s">
        <v>210</v>
      </c>
      <c r="K4844" s="12" t="s">
        <v>133</v>
      </c>
      <c r="L4844" s="12" t="s">
        <v>96</v>
      </c>
      <c r="M4844">
        <v>7.82</v>
      </c>
      <c r="N4844" s="12" t="s">
        <v>107</v>
      </c>
      <c r="O4844" s="12" t="s">
        <v>108</v>
      </c>
      <c r="P4844" s="12" t="s">
        <v>109</v>
      </c>
      <c r="Q4844" s="13">
        <v>45778</v>
      </c>
      <c r="R4844" s="13">
        <v>45802</v>
      </c>
      <c r="S4844">
        <v>2025</v>
      </c>
      <c r="T4844" s="12" t="s">
        <v>5886</v>
      </c>
      <c r="U4844">
        <v>106</v>
      </c>
      <c r="V4844">
        <v>166.4562</v>
      </c>
      <c r="W4844">
        <v>155.46</v>
      </c>
      <c r="X4844">
        <v>571</v>
      </c>
      <c r="Y4844">
        <v>1</v>
      </c>
      <c r="Z4844">
        <v>17644.36</v>
      </c>
      <c r="AA4844">
        <v>18370.82</v>
      </c>
      <c r="AB4844" s="12" t="s">
        <v>201</v>
      </c>
      <c r="AD4844">
        <v>0</v>
      </c>
      <c r="AE4844">
        <v>0</v>
      </c>
      <c r="AH4844">
        <v>106</v>
      </c>
      <c r="AI4844">
        <v>104</v>
      </c>
      <c r="AJ4844">
        <v>2</v>
      </c>
      <c r="AK4844">
        <v>1</v>
      </c>
      <c r="AL4844">
        <v>1</v>
      </c>
      <c r="AM4844">
        <v>98.11</v>
      </c>
      <c r="AN4844">
        <v>176.64250000000001</v>
      </c>
      <c r="AO4844">
        <v>332.91</v>
      </c>
      <c r="AP4844" s="13">
        <v>45801</v>
      </c>
      <c r="AQ4844">
        <v>-1</v>
      </c>
      <c r="AR4844">
        <v>1</v>
      </c>
    </row>
    <row r="4845" spans="1:44" x14ac:dyDescent="0.35">
      <c r="A4845" s="12" t="s">
        <v>5889</v>
      </c>
      <c r="B4845" s="12" t="s">
        <v>513</v>
      </c>
      <c r="C4845" s="12" t="s">
        <v>514</v>
      </c>
      <c r="D4845" s="12" t="s">
        <v>269</v>
      </c>
      <c r="E4845" s="12" t="s">
        <v>65</v>
      </c>
      <c r="F4845">
        <v>1</v>
      </c>
      <c r="G4845">
        <v>2</v>
      </c>
      <c r="H4845">
        <v>1</v>
      </c>
      <c r="I4845" s="12" t="s">
        <v>515</v>
      </c>
      <c r="J4845" s="12" t="s">
        <v>516</v>
      </c>
      <c r="K4845" s="12" t="s">
        <v>68</v>
      </c>
      <c r="L4845" s="12" t="s">
        <v>134</v>
      </c>
      <c r="M4845">
        <v>3.69</v>
      </c>
      <c r="N4845" s="12" t="s">
        <v>159</v>
      </c>
      <c r="O4845" s="12" t="s">
        <v>160</v>
      </c>
      <c r="P4845" s="12" t="s">
        <v>137</v>
      </c>
      <c r="Q4845" s="13">
        <v>45778</v>
      </c>
      <c r="R4845" s="13">
        <v>45803</v>
      </c>
      <c r="S4845">
        <v>2025</v>
      </c>
      <c r="T4845" s="12" t="s">
        <v>5886</v>
      </c>
      <c r="U4845">
        <v>41</v>
      </c>
      <c r="V4845">
        <v>213.04040000000001</v>
      </c>
      <c r="W4845">
        <v>93.54</v>
      </c>
      <c r="X4845">
        <v>0</v>
      </c>
      <c r="Y4845">
        <v>0</v>
      </c>
      <c r="Z4845">
        <v>8734.66</v>
      </c>
      <c r="AA4845">
        <v>8828.2000000000007</v>
      </c>
      <c r="AB4845" s="12" t="s">
        <v>201</v>
      </c>
      <c r="AD4845">
        <v>0</v>
      </c>
      <c r="AE4845">
        <v>0</v>
      </c>
      <c r="AH4845">
        <v>41</v>
      </c>
      <c r="AI4845">
        <v>40</v>
      </c>
      <c r="AJ4845">
        <v>1</v>
      </c>
      <c r="AK4845">
        <v>1</v>
      </c>
      <c r="AL4845">
        <v>1</v>
      </c>
      <c r="AM4845">
        <v>97.56</v>
      </c>
      <c r="AN4845">
        <v>220.70490000000001</v>
      </c>
      <c r="AO4845">
        <v>213.04</v>
      </c>
      <c r="AP4845" s="13">
        <v>45799</v>
      </c>
      <c r="AQ4845">
        <v>-4</v>
      </c>
      <c r="AR4845">
        <v>1</v>
      </c>
    </row>
    <row r="4846" spans="1:44" x14ac:dyDescent="0.35">
      <c r="A4846" s="12" t="s">
        <v>5890</v>
      </c>
      <c r="B4846" s="12" t="s">
        <v>167</v>
      </c>
      <c r="C4846" s="12" t="s">
        <v>168</v>
      </c>
      <c r="D4846" s="12" t="s">
        <v>64</v>
      </c>
      <c r="E4846" s="12" t="s">
        <v>104</v>
      </c>
      <c r="F4846">
        <v>3</v>
      </c>
      <c r="G4846">
        <v>1</v>
      </c>
      <c r="H4846">
        <v>0</v>
      </c>
      <c r="I4846" s="12" t="s">
        <v>169</v>
      </c>
      <c r="J4846" s="12" t="s">
        <v>170</v>
      </c>
      <c r="K4846" s="12" t="s">
        <v>89</v>
      </c>
      <c r="L4846" s="12" t="s">
        <v>134</v>
      </c>
      <c r="M4846">
        <v>1.37</v>
      </c>
      <c r="N4846" s="12" t="s">
        <v>70</v>
      </c>
      <c r="O4846" s="12" t="s">
        <v>71</v>
      </c>
      <c r="P4846" s="12" t="s">
        <v>72</v>
      </c>
      <c r="Q4846" s="13">
        <v>45778</v>
      </c>
      <c r="R4846" s="13">
        <v>45794</v>
      </c>
      <c r="S4846">
        <v>2025</v>
      </c>
      <c r="T4846" s="12" t="s">
        <v>5886</v>
      </c>
      <c r="U4846">
        <v>346</v>
      </c>
      <c r="V4846">
        <v>24.557099999999998</v>
      </c>
      <c r="W4846">
        <v>161.32</v>
      </c>
      <c r="X4846">
        <v>286.72000000000003</v>
      </c>
      <c r="Y4846">
        <v>1</v>
      </c>
      <c r="Z4846">
        <v>8496.76</v>
      </c>
      <c r="AA4846">
        <v>8944.7999999999993</v>
      </c>
      <c r="AB4846" s="12" t="s">
        <v>5232</v>
      </c>
      <c r="AC4846">
        <v>24.557099999999998</v>
      </c>
      <c r="AD4846">
        <v>1</v>
      </c>
      <c r="AE4846">
        <v>1</v>
      </c>
      <c r="AF4846">
        <v>0</v>
      </c>
      <c r="AG4846">
        <v>8496.76</v>
      </c>
      <c r="AH4846">
        <v>346</v>
      </c>
      <c r="AI4846">
        <v>341</v>
      </c>
      <c r="AJ4846">
        <v>5</v>
      </c>
      <c r="AK4846">
        <v>1</v>
      </c>
      <c r="AL4846">
        <v>1</v>
      </c>
      <c r="AM4846">
        <v>98.55</v>
      </c>
      <c r="AN4846">
        <v>26.231100000000001</v>
      </c>
      <c r="AO4846">
        <v>122.79</v>
      </c>
      <c r="AP4846" s="13">
        <v>45794</v>
      </c>
      <c r="AQ4846">
        <v>0</v>
      </c>
      <c r="AR4846">
        <v>1</v>
      </c>
    </row>
    <row r="4847" spans="1:44" x14ac:dyDescent="0.35">
      <c r="A4847" s="12" t="s">
        <v>5891</v>
      </c>
      <c r="B4847" s="12" t="s">
        <v>451</v>
      </c>
      <c r="C4847" s="12" t="s">
        <v>452</v>
      </c>
      <c r="D4847" s="12" t="s">
        <v>175</v>
      </c>
      <c r="E4847" s="12" t="s">
        <v>104</v>
      </c>
      <c r="F4847">
        <v>3</v>
      </c>
      <c r="G4847">
        <v>1</v>
      </c>
      <c r="H4847">
        <v>0</v>
      </c>
      <c r="I4847" s="12" t="s">
        <v>176</v>
      </c>
      <c r="J4847" s="12" t="s">
        <v>177</v>
      </c>
      <c r="K4847" s="12" t="s">
        <v>125</v>
      </c>
      <c r="L4847" s="12" t="s">
        <v>134</v>
      </c>
      <c r="M4847">
        <v>1.75</v>
      </c>
      <c r="N4847" s="12" t="s">
        <v>145</v>
      </c>
      <c r="O4847" s="12" t="s">
        <v>146</v>
      </c>
      <c r="P4847" s="12" t="s">
        <v>109</v>
      </c>
      <c r="Q4847" s="13">
        <v>45778</v>
      </c>
      <c r="R4847" s="13">
        <v>45794</v>
      </c>
      <c r="S4847">
        <v>2025</v>
      </c>
      <c r="T4847" s="12" t="s">
        <v>5886</v>
      </c>
      <c r="U4847">
        <v>44</v>
      </c>
      <c r="V4847">
        <v>266.4538</v>
      </c>
      <c r="W4847">
        <v>140.97</v>
      </c>
      <c r="X4847">
        <v>0</v>
      </c>
      <c r="Y4847">
        <v>0</v>
      </c>
      <c r="Z4847">
        <v>11723.97</v>
      </c>
      <c r="AA4847">
        <v>11864.94</v>
      </c>
      <c r="AB4847" s="12" t="s">
        <v>5406</v>
      </c>
      <c r="AC4847">
        <v>254.13499999999999</v>
      </c>
      <c r="AD4847">
        <v>1</v>
      </c>
      <c r="AE4847">
        <v>1</v>
      </c>
      <c r="AF4847">
        <v>542.03</v>
      </c>
      <c r="AG4847">
        <v>11181.94</v>
      </c>
      <c r="AH4847">
        <v>44</v>
      </c>
      <c r="AI4847">
        <v>44</v>
      </c>
      <c r="AJ4847">
        <v>0</v>
      </c>
      <c r="AK4847">
        <v>1</v>
      </c>
      <c r="AL4847">
        <v>1</v>
      </c>
      <c r="AM4847">
        <v>100</v>
      </c>
      <c r="AN4847">
        <v>269.65769999999998</v>
      </c>
      <c r="AO4847">
        <v>0</v>
      </c>
      <c r="AP4847" s="13">
        <v>45791</v>
      </c>
      <c r="AQ4847">
        <v>-3</v>
      </c>
      <c r="AR4847">
        <v>1</v>
      </c>
    </row>
    <row r="4848" spans="1:44" x14ac:dyDescent="0.35">
      <c r="A4848" s="12" t="s">
        <v>5892</v>
      </c>
      <c r="B4848" s="12" t="s">
        <v>255</v>
      </c>
      <c r="C4848" s="12" t="s">
        <v>256</v>
      </c>
      <c r="D4848" s="12" t="s">
        <v>103</v>
      </c>
      <c r="E4848" s="12" t="s">
        <v>65</v>
      </c>
      <c r="F4848">
        <v>2</v>
      </c>
      <c r="G4848">
        <v>4</v>
      </c>
      <c r="H4848">
        <v>0</v>
      </c>
      <c r="I4848" s="12" t="s">
        <v>143</v>
      </c>
      <c r="J4848" s="12" t="s">
        <v>144</v>
      </c>
      <c r="K4848" s="12" t="s">
        <v>133</v>
      </c>
      <c r="L4848" s="12" t="s">
        <v>96</v>
      </c>
      <c r="M4848">
        <v>5.43</v>
      </c>
      <c r="N4848" s="12" t="s">
        <v>107</v>
      </c>
      <c r="O4848" s="12" t="s">
        <v>108</v>
      </c>
      <c r="P4848" s="12" t="s">
        <v>109</v>
      </c>
      <c r="Q4848" s="13">
        <v>45778</v>
      </c>
      <c r="R4848" s="13">
        <v>45800</v>
      </c>
      <c r="S4848">
        <v>2025</v>
      </c>
      <c r="T4848" s="12" t="s">
        <v>5886</v>
      </c>
      <c r="U4848">
        <v>24</v>
      </c>
      <c r="V4848">
        <v>95.061000000000007</v>
      </c>
      <c r="W4848">
        <v>44.03</v>
      </c>
      <c r="X4848">
        <v>0</v>
      </c>
      <c r="Y4848">
        <v>0</v>
      </c>
      <c r="Z4848">
        <v>2281.46</v>
      </c>
      <c r="AA4848">
        <v>2325.4899999999998</v>
      </c>
      <c r="AB4848" s="12" t="s">
        <v>5188</v>
      </c>
      <c r="AC4848">
        <v>95.061000000000007</v>
      </c>
      <c r="AD4848">
        <v>1</v>
      </c>
      <c r="AE4848">
        <v>1</v>
      </c>
      <c r="AF4848">
        <v>0</v>
      </c>
      <c r="AG4848">
        <v>2281.46</v>
      </c>
      <c r="AH4848">
        <v>24</v>
      </c>
      <c r="AI4848">
        <v>24</v>
      </c>
      <c r="AJ4848">
        <v>0</v>
      </c>
      <c r="AK4848">
        <v>1</v>
      </c>
      <c r="AL4848">
        <v>1</v>
      </c>
      <c r="AM4848">
        <v>100</v>
      </c>
      <c r="AN4848">
        <v>96.895600000000002</v>
      </c>
      <c r="AO4848">
        <v>0</v>
      </c>
      <c r="AP4848" s="13">
        <v>45799</v>
      </c>
      <c r="AQ4848">
        <v>-1</v>
      </c>
      <c r="AR4848">
        <v>1</v>
      </c>
    </row>
    <row r="4849" spans="1:44" x14ac:dyDescent="0.35">
      <c r="A4849" s="12" t="s">
        <v>5893</v>
      </c>
      <c r="B4849" s="12" t="s">
        <v>661</v>
      </c>
      <c r="C4849" s="12" t="s">
        <v>662</v>
      </c>
      <c r="D4849" s="12" t="s">
        <v>175</v>
      </c>
      <c r="E4849" s="12" t="s">
        <v>104</v>
      </c>
      <c r="F4849">
        <v>1</v>
      </c>
      <c r="G4849">
        <v>0</v>
      </c>
      <c r="H4849">
        <v>1</v>
      </c>
      <c r="I4849" s="12" t="s">
        <v>183</v>
      </c>
      <c r="J4849" s="12" t="s">
        <v>184</v>
      </c>
      <c r="K4849" s="12" t="s">
        <v>133</v>
      </c>
      <c r="L4849" s="12" t="s">
        <v>82</v>
      </c>
      <c r="M4849">
        <v>8.6199999999999992</v>
      </c>
      <c r="N4849" s="12" t="s">
        <v>107</v>
      </c>
      <c r="O4849" s="12" t="s">
        <v>108</v>
      </c>
      <c r="P4849" s="12" t="s">
        <v>109</v>
      </c>
      <c r="Q4849" s="13">
        <v>45778</v>
      </c>
      <c r="R4849" s="13">
        <v>45806</v>
      </c>
      <c r="S4849">
        <v>2025</v>
      </c>
      <c r="T4849" s="12" t="s">
        <v>5886</v>
      </c>
      <c r="U4849">
        <v>134</v>
      </c>
      <c r="V4849">
        <v>166.30070000000001</v>
      </c>
      <c r="W4849">
        <v>487.29</v>
      </c>
      <c r="X4849">
        <v>0</v>
      </c>
      <c r="Y4849">
        <v>0</v>
      </c>
      <c r="Z4849">
        <v>22284.29</v>
      </c>
      <c r="AA4849">
        <v>22771.58</v>
      </c>
      <c r="AB4849" s="12" t="s">
        <v>5336</v>
      </c>
      <c r="AC4849">
        <v>166.30070000000001</v>
      </c>
      <c r="AD4849">
        <v>1</v>
      </c>
      <c r="AE4849">
        <v>1</v>
      </c>
      <c r="AF4849">
        <v>0</v>
      </c>
      <c r="AG4849">
        <v>22284.29</v>
      </c>
      <c r="AH4849">
        <v>134</v>
      </c>
      <c r="AI4849">
        <v>134</v>
      </c>
      <c r="AJ4849">
        <v>0</v>
      </c>
      <c r="AK4849">
        <v>1</v>
      </c>
      <c r="AL4849">
        <v>1</v>
      </c>
      <c r="AM4849">
        <v>100</v>
      </c>
      <c r="AN4849">
        <v>169.93719999999999</v>
      </c>
      <c r="AO4849">
        <v>0</v>
      </c>
      <c r="AP4849" s="13">
        <v>45805</v>
      </c>
      <c r="AQ4849">
        <v>-1</v>
      </c>
      <c r="AR4849">
        <v>1</v>
      </c>
    </row>
    <row r="4850" spans="1:44" x14ac:dyDescent="0.35">
      <c r="A4850" s="12" t="s">
        <v>5894</v>
      </c>
      <c r="B4850" s="12" t="s">
        <v>837</v>
      </c>
      <c r="C4850" s="12" t="s">
        <v>838</v>
      </c>
      <c r="D4850" s="12" t="s">
        <v>114</v>
      </c>
      <c r="E4850" s="12" t="s">
        <v>104</v>
      </c>
      <c r="F4850">
        <v>2</v>
      </c>
      <c r="G4850">
        <v>0</v>
      </c>
      <c r="H4850">
        <v>0</v>
      </c>
      <c r="I4850" s="12" t="s">
        <v>199</v>
      </c>
      <c r="J4850" s="12" t="s">
        <v>200</v>
      </c>
      <c r="K4850" s="12" t="s">
        <v>68</v>
      </c>
      <c r="L4850" s="12" t="s">
        <v>96</v>
      </c>
      <c r="M4850">
        <v>9.4700000000000006</v>
      </c>
      <c r="N4850" s="12" t="s">
        <v>70</v>
      </c>
      <c r="O4850" s="12" t="s">
        <v>71</v>
      </c>
      <c r="P4850" s="12" t="s">
        <v>72</v>
      </c>
      <c r="Q4850" s="13">
        <v>45779</v>
      </c>
      <c r="R4850" s="13">
        <v>45796</v>
      </c>
      <c r="S4850">
        <v>2025</v>
      </c>
      <c r="T4850" s="12" t="s">
        <v>5886</v>
      </c>
      <c r="U4850">
        <v>55</v>
      </c>
      <c r="V4850">
        <v>70.053799999999995</v>
      </c>
      <c r="W4850">
        <v>32.479999999999997</v>
      </c>
      <c r="X4850">
        <v>0</v>
      </c>
      <c r="Y4850">
        <v>0</v>
      </c>
      <c r="Z4850">
        <v>3852.96</v>
      </c>
      <c r="AA4850">
        <v>3885.44</v>
      </c>
      <c r="AB4850" s="12" t="s">
        <v>5895</v>
      </c>
      <c r="AC4850">
        <v>66.785399999999996</v>
      </c>
      <c r="AD4850">
        <v>1</v>
      </c>
      <c r="AE4850">
        <v>1</v>
      </c>
      <c r="AF4850">
        <v>179.76</v>
      </c>
      <c r="AG4850">
        <v>3673.2</v>
      </c>
      <c r="AH4850">
        <v>55</v>
      </c>
      <c r="AI4850">
        <v>54</v>
      </c>
      <c r="AJ4850">
        <v>1</v>
      </c>
      <c r="AK4850">
        <v>1</v>
      </c>
      <c r="AL4850">
        <v>1</v>
      </c>
      <c r="AM4850">
        <v>98.18</v>
      </c>
      <c r="AN4850">
        <v>71.952600000000004</v>
      </c>
      <c r="AO4850">
        <v>70.05</v>
      </c>
      <c r="AP4850" s="13">
        <v>45796</v>
      </c>
      <c r="AQ4850">
        <v>0</v>
      </c>
      <c r="AR4850">
        <v>1</v>
      </c>
    </row>
    <row r="4851" spans="1:44" x14ac:dyDescent="0.35">
      <c r="A4851" s="12" t="s">
        <v>5896</v>
      </c>
      <c r="B4851" s="12" t="s">
        <v>173</v>
      </c>
      <c r="C4851" s="12" t="s">
        <v>174</v>
      </c>
      <c r="D4851" s="12" t="s">
        <v>175</v>
      </c>
      <c r="E4851" s="12" t="s">
        <v>104</v>
      </c>
      <c r="F4851">
        <v>3</v>
      </c>
      <c r="G4851">
        <v>1</v>
      </c>
      <c r="H4851">
        <v>0</v>
      </c>
      <c r="I4851" s="12" t="s">
        <v>176</v>
      </c>
      <c r="J4851" s="12" t="s">
        <v>177</v>
      </c>
      <c r="K4851" s="12" t="s">
        <v>125</v>
      </c>
      <c r="L4851" s="12" t="s">
        <v>134</v>
      </c>
      <c r="M4851">
        <v>1.75</v>
      </c>
      <c r="N4851" s="12" t="s">
        <v>145</v>
      </c>
      <c r="O4851" s="12" t="s">
        <v>146</v>
      </c>
      <c r="P4851" s="12" t="s">
        <v>109</v>
      </c>
      <c r="Q4851" s="13">
        <v>45779</v>
      </c>
      <c r="R4851" s="13">
        <v>45793</v>
      </c>
      <c r="S4851">
        <v>2025</v>
      </c>
      <c r="T4851" s="12" t="s">
        <v>5886</v>
      </c>
      <c r="U4851">
        <v>30</v>
      </c>
      <c r="V4851">
        <v>71.519599999999997</v>
      </c>
      <c r="W4851">
        <v>18.63</v>
      </c>
      <c r="X4851">
        <v>0</v>
      </c>
      <c r="Y4851">
        <v>0</v>
      </c>
      <c r="Z4851">
        <v>2145.59</v>
      </c>
      <c r="AA4851">
        <v>2164.2199999999998</v>
      </c>
      <c r="AB4851" s="12" t="s">
        <v>5221</v>
      </c>
      <c r="AC4851">
        <v>71.519599999999997</v>
      </c>
      <c r="AD4851">
        <v>1</v>
      </c>
      <c r="AE4851">
        <v>1</v>
      </c>
      <c r="AF4851">
        <v>0</v>
      </c>
      <c r="AG4851">
        <v>2145.59</v>
      </c>
      <c r="AH4851">
        <v>30</v>
      </c>
      <c r="AI4851">
        <v>30</v>
      </c>
      <c r="AJ4851">
        <v>0</v>
      </c>
      <c r="AK4851">
        <v>1</v>
      </c>
      <c r="AL4851">
        <v>1</v>
      </c>
      <c r="AM4851">
        <v>100</v>
      </c>
      <c r="AN4851">
        <v>72.140600000000006</v>
      </c>
      <c r="AO4851">
        <v>0</v>
      </c>
      <c r="AP4851" s="13">
        <v>45793</v>
      </c>
      <c r="AQ4851">
        <v>0</v>
      </c>
      <c r="AR4851">
        <v>1</v>
      </c>
    </row>
    <row r="4852" spans="1:44" x14ac:dyDescent="0.35">
      <c r="A4852" s="12" t="s">
        <v>5897</v>
      </c>
      <c r="B4852" s="12" t="s">
        <v>155</v>
      </c>
      <c r="C4852" s="12" t="s">
        <v>156</v>
      </c>
      <c r="D4852" s="12" t="s">
        <v>130</v>
      </c>
      <c r="E4852" s="12" t="s">
        <v>104</v>
      </c>
      <c r="F4852">
        <v>3</v>
      </c>
      <c r="G4852">
        <v>1</v>
      </c>
      <c r="H4852">
        <v>0</v>
      </c>
      <c r="I4852" s="12" t="s">
        <v>157</v>
      </c>
      <c r="J4852" s="12" t="s">
        <v>158</v>
      </c>
      <c r="K4852" s="12" t="s">
        <v>117</v>
      </c>
      <c r="L4852" s="12" t="s">
        <v>96</v>
      </c>
      <c r="M4852">
        <v>4.72</v>
      </c>
      <c r="N4852" s="12" t="s">
        <v>135</v>
      </c>
      <c r="O4852" s="12" t="s">
        <v>136</v>
      </c>
      <c r="P4852" s="12" t="s">
        <v>137</v>
      </c>
      <c r="Q4852" s="13">
        <v>45779</v>
      </c>
      <c r="R4852" s="13">
        <v>45793</v>
      </c>
      <c r="S4852">
        <v>2025</v>
      </c>
      <c r="T4852" s="12" t="s">
        <v>5886</v>
      </c>
      <c r="U4852">
        <v>28</v>
      </c>
      <c r="V4852">
        <v>197.9</v>
      </c>
      <c r="W4852">
        <v>97.43</v>
      </c>
      <c r="X4852">
        <v>0</v>
      </c>
      <c r="Y4852">
        <v>0</v>
      </c>
      <c r="Z4852">
        <v>5541.2</v>
      </c>
      <c r="AA4852">
        <v>5638.63</v>
      </c>
      <c r="AB4852" s="12" t="s">
        <v>201</v>
      </c>
      <c r="AD4852">
        <v>0</v>
      </c>
      <c r="AE4852">
        <v>0</v>
      </c>
      <c r="AH4852">
        <v>28</v>
      </c>
      <c r="AI4852">
        <v>28</v>
      </c>
      <c r="AJ4852">
        <v>0</v>
      </c>
      <c r="AK4852">
        <v>1</v>
      </c>
      <c r="AL4852">
        <v>1</v>
      </c>
      <c r="AM4852">
        <v>100</v>
      </c>
      <c r="AN4852">
        <v>201.37960000000001</v>
      </c>
      <c r="AO4852">
        <v>0</v>
      </c>
      <c r="AP4852" s="13">
        <v>45792</v>
      </c>
      <c r="AQ4852">
        <v>-1</v>
      </c>
      <c r="AR4852">
        <v>1</v>
      </c>
    </row>
    <row r="4853" spans="1:44" x14ac:dyDescent="0.35">
      <c r="A4853" s="12" t="s">
        <v>5898</v>
      </c>
      <c r="B4853" s="12" t="s">
        <v>823</v>
      </c>
      <c r="C4853" s="12" t="s">
        <v>824</v>
      </c>
      <c r="D4853" s="12" t="s">
        <v>114</v>
      </c>
      <c r="E4853" s="12" t="s">
        <v>142</v>
      </c>
      <c r="F4853">
        <v>1</v>
      </c>
      <c r="G4853">
        <v>8</v>
      </c>
      <c r="H4853">
        <v>1</v>
      </c>
      <c r="I4853" s="12" t="s">
        <v>515</v>
      </c>
      <c r="J4853" s="12" t="s">
        <v>516</v>
      </c>
      <c r="K4853" s="12" t="s">
        <v>68</v>
      </c>
      <c r="L4853" s="12" t="s">
        <v>134</v>
      </c>
      <c r="M4853">
        <v>3.69</v>
      </c>
      <c r="N4853" s="12" t="s">
        <v>97</v>
      </c>
      <c r="O4853" s="12" t="s">
        <v>98</v>
      </c>
      <c r="P4853" s="12" t="s">
        <v>72</v>
      </c>
      <c r="Q4853" s="13">
        <v>45779</v>
      </c>
      <c r="R4853" s="13">
        <v>45822</v>
      </c>
      <c r="S4853">
        <v>2025</v>
      </c>
      <c r="T4853" s="12" t="s">
        <v>5886</v>
      </c>
      <c r="U4853">
        <v>75</v>
      </c>
      <c r="V4853">
        <v>361.69060000000002</v>
      </c>
      <c r="W4853">
        <v>424.95</v>
      </c>
      <c r="X4853">
        <v>0</v>
      </c>
      <c r="Y4853">
        <v>0</v>
      </c>
      <c r="Z4853">
        <v>27126.799999999999</v>
      </c>
      <c r="AA4853">
        <v>27551.75</v>
      </c>
      <c r="AB4853" s="12" t="s">
        <v>5883</v>
      </c>
      <c r="AC4853">
        <v>361.69060000000002</v>
      </c>
      <c r="AD4853">
        <v>1</v>
      </c>
      <c r="AE4853">
        <v>1</v>
      </c>
      <c r="AF4853">
        <v>0</v>
      </c>
      <c r="AG4853">
        <v>27126.799999999999</v>
      </c>
      <c r="AH4853">
        <v>75</v>
      </c>
      <c r="AI4853">
        <v>74</v>
      </c>
      <c r="AJ4853">
        <v>1</v>
      </c>
      <c r="AK4853">
        <v>1</v>
      </c>
      <c r="AL4853">
        <v>1</v>
      </c>
      <c r="AM4853">
        <v>98.67</v>
      </c>
      <c r="AN4853">
        <v>372.32089999999999</v>
      </c>
      <c r="AO4853">
        <v>361.69</v>
      </c>
      <c r="AP4853" s="13">
        <v>45821</v>
      </c>
      <c r="AQ4853">
        <v>-1</v>
      </c>
      <c r="AR4853">
        <v>1</v>
      </c>
    </row>
    <row r="4854" spans="1:44" x14ac:dyDescent="0.35">
      <c r="A4854" s="12" t="s">
        <v>5899</v>
      </c>
      <c r="B4854" s="12" t="s">
        <v>193</v>
      </c>
      <c r="C4854" s="12" t="s">
        <v>194</v>
      </c>
      <c r="D4854" s="12" t="s">
        <v>114</v>
      </c>
      <c r="E4854" s="12" t="s">
        <v>65</v>
      </c>
      <c r="F4854">
        <v>3</v>
      </c>
      <c r="G4854">
        <v>4</v>
      </c>
      <c r="H4854">
        <v>0</v>
      </c>
      <c r="I4854" s="12" t="s">
        <v>195</v>
      </c>
      <c r="J4854" s="12" t="s">
        <v>196</v>
      </c>
      <c r="K4854" s="12" t="s">
        <v>117</v>
      </c>
      <c r="L4854" s="12" t="s">
        <v>134</v>
      </c>
      <c r="M4854">
        <v>4.7699999999999996</v>
      </c>
      <c r="N4854" s="12" t="s">
        <v>70</v>
      </c>
      <c r="O4854" s="12" t="s">
        <v>71</v>
      </c>
      <c r="P4854" s="12" t="s">
        <v>72</v>
      </c>
      <c r="Q4854" s="13">
        <v>45779</v>
      </c>
      <c r="R4854" s="13">
        <v>45806</v>
      </c>
      <c r="S4854">
        <v>2025</v>
      </c>
      <c r="T4854" s="12" t="s">
        <v>5886</v>
      </c>
      <c r="U4854">
        <v>59</v>
      </c>
      <c r="V4854">
        <v>98.454599999999999</v>
      </c>
      <c r="W4854">
        <v>94.65</v>
      </c>
      <c r="X4854">
        <v>0</v>
      </c>
      <c r="Y4854">
        <v>0</v>
      </c>
      <c r="Z4854">
        <v>5808.82</v>
      </c>
      <c r="AA4854">
        <v>5903.47</v>
      </c>
      <c r="AB4854" s="12" t="s">
        <v>5258</v>
      </c>
      <c r="AC4854">
        <v>104.5202</v>
      </c>
      <c r="AD4854">
        <v>1</v>
      </c>
      <c r="AE4854">
        <v>1</v>
      </c>
      <c r="AF4854">
        <v>-357.87</v>
      </c>
      <c r="AG4854">
        <v>6166.69</v>
      </c>
      <c r="AH4854">
        <v>59</v>
      </c>
      <c r="AI4854">
        <v>58</v>
      </c>
      <c r="AJ4854">
        <v>1</v>
      </c>
      <c r="AK4854">
        <v>1</v>
      </c>
      <c r="AL4854">
        <v>1</v>
      </c>
      <c r="AM4854">
        <v>98.31</v>
      </c>
      <c r="AN4854">
        <v>101.78400000000001</v>
      </c>
      <c r="AO4854">
        <v>98.45</v>
      </c>
      <c r="AP4854" s="13">
        <v>45803</v>
      </c>
      <c r="AQ4854">
        <v>-3</v>
      </c>
      <c r="AR4854">
        <v>1</v>
      </c>
    </row>
    <row r="4855" spans="1:44" x14ac:dyDescent="0.35">
      <c r="A4855" s="12" t="s">
        <v>5900</v>
      </c>
      <c r="B4855" s="12" t="s">
        <v>532</v>
      </c>
      <c r="C4855" s="12" t="s">
        <v>533</v>
      </c>
      <c r="D4855" s="12" t="s">
        <v>114</v>
      </c>
      <c r="E4855" s="12" t="s">
        <v>65</v>
      </c>
      <c r="F4855">
        <v>2</v>
      </c>
      <c r="G4855">
        <v>3</v>
      </c>
      <c r="H4855">
        <v>0</v>
      </c>
      <c r="I4855" s="12" t="s">
        <v>105</v>
      </c>
      <c r="J4855" s="12" t="s">
        <v>106</v>
      </c>
      <c r="K4855" s="12" t="s">
        <v>81</v>
      </c>
      <c r="L4855" s="12" t="s">
        <v>96</v>
      </c>
      <c r="M4855">
        <v>5.01</v>
      </c>
      <c r="N4855" s="12" t="s">
        <v>97</v>
      </c>
      <c r="O4855" s="12" t="s">
        <v>98</v>
      </c>
      <c r="P4855" s="12" t="s">
        <v>72</v>
      </c>
      <c r="Q4855" s="13">
        <v>45779</v>
      </c>
      <c r="R4855" s="13">
        <v>45817</v>
      </c>
      <c r="S4855">
        <v>2025</v>
      </c>
      <c r="T4855" s="12" t="s">
        <v>5886</v>
      </c>
      <c r="U4855">
        <v>144</v>
      </c>
      <c r="V4855">
        <v>249.89959999999999</v>
      </c>
      <c r="W4855">
        <v>577.04999999999995</v>
      </c>
      <c r="X4855">
        <v>0</v>
      </c>
      <c r="Y4855">
        <v>0</v>
      </c>
      <c r="Z4855">
        <v>35985.54</v>
      </c>
      <c r="AA4855">
        <v>36562.589999999997</v>
      </c>
      <c r="AB4855" s="12" t="s">
        <v>5676</v>
      </c>
      <c r="AC4855">
        <v>249.89959999999999</v>
      </c>
      <c r="AD4855">
        <v>1</v>
      </c>
      <c r="AE4855">
        <v>1</v>
      </c>
      <c r="AF4855">
        <v>0</v>
      </c>
      <c r="AG4855">
        <v>35985.54</v>
      </c>
      <c r="AH4855">
        <v>144</v>
      </c>
      <c r="AI4855">
        <v>141</v>
      </c>
      <c r="AJ4855">
        <v>3</v>
      </c>
      <c r="AK4855">
        <v>1</v>
      </c>
      <c r="AL4855">
        <v>1</v>
      </c>
      <c r="AM4855">
        <v>97.92</v>
      </c>
      <c r="AN4855">
        <v>259.30919999999998</v>
      </c>
      <c r="AO4855">
        <v>749.7</v>
      </c>
      <c r="AP4855" s="13">
        <v>45814</v>
      </c>
      <c r="AQ4855">
        <v>-3</v>
      </c>
      <c r="AR4855">
        <v>1</v>
      </c>
    </row>
    <row r="4856" spans="1:44" x14ac:dyDescent="0.35">
      <c r="A4856" s="12" t="s">
        <v>5901</v>
      </c>
      <c r="B4856" s="12" t="s">
        <v>787</v>
      </c>
      <c r="C4856" s="12" t="s">
        <v>788</v>
      </c>
      <c r="D4856" s="12" t="s">
        <v>269</v>
      </c>
      <c r="E4856" s="12" t="s">
        <v>65</v>
      </c>
      <c r="F4856">
        <v>2</v>
      </c>
      <c r="G4856">
        <v>3</v>
      </c>
      <c r="H4856">
        <v>0</v>
      </c>
      <c r="I4856" s="12" t="s">
        <v>143</v>
      </c>
      <c r="J4856" s="12" t="s">
        <v>144</v>
      </c>
      <c r="K4856" s="12" t="s">
        <v>133</v>
      </c>
      <c r="L4856" s="12" t="s">
        <v>96</v>
      </c>
      <c r="M4856">
        <v>5.43</v>
      </c>
      <c r="N4856" s="12" t="s">
        <v>135</v>
      </c>
      <c r="O4856" s="12" t="s">
        <v>136</v>
      </c>
      <c r="P4856" s="12" t="s">
        <v>137</v>
      </c>
      <c r="Q4856" s="13">
        <v>45779</v>
      </c>
      <c r="R4856" s="13">
        <v>45817</v>
      </c>
      <c r="S4856">
        <v>2025</v>
      </c>
      <c r="T4856" s="12" t="s">
        <v>5886</v>
      </c>
      <c r="U4856">
        <v>142</v>
      </c>
      <c r="V4856">
        <v>331.79969999999997</v>
      </c>
      <c r="W4856">
        <v>741.73</v>
      </c>
      <c r="X4856">
        <v>0</v>
      </c>
      <c r="Y4856">
        <v>0</v>
      </c>
      <c r="Z4856">
        <v>47115.56</v>
      </c>
      <c r="AA4856">
        <v>47857.29</v>
      </c>
      <c r="AB4856" s="12" t="s">
        <v>5902</v>
      </c>
      <c r="AC4856">
        <v>331.79969999999997</v>
      </c>
      <c r="AD4856">
        <v>1</v>
      </c>
      <c r="AE4856">
        <v>1</v>
      </c>
      <c r="AF4856">
        <v>0</v>
      </c>
      <c r="AG4856">
        <v>47115.56</v>
      </c>
      <c r="AH4856">
        <v>142</v>
      </c>
      <c r="AI4856">
        <v>141</v>
      </c>
      <c r="AJ4856">
        <v>1</v>
      </c>
      <c r="AK4856">
        <v>1</v>
      </c>
      <c r="AL4856">
        <v>1</v>
      </c>
      <c r="AM4856">
        <v>99.3</v>
      </c>
      <c r="AN4856">
        <v>339.41340000000002</v>
      </c>
      <c r="AO4856">
        <v>331.8</v>
      </c>
      <c r="AP4856" s="13">
        <v>45816</v>
      </c>
      <c r="AQ4856">
        <v>-1</v>
      </c>
      <c r="AR4856">
        <v>1</v>
      </c>
    </row>
    <row r="4857" spans="1:44" x14ac:dyDescent="0.35">
      <c r="A4857" s="12" t="s">
        <v>5903</v>
      </c>
      <c r="B4857" s="12" t="s">
        <v>323</v>
      </c>
      <c r="C4857" s="12" t="s">
        <v>324</v>
      </c>
      <c r="D4857" s="12" t="s">
        <v>64</v>
      </c>
      <c r="E4857" s="12" t="s">
        <v>142</v>
      </c>
      <c r="F4857">
        <v>1</v>
      </c>
      <c r="G4857">
        <v>7</v>
      </c>
      <c r="H4857">
        <v>1</v>
      </c>
      <c r="I4857" s="12" t="s">
        <v>143</v>
      </c>
      <c r="J4857" s="12" t="s">
        <v>144</v>
      </c>
      <c r="K4857" s="12" t="s">
        <v>133</v>
      </c>
      <c r="L4857" s="12" t="s">
        <v>96</v>
      </c>
      <c r="M4857">
        <v>5.43</v>
      </c>
      <c r="N4857" s="12" t="s">
        <v>97</v>
      </c>
      <c r="O4857" s="12" t="s">
        <v>98</v>
      </c>
      <c r="P4857" s="12" t="s">
        <v>72</v>
      </c>
      <c r="Q4857" s="13">
        <v>45779</v>
      </c>
      <c r="R4857" s="13">
        <v>45828</v>
      </c>
      <c r="S4857">
        <v>2025</v>
      </c>
      <c r="T4857" s="12" t="s">
        <v>5886</v>
      </c>
      <c r="U4857">
        <v>842</v>
      </c>
      <c r="V4857">
        <v>39.226399999999998</v>
      </c>
      <c r="W4857">
        <v>311.58</v>
      </c>
      <c r="X4857">
        <v>0</v>
      </c>
      <c r="Y4857">
        <v>0</v>
      </c>
      <c r="Z4857">
        <v>33028.629999999997</v>
      </c>
      <c r="AA4857">
        <v>33340.21</v>
      </c>
      <c r="AB4857" s="12" t="s">
        <v>5324</v>
      </c>
      <c r="AC4857">
        <v>39.226399999999998</v>
      </c>
      <c r="AD4857">
        <v>1</v>
      </c>
      <c r="AE4857">
        <v>1</v>
      </c>
      <c r="AF4857">
        <v>0</v>
      </c>
      <c r="AG4857">
        <v>33028.629999999997</v>
      </c>
      <c r="AH4857">
        <v>842</v>
      </c>
      <c r="AI4857">
        <v>834</v>
      </c>
      <c r="AJ4857">
        <v>8</v>
      </c>
      <c r="AK4857">
        <v>1</v>
      </c>
      <c r="AL4857">
        <v>1</v>
      </c>
      <c r="AM4857">
        <v>99.05</v>
      </c>
      <c r="AN4857">
        <v>39.976300000000002</v>
      </c>
      <c r="AO4857">
        <v>313.81</v>
      </c>
      <c r="AP4857" s="13">
        <v>45827</v>
      </c>
      <c r="AQ4857">
        <v>-1</v>
      </c>
      <c r="AR4857">
        <v>1</v>
      </c>
    </row>
    <row r="4858" spans="1:44" x14ac:dyDescent="0.35">
      <c r="A4858" s="12" t="s">
        <v>5904</v>
      </c>
      <c r="B4858" s="12" t="s">
        <v>837</v>
      </c>
      <c r="C4858" s="12" t="s">
        <v>838</v>
      </c>
      <c r="D4858" s="12" t="s">
        <v>114</v>
      </c>
      <c r="E4858" s="12" t="s">
        <v>104</v>
      </c>
      <c r="F4858">
        <v>2</v>
      </c>
      <c r="G4858">
        <v>0</v>
      </c>
      <c r="H4858">
        <v>0</v>
      </c>
      <c r="I4858" s="12" t="s">
        <v>79</v>
      </c>
      <c r="J4858" s="12" t="s">
        <v>80</v>
      </c>
      <c r="K4858" s="12" t="s">
        <v>81</v>
      </c>
      <c r="L4858" s="12" t="s">
        <v>82</v>
      </c>
      <c r="M4858">
        <v>12.07</v>
      </c>
      <c r="N4858" s="12" t="s">
        <v>97</v>
      </c>
      <c r="O4858" s="12" t="s">
        <v>98</v>
      </c>
      <c r="P4858" s="12" t="s">
        <v>72</v>
      </c>
      <c r="Q4858" s="13">
        <v>45782</v>
      </c>
      <c r="R4858" s="13">
        <v>45806</v>
      </c>
      <c r="S4858">
        <v>2025</v>
      </c>
      <c r="T4858" s="12" t="s">
        <v>5886</v>
      </c>
      <c r="U4858">
        <v>109</v>
      </c>
      <c r="V4858">
        <v>71.0244</v>
      </c>
      <c r="W4858">
        <v>171.67</v>
      </c>
      <c r="X4858">
        <v>0</v>
      </c>
      <c r="Y4858">
        <v>0</v>
      </c>
      <c r="Z4858">
        <v>7741.66</v>
      </c>
      <c r="AA4858">
        <v>7913.33</v>
      </c>
      <c r="AB4858" s="12" t="s">
        <v>5905</v>
      </c>
      <c r="AC4858">
        <v>71.0244</v>
      </c>
      <c r="AD4858">
        <v>1</v>
      </c>
      <c r="AE4858">
        <v>1</v>
      </c>
      <c r="AF4858">
        <v>0</v>
      </c>
      <c r="AG4858">
        <v>7741.66</v>
      </c>
      <c r="AH4858">
        <v>109</v>
      </c>
      <c r="AI4858">
        <v>109</v>
      </c>
      <c r="AJ4858">
        <v>0</v>
      </c>
      <c r="AK4858">
        <v>1</v>
      </c>
      <c r="AL4858">
        <v>1</v>
      </c>
      <c r="AM4858">
        <v>100</v>
      </c>
      <c r="AN4858">
        <v>72.599400000000003</v>
      </c>
      <c r="AO4858">
        <v>0</v>
      </c>
      <c r="AP4858" s="13">
        <v>45804</v>
      </c>
      <c r="AQ4858">
        <v>-2</v>
      </c>
      <c r="AR4858">
        <v>1</v>
      </c>
    </row>
    <row r="4859" spans="1:44" x14ac:dyDescent="0.35">
      <c r="A4859" s="12" t="s">
        <v>5906</v>
      </c>
      <c r="B4859" s="12" t="s">
        <v>837</v>
      </c>
      <c r="C4859" s="12" t="s">
        <v>838</v>
      </c>
      <c r="D4859" s="12" t="s">
        <v>114</v>
      </c>
      <c r="E4859" s="12" t="s">
        <v>104</v>
      </c>
      <c r="F4859">
        <v>2</v>
      </c>
      <c r="G4859">
        <v>0</v>
      </c>
      <c r="H4859">
        <v>0</v>
      </c>
      <c r="I4859" s="12" t="s">
        <v>199</v>
      </c>
      <c r="J4859" s="12" t="s">
        <v>200</v>
      </c>
      <c r="K4859" s="12" t="s">
        <v>68</v>
      </c>
      <c r="L4859" s="12" t="s">
        <v>96</v>
      </c>
      <c r="M4859">
        <v>9.4700000000000006</v>
      </c>
      <c r="N4859" s="12" t="s">
        <v>97</v>
      </c>
      <c r="O4859" s="12" t="s">
        <v>98</v>
      </c>
      <c r="P4859" s="12" t="s">
        <v>72</v>
      </c>
      <c r="Q4859" s="13">
        <v>45782</v>
      </c>
      <c r="R4859" s="13">
        <v>45800</v>
      </c>
      <c r="S4859">
        <v>2025</v>
      </c>
      <c r="T4859" s="12" t="s">
        <v>5886</v>
      </c>
      <c r="U4859">
        <v>57</v>
      </c>
      <c r="V4859">
        <v>66.785399999999996</v>
      </c>
      <c r="W4859">
        <v>31.72</v>
      </c>
      <c r="X4859">
        <v>114.36</v>
      </c>
      <c r="Y4859">
        <v>1</v>
      </c>
      <c r="Z4859">
        <v>3806.77</v>
      </c>
      <c r="AA4859">
        <v>3952.85</v>
      </c>
      <c r="AB4859" s="12" t="s">
        <v>5895</v>
      </c>
      <c r="AC4859">
        <v>66.785399999999996</v>
      </c>
      <c r="AD4859">
        <v>1</v>
      </c>
      <c r="AE4859">
        <v>1</v>
      </c>
      <c r="AF4859">
        <v>0</v>
      </c>
      <c r="AG4859">
        <v>3806.77</v>
      </c>
      <c r="AH4859">
        <v>57</v>
      </c>
      <c r="AI4859">
        <v>56</v>
      </c>
      <c r="AJ4859">
        <v>1</v>
      </c>
      <c r="AK4859">
        <v>1</v>
      </c>
      <c r="AL4859">
        <v>1</v>
      </c>
      <c r="AM4859">
        <v>98.25</v>
      </c>
      <c r="AN4859">
        <v>70.586600000000004</v>
      </c>
      <c r="AO4859">
        <v>66.790000000000006</v>
      </c>
      <c r="AP4859" s="13">
        <v>45801</v>
      </c>
      <c r="AQ4859">
        <v>1</v>
      </c>
      <c r="AR4859">
        <v>0</v>
      </c>
    </row>
    <row r="4860" spans="1:44" x14ac:dyDescent="0.35">
      <c r="A4860" s="12" t="s">
        <v>5907</v>
      </c>
      <c r="B4860" s="12" t="s">
        <v>1034</v>
      </c>
      <c r="C4860" s="12" t="s">
        <v>1035</v>
      </c>
      <c r="D4860" s="12" t="s">
        <v>64</v>
      </c>
      <c r="E4860" s="12" t="s">
        <v>104</v>
      </c>
      <c r="F4860">
        <v>2</v>
      </c>
      <c r="G4860">
        <v>0</v>
      </c>
      <c r="H4860">
        <v>0</v>
      </c>
      <c r="I4860" s="12" t="s">
        <v>676</v>
      </c>
      <c r="J4860" s="12" t="s">
        <v>677</v>
      </c>
      <c r="K4860" s="12" t="s">
        <v>68</v>
      </c>
      <c r="L4860" s="12" t="s">
        <v>96</v>
      </c>
      <c r="M4860">
        <v>3.57</v>
      </c>
      <c r="N4860" s="12" t="s">
        <v>97</v>
      </c>
      <c r="O4860" s="12" t="s">
        <v>98</v>
      </c>
      <c r="P4860" s="12" t="s">
        <v>72</v>
      </c>
      <c r="Q4860" s="13">
        <v>45782</v>
      </c>
      <c r="R4860" s="13">
        <v>45801</v>
      </c>
      <c r="S4860">
        <v>2025</v>
      </c>
      <c r="T4860" s="12" t="s">
        <v>5886</v>
      </c>
      <c r="U4860">
        <v>485</v>
      </c>
      <c r="V4860">
        <v>9.9461999999999993</v>
      </c>
      <c r="W4860">
        <v>95.65</v>
      </c>
      <c r="X4860">
        <v>0</v>
      </c>
      <c r="Y4860">
        <v>0</v>
      </c>
      <c r="Z4860">
        <v>4823.91</v>
      </c>
      <c r="AA4860">
        <v>4919.5600000000004</v>
      </c>
      <c r="AB4860" s="12" t="s">
        <v>5908</v>
      </c>
      <c r="AC4860">
        <v>9.9461999999999993</v>
      </c>
      <c r="AD4860">
        <v>1</v>
      </c>
      <c r="AE4860">
        <v>1</v>
      </c>
      <c r="AF4860">
        <v>0</v>
      </c>
      <c r="AG4860">
        <v>4823.91</v>
      </c>
      <c r="AH4860">
        <v>485</v>
      </c>
      <c r="AI4860">
        <v>479</v>
      </c>
      <c r="AJ4860">
        <v>6</v>
      </c>
      <c r="AK4860">
        <v>1</v>
      </c>
      <c r="AL4860">
        <v>1</v>
      </c>
      <c r="AM4860">
        <v>98.76</v>
      </c>
      <c r="AN4860">
        <v>10.2705</v>
      </c>
      <c r="AO4860">
        <v>59.68</v>
      </c>
      <c r="AP4860" s="13">
        <v>45807</v>
      </c>
      <c r="AQ4860">
        <v>6</v>
      </c>
      <c r="AR4860">
        <v>0</v>
      </c>
    </row>
    <row r="4861" spans="1:44" x14ac:dyDescent="0.35">
      <c r="A4861" s="12" t="s">
        <v>5909</v>
      </c>
      <c r="B4861" s="12" t="s">
        <v>630</v>
      </c>
      <c r="C4861" s="12" t="s">
        <v>631</v>
      </c>
      <c r="D4861" s="12" t="s">
        <v>130</v>
      </c>
      <c r="E4861" s="12" t="s">
        <v>65</v>
      </c>
      <c r="F4861">
        <v>1</v>
      </c>
      <c r="G4861">
        <v>2</v>
      </c>
      <c r="H4861">
        <v>1</v>
      </c>
      <c r="I4861" s="12" t="s">
        <v>335</v>
      </c>
      <c r="J4861" s="12" t="s">
        <v>336</v>
      </c>
      <c r="K4861" s="12" t="s">
        <v>89</v>
      </c>
      <c r="L4861" s="12" t="s">
        <v>82</v>
      </c>
      <c r="M4861">
        <v>16</v>
      </c>
      <c r="N4861" s="12" t="s">
        <v>159</v>
      </c>
      <c r="O4861" s="12" t="s">
        <v>160</v>
      </c>
      <c r="P4861" s="12" t="s">
        <v>137</v>
      </c>
      <c r="Q4861" s="13">
        <v>45782</v>
      </c>
      <c r="R4861" s="13">
        <v>45815</v>
      </c>
      <c r="S4861">
        <v>2025</v>
      </c>
      <c r="T4861" s="12" t="s">
        <v>5886</v>
      </c>
      <c r="U4861">
        <v>108</v>
      </c>
      <c r="V4861">
        <v>444.29629999999997</v>
      </c>
      <c r="W4861">
        <v>1107.82</v>
      </c>
      <c r="X4861">
        <v>0</v>
      </c>
      <c r="Y4861">
        <v>0</v>
      </c>
      <c r="Z4861">
        <v>47984</v>
      </c>
      <c r="AA4861">
        <v>49091.82</v>
      </c>
      <c r="AB4861" s="12" t="s">
        <v>5553</v>
      </c>
      <c r="AC4861">
        <v>444.29629999999997</v>
      </c>
      <c r="AD4861">
        <v>1</v>
      </c>
      <c r="AE4861">
        <v>1</v>
      </c>
      <c r="AF4861">
        <v>0</v>
      </c>
      <c r="AG4861">
        <v>47984</v>
      </c>
      <c r="AH4861">
        <v>108</v>
      </c>
      <c r="AI4861">
        <v>107</v>
      </c>
      <c r="AJ4861">
        <v>1</v>
      </c>
      <c r="AK4861">
        <v>1</v>
      </c>
      <c r="AL4861">
        <v>1</v>
      </c>
      <c r="AM4861">
        <v>99.07</v>
      </c>
      <c r="AN4861">
        <v>458.8021</v>
      </c>
      <c r="AO4861">
        <v>444.3</v>
      </c>
      <c r="AP4861" s="13">
        <v>45812</v>
      </c>
      <c r="AQ4861">
        <v>-3</v>
      </c>
      <c r="AR4861">
        <v>1</v>
      </c>
    </row>
    <row r="4862" spans="1:44" x14ac:dyDescent="0.35">
      <c r="A4862" s="12" t="s">
        <v>5910</v>
      </c>
      <c r="B4862" s="12" t="s">
        <v>848</v>
      </c>
      <c r="C4862" s="12" t="s">
        <v>849</v>
      </c>
      <c r="D4862" s="12" t="s">
        <v>103</v>
      </c>
      <c r="E4862" s="12" t="s">
        <v>65</v>
      </c>
      <c r="F4862">
        <v>2</v>
      </c>
      <c r="G4862">
        <v>4</v>
      </c>
      <c r="H4862">
        <v>0</v>
      </c>
      <c r="I4862" s="12" t="s">
        <v>87</v>
      </c>
      <c r="J4862" s="12" t="s">
        <v>88</v>
      </c>
      <c r="K4862" s="12" t="s">
        <v>89</v>
      </c>
      <c r="L4862" s="12" t="s">
        <v>69</v>
      </c>
      <c r="M4862">
        <v>14.93</v>
      </c>
      <c r="N4862" s="12" t="s">
        <v>107</v>
      </c>
      <c r="O4862" s="12" t="s">
        <v>108</v>
      </c>
      <c r="P4862" s="12" t="s">
        <v>109</v>
      </c>
      <c r="Q4862" s="13">
        <v>45782</v>
      </c>
      <c r="R4862" s="13">
        <v>45807</v>
      </c>
      <c r="S4862">
        <v>2025</v>
      </c>
      <c r="T4862" s="12" t="s">
        <v>5886</v>
      </c>
      <c r="U4862">
        <v>41</v>
      </c>
      <c r="V4862">
        <v>118.5639</v>
      </c>
      <c r="W4862">
        <v>34.44</v>
      </c>
      <c r="X4862">
        <v>0</v>
      </c>
      <c r="Y4862">
        <v>0</v>
      </c>
      <c r="Z4862">
        <v>4861.12</v>
      </c>
      <c r="AA4862">
        <v>4895.5600000000004</v>
      </c>
      <c r="AB4862" s="12" t="s">
        <v>5911</v>
      </c>
      <c r="AC4862">
        <v>118.5639</v>
      </c>
      <c r="AD4862">
        <v>1</v>
      </c>
      <c r="AE4862">
        <v>1</v>
      </c>
      <c r="AF4862">
        <v>0</v>
      </c>
      <c r="AG4862">
        <v>4861.12</v>
      </c>
      <c r="AH4862">
        <v>41</v>
      </c>
      <c r="AI4862">
        <v>41</v>
      </c>
      <c r="AJ4862">
        <v>0</v>
      </c>
      <c r="AK4862">
        <v>1</v>
      </c>
      <c r="AL4862">
        <v>1</v>
      </c>
      <c r="AM4862">
        <v>100</v>
      </c>
      <c r="AN4862">
        <v>119.40389999999999</v>
      </c>
      <c r="AO4862">
        <v>0</v>
      </c>
      <c r="AP4862" s="13">
        <v>45804</v>
      </c>
      <c r="AQ4862">
        <v>-3</v>
      </c>
      <c r="AR4862">
        <v>1</v>
      </c>
    </row>
    <row r="4863" spans="1:44" x14ac:dyDescent="0.35">
      <c r="A4863" s="12" t="s">
        <v>5912</v>
      </c>
      <c r="B4863" s="12" t="s">
        <v>569</v>
      </c>
      <c r="C4863" s="12" t="s">
        <v>570</v>
      </c>
      <c r="D4863" s="12" t="s">
        <v>114</v>
      </c>
      <c r="E4863" s="12" t="s">
        <v>142</v>
      </c>
      <c r="F4863">
        <v>1</v>
      </c>
      <c r="G4863">
        <v>6</v>
      </c>
      <c r="H4863">
        <v>1</v>
      </c>
      <c r="I4863" s="12" t="s">
        <v>123</v>
      </c>
      <c r="J4863" s="12" t="s">
        <v>124</v>
      </c>
      <c r="K4863" s="12" t="s">
        <v>125</v>
      </c>
      <c r="L4863" s="12" t="s">
        <v>82</v>
      </c>
      <c r="M4863">
        <v>6.75</v>
      </c>
      <c r="N4863" s="12" t="s">
        <v>97</v>
      </c>
      <c r="O4863" s="12" t="s">
        <v>98</v>
      </c>
      <c r="P4863" s="12" t="s">
        <v>72</v>
      </c>
      <c r="Q4863" s="13">
        <v>45782</v>
      </c>
      <c r="R4863" s="13">
        <v>45831</v>
      </c>
      <c r="S4863">
        <v>2025</v>
      </c>
      <c r="T4863" s="12" t="s">
        <v>5886</v>
      </c>
      <c r="U4863">
        <v>125</v>
      </c>
      <c r="V4863">
        <v>348.21159999999998</v>
      </c>
      <c r="W4863">
        <v>536.04</v>
      </c>
      <c r="X4863">
        <v>1380.84</v>
      </c>
      <c r="Y4863">
        <v>1</v>
      </c>
      <c r="Z4863">
        <v>43526.45</v>
      </c>
      <c r="AA4863">
        <v>45443.33</v>
      </c>
      <c r="AB4863" s="12" t="s">
        <v>5817</v>
      </c>
      <c r="AC4863">
        <v>348.21159999999998</v>
      </c>
      <c r="AD4863">
        <v>1</v>
      </c>
      <c r="AE4863">
        <v>1</v>
      </c>
      <c r="AF4863">
        <v>0</v>
      </c>
      <c r="AG4863">
        <v>43526.45</v>
      </c>
      <c r="AH4863">
        <v>125</v>
      </c>
      <c r="AI4863">
        <v>123</v>
      </c>
      <c r="AJ4863">
        <v>2</v>
      </c>
      <c r="AK4863">
        <v>1</v>
      </c>
      <c r="AL4863">
        <v>1</v>
      </c>
      <c r="AM4863">
        <v>98.4</v>
      </c>
      <c r="AN4863">
        <v>369.45800000000003</v>
      </c>
      <c r="AO4863">
        <v>696.42</v>
      </c>
      <c r="AP4863" s="13">
        <v>45830</v>
      </c>
      <c r="AQ4863">
        <v>-1</v>
      </c>
      <c r="AR4863">
        <v>1</v>
      </c>
    </row>
    <row r="4864" spans="1:44" x14ac:dyDescent="0.35">
      <c r="A4864" s="12" t="s">
        <v>5913</v>
      </c>
      <c r="B4864" s="12" t="s">
        <v>1026</v>
      </c>
      <c r="C4864" s="12" t="s">
        <v>1027</v>
      </c>
      <c r="D4864" s="12" t="s">
        <v>122</v>
      </c>
      <c r="E4864" s="12" t="s">
        <v>104</v>
      </c>
      <c r="F4864">
        <v>3</v>
      </c>
      <c r="G4864">
        <v>1</v>
      </c>
      <c r="H4864">
        <v>0</v>
      </c>
      <c r="I4864" s="12" t="s">
        <v>183</v>
      </c>
      <c r="J4864" s="12" t="s">
        <v>184</v>
      </c>
      <c r="K4864" s="12" t="s">
        <v>133</v>
      </c>
      <c r="L4864" s="12" t="s">
        <v>82</v>
      </c>
      <c r="M4864">
        <v>8.6199999999999992</v>
      </c>
      <c r="N4864" s="12" t="s">
        <v>70</v>
      </c>
      <c r="O4864" s="12" t="s">
        <v>71</v>
      </c>
      <c r="P4864" s="12" t="s">
        <v>72</v>
      </c>
      <c r="Q4864" s="13">
        <v>45782</v>
      </c>
      <c r="R4864" s="13">
        <v>45798</v>
      </c>
      <c r="S4864">
        <v>2025</v>
      </c>
      <c r="T4864" s="12" t="s">
        <v>5886</v>
      </c>
      <c r="U4864">
        <v>694</v>
      </c>
      <c r="V4864">
        <v>43.645299999999999</v>
      </c>
      <c r="W4864">
        <v>418.62</v>
      </c>
      <c r="X4864">
        <v>0</v>
      </c>
      <c r="Y4864">
        <v>0</v>
      </c>
      <c r="Z4864">
        <v>30289.84</v>
      </c>
      <c r="AA4864">
        <v>30708.46</v>
      </c>
      <c r="AB4864" s="12" t="s">
        <v>201</v>
      </c>
      <c r="AD4864">
        <v>0</v>
      </c>
      <c r="AE4864">
        <v>0</v>
      </c>
      <c r="AH4864">
        <v>694</v>
      </c>
      <c r="AI4864">
        <v>689</v>
      </c>
      <c r="AJ4864">
        <v>5</v>
      </c>
      <c r="AK4864">
        <v>1</v>
      </c>
      <c r="AL4864">
        <v>1</v>
      </c>
      <c r="AM4864">
        <v>99.28</v>
      </c>
      <c r="AN4864">
        <v>44.569600000000001</v>
      </c>
      <c r="AO4864">
        <v>218.23</v>
      </c>
      <c r="AP4864" s="13">
        <v>45797</v>
      </c>
      <c r="AQ4864">
        <v>-1</v>
      </c>
      <c r="AR4864">
        <v>1</v>
      </c>
    </row>
    <row r="4865" spans="1:44" x14ac:dyDescent="0.35">
      <c r="A4865" s="12" t="s">
        <v>5914</v>
      </c>
      <c r="B4865" s="12" t="s">
        <v>972</v>
      </c>
      <c r="C4865" s="12" t="s">
        <v>973</v>
      </c>
      <c r="D4865" s="12" t="s">
        <v>130</v>
      </c>
      <c r="E4865" s="12" t="s">
        <v>142</v>
      </c>
      <c r="F4865">
        <v>2</v>
      </c>
      <c r="G4865">
        <v>9</v>
      </c>
      <c r="H4865">
        <v>0</v>
      </c>
      <c r="I4865" s="12" t="s">
        <v>66</v>
      </c>
      <c r="J4865" s="12" t="s">
        <v>67</v>
      </c>
      <c r="K4865" s="12" t="s">
        <v>68</v>
      </c>
      <c r="L4865" s="12" t="s">
        <v>69</v>
      </c>
      <c r="M4865">
        <v>17.66</v>
      </c>
      <c r="N4865" s="12" t="s">
        <v>159</v>
      </c>
      <c r="O4865" s="12" t="s">
        <v>160</v>
      </c>
      <c r="P4865" s="12" t="s">
        <v>137</v>
      </c>
      <c r="Q4865" s="13">
        <v>45782</v>
      </c>
      <c r="R4865" s="13">
        <v>45831</v>
      </c>
      <c r="S4865">
        <v>2025</v>
      </c>
      <c r="T4865" s="12" t="s">
        <v>5886</v>
      </c>
      <c r="U4865">
        <v>120</v>
      </c>
      <c r="V4865">
        <v>784.53480000000002</v>
      </c>
      <c r="W4865">
        <v>2156.5500000000002</v>
      </c>
      <c r="X4865">
        <v>0</v>
      </c>
      <c r="Y4865">
        <v>0</v>
      </c>
      <c r="Z4865">
        <v>94144.18</v>
      </c>
      <c r="AA4865">
        <v>96300.73</v>
      </c>
      <c r="AB4865" s="12" t="s">
        <v>5915</v>
      </c>
      <c r="AC4865">
        <v>784.53480000000002</v>
      </c>
      <c r="AD4865">
        <v>1</v>
      </c>
      <c r="AE4865">
        <v>1</v>
      </c>
      <c r="AF4865">
        <v>0</v>
      </c>
      <c r="AG4865">
        <v>94144.18</v>
      </c>
      <c r="AH4865">
        <v>120</v>
      </c>
      <c r="AI4865">
        <v>119</v>
      </c>
      <c r="AJ4865">
        <v>1</v>
      </c>
      <c r="AK4865">
        <v>1</v>
      </c>
      <c r="AL4865">
        <v>1</v>
      </c>
      <c r="AM4865">
        <v>99.17</v>
      </c>
      <c r="AN4865">
        <v>809.24980000000005</v>
      </c>
      <c r="AO4865">
        <v>784.53</v>
      </c>
      <c r="AP4865" s="13">
        <v>45830</v>
      </c>
      <c r="AQ4865">
        <v>-1</v>
      </c>
      <c r="AR4865">
        <v>1</v>
      </c>
    </row>
    <row r="4866" spans="1:44" x14ac:dyDescent="0.35">
      <c r="A4866" s="12" t="s">
        <v>5916</v>
      </c>
      <c r="B4866" s="12" t="s">
        <v>561</v>
      </c>
      <c r="C4866" s="12" t="s">
        <v>562</v>
      </c>
      <c r="D4866" s="12" t="s">
        <v>130</v>
      </c>
      <c r="E4866" s="12" t="s">
        <v>142</v>
      </c>
      <c r="F4866">
        <v>1</v>
      </c>
      <c r="G4866">
        <v>9</v>
      </c>
      <c r="H4866">
        <v>1</v>
      </c>
      <c r="I4866" s="12" t="s">
        <v>223</v>
      </c>
      <c r="J4866" s="12" t="s">
        <v>224</v>
      </c>
      <c r="K4866" s="12" t="s">
        <v>81</v>
      </c>
      <c r="L4866" s="12" t="s">
        <v>134</v>
      </c>
      <c r="M4866">
        <v>2.4900000000000002</v>
      </c>
      <c r="N4866" s="12" t="s">
        <v>135</v>
      </c>
      <c r="O4866" s="12" t="s">
        <v>136</v>
      </c>
      <c r="P4866" s="12" t="s">
        <v>137</v>
      </c>
      <c r="Q4866" s="13">
        <v>45782</v>
      </c>
      <c r="R4866" s="13">
        <v>45831</v>
      </c>
      <c r="S4866">
        <v>2025</v>
      </c>
      <c r="T4866" s="12" t="s">
        <v>5886</v>
      </c>
      <c r="U4866">
        <v>125</v>
      </c>
      <c r="V4866">
        <v>516.69470000000001</v>
      </c>
      <c r="W4866">
        <v>768.62</v>
      </c>
      <c r="X4866">
        <v>0</v>
      </c>
      <c r="Y4866">
        <v>0</v>
      </c>
      <c r="Z4866">
        <v>64586.84</v>
      </c>
      <c r="AA4866">
        <v>65355.46</v>
      </c>
      <c r="AB4866" s="12" t="s">
        <v>201</v>
      </c>
      <c r="AD4866">
        <v>0</v>
      </c>
      <c r="AE4866">
        <v>0</v>
      </c>
      <c r="AH4866">
        <v>125</v>
      </c>
      <c r="AI4866">
        <v>123</v>
      </c>
      <c r="AJ4866">
        <v>2</v>
      </c>
      <c r="AK4866">
        <v>1</v>
      </c>
      <c r="AL4866">
        <v>1</v>
      </c>
      <c r="AM4866">
        <v>98.4</v>
      </c>
      <c r="AN4866">
        <v>531.34519999999998</v>
      </c>
      <c r="AO4866">
        <v>1033.3900000000001</v>
      </c>
      <c r="AP4866" s="13">
        <v>45831</v>
      </c>
      <c r="AQ4866">
        <v>0</v>
      </c>
      <c r="AR4866">
        <v>1</v>
      </c>
    </row>
    <row r="4867" spans="1:44" x14ac:dyDescent="0.35">
      <c r="A4867" s="12" t="s">
        <v>5917</v>
      </c>
      <c r="B4867" s="12" t="s">
        <v>565</v>
      </c>
      <c r="C4867" s="12" t="s">
        <v>566</v>
      </c>
      <c r="D4867" s="12" t="s">
        <v>122</v>
      </c>
      <c r="E4867" s="12" t="s">
        <v>104</v>
      </c>
      <c r="F4867">
        <v>3</v>
      </c>
      <c r="G4867">
        <v>1</v>
      </c>
      <c r="H4867">
        <v>0</v>
      </c>
      <c r="I4867" s="12" t="s">
        <v>87</v>
      </c>
      <c r="J4867" s="12" t="s">
        <v>88</v>
      </c>
      <c r="K4867" s="12" t="s">
        <v>89</v>
      </c>
      <c r="L4867" s="12" t="s">
        <v>69</v>
      </c>
      <c r="M4867">
        <v>14.93</v>
      </c>
      <c r="N4867" s="12" t="s">
        <v>70</v>
      </c>
      <c r="O4867" s="12" t="s">
        <v>71</v>
      </c>
      <c r="P4867" s="12" t="s">
        <v>72</v>
      </c>
      <c r="Q4867" s="13">
        <v>45783</v>
      </c>
      <c r="R4867" s="13">
        <v>45795</v>
      </c>
      <c r="S4867">
        <v>2025</v>
      </c>
      <c r="T4867" s="12" t="s">
        <v>5886</v>
      </c>
      <c r="U4867">
        <v>266</v>
      </c>
      <c r="V4867">
        <v>33.2194</v>
      </c>
      <c r="W4867">
        <v>112.44</v>
      </c>
      <c r="X4867">
        <v>299.2</v>
      </c>
      <c r="Y4867">
        <v>1</v>
      </c>
      <c r="Z4867">
        <v>8836.36</v>
      </c>
      <c r="AA4867">
        <v>9248</v>
      </c>
      <c r="AB4867" s="12" t="s">
        <v>5711</v>
      </c>
      <c r="AC4867">
        <v>33.2194</v>
      </c>
      <c r="AD4867">
        <v>1</v>
      </c>
      <c r="AE4867">
        <v>1</v>
      </c>
      <c r="AF4867">
        <v>0</v>
      </c>
      <c r="AG4867">
        <v>8836.36</v>
      </c>
      <c r="AH4867">
        <v>266</v>
      </c>
      <c r="AI4867">
        <v>265</v>
      </c>
      <c r="AJ4867">
        <v>1</v>
      </c>
      <c r="AK4867">
        <v>1</v>
      </c>
      <c r="AL4867">
        <v>1</v>
      </c>
      <c r="AM4867">
        <v>99.62</v>
      </c>
      <c r="AN4867">
        <v>34.898099999999999</v>
      </c>
      <c r="AO4867">
        <v>33.22</v>
      </c>
      <c r="AP4867" s="13">
        <v>45792</v>
      </c>
      <c r="AQ4867">
        <v>-3</v>
      </c>
      <c r="AR4867">
        <v>1</v>
      </c>
    </row>
    <row r="4868" spans="1:44" x14ac:dyDescent="0.35">
      <c r="A4868" s="12" t="s">
        <v>5918</v>
      </c>
      <c r="B4868" s="12" t="s">
        <v>565</v>
      </c>
      <c r="C4868" s="12" t="s">
        <v>566</v>
      </c>
      <c r="D4868" s="12" t="s">
        <v>122</v>
      </c>
      <c r="E4868" s="12" t="s">
        <v>104</v>
      </c>
      <c r="F4868">
        <v>3</v>
      </c>
      <c r="G4868">
        <v>1</v>
      </c>
      <c r="H4868">
        <v>0</v>
      </c>
      <c r="I4868" s="12" t="s">
        <v>131</v>
      </c>
      <c r="J4868" s="12" t="s">
        <v>132</v>
      </c>
      <c r="K4868" s="12" t="s">
        <v>133</v>
      </c>
      <c r="L4868" s="12" t="s">
        <v>134</v>
      </c>
      <c r="M4868">
        <v>1.51</v>
      </c>
      <c r="N4868" s="12" t="s">
        <v>97</v>
      </c>
      <c r="O4868" s="12" t="s">
        <v>98</v>
      </c>
      <c r="P4868" s="12" t="s">
        <v>72</v>
      </c>
      <c r="Q4868" s="13">
        <v>45783</v>
      </c>
      <c r="R4868" s="13">
        <v>45806</v>
      </c>
      <c r="S4868">
        <v>2025</v>
      </c>
      <c r="T4868" s="12" t="s">
        <v>5886</v>
      </c>
      <c r="U4868">
        <v>1305</v>
      </c>
      <c r="V4868">
        <v>35.119900000000001</v>
      </c>
      <c r="W4868">
        <v>1136.1400000000001</v>
      </c>
      <c r="X4868">
        <v>0</v>
      </c>
      <c r="Y4868">
        <v>0</v>
      </c>
      <c r="Z4868">
        <v>45831.47</v>
      </c>
      <c r="AA4868">
        <v>46967.61</v>
      </c>
      <c r="AB4868" s="12" t="s">
        <v>5571</v>
      </c>
      <c r="AC4868">
        <v>35.119900000000001</v>
      </c>
      <c r="AD4868">
        <v>1</v>
      </c>
      <c r="AE4868">
        <v>1</v>
      </c>
      <c r="AF4868">
        <v>0</v>
      </c>
      <c r="AG4868">
        <v>45831.47</v>
      </c>
      <c r="AH4868">
        <v>1305</v>
      </c>
      <c r="AI4868">
        <v>1296</v>
      </c>
      <c r="AJ4868">
        <v>9</v>
      </c>
      <c r="AK4868">
        <v>1</v>
      </c>
      <c r="AL4868">
        <v>1</v>
      </c>
      <c r="AM4868">
        <v>99.31</v>
      </c>
      <c r="AN4868">
        <v>36.240400000000001</v>
      </c>
      <c r="AO4868">
        <v>316.08</v>
      </c>
      <c r="AP4868" s="13">
        <v>45803</v>
      </c>
      <c r="AQ4868">
        <v>-3</v>
      </c>
      <c r="AR4868">
        <v>1</v>
      </c>
    </row>
    <row r="4869" spans="1:44" x14ac:dyDescent="0.35">
      <c r="A4869" s="12" t="s">
        <v>5919</v>
      </c>
      <c r="B4869" s="12" t="s">
        <v>848</v>
      </c>
      <c r="C4869" s="12" t="s">
        <v>849</v>
      </c>
      <c r="D4869" s="12" t="s">
        <v>103</v>
      </c>
      <c r="E4869" s="12" t="s">
        <v>65</v>
      </c>
      <c r="F4869">
        <v>2</v>
      </c>
      <c r="G4869">
        <v>4</v>
      </c>
      <c r="H4869">
        <v>0</v>
      </c>
      <c r="I4869" s="12" t="s">
        <v>87</v>
      </c>
      <c r="J4869" s="12" t="s">
        <v>88</v>
      </c>
      <c r="K4869" s="12" t="s">
        <v>89</v>
      </c>
      <c r="L4869" s="12" t="s">
        <v>69</v>
      </c>
      <c r="M4869">
        <v>14.93</v>
      </c>
      <c r="N4869" s="12" t="s">
        <v>107</v>
      </c>
      <c r="O4869" s="12" t="s">
        <v>108</v>
      </c>
      <c r="P4869" s="12" t="s">
        <v>109</v>
      </c>
      <c r="Q4869" s="13">
        <v>45783</v>
      </c>
      <c r="R4869" s="13">
        <v>45812</v>
      </c>
      <c r="S4869">
        <v>2025</v>
      </c>
      <c r="T4869" s="12" t="s">
        <v>5886</v>
      </c>
      <c r="U4869">
        <v>78</v>
      </c>
      <c r="V4869">
        <v>118.5639</v>
      </c>
      <c r="W4869">
        <v>176.96</v>
      </c>
      <c r="X4869">
        <v>0</v>
      </c>
      <c r="Y4869">
        <v>0</v>
      </c>
      <c r="Z4869">
        <v>9247.98</v>
      </c>
      <c r="AA4869">
        <v>9424.94</v>
      </c>
      <c r="AB4869" s="12" t="s">
        <v>5911</v>
      </c>
      <c r="AC4869">
        <v>118.5639</v>
      </c>
      <c r="AD4869">
        <v>1</v>
      </c>
      <c r="AE4869">
        <v>1</v>
      </c>
      <c r="AF4869">
        <v>0</v>
      </c>
      <c r="AG4869">
        <v>9247.98</v>
      </c>
      <c r="AH4869">
        <v>78</v>
      </c>
      <c r="AI4869">
        <v>77</v>
      </c>
      <c r="AJ4869">
        <v>1</v>
      </c>
      <c r="AK4869">
        <v>1</v>
      </c>
      <c r="AL4869">
        <v>1</v>
      </c>
      <c r="AM4869">
        <v>98.72</v>
      </c>
      <c r="AN4869">
        <v>122.4019</v>
      </c>
      <c r="AO4869">
        <v>118.56</v>
      </c>
      <c r="AP4869" s="13">
        <v>45810</v>
      </c>
      <c r="AQ4869">
        <v>-2</v>
      </c>
      <c r="AR4869">
        <v>1</v>
      </c>
    </row>
    <row r="4870" spans="1:44" x14ac:dyDescent="0.35">
      <c r="A4870" s="12" t="s">
        <v>5920</v>
      </c>
      <c r="B4870" s="12" t="s">
        <v>694</v>
      </c>
      <c r="C4870" s="12" t="s">
        <v>695</v>
      </c>
      <c r="D4870" s="12" t="s">
        <v>103</v>
      </c>
      <c r="E4870" s="12" t="s">
        <v>65</v>
      </c>
      <c r="F4870">
        <v>2</v>
      </c>
      <c r="G4870">
        <v>3</v>
      </c>
      <c r="H4870">
        <v>0</v>
      </c>
      <c r="I4870" s="12" t="s">
        <v>263</v>
      </c>
      <c r="J4870" s="12" t="s">
        <v>264</v>
      </c>
      <c r="K4870" s="12" t="s">
        <v>125</v>
      </c>
      <c r="L4870" s="12" t="s">
        <v>82</v>
      </c>
      <c r="M4870">
        <v>10.210000000000001</v>
      </c>
      <c r="N4870" s="12" t="s">
        <v>107</v>
      </c>
      <c r="O4870" s="12" t="s">
        <v>108</v>
      </c>
      <c r="P4870" s="12" t="s">
        <v>109</v>
      </c>
      <c r="Q4870" s="13">
        <v>45783</v>
      </c>
      <c r="R4870" s="13">
        <v>45821</v>
      </c>
      <c r="S4870">
        <v>2025</v>
      </c>
      <c r="T4870" s="12" t="s">
        <v>5886</v>
      </c>
      <c r="U4870">
        <v>147</v>
      </c>
      <c r="V4870">
        <v>206.7869</v>
      </c>
      <c r="W4870">
        <v>509.97</v>
      </c>
      <c r="X4870">
        <v>0</v>
      </c>
      <c r="Y4870">
        <v>0</v>
      </c>
      <c r="Z4870">
        <v>30397.67</v>
      </c>
      <c r="AA4870">
        <v>30907.64</v>
      </c>
      <c r="AB4870" s="12" t="s">
        <v>5721</v>
      </c>
      <c r="AC4870">
        <v>206.7869</v>
      </c>
      <c r="AD4870">
        <v>1</v>
      </c>
      <c r="AE4870">
        <v>1</v>
      </c>
      <c r="AF4870">
        <v>0</v>
      </c>
      <c r="AG4870">
        <v>30397.67</v>
      </c>
      <c r="AH4870">
        <v>147</v>
      </c>
      <c r="AI4870">
        <v>145</v>
      </c>
      <c r="AJ4870">
        <v>2</v>
      </c>
      <c r="AK4870">
        <v>1</v>
      </c>
      <c r="AL4870">
        <v>1</v>
      </c>
      <c r="AM4870">
        <v>98.64</v>
      </c>
      <c r="AN4870">
        <v>213.15620000000001</v>
      </c>
      <c r="AO4870">
        <v>413.57</v>
      </c>
      <c r="AP4870" s="13">
        <v>45821</v>
      </c>
      <c r="AQ4870">
        <v>0</v>
      </c>
      <c r="AR4870">
        <v>1</v>
      </c>
    </row>
    <row r="4871" spans="1:44" x14ac:dyDescent="0.35">
      <c r="A4871" s="12" t="s">
        <v>5921</v>
      </c>
      <c r="B4871" s="12" t="s">
        <v>408</v>
      </c>
      <c r="C4871" s="12" t="s">
        <v>409</v>
      </c>
      <c r="D4871" s="12" t="s">
        <v>130</v>
      </c>
      <c r="E4871" s="12" t="s">
        <v>65</v>
      </c>
      <c r="F4871">
        <v>3</v>
      </c>
      <c r="G4871">
        <v>5</v>
      </c>
      <c r="H4871">
        <v>0</v>
      </c>
      <c r="I4871" s="12" t="s">
        <v>105</v>
      </c>
      <c r="J4871" s="12" t="s">
        <v>106</v>
      </c>
      <c r="K4871" s="12" t="s">
        <v>81</v>
      </c>
      <c r="L4871" s="12" t="s">
        <v>96</v>
      </c>
      <c r="M4871">
        <v>5.01</v>
      </c>
      <c r="N4871" s="12" t="s">
        <v>135</v>
      </c>
      <c r="O4871" s="12" t="s">
        <v>136</v>
      </c>
      <c r="P4871" s="12" t="s">
        <v>137</v>
      </c>
      <c r="Q4871" s="13">
        <v>45783</v>
      </c>
      <c r="R4871" s="13">
        <v>45811</v>
      </c>
      <c r="S4871">
        <v>2025</v>
      </c>
      <c r="T4871" s="12" t="s">
        <v>5886</v>
      </c>
      <c r="U4871">
        <v>64</v>
      </c>
      <c r="V4871">
        <v>724.06979999999999</v>
      </c>
      <c r="W4871">
        <v>463.38</v>
      </c>
      <c r="X4871">
        <v>0</v>
      </c>
      <c r="Y4871">
        <v>0</v>
      </c>
      <c r="Z4871">
        <v>46340.47</v>
      </c>
      <c r="AA4871">
        <v>46803.85</v>
      </c>
      <c r="AB4871" s="12" t="s">
        <v>5490</v>
      </c>
      <c r="AC4871">
        <v>724.06979999999999</v>
      </c>
      <c r="AD4871">
        <v>1</v>
      </c>
      <c r="AE4871">
        <v>1</v>
      </c>
      <c r="AF4871">
        <v>0</v>
      </c>
      <c r="AG4871">
        <v>46340.47</v>
      </c>
      <c r="AH4871">
        <v>64</v>
      </c>
      <c r="AI4871">
        <v>63</v>
      </c>
      <c r="AJ4871">
        <v>1</v>
      </c>
      <c r="AK4871">
        <v>1</v>
      </c>
      <c r="AL4871">
        <v>1</v>
      </c>
      <c r="AM4871">
        <v>98.44</v>
      </c>
      <c r="AN4871">
        <v>742.91819999999996</v>
      </c>
      <c r="AO4871">
        <v>724.07</v>
      </c>
      <c r="AP4871" s="13">
        <v>45810</v>
      </c>
      <c r="AQ4871">
        <v>-1</v>
      </c>
      <c r="AR4871">
        <v>1</v>
      </c>
    </row>
    <row r="4872" spans="1:44" x14ac:dyDescent="0.35">
      <c r="A4872" s="12" t="s">
        <v>5922</v>
      </c>
      <c r="B4872" s="12" t="s">
        <v>1068</v>
      </c>
      <c r="C4872" s="12" t="s">
        <v>1069</v>
      </c>
      <c r="D4872" s="12" t="s">
        <v>122</v>
      </c>
      <c r="E4872" s="12" t="s">
        <v>65</v>
      </c>
      <c r="F4872">
        <v>2</v>
      </c>
      <c r="G4872">
        <v>2</v>
      </c>
      <c r="H4872">
        <v>0</v>
      </c>
      <c r="I4872" s="12" t="s">
        <v>195</v>
      </c>
      <c r="J4872" s="12" t="s">
        <v>196</v>
      </c>
      <c r="K4872" s="12" t="s">
        <v>117</v>
      </c>
      <c r="L4872" s="12" t="s">
        <v>134</v>
      </c>
      <c r="M4872">
        <v>4.7699999999999996</v>
      </c>
      <c r="N4872" s="12" t="s">
        <v>97</v>
      </c>
      <c r="O4872" s="12" t="s">
        <v>98</v>
      </c>
      <c r="P4872" s="12" t="s">
        <v>72</v>
      </c>
      <c r="Q4872" s="13">
        <v>45783</v>
      </c>
      <c r="R4872" s="13">
        <v>45814</v>
      </c>
      <c r="S4872">
        <v>2025</v>
      </c>
      <c r="T4872" s="12" t="s">
        <v>5886</v>
      </c>
      <c r="U4872">
        <v>1249</v>
      </c>
      <c r="V4872">
        <v>21.497499999999999</v>
      </c>
      <c r="W4872">
        <v>633.23</v>
      </c>
      <c r="X4872">
        <v>0</v>
      </c>
      <c r="Y4872">
        <v>0</v>
      </c>
      <c r="Z4872">
        <v>26850.38</v>
      </c>
      <c r="AA4872">
        <v>27483.61</v>
      </c>
      <c r="AB4872" s="12" t="s">
        <v>201</v>
      </c>
      <c r="AD4872">
        <v>0</v>
      </c>
      <c r="AE4872">
        <v>0</v>
      </c>
      <c r="AH4872">
        <v>1249</v>
      </c>
      <c r="AI4872">
        <v>1244</v>
      </c>
      <c r="AJ4872">
        <v>5</v>
      </c>
      <c r="AK4872">
        <v>1</v>
      </c>
      <c r="AL4872">
        <v>1</v>
      </c>
      <c r="AM4872">
        <v>99.6</v>
      </c>
      <c r="AN4872">
        <v>22.0929</v>
      </c>
      <c r="AO4872">
        <v>107.49</v>
      </c>
      <c r="AP4872" s="13">
        <v>45814</v>
      </c>
      <c r="AQ4872">
        <v>0</v>
      </c>
      <c r="AR4872">
        <v>1</v>
      </c>
    </row>
    <row r="4873" spans="1:44" x14ac:dyDescent="0.35">
      <c r="A4873" s="12" t="s">
        <v>5923</v>
      </c>
      <c r="B4873" s="12" t="s">
        <v>120</v>
      </c>
      <c r="C4873" s="12" t="s">
        <v>121</v>
      </c>
      <c r="D4873" s="12" t="s">
        <v>122</v>
      </c>
      <c r="E4873" s="12" t="s">
        <v>65</v>
      </c>
      <c r="F4873">
        <v>3</v>
      </c>
      <c r="G4873">
        <v>4</v>
      </c>
      <c r="H4873">
        <v>0</v>
      </c>
      <c r="I4873" s="12" t="s">
        <v>79</v>
      </c>
      <c r="J4873" s="12" t="s">
        <v>80</v>
      </c>
      <c r="K4873" s="12" t="s">
        <v>81</v>
      </c>
      <c r="L4873" s="12" t="s">
        <v>82</v>
      </c>
      <c r="M4873">
        <v>12.07</v>
      </c>
      <c r="N4873" s="12" t="s">
        <v>97</v>
      </c>
      <c r="O4873" s="12" t="s">
        <v>98</v>
      </c>
      <c r="P4873" s="12" t="s">
        <v>72</v>
      </c>
      <c r="Q4873" s="13">
        <v>45783</v>
      </c>
      <c r="R4873" s="13">
        <v>45805</v>
      </c>
      <c r="S4873">
        <v>2025</v>
      </c>
      <c r="T4873" s="12" t="s">
        <v>5886</v>
      </c>
      <c r="U4873">
        <v>331</v>
      </c>
      <c r="V4873">
        <v>48.063499999999998</v>
      </c>
      <c r="W4873">
        <v>282.04000000000002</v>
      </c>
      <c r="X4873">
        <v>0</v>
      </c>
      <c r="Y4873">
        <v>0</v>
      </c>
      <c r="Z4873">
        <v>15909.02</v>
      </c>
      <c r="AA4873">
        <v>16191.06</v>
      </c>
      <c r="AB4873" s="12" t="s">
        <v>5751</v>
      </c>
      <c r="AC4873">
        <v>51.058100000000003</v>
      </c>
      <c r="AD4873">
        <v>1</v>
      </c>
      <c r="AE4873">
        <v>1</v>
      </c>
      <c r="AF4873">
        <v>-991.21</v>
      </c>
      <c r="AG4873">
        <v>16900.23</v>
      </c>
      <c r="AH4873">
        <v>331</v>
      </c>
      <c r="AI4873">
        <v>328</v>
      </c>
      <c r="AJ4873">
        <v>3</v>
      </c>
      <c r="AK4873">
        <v>1</v>
      </c>
      <c r="AL4873">
        <v>1</v>
      </c>
      <c r="AM4873">
        <v>99.09</v>
      </c>
      <c r="AN4873">
        <v>49.363</v>
      </c>
      <c r="AO4873">
        <v>144.19</v>
      </c>
      <c r="AP4873" s="13">
        <v>45804</v>
      </c>
      <c r="AQ4873">
        <v>-1</v>
      </c>
      <c r="AR4873">
        <v>1</v>
      </c>
    </row>
    <row r="4874" spans="1:44" x14ac:dyDescent="0.35">
      <c r="A4874" s="12" t="s">
        <v>5924</v>
      </c>
      <c r="B4874" s="12" t="s">
        <v>477</v>
      </c>
      <c r="C4874" s="12" t="s">
        <v>478</v>
      </c>
      <c r="D4874" s="12" t="s">
        <v>130</v>
      </c>
      <c r="E4874" s="12" t="s">
        <v>104</v>
      </c>
      <c r="F4874">
        <v>3</v>
      </c>
      <c r="G4874">
        <v>1</v>
      </c>
      <c r="H4874">
        <v>0</v>
      </c>
      <c r="I4874" s="12" t="s">
        <v>380</v>
      </c>
      <c r="J4874" s="12" t="s">
        <v>381</v>
      </c>
      <c r="K4874" s="12" t="s">
        <v>89</v>
      </c>
      <c r="L4874" s="12" t="s">
        <v>96</v>
      </c>
      <c r="M4874">
        <v>10.210000000000001</v>
      </c>
      <c r="N4874" s="12" t="s">
        <v>135</v>
      </c>
      <c r="O4874" s="12" t="s">
        <v>136</v>
      </c>
      <c r="P4874" s="12" t="s">
        <v>137</v>
      </c>
      <c r="Q4874" s="13">
        <v>45783</v>
      </c>
      <c r="R4874" s="13">
        <v>45798</v>
      </c>
      <c r="S4874">
        <v>2025</v>
      </c>
      <c r="T4874" s="12" t="s">
        <v>5886</v>
      </c>
      <c r="U4874">
        <v>39</v>
      </c>
      <c r="V4874">
        <v>656.68050000000005</v>
      </c>
      <c r="W4874">
        <v>425.51</v>
      </c>
      <c r="X4874">
        <v>0</v>
      </c>
      <c r="Y4874">
        <v>0</v>
      </c>
      <c r="Z4874">
        <v>25610.54</v>
      </c>
      <c r="AA4874">
        <v>26036.05</v>
      </c>
      <c r="AB4874" s="12" t="s">
        <v>5872</v>
      </c>
      <c r="AC4874">
        <v>656.68050000000005</v>
      </c>
      <c r="AD4874">
        <v>1</v>
      </c>
      <c r="AE4874">
        <v>1</v>
      </c>
      <c r="AF4874">
        <v>0</v>
      </c>
      <c r="AG4874">
        <v>25610.54</v>
      </c>
      <c r="AH4874">
        <v>39</v>
      </c>
      <c r="AI4874">
        <v>38</v>
      </c>
      <c r="AJ4874">
        <v>1</v>
      </c>
      <c r="AK4874">
        <v>1</v>
      </c>
      <c r="AL4874">
        <v>1</v>
      </c>
      <c r="AM4874">
        <v>97.44</v>
      </c>
      <c r="AN4874">
        <v>685.15920000000006</v>
      </c>
      <c r="AO4874">
        <v>656.68</v>
      </c>
      <c r="AP4874" s="13">
        <v>45797</v>
      </c>
      <c r="AQ4874">
        <v>-1</v>
      </c>
      <c r="AR4874">
        <v>1</v>
      </c>
    </row>
    <row r="4875" spans="1:44" x14ac:dyDescent="0.35">
      <c r="A4875" s="12" t="s">
        <v>5925</v>
      </c>
      <c r="B4875" s="12" t="s">
        <v>876</v>
      </c>
      <c r="C4875" s="12" t="s">
        <v>877</v>
      </c>
      <c r="D4875" s="12" t="s">
        <v>269</v>
      </c>
      <c r="E4875" s="12" t="s">
        <v>142</v>
      </c>
      <c r="F4875">
        <v>3</v>
      </c>
      <c r="G4875">
        <v>11</v>
      </c>
      <c r="H4875">
        <v>0</v>
      </c>
      <c r="I4875" s="12" t="s">
        <v>310</v>
      </c>
      <c r="J4875" s="12" t="s">
        <v>311</v>
      </c>
      <c r="K4875" s="12" t="s">
        <v>81</v>
      </c>
      <c r="L4875" s="12" t="s">
        <v>69</v>
      </c>
      <c r="M4875">
        <v>28.3</v>
      </c>
      <c r="N4875" s="12" t="s">
        <v>159</v>
      </c>
      <c r="O4875" s="12" t="s">
        <v>160</v>
      </c>
      <c r="P4875" s="12" t="s">
        <v>137</v>
      </c>
      <c r="Q4875" s="13">
        <v>45783</v>
      </c>
      <c r="R4875" s="13">
        <v>45835</v>
      </c>
      <c r="S4875">
        <v>2025</v>
      </c>
      <c r="T4875" s="12" t="s">
        <v>5886</v>
      </c>
      <c r="U4875">
        <v>143</v>
      </c>
      <c r="V4875">
        <v>194.0711</v>
      </c>
      <c r="W4875">
        <v>627.57000000000005</v>
      </c>
      <c r="X4875">
        <v>0</v>
      </c>
      <c r="Y4875">
        <v>0</v>
      </c>
      <c r="Z4875">
        <v>27752.17</v>
      </c>
      <c r="AA4875">
        <v>28379.74</v>
      </c>
      <c r="AB4875" s="12" t="s">
        <v>5926</v>
      </c>
      <c r="AC4875">
        <v>194.0711</v>
      </c>
      <c r="AD4875">
        <v>1</v>
      </c>
      <c r="AE4875">
        <v>1</v>
      </c>
      <c r="AF4875">
        <v>0</v>
      </c>
      <c r="AG4875">
        <v>27752.17</v>
      </c>
      <c r="AH4875">
        <v>143</v>
      </c>
      <c r="AI4875">
        <v>142</v>
      </c>
      <c r="AJ4875">
        <v>1</v>
      </c>
      <c r="AK4875">
        <v>1</v>
      </c>
      <c r="AL4875">
        <v>1</v>
      </c>
      <c r="AM4875">
        <v>99.3</v>
      </c>
      <c r="AN4875">
        <v>199.85730000000001</v>
      </c>
      <c r="AO4875">
        <v>194.07</v>
      </c>
      <c r="AP4875" s="13">
        <v>45834</v>
      </c>
      <c r="AQ4875">
        <v>-1</v>
      </c>
      <c r="AR4875">
        <v>1</v>
      </c>
    </row>
    <row r="4876" spans="1:44" x14ac:dyDescent="0.35">
      <c r="A4876" s="12" t="s">
        <v>5927</v>
      </c>
      <c r="B4876" s="12" t="s">
        <v>990</v>
      </c>
      <c r="C4876" s="12" t="s">
        <v>991</v>
      </c>
      <c r="D4876" s="12" t="s">
        <v>122</v>
      </c>
      <c r="E4876" s="12" t="s">
        <v>142</v>
      </c>
      <c r="F4876">
        <v>1</v>
      </c>
      <c r="G4876">
        <v>6</v>
      </c>
      <c r="H4876">
        <v>1</v>
      </c>
      <c r="I4876" s="12" t="s">
        <v>217</v>
      </c>
      <c r="J4876" s="12" t="s">
        <v>218</v>
      </c>
      <c r="K4876" s="12" t="s">
        <v>68</v>
      </c>
      <c r="L4876" s="12" t="s">
        <v>82</v>
      </c>
      <c r="M4876">
        <v>14.24</v>
      </c>
      <c r="N4876" s="12" t="s">
        <v>97</v>
      </c>
      <c r="O4876" s="12" t="s">
        <v>98</v>
      </c>
      <c r="P4876" s="12" t="s">
        <v>72</v>
      </c>
      <c r="Q4876" s="13">
        <v>45783</v>
      </c>
      <c r="R4876" s="13">
        <v>45833</v>
      </c>
      <c r="S4876">
        <v>2025</v>
      </c>
      <c r="T4876" s="12" t="s">
        <v>5886</v>
      </c>
      <c r="U4876">
        <v>1739</v>
      </c>
      <c r="V4876">
        <v>33.5533</v>
      </c>
      <c r="W4876">
        <v>583.67999999999995</v>
      </c>
      <c r="X4876">
        <v>0</v>
      </c>
      <c r="Y4876">
        <v>0</v>
      </c>
      <c r="Z4876">
        <v>58349.19</v>
      </c>
      <c r="AA4876">
        <v>58932.87</v>
      </c>
      <c r="AB4876" s="12" t="s">
        <v>5831</v>
      </c>
      <c r="AC4876">
        <v>33.5533</v>
      </c>
      <c r="AD4876">
        <v>1</v>
      </c>
      <c r="AE4876">
        <v>1</v>
      </c>
      <c r="AF4876">
        <v>0</v>
      </c>
      <c r="AG4876">
        <v>58349.19</v>
      </c>
      <c r="AH4876">
        <v>1739</v>
      </c>
      <c r="AI4876">
        <v>1728</v>
      </c>
      <c r="AJ4876">
        <v>11</v>
      </c>
      <c r="AK4876">
        <v>1</v>
      </c>
      <c r="AL4876">
        <v>1</v>
      </c>
      <c r="AM4876">
        <v>99.37</v>
      </c>
      <c r="AN4876">
        <v>34.104700000000001</v>
      </c>
      <c r="AO4876">
        <v>369.09</v>
      </c>
      <c r="AP4876" s="13">
        <v>45832</v>
      </c>
      <c r="AQ4876">
        <v>-1</v>
      </c>
      <c r="AR4876">
        <v>1</v>
      </c>
    </row>
    <row r="4877" spans="1:44" x14ac:dyDescent="0.35">
      <c r="A4877" s="12" t="s">
        <v>5928</v>
      </c>
      <c r="B4877" s="12" t="s">
        <v>193</v>
      </c>
      <c r="C4877" s="12" t="s">
        <v>194</v>
      </c>
      <c r="D4877" s="12" t="s">
        <v>114</v>
      </c>
      <c r="E4877" s="12" t="s">
        <v>65</v>
      </c>
      <c r="F4877">
        <v>3</v>
      </c>
      <c r="G4877">
        <v>4</v>
      </c>
      <c r="H4877">
        <v>0</v>
      </c>
      <c r="I4877" s="12" t="s">
        <v>195</v>
      </c>
      <c r="J4877" s="12" t="s">
        <v>196</v>
      </c>
      <c r="K4877" s="12" t="s">
        <v>117</v>
      </c>
      <c r="L4877" s="12" t="s">
        <v>134</v>
      </c>
      <c r="M4877">
        <v>4.7699999999999996</v>
      </c>
      <c r="N4877" s="12" t="s">
        <v>70</v>
      </c>
      <c r="O4877" s="12" t="s">
        <v>71</v>
      </c>
      <c r="P4877" s="12" t="s">
        <v>72</v>
      </c>
      <c r="Q4877" s="13">
        <v>45783</v>
      </c>
      <c r="R4877" s="13">
        <v>45812</v>
      </c>
      <c r="S4877">
        <v>2025</v>
      </c>
      <c r="T4877" s="12" t="s">
        <v>5886</v>
      </c>
      <c r="U4877">
        <v>73</v>
      </c>
      <c r="V4877">
        <v>104.5202</v>
      </c>
      <c r="W4877">
        <v>128.31</v>
      </c>
      <c r="X4877">
        <v>0</v>
      </c>
      <c r="Y4877">
        <v>0</v>
      </c>
      <c r="Z4877">
        <v>7629.97</v>
      </c>
      <c r="AA4877">
        <v>7758.28</v>
      </c>
      <c r="AB4877" s="12" t="s">
        <v>5258</v>
      </c>
      <c r="AC4877">
        <v>104.5202</v>
      </c>
      <c r="AD4877">
        <v>1</v>
      </c>
      <c r="AE4877">
        <v>1</v>
      </c>
      <c r="AF4877">
        <v>0</v>
      </c>
      <c r="AG4877">
        <v>7629.97</v>
      </c>
      <c r="AH4877">
        <v>73</v>
      </c>
      <c r="AI4877">
        <v>72</v>
      </c>
      <c r="AJ4877">
        <v>1</v>
      </c>
      <c r="AK4877">
        <v>1</v>
      </c>
      <c r="AL4877">
        <v>1</v>
      </c>
      <c r="AM4877">
        <v>98.63</v>
      </c>
      <c r="AN4877">
        <v>107.754</v>
      </c>
      <c r="AO4877">
        <v>104.52</v>
      </c>
      <c r="AP4877" s="13">
        <v>45811</v>
      </c>
      <c r="AQ4877">
        <v>-1</v>
      </c>
      <c r="AR4877">
        <v>1</v>
      </c>
    </row>
    <row r="4878" spans="1:44" x14ac:dyDescent="0.35">
      <c r="A4878" s="12" t="s">
        <v>5929</v>
      </c>
      <c r="B4878" s="12" t="s">
        <v>532</v>
      </c>
      <c r="C4878" s="12" t="s">
        <v>533</v>
      </c>
      <c r="D4878" s="12" t="s">
        <v>114</v>
      </c>
      <c r="E4878" s="12" t="s">
        <v>65</v>
      </c>
      <c r="F4878">
        <v>2</v>
      </c>
      <c r="G4878">
        <v>3</v>
      </c>
      <c r="H4878">
        <v>0</v>
      </c>
      <c r="I4878" s="12" t="s">
        <v>115</v>
      </c>
      <c r="J4878" s="12" t="s">
        <v>116</v>
      </c>
      <c r="K4878" s="12" t="s">
        <v>117</v>
      </c>
      <c r="L4878" s="12" t="s">
        <v>82</v>
      </c>
      <c r="M4878">
        <v>17.170000000000002</v>
      </c>
      <c r="N4878" s="12" t="s">
        <v>97</v>
      </c>
      <c r="O4878" s="12" t="s">
        <v>98</v>
      </c>
      <c r="P4878" s="12" t="s">
        <v>72</v>
      </c>
      <c r="Q4878" s="13">
        <v>45783</v>
      </c>
      <c r="R4878" s="13">
        <v>45809</v>
      </c>
      <c r="S4878">
        <v>2025</v>
      </c>
      <c r="T4878" s="12" t="s">
        <v>5886</v>
      </c>
      <c r="U4878">
        <v>55</v>
      </c>
      <c r="V4878">
        <v>234.55500000000001</v>
      </c>
      <c r="W4878">
        <v>195.2</v>
      </c>
      <c r="X4878">
        <v>0</v>
      </c>
      <c r="Y4878">
        <v>0</v>
      </c>
      <c r="Z4878">
        <v>12900.53</v>
      </c>
      <c r="AA4878">
        <v>13095.73</v>
      </c>
      <c r="AB4878" s="12" t="s">
        <v>5930</v>
      </c>
      <c r="AC4878">
        <v>234.55500000000001</v>
      </c>
      <c r="AD4878">
        <v>1</v>
      </c>
      <c r="AE4878">
        <v>1</v>
      </c>
      <c r="AF4878">
        <v>0</v>
      </c>
      <c r="AG4878">
        <v>12900.53</v>
      </c>
      <c r="AH4878">
        <v>55</v>
      </c>
      <c r="AI4878">
        <v>55</v>
      </c>
      <c r="AJ4878">
        <v>0</v>
      </c>
      <c r="AK4878">
        <v>1</v>
      </c>
      <c r="AL4878">
        <v>1</v>
      </c>
      <c r="AM4878">
        <v>100</v>
      </c>
      <c r="AN4878">
        <v>238.10409999999999</v>
      </c>
      <c r="AO4878">
        <v>0</v>
      </c>
      <c r="AP4878" s="13">
        <v>45806</v>
      </c>
      <c r="AQ4878">
        <v>-3</v>
      </c>
      <c r="AR4878">
        <v>1</v>
      </c>
    </row>
    <row r="4879" spans="1:44" x14ac:dyDescent="0.35">
      <c r="A4879" s="12" t="s">
        <v>5931</v>
      </c>
      <c r="B4879" s="12" t="s">
        <v>670</v>
      </c>
      <c r="C4879" s="12" t="s">
        <v>671</v>
      </c>
      <c r="D4879" s="12" t="s">
        <v>175</v>
      </c>
      <c r="E4879" s="12" t="s">
        <v>142</v>
      </c>
      <c r="F4879">
        <v>2</v>
      </c>
      <c r="G4879">
        <v>9</v>
      </c>
      <c r="H4879">
        <v>0</v>
      </c>
      <c r="I4879" s="12" t="s">
        <v>105</v>
      </c>
      <c r="J4879" s="12" t="s">
        <v>106</v>
      </c>
      <c r="K4879" s="12" t="s">
        <v>81</v>
      </c>
      <c r="L4879" s="12" t="s">
        <v>96</v>
      </c>
      <c r="M4879">
        <v>5.01</v>
      </c>
      <c r="N4879" s="12" t="s">
        <v>107</v>
      </c>
      <c r="O4879" s="12" t="s">
        <v>108</v>
      </c>
      <c r="P4879" s="12" t="s">
        <v>109</v>
      </c>
      <c r="Q4879" s="13">
        <v>45783</v>
      </c>
      <c r="R4879" s="13">
        <v>45819</v>
      </c>
      <c r="S4879">
        <v>2025</v>
      </c>
      <c r="T4879" s="12" t="s">
        <v>5886</v>
      </c>
      <c r="U4879">
        <v>23</v>
      </c>
      <c r="V4879">
        <v>150.4879</v>
      </c>
      <c r="W4879">
        <v>30.78</v>
      </c>
      <c r="X4879">
        <v>0</v>
      </c>
      <c r="Y4879">
        <v>0</v>
      </c>
      <c r="Z4879">
        <v>3461.22</v>
      </c>
      <c r="AA4879">
        <v>3492</v>
      </c>
      <c r="AB4879" s="12" t="s">
        <v>201</v>
      </c>
      <c r="AD4879">
        <v>0</v>
      </c>
      <c r="AE4879">
        <v>0</v>
      </c>
      <c r="AH4879">
        <v>23</v>
      </c>
      <c r="AI4879">
        <v>23</v>
      </c>
      <c r="AJ4879">
        <v>0</v>
      </c>
      <c r="AK4879">
        <v>1</v>
      </c>
      <c r="AL4879">
        <v>1</v>
      </c>
      <c r="AM4879">
        <v>100</v>
      </c>
      <c r="AN4879">
        <v>151.8262</v>
      </c>
      <c r="AO4879">
        <v>0</v>
      </c>
      <c r="AP4879" s="13">
        <v>45819</v>
      </c>
      <c r="AQ4879">
        <v>0</v>
      </c>
      <c r="AR4879">
        <v>1</v>
      </c>
    </row>
    <row r="4880" spans="1:44" x14ac:dyDescent="0.35">
      <c r="A4880" s="12" t="s">
        <v>5932</v>
      </c>
      <c r="B4880" s="12" t="s">
        <v>963</v>
      </c>
      <c r="C4880" s="12" t="s">
        <v>964</v>
      </c>
      <c r="D4880" s="12" t="s">
        <v>114</v>
      </c>
      <c r="E4880" s="12" t="s">
        <v>142</v>
      </c>
      <c r="F4880">
        <v>1</v>
      </c>
      <c r="G4880">
        <v>6</v>
      </c>
      <c r="H4880">
        <v>1</v>
      </c>
      <c r="I4880" s="12" t="s">
        <v>176</v>
      </c>
      <c r="J4880" s="12" t="s">
        <v>177</v>
      </c>
      <c r="K4880" s="12" t="s">
        <v>125</v>
      </c>
      <c r="L4880" s="12" t="s">
        <v>134</v>
      </c>
      <c r="M4880">
        <v>1.75</v>
      </c>
      <c r="N4880" s="12" t="s">
        <v>97</v>
      </c>
      <c r="O4880" s="12" t="s">
        <v>98</v>
      </c>
      <c r="P4880" s="12" t="s">
        <v>72</v>
      </c>
      <c r="Q4880" s="13">
        <v>45784</v>
      </c>
      <c r="R4880" s="13">
        <v>45829</v>
      </c>
      <c r="S4880">
        <v>2025</v>
      </c>
      <c r="T4880" s="12" t="s">
        <v>5886</v>
      </c>
      <c r="U4880">
        <v>94</v>
      </c>
      <c r="V4880">
        <v>229.959</v>
      </c>
      <c r="W4880">
        <v>545.22</v>
      </c>
      <c r="X4880">
        <v>0</v>
      </c>
      <c r="Y4880">
        <v>0</v>
      </c>
      <c r="Z4880">
        <v>21616.15</v>
      </c>
      <c r="AA4880">
        <v>22161.37</v>
      </c>
      <c r="AB4880" s="12" t="s">
        <v>201</v>
      </c>
      <c r="AD4880">
        <v>0</v>
      </c>
      <c r="AE4880">
        <v>0</v>
      </c>
      <c r="AH4880">
        <v>94</v>
      </c>
      <c r="AI4880">
        <v>92</v>
      </c>
      <c r="AJ4880">
        <v>2</v>
      </c>
      <c r="AK4880">
        <v>1</v>
      </c>
      <c r="AL4880">
        <v>1</v>
      </c>
      <c r="AM4880">
        <v>97.87</v>
      </c>
      <c r="AN4880">
        <v>240.8844</v>
      </c>
      <c r="AO4880">
        <v>459.92</v>
      </c>
      <c r="AP4880" s="13">
        <v>45829</v>
      </c>
      <c r="AQ4880">
        <v>0</v>
      </c>
      <c r="AR4880">
        <v>1</v>
      </c>
    </row>
    <row r="4881" spans="1:44" x14ac:dyDescent="0.35">
      <c r="A4881" s="12" t="s">
        <v>5933</v>
      </c>
      <c r="B4881" s="12" t="s">
        <v>472</v>
      </c>
      <c r="C4881" s="12" t="s">
        <v>473</v>
      </c>
      <c r="D4881" s="12" t="s">
        <v>122</v>
      </c>
      <c r="E4881" s="12" t="s">
        <v>142</v>
      </c>
      <c r="F4881">
        <v>2</v>
      </c>
      <c r="G4881">
        <v>9</v>
      </c>
      <c r="H4881">
        <v>0</v>
      </c>
      <c r="I4881" s="12" t="s">
        <v>87</v>
      </c>
      <c r="J4881" s="12" t="s">
        <v>88</v>
      </c>
      <c r="K4881" s="12" t="s">
        <v>89</v>
      </c>
      <c r="L4881" s="12" t="s">
        <v>69</v>
      </c>
      <c r="M4881">
        <v>14.93</v>
      </c>
      <c r="N4881" s="12" t="s">
        <v>97</v>
      </c>
      <c r="O4881" s="12" t="s">
        <v>98</v>
      </c>
      <c r="P4881" s="12" t="s">
        <v>72</v>
      </c>
      <c r="Q4881" s="13">
        <v>45784</v>
      </c>
      <c r="R4881" s="13">
        <v>45833</v>
      </c>
      <c r="S4881">
        <v>2025</v>
      </c>
      <c r="T4881" s="12" t="s">
        <v>5886</v>
      </c>
      <c r="U4881">
        <v>1625</v>
      </c>
      <c r="V4881">
        <v>46.924199999999999</v>
      </c>
      <c r="W4881">
        <v>875.48</v>
      </c>
      <c r="X4881">
        <v>0</v>
      </c>
      <c r="Y4881">
        <v>0</v>
      </c>
      <c r="Z4881">
        <v>76251.83</v>
      </c>
      <c r="AA4881">
        <v>77127.31</v>
      </c>
      <c r="AB4881" s="12" t="s">
        <v>5714</v>
      </c>
      <c r="AC4881">
        <v>46.924199999999999</v>
      </c>
      <c r="AD4881">
        <v>1</v>
      </c>
      <c r="AE4881">
        <v>1</v>
      </c>
      <c r="AF4881">
        <v>0</v>
      </c>
      <c r="AG4881">
        <v>76251.83</v>
      </c>
      <c r="AH4881">
        <v>1625</v>
      </c>
      <c r="AI4881">
        <v>1618</v>
      </c>
      <c r="AJ4881">
        <v>7</v>
      </c>
      <c r="AK4881">
        <v>1</v>
      </c>
      <c r="AL4881">
        <v>1</v>
      </c>
      <c r="AM4881">
        <v>99.57</v>
      </c>
      <c r="AN4881">
        <v>47.668300000000002</v>
      </c>
      <c r="AO4881">
        <v>328.47</v>
      </c>
      <c r="AP4881" s="13">
        <v>45832</v>
      </c>
      <c r="AQ4881">
        <v>-1</v>
      </c>
      <c r="AR4881">
        <v>1</v>
      </c>
    </row>
    <row r="4882" spans="1:44" x14ac:dyDescent="0.35">
      <c r="A4882" s="12" t="s">
        <v>5934</v>
      </c>
      <c r="B4882" s="12" t="s">
        <v>646</v>
      </c>
      <c r="C4882" s="12" t="s">
        <v>647</v>
      </c>
      <c r="D4882" s="12" t="s">
        <v>175</v>
      </c>
      <c r="E4882" s="12" t="s">
        <v>104</v>
      </c>
      <c r="F4882">
        <v>3</v>
      </c>
      <c r="G4882">
        <v>1</v>
      </c>
      <c r="H4882">
        <v>0</v>
      </c>
      <c r="I4882" s="12" t="s">
        <v>227</v>
      </c>
      <c r="J4882" s="12" t="s">
        <v>228</v>
      </c>
      <c r="K4882" s="12" t="s">
        <v>89</v>
      </c>
      <c r="L4882" s="12" t="s">
        <v>96</v>
      </c>
      <c r="M4882">
        <v>9.15</v>
      </c>
      <c r="N4882" s="12" t="s">
        <v>107</v>
      </c>
      <c r="O4882" s="12" t="s">
        <v>108</v>
      </c>
      <c r="P4882" s="12" t="s">
        <v>109</v>
      </c>
      <c r="Q4882" s="13">
        <v>45784</v>
      </c>
      <c r="R4882" s="13">
        <v>45804</v>
      </c>
      <c r="S4882">
        <v>2025</v>
      </c>
      <c r="T4882" s="12" t="s">
        <v>5886</v>
      </c>
      <c r="U4882">
        <v>79</v>
      </c>
      <c r="V4882">
        <v>191.95849999999999</v>
      </c>
      <c r="W4882">
        <v>386.97</v>
      </c>
      <c r="X4882">
        <v>0</v>
      </c>
      <c r="Y4882">
        <v>0</v>
      </c>
      <c r="Z4882">
        <v>15164.72</v>
      </c>
      <c r="AA4882">
        <v>15551.69</v>
      </c>
      <c r="AB4882" s="12" t="s">
        <v>5935</v>
      </c>
      <c r="AC4882">
        <v>191.95849999999999</v>
      </c>
      <c r="AD4882">
        <v>1</v>
      </c>
      <c r="AE4882">
        <v>1</v>
      </c>
      <c r="AF4882">
        <v>0</v>
      </c>
      <c r="AG4882">
        <v>15164.72</v>
      </c>
      <c r="AH4882">
        <v>79</v>
      </c>
      <c r="AI4882">
        <v>78</v>
      </c>
      <c r="AJ4882">
        <v>1</v>
      </c>
      <c r="AK4882">
        <v>1</v>
      </c>
      <c r="AL4882">
        <v>1</v>
      </c>
      <c r="AM4882">
        <v>98.73</v>
      </c>
      <c r="AN4882">
        <v>199.38069999999999</v>
      </c>
      <c r="AO4882">
        <v>191.96</v>
      </c>
      <c r="AP4882" s="13">
        <v>45802</v>
      </c>
      <c r="AQ4882">
        <v>-2</v>
      </c>
      <c r="AR4882">
        <v>1</v>
      </c>
    </row>
    <row r="4883" spans="1:44" x14ac:dyDescent="0.35">
      <c r="A4883" s="12" t="s">
        <v>5936</v>
      </c>
      <c r="B4883" s="12" t="s">
        <v>284</v>
      </c>
      <c r="C4883" s="12" t="s">
        <v>285</v>
      </c>
      <c r="D4883" s="12" t="s">
        <v>269</v>
      </c>
      <c r="E4883" s="12" t="s">
        <v>104</v>
      </c>
      <c r="F4883">
        <v>3</v>
      </c>
      <c r="G4883">
        <v>1</v>
      </c>
      <c r="H4883">
        <v>0</v>
      </c>
      <c r="I4883" s="12" t="s">
        <v>199</v>
      </c>
      <c r="J4883" s="12" t="s">
        <v>200</v>
      </c>
      <c r="K4883" s="12" t="s">
        <v>68</v>
      </c>
      <c r="L4883" s="12" t="s">
        <v>96</v>
      </c>
      <c r="M4883">
        <v>9.4700000000000006</v>
      </c>
      <c r="N4883" s="12" t="s">
        <v>135</v>
      </c>
      <c r="O4883" s="12" t="s">
        <v>136</v>
      </c>
      <c r="P4883" s="12" t="s">
        <v>137</v>
      </c>
      <c r="Q4883" s="13">
        <v>45784</v>
      </c>
      <c r="R4883" s="13">
        <v>45808</v>
      </c>
      <c r="S4883">
        <v>2025</v>
      </c>
      <c r="T4883" s="12" t="s">
        <v>5886</v>
      </c>
      <c r="U4883">
        <v>108</v>
      </c>
      <c r="V4883">
        <v>379.21030000000002</v>
      </c>
      <c r="W4883">
        <v>513.41999999999996</v>
      </c>
      <c r="X4883">
        <v>0</v>
      </c>
      <c r="Y4883">
        <v>0</v>
      </c>
      <c r="Z4883">
        <v>40954.71</v>
      </c>
      <c r="AA4883">
        <v>41468.129999999997</v>
      </c>
      <c r="AB4883" s="12" t="s">
        <v>201</v>
      </c>
      <c r="AD4883">
        <v>0</v>
      </c>
      <c r="AE4883">
        <v>0</v>
      </c>
      <c r="AH4883">
        <v>108</v>
      </c>
      <c r="AI4883">
        <v>107</v>
      </c>
      <c r="AJ4883">
        <v>1</v>
      </c>
      <c r="AK4883">
        <v>1</v>
      </c>
      <c r="AL4883">
        <v>1</v>
      </c>
      <c r="AM4883">
        <v>99.07</v>
      </c>
      <c r="AN4883">
        <v>387.55259999999998</v>
      </c>
      <c r="AO4883">
        <v>379.21</v>
      </c>
      <c r="AP4883" s="13">
        <v>45813</v>
      </c>
      <c r="AQ4883">
        <v>5</v>
      </c>
      <c r="AR4883">
        <v>0</v>
      </c>
    </row>
    <row r="4884" spans="1:44" x14ac:dyDescent="0.35">
      <c r="A4884" s="12" t="s">
        <v>5937</v>
      </c>
      <c r="B4884" s="12" t="s">
        <v>694</v>
      </c>
      <c r="C4884" s="12" t="s">
        <v>695</v>
      </c>
      <c r="D4884" s="12" t="s">
        <v>103</v>
      </c>
      <c r="E4884" s="12" t="s">
        <v>65</v>
      </c>
      <c r="F4884">
        <v>2</v>
      </c>
      <c r="G4884">
        <v>3</v>
      </c>
      <c r="H4884">
        <v>0</v>
      </c>
      <c r="I4884" s="12" t="s">
        <v>263</v>
      </c>
      <c r="J4884" s="12" t="s">
        <v>264</v>
      </c>
      <c r="K4884" s="12" t="s">
        <v>125</v>
      </c>
      <c r="L4884" s="12" t="s">
        <v>82</v>
      </c>
      <c r="M4884">
        <v>10.210000000000001</v>
      </c>
      <c r="N4884" s="12" t="s">
        <v>107</v>
      </c>
      <c r="O4884" s="12" t="s">
        <v>108</v>
      </c>
      <c r="P4884" s="12" t="s">
        <v>109</v>
      </c>
      <c r="Q4884" s="13">
        <v>45784</v>
      </c>
      <c r="R4884" s="13">
        <v>45807</v>
      </c>
      <c r="S4884">
        <v>2025</v>
      </c>
      <c r="T4884" s="12" t="s">
        <v>5886</v>
      </c>
      <c r="U4884">
        <v>26</v>
      </c>
      <c r="V4884">
        <v>206.7869</v>
      </c>
      <c r="W4884">
        <v>45.74</v>
      </c>
      <c r="X4884">
        <v>0</v>
      </c>
      <c r="Y4884">
        <v>0</v>
      </c>
      <c r="Z4884">
        <v>5376.46</v>
      </c>
      <c r="AA4884">
        <v>5422.2</v>
      </c>
      <c r="AB4884" s="12" t="s">
        <v>5721</v>
      </c>
      <c r="AC4884">
        <v>206.7869</v>
      </c>
      <c r="AD4884">
        <v>1</v>
      </c>
      <c r="AE4884">
        <v>1</v>
      </c>
      <c r="AF4884">
        <v>0</v>
      </c>
      <c r="AG4884">
        <v>5376.46</v>
      </c>
      <c r="AH4884">
        <v>26</v>
      </c>
      <c r="AI4884">
        <v>26</v>
      </c>
      <c r="AJ4884">
        <v>0</v>
      </c>
      <c r="AK4884">
        <v>1</v>
      </c>
      <c r="AL4884">
        <v>1</v>
      </c>
      <c r="AM4884">
        <v>100</v>
      </c>
      <c r="AN4884">
        <v>208.5461</v>
      </c>
      <c r="AO4884">
        <v>0</v>
      </c>
      <c r="AP4884" s="13">
        <v>45804</v>
      </c>
      <c r="AQ4884">
        <v>-3</v>
      </c>
      <c r="AR4884">
        <v>1</v>
      </c>
    </row>
    <row r="4885" spans="1:44" x14ac:dyDescent="0.35">
      <c r="A4885" s="12" t="s">
        <v>5938</v>
      </c>
      <c r="B4885" s="12" t="s">
        <v>909</v>
      </c>
      <c r="C4885" s="12" t="s">
        <v>910</v>
      </c>
      <c r="D4885" s="12" t="s">
        <v>269</v>
      </c>
      <c r="E4885" s="12" t="s">
        <v>65</v>
      </c>
      <c r="F4885">
        <v>3</v>
      </c>
      <c r="G4885">
        <v>4</v>
      </c>
      <c r="H4885">
        <v>0</v>
      </c>
      <c r="I4885" s="12" t="s">
        <v>199</v>
      </c>
      <c r="J4885" s="12" t="s">
        <v>200</v>
      </c>
      <c r="K4885" s="12" t="s">
        <v>68</v>
      </c>
      <c r="L4885" s="12" t="s">
        <v>96</v>
      </c>
      <c r="M4885">
        <v>9.4700000000000006</v>
      </c>
      <c r="N4885" s="12" t="s">
        <v>135</v>
      </c>
      <c r="O4885" s="12" t="s">
        <v>136</v>
      </c>
      <c r="P4885" s="12" t="s">
        <v>137</v>
      </c>
      <c r="Q4885" s="13">
        <v>45784</v>
      </c>
      <c r="R4885" s="13">
        <v>45811</v>
      </c>
      <c r="S4885">
        <v>2025</v>
      </c>
      <c r="T4885" s="12" t="s">
        <v>5886</v>
      </c>
      <c r="U4885">
        <v>62</v>
      </c>
      <c r="V4885">
        <v>103.0488</v>
      </c>
      <c r="W4885">
        <v>125.1</v>
      </c>
      <c r="X4885">
        <v>0</v>
      </c>
      <c r="Y4885">
        <v>0</v>
      </c>
      <c r="Z4885">
        <v>6389.03</v>
      </c>
      <c r="AA4885">
        <v>6514.13</v>
      </c>
      <c r="AB4885" s="12" t="s">
        <v>5939</v>
      </c>
      <c r="AC4885">
        <v>103.0488</v>
      </c>
      <c r="AD4885">
        <v>1</v>
      </c>
      <c r="AE4885">
        <v>1</v>
      </c>
      <c r="AF4885">
        <v>0</v>
      </c>
      <c r="AG4885">
        <v>6389.03</v>
      </c>
      <c r="AH4885">
        <v>62</v>
      </c>
      <c r="AI4885">
        <v>62</v>
      </c>
      <c r="AJ4885">
        <v>0</v>
      </c>
      <c r="AK4885">
        <v>1</v>
      </c>
      <c r="AL4885">
        <v>1</v>
      </c>
      <c r="AM4885">
        <v>100</v>
      </c>
      <c r="AN4885">
        <v>105.0665</v>
      </c>
      <c r="AO4885">
        <v>0</v>
      </c>
      <c r="AP4885" s="13">
        <v>45819</v>
      </c>
      <c r="AQ4885">
        <v>8</v>
      </c>
      <c r="AR4885">
        <v>0</v>
      </c>
    </row>
    <row r="4886" spans="1:44" x14ac:dyDescent="0.35">
      <c r="A4886" s="12" t="s">
        <v>5940</v>
      </c>
      <c r="B4886" s="12" t="s">
        <v>519</v>
      </c>
      <c r="C4886" s="12" t="s">
        <v>520</v>
      </c>
      <c r="D4886" s="12" t="s">
        <v>78</v>
      </c>
      <c r="E4886" s="12" t="s">
        <v>65</v>
      </c>
      <c r="F4886">
        <v>2</v>
      </c>
      <c r="G4886">
        <v>3</v>
      </c>
      <c r="H4886">
        <v>0</v>
      </c>
      <c r="I4886" s="12" t="s">
        <v>143</v>
      </c>
      <c r="J4886" s="12" t="s">
        <v>144</v>
      </c>
      <c r="K4886" s="12" t="s">
        <v>133</v>
      </c>
      <c r="L4886" s="12" t="s">
        <v>96</v>
      </c>
      <c r="M4886">
        <v>5.43</v>
      </c>
      <c r="N4886" s="12" t="s">
        <v>97</v>
      </c>
      <c r="O4886" s="12" t="s">
        <v>98</v>
      </c>
      <c r="P4886" s="12" t="s">
        <v>72</v>
      </c>
      <c r="Q4886" s="13">
        <v>45784</v>
      </c>
      <c r="R4886" s="13">
        <v>45814</v>
      </c>
      <c r="S4886">
        <v>2025</v>
      </c>
      <c r="T4886" s="12" t="s">
        <v>5886</v>
      </c>
      <c r="U4886">
        <v>183</v>
      </c>
      <c r="V4886">
        <v>29.370899999999999</v>
      </c>
      <c r="W4886">
        <v>33.72</v>
      </c>
      <c r="X4886">
        <v>0</v>
      </c>
      <c r="Y4886">
        <v>0</v>
      </c>
      <c r="Z4886">
        <v>5374.87</v>
      </c>
      <c r="AA4886">
        <v>5408.59</v>
      </c>
      <c r="AB4886" s="12" t="s">
        <v>5619</v>
      </c>
      <c r="AC4886">
        <v>28.570399999999999</v>
      </c>
      <c r="AD4886">
        <v>1</v>
      </c>
      <c r="AE4886">
        <v>1</v>
      </c>
      <c r="AF4886">
        <v>146.49</v>
      </c>
      <c r="AG4886">
        <v>5228.38</v>
      </c>
      <c r="AH4886">
        <v>183</v>
      </c>
      <c r="AI4886">
        <v>180</v>
      </c>
      <c r="AJ4886">
        <v>3</v>
      </c>
      <c r="AK4886">
        <v>1</v>
      </c>
      <c r="AL4886">
        <v>1</v>
      </c>
      <c r="AM4886">
        <v>98.36</v>
      </c>
      <c r="AN4886">
        <v>30.047699999999999</v>
      </c>
      <c r="AO4886">
        <v>88.11</v>
      </c>
      <c r="AP4886" s="13">
        <v>45812</v>
      </c>
      <c r="AQ4886">
        <v>-2</v>
      </c>
      <c r="AR4886">
        <v>1</v>
      </c>
    </row>
    <row r="4887" spans="1:44" x14ac:dyDescent="0.35">
      <c r="A4887" s="12" t="s">
        <v>5941</v>
      </c>
      <c r="B4887" s="12" t="s">
        <v>339</v>
      </c>
      <c r="C4887" s="12" t="s">
        <v>340</v>
      </c>
      <c r="D4887" s="12" t="s">
        <v>103</v>
      </c>
      <c r="E4887" s="12" t="s">
        <v>142</v>
      </c>
      <c r="F4887">
        <v>2</v>
      </c>
      <c r="G4887">
        <v>9</v>
      </c>
      <c r="H4887">
        <v>0</v>
      </c>
      <c r="I4887" s="12" t="s">
        <v>169</v>
      </c>
      <c r="J4887" s="12" t="s">
        <v>170</v>
      </c>
      <c r="K4887" s="12" t="s">
        <v>89</v>
      </c>
      <c r="L4887" s="12" t="s">
        <v>134</v>
      </c>
      <c r="M4887">
        <v>1.37</v>
      </c>
      <c r="N4887" s="12" t="s">
        <v>107</v>
      </c>
      <c r="O4887" s="12" t="s">
        <v>108</v>
      </c>
      <c r="P4887" s="12" t="s">
        <v>109</v>
      </c>
      <c r="Q4887" s="13">
        <v>45784</v>
      </c>
      <c r="R4887" s="13">
        <v>45824</v>
      </c>
      <c r="S4887">
        <v>2025</v>
      </c>
      <c r="T4887" s="12" t="s">
        <v>5886</v>
      </c>
      <c r="U4887">
        <v>49</v>
      </c>
      <c r="V4887">
        <v>236.3116</v>
      </c>
      <c r="W4887">
        <v>259.22000000000003</v>
      </c>
      <c r="X4887">
        <v>0</v>
      </c>
      <c r="Y4887">
        <v>0</v>
      </c>
      <c r="Z4887">
        <v>11579.27</v>
      </c>
      <c r="AA4887">
        <v>11838.49</v>
      </c>
      <c r="AB4887" s="12" t="s">
        <v>5394</v>
      </c>
      <c r="AC4887">
        <v>236.3116</v>
      </c>
      <c r="AD4887">
        <v>1</v>
      </c>
      <c r="AE4887">
        <v>1</v>
      </c>
      <c r="AF4887">
        <v>0</v>
      </c>
      <c r="AG4887">
        <v>11579.27</v>
      </c>
      <c r="AH4887">
        <v>49</v>
      </c>
      <c r="AI4887">
        <v>48</v>
      </c>
      <c r="AJ4887">
        <v>1</v>
      </c>
      <c r="AK4887">
        <v>1</v>
      </c>
      <c r="AL4887">
        <v>1</v>
      </c>
      <c r="AM4887">
        <v>97.96</v>
      </c>
      <c r="AN4887">
        <v>246.6352</v>
      </c>
      <c r="AO4887">
        <v>236.31</v>
      </c>
      <c r="AP4887" s="13">
        <v>45824</v>
      </c>
      <c r="AQ4887">
        <v>0</v>
      </c>
      <c r="AR4887">
        <v>1</v>
      </c>
    </row>
    <row r="4888" spans="1:44" x14ac:dyDescent="0.35">
      <c r="A4888" s="12" t="s">
        <v>5942</v>
      </c>
      <c r="B4888" s="12" t="s">
        <v>1026</v>
      </c>
      <c r="C4888" s="12" t="s">
        <v>1027</v>
      </c>
      <c r="D4888" s="12" t="s">
        <v>122</v>
      </c>
      <c r="E4888" s="12" t="s">
        <v>104</v>
      </c>
      <c r="F4888">
        <v>3</v>
      </c>
      <c r="G4888">
        <v>1</v>
      </c>
      <c r="H4888">
        <v>0</v>
      </c>
      <c r="I4888" s="12" t="s">
        <v>183</v>
      </c>
      <c r="J4888" s="12" t="s">
        <v>184</v>
      </c>
      <c r="K4888" s="12" t="s">
        <v>133</v>
      </c>
      <c r="L4888" s="12" t="s">
        <v>82</v>
      </c>
      <c r="M4888">
        <v>8.6199999999999992</v>
      </c>
      <c r="N4888" s="12" t="s">
        <v>70</v>
      </c>
      <c r="O4888" s="12" t="s">
        <v>71</v>
      </c>
      <c r="P4888" s="12" t="s">
        <v>72</v>
      </c>
      <c r="Q4888" s="13">
        <v>45784</v>
      </c>
      <c r="R4888" s="13">
        <v>45802</v>
      </c>
      <c r="S4888">
        <v>2025</v>
      </c>
      <c r="T4888" s="12" t="s">
        <v>5886</v>
      </c>
      <c r="U4888">
        <v>809</v>
      </c>
      <c r="V4888">
        <v>44.629899999999999</v>
      </c>
      <c r="W4888">
        <v>301.02999999999997</v>
      </c>
      <c r="X4888">
        <v>0</v>
      </c>
      <c r="Y4888">
        <v>0</v>
      </c>
      <c r="Z4888">
        <v>36105.589999999997</v>
      </c>
      <c r="AA4888">
        <v>36406.620000000003</v>
      </c>
      <c r="AB4888" s="12" t="s">
        <v>201</v>
      </c>
      <c r="AD4888">
        <v>0</v>
      </c>
      <c r="AE4888">
        <v>0</v>
      </c>
      <c r="AH4888">
        <v>809</v>
      </c>
      <c r="AI4888">
        <v>807</v>
      </c>
      <c r="AJ4888">
        <v>2</v>
      </c>
      <c r="AK4888">
        <v>1</v>
      </c>
      <c r="AL4888">
        <v>1</v>
      </c>
      <c r="AM4888">
        <v>99.75</v>
      </c>
      <c r="AN4888">
        <v>45.113500000000002</v>
      </c>
      <c r="AO4888">
        <v>89.26</v>
      </c>
      <c r="AP4888" s="13">
        <v>45800</v>
      </c>
      <c r="AQ4888">
        <v>-2</v>
      </c>
      <c r="AR4888">
        <v>1</v>
      </c>
    </row>
    <row r="4889" spans="1:44" x14ac:dyDescent="0.35">
      <c r="A4889" s="12" t="s">
        <v>5943</v>
      </c>
      <c r="B4889" s="12" t="s">
        <v>458</v>
      </c>
      <c r="C4889" s="12" t="s">
        <v>459</v>
      </c>
      <c r="D4889" s="12" t="s">
        <v>64</v>
      </c>
      <c r="E4889" s="12" t="s">
        <v>104</v>
      </c>
      <c r="F4889">
        <v>2</v>
      </c>
      <c r="G4889">
        <v>0</v>
      </c>
      <c r="H4889">
        <v>0</v>
      </c>
      <c r="I4889" s="12" t="s">
        <v>199</v>
      </c>
      <c r="J4889" s="12" t="s">
        <v>200</v>
      </c>
      <c r="K4889" s="12" t="s">
        <v>68</v>
      </c>
      <c r="L4889" s="12" t="s">
        <v>96</v>
      </c>
      <c r="M4889">
        <v>9.4700000000000006</v>
      </c>
      <c r="N4889" s="12" t="s">
        <v>70</v>
      </c>
      <c r="O4889" s="12" t="s">
        <v>71</v>
      </c>
      <c r="P4889" s="12" t="s">
        <v>72</v>
      </c>
      <c r="Q4889" s="13">
        <v>45784</v>
      </c>
      <c r="R4889" s="13">
        <v>45801</v>
      </c>
      <c r="S4889">
        <v>2025</v>
      </c>
      <c r="T4889" s="12" t="s">
        <v>5886</v>
      </c>
      <c r="U4889">
        <v>392</v>
      </c>
      <c r="V4889">
        <v>21.352799999999998</v>
      </c>
      <c r="W4889">
        <v>150.46</v>
      </c>
      <c r="X4889">
        <v>0</v>
      </c>
      <c r="Y4889">
        <v>0</v>
      </c>
      <c r="Z4889">
        <v>8370.2999999999993</v>
      </c>
      <c r="AA4889">
        <v>8520.76</v>
      </c>
      <c r="AB4889" s="12" t="s">
        <v>5527</v>
      </c>
      <c r="AC4889">
        <v>21.352799999999998</v>
      </c>
      <c r="AD4889">
        <v>1</v>
      </c>
      <c r="AE4889">
        <v>1</v>
      </c>
      <c r="AF4889">
        <v>0</v>
      </c>
      <c r="AG4889">
        <v>8370.2999999999993</v>
      </c>
      <c r="AH4889">
        <v>392</v>
      </c>
      <c r="AI4889">
        <v>389</v>
      </c>
      <c r="AJ4889">
        <v>3</v>
      </c>
      <c r="AK4889">
        <v>1</v>
      </c>
      <c r="AL4889">
        <v>1</v>
      </c>
      <c r="AM4889">
        <v>99.23</v>
      </c>
      <c r="AN4889">
        <v>21.904299999999999</v>
      </c>
      <c r="AO4889">
        <v>64.06</v>
      </c>
      <c r="AP4889" s="13">
        <v>45804</v>
      </c>
      <c r="AQ4889">
        <v>3</v>
      </c>
      <c r="AR4889">
        <v>0</v>
      </c>
    </row>
    <row r="4890" spans="1:44" x14ac:dyDescent="0.35">
      <c r="A4890" s="12" t="s">
        <v>5944</v>
      </c>
      <c r="B4890" s="12" t="s">
        <v>941</v>
      </c>
      <c r="C4890" s="12" t="s">
        <v>942</v>
      </c>
      <c r="D4890" s="12" t="s">
        <v>130</v>
      </c>
      <c r="E4890" s="12" t="s">
        <v>104</v>
      </c>
      <c r="F4890">
        <v>2</v>
      </c>
      <c r="G4890">
        <v>0</v>
      </c>
      <c r="H4890">
        <v>0</v>
      </c>
      <c r="I4890" s="12" t="s">
        <v>131</v>
      </c>
      <c r="J4890" s="12" t="s">
        <v>132</v>
      </c>
      <c r="K4890" s="12" t="s">
        <v>133</v>
      </c>
      <c r="L4890" s="12" t="s">
        <v>134</v>
      </c>
      <c r="M4890">
        <v>1.51</v>
      </c>
      <c r="N4890" s="12" t="s">
        <v>135</v>
      </c>
      <c r="O4890" s="12" t="s">
        <v>136</v>
      </c>
      <c r="P4890" s="12" t="s">
        <v>137</v>
      </c>
      <c r="Q4890" s="13">
        <v>45784</v>
      </c>
      <c r="R4890" s="13">
        <v>45813</v>
      </c>
      <c r="S4890">
        <v>2025</v>
      </c>
      <c r="T4890" s="12" t="s">
        <v>5886</v>
      </c>
      <c r="U4890">
        <v>144</v>
      </c>
      <c r="V4890">
        <v>711.96100000000001</v>
      </c>
      <c r="W4890">
        <v>2247.31</v>
      </c>
      <c r="X4890">
        <v>0</v>
      </c>
      <c r="Y4890">
        <v>0</v>
      </c>
      <c r="Z4890">
        <v>102522.38</v>
      </c>
      <c r="AA4890">
        <v>104769.69</v>
      </c>
      <c r="AB4890" s="12" t="s">
        <v>5945</v>
      </c>
      <c r="AC4890">
        <v>711.96100000000001</v>
      </c>
      <c r="AD4890">
        <v>1</v>
      </c>
      <c r="AE4890">
        <v>1</v>
      </c>
      <c r="AF4890">
        <v>0</v>
      </c>
      <c r="AG4890">
        <v>102522.38</v>
      </c>
      <c r="AH4890">
        <v>144</v>
      </c>
      <c r="AI4890">
        <v>134</v>
      </c>
      <c r="AJ4890">
        <v>10</v>
      </c>
      <c r="AK4890">
        <v>1</v>
      </c>
      <c r="AL4890">
        <v>1</v>
      </c>
      <c r="AM4890">
        <v>93.06</v>
      </c>
      <c r="AN4890">
        <v>781.86339999999996</v>
      </c>
      <c r="AO4890">
        <v>7119.61</v>
      </c>
      <c r="AP4890" s="13">
        <v>45813</v>
      </c>
      <c r="AQ4890">
        <v>0</v>
      </c>
      <c r="AR4890">
        <v>1</v>
      </c>
    </row>
    <row r="4891" spans="1:44" x14ac:dyDescent="0.35">
      <c r="A4891" s="12" t="s">
        <v>5946</v>
      </c>
      <c r="B4891" s="12" t="s">
        <v>509</v>
      </c>
      <c r="C4891" s="12" t="s">
        <v>510</v>
      </c>
      <c r="D4891" s="12" t="s">
        <v>78</v>
      </c>
      <c r="E4891" s="12" t="s">
        <v>142</v>
      </c>
      <c r="F4891">
        <v>3</v>
      </c>
      <c r="G4891">
        <v>11</v>
      </c>
      <c r="H4891">
        <v>0</v>
      </c>
      <c r="I4891" s="12" t="s">
        <v>176</v>
      </c>
      <c r="J4891" s="12" t="s">
        <v>177</v>
      </c>
      <c r="K4891" s="12" t="s">
        <v>125</v>
      </c>
      <c r="L4891" s="12" t="s">
        <v>134</v>
      </c>
      <c r="M4891">
        <v>1.75</v>
      </c>
      <c r="N4891" s="12" t="s">
        <v>70</v>
      </c>
      <c r="O4891" s="12" t="s">
        <v>71</v>
      </c>
      <c r="P4891" s="12" t="s">
        <v>72</v>
      </c>
      <c r="Q4891" s="13">
        <v>45784</v>
      </c>
      <c r="R4891" s="13">
        <v>45824</v>
      </c>
      <c r="S4891">
        <v>2025</v>
      </c>
      <c r="T4891" s="12" t="s">
        <v>5886</v>
      </c>
      <c r="U4891">
        <v>114</v>
      </c>
      <c r="V4891">
        <v>144.93559999999999</v>
      </c>
      <c r="W4891">
        <v>377.5</v>
      </c>
      <c r="X4891">
        <v>510.09</v>
      </c>
      <c r="Y4891">
        <v>1</v>
      </c>
      <c r="Z4891">
        <v>16522.66</v>
      </c>
      <c r="AA4891">
        <v>17410.25</v>
      </c>
      <c r="AB4891" s="12" t="s">
        <v>201</v>
      </c>
      <c r="AD4891">
        <v>0</v>
      </c>
      <c r="AE4891">
        <v>0</v>
      </c>
      <c r="AH4891">
        <v>114</v>
      </c>
      <c r="AI4891">
        <v>112</v>
      </c>
      <c r="AJ4891">
        <v>2</v>
      </c>
      <c r="AK4891">
        <v>1</v>
      </c>
      <c r="AL4891">
        <v>1</v>
      </c>
      <c r="AM4891">
        <v>98.25</v>
      </c>
      <c r="AN4891">
        <v>155.4486</v>
      </c>
      <c r="AO4891">
        <v>289.87</v>
      </c>
      <c r="AP4891" s="13">
        <v>45831</v>
      </c>
      <c r="AQ4891">
        <v>7</v>
      </c>
      <c r="AR4891">
        <v>0</v>
      </c>
    </row>
    <row r="4892" spans="1:44" x14ac:dyDescent="0.35">
      <c r="A4892" s="12" t="s">
        <v>5947</v>
      </c>
      <c r="B4892" s="12" t="s">
        <v>404</v>
      </c>
      <c r="C4892" s="12" t="s">
        <v>405</v>
      </c>
      <c r="D4892" s="12" t="s">
        <v>269</v>
      </c>
      <c r="E4892" s="12" t="s">
        <v>65</v>
      </c>
      <c r="F4892">
        <v>3</v>
      </c>
      <c r="G4892">
        <v>5</v>
      </c>
      <c r="H4892">
        <v>0</v>
      </c>
      <c r="I4892" s="12" t="s">
        <v>79</v>
      </c>
      <c r="J4892" s="12" t="s">
        <v>80</v>
      </c>
      <c r="K4892" s="12" t="s">
        <v>81</v>
      </c>
      <c r="L4892" s="12" t="s">
        <v>82</v>
      </c>
      <c r="M4892">
        <v>12.07</v>
      </c>
      <c r="N4892" s="12" t="s">
        <v>135</v>
      </c>
      <c r="O4892" s="12" t="s">
        <v>136</v>
      </c>
      <c r="P4892" s="12" t="s">
        <v>137</v>
      </c>
      <c r="Q4892" s="13">
        <v>45785</v>
      </c>
      <c r="R4892" s="13">
        <v>45817</v>
      </c>
      <c r="S4892">
        <v>2025</v>
      </c>
      <c r="T4892" s="12" t="s">
        <v>5886</v>
      </c>
      <c r="U4892">
        <v>102</v>
      </c>
      <c r="V4892">
        <v>430.10059999999999</v>
      </c>
      <c r="W4892">
        <v>1068.4100000000001</v>
      </c>
      <c r="X4892">
        <v>0</v>
      </c>
      <c r="Y4892">
        <v>0</v>
      </c>
      <c r="Z4892">
        <v>43870.26</v>
      </c>
      <c r="AA4892">
        <v>44938.67</v>
      </c>
      <c r="AB4892" s="12" t="s">
        <v>5503</v>
      </c>
      <c r="AC4892">
        <v>430.10059999999999</v>
      </c>
      <c r="AD4892">
        <v>1</v>
      </c>
      <c r="AE4892">
        <v>1</v>
      </c>
      <c r="AF4892">
        <v>0</v>
      </c>
      <c r="AG4892">
        <v>43870.26</v>
      </c>
      <c r="AH4892">
        <v>102</v>
      </c>
      <c r="AI4892">
        <v>102</v>
      </c>
      <c r="AJ4892">
        <v>0</v>
      </c>
      <c r="AK4892">
        <v>1</v>
      </c>
      <c r="AL4892">
        <v>1</v>
      </c>
      <c r="AM4892">
        <v>100</v>
      </c>
      <c r="AN4892">
        <v>440.5752</v>
      </c>
      <c r="AO4892">
        <v>0</v>
      </c>
      <c r="AP4892" s="13">
        <v>45818</v>
      </c>
      <c r="AQ4892">
        <v>1</v>
      </c>
      <c r="AR4892">
        <v>0</v>
      </c>
    </row>
    <row r="4893" spans="1:44" x14ac:dyDescent="0.35">
      <c r="A4893" s="12" t="s">
        <v>5948</v>
      </c>
      <c r="B4893" s="12" t="s">
        <v>101</v>
      </c>
      <c r="C4893" s="12" t="s">
        <v>102</v>
      </c>
      <c r="D4893" s="12" t="s">
        <v>103</v>
      </c>
      <c r="E4893" s="12" t="s">
        <v>104</v>
      </c>
      <c r="F4893">
        <v>1</v>
      </c>
      <c r="G4893">
        <v>0</v>
      </c>
      <c r="H4893">
        <v>1</v>
      </c>
      <c r="I4893" s="12" t="s">
        <v>105</v>
      </c>
      <c r="J4893" s="12" t="s">
        <v>106</v>
      </c>
      <c r="K4893" s="12" t="s">
        <v>81</v>
      </c>
      <c r="L4893" s="12" t="s">
        <v>96</v>
      </c>
      <c r="M4893">
        <v>5.01</v>
      </c>
      <c r="N4893" s="12" t="s">
        <v>107</v>
      </c>
      <c r="O4893" s="12" t="s">
        <v>108</v>
      </c>
      <c r="P4893" s="12" t="s">
        <v>109</v>
      </c>
      <c r="Q4893" s="13">
        <v>45785</v>
      </c>
      <c r="R4893" s="13">
        <v>45805</v>
      </c>
      <c r="S4893">
        <v>2025</v>
      </c>
      <c r="T4893" s="12" t="s">
        <v>5886</v>
      </c>
      <c r="U4893">
        <v>73</v>
      </c>
      <c r="V4893">
        <v>203.18520000000001</v>
      </c>
      <c r="W4893">
        <v>242.89</v>
      </c>
      <c r="X4893">
        <v>0</v>
      </c>
      <c r="Y4893">
        <v>0</v>
      </c>
      <c r="Z4893">
        <v>14832.52</v>
      </c>
      <c r="AA4893">
        <v>15075.41</v>
      </c>
      <c r="AB4893" s="12" t="s">
        <v>5173</v>
      </c>
      <c r="AC4893">
        <v>203.18520000000001</v>
      </c>
      <c r="AD4893">
        <v>1</v>
      </c>
      <c r="AE4893">
        <v>1</v>
      </c>
      <c r="AF4893">
        <v>0</v>
      </c>
      <c r="AG4893">
        <v>14832.52</v>
      </c>
      <c r="AH4893">
        <v>73</v>
      </c>
      <c r="AI4893">
        <v>72</v>
      </c>
      <c r="AJ4893">
        <v>1</v>
      </c>
      <c r="AK4893">
        <v>1</v>
      </c>
      <c r="AL4893">
        <v>1</v>
      </c>
      <c r="AM4893">
        <v>98.63</v>
      </c>
      <c r="AN4893">
        <v>209.38069999999999</v>
      </c>
      <c r="AO4893">
        <v>203.19</v>
      </c>
      <c r="AP4893" s="13">
        <v>45803</v>
      </c>
      <c r="AQ4893">
        <v>-2</v>
      </c>
      <c r="AR4893">
        <v>1</v>
      </c>
    </row>
    <row r="4894" spans="1:44" x14ac:dyDescent="0.35">
      <c r="A4894" s="12" t="s">
        <v>5949</v>
      </c>
      <c r="B4894" s="12" t="s">
        <v>963</v>
      </c>
      <c r="C4894" s="12" t="s">
        <v>964</v>
      </c>
      <c r="D4894" s="12" t="s">
        <v>114</v>
      </c>
      <c r="E4894" s="12" t="s">
        <v>142</v>
      </c>
      <c r="F4894">
        <v>1</v>
      </c>
      <c r="G4894">
        <v>6</v>
      </c>
      <c r="H4894">
        <v>1</v>
      </c>
      <c r="I4894" s="12" t="s">
        <v>176</v>
      </c>
      <c r="J4894" s="12" t="s">
        <v>177</v>
      </c>
      <c r="K4894" s="12" t="s">
        <v>125</v>
      </c>
      <c r="L4894" s="12" t="s">
        <v>134</v>
      </c>
      <c r="M4894">
        <v>1.75</v>
      </c>
      <c r="N4894" s="12" t="s">
        <v>97</v>
      </c>
      <c r="O4894" s="12" t="s">
        <v>98</v>
      </c>
      <c r="P4894" s="12" t="s">
        <v>72</v>
      </c>
      <c r="Q4894" s="13">
        <v>45785</v>
      </c>
      <c r="R4894" s="13">
        <v>45831</v>
      </c>
      <c r="S4894">
        <v>2025</v>
      </c>
      <c r="T4894" s="12" t="s">
        <v>5886</v>
      </c>
      <c r="U4894">
        <v>97</v>
      </c>
      <c r="V4894">
        <v>216.637</v>
      </c>
      <c r="W4894">
        <v>174.82</v>
      </c>
      <c r="X4894">
        <v>0</v>
      </c>
      <c r="Y4894">
        <v>0</v>
      </c>
      <c r="Z4894">
        <v>21013.79</v>
      </c>
      <c r="AA4894">
        <v>21188.61</v>
      </c>
      <c r="AB4894" s="12" t="s">
        <v>201</v>
      </c>
      <c r="AD4894">
        <v>0</v>
      </c>
      <c r="AE4894">
        <v>0</v>
      </c>
      <c r="AH4894">
        <v>97</v>
      </c>
      <c r="AI4894">
        <v>95</v>
      </c>
      <c r="AJ4894">
        <v>2</v>
      </c>
      <c r="AK4894">
        <v>1</v>
      </c>
      <c r="AL4894">
        <v>1</v>
      </c>
      <c r="AM4894">
        <v>97.94</v>
      </c>
      <c r="AN4894">
        <v>223.03800000000001</v>
      </c>
      <c r="AO4894">
        <v>433.27</v>
      </c>
      <c r="AP4894" s="13">
        <v>45840</v>
      </c>
      <c r="AQ4894">
        <v>9</v>
      </c>
      <c r="AR4894">
        <v>0</v>
      </c>
    </row>
    <row r="4895" spans="1:44" x14ac:dyDescent="0.35">
      <c r="A4895" s="12" t="s">
        <v>5950</v>
      </c>
      <c r="B4895" s="12" t="s">
        <v>513</v>
      </c>
      <c r="C4895" s="12" t="s">
        <v>514</v>
      </c>
      <c r="D4895" s="12" t="s">
        <v>269</v>
      </c>
      <c r="E4895" s="12" t="s">
        <v>65</v>
      </c>
      <c r="F4895">
        <v>1</v>
      </c>
      <c r="G4895">
        <v>2</v>
      </c>
      <c r="H4895">
        <v>1</v>
      </c>
      <c r="I4895" s="12" t="s">
        <v>515</v>
      </c>
      <c r="J4895" s="12" t="s">
        <v>516</v>
      </c>
      <c r="K4895" s="12" t="s">
        <v>68</v>
      </c>
      <c r="L4895" s="12" t="s">
        <v>134</v>
      </c>
      <c r="M4895">
        <v>3.69</v>
      </c>
      <c r="N4895" s="12" t="s">
        <v>159</v>
      </c>
      <c r="O4895" s="12" t="s">
        <v>160</v>
      </c>
      <c r="P4895" s="12" t="s">
        <v>137</v>
      </c>
      <c r="Q4895" s="13">
        <v>45785</v>
      </c>
      <c r="R4895" s="13">
        <v>45820</v>
      </c>
      <c r="S4895">
        <v>2025</v>
      </c>
      <c r="T4895" s="12" t="s">
        <v>5886</v>
      </c>
      <c r="U4895">
        <v>122</v>
      </c>
      <c r="V4895">
        <v>212.0187</v>
      </c>
      <c r="W4895">
        <v>515.5</v>
      </c>
      <c r="X4895">
        <v>0</v>
      </c>
      <c r="Y4895">
        <v>0</v>
      </c>
      <c r="Z4895">
        <v>25866.28</v>
      </c>
      <c r="AA4895">
        <v>26381.78</v>
      </c>
      <c r="AB4895" s="12" t="s">
        <v>201</v>
      </c>
      <c r="AD4895">
        <v>0</v>
      </c>
      <c r="AE4895">
        <v>0</v>
      </c>
      <c r="AH4895">
        <v>122</v>
      </c>
      <c r="AI4895">
        <v>122</v>
      </c>
      <c r="AJ4895">
        <v>0</v>
      </c>
      <c r="AK4895">
        <v>1</v>
      </c>
      <c r="AL4895">
        <v>1</v>
      </c>
      <c r="AM4895">
        <v>100</v>
      </c>
      <c r="AN4895">
        <v>216.2441</v>
      </c>
      <c r="AO4895">
        <v>0</v>
      </c>
      <c r="AP4895" s="13">
        <v>45820</v>
      </c>
      <c r="AQ4895">
        <v>0</v>
      </c>
      <c r="AR4895">
        <v>1</v>
      </c>
    </row>
    <row r="4896" spans="1:44" x14ac:dyDescent="0.35">
      <c r="A4896" s="12" t="s">
        <v>5951</v>
      </c>
      <c r="B4896" s="12" t="s">
        <v>451</v>
      </c>
      <c r="C4896" s="12" t="s">
        <v>452</v>
      </c>
      <c r="D4896" s="12" t="s">
        <v>175</v>
      </c>
      <c r="E4896" s="12" t="s">
        <v>104</v>
      </c>
      <c r="F4896">
        <v>3</v>
      </c>
      <c r="G4896">
        <v>1</v>
      </c>
      <c r="H4896">
        <v>0</v>
      </c>
      <c r="I4896" s="12" t="s">
        <v>157</v>
      </c>
      <c r="J4896" s="12" t="s">
        <v>158</v>
      </c>
      <c r="K4896" s="12" t="s">
        <v>117</v>
      </c>
      <c r="L4896" s="12" t="s">
        <v>96</v>
      </c>
      <c r="M4896">
        <v>4.72</v>
      </c>
      <c r="N4896" s="12" t="s">
        <v>145</v>
      </c>
      <c r="O4896" s="12" t="s">
        <v>146</v>
      </c>
      <c r="P4896" s="12" t="s">
        <v>109</v>
      </c>
      <c r="Q4896" s="13">
        <v>45785</v>
      </c>
      <c r="R4896" s="13">
        <v>45797</v>
      </c>
      <c r="S4896">
        <v>2025</v>
      </c>
      <c r="T4896" s="12" t="s">
        <v>5886</v>
      </c>
      <c r="U4896">
        <v>13</v>
      </c>
      <c r="V4896">
        <v>251.43340000000001</v>
      </c>
      <c r="W4896">
        <v>28.42</v>
      </c>
      <c r="X4896">
        <v>0</v>
      </c>
      <c r="Y4896">
        <v>0</v>
      </c>
      <c r="Z4896">
        <v>3268.63</v>
      </c>
      <c r="AA4896">
        <v>3297.05</v>
      </c>
      <c r="AB4896" s="12" t="s">
        <v>201</v>
      </c>
      <c r="AD4896">
        <v>0</v>
      </c>
      <c r="AE4896">
        <v>0</v>
      </c>
      <c r="AH4896">
        <v>13</v>
      </c>
      <c r="AI4896">
        <v>13</v>
      </c>
      <c r="AJ4896">
        <v>0</v>
      </c>
      <c r="AK4896">
        <v>1</v>
      </c>
      <c r="AL4896">
        <v>1</v>
      </c>
      <c r="AM4896">
        <v>100</v>
      </c>
      <c r="AN4896">
        <v>253.61959999999999</v>
      </c>
      <c r="AO4896">
        <v>0</v>
      </c>
      <c r="AP4896" s="13">
        <v>45796</v>
      </c>
      <c r="AQ4896">
        <v>-1</v>
      </c>
      <c r="AR4896">
        <v>1</v>
      </c>
    </row>
    <row r="4897" spans="1:44" x14ac:dyDescent="0.35">
      <c r="A4897" s="12" t="s">
        <v>5952</v>
      </c>
      <c r="B4897" s="12" t="s">
        <v>787</v>
      </c>
      <c r="C4897" s="12" t="s">
        <v>788</v>
      </c>
      <c r="D4897" s="12" t="s">
        <v>269</v>
      </c>
      <c r="E4897" s="12" t="s">
        <v>65</v>
      </c>
      <c r="F4897">
        <v>2</v>
      </c>
      <c r="G4897">
        <v>3</v>
      </c>
      <c r="H4897">
        <v>0</v>
      </c>
      <c r="I4897" s="12" t="s">
        <v>143</v>
      </c>
      <c r="J4897" s="12" t="s">
        <v>144</v>
      </c>
      <c r="K4897" s="12" t="s">
        <v>133</v>
      </c>
      <c r="L4897" s="12" t="s">
        <v>96</v>
      </c>
      <c r="M4897">
        <v>5.43</v>
      </c>
      <c r="N4897" s="12" t="s">
        <v>159</v>
      </c>
      <c r="O4897" s="12" t="s">
        <v>160</v>
      </c>
      <c r="P4897" s="12" t="s">
        <v>137</v>
      </c>
      <c r="Q4897" s="13">
        <v>45785</v>
      </c>
      <c r="R4897" s="13">
        <v>45813</v>
      </c>
      <c r="S4897">
        <v>2025</v>
      </c>
      <c r="T4897" s="12" t="s">
        <v>5886</v>
      </c>
      <c r="U4897">
        <v>65</v>
      </c>
      <c r="V4897">
        <v>331.79969999999997</v>
      </c>
      <c r="W4897">
        <v>293.82</v>
      </c>
      <c r="X4897">
        <v>0</v>
      </c>
      <c r="Y4897">
        <v>0</v>
      </c>
      <c r="Z4897">
        <v>21566.98</v>
      </c>
      <c r="AA4897">
        <v>21860.799999999999</v>
      </c>
      <c r="AB4897" s="12" t="s">
        <v>5902</v>
      </c>
      <c r="AC4897">
        <v>331.79969999999997</v>
      </c>
      <c r="AD4897">
        <v>1</v>
      </c>
      <c r="AE4897">
        <v>1</v>
      </c>
      <c r="AF4897">
        <v>0</v>
      </c>
      <c r="AG4897">
        <v>21566.98</v>
      </c>
      <c r="AH4897">
        <v>65</v>
      </c>
      <c r="AI4897">
        <v>64</v>
      </c>
      <c r="AJ4897">
        <v>1</v>
      </c>
      <c r="AK4897">
        <v>1</v>
      </c>
      <c r="AL4897">
        <v>1</v>
      </c>
      <c r="AM4897">
        <v>98.46</v>
      </c>
      <c r="AN4897">
        <v>341.57499999999999</v>
      </c>
      <c r="AO4897">
        <v>331.8</v>
      </c>
      <c r="AP4897" s="13">
        <v>45812</v>
      </c>
      <c r="AQ4897">
        <v>-1</v>
      </c>
      <c r="AR4897">
        <v>1</v>
      </c>
    </row>
    <row r="4898" spans="1:44" x14ac:dyDescent="0.35">
      <c r="A4898" s="12" t="s">
        <v>5953</v>
      </c>
      <c r="B4898" s="12" t="s">
        <v>391</v>
      </c>
      <c r="C4898" s="12" t="s">
        <v>392</v>
      </c>
      <c r="D4898" s="12" t="s">
        <v>114</v>
      </c>
      <c r="E4898" s="12" t="s">
        <v>65</v>
      </c>
      <c r="F4898">
        <v>2</v>
      </c>
      <c r="G4898">
        <v>2</v>
      </c>
      <c r="H4898">
        <v>0</v>
      </c>
      <c r="I4898" s="12" t="s">
        <v>310</v>
      </c>
      <c r="J4898" s="12" t="s">
        <v>311</v>
      </c>
      <c r="K4898" s="12" t="s">
        <v>81</v>
      </c>
      <c r="L4898" s="12" t="s">
        <v>69</v>
      </c>
      <c r="M4898">
        <v>28.3</v>
      </c>
      <c r="N4898" s="12" t="s">
        <v>70</v>
      </c>
      <c r="O4898" s="12" t="s">
        <v>71</v>
      </c>
      <c r="P4898" s="12" t="s">
        <v>72</v>
      </c>
      <c r="Q4898" s="13">
        <v>45785</v>
      </c>
      <c r="R4898" s="13">
        <v>45811</v>
      </c>
      <c r="S4898">
        <v>2025</v>
      </c>
      <c r="T4898" s="12" t="s">
        <v>5886</v>
      </c>
      <c r="U4898">
        <v>54</v>
      </c>
      <c r="V4898">
        <v>230.13120000000001</v>
      </c>
      <c r="W4898">
        <v>204.62</v>
      </c>
      <c r="X4898">
        <v>0</v>
      </c>
      <c r="Y4898">
        <v>0</v>
      </c>
      <c r="Z4898">
        <v>12427.08</v>
      </c>
      <c r="AA4898">
        <v>12631.7</v>
      </c>
      <c r="AB4898" s="12" t="s">
        <v>201</v>
      </c>
      <c r="AD4898">
        <v>0</v>
      </c>
      <c r="AE4898">
        <v>0</v>
      </c>
      <c r="AH4898">
        <v>54</v>
      </c>
      <c r="AI4898">
        <v>53</v>
      </c>
      <c r="AJ4898">
        <v>1</v>
      </c>
      <c r="AK4898">
        <v>1</v>
      </c>
      <c r="AL4898">
        <v>1</v>
      </c>
      <c r="AM4898">
        <v>98.15</v>
      </c>
      <c r="AN4898">
        <v>238.33410000000001</v>
      </c>
      <c r="AO4898">
        <v>230.13</v>
      </c>
      <c r="AP4898" s="13">
        <v>45811</v>
      </c>
      <c r="AQ4898">
        <v>0</v>
      </c>
      <c r="AR4898">
        <v>1</v>
      </c>
    </row>
    <row r="4899" spans="1:44" x14ac:dyDescent="0.35">
      <c r="A4899" s="12" t="s">
        <v>5954</v>
      </c>
      <c r="B4899" s="12" t="s">
        <v>544</v>
      </c>
      <c r="C4899" s="12" t="s">
        <v>545</v>
      </c>
      <c r="D4899" s="12" t="s">
        <v>175</v>
      </c>
      <c r="E4899" s="12" t="s">
        <v>65</v>
      </c>
      <c r="F4899">
        <v>3</v>
      </c>
      <c r="G4899">
        <v>5</v>
      </c>
      <c r="H4899">
        <v>0</v>
      </c>
      <c r="I4899" s="12" t="s">
        <v>66</v>
      </c>
      <c r="J4899" s="12" t="s">
        <v>67</v>
      </c>
      <c r="K4899" s="12" t="s">
        <v>68</v>
      </c>
      <c r="L4899" s="12" t="s">
        <v>69</v>
      </c>
      <c r="M4899">
        <v>17.66</v>
      </c>
      <c r="N4899" s="12" t="s">
        <v>107</v>
      </c>
      <c r="O4899" s="12" t="s">
        <v>108</v>
      </c>
      <c r="P4899" s="12" t="s">
        <v>109</v>
      </c>
      <c r="Q4899" s="13">
        <v>45786</v>
      </c>
      <c r="R4899" s="13">
        <v>45813</v>
      </c>
      <c r="S4899">
        <v>2025</v>
      </c>
      <c r="T4899" s="12" t="s">
        <v>5886</v>
      </c>
      <c r="U4899">
        <v>62</v>
      </c>
      <c r="V4899">
        <v>154.0506</v>
      </c>
      <c r="W4899">
        <v>137.26</v>
      </c>
      <c r="X4899">
        <v>0</v>
      </c>
      <c r="Y4899">
        <v>0</v>
      </c>
      <c r="Z4899">
        <v>9551.14</v>
      </c>
      <c r="AA4899">
        <v>9688.4</v>
      </c>
      <c r="AB4899" s="12" t="s">
        <v>201</v>
      </c>
      <c r="AD4899">
        <v>0</v>
      </c>
      <c r="AE4899">
        <v>0</v>
      </c>
      <c r="AH4899">
        <v>62</v>
      </c>
      <c r="AI4899">
        <v>62</v>
      </c>
      <c r="AJ4899">
        <v>0</v>
      </c>
      <c r="AK4899">
        <v>1</v>
      </c>
      <c r="AL4899">
        <v>1</v>
      </c>
      <c r="AM4899">
        <v>100</v>
      </c>
      <c r="AN4899">
        <v>156.2645</v>
      </c>
      <c r="AO4899">
        <v>0</v>
      </c>
      <c r="AP4899" s="13">
        <v>45813</v>
      </c>
      <c r="AQ4899">
        <v>0</v>
      </c>
      <c r="AR4899">
        <v>1</v>
      </c>
    </row>
    <row r="4900" spans="1:44" x14ac:dyDescent="0.35">
      <c r="A4900" s="12" t="s">
        <v>5955</v>
      </c>
      <c r="B4900" s="12" t="s">
        <v>891</v>
      </c>
      <c r="C4900" s="12" t="s">
        <v>892</v>
      </c>
      <c r="D4900" s="12" t="s">
        <v>122</v>
      </c>
      <c r="E4900" s="12" t="s">
        <v>65</v>
      </c>
      <c r="F4900">
        <v>3</v>
      </c>
      <c r="G4900">
        <v>5</v>
      </c>
      <c r="H4900">
        <v>0</v>
      </c>
      <c r="I4900" s="12" t="s">
        <v>195</v>
      </c>
      <c r="J4900" s="12" t="s">
        <v>196</v>
      </c>
      <c r="K4900" s="12" t="s">
        <v>117</v>
      </c>
      <c r="L4900" s="12" t="s">
        <v>134</v>
      </c>
      <c r="M4900">
        <v>4.7699999999999996</v>
      </c>
      <c r="N4900" s="12" t="s">
        <v>70</v>
      </c>
      <c r="O4900" s="12" t="s">
        <v>71</v>
      </c>
      <c r="P4900" s="12" t="s">
        <v>72</v>
      </c>
      <c r="Q4900" s="13">
        <v>45786</v>
      </c>
      <c r="R4900" s="13">
        <v>45811</v>
      </c>
      <c r="S4900">
        <v>2025</v>
      </c>
      <c r="T4900" s="12" t="s">
        <v>5886</v>
      </c>
      <c r="U4900">
        <v>621</v>
      </c>
      <c r="V4900">
        <v>36.331099999999999</v>
      </c>
      <c r="W4900">
        <v>503.87</v>
      </c>
      <c r="X4900">
        <v>0</v>
      </c>
      <c r="Y4900">
        <v>0</v>
      </c>
      <c r="Z4900">
        <v>22561.61</v>
      </c>
      <c r="AA4900">
        <v>23065.48</v>
      </c>
      <c r="AB4900" s="12" t="s">
        <v>5810</v>
      </c>
      <c r="AC4900">
        <v>36.331099999999999</v>
      </c>
      <c r="AD4900">
        <v>1</v>
      </c>
      <c r="AE4900">
        <v>1</v>
      </c>
      <c r="AF4900">
        <v>0</v>
      </c>
      <c r="AG4900">
        <v>22561.61</v>
      </c>
      <c r="AH4900">
        <v>621</v>
      </c>
      <c r="AI4900">
        <v>618</v>
      </c>
      <c r="AJ4900">
        <v>3</v>
      </c>
      <c r="AK4900">
        <v>1</v>
      </c>
      <c r="AL4900">
        <v>1</v>
      </c>
      <c r="AM4900">
        <v>99.52</v>
      </c>
      <c r="AN4900">
        <v>37.322800000000001</v>
      </c>
      <c r="AO4900">
        <v>108.99</v>
      </c>
      <c r="AP4900" s="13">
        <v>45811</v>
      </c>
      <c r="AQ4900">
        <v>0</v>
      </c>
      <c r="AR4900">
        <v>1</v>
      </c>
    </row>
    <row r="4901" spans="1:44" x14ac:dyDescent="0.35">
      <c r="A4901" s="12" t="s">
        <v>5956</v>
      </c>
      <c r="B4901" s="12" t="s">
        <v>350</v>
      </c>
      <c r="C4901" s="12" t="s">
        <v>351</v>
      </c>
      <c r="D4901" s="12" t="s">
        <v>64</v>
      </c>
      <c r="E4901" s="12" t="s">
        <v>104</v>
      </c>
      <c r="F4901">
        <v>3</v>
      </c>
      <c r="G4901">
        <v>1</v>
      </c>
      <c r="H4901">
        <v>0</v>
      </c>
      <c r="I4901" s="12" t="s">
        <v>486</v>
      </c>
      <c r="J4901" s="12" t="s">
        <v>487</v>
      </c>
      <c r="K4901" s="12" t="s">
        <v>125</v>
      </c>
      <c r="L4901" s="12" t="s">
        <v>69</v>
      </c>
      <c r="M4901">
        <v>36.86</v>
      </c>
      <c r="N4901" s="12" t="s">
        <v>97</v>
      </c>
      <c r="O4901" s="12" t="s">
        <v>98</v>
      </c>
      <c r="P4901" s="12" t="s">
        <v>72</v>
      </c>
      <c r="Q4901" s="13">
        <v>45786</v>
      </c>
      <c r="R4901" s="13">
        <v>45798</v>
      </c>
      <c r="S4901">
        <v>2025</v>
      </c>
      <c r="T4901" s="12" t="s">
        <v>5886</v>
      </c>
      <c r="U4901">
        <v>149</v>
      </c>
      <c r="V4901">
        <v>8.2452000000000005</v>
      </c>
      <c r="W4901">
        <v>10.61</v>
      </c>
      <c r="X4901">
        <v>0</v>
      </c>
      <c r="Y4901">
        <v>0</v>
      </c>
      <c r="Z4901">
        <v>1228.53</v>
      </c>
      <c r="AA4901">
        <v>1239.1400000000001</v>
      </c>
      <c r="AB4901" s="12" t="s">
        <v>5628</v>
      </c>
      <c r="AC4901">
        <v>8.2452000000000005</v>
      </c>
      <c r="AD4901">
        <v>1</v>
      </c>
      <c r="AE4901">
        <v>1</v>
      </c>
      <c r="AF4901">
        <v>0</v>
      </c>
      <c r="AG4901">
        <v>1228.53</v>
      </c>
      <c r="AH4901">
        <v>149</v>
      </c>
      <c r="AI4901">
        <v>147</v>
      </c>
      <c r="AJ4901">
        <v>2</v>
      </c>
      <c r="AK4901">
        <v>1</v>
      </c>
      <c r="AL4901">
        <v>1</v>
      </c>
      <c r="AM4901">
        <v>98.66</v>
      </c>
      <c r="AN4901">
        <v>8.4296000000000006</v>
      </c>
      <c r="AO4901">
        <v>16.489999999999998</v>
      </c>
      <c r="AP4901" s="13">
        <v>45797</v>
      </c>
      <c r="AQ4901">
        <v>-1</v>
      </c>
      <c r="AR4901">
        <v>1</v>
      </c>
    </row>
    <row r="4902" spans="1:44" x14ac:dyDescent="0.35">
      <c r="A4902" s="12" t="s">
        <v>5957</v>
      </c>
      <c r="B4902" s="12" t="s">
        <v>694</v>
      </c>
      <c r="C4902" s="12" t="s">
        <v>695</v>
      </c>
      <c r="D4902" s="12" t="s">
        <v>103</v>
      </c>
      <c r="E4902" s="12" t="s">
        <v>65</v>
      </c>
      <c r="F4902">
        <v>2</v>
      </c>
      <c r="G4902">
        <v>3</v>
      </c>
      <c r="H4902">
        <v>0</v>
      </c>
      <c r="I4902" s="12" t="s">
        <v>263</v>
      </c>
      <c r="J4902" s="12" t="s">
        <v>264</v>
      </c>
      <c r="K4902" s="12" t="s">
        <v>125</v>
      </c>
      <c r="L4902" s="12" t="s">
        <v>82</v>
      </c>
      <c r="M4902">
        <v>10.210000000000001</v>
      </c>
      <c r="N4902" s="12" t="s">
        <v>107</v>
      </c>
      <c r="O4902" s="12" t="s">
        <v>108</v>
      </c>
      <c r="P4902" s="12" t="s">
        <v>109</v>
      </c>
      <c r="Q4902" s="13">
        <v>45786</v>
      </c>
      <c r="R4902" s="13">
        <v>45811</v>
      </c>
      <c r="S4902">
        <v>2025</v>
      </c>
      <c r="T4902" s="12" t="s">
        <v>5886</v>
      </c>
      <c r="U4902">
        <v>47</v>
      </c>
      <c r="V4902">
        <v>214.6499</v>
      </c>
      <c r="W4902">
        <v>215.59</v>
      </c>
      <c r="X4902">
        <v>0</v>
      </c>
      <c r="Y4902">
        <v>0</v>
      </c>
      <c r="Z4902">
        <v>10088.549999999999</v>
      </c>
      <c r="AA4902">
        <v>10304.14</v>
      </c>
      <c r="AB4902" s="12" t="s">
        <v>5721</v>
      </c>
      <c r="AC4902">
        <v>206.7869</v>
      </c>
      <c r="AD4902">
        <v>1</v>
      </c>
      <c r="AE4902">
        <v>1</v>
      </c>
      <c r="AF4902">
        <v>369.56</v>
      </c>
      <c r="AG4902">
        <v>9718.98</v>
      </c>
      <c r="AH4902">
        <v>47</v>
      </c>
      <c r="AI4902">
        <v>47</v>
      </c>
      <c r="AJ4902">
        <v>0</v>
      </c>
      <c r="AK4902">
        <v>1</v>
      </c>
      <c r="AL4902">
        <v>1</v>
      </c>
      <c r="AM4902">
        <v>100</v>
      </c>
      <c r="AN4902">
        <v>219.23689999999999</v>
      </c>
      <c r="AO4902">
        <v>0</v>
      </c>
      <c r="AP4902" s="13">
        <v>45808</v>
      </c>
      <c r="AQ4902">
        <v>-3</v>
      </c>
      <c r="AR4902">
        <v>1</v>
      </c>
    </row>
    <row r="4903" spans="1:44" x14ac:dyDescent="0.35">
      <c r="A4903" s="12" t="s">
        <v>5958</v>
      </c>
      <c r="B4903" s="12" t="s">
        <v>62</v>
      </c>
      <c r="C4903" s="12" t="s">
        <v>63</v>
      </c>
      <c r="D4903" s="12" t="s">
        <v>64</v>
      </c>
      <c r="E4903" s="12" t="s">
        <v>65</v>
      </c>
      <c r="F4903">
        <v>1</v>
      </c>
      <c r="G4903">
        <v>2</v>
      </c>
      <c r="H4903">
        <v>1</v>
      </c>
      <c r="I4903" s="12" t="s">
        <v>66</v>
      </c>
      <c r="J4903" s="12" t="s">
        <v>67</v>
      </c>
      <c r="K4903" s="12" t="s">
        <v>68</v>
      </c>
      <c r="L4903" s="12" t="s">
        <v>69</v>
      </c>
      <c r="M4903">
        <v>17.66</v>
      </c>
      <c r="N4903" s="12" t="s">
        <v>70</v>
      </c>
      <c r="O4903" s="12" t="s">
        <v>71</v>
      </c>
      <c r="P4903" s="12" t="s">
        <v>72</v>
      </c>
      <c r="Q4903" s="13">
        <v>45786</v>
      </c>
      <c r="R4903" s="13">
        <v>45815</v>
      </c>
      <c r="S4903">
        <v>2025</v>
      </c>
      <c r="T4903" s="12" t="s">
        <v>5886</v>
      </c>
      <c r="U4903">
        <v>516</v>
      </c>
      <c r="V4903">
        <v>25.244</v>
      </c>
      <c r="W4903">
        <v>297.01</v>
      </c>
      <c r="X4903">
        <v>395.35</v>
      </c>
      <c r="Y4903">
        <v>1</v>
      </c>
      <c r="Z4903">
        <v>13025.9</v>
      </c>
      <c r="AA4903">
        <v>13718.26</v>
      </c>
      <c r="AB4903" s="12" t="s">
        <v>201</v>
      </c>
      <c r="AD4903">
        <v>0</v>
      </c>
      <c r="AE4903">
        <v>0</v>
      </c>
      <c r="AH4903">
        <v>516</v>
      </c>
      <c r="AI4903">
        <v>513</v>
      </c>
      <c r="AJ4903">
        <v>3</v>
      </c>
      <c r="AK4903">
        <v>1</v>
      </c>
      <c r="AL4903">
        <v>1</v>
      </c>
      <c r="AM4903">
        <v>99.42</v>
      </c>
      <c r="AN4903">
        <v>26.741299999999999</v>
      </c>
      <c r="AO4903">
        <v>75.73</v>
      </c>
      <c r="AP4903" s="13">
        <v>45812</v>
      </c>
      <c r="AQ4903">
        <v>-3</v>
      </c>
      <c r="AR4903">
        <v>1</v>
      </c>
    </row>
    <row r="4904" spans="1:44" x14ac:dyDescent="0.35">
      <c r="A4904" s="12" t="s">
        <v>5959</v>
      </c>
      <c r="B4904" s="12" t="s">
        <v>909</v>
      </c>
      <c r="C4904" s="12" t="s">
        <v>910</v>
      </c>
      <c r="D4904" s="12" t="s">
        <v>269</v>
      </c>
      <c r="E4904" s="12" t="s">
        <v>65</v>
      </c>
      <c r="F4904">
        <v>3</v>
      </c>
      <c r="G4904">
        <v>4</v>
      </c>
      <c r="H4904">
        <v>0</v>
      </c>
      <c r="I4904" s="12" t="s">
        <v>199</v>
      </c>
      <c r="J4904" s="12" t="s">
        <v>200</v>
      </c>
      <c r="K4904" s="12" t="s">
        <v>68</v>
      </c>
      <c r="L4904" s="12" t="s">
        <v>96</v>
      </c>
      <c r="M4904">
        <v>9.4700000000000006</v>
      </c>
      <c r="N4904" s="12" t="s">
        <v>135</v>
      </c>
      <c r="O4904" s="12" t="s">
        <v>136</v>
      </c>
      <c r="P4904" s="12" t="s">
        <v>137</v>
      </c>
      <c r="Q4904" s="13">
        <v>45786</v>
      </c>
      <c r="R4904" s="13">
        <v>45818</v>
      </c>
      <c r="S4904">
        <v>2025</v>
      </c>
      <c r="T4904" s="12" t="s">
        <v>5886</v>
      </c>
      <c r="U4904">
        <v>101</v>
      </c>
      <c r="V4904">
        <v>103.0488</v>
      </c>
      <c r="W4904">
        <v>178.19</v>
      </c>
      <c r="X4904">
        <v>0</v>
      </c>
      <c r="Y4904">
        <v>0</v>
      </c>
      <c r="Z4904">
        <v>10407.93</v>
      </c>
      <c r="AA4904">
        <v>10586.12</v>
      </c>
      <c r="AB4904" s="12" t="s">
        <v>5939</v>
      </c>
      <c r="AC4904">
        <v>103.0488</v>
      </c>
      <c r="AD4904">
        <v>1</v>
      </c>
      <c r="AE4904">
        <v>1</v>
      </c>
      <c r="AF4904">
        <v>0</v>
      </c>
      <c r="AG4904">
        <v>10407.93</v>
      </c>
      <c r="AH4904">
        <v>101</v>
      </c>
      <c r="AI4904">
        <v>100</v>
      </c>
      <c r="AJ4904">
        <v>1</v>
      </c>
      <c r="AK4904">
        <v>1</v>
      </c>
      <c r="AL4904">
        <v>1</v>
      </c>
      <c r="AM4904">
        <v>99.01</v>
      </c>
      <c r="AN4904">
        <v>105.8612</v>
      </c>
      <c r="AO4904">
        <v>103.05</v>
      </c>
      <c r="AP4904" s="13">
        <v>45826</v>
      </c>
      <c r="AQ4904">
        <v>8</v>
      </c>
      <c r="AR4904">
        <v>0</v>
      </c>
    </row>
    <row r="4905" spans="1:44" x14ac:dyDescent="0.35">
      <c r="A4905" s="12" t="s">
        <v>5960</v>
      </c>
      <c r="B4905" s="12" t="s">
        <v>876</v>
      </c>
      <c r="C4905" s="12" t="s">
        <v>877</v>
      </c>
      <c r="D4905" s="12" t="s">
        <v>269</v>
      </c>
      <c r="E4905" s="12" t="s">
        <v>142</v>
      </c>
      <c r="F4905">
        <v>3</v>
      </c>
      <c r="G4905">
        <v>11</v>
      </c>
      <c r="H4905">
        <v>0</v>
      </c>
      <c r="I4905" s="12" t="s">
        <v>515</v>
      </c>
      <c r="J4905" s="12" t="s">
        <v>516</v>
      </c>
      <c r="K4905" s="12" t="s">
        <v>68</v>
      </c>
      <c r="L4905" s="12" t="s">
        <v>134</v>
      </c>
      <c r="M4905">
        <v>3.69</v>
      </c>
      <c r="N4905" s="12" t="s">
        <v>135</v>
      </c>
      <c r="O4905" s="12" t="s">
        <v>136</v>
      </c>
      <c r="P4905" s="12" t="s">
        <v>137</v>
      </c>
      <c r="Q4905" s="13">
        <v>45786</v>
      </c>
      <c r="R4905" s="13">
        <v>45825</v>
      </c>
      <c r="S4905">
        <v>2025</v>
      </c>
      <c r="T4905" s="12" t="s">
        <v>5886</v>
      </c>
      <c r="U4905">
        <v>45</v>
      </c>
      <c r="V4905">
        <v>179.24969999999999</v>
      </c>
      <c r="W4905">
        <v>195.53</v>
      </c>
      <c r="X4905">
        <v>0</v>
      </c>
      <c r="Y4905">
        <v>0</v>
      </c>
      <c r="Z4905">
        <v>8066.24</v>
      </c>
      <c r="AA4905">
        <v>8261.77</v>
      </c>
      <c r="AB4905" s="12" t="s">
        <v>5961</v>
      </c>
      <c r="AC4905">
        <v>179.24969999999999</v>
      </c>
      <c r="AD4905">
        <v>1</v>
      </c>
      <c r="AE4905">
        <v>1</v>
      </c>
      <c r="AF4905">
        <v>0</v>
      </c>
      <c r="AG4905">
        <v>8066.24</v>
      </c>
      <c r="AH4905">
        <v>45</v>
      </c>
      <c r="AI4905">
        <v>45</v>
      </c>
      <c r="AJ4905">
        <v>0</v>
      </c>
      <c r="AK4905">
        <v>1</v>
      </c>
      <c r="AL4905">
        <v>1</v>
      </c>
      <c r="AM4905">
        <v>100</v>
      </c>
      <c r="AN4905">
        <v>183.59479999999999</v>
      </c>
      <c r="AO4905">
        <v>0</v>
      </c>
      <c r="AP4905" s="13">
        <v>45822</v>
      </c>
      <c r="AQ4905">
        <v>-3</v>
      </c>
      <c r="AR4905">
        <v>1</v>
      </c>
    </row>
    <row r="4906" spans="1:44" x14ac:dyDescent="0.35">
      <c r="A4906" s="12" t="s">
        <v>5962</v>
      </c>
      <c r="B4906" s="12" t="s">
        <v>362</v>
      </c>
      <c r="C4906" s="12" t="s">
        <v>363</v>
      </c>
      <c r="D4906" s="12" t="s">
        <v>78</v>
      </c>
      <c r="E4906" s="12" t="s">
        <v>104</v>
      </c>
      <c r="F4906">
        <v>3</v>
      </c>
      <c r="G4906">
        <v>0</v>
      </c>
      <c r="H4906">
        <v>0</v>
      </c>
      <c r="I4906" s="12" t="s">
        <v>157</v>
      </c>
      <c r="J4906" s="12" t="s">
        <v>158</v>
      </c>
      <c r="K4906" s="12" t="s">
        <v>117</v>
      </c>
      <c r="L4906" s="12" t="s">
        <v>96</v>
      </c>
      <c r="M4906">
        <v>4.72</v>
      </c>
      <c r="N4906" s="12" t="s">
        <v>70</v>
      </c>
      <c r="O4906" s="12" t="s">
        <v>71</v>
      </c>
      <c r="P4906" s="12" t="s">
        <v>72</v>
      </c>
      <c r="Q4906" s="13">
        <v>45786</v>
      </c>
      <c r="R4906" s="13">
        <v>45808</v>
      </c>
      <c r="S4906">
        <v>2025</v>
      </c>
      <c r="T4906" s="12" t="s">
        <v>5886</v>
      </c>
      <c r="U4906">
        <v>193</v>
      </c>
      <c r="V4906">
        <v>64.123800000000003</v>
      </c>
      <c r="W4906">
        <v>280.7</v>
      </c>
      <c r="X4906">
        <v>0</v>
      </c>
      <c r="Y4906">
        <v>0</v>
      </c>
      <c r="Z4906">
        <v>12375.89</v>
      </c>
      <c r="AA4906">
        <v>12656.59</v>
      </c>
      <c r="AB4906" s="12" t="s">
        <v>201</v>
      </c>
      <c r="AD4906">
        <v>0</v>
      </c>
      <c r="AE4906">
        <v>0</v>
      </c>
      <c r="AH4906">
        <v>193</v>
      </c>
      <c r="AI4906">
        <v>192</v>
      </c>
      <c r="AJ4906">
        <v>1</v>
      </c>
      <c r="AK4906">
        <v>1</v>
      </c>
      <c r="AL4906">
        <v>1</v>
      </c>
      <c r="AM4906">
        <v>99.48</v>
      </c>
      <c r="AN4906">
        <v>65.919799999999995</v>
      </c>
      <c r="AO4906">
        <v>64.12</v>
      </c>
      <c r="AP4906" s="13">
        <v>45806</v>
      </c>
      <c r="AQ4906">
        <v>-2</v>
      </c>
      <c r="AR4906">
        <v>1</v>
      </c>
    </row>
    <row r="4907" spans="1:44" x14ac:dyDescent="0.35">
      <c r="A4907" s="12" t="s">
        <v>5963</v>
      </c>
      <c r="B4907" s="12" t="s">
        <v>494</v>
      </c>
      <c r="C4907" s="12" t="s">
        <v>495</v>
      </c>
      <c r="D4907" s="12" t="s">
        <v>175</v>
      </c>
      <c r="E4907" s="12" t="s">
        <v>65</v>
      </c>
      <c r="F4907">
        <v>2</v>
      </c>
      <c r="G4907">
        <v>3</v>
      </c>
      <c r="H4907">
        <v>0</v>
      </c>
      <c r="I4907" s="12" t="s">
        <v>515</v>
      </c>
      <c r="J4907" s="12" t="s">
        <v>516</v>
      </c>
      <c r="K4907" s="12" t="s">
        <v>68</v>
      </c>
      <c r="L4907" s="12" t="s">
        <v>134</v>
      </c>
      <c r="M4907">
        <v>3.69</v>
      </c>
      <c r="N4907" s="12" t="s">
        <v>107</v>
      </c>
      <c r="O4907" s="12" t="s">
        <v>108</v>
      </c>
      <c r="P4907" s="12" t="s">
        <v>109</v>
      </c>
      <c r="Q4907" s="13">
        <v>45786</v>
      </c>
      <c r="R4907" s="13">
        <v>45817</v>
      </c>
      <c r="S4907">
        <v>2025</v>
      </c>
      <c r="T4907" s="12" t="s">
        <v>5886</v>
      </c>
      <c r="U4907">
        <v>93</v>
      </c>
      <c r="V4907">
        <v>153.36940000000001</v>
      </c>
      <c r="W4907">
        <v>353.66</v>
      </c>
      <c r="X4907">
        <v>0</v>
      </c>
      <c r="Y4907">
        <v>0</v>
      </c>
      <c r="Z4907">
        <v>14263.35</v>
      </c>
      <c r="AA4907">
        <v>14617.01</v>
      </c>
      <c r="AB4907" s="12" t="s">
        <v>5442</v>
      </c>
      <c r="AC4907">
        <v>153.36940000000001</v>
      </c>
      <c r="AD4907">
        <v>1</v>
      </c>
      <c r="AE4907">
        <v>1</v>
      </c>
      <c r="AF4907">
        <v>0</v>
      </c>
      <c r="AG4907">
        <v>14263.35</v>
      </c>
      <c r="AH4907">
        <v>93</v>
      </c>
      <c r="AI4907">
        <v>93</v>
      </c>
      <c r="AJ4907">
        <v>0</v>
      </c>
      <c r="AK4907">
        <v>1</v>
      </c>
      <c r="AL4907">
        <v>1</v>
      </c>
      <c r="AM4907">
        <v>100</v>
      </c>
      <c r="AN4907">
        <v>157.1722</v>
      </c>
      <c r="AO4907">
        <v>0</v>
      </c>
      <c r="AP4907" s="13">
        <v>45825</v>
      </c>
      <c r="AQ4907">
        <v>8</v>
      </c>
      <c r="AR4907">
        <v>0</v>
      </c>
    </row>
    <row r="4908" spans="1:44" x14ac:dyDescent="0.35">
      <c r="A4908" s="12" t="s">
        <v>5964</v>
      </c>
      <c r="B4908" s="12" t="s">
        <v>221</v>
      </c>
      <c r="C4908" s="12" t="s">
        <v>222</v>
      </c>
      <c r="D4908" s="12" t="s">
        <v>114</v>
      </c>
      <c r="E4908" s="12" t="s">
        <v>142</v>
      </c>
      <c r="F4908">
        <v>3</v>
      </c>
      <c r="G4908">
        <v>11</v>
      </c>
      <c r="H4908">
        <v>0</v>
      </c>
      <c r="I4908" s="12" t="s">
        <v>105</v>
      </c>
      <c r="J4908" s="12" t="s">
        <v>106</v>
      </c>
      <c r="K4908" s="12" t="s">
        <v>81</v>
      </c>
      <c r="L4908" s="12" t="s">
        <v>96</v>
      </c>
      <c r="M4908">
        <v>5.01</v>
      </c>
      <c r="N4908" s="12" t="s">
        <v>70</v>
      </c>
      <c r="O4908" s="12" t="s">
        <v>71</v>
      </c>
      <c r="P4908" s="12" t="s">
        <v>72</v>
      </c>
      <c r="Q4908" s="13">
        <v>45786</v>
      </c>
      <c r="R4908" s="13">
        <v>45827</v>
      </c>
      <c r="S4908">
        <v>2025</v>
      </c>
      <c r="T4908" s="12" t="s">
        <v>5886</v>
      </c>
      <c r="U4908">
        <v>57</v>
      </c>
      <c r="V4908">
        <v>267.25290000000001</v>
      </c>
      <c r="W4908">
        <v>273.13</v>
      </c>
      <c r="X4908">
        <v>0</v>
      </c>
      <c r="Y4908">
        <v>0</v>
      </c>
      <c r="Z4908">
        <v>15233.42</v>
      </c>
      <c r="AA4908">
        <v>15506.55</v>
      </c>
      <c r="AB4908" s="12" t="s">
        <v>201</v>
      </c>
      <c r="AD4908">
        <v>0</v>
      </c>
      <c r="AE4908">
        <v>0</v>
      </c>
      <c r="AH4908">
        <v>57</v>
      </c>
      <c r="AI4908">
        <v>56</v>
      </c>
      <c r="AJ4908">
        <v>1</v>
      </c>
      <c r="AK4908">
        <v>1</v>
      </c>
      <c r="AL4908">
        <v>1</v>
      </c>
      <c r="AM4908">
        <v>98.25</v>
      </c>
      <c r="AN4908">
        <v>276.90260000000001</v>
      </c>
      <c r="AO4908">
        <v>267.25</v>
      </c>
      <c r="AP4908" s="13">
        <v>45827</v>
      </c>
      <c r="AQ4908">
        <v>0</v>
      </c>
      <c r="AR4908">
        <v>1</v>
      </c>
    </row>
    <row r="4909" spans="1:44" x14ac:dyDescent="0.35">
      <c r="A4909" s="12" t="s">
        <v>5965</v>
      </c>
      <c r="B4909" s="12" t="s">
        <v>602</v>
      </c>
      <c r="C4909" s="12" t="s">
        <v>603</v>
      </c>
      <c r="D4909" s="12" t="s">
        <v>114</v>
      </c>
      <c r="E4909" s="12" t="s">
        <v>142</v>
      </c>
      <c r="F4909">
        <v>2</v>
      </c>
      <c r="G4909">
        <v>10</v>
      </c>
      <c r="H4909">
        <v>0</v>
      </c>
      <c r="I4909" s="12" t="s">
        <v>263</v>
      </c>
      <c r="J4909" s="12" t="s">
        <v>264</v>
      </c>
      <c r="K4909" s="12" t="s">
        <v>125</v>
      </c>
      <c r="L4909" s="12" t="s">
        <v>82</v>
      </c>
      <c r="M4909">
        <v>10.210000000000001</v>
      </c>
      <c r="N4909" s="12" t="s">
        <v>97</v>
      </c>
      <c r="O4909" s="12" t="s">
        <v>98</v>
      </c>
      <c r="P4909" s="12" t="s">
        <v>72</v>
      </c>
      <c r="Q4909" s="13">
        <v>45786</v>
      </c>
      <c r="R4909" s="13">
        <v>45836</v>
      </c>
      <c r="S4909">
        <v>2025</v>
      </c>
      <c r="T4909" s="12" t="s">
        <v>5886</v>
      </c>
      <c r="U4909">
        <v>128</v>
      </c>
      <c r="V4909">
        <v>207.9658</v>
      </c>
      <c r="W4909">
        <v>685.05</v>
      </c>
      <c r="X4909">
        <v>0</v>
      </c>
      <c r="Y4909">
        <v>0</v>
      </c>
      <c r="Z4909">
        <v>26619.62</v>
      </c>
      <c r="AA4909">
        <v>27304.67</v>
      </c>
      <c r="AB4909" s="12" t="s">
        <v>5373</v>
      </c>
      <c r="AC4909">
        <v>207.9658</v>
      </c>
      <c r="AD4909">
        <v>1</v>
      </c>
      <c r="AE4909">
        <v>1</v>
      </c>
      <c r="AF4909">
        <v>0</v>
      </c>
      <c r="AG4909">
        <v>26619.62</v>
      </c>
      <c r="AH4909">
        <v>128</v>
      </c>
      <c r="AI4909">
        <v>127</v>
      </c>
      <c r="AJ4909">
        <v>1</v>
      </c>
      <c r="AK4909">
        <v>1</v>
      </c>
      <c r="AL4909">
        <v>1</v>
      </c>
      <c r="AM4909">
        <v>99.22</v>
      </c>
      <c r="AN4909">
        <v>214.9974</v>
      </c>
      <c r="AO4909">
        <v>207.97</v>
      </c>
      <c r="AP4909" s="13">
        <v>45833</v>
      </c>
      <c r="AQ4909">
        <v>-3</v>
      </c>
      <c r="AR4909">
        <v>1</v>
      </c>
    </row>
    <row r="4910" spans="1:44" x14ac:dyDescent="0.35">
      <c r="A4910" s="12" t="s">
        <v>5966</v>
      </c>
      <c r="B4910" s="12" t="s">
        <v>773</v>
      </c>
      <c r="C4910" s="12" t="s">
        <v>774</v>
      </c>
      <c r="D4910" s="12" t="s">
        <v>64</v>
      </c>
      <c r="E4910" s="12" t="s">
        <v>142</v>
      </c>
      <c r="F4910">
        <v>1</v>
      </c>
      <c r="G4910">
        <v>7</v>
      </c>
      <c r="H4910">
        <v>1</v>
      </c>
      <c r="I4910" s="12" t="s">
        <v>251</v>
      </c>
      <c r="J4910" s="12" t="s">
        <v>252</v>
      </c>
      <c r="K4910" s="12" t="s">
        <v>133</v>
      </c>
      <c r="L4910" s="12" t="s">
        <v>69</v>
      </c>
      <c r="M4910">
        <v>34.49</v>
      </c>
      <c r="N4910" s="12" t="s">
        <v>70</v>
      </c>
      <c r="O4910" s="12" t="s">
        <v>71</v>
      </c>
      <c r="P4910" s="12" t="s">
        <v>72</v>
      </c>
      <c r="Q4910" s="13">
        <v>45789</v>
      </c>
      <c r="R4910" s="13">
        <v>45838</v>
      </c>
      <c r="S4910">
        <v>2025</v>
      </c>
      <c r="T4910" s="12" t="s">
        <v>5886</v>
      </c>
      <c r="U4910">
        <v>817</v>
      </c>
      <c r="V4910">
        <v>9.9849999999999994</v>
      </c>
      <c r="W4910">
        <v>98.64</v>
      </c>
      <c r="X4910">
        <v>0</v>
      </c>
      <c r="Y4910">
        <v>0</v>
      </c>
      <c r="Z4910">
        <v>8157.75</v>
      </c>
      <c r="AA4910">
        <v>8256.39</v>
      </c>
      <c r="AB4910" s="12" t="s">
        <v>5613</v>
      </c>
      <c r="AC4910">
        <v>9.9849999999999994</v>
      </c>
      <c r="AD4910">
        <v>1</v>
      </c>
      <c r="AE4910">
        <v>1</v>
      </c>
      <c r="AF4910">
        <v>0</v>
      </c>
      <c r="AG4910">
        <v>8157.75</v>
      </c>
      <c r="AH4910">
        <v>817</v>
      </c>
      <c r="AI4910">
        <v>813</v>
      </c>
      <c r="AJ4910">
        <v>4</v>
      </c>
      <c r="AK4910">
        <v>1</v>
      </c>
      <c r="AL4910">
        <v>1</v>
      </c>
      <c r="AM4910">
        <v>99.51</v>
      </c>
      <c r="AN4910">
        <v>10.1555</v>
      </c>
      <c r="AO4910">
        <v>39.94</v>
      </c>
      <c r="AP4910" s="13">
        <v>45837</v>
      </c>
      <c r="AQ4910">
        <v>-1</v>
      </c>
      <c r="AR4910">
        <v>1</v>
      </c>
    </row>
    <row r="4911" spans="1:44" x14ac:dyDescent="0.35">
      <c r="A4911" s="12" t="s">
        <v>5967</v>
      </c>
      <c r="B4911" s="12" t="s">
        <v>207</v>
      </c>
      <c r="C4911" s="12" t="s">
        <v>208</v>
      </c>
      <c r="D4911" s="12" t="s">
        <v>78</v>
      </c>
      <c r="E4911" s="12" t="s">
        <v>65</v>
      </c>
      <c r="F4911">
        <v>2</v>
      </c>
      <c r="G4911">
        <v>3</v>
      </c>
      <c r="H4911">
        <v>0</v>
      </c>
      <c r="I4911" s="12" t="s">
        <v>209</v>
      </c>
      <c r="J4911" s="12" t="s">
        <v>210</v>
      </c>
      <c r="K4911" s="12" t="s">
        <v>133</v>
      </c>
      <c r="L4911" s="12" t="s">
        <v>96</v>
      </c>
      <c r="M4911">
        <v>7.82</v>
      </c>
      <c r="N4911" s="12" t="s">
        <v>70</v>
      </c>
      <c r="O4911" s="12" t="s">
        <v>71</v>
      </c>
      <c r="P4911" s="12" t="s">
        <v>72</v>
      </c>
      <c r="Q4911" s="13">
        <v>45789</v>
      </c>
      <c r="R4911" s="13">
        <v>45811</v>
      </c>
      <c r="S4911">
        <v>2025</v>
      </c>
      <c r="T4911" s="12" t="s">
        <v>5886</v>
      </c>
      <c r="U4911">
        <v>55</v>
      </c>
      <c r="V4911">
        <v>145.1729</v>
      </c>
      <c r="W4911">
        <v>92.48</v>
      </c>
      <c r="X4911">
        <v>0</v>
      </c>
      <c r="Y4911">
        <v>0</v>
      </c>
      <c r="Z4911">
        <v>7984.51</v>
      </c>
      <c r="AA4911">
        <v>8076.99</v>
      </c>
      <c r="AB4911" s="12" t="s">
        <v>5196</v>
      </c>
      <c r="AC4911">
        <v>145.1729</v>
      </c>
      <c r="AD4911">
        <v>1</v>
      </c>
      <c r="AE4911">
        <v>1</v>
      </c>
      <c r="AF4911">
        <v>0</v>
      </c>
      <c r="AG4911">
        <v>7984.51</v>
      </c>
      <c r="AH4911">
        <v>55</v>
      </c>
      <c r="AI4911">
        <v>54</v>
      </c>
      <c r="AJ4911">
        <v>1</v>
      </c>
      <c r="AK4911">
        <v>1</v>
      </c>
      <c r="AL4911">
        <v>1</v>
      </c>
      <c r="AM4911">
        <v>98.18</v>
      </c>
      <c r="AN4911">
        <v>149.57390000000001</v>
      </c>
      <c r="AO4911">
        <v>145.16999999999999</v>
      </c>
      <c r="AP4911" s="13">
        <v>45808</v>
      </c>
      <c r="AQ4911">
        <v>-3</v>
      </c>
      <c r="AR4911">
        <v>1</v>
      </c>
    </row>
    <row r="4912" spans="1:44" x14ac:dyDescent="0.35">
      <c r="A4912" s="12" t="s">
        <v>5968</v>
      </c>
      <c r="B4912" s="12" t="s">
        <v>490</v>
      </c>
      <c r="C4912" s="12" t="s">
        <v>491</v>
      </c>
      <c r="D4912" s="12" t="s">
        <v>130</v>
      </c>
      <c r="E4912" s="12" t="s">
        <v>104</v>
      </c>
      <c r="F4912">
        <v>3</v>
      </c>
      <c r="G4912">
        <v>1</v>
      </c>
      <c r="H4912">
        <v>0</v>
      </c>
      <c r="I4912" s="12" t="s">
        <v>176</v>
      </c>
      <c r="J4912" s="12" t="s">
        <v>177</v>
      </c>
      <c r="K4912" s="12" t="s">
        <v>125</v>
      </c>
      <c r="L4912" s="12" t="s">
        <v>134</v>
      </c>
      <c r="M4912">
        <v>1.75</v>
      </c>
      <c r="N4912" s="12" t="s">
        <v>159</v>
      </c>
      <c r="O4912" s="12" t="s">
        <v>160</v>
      </c>
      <c r="P4912" s="12" t="s">
        <v>137</v>
      </c>
      <c r="Q4912" s="13">
        <v>45789</v>
      </c>
      <c r="R4912" s="13">
        <v>45818</v>
      </c>
      <c r="S4912">
        <v>2025</v>
      </c>
      <c r="T4912" s="12" t="s">
        <v>5886</v>
      </c>
      <c r="U4912">
        <v>142</v>
      </c>
      <c r="V4912">
        <v>234.9982</v>
      </c>
      <c r="W4912">
        <v>394.28</v>
      </c>
      <c r="X4912">
        <v>0</v>
      </c>
      <c r="Y4912">
        <v>0</v>
      </c>
      <c r="Z4912">
        <v>33369.74</v>
      </c>
      <c r="AA4912">
        <v>33764.019999999997</v>
      </c>
      <c r="AB4912" s="12" t="s">
        <v>5760</v>
      </c>
      <c r="AC4912">
        <v>234.9982</v>
      </c>
      <c r="AD4912">
        <v>1</v>
      </c>
      <c r="AE4912">
        <v>1</v>
      </c>
      <c r="AF4912">
        <v>0</v>
      </c>
      <c r="AG4912">
        <v>33369.74</v>
      </c>
      <c r="AH4912">
        <v>142</v>
      </c>
      <c r="AI4912">
        <v>141</v>
      </c>
      <c r="AJ4912">
        <v>1</v>
      </c>
      <c r="AK4912">
        <v>1</v>
      </c>
      <c r="AL4912">
        <v>1</v>
      </c>
      <c r="AM4912">
        <v>99.3</v>
      </c>
      <c r="AN4912">
        <v>239.46119999999999</v>
      </c>
      <c r="AO4912">
        <v>235</v>
      </c>
      <c r="AP4912" s="13">
        <v>45817</v>
      </c>
      <c r="AQ4912">
        <v>-1</v>
      </c>
      <c r="AR4912">
        <v>1</v>
      </c>
    </row>
    <row r="4913" spans="1:44" x14ac:dyDescent="0.35">
      <c r="A4913" s="12" t="s">
        <v>5969</v>
      </c>
      <c r="B4913" s="12" t="s">
        <v>957</v>
      </c>
      <c r="C4913" s="12" t="s">
        <v>958</v>
      </c>
      <c r="D4913" s="12" t="s">
        <v>103</v>
      </c>
      <c r="E4913" s="12" t="s">
        <v>142</v>
      </c>
      <c r="F4913">
        <v>1</v>
      </c>
      <c r="G4913">
        <v>7</v>
      </c>
      <c r="H4913">
        <v>1</v>
      </c>
      <c r="I4913" s="12" t="s">
        <v>183</v>
      </c>
      <c r="J4913" s="12" t="s">
        <v>184</v>
      </c>
      <c r="K4913" s="12" t="s">
        <v>133</v>
      </c>
      <c r="L4913" s="12" t="s">
        <v>82</v>
      </c>
      <c r="M4913">
        <v>8.6199999999999992</v>
      </c>
      <c r="N4913" s="12" t="s">
        <v>107</v>
      </c>
      <c r="O4913" s="12" t="s">
        <v>108</v>
      </c>
      <c r="P4913" s="12" t="s">
        <v>109</v>
      </c>
      <c r="Q4913" s="13">
        <v>45789</v>
      </c>
      <c r="R4913" s="13">
        <v>45827</v>
      </c>
      <c r="S4913">
        <v>2025</v>
      </c>
      <c r="T4913" s="12" t="s">
        <v>5886</v>
      </c>
      <c r="U4913">
        <v>38</v>
      </c>
      <c r="V4913">
        <v>188.30439999999999</v>
      </c>
      <c r="W4913">
        <v>119.9</v>
      </c>
      <c r="X4913">
        <v>0</v>
      </c>
      <c r="Y4913">
        <v>0</v>
      </c>
      <c r="Z4913">
        <v>7155.57</v>
      </c>
      <c r="AA4913">
        <v>7275.47</v>
      </c>
      <c r="AB4913" s="12" t="s">
        <v>5622</v>
      </c>
      <c r="AC4913">
        <v>188.30439999999999</v>
      </c>
      <c r="AD4913">
        <v>1</v>
      </c>
      <c r="AE4913">
        <v>1</v>
      </c>
      <c r="AF4913">
        <v>0</v>
      </c>
      <c r="AG4913">
        <v>7155.57</v>
      </c>
      <c r="AH4913">
        <v>38</v>
      </c>
      <c r="AI4913">
        <v>38</v>
      </c>
      <c r="AJ4913">
        <v>0</v>
      </c>
      <c r="AK4913">
        <v>1</v>
      </c>
      <c r="AL4913">
        <v>1</v>
      </c>
      <c r="AM4913">
        <v>100</v>
      </c>
      <c r="AN4913">
        <v>191.4597</v>
      </c>
      <c r="AO4913">
        <v>0</v>
      </c>
      <c r="AP4913" s="13">
        <v>45833</v>
      </c>
      <c r="AQ4913">
        <v>6</v>
      </c>
      <c r="AR4913">
        <v>0</v>
      </c>
    </row>
    <row r="4914" spans="1:44" x14ac:dyDescent="0.35">
      <c r="A4914" s="12" t="s">
        <v>5970</v>
      </c>
      <c r="B4914" s="12" t="s">
        <v>149</v>
      </c>
      <c r="C4914" s="12" t="s">
        <v>150</v>
      </c>
      <c r="D4914" s="12" t="s">
        <v>78</v>
      </c>
      <c r="E4914" s="12" t="s">
        <v>65</v>
      </c>
      <c r="F4914">
        <v>2</v>
      </c>
      <c r="G4914">
        <v>2</v>
      </c>
      <c r="H4914">
        <v>0</v>
      </c>
      <c r="I4914" s="12" t="s">
        <v>151</v>
      </c>
      <c r="J4914" s="12" t="s">
        <v>152</v>
      </c>
      <c r="K4914" s="12" t="s">
        <v>125</v>
      </c>
      <c r="L4914" s="12" t="s">
        <v>69</v>
      </c>
      <c r="M4914">
        <v>36.479999999999997</v>
      </c>
      <c r="N4914" s="12" t="s">
        <v>70</v>
      </c>
      <c r="O4914" s="12" t="s">
        <v>71</v>
      </c>
      <c r="P4914" s="12" t="s">
        <v>72</v>
      </c>
      <c r="Q4914" s="13">
        <v>45790</v>
      </c>
      <c r="R4914" s="13">
        <v>45816</v>
      </c>
      <c r="S4914">
        <v>2025</v>
      </c>
      <c r="T4914" s="12" t="s">
        <v>5886</v>
      </c>
      <c r="U4914">
        <v>122</v>
      </c>
      <c r="V4914">
        <v>67.601900000000001</v>
      </c>
      <c r="W4914">
        <v>204.25</v>
      </c>
      <c r="X4914">
        <v>0</v>
      </c>
      <c r="Y4914">
        <v>0</v>
      </c>
      <c r="Z4914">
        <v>8247.43</v>
      </c>
      <c r="AA4914">
        <v>8451.68</v>
      </c>
      <c r="AB4914" s="12" t="s">
        <v>5076</v>
      </c>
      <c r="AC4914">
        <v>65.934700000000007</v>
      </c>
      <c r="AD4914">
        <v>1</v>
      </c>
      <c r="AE4914">
        <v>1</v>
      </c>
      <c r="AF4914">
        <v>203.4</v>
      </c>
      <c r="AG4914">
        <v>8044.03</v>
      </c>
      <c r="AH4914">
        <v>122</v>
      </c>
      <c r="AI4914">
        <v>120</v>
      </c>
      <c r="AJ4914">
        <v>2</v>
      </c>
      <c r="AK4914">
        <v>1</v>
      </c>
      <c r="AL4914">
        <v>1</v>
      </c>
      <c r="AM4914">
        <v>98.36</v>
      </c>
      <c r="AN4914">
        <v>70.430700000000002</v>
      </c>
      <c r="AO4914">
        <v>135.19999999999999</v>
      </c>
      <c r="AP4914" s="13">
        <v>45816</v>
      </c>
      <c r="AQ4914">
        <v>0</v>
      </c>
      <c r="AR4914">
        <v>1</v>
      </c>
    </row>
    <row r="4915" spans="1:44" x14ac:dyDescent="0.35">
      <c r="A4915" s="12" t="s">
        <v>5971</v>
      </c>
      <c r="B4915" s="12" t="s">
        <v>404</v>
      </c>
      <c r="C4915" s="12" t="s">
        <v>405</v>
      </c>
      <c r="D4915" s="12" t="s">
        <v>269</v>
      </c>
      <c r="E4915" s="12" t="s">
        <v>65</v>
      </c>
      <c r="F4915">
        <v>3</v>
      </c>
      <c r="G4915">
        <v>5</v>
      </c>
      <c r="H4915">
        <v>0</v>
      </c>
      <c r="I4915" s="12" t="s">
        <v>94</v>
      </c>
      <c r="J4915" s="12" t="s">
        <v>95</v>
      </c>
      <c r="K4915" s="12" t="s">
        <v>81</v>
      </c>
      <c r="L4915" s="12" t="s">
        <v>96</v>
      </c>
      <c r="M4915">
        <v>4.8099999999999996</v>
      </c>
      <c r="N4915" s="12" t="s">
        <v>159</v>
      </c>
      <c r="O4915" s="12" t="s">
        <v>160</v>
      </c>
      <c r="P4915" s="12" t="s">
        <v>137</v>
      </c>
      <c r="Q4915" s="13">
        <v>45790</v>
      </c>
      <c r="R4915" s="13">
        <v>45828</v>
      </c>
      <c r="S4915">
        <v>2025</v>
      </c>
      <c r="T4915" s="12" t="s">
        <v>5886</v>
      </c>
      <c r="U4915">
        <v>148</v>
      </c>
      <c r="V4915">
        <v>462.90499999999997</v>
      </c>
      <c r="W4915">
        <v>672.04</v>
      </c>
      <c r="X4915">
        <v>0</v>
      </c>
      <c r="Y4915">
        <v>0</v>
      </c>
      <c r="Z4915">
        <v>68509.94</v>
      </c>
      <c r="AA4915">
        <v>69181.98</v>
      </c>
      <c r="AB4915" s="12" t="s">
        <v>201</v>
      </c>
      <c r="AD4915">
        <v>0</v>
      </c>
      <c r="AE4915">
        <v>0</v>
      </c>
      <c r="AH4915">
        <v>148</v>
      </c>
      <c r="AI4915">
        <v>146</v>
      </c>
      <c r="AJ4915">
        <v>2</v>
      </c>
      <c r="AK4915">
        <v>1</v>
      </c>
      <c r="AL4915">
        <v>1</v>
      </c>
      <c r="AM4915">
        <v>98.65</v>
      </c>
      <c r="AN4915">
        <v>473.8492</v>
      </c>
      <c r="AO4915">
        <v>925.81</v>
      </c>
      <c r="AP4915" s="13">
        <v>45825</v>
      </c>
      <c r="AQ4915">
        <v>-3</v>
      </c>
      <c r="AR4915">
        <v>1</v>
      </c>
    </row>
    <row r="4916" spans="1:44" x14ac:dyDescent="0.35">
      <c r="A4916" s="12" t="s">
        <v>5972</v>
      </c>
      <c r="B4916" s="12" t="s">
        <v>472</v>
      </c>
      <c r="C4916" s="12" t="s">
        <v>473</v>
      </c>
      <c r="D4916" s="12" t="s">
        <v>122</v>
      </c>
      <c r="E4916" s="12" t="s">
        <v>142</v>
      </c>
      <c r="F4916">
        <v>2</v>
      </c>
      <c r="G4916">
        <v>9</v>
      </c>
      <c r="H4916">
        <v>0</v>
      </c>
      <c r="I4916" s="12" t="s">
        <v>209</v>
      </c>
      <c r="J4916" s="12" t="s">
        <v>210</v>
      </c>
      <c r="K4916" s="12" t="s">
        <v>133</v>
      </c>
      <c r="L4916" s="12" t="s">
        <v>96</v>
      </c>
      <c r="M4916">
        <v>7.82</v>
      </c>
      <c r="N4916" s="12" t="s">
        <v>70</v>
      </c>
      <c r="O4916" s="12" t="s">
        <v>71</v>
      </c>
      <c r="P4916" s="12" t="s">
        <v>72</v>
      </c>
      <c r="Q4916" s="13">
        <v>45790</v>
      </c>
      <c r="R4916" s="13">
        <v>45828</v>
      </c>
      <c r="S4916">
        <v>2025</v>
      </c>
      <c r="T4916" s="12" t="s">
        <v>5886</v>
      </c>
      <c r="U4916">
        <v>586</v>
      </c>
      <c r="V4916">
        <v>49.788600000000002</v>
      </c>
      <c r="W4916">
        <v>573.49</v>
      </c>
      <c r="X4916">
        <v>0</v>
      </c>
      <c r="Y4916">
        <v>0</v>
      </c>
      <c r="Z4916">
        <v>29176.12</v>
      </c>
      <c r="AA4916">
        <v>29749.61</v>
      </c>
      <c r="AB4916" s="12" t="s">
        <v>201</v>
      </c>
      <c r="AD4916">
        <v>0</v>
      </c>
      <c r="AE4916">
        <v>0</v>
      </c>
      <c r="AH4916">
        <v>586</v>
      </c>
      <c r="AI4916">
        <v>583</v>
      </c>
      <c r="AJ4916">
        <v>3</v>
      </c>
      <c r="AK4916">
        <v>1</v>
      </c>
      <c r="AL4916">
        <v>1</v>
      </c>
      <c r="AM4916">
        <v>99.49</v>
      </c>
      <c r="AN4916">
        <v>51.028500000000001</v>
      </c>
      <c r="AO4916">
        <v>149.37</v>
      </c>
      <c r="AP4916" s="13">
        <v>45826</v>
      </c>
      <c r="AQ4916">
        <v>-2</v>
      </c>
      <c r="AR4916">
        <v>1</v>
      </c>
    </row>
    <row r="4917" spans="1:44" x14ac:dyDescent="0.35">
      <c r="A4917" s="12" t="s">
        <v>5973</v>
      </c>
      <c r="B4917" s="12" t="s">
        <v>569</v>
      </c>
      <c r="C4917" s="12" t="s">
        <v>570</v>
      </c>
      <c r="D4917" s="12" t="s">
        <v>114</v>
      </c>
      <c r="E4917" s="12" t="s">
        <v>142</v>
      </c>
      <c r="F4917">
        <v>1</v>
      </c>
      <c r="G4917">
        <v>6</v>
      </c>
      <c r="H4917">
        <v>1</v>
      </c>
      <c r="I4917" s="12" t="s">
        <v>123</v>
      </c>
      <c r="J4917" s="12" t="s">
        <v>124</v>
      </c>
      <c r="K4917" s="12" t="s">
        <v>125</v>
      </c>
      <c r="L4917" s="12" t="s">
        <v>82</v>
      </c>
      <c r="M4917">
        <v>6.75</v>
      </c>
      <c r="N4917" s="12" t="s">
        <v>97</v>
      </c>
      <c r="O4917" s="12" t="s">
        <v>98</v>
      </c>
      <c r="P4917" s="12" t="s">
        <v>72</v>
      </c>
      <c r="Q4917" s="13">
        <v>45790</v>
      </c>
      <c r="R4917" s="13">
        <v>45834</v>
      </c>
      <c r="S4917">
        <v>2025</v>
      </c>
      <c r="T4917" s="12" t="s">
        <v>5886</v>
      </c>
      <c r="U4917">
        <v>85</v>
      </c>
      <c r="V4917">
        <v>348.21159999999998</v>
      </c>
      <c r="W4917">
        <v>699.17</v>
      </c>
      <c r="X4917">
        <v>0</v>
      </c>
      <c r="Y4917">
        <v>0</v>
      </c>
      <c r="Z4917">
        <v>29597.99</v>
      </c>
      <c r="AA4917">
        <v>30297.16</v>
      </c>
      <c r="AB4917" s="12" t="s">
        <v>5817</v>
      </c>
      <c r="AC4917">
        <v>348.21159999999998</v>
      </c>
      <c r="AD4917">
        <v>1</v>
      </c>
      <c r="AE4917">
        <v>1</v>
      </c>
      <c r="AF4917">
        <v>0</v>
      </c>
      <c r="AG4917">
        <v>29597.99</v>
      </c>
      <c r="AH4917">
        <v>85</v>
      </c>
      <c r="AI4917">
        <v>84</v>
      </c>
      <c r="AJ4917">
        <v>1</v>
      </c>
      <c r="AK4917">
        <v>1</v>
      </c>
      <c r="AL4917">
        <v>1</v>
      </c>
      <c r="AM4917">
        <v>98.82</v>
      </c>
      <c r="AN4917">
        <v>360.68040000000002</v>
      </c>
      <c r="AO4917">
        <v>348.21</v>
      </c>
      <c r="AP4917" s="13">
        <v>45832</v>
      </c>
      <c r="AQ4917">
        <v>-2</v>
      </c>
      <c r="AR4917">
        <v>1</v>
      </c>
    </row>
    <row r="4918" spans="1:44" x14ac:dyDescent="0.35">
      <c r="A4918" s="12" t="s">
        <v>5974</v>
      </c>
      <c r="B4918" s="12" t="s">
        <v>1075</v>
      </c>
      <c r="C4918" s="12" t="s">
        <v>1076</v>
      </c>
      <c r="D4918" s="12" t="s">
        <v>103</v>
      </c>
      <c r="E4918" s="12" t="s">
        <v>65</v>
      </c>
      <c r="F4918">
        <v>2</v>
      </c>
      <c r="G4918">
        <v>4</v>
      </c>
      <c r="H4918">
        <v>0</v>
      </c>
      <c r="I4918" s="12" t="s">
        <v>183</v>
      </c>
      <c r="J4918" s="12" t="s">
        <v>184</v>
      </c>
      <c r="K4918" s="12" t="s">
        <v>133</v>
      </c>
      <c r="L4918" s="12" t="s">
        <v>82</v>
      </c>
      <c r="M4918">
        <v>8.6199999999999992</v>
      </c>
      <c r="N4918" s="12" t="s">
        <v>107</v>
      </c>
      <c r="O4918" s="12" t="s">
        <v>108</v>
      </c>
      <c r="P4918" s="12" t="s">
        <v>109</v>
      </c>
      <c r="Q4918" s="13">
        <v>45790</v>
      </c>
      <c r="R4918" s="13">
        <v>45828</v>
      </c>
      <c r="S4918">
        <v>2025</v>
      </c>
      <c r="T4918" s="12" t="s">
        <v>5886</v>
      </c>
      <c r="U4918">
        <v>146</v>
      </c>
      <c r="V4918">
        <v>75.843100000000007</v>
      </c>
      <c r="W4918">
        <v>137.53</v>
      </c>
      <c r="X4918">
        <v>0</v>
      </c>
      <c r="Y4918">
        <v>0</v>
      </c>
      <c r="Z4918">
        <v>11073.09</v>
      </c>
      <c r="AA4918">
        <v>11210.62</v>
      </c>
      <c r="AB4918" s="12" t="s">
        <v>201</v>
      </c>
      <c r="AD4918">
        <v>0</v>
      </c>
      <c r="AE4918">
        <v>0</v>
      </c>
      <c r="AH4918">
        <v>146</v>
      </c>
      <c r="AI4918">
        <v>145</v>
      </c>
      <c r="AJ4918">
        <v>1</v>
      </c>
      <c r="AK4918">
        <v>1</v>
      </c>
      <c r="AL4918">
        <v>1</v>
      </c>
      <c r="AM4918">
        <v>99.32</v>
      </c>
      <c r="AN4918">
        <v>77.314599999999999</v>
      </c>
      <c r="AO4918">
        <v>75.84</v>
      </c>
      <c r="AP4918" s="13">
        <v>45825</v>
      </c>
      <c r="AQ4918">
        <v>-3</v>
      </c>
      <c r="AR4918">
        <v>1</v>
      </c>
    </row>
    <row r="4919" spans="1:44" x14ac:dyDescent="0.35">
      <c r="A4919" s="12" t="s">
        <v>5975</v>
      </c>
      <c r="B4919" s="12" t="s">
        <v>809</v>
      </c>
      <c r="C4919" s="12" t="s">
        <v>810</v>
      </c>
      <c r="D4919" s="12" t="s">
        <v>114</v>
      </c>
      <c r="E4919" s="12" t="s">
        <v>65</v>
      </c>
      <c r="F4919">
        <v>3</v>
      </c>
      <c r="G4919">
        <v>5</v>
      </c>
      <c r="H4919">
        <v>0</v>
      </c>
      <c r="I4919" s="12" t="s">
        <v>804</v>
      </c>
      <c r="J4919" s="12" t="s">
        <v>342</v>
      </c>
      <c r="K4919" s="12" t="s">
        <v>117</v>
      </c>
      <c r="L4919" s="12" t="s">
        <v>69</v>
      </c>
      <c r="M4919">
        <v>30.07</v>
      </c>
      <c r="N4919" s="12" t="s">
        <v>97</v>
      </c>
      <c r="O4919" s="12" t="s">
        <v>98</v>
      </c>
      <c r="P4919" s="12" t="s">
        <v>72</v>
      </c>
      <c r="Q4919" s="13">
        <v>45790</v>
      </c>
      <c r="R4919" s="13">
        <v>45818</v>
      </c>
      <c r="S4919">
        <v>2025</v>
      </c>
      <c r="T4919" s="12" t="s">
        <v>5886</v>
      </c>
      <c r="U4919">
        <v>70</v>
      </c>
      <c r="V4919">
        <v>302.71480000000003</v>
      </c>
      <c r="W4919">
        <v>146.37</v>
      </c>
      <c r="X4919">
        <v>0</v>
      </c>
      <c r="Y4919">
        <v>0</v>
      </c>
      <c r="Z4919">
        <v>21190.04</v>
      </c>
      <c r="AA4919">
        <v>21336.41</v>
      </c>
      <c r="AB4919" s="12" t="s">
        <v>5511</v>
      </c>
      <c r="AC4919">
        <v>302.71480000000003</v>
      </c>
      <c r="AD4919">
        <v>1</v>
      </c>
      <c r="AE4919">
        <v>1</v>
      </c>
      <c r="AF4919">
        <v>0</v>
      </c>
      <c r="AG4919">
        <v>21190.04</v>
      </c>
      <c r="AH4919">
        <v>70</v>
      </c>
      <c r="AI4919">
        <v>69</v>
      </c>
      <c r="AJ4919">
        <v>1</v>
      </c>
      <c r="AK4919">
        <v>1</v>
      </c>
      <c r="AL4919">
        <v>1</v>
      </c>
      <c r="AM4919">
        <v>98.57</v>
      </c>
      <c r="AN4919">
        <v>309.22329999999999</v>
      </c>
      <c r="AO4919">
        <v>302.70999999999998</v>
      </c>
      <c r="AP4919" s="13">
        <v>45815</v>
      </c>
      <c r="AQ4919">
        <v>-3</v>
      </c>
      <c r="AR4919">
        <v>1</v>
      </c>
    </row>
    <row r="4920" spans="1:44" x14ac:dyDescent="0.35">
      <c r="A4920" s="12" t="s">
        <v>5976</v>
      </c>
      <c r="B4920" s="12" t="s">
        <v>809</v>
      </c>
      <c r="C4920" s="12" t="s">
        <v>810</v>
      </c>
      <c r="D4920" s="12" t="s">
        <v>114</v>
      </c>
      <c r="E4920" s="12" t="s">
        <v>65</v>
      </c>
      <c r="F4920">
        <v>3</v>
      </c>
      <c r="G4920">
        <v>5</v>
      </c>
      <c r="H4920">
        <v>0</v>
      </c>
      <c r="I4920" s="12" t="s">
        <v>811</v>
      </c>
      <c r="J4920" s="12" t="s">
        <v>812</v>
      </c>
      <c r="K4920" s="12" t="s">
        <v>117</v>
      </c>
      <c r="L4920" s="12" t="s">
        <v>69</v>
      </c>
      <c r="M4920">
        <v>26.4</v>
      </c>
      <c r="N4920" s="12" t="s">
        <v>97</v>
      </c>
      <c r="O4920" s="12" t="s">
        <v>98</v>
      </c>
      <c r="P4920" s="12" t="s">
        <v>72</v>
      </c>
      <c r="Q4920" s="13">
        <v>45790</v>
      </c>
      <c r="R4920" s="13">
        <v>45827</v>
      </c>
      <c r="S4920">
        <v>2025</v>
      </c>
      <c r="T4920" s="12" t="s">
        <v>5886</v>
      </c>
      <c r="U4920">
        <v>139</v>
      </c>
      <c r="V4920">
        <v>315.6524</v>
      </c>
      <c r="W4920">
        <v>729.68</v>
      </c>
      <c r="X4920">
        <v>0</v>
      </c>
      <c r="Y4920">
        <v>0</v>
      </c>
      <c r="Z4920">
        <v>43875.68</v>
      </c>
      <c r="AA4920">
        <v>44605.36</v>
      </c>
      <c r="AB4920" s="12" t="s">
        <v>5977</v>
      </c>
      <c r="AC4920">
        <v>315.6524</v>
      </c>
      <c r="AD4920">
        <v>1</v>
      </c>
      <c r="AE4920">
        <v>1</v>
      </c>
      <c r="AF4920">
        <v>0</v>
      </c>
      <c r="AG4920">
        <v>43875.68</v>
      </c>
      <c r="AH4920">
        <v>139</v>
      </c>
      <c r="AI4920">
        <v>136</v>
      </c>
      <c r="AJ4920">
        <v>3</v>
      </c>
      <c r="AK4920">
        <v>1</v>
      </c>
      <c r="AL4920">
        <v>1</v>
      </c>
      <c r="AM4920">
        <v>97.84</v>
      </c>
      <c r="AN4920">
        <v>327.98059999999998</v>
      </c>
      <c r="AO4920">
        <v>946.96</v>
      </c>
      <c r="AP4920" s="13">
        <v>45827</v>
      </c>
      <c r="AQ4920">
        <v>0</v>
      </c>
      <c r="AR4920">
        <v>1</v>
      </c>
    </row>
    <row r="4921" spans="1:44" x14ac:dyDescent="0.35">
      <c r="A4921" s="12" t="s">
        <v>5978</v>
      </c>
      <c r="B4921" s="12" t="s">
        <v>823</v>
      </c>
      <c r="C4921" s="12" t="s">
        <v>824</v>
      </c>
      <c r="D4921" s="12" t="s">
        <v>114</v>
      </c>
      <c r="E4921" s="12" t="s">
        <v>142</v>
      </c>
      <c r="F4921">
        <v>1</v>
      </c>
      <c r="G4921">
        <v>8</v>
      </c>
      <c r="H4921">
        <v>1</v>
      </c>
      <c r="I4921" s="12" t="s">
        <v>515</v>
      </c>
      <c r="J4921" s="12" t="s">
        <v>516</v>
      </c>
      <c r="K4921" s="12" t="s">
        <v>68</v>
      </c>
      <c r="L4921" s="12" t="s">
        <v>134</v>
      </c>
      <c r="M4921">
        <v>3.69</v>
      </c>
      <c r="N4921" s="12" t="s">
        <v>97</v>
      </c>
      <c r="O4921" s="12" t="s">
        <v>98</v>
      </c>
      <c r="P4921" s="12" t="s">
        <v>72</v>
      </c>
      <c r="Q4921" s="13">
        <v>45790</v>
      </c>
      <c r="R4921" s="13">
        <v>45836</v>
      </c>
      <c r="S4921">
        <v>2025</v>
      </c>
      <c r="T4921" s="12" t="s">
        <v>5886</v>
      </c>
      <c r="U4921">
        <v>100</v>
      </c>
      <c r="V4921">
        <v>361.69060000000002</v>
      </c>
      <c r="W4921">
        <v>587.6</v>
      </c>
      <c r="X4921">
        <v>0</v>
      </c>
      <c r="Y4921">
        <v>0</v>
      </c>
      <c r="Z4921">
        <v>36169.06</v>
      </c>
      <c r="AA4921">
        <v>36756.660000000003</v>
      </c>
      <c r="AB4921" s="12" t="s">
        <v>5883</v>
      </c>
      <c r="AC4921">
        <v>361.69060000000002</v>
      </c>
      <c r="AD4921">
        <v>1</v>
      </c>
      <c r="AE4921">
        <v>1</v>
      </c>
      <c r="AF4921">
        <v>0</v>
      </c>
      <c r="AG4921">
        <v>36169.06</v>
      </c>
      <c r="AH4921">
        <v>100</v>
      </c>
      <c r="AI4921">
        <v>98</v>
      </c>
      <c r="AJ4921">
        <v>2</v>
      </c>
      <c r="AK4921">
        <v>1</v>
      </c>
      <c r="AL4921">
        <v>1</v>
      </c>
      <c r="AM4921">
        <v>98</v>
      </c>
      <c r="AN4921">
        <v>375.06799999999998</v>
      </c>
      <c r="AO4921">
        <v>723.38</v>
      </c>
      <c r="AP4921" s="13">
        <v>45844</v>
      </c>
      <c r="AQ4921">
        <v>8</v>
      </c>
      <c r="AR4921">
        <v>0</v>
      </c>
    </row>
    <row r="4922" spans="1:44" x14ac:dyDescent="0.35">
      <c r="A4922" s="12" t="s">
        <v>5979</v>
      </c>
      <c r="B4922" s="12" t="s">
        <v>391</v>
      </c>
      <c r="C4922" s="12" t="s">
        <v>392</v>
      </c>
      <c r="D4922" s="12" t="s">
        <v>114</v>
      </c>
      <c r="E4922" s="12" t="s">
        <v>65</v>
      </c>
      <c r="F4922">
        <v>2</v>
      </c>
      <c r="G4922">
        <v>2</v>
      </c>
      <c r="H4922">
        <v>0</v>
      </c>
      <c r="I4922" s="12" t="s">
        <v>310</v>
      </c>
      <c r="J4922" s="12" t="s">
        <v>311</v>
      </c>
      <c r="K4922" s="12" t="s">
        <v>81</v>
      </c>
      <c r="L4922" s="12" t="s">
        <v>69</v>
      </c>
      <c r="M4922">
        <v>28.3</v>
      </c>
      <c r="N4922" s="12" t="s">
        <v>70</v>
      </c>
      <c r="O4922" s="12" t="s">
        <v>71</v>
      </c>
      <c r="P4922" s="12" t="s">
        <v>72</v>
      </c>
      <c r="Q4922" s="13">
        <v>45790</v>
      </c>
      <c r="R4922" s="13">
        <v>45819</v>
      </c>
      <c r="S4922">
        <v>2025</v>
      </c>
      <c r="T4922" s="12" t="s">
        <v>5886</v>
      </c>
      <c r="U4922">
        <v>75</v>
      </c>
      <c r="V4922">
        <v>237.30709999999999</v>
      </c>
      <c r="W4922">
        <v>156.57</v>
      </c>
      <c r="X4922">
        <v>0</v>
      </c>
      <c r="Y4922">
        <v>0</v>
      </c>
      <c r="Z4922">
        <v>17798.03</v>
      </c>
      <c r="AA4922">
        <v>17954.599999999999</v>
      </c>
      <c r="AB4922" s="12" t="s">
        <v>201</v>
      </c>
      <c r="AD4922">
        <v>0</v>
      </c>
      <c r="AE4922">
        <v>0</v>
      </c>
      <c r="AH4922">
        <v>75</v>
      </c>
      <c r="AI4922">
        <v>73</v>
      </c>
      <c r="AJ4922">
        <v>2</v>
      </c>
      <c r="AK4922">
        <v>1</v>
      </c>
      <c r="AL4922">
        <v>1</v>
      </c>
      <c r="AM4922">
        <v>97.33</v>
      </c>
      <c r="AN4922">
        <v>245.95349999999999</v>
      </c>
      <c r="AO4922">
        <v>474.61</v>
      </c>
      <c r="AP4922" s="13">
        <v>45816</v>
      </c>
      <c r="AQ4922">
        <v>-3</v>
      </c>
      <c r="AR4922">
        <v>1</v>
      </c>
    </row>
    <row r="4923" spans="1:44" x14ac:dyDescent="0.35">
      <c r="A4923" s="12" t="s">
        <v>5980</v>
      </c>
      <c r="B4923" s="12" t="s">
        <v>924</v>
      </c>
      <c r="C4923" s="12" t="s">
        <v>925</v>
      </c>
      <c r="D4923" s="12" t="s">
        <v>103</v>
      </c>
      <c r="E4923" s="12" t="s">
        <v>104</v>
      </c>
      <c r="F4923">
        <v>2</v>
      </c>
      <c r="G4923">
        <v>0</v>
      </c>
      <c r="H4923">
        <v>0</v>
      </c>
      <c r="I4923" s="12" t="s">
        <v>335</v>
      </c>
      <c r="J4923" s="12" t="s">
        <v>336</v>
      </c>
      <c r="K4923" s="12" t="s">
        <v>89</v>
      </c>
      <c r="L4923" s="12" t="s">
        <v>82</v>
      </c>
      <c r="M4923">
        <v>16</v>
      </c>
      <c r="N4923" s="12" t="s">
        <v>145</v>
      </c>
      <c r="O4923" s="12" t="s">
        <v>146</v>
      </c>
      <c r="P4923" s="12" t="s">
        <v>109</v>
      </c>
      <c r="Q4923" s="13">
        <v>45790</v>
      </c>
      <c r="R4923" s="13">
        <v>45819</v>
      </c>
      <c r="S4923">
        <v>2025</v>
      </c>
      <c r="T4923" s="12" t="s">
        <v>5886</v>
      </c>
      <c r="U4923">
        <v>148</v>
      </c>
      <c r="V4923">
        <v>166.51580000000001</v>
      </c>
      <c r="W4923">
        <v>444.72</v>
      </c>
      <c r="X4923">
        <v>0</v>
      </c>
      <c r="Y4923">
        <v>0</v>
      </c>
      <c r="Z4923">
        <v>24644.34</v>
      </c>
      <c r="AA4923">
        <v>25089.06</v>
      </c>
      <c r="AB4923" s="12" t="s">
        <v>201</v>
      </c>
      <c r="AD4923">
        <v>0</v>
      </c>
      <c r="AE4923">
        <v>0</v>
      </c>
      <c r="AH4923">
        <v>148</v>
      </c>
      <c r="AI4923">
        <v>147</v>
      </c>
      <c r="AJ4923">
        <v>1</v>
      </c>
      <c r="AK4923">
        <v>1</v>
      </c>
      <c r="AL4923">
        <v>1</v>
      </c>
      <c r="AM4923">
        <v>99.32</v>
      </c>
      <c r="AN4923">
        <v>170.6739</v>
      </c>
      <c r="AO4923">
        <v>166.52</v>
      </c>
      <c r="AP4923" s="13">
        <v>45819</v>
      </c>
      <c r="AQ4923">
        <v>0</v>
      </c>
      <c r="AR4923">
        <v>1</v>
      </c>
    </row>
    <row r="4924" spans="1:44" x14ac:dyDescent="0.35">
      <c r="A4924" s="12" t="s">
        <v>5981</v>
      </c>
      <c r="B4924" s="12" t="s">
        <v>740</v>
      </c>
      <c r="C4924" s="12" t="s">
        <v>741</v>
      </c>
      <c r="D4924" s="12" t="s">
        <v>64</v>
      </c>
      <c r="E4924" s="12" t="s">
        <v>104</v>
      </c>
      <c r="F4924">
        <v>2</v>
      </c>
      <c r="G4924">
        <v>0</v>
      </c>
      <c r="H4924">
        <v>0</v>
      </c>
      <c r="I4924" s="12" t="s">
        <v>151</v>
      </c>
      <c r="J4924" s="12" t="s">
        <v>152</v>
      </c>
      <c r="K4924" s="12" t="s">
        <v>125</v>
      </c>
      <c r="L4924" s="12" t="s">
        <v>69</v>
      </c>
      <c r="M4924">
        <v>36.479999999999997</v>
      </c>
      <c r="N4924" s="12" t="s">
        <v>97</v>
      </c>
      <c r="O4924" s="12" t="s">
        <v>98</v>
      </c>
      <c r="P4924" s="12" t="s">
        <v>72</v>
      </c>
      <c r="Q4924" s="13">
        <v>45790</v>
      </c>
      <c r="R4924" s="13">
        <v>45818</v>
      </c>
      <c r="S4924">
        <v>2025</v>
      </c>
      <c r="T4924" s="12" t="s">
        <v>5886</v>
      </c>
      <c r="U4924">
        <v>903</v>
      </c>
      <c r="V4924">
        <v>38.488</v>
      </c>
      <c r="W4924">
        <v>322.82</v>
      </c>
      <c r="X4924">
        <v>0</v>
      </c>
      <c r="Y4924">
        <v>0</v>
      </c>
      <c r="Z4924">
        <v>34754.660000000003</v>
      </c>
      <c r="AA4924">
        <v>35077.480000000003</v>
      </c>
      <c r="AB4924" s="12" t="s">
        <v>5982</v>
      </c>
      <c r="AC4924">
        <v>38.488</v>
      </c>
      <c r="AD4924">
        <v>1</v>
      </c>
      <c r="AE4924">
        <v>1</v>
      </c>
      <c r="AF4924">
        <v>0</v>
      </c>
      <c r="AG4924">
        <v>34754.660000000003</v>
      </c>
      <c r="AH4924">
        <v>903</v>
      </c>
      <c r="AI4924">
        <v>891</v>
      </c>
      <c r="AJ4924">
        <v>12</v>
      </c>
      <c r="AK4924">
        <v>1</v>
      </c>
      <c r="AL4924">
        <v>1</v>
      </c>
      <c r="AM4924">
        <v>98.67</v>
      </c>
      <c r="AN4924">
        <v>39.368699999999997</v>
      </c>
      <c r="AO4924">
        <v>461.86</v>
      </c>
      <c r="AP4924" s="13">
        <v>45818</v>
      </c>
      <c r="AQ4924">
        <v>0</v>
      </c>
      <c r="AR4924">
        <v>1</v>
      </c>
    </row>
    <row r="4925" spans="1:44" x14ac:dyDescent="0.35">
      <c r="A4925" s="12" t="s">
        <v>5983</v>
      </c>
      <c r="B4925" s="12" t="s">
        <v>706</v>
      </c>
      <c r="C4925" s="12" t="s">
        <v>707</v>
      </c>
      <c r="D4925" s="12" t="s">
        <v>130</v>
      </c>
      <c r="E4925" s="12" t="s">
        <v>142</v>
      </c>
      <c r="F4925">
        <v>1</v>
      </c>
      <c r="G4925">
        <v>8</v>
      </c>
      <c r="H4925">
        <v>1</v>
      </c>
      <c r="I4925" s="12" t="s">
        <v>263</v>
      </c>
      <c r="J4925" s="12" t="s">
        <v>264</v>
      </c>
      <c r="K4925" s="12" t="s">
        <v>125</v>
      </c>
      <c r="L4925" s="12" t="s">
        <v>82</v>
      </c>
      <c r="M4925">
        <v>10.210000000000001</v>
      </c>
      <c r="N4925" s="12" t="s">
        <v>159</v>
      </c>
      <c r="O4925" s="12" t="s">
        <v>160</v>
      </c>
      <c r="P4925" s="12" t="s">
        <v>137</v>
      </c>
      <c r="Q4925" s="13">
        <v>45791</v>
      </c>
      <c r="R4925" s="13">
        <v>45832</v>
      </c>
      <c r="S4925">
        <v>2025</v>
      </c>
      <c r="T4925" s="12" t="s">
        <v>5886</v>
      </c>
      <c r="U4925">
        <v>57</v>
      </c>
      <c r="V4925">
        <v>276.71809999999999</v>
      </c>
      <c r="W4925">
        <v>256.31</v>
      </c>
      <c r="X4925">
        <v>0</v>
      </c>
      <c r="Y4925">
        <v>0</v>
      </c>
      <c r="Z4925">
        <v>15772.93</v>
      </c>
      <c r="AA4925">
        <v>16029.24</v>
      </c>
      <c r="AB4925" s="12" t="s">
        <v>5735</v>
      </c>
      <c r="AC4925">
        <v>276.71809999999999</v>
      </c>
      <c r="AD4925">
        <v>1</v>
      </c>
      <c r="AE4925">
        <v>1</v>
      </c>
      <c r="AF4925">
        <v>0</v>
      </c>
      <c r="AG4925">
        <v>15772.93</v>
      </c>
      <c r="AH4925">
        <v>57</v>
      </c>
      <c r="AI4925">
        <v>56</v>
      </c>
      <c r="AJ4925">
        <v>1</v>
      </c>
      <c r="AK4925">
        <v>1</v>
      </c>
      <c r="AL4925">
        <v>1</v>
      </c>
      <c r="AM4925">
        <v>98.25</v>
      </c>
      <c r="AN4925">
        <v>286.23649999999998</v>
      </c>
      <c r="AO4925">
        <v>276.72000000000003</v>
      </c>
      <c r="AP4925" s="13">
        <v>45829</v>
      </c>
      <c r="AQ4925">
        <v>-3</v>
      </c>
      <c r="AR4925">
        <v>1</v>
      </c>
    </row>
    <row r="4926" spans="1:44" x14ac:dyDescent="0.35">
      <c r="A4926" s="12" t="s">
        <v>5984</v>
      </c>
      <c r="B4926" s="12" t="s">
        <v>513</v>
      </c>
      <c r="C4926" s="12" t="s">
        <v>514</v>
      </c>
      <c r="D4926" s="12" t="s">
        <v>269</v>
      </c>
      <c r="E4926" s="12" t="s">
        <v>65</v>
      </c>
      <c r="F4926">
        <v>1</v>
      </c>
      <c r="G4926">
        <v>2</v>
      </c>
      <c r="H4926">
        <v>1</v>
      </c>
      <c r="I4926" s="12" t="s">
        <v>515</v>
      </c>
      <c r="J4926" s="12" t="s">
        <v>516</v>
      </c>
      <c r="K4926" s="12" t="s">
        <v>68</v>
      </c>
      <c r="L4926" s="12" t="s">
        <v>134</v>
      </c>
      <c r="M4926">
        <v>3.69</v>
      </c>
      <c r="N4926" s="12" t="s">
        <v>159</v>
      </c>
      <c r="O4926" s="12" t="s">
        <v>160</v>
      </c>
      <c r="P4926" s="12" t="s">
        <v>137</v>
      </c>
      <c r="Q4926" s="13">
        <v>45791</v>
      </c>
      <c r="R4926" s="13">
        <v>45829</v>
      </c>
      <c r="S4926">
        <v>2025</v>
      </c>
      <c r="T4926" s="12" t="s">
        <v>5886</v>
      </c>
      <c r="U4926">
        <v>149</v>
      </c>
      <c r="V4926">
        <v>216.2835</v>
      </c>
      <c r="W4926">
        <v>595.99</v>
      </c>
      <c r="X4926">
        <v>0</v>
      </c>
      <c r="Y4926">
        <v>0</v>
      </c>
      <c r="Z4926">
        <v>32226.240000000002</v>
      </c>
      <c r="AA4926">
        <v>32822.230000000003</v>
      </c>
      <c r="AB4926" s="12" t="s">
        <v>201</v>
      </c>
      <c r="AD4926">
        <v>0</v>
      </c>
      <c r="AE4926">
        <v>0</v>
      </c>
      <c r="AH4926">
        <v>149</v>
      </c>
      <c r="AI4926">
        <v>148</v>
      </c>
      <c r="AJ4926">
        <v>1</v>
      </c>
      <c r="AK4926">
        <v>1</v>
      </c>
      <c r="AL4926">
        <v>1</v>
      </c>
      <c r="AM4926">
        <v>99.33</v>
      </c>
      <c r="AN4926">
        <v>221.77180000000001</v>
      </c>
      <c r="AO4926">
        <v>216.28</v>
      </c>
      <c r="AP4926" s="13">
        <v>45835</v>
      </c>
      <c r="AQ4926">
        <v>6</v>
      </c>
      <c r="AR4926">
        <v>0</v>
      </c>
    </row>
    <row r="4927" spans="1:44" x14ac:dyDescent="0.35">
      <c r="A4927" s="12" t="s">
        <v>5985</v>
      </c>
      <c r="B4927" s="12" t="s">
        <v>685</v>
      </c>
      <c r="C4927" s="12" t="s">
        <v>686</v>
      </c>
      <c r="D4927" s="12" t="s">
        <v>175</v>
      </c>
      <c r="E4927" s="12" t="s">
        <v>104</v>
      </c>
      <c r="F4927">
        <v>2</v>
      </c>
      <c r="G4927">
        <v>0</v>
      </c>
      <c r="H4927">
        <v>0</v>
      </c>
      <c r="I4927" s="12" t="s">
        <v>243</v>
      </c>
      <c r="J4927" s="12" t="s">
        <v>244</v>
      </c>
      <c r="K4927" s="12" t="s">
        <v>81</v>
      </c>
      <c r="L4927" s="12" t="s">
        <v>82</v>
      </c>
      <c r="M4927">
        <v>9.2200000000000006</v>
      </c>
      <c r="N4927" s="12" t="s">
        <v>107</v>
      </c>
      <c r="O4927" s="12" t="s">
        <v>108</v>
      </c>
      <c r="P4927" s="12" t="s">
        <v>109</v>
      </c>
      <c r="Q4927" s="13">
        <v>45791</v>
      </c>
      <c r="R4927" s="13">
        <v>45819</v>
      </c>
      <c r="S4927">
        <v>2025</v>
      </c>
      <c r="T4927" s="12" t="s">
        <v>5886</v>
      </c>
      <c r="U4927">
        <v>141</v>
      </c>
      <c r="V4927">
        <v>239.58070000000001</v>
      </c>
      <c r="W4927">
        <v>717.85</v>
      </c>
      <c r="X4927">
        <v>0</v>
      </c>
      <c r="Y4927">
        <v>0</v>
      </c>
      <c r="Z4927">
        <v>33780.879999999997</v>
      </c>
      <c r="AA4927">
        <v>34498.730000000003</v>
      </c>
      <c r="AB4927" s="12" t="s">
        <v>201</v>
      </c>
      <c r="AD4927">
        <v>0</v>
      </c>
      <c r="AE4927">
        <v>0</v>
      </c>
      <c r="AH4927">
        <v>141</v>
      </c>
      <c r="AI4927">
        <v>140</v>
      </c>
      <c r="AJ4927">
        <v>1</v>
      </c>
      <c r="AK4927">
        <v>1</v>
      </c>
      <c r="AL4927">
        <v>1</v>
      </c>
      <c r="AM4927">
        <v>99.29</v>
      </c>
      <c r="AN4927">
        <v>246.4195</v>
      </c>
      <c r="AO4927">
        <v>239.58</v>
      </c>
      <c r="AP4927" s="13">
        <v>45816</v>
      </c>
      <c r="AQ4927">
        <v>-3</v>
      </c>
      <c r="AR4927">
        <v>1</v>
      </c>
    </row>
    <row r="4928" spans="1:44" x14ac:dyDescent="0.35">
      <c r="A4928" s="12" t="s">
        <v>5986</v>
      </c>
      <c r="B4928" s="12" t="s">
        <v>167</v>
      </c>
      <c r="C4928" s="12" t="s">
        <v>168</v>
      </c>
      <c r="D4928" s="12" t="s">
        <v>64</v>
      </c>
      <c r="E4928" s="12" t="s">
        <v>104</v>
      </c>
      <c r="F4928">
        <v>3</v>
      </c>
      <c r="G4928">
        <v>1</v>
      </c>
      <c r="H4928">
        <v>0</v>
      </c>
      <c r="I4928" s="12" t="s">
        <v>169</v>
      </c>
      <c r="J4928" s="12" t="s">
        <v>170</v>
      </c>
      <c r="K4928" s="12" t="s">
        <v>89</v>
      </c>
      <c r="L4928" s="12" t="s">
        <v>134</v>
      </c>
      <c r="M4928">
        <v>1.37</v>
      </c>
      <c r="N4928" s="12" t="s">
        <v>70</v>
      </c>
      <c r="O4928" s="12" t="s">
        <v>71</v>
      </c>
      <c r="P4928" s="12" t="s">
        <v>72</v>
      </c>
      <c r="Q4928" s="13">
        <v>45791</v>
      </c>
      <c r="R4928" s="13">
        <v>45819</v>
      </c>
      <c r="S4928">
        <v>2025</v>
      </c>
      <c r="T4928" s="12" t="s">
        <v>5886</v>
      </c>
      <c r="U4928">
        <v>905</v>
      </c>
      <c r="V4928">
        <v>24.557099999999998</v>
      </c>
      <c r="W4928">
        <v>409.64</v>
      </c>
      <c r="X4928">
        <v>752.85</v>
      </c>
      <c r="Y4928">
        <v>1</v>
      </c>
      <c r="Z4928">
        <v>22224.18</v>
      </c>
      <c r="AA4928">
        <v>23386.67</v>
      </c>
      <c r="AB4928" s="12" t="s">
        <v>5232</v>
      </c>
      <c r="AC4928">
        <v>24.557099999999998</v>
      </c>
      <c r="AD4928">
        <v>1</v>
      </c>
      <c r="AE4928">
        <v>1</v>
      </c>
      <c r="AF4928">
        <v>0</v>
      </c>
      <c r="AG4928">
        <v>22224.18</v>
      </c>
      <c r="AH4928">
        <v>905</v>
      </c>
      <c r="AI4928">
        <v>901</v>
      </c>
      <c r="AJ4928">
        <v>4</v>
      </c>
      <c r="AK4928">
        <v>1</v>
      </c>
      <c r="AL4928">
        <v>1</v>
      </c>
      <c r="AM4928">
        <v>99.56</v>
      </c>
      <c r="AN4928">
        <v>25.956299999999999</v>
      </c>
      <c r="AO4928">
        <v>98.23</v>
      </c>
      <c r="AP4928" s="13">
        <v>45821</v>
      </c>
      <c r="AQ4928">
        <v>2</v>
      </c>
      <c r="AR4928">
        <v>0</v>
      </c>
    </row>
    <row r="4929" spans="1:44" x14ac:dyDescent="0.35">
      <c r="A4929" s="12" t="s">
        <v>5987</v>
      </c>
      <c r="B4929" s="12" t="s">
        <v>442</v>
      </c>
      <c r="C4929" s="12" t="s">
        <v>443</v>
      </c>
      <c r="D4929" s="12" t="s">
        <v>130</v>
      </c>
      <c r="E4929" s="12" t="s">
        <v>65</v>
      </c>
      <c r="F4929">
        <v>3</v>
      </c>
      <c r="G4929">
        <v>4</v>
      </c>
      <c r="H4929">
        <v>0</v>
      </c>
      <c r="I4929" s="12" t="s">
        <v>115</v>
      </c>
      <c r="J4929" s="12" t="s">
        <v>116</v>
      </c>
      <c r="K4929" s="12" t="s">
        <v>117</v>
      </c>
      <c r="L4929" s="12" t="s">
        <v>82</v>
      </c>
      <c r="M4929">
        <v>17.170000000000002</v>
      </c>
      <c r="N4929" s="12" t="s">
        <v>159</v>
      </c>
      <c r="O4929" s="12" t="s">
        <v>160</v>
      </c>
      <c r="P4929" s="12" t="s">
        <v>137</v>
      </c>
      <c r="Q4929" s="13">
        <v>45791</v>
      </c>
      <c r="R4929" s="13">
        <v>45824</v>
      </c>
      <c r="S4929">
        <v>2025</v>
      </c>
      <c r="T4929" s="12" t="s">
        <v>5886</v>
      </c>
      <c r="U4929">
        <v>103</v>
      </c>
      <c r="V4929">
        <v>568.07240000000002</v>
      </c>
      <c r="W4929">
        <v>402.16</v>
      </c>
      <c r="X4929">
        <v>0</v>
      </c>
      <c r="Y4929">
        <v>0</v>
      </c>
      <c r="Z4929">
        <v>58511.46</v>
      </c>
      <c r="AA4929">
        <v>58913.62</v>
      </c>
      <c r="AB4929" s="12" t="s">
        <v>5800</v>
      </c>
      <c r="AC4929">
        <v>568.07240000000002</v>
      </c>
      <c r="AD4929">
        <v>1</v>
      </c>
      <c r="AE4929">
        <v>1</v>
      </c>
      <c r="AF4929">
        <v>0</v>
      </c>
      <c r="AG4929">
        <v>58511.46</v>
      </c>
      <c r="AH4929">
        <v>103</v>
      </c>
      <c r="AI4929">
        <v>101</v>
      </c>
      <c r="AJ4929">
        <v>2</v>
      </c>
      <c r="AK4929">
        <v>1</v>
      </c>
      <c r="AL4929">
        <v>1</v>
      </c>
      <c r="AM4929">
        <v>98.06</v>
      </c>
      <c r="AN4929">
        <v>583.30309999999997</v>
      </c>
      <c r="AO4929">
        <v>1136.1400000000001</v>
      </c>
      <c r="AP4929" s="13">
        <v>45823</v>
      </c>
      <c r="AQ4929">
        <v>-1</v>
      </c>
      <c r="AR4929">
        <v>1</v>
      </c>
    </row>
    <row r="4930" spans="1:44" x14ac:dyDescent="0.35">
      <c r="A4930" s="12" t="s">
        <v>5988</v>
      </c>
      <c r="B4930" s="12" t="s">
        <v>1075</v>
      </c>
      <c r="C4930" s="12" t="s">
        <v>1076</v>
      </c>
      <c r="D4930" s="12" t="s">
        <v>103</v>
      </c>
      <c r="E4930" s="12" t="s">
        <v>65</v>
      </c>
      <c r="F4930">
        <v>2</v>
      </c>
      <c r="G4930">
        <v>4</v>
      </c>
      <c r="H4930">
        <v>0</v>
      </c>
      <c r="I4930" s="12" t="s">
        <v>183</v>
      </c>
      <c r="J4930" s="12" t="s">
        <v>184</v>
      </c>
      <c r="K4930" s="12" t="s">
        <v>133</v>
      </c>
      <c r="L4930" s="12" t="s">
        <v>82</v>
      </c>
      <c r="M4930">
        <v>8.6199999999999992</v>
      </c>
      <c r="N4930" s="12" t="s">
        <v>107</v>
      </c>
      <c r="O4930" s="12" t="s">
        <v>108</v>
      </c>
      <c r="P4930" s="12" t="s">
        <v>109</v>
      </c>
      <c r="Q4930" s="13">
        <v>45791</v>
      </c>
      <c r="R4930" s="13">
        <v>45829</v>
      </c>
      <c r="S4930">
        <v>2025</v>
      </c>
      <c r="T4930" s="12" t="s">
        <v>5886</v>
      </c>
      <c r="U4930">
        <v>149</v>
      </c>
      <c r="V4930">
        <v>77.981499999999997</v>
      </c>
      <c r="W4930">
        <v>193.99</v>
      </c>
      <c r="X4930">
        <v>0</v>
      </c>
      <c r="Y4930">
        <v>0</v>
      </c>
      <c r="Z4930">
        <v>11619.24</v>
      </c>
      <c r="AA4930">
        <v>11813.23</v>
      </c>
      <c r="AB4930" s="12" t="s">
        <v>201</v>
      </c>
      <c r="AD4930">
        <v>0</v>
      </c>
      <c r="AE4930">
        <v>0</v>
      </c>
      <c r="AH4930">
        <v>149</v>
      </c>
      <c r="AI4930">
        <v>149</v>
      </c>
      <c r="AJ4930">
        <v>0</v>
      </c>
      <c r="AK4930">
        <v>1</v>
      </c>
      <c r="AL4930">
        <v>1</v>
      </c>
      <c r="AM4930">
        <v>100</v>
      </c>
      <c r="AN4930">
        <v>79.2834</v>
      </c>
      <c r="AO4930">
        <v>0</v>
      </c>
      <c r="AP4930" s="13">
        <v>45828</v>
      </c>
      <c r="AQ4930">
        <v>-1</v>
      </c>
      <c r="AR4930">
        <v>1</v>
      </c>
    </row>
    <row r="4931" spans="1:44" x14ac:dyDescent="0.35">
      <c r="A4931" s="12" t="s">
        <v>5989</v>
      </c>
      <c r="B4931" s="12" t="s">
        <v>357</v>
      </c>
      <c r="C4931" s="12" t="s">
        <v>358</v>
      </c>
      <c r="D4931" s="12" t="s">
        <v>103</v>
      </c>
      <c r="E4931" s="12" t="s">
        <v>104</v>
      </c>
      <c r="F4931">
        <v>3</v>
      </c>
      <c r="G4931">
        <v>1</v>
      </c>
      <c r="H4931">
        <v>0</v>
      </c>
      <c r="I4931" s="12" t="s">
        <v>105</v>
      </c>
      <c r="J4931" s="12" t="s">
        <v>106</v>
      </c>
      <c r="K4931" s="12" t="s">
        <v>81</v>
      </c>
      <c r="L4931" s="12" t="s">
        <v>96</v>
      </c>
      <c r="M4931">
        <v>5.01</v>
      </c>
      <c r="N4931" s="12" t="s">
        <v>107</v>
      </c>
      <c r="O4931" s="12" t="s">
        <v>108</v>
      </c>
      <c r="P4931" s="12" t="s">
        <v>109</v>
      </c>
      <c r="Q4931" s="13">
        <v>45791</v>
      </c>
      <c r="R4931" s="13">
        <v>45805</v>
      </c>
      <c r="S4931">
        <v>2025</v>
      </c>
      <c r="T4931" s="12" t="s">
        <v>5886</v>
      </c>
      <c r="U4931">
        <v>26</v>
      </c>
      <c r="V4931">
        <v>106.63800000000001</v>
      </c>
      <c r="W4931">
        <v>58.22</v>
      </c>
      <c r="X4931">
        <v>0</v>
      </c>
      <c r="Y4931">
        <v>0</v>
      </c>
      <c r="Z4931">
        <v>2772.59</v>
      </c>
      <c r="AA4931">
        <v>2830.81</v>
      </c>
      <c r="AB4931" s="12" t="s">
        <v>5265</v>
      </c>
      <c r="AC4931">
        <v>106.63800000000001</v>
      </c>
      <c r="AD4931">
        <v>1</v>
      </c>
      <c r="AE4931">
        <v>1</v>
      </c>
      <c r="AF4931">
        <v>0</v>
      </c>
      <c r="AG4931">
        <v>2772.59</v>
      </c>
      <c r="AH4931">
        <v>26</v>
      </c>
      <c r="AI4931">
        <v>26</v>
      </c>
      <c r="AJ4931">
        <v>0</v>
      </c>
      <c r="AK4931">
        <v>1</v>
      </c>
      <c r="AL4931">
        <v>1</v>
      </c>
      <c r="AM4931">
        <v>100</v>
      </c>
      <c r="AN4931">
        <v>108.8772</v>
      </c>
      <c r="AO4931">
        <v>0</v>
      </c>
      <c r="AP4931" s="13">
        <v>45805</v>
      </c>
      <c r="AQ4931">
        <v>0</v>
      </c>
      <c r="AR4931">
        <v>1</v>
      </c>
    </row>
    <row r="4932" spans="1:44" x14ac:dyDescent="0.35">
      <c r="A4932" s="12" t="s">
        <v>5990</v>
      </c>
      <c r="B4932" s="12" t="s">
        <v>1026</v>
      </c>
      <c r="C4932" s="12" t="s">
        <v>1027</v>
      </c>
      <c r="D4932" s="12" t="s">
        <v>122</v>
      </c>
      <c r="E4932" s="12" t="s">
        <v>104</v>
      </c>
      <c r="F4932">
        <v>3</v>
      </c>
      <c r="G4932">
        <v>1</v>
      </c>
      <c r="H4932">
        <v>0</v>
      </c>
      <c r="I4932" s="12" t="s">
        <v>183</v>
      </c>
      <c r="J4932" s="12" t="s">
        <v>184</v>
      </c>
      <c r="K4932" s="12" t="s">
        <v>133</v>
      </c>
      <c r="L4932" s="12" t="s">
        <v>82</v>
      </c>
      <c r="M4932">
        <v>8.6199999999999992</v>
      </c>
      <c r="N4932" s="12" t="s">
        <v>97</v>
      </c>
      <c r="O4932" s="12" t="s">
        <v>98</v>
      </c>
      <c r="P4932" s="12" t="s">
        <v>72</v>
      </c>
      <c r="Q4932" s="13">
        <v>45791</v>
      </c>
      <c r="R4932" s="13">
        <v>45812</v>
      </c>
      <c r="S4932">
        <v>2025</v>
      </c>
      <c r="T4932" s="12" t="s">
        <v>5886</v>
      </c>
      <c r="U4932">
        <v>1167</v>
      </c>
      <c r="V4932">
        <v>44.210500000000003</v>
      </c>
      <c r="W4932">
        <v>574.24</v>
      </c>
      <c r="X4932">
        <v>0</v>
      </c>
      <c r="Y4932">
        <v>0</v>
      </c>
      <c r="Z4932">
        <v>51593.65</v>
      </c>
      <c r="AA4932">
        <v>52167.89</v>
      </c>
      <c r="AB4932" s="12" t="s">
        <v>201</v>
      </c>
      <c r="AD4932">
        <v>0</v>
      </c>
      <c r="AE4932">
        <v>0</v>
      </c>
      <c r="AH4932">
        <v>1167</v>
      </c>
      <c r="AI4932">
        <v>1161</v>
      </c>
      <c r="AJ4932">
        <v>6</v>
      </c>
      <c r="AK4932">
        <v>1</v>
      </c>
      <c r="AL4932">
        <v>1</v>
      </c>
      <c r="AM4932">
        <v>99.49</v>
      </c>
      <c r="AN4932">
        <v>44.933599999999998</v>
      </c>
      <c r="AO4932">
        <v>265.26</v>
      </c>
      <c r="AP4932" s="13">
        <v>45809</v>
      </c>
      <c r="AQ4932">
        <v>-3</v>
      </c>
      <c r="AR4932">
        <v>1</v>
      </c>
    </row>
    <row r="4933" spans="1:44" x14ac:dyDescent="0.35">
      <c r="A4933" s="12" t="s">
        <v>5991</v>
      </c>
      <c r="B4933" s="12" t="s">
        <v>736</v>
      </c>
      <c r="C4933" s="12" t="s">
        <v>737</v>
      </c>
      <c r="D4933" s="12" t="s">
        <v>64</v>
      </c>
      <c r="E4933" s="12" t="s">
        <v>104</v>
      </c>
      <c r="F4933">
        <v>3</v>
      </c>
      <c r="G4933">
        <v>1</v>
      </c>
      <c r="H4933">
        <v>0</v>
      </c>
      <c r="I4933" s="12" t="s">
        <v>94</v>
      </c>
      <c r="J4933" s="12" t="s">
        <v>95</v>
      </c>
      <c r="K4933" s="12" t="s">
        <v>81</v>
      </c>
      <c r="L4933" s="12" t="s">
        <v>96</v>
      </c>
      <c r="M4933">
        <v>4.8099999999999996</v>
      </c>
      <c r="N4933" s="12" t="s">
        <v>70</v>
      </c>
      <c r="O4933" s="12" t="s">
        <v>71</v>
      </c>
      <c r="P4933" s="12" t="s">
        <v>72</v>
      </c>
      <c r="Q4933" s="13">
        <v>45791</v>
      </c>
      <c r="R4933" s="13">
        <v>45812</v>
      </c>
      <c r="S4933">
        <v>2025</v>
      </c>
      <c r="T4933" s="12" t="s">
        <v>5886</v>
      </c>
      <c r="U4933">
        <v>566</v>
      </c>
      <c r="V4933">
        <v>21.2288</v>
      </c>
      <c r="W4933">
        <v>84.44</v>
      </c>
      <c r="X4933">
        <v>0</v>
      </c>
      <c r="Y4933">
        <v>0</v>
      </c>
      <c r="Z4933">
        <v>12015.5</v>
      </c>
      <c r="AA4933">
        <v>12099.94</v>
      </c>
      <c r="AB4933" s="12" t="s">
        <v>5992</v>
      </c>
      <c r="AC4933">
        <v>21.2288</v>
      </c>
      <c r="AD4933">
        <v>1</v>
      </c>
      <c r="AE4933">
        <v>1</v>
      </c>
      <c r="AF4933">
        <v>0</v>
      </c>
      <c r="AG4933">
        <v>12015.5</v>
      </c>
      <c r="AH4933">
        <v>566</v>
      </c>
      <c r="AI4933">
        <v>561</v>
      </c>
      <c r="AJ4933">
        <v>5</v>
      </c>
      <c r="AK4933">
        <v>1</v>
      </c>
      <c r="AL4933">
        <v>1</v>
      </c>
      <c r="AM4933">
        <v>99.12</v>
      </c>
      <c r="AN4933">
        <v>21.5685</v>
      </c>
      <c r="AO4933">
        <v>106.14</v>
      </c>
      <c r="AP4933" s="13">
        <v>45812</v>
      </c>
      <c r="AQ4933">
        <v>0</v>
      </c>
      <c r="AR4933">
        <v>1</v>
      </c>
    </row>
    <row r="4934" spans="1:44" x14ac:dyDescent="0.35">
      <c r="A4934" s="12" t="s">
        <v>5993</v>
      </c>
      <c r="B4934" s="12" t="s">
        <v>391</v>
      </c>
      <c r="C4934" s="12" t="s">
        <v>392</v>
      </c>
      <c r="D4934" s="12" t="s">
        <v>114</v>
      </c>
      <c r="E4934" s="12" t="s">
        <v>65</v>
      </c>
      <c r="F4934">
        <v>2</v>
      </c>
      <c r="G4934">
        <v>2</v>
      </c>
      <c r="H4934">
        <v>0</v>
      </c>
      <c r="I4934" s="12" t="s">
        <v>310</v>
      </c>
      <c r="J4934" s="12" t="s">
        <v>311</v>
      </c>
      <c r="K4934" s="12" t="s">
        <v>81</v>
      </c>
      <c r="L4934" s="12" t="s">
        <v>69</v>
      </c>
      <c r="M4934">
        <v>28.3</v>
      </c>
      <c r="N4934" s="12" t="s">
        <v>70</v>
      </c>
      <c r="O4934" s="12" t="s">
        <v>71</v>
      </c>
      <c r="P4934" s="12" t="s">
        <v>72</v>
      </c>
      <c r="Q4934" s="13">
        <v>45791</v>
      </c>
      <c r="R4934" s="13">
        <v>45819</v>
      </c>
      <c r="S4934">
        <v>2025</v>
      </c>
      <c r="T4934" s="12" t="s">
        <v>5886</v>
      </c>
      <c r="U4934">
        <v>64</v>
      </c>
      <c r="V4934">
        <v>237.27260000000001</v>
      </c>
      <c r="W4934">
        <v>260.77999999999997</v>
      </c>
      <c r="X4934">
        <v>0</v>
      </c>
      <c r="Y4934">
        <v>0</v>
      </c>
      <c r="Z4934">
        <v>15185.45</v>
      </c>
      <c r="AA4934">
        <v>15446.23</v>
      </c>
      <c r="AB4934" s="12" t="s">
        <v>201</v>
      </c>
      <c r="AD4934">
        <v>0</v>
      </c>
      <c r="AE4934">
        <v>0</v>
      </c>
      <c r="AH4934">
        <v>64</v>
      </c>
      <c r="AI4934">
        <v>63</v>
      </c>
      <c r="AJ4934">
        <v>1</v>
      </c>
      <c r="AK4934">
        <v>1</v>
      </c>
      <c r="AL4934">
        <v>1</v>
      </c>
      <c r="AM4934">
        <v>98.44</v>
      </c>
      <c r="AN4934">
        <v>245.1782</v>
      </c>
      <c r="AO4934">
        <v>237.27</v>
      </c>
      <c r="AP4934" s="13">
        <v>45816</v>
      </c>
      <c r="AQ4934">
        <v>-3</v>
      </c>
      <c r="AR4934">
        <v>1</v>
      </c>
    </row>
    <row r="4935" spans="1:44" x14ac:dyDescent="0.35">
      <c r="A4935" s="12" t="s">
        <v>5994</v>
      </c>
      <c r="B4935" s="12" t="s">
        <v>428</v>
      </c>
      <c r="C4935" s="12" t="s">
        <v>429</v>
      </c>
      <c r="D4935" s="12" t="s">
        <v>64</v>
      </c>
      <c r="E4935" s="12" t="s">
        <v>65</v>
      </c>
      <c r="F4935">
        <v>3</v>
      </c>
      <c r="G4935">
        <v>4</v>
      </c>
      <c r="H4935">
        <v>0</v>
      </c>
      <c r="I4935" s="12" t="s">
        <v>105</v>
      </c>
      <c r="J4935" s="12" t="s">
        <v>106</v>
      </c>
      <c r="K4935" s="12" t="s">
        <v>81</v>
      </c>
      <c r="L4935" s="12" t="s">
        <v>96</v>
      </c>
      <c r="M4935">
        <v>5.01</v>
      </c>
      <c r="N4935" s="12" t="s">
        <v>97</v>
      </c>
      <c r="O4935" s="12" t="s">
        <v>98</v>
      </c>
      <c r="P4935" s="12" t="s">
        <v>72</v>
      </c>
      <c r="Q4935" s="13">
        <v>45791</v>
      </c>
      <c r="R4935" s="13">
        <v>45812</v>
      </c>
      <c r="S4935">
        <v>2025</v>
      </c>
      <c r="T4935" s="12" t="s">
        <v>5886</v>
      </c>
      <c r="U4935">
        <v>147</v>
      </c>
      <c r="V4935">
        <v>12.941800000000001</v>
      </c>
      <c r="W4935">
        <v>41.31</v>
      </c>
      <c r="X4935">
        <v>62.75</v>
      </c>
      <c r="Y4935">
        <v>1</v>
      </c>
      <c r="Z4935">
        <v>1902.44</v>
      </c>
      <c r="AA4935">
        <v>2006.5</v>
      </c>
      <c r="AB4935" s="12" t="s">
        <v>5995</v>
      </c>
      <c r="AC4935">
        <v>12.941800000000001</v>
      </c>
      <c r="AD4935">
        <v>1</v>
      </c>
      <c r="AE4935">
        <v>1</v>
      </c>
      <c r="AF4935">
        <v>0</v>
      </c>
      <c r="AG4935">
        <v>1902.44</v>
      </c>
      <c r="AH4935">
        <v>147</v>
      </c>
      <c r="AI4935">
        <v>145</v>
      </c>
      <c r="AJ4935">
        <v>2</v>
      </c>
      <c r="AK4935">
        <v>1</v>
      </c>
      <c r="AL4935">
        <v>1</v>
      </c>
      <c r="AM4935">
        <v>98.64</v>
      </c>
      <c r="AN4935">
        <v>13.837999999999999</v>
      </c>
      <c r="AO4935">
        <v>25.88</v>
      </c>
      <c r="AP4935" s="13">
        <v>45817</v>
      </c>
      <c r="AQ4935">
        <v>5</v>
      </c>
      <c r="AR4935">
        <v>0</v>
      </c>
    </row>
    <row r="4936" spans="1:44" x14ac:dyDescent="0.35">
      <c r="A4936" s="12" t="s">
        <v>5996</v>
      </c>
      <c r="B4936" s="12" t="s">
        <v>428</v>
      </c>
      <c r="C4936" s="12" t="s">
        <v>429</v>
      </c>
      <c r="D4936" s="12" t="s">
        <v>64</v>
      </c>
      <c r="E4936" s="12" t="s">
        <v>65</v>
      </c>
      <c r="F4936">
        <v>3</v>
      </c>
      <c r="G4936">
        <v>4</v>
      </c>
      <c r="H4936">
        <v>0</v>
      </c>
      <c r="I4936" s="12" t="s">
        <v>105</v>
      </c>
      <c r="J4936" s="12" t="s">
        <v>106</v>
      </c>
      <c r="K4936" s="12" t="s">
        <v>81</v>
      </c>
      <c r="L4936" s="12" t="s">
        <v>96</v>
      </c>
      <c r="M4936">
        <v>5.01</v>
      </c>
      <c r="N4936" s="12" t="s">
        <v>97</v>
      </c>
      <c r="O4936" s="12" t="s">
        <v>98</v>
      </c>
      <c r="P4936" s="12" t="s">
        <v>72</v>
      </c>
      <c r="Q4936" s="13">
        <v>45791</v>
      </c>
      <c r="R4936" s="13">
        <v>45813</v>
      </c>
      <c r="S4936">
        <v>2025</v>
      </c>
      <c r="T4936" s="12" t="s">
        <v>5886</v>
      </c>
      <c r="U4936">
        <v>154</v>
      </c>
      <c r="V4936">
        <v>12.941800000000001</v>
      </c>
      <c r="W4936">
        <v>30.4</v>
      </c>
      <c r="X4936">
        <v>60.49</v>
      </c>
      <c r="Y4936">
        <v>1</v>
      </c>
      <c r="Z4936">
        <v>1993.04</v>
      </c>
      <c r="AA4936">
        <v>2083.9299999999998</v>
      </c>
      <c r="AB4936" s="12" t="s">
        <v>5995</v>
      </c>
      <c r="AC4936">
        <v>12.941800000000001</v>
      </c>
      <c r="AD4936">
        <v>1</v>
      </c>
      <c r="AE4936">
        <v>1</v>
      </c>
      <c r="AF4936">
        <v>0</v>
      </c>
      <c r="AG4936">
        <v>1993.04</v>
      </c>
      <c r="AH4936">
        <v>154</v>
      </c>
      <c r="AI4936">
        <v>153</v>
      </c>
      <c r="AJ4936">
        <v>1</v>
      </c>
      <c r="AK4936">
        <v>1</v>
      </c>
      <c r="AL4936">
        <v>1</v>
      </c>
      <c r="AM4936">
        <v>99.35</v>
      </c>
      <c r="AN4936">
        <v>13.6204</v>
      </c>
      <c r="AO4936">
        <v>12.94</v>
      </c>
      <c r="AP4936" s="13">
        <v>45811</v>
      </c>
      <c r="AQ4936">
        <v>-2</v>
      </c>
      <c r="AR4936">
        <v>1</v>
      </c>
    </row>
    <row r="4937" spans="1:44" x14ac:dyDescent="0.35">
      <c r="A4937" s="12" t="s">
        <v>5997</v>
      </c>
      <c r="B4937" s="12" t="s">
        <v>238</v>
      </c>
      <c r="C4937" s="12" t="s">
        <v>239</v>
      </c>
      <c r="D4937" s="12" t="s">
        <v>122</v>
      </c>
      <c r="E4937" s="12" t="s">
        <v>65</v>
      </c>
      <c r="F4937">
        <v>3</v>
      </c>
      <c r="G4937">
        <v>4</v>
      </c>
      <c r="H4937">
        <v>0</v>
      </c>
      <c r="I4937" s="12" t="s">
        <v>79</v>
      </c>
      <c r="J4937" s="12" t="s">
        <v>80</v>
      </c>
      <c r="K4937" s="12" t="s">
        <v>81</v>
      </c>
      <c r="L4937" s="12" t="s">
        <v>82</v>
      </c>
      <c r="M4937">
        <v>12.07</v>
      </c>
      <c r="N4937" s="12" t="s">
        <v>70</v>
      </c>
      <c r="O4937" s="12" t="s">
        <v>71</v>
      </c>
      <c r="P4937" s="12" t="s">
        <v>72</v>
      </c>
      <c r="Q4937" s="13">
        <v>45791</v>
      </c>
      <c r="R4937" s="13">
        <v>45819</v>
      </c>
      <c r="S4937">
        <v>2025</v>
      </c>
      <c r="T4937" s="12" t="s">
        <v>5886</v>
      </c>
      <c r="U4937">
        <v>984</v>
      </c>
      <c r="V4937">
        <v>34.205399999999997</v>
      </c>
      <c r="W4937">
        <v>751.73</v>
      </c>
      <c r="X4937">
        <v>0</v>
      </c>
      <c r="Y4937">
        <v>0</v>
      </c>
      <c r="Z4937">
        <v>33658.11</v>
      </c>
      <c r="AA4937">
        <v>34409.839999999997</v>
      </c>
      <c r="AB4937" s="12" t="s">
        <v>5214</v>
      </c>
      <c r="AC4937">
        <v>34.205399999999997</v>
      </c>
      <c r="AD4937">
        <v>1</v>
      </c>
      <c r="AE4937">
        <v>1</v>
      </c>
      <c r="AF4937">
        <v>0</v>
      </c>
      <c r="AG4937">
        <v>33658.11</v>
      </c>
      <c r="AH4937">
        <v>984</v>
      </c>
      <c r="AI4937">
        <v>978</v>
      </c>
      <c r="AJ4937">
        <v>6</v>
      </c>
      <c r="AK4937">
        <v>1</v>
      </c>
      <c r="AL4937">
        <v>1</v>
      </c>
      <c r="AM4937">
        <v>99.39</v>
      </c>
      <c r="AN4937">
        <v>35.183900000000001</v>
      </c>
      <c r="AO4937">
        <v>205.23</v>
      </c>
      <c r="AP4937" s="13">
        <v>45816</v>
      </c>
      <c r="AQ4937">
        <v>-3</v>
      </c>
      <c r="AR4937">
        <v>1</v>
      </c>
    </row>
    <row r="4938" spans="1:44" x14ac:dyDescent="0.35">
      <c r="A4938" s="12" t="s">
        <v>5998</v>
      </c>
      <c r="B4938" s="12" t="s">
        <v>513</v>
      </c>
      <c r="C4938" s="12" t="s">
        <v>514</v>
      </c>
      <c r="D4938" s="12" t="s">
        <v>269</v>
      </c>
      <c r="E4938" s="12" t="s">
        <v>65</v>
      </c>
      <c r="F4938">
        <v>1</v>
      </c>
      <c r="G4938">
        <v>2</v>
      </c>
      <c r="H4938">
        <v>1</v>
      </c>
      <c r="I4938" s="12" t="s">
        <v>515</v>
      </c>
      <c r="J4938" s="12" t="s">
        <v>516</v>
      </c>
      <c r="K4938" s="12" t="s">
        <v>68</v>
      </c>
      <c r="L4938" s="12" t="s">
        <v>134</v>
      </c>
      <c r="M4938">
        <v>3.69</v>
      </c>
      <c r="N4938" s="12" t="s">
        <v>135</v>
      </c>
      <c r="O4938" s="12" t="s">
        <v>136</v>
      </c>
      <c r="P4938" s="12" t="s">
        <v>137</v>
      </c>
      <c r="Q4938" s="13">
        <v>45792</v>
      </c>
      <c r="R4938" s="13">
        <v>45825</v>
      </c>
      <c r="S4938">
        <v>2025</v>
      </c>
      <c r="T4938" s="12" t="s">
        <v>5886</v>
      </c>
      <c r="U4938">
        <v>105</v>
      </c>
      <c r="V4938">
        <v>199.0986</v>
      </c>
      <c r="W4938">
        <v>342.03</v>
      </c>
      <c r="X4938">
        <v>0</v>
      </c>
      <c r="Y4938">
        <v>0</v>
      </c>
      <c r="Z4938">
        <v>20905.349999999999</v>
      </c>
      <c r="AA4938">
        <v>21247.38</v>
      </c>
      <c r="AB4938" s="12" t="s">
        <v>201</v>
      </c>
      <c r="AD4938">
        <v>0</v>
      </c>
      <c r="AE4938">
        <v>0</v>
      </c>
      <c r="AH4938">
        <v>105</v>
      </c>
      <c r="AI4938">
        <v>104</v>
      </c>
      <c r="AJ4938">
        <v>1</v>
      </c>
      <c r="AK4938">
        <v>1</v>
      </c>
      <c r="AL4938">
        <v>1</v>
      </c>
      <c r="AM4938">
        <v>99.05</v>
      </c>
      <c r="AN4938">
        <v>204.30179999999999</v>
      </c>
      <c r="AO4938">
        <v>199.1</v>
      </c>
      <c r="AP4938" s="13">
        <v>45834</v>
      </c>
      <c r="AQ4938">
        <v>9</v>
      </c>
      <c r="AR4938">
        <v>0</v>
      </c>
    </row>
    <row r="4939" spans="1:44" x14ac:dyDescent="0.35">
      <c r="A4939" s="12" t="s">
        <v>5999</v>
      </c>
      <c r="B4939" s="12" t="s">
        <v>378</v>
      </c>
      <c r="C4939" s="12" t="s">
        <v>379</v>
      </c>
      <c r="D4939" s="12" t="s">
        <v>64</v>
      </c>
      <c r="E4939" s="12" t="s">
        <v>104</v>
      </c>
      <c r="F4939">
        <v>3</v>
      </c>
      <c r="G4939">
        <v>1</v>
      </c>
      <c r="H4939">
        <v>0</v>
      </c>
      <c r="I4939" s="12" t="s">
        <v>380</v>
      </c>
      <c r="J4939" s="12" t="s">
        <v>381</v>
      </c>
      <c r="K4939" s="12" t="s">
        <v>89</v>
      </c>
      <c r="L4939" s="12" t="s">
        <v>96</v>
      </c>
      <c r="M4939">
        <v>10.210000000000001</v>
      </c>
      <c r="N4939" s="12" t="s">
        <v>70</v>
      </c>
      <c r="O4939" s="12" t="s">
        <v>71</v>
      </c>
      <c r="P4939" s="12" t="s">
        <v>72</v>
      </c>
      <c r="Q4939" s="13">
        <v>45792</v>
      </c>
      <c r="R4939" s="13">
        <v>45821</v>
      </c>
      <c r="S4939">
        <v>2025</v>
      </c>
      <c r="T4939" s="12" t="s">
        <v>5886</v>
      </c>
      <c r="U4939">
        <v>998</v>
      </c>
      <c r="V4939">
        <v>15.3193</v>
      </c>
      <c r="W4939">
        <v>394.41</v>
      </c>
      <c r="X4939">
        <v>0</v>
      </c>
      <c r="Y4939">
        <v>0</v>
      </c>
      <c r="Z4939">
        <v>15288.66</v>
      </c>
      <c r="AA4939">
        <v>15683.07</v>
      </c>
      <c r="AB4939" s="12" t="s">
        <v>5544</v>
      </c>
      <c r="AC4939">
        <v>15.3193</v>
      </c>
      <c r="AD4939">
        <v>1</v>
      </c>
      <c r="AE4939">
        <v>1</v>
      </c>
      <c r="AF4939">
        <v>0</v>
      </c>
      <c r="AG4939">
        <v>15288.66</v>
      </c>
      <c r="AH4939">
        <v>998</v>
      </c>
      <c r="AI4939">
        <v>990</v>
      </c>
      <c r="AJ4939">
        <v>8</v>
      </c>
      <c r="AK4939">
        <v>1</v>
      </c>
      <c r="AL4939">
        <v>1</v>
      </c>
      <c r="AM4939">
        <v>99.2</v>
      </c>
      <c r="AN4939">
        <v>15.8415</v>
      </c>
      <c r="AO4939">
        <v>122.55</v>
      </c>
      <c r="AP4939" s="13">
        <v>45820</v>
      </c>
      <c r="AQ4939">
        <v>-1</v>
      </c>
      <c r="AR4939">
        <v>1</v>
      </c>
    </row>
    <row r="4940" spans="1:44" x14ac:dyDescent="0.35">
      <c r="A4940" s="12" t="s">
        <v>6000</v>
      </c>
      <c r="B4940" s="12" t="s">
        <v>952</v>
      </c>
      <c r="C4940" s="12" t="s">
        <v>953</v>
      </c>
      <c r="D4940" s="12" t="s">
        <v>64</v>
      </c>
      <c r="E4940" s="12" t="s">
        <v>142</v>
      </c>
      <c r="F4940">
        <v>1</v>
      </c>
      <c r="G4940">
        <v>8</v>
      </c>
      <c r="H4940">
        <v>1</v>
      </c>
      <c r="I4940" s="12" t="s">
        <v>131</v>
      </c>
      <c r="J4940" s="12" t="s">
        <v>132</v>
      </c>
      <c r="K4940" s="12" t="s">
        <v>133</v>
      </c>
      <c r="L4940" s="12" t="s">
        <v>134</v>
      </c>
      <c r="M4940">
        <v>1.51</v>
      </c>
      <c r="N4940" s="12" t="s">
        <v>97</v>
      </c>
      <c r="O4940" s="12" t="s">
        <v>98</v>
      </c>
      <c r="P4940" s="12" t="s">
        <v>72</v>
      </c>
      <c r="Q4940" s="13">
        <v>45792</v>
      </c>
      <c r="R4940" s="13">
        <v>45829</v>
      </c>
      <c r="S4940">
        <v>2025</v>
      </c>
      <c r="T4940" s="12" t="s">
        <v>5886</v>
      </c>
      <c r="U4940">
        <v>244</v>
      </c>
      <c r="V4940">
        <v>32.127499999999998</v>
      </c>
      <c r="W4940">
        <v>120.09</v>
      </c>
      <c r="X4940">
        <v>0</v>
      </c>
      <c r="Y4940">
        <v>0</v>
      </c>
      <c r="Z4940">
        <v>7839.11</v>
      </c>
      <c r="AA4940">
        <v>7959.2</v>
      </c>
      <c r="AB4940" s="12" t="s">
        <v>6001</v>
      </c>
      <c r="AC4940">
        <v>31.074300000000001</v>
      </c>
      <c r="AD4940">
        <v>1</v>
      </c>
      <c r="AE4940">
        <v>1</v>
      </c>
      <c r="AF4940">
        <v>256.98</v>
      </c>
      <c r="AG4940">
        <v>7582.13</v>
      </c>
      <c r="AH4940">
        <v>244</v>
      </c>
      <c r="AI4940">
        <v>243</v>
      </c>
      <c r="AJ4940">
        <v>1</v>
      </c>
      <c r="AK4940">
        <v>1</v>
      </c>
      <c r="AL4940">
        <v>1</v>
      </c>
      <c r="AM4940">
        <v>99.59</v>
      </c>
      <c r="AN4940">
        <v>32.753900000000002</v>
      </c>
      <c r="AO4940">
        <v>32.130000000000003</v>
      </c>
      <c r="AP4940" s="13">
        <v>45826</v>
      </c>
      <c r="AQ4940">
        <v>-3</v>
      </c>
      <c r="AR4940">
        <v>1</v>
      </c>
    </row>
    <row r="4941" spans="1:44" x14ac:dyDescent="0.35">
      <c r="A4941" s="12" t="s">
        <v>6002</v>
      </c>
      <c r="B4941" s="12" t="s">
        <v>661</v>
      </c>
      <c r="C4941" s="12" t="s">
        <v>662</v>
      </c>
      <c r="D4941" s="12" t="s">
        <v>175</v>
      </c>
      <c r="E4941" s="12" t="s">
        <v>104</v>
      </c>
      <c r="F4941">
        <v>1</v>
      </c>
      <c r="G4941">
        <v>0</v>
      </c>
      <c r="H4941">
        <v>1</v>
      </c>
      <c r="I4941" s="12" t="s">
        <v>183</v>
      </c>
      <c r="J4941" s="12" t="s">
        <v>184</v>
      </c>
      <c r="K4941" s="12" t="s">
        <v>133</v>
      </c>
      <c r="L4941" s="12" t="s">
        <v>82</v>
      </c>
      <c r="M4941">
        <v>8.6199999999999992</v>
      </c>
      <c r="N4941" s="12" t="s">
        <v>107</v>
      </c>
      <c r="O4941" s="12" t="s">
        <v>108</v>
      </c>
      <c r="P4941" s="12" t="s">
        <v>109</v>
      </c>
      <c r="Q4941" s="13">
        <v>45792</v>
      </c>
      <c r="R4941" s="13">
        <v>45811</v>
      </c>
      <c r="S4941">
        <v>2025</v>
      </c>
      <c r="T4941" s="12" t="s">
        <v>5886</v>
      </c>
      <c r="U4941">
        <v>67</v>
      </c>
      <c r="V4941">
        <v>166.30070000000001</v>
      </c>
      <c r="W4941">
        <v>253.61</v>
      </c>
      <c r="X4941">
        <v>0</v>
      </c>
      <c r="Y4941">
        <v>0</v>
      </c>
      <c r="Z4941">
        <v>11142.15</v>
      </c>
      <c r="AA4941">
        <v>11395.76</v>
      </c>
      <c r="AB4941" s="12" t="s">
        <v>5336</v>
      </c>
      <c r="AC4941">
        <v>166.30070000000001</v>
      </c>
      <c r="AD4941">
        <v>1</v>
      </c>
      <c r="AE4941">
        <v>1</v>
      </c>
      <c r="AF4941">
        <v>0</v>
      </c>
      <c r="AG4941">
        <v>11142.15</v>
      </c>
      <c r="AH4941">
        <v>67</v>
      </c>
      <c r="AI4941">
        <v>67</v>
      </c>
      <c r="AJ4941">
        <v>0</v>
      </c>
      <c r="AK4941">
        <v>1</v>
      </c>
      <c r="AL4941">
        <v>1</v>
      </c>
      <c r="AM4941">
        <v>100</v>
      </c>
      <c r="AN4941">
        <v>170.08590000000001</v>
      </c>
      <c r="AO4941">
        <v>0</v>
      </c>
      <c r="AP4941" s="13">
        <v>45810</v>
      </c>
      <c r="AQ4941">
        <v>-1</v>
      </c>
      <c r="AR4941">
        <v>1</v>
      </c>
    </row>
    <row r="4942" spans="1:44" x14ac:dyDescent="0.35">
      <c r="A4942" s="12" t="s">
        <v>6003</v>
      </c>
      <c r="B4942" s="12" t="s">
        <v>302</v>
      </c>
      <c r="C4942" s="12" t="s">
        <v>303</v>
      </c>
      <c r="D4942" s="12" t="s">
        <v>78</v>
      </c>
      <c r="E4942" s="12" t="s">
        <v>65</v>
      </c>
      <c r="F4942">
        <v>2</v>
      </c>
      <c r="G4942">
        <v>3</v>
      </c>
      <c r="H4942">
        <v>0</v>
      </c>
      <c r="I4942" s="12" t="s">
        <v>335</v>
      </c>
      <c r="J4942" s="12" t="s">
        <v>336</v>
      </c>
      <c r="K4942" s="12" t="s">
        <v>89</v>
      </c>
      <c r="L4942" s="12" t="s">
        <v>82</v>
      </c>
      <c r="M4942">
        <v>16</v>
      </c>
      <c r="N4942" s="12" t="s">
        <v>97</v>
      </c>
      <c r="O4942" s="12" t="s">
        <v>98</v>
      </c>
      <c r="P4942" s="12" t="s">
        <v>72</v>
      </c>
      <c r="Q4942" s="13">
        <v>45792</v>
      </c>
      <c r="R4942" s="13">
        <v>45824</v>
      </c>
      <c r="S4942">
        <v>2025</v>
      </c>
      <c r="T4942" s="12" t="s">
        <v>5886</v>
      </c>
      <c r="U4942">
        <v>211</v>
      </c>
      <c r="V4942">
        <v>137.82220000000001</v>
      </c>
      <c r="W4942">
        <v>755.56</v>
      </c>
      <c r="X4942">
        <v>0</v>
      </c>
      <c r="Y4942">
        <v>0</v>
      </c>
      <c r="Z4942">
        <v>29080.48</v>
      </c>
      <c r="AA4942">
        <v>29836.04</v>
      </c>
      <c r="AB4942" s="12" t="s">
        <v>5763</v>
      </c>
      <c r="AC4942">
        <v>137.82220000000001</v>
      </c>
      <c r="AD4942">
        <v>1</v>
      </c>
      <c r="AE4942">
        <v>1</v>
      </c>
      <c r="AF4942">
        <v>0</v>
      </c>
      <c r="AG4942">
        <v>29080.48</v>
      </c>
      <c r="AH4942">
        <v>211</v>
      </c>
      <c r="AI4942">
        <v>206</v>
      </c>
      <c r="AJ4942">
        <v>5</v>
      </c>
      <c r="AK4942">
        <v>1</v>
      </c>
      <c r="AL4942">
        <v>1</v>
      </c>
      <c r="AM4942">
        <v>97.63</v>
      </c>
      <c r="AN4942">
        <v>144.83519999999999</v>
      </c>
      <c r="AO4942">
        <v>689.11</v>
      </c>
      <c r="AP4942" s="13">
        <v>45830</v>
      </c>
      <c r="AQ4942">
        <v>6</v>
      </c>
      <c r="AR4942">
        <v>0</v>
      </c>
    </row>
    <row r="4943" spans="1:44" x14ac:dyDescent="0.35">
      <c r="A4943" s="12" t="s">
        <v>6004</v>
      </c>
      <c r="B4943" s="12" t="s">
        <v>972</v>
      </c>
      <c r="C4943" s="12" t="s">
        <v>973</v>
      </c>
      <c r="D4943" s="12" t="s">
        <v>130</v>
      </c>
      <c r="E4943" s="12" t="s">
        <v>142</v>
      </c>
      <c r="F4943">
        <v>2</v>
      </c>
      <c r="G4943">
        <v>9</v>
      </c>
      <c r="H4943">
        <v>0</v>
      </c>
      <c r="I4943" s="12" t="s">
        <v>676</v>
      </c>
      <c r="J4943" s="12" t="s">
        <v>677</v>
      </c>
      <c r="K4943" s="12" t="s">
        <v>68</v>
      </c>
      <c r="L4943" s="12" t="s">
        <v>96</v>
      </c>
      <c r="M4943">
        <v>3.57</v>
      </c>
      <c r="N4943" s="12" t="s">
        <v>159</v>
      </c>
      <c r="O4943" s="12" t="s">
        <v>160</v>
      </c>
      <c r="P4943" s="12" t="s">
        <v>137</v>
      </c>
      <c r="Q4943" s="13">
        <v>45792</v>
      </c>
      <c r="R4943" s="13">
        <v>45828</v>
      </c>
      <c r="S4943">
        <v>2025</v>
      </c>
      <c r="T4943" s="12" t="s">
        <v>5886</v>
      </c>
      <c r="U4943">
        <v>19</v>
      </c>
      <c r="V4943">
        <v>839.82719999999995</v>
      </c>
      <c r="W4943">
        <v>121.35</v>
      </c>
      <c r="X4943">
        <v>0</v>
      </c>
      <c r="Y4943">
        <v>0</v>
      </c>
      <c r="Z4943">
        <v>15956.72</v>
      </c>
      <c r="AA4943">
        <v>16078.07</v>
      </c>
      <c r="AB4943" s="12" t="s">
        <v>6005</v>
      </c>
      <c r="AC4943">
        <v>839.82719999999995</v>
      </c>
      <c r="AD4943">
        <v>1</v>
      </c>
      <c r="AE4943">
        <v>1</v>
      </c>
      <c r="AF4943">
        <v>0</v>
      </c>
      <c r="AG4943">
        <v>15956.72</v>
      </c>
      <c r="AH4943">
        <v>19</v>
      </c>
      <c r="AI4943">
        <v>19</v>
      </c>
      <c r="AJ4943">
        <v>0</v>
      </c>
      <c r="AK4943">
        <v>1</v>
      </c>
      <c r="AL4943">
        <v>1</v>
      </c>
      <c r="AM4943">
        <v>100</v>
      </c>
      <c r="AN4943">
        <v>846.21400000000006</v>
      </c>
      <c r="AO4943">
        <v>0</v>
      </c>
      <c r="AP4943" s="13">
        <v>45825</v>
      </c>
      <c r="AQ4943">
        <v>-3</v>
      </c>
      <c r="AR4943">
        <v>1</v>
      </c>
    </row>
    <row r="4944" spans="1:44" x14ac:dyDescent="0.35">
      <c r="A4944" s="12" t="s">
        <v>6006</v>
      </c>
      <c r="B4944" s="12" t="s">
        <v>323</v>
      </c>
      <c r="C4944" s="12" t="s">
        <v>324</v>
      </c>
      <c r="D4944" s="12" t="s">
        <v>64</v>
      </c>
      <c r="E4944" s="12" t="s">
        <v>142</v>
      </c>
      <c r="F4944">
        <v>1</v>
      </c>
      <c r="G4944">
        <v>7</v>
      </c>
      <c r="H4944">
        <v>1</v>
      </c>
      <c r="I4944" s="12" t="s">
        <v>143</v>
      </c>
      <c r="J4944" s="12" t="s">
        <v>144</v>
      </c>
      <c r="K4944" s="12" t="s">
        <v>133</v>
      </c>
      <c r="L4944" s="12" t="s">
        <v>96</v>
      </c>
      <c r="M4944">
        <v>5.43</v>
      </c>
      <c r="N4944" s="12" t="s">
        <v>70</v>
      </c>
      <c r="O4944" s="12" t="s">
        <v>71</v>
      </c>
      <c r="P4944" s="12" t="s">
        <v>72</v>
      </c>
      <c r="Q4944" s="13">
        <v>45792</v>
      </c>
      <c r="R4944" s="13">
        <v>45828</v>
      </c>
      <c r="S4944">
        <v>2025</v>
      </c>
      <c r="T4944" s="12" t="s">
        <v>5886</v>
      </c>
      <c r="U4944">
        <v>182</v>
      </c>
      <c r="V4944">
        <v>39.226399999999998</v>
      </c>
      <c r="W4944">
        <v>154.41</v>
      </c>
      <c r="X4944">
        <v>0</v>
      </c>
      <c r="Y4944">
        <v>0</v>
      </c>
      <c r="Z4944">
        <v>7139.2</v>
      </c>
      <c r="AA4944">
        <v>7293.61</v>
      </c>
      <c r="AB4944" s="12" t="s">
        <v>5324</v>
      </c>
      <c r="AC4944">
        <v>39.226399999999998</v>
      </c>
      <c r="AD4944">
        <v>1</v>
      </c>
      <c r="AE4944">
        <v>1</v>
      </c>
      <c r="AF4944">
        <v>0</v>
      </c>
      <c r="AG4944">
        <v>7139.2</v>
      </c>
      <c r="AH4944">
        <v>182</v>
      </c>
      <c r="AI4944">
        <v>179</v>
      </c>
      <c r="AJ4944">
        <v>3</v>
      </c>
      <c r="AK4944">
        <v>1</v>
      </c>
      <c r="AL4944">
        <v>1</v>
      </c>
      <c r="AM4944">
        <v>98.35</v>
      </c>
      <c r="AN4944">
        <v>40.746499999999997</v>
      </c>
      <c r="AO4944">
        <v>117.68</v>
      </c>
      <c r="AP4944" s="13">
        <v>45828</v>
      </c>
      <c r="AQ4944">
        <v>0</v>
      </c>
      <c r="AR4944">
        <v>1</v>
      </c>
    </row>
    <row r="4945" spans="1:44" x14ac:dyDescent="0.35">
      <c r="A4945" s="12" t="s">
        <v>6007</v>
      </c>
      <c r="B4945" s="12" t="s">
        <v>674</v>
      </c>
      <c r="C4945" s="12" t="s">
        <v>675</v>
      </c>
      <c r="D4945" s="12" t="s">
        <v>269</v>
      </c>
      <c r="E4945" s="12" t="s">
        <v>142</v>
      </c>
      <c r="F4945">
        <v>1</v>
      </c>
      <c r="G4945">
        <v>7</v>
      </c>
      <c r="H4945">
        <v>1</v>
      </c>
      <c r="I4945" s="12" t="s">
        <v>676</v>
      </c>
      <c r="J4945" s="12" t="s">
        <v>677</v>
      </c>
      <c r="K4945" s="12" t="s">
        <v>68</v>
      </c>
      <c r="L4945" s="12" t="s">
        <v>96</v>
      </c>
      <c r="M4945">
        <v>3.57</v>
      </c>
      <c r="N4945" s="12" t="s">
        <v>159</v>
      </c>
      <c r="O4945" s="12" t="s">
        <v>160</v>
      </c>
      <c r="P4945" s="12" t="s">
        <v>137</v>
      </c>
      <c r="Q4945" s="13">
        <v>45793</v>
      </c>
      <c r="R4945" s="13">
        <v>45833</v>
      </c>
      <c r="S4945">
        <v>2025</v>
      </c>
      <c r="T4945" s="12" t="s">
        <v>5886</v>
      </c>
      <c r="U4945">
        <v>53</v>
      </c>
      <c r="V4945">
        <v>386.06639999999999</v>
      </c>
      <c r="W4945">
        <v>248.67</v>
      </c>
      <c r="X4945">
        <v>0</v>
      </c>
      <c r="Y4945">
        <v>0</v>
      </c>
      <c r="Z4945">
        <v>20461.52</v>
      </c>
      <c r="AA4945">
        <v>20710.189999999999</v>
      </c>
      <c r="AB4945" s="12" t="s">
        <v>201</v>
      </c>
      <c r="AD4945">
        <v>0</v>
      </c>
      <c r="AE4945">
        <v>0</v>
      </c>
      <c r="AH4945">
        <v>53</v>
      </c>
      <c r="AI4945">
        <v>53</v>
      </c>
      <c r="AJ4945">
        <v>0</v>
      </c>
      <c r="AK4945">
        <v>1</v>
      </c>
      <c r="AL4945">
        <v>1</v>
      </c>
      <c r="AM4945">
        <v>100</v>
      </c>
      <c r="AN4945">
        <v>390.75830000000002</v>
      </c>
      <c r="AO4945">
        <v>0</v>
      </c>
      <c r="AP4945" s="13">
        <v>45833</v>
      </c>
      <c r="AQ4945">
        <v>0</v>
      </c>
      <c r="AR4945">
        <v>1</v>
      </c>
    </row>
    <row r="4946" spans="1:44" x14ac:dyDescent="0.35">
      <c r="A4946" s="12" t="s">
        <v>6008</v>
      </c>
      <c r="B4946" s="12" t="s">
        <v>347</v>
      </c>
      <c r="C4946" s="12" t="s">
        <v>348</v>
      </c>
      <c r="D4946" s="12" t="s">
        <v>78</v>
      </c>
      <c r="E4946" s="12" t="s">
        <v>104</v>
      </c>
      <c r="F4946">
        <v>3</v>
      </c>
      <c r="G4946">
        <v>1</v>
      </c>
      <c r="H4946">
        <v>0</v>
      </c>
      <c r="I4946" s="12" t="s">
        <v>209</v>
      </c>
      <c r="J4946" s="12" t="s">
        <v>210</v>
      </c>
      <c r="K4946" s="12" t="s">
        <v>133</v>
      </c>
      <c r="L4946" s="12" t="s">
        <v>96</v>
      </c>
      <c r="M4946">
        <v>7.82</v>
      </c>
      <c r="N4946" s="12" t="s">
        <v>97</v>
      </c>
      <c r="O4946" s="12" t="s">
        <v>98</v>
      </c>
      <c r="P4946" s="12" t="s">
        <v>72</v>
      </c>
      <c r="Q4946" s="13">
        <v>45793</v>
      </c>
      <c r="R4946" s="13">
        <v>45809</v>
      </c>
      <c r="S4946">
        <v>2025</v>
      </c>
      <c r="T4946" s="12" t="s">
        <v>5886</v>
      </c>
      <c r="U4946">
        <v>98</v>
      </c>
      <c r="V4946">
        <v>84.775999999999996</v>
      </c>
      <c r="W4946">
        <v>73.06</v>
      </c>
      <c r="X4946">
        <v>0</v>
      </c>
      <c r="Y4946">
        <v>0</v>
      </c>
      <c r="Z4946">
        <v>8308.0499999999993</v>
      </c>
      <c r="AA4946">
        <v>8381.11</v>
      </c>
      <c r="AB4946" s="12" t="s">
        <v>6009</v>
      </c>
      <c r="AC4946">
        <v>90.156499999999994</v>
      </c>
      <c r="AD4946">
        <v>1</v>
      </c>
      <c r="AE4946">
        <v>1</v>
      </c>
      <c r="AF4946">
        <v>-527.29</v>
      </c>
      <c r="AG4946">
        <v>8835.34</v>
      </c>
      <c r="AH4946">
        <v>98</v>
      </c>
      <c r="AI4946">
        <v>95</v>
      </c>
      <c r="AJ4946">
        <v>3</v>
      </c>
      <c r="AK4946">
        <v>1</v>
      </c>
      <c r="AL4946">
        <v>1</v>
      </c>
      <c r="AM4946">
        <v>96.94</v>
      </c>
      <c r="AN4946">
        <v>88.222200000000001</v>
      </c>
      <c r="AO4946">
        <v>254.33</v>
      </c>
      <c r="AP4946" s="13">
        <v>45812</v>
      </c>
      <c r="AQ4946">
        <v>3</v>
      </c>
      <c r="AR4946">
        <v>0</v>
      </c>
    </row>
    <row r="4947" spans="1:44" x14ac:dyDescent="0.35">
      <c r="A4947" s="12" t="s">
        <v>6010</v>
      </c>
      <c r="B4947" s="12" t="s">
        <v>112</v>
      </c>
      <c r="C4947" s="12" t="s">
        <v>113</v>
      </c>
      <c r="D4947" s="12" t="s">
        <v>114</v>
      </c>
      <c r="E4947" s="12" t="s">
        <v>104</v>
      </c>
      <c r="F4947">
        <v>3</v>
      </c>
      <c r="G4947">
        <v>1</v>
      </c>
      <c r="H4947">
        <v>0</v>
      </c>
      <c r="I4947" s="12" t="s">
        <v>227</v>
      </c>
      <c r="J4947" s="12" t="s">
        <v>228</v>
      </c>
      <c r="K4947" s="12" t="s">
        <v>89</v>
      </c>
      <c r="L4947" s="12" t="s">
        <v>96</v>
      </c>
      <c r="M4947">
        <v>9.15</v>
      </c>
      <c r="N4947" s="12" t="s">
        <v>97</v>
      </c>
      <c r="O4947" s="12" t="s">
        <v>98</v>
      </c>
      <c r="P4947" s="12" t="s">
        <v>72</v>
      </c>
      <c r="Q4947" s="13">
        <v>45793</v>
      </c>
      <c r="R4947" s="13">
        <v>45816</v>
      </c>
      <c r="S4947">
        <v>2025</v>
      </c>
      <c r="T4947" s="12" t="s">
        <v>5886</v>
      </c>
      <c r="U4947">
        <v>97</v>
      </c>
      <c r="V4947">
        <v>269.25709999999998</v>
      </c>
      <c r="W4947">
        <v>309.3</v>
      </c>
      <c r="X4947">
        <v>0</v>
      </c>
      <c r="Y4947">
        <v>0</v>
      </c>
      <c r="Z4947">
        <v>26117.94</v>
      </c>
      <c r="AA4947">
        <v>26427.24</v>
      </c>
      <c r="AB4947" s="12" t="s">
        <v>201</v>
      </c>
      <c r="AD4947">
        <v>0</v>
      </c>
      <c r="AE4947">
        <v>0</v>
      </c>
      <c r="AH4947">
        <v>97</v>
      </c>
      <c r="AI4947">
        <v>97</v>
      </c>
      <c r="AJ4947">
        <v>0</v>
      </c>
      <c r="AK4947">
        <v>1</v>
      </c>
      <c r="AL4947">
        <v>1</v>
      </c>
      <c r="AM4947">
        <v>100</v>
      </c>
      <c r="AN4947">
        <v>272.44580000000002</v>
      </c>
      <c r="AO4947">
        <v>0</v>
      </c>
      <c r="AP4947" s="13">
        <v>45815</v>
      </c>
      <c r="AQ4947">
        <v>-1</v>
      </c>
      <c r="AR4947">
        <v>1</v>
      </c>
    </row>
    <row r="4948" spans="1:44" x14ac:dyDescent="0.35">
      <c r="A4948" s="12" t="s">
        <v>6011</v>
      </c>
      <c r="B4948" s="12" t="s">
        <v>513</v>
      </c>
      <c r="C4948" s="12" t="s">
        <v>514</v>
      </c>
      <c r="D4948" s="12" t="s">
        <v>269</v>
      </c>
      <c r="E4948" s="12" t="s">
        <v>65</v>
      </c>
      <c r="F4948">
        <v>1</v>
      </c>
      <c r="G4948">
        <v>2</v>
      </c>
      <c r="H4948">
        <v>1</v>
      </c>
      <c r="I4948" s="12" t="s">
        <v>515</v>
      </c>
      <c r="J4948" s="12" t="s">
        <v>516</v>
      </c>
      <c r="K4948" s="12" t="s">
        <v>68</v>
      </c>
      <c r="L4948" s="12" t="s">
        <v>134</v>
      </c>
      <c r="M4948">
        <v>3.69</v>
      </c>
      <c r="N4948" s="12" t="s">
        <v>135</v>
      </c>
      <c r="O4948" s="12" t="s">
        <v>136</v>
      </c>
      <c r="P4948" s="12" t="s">
        <v>137</v>
      </c>
      <c r="Q4948" s="13">
        <v>45793</v>
      </c>
      <c r="R4948" s="13">
        <v>45829</v>
      </c>
      <c r="S4948">
        <v>2025</v>
      </c>
      <c r="T4948" s="12" t="s">
        <v>5886</v>
      </c>
      <c r="U4948">
        <v>133</v>
      </c>
      <c r="V4948">
        <v>211.6482</v>
      </c>
      <c r="W4948">
        <v>459.94</v>
      </c>
      <c r="X4948">
        <v>0</v>
      </c>
      <c r="Y4948">
        <v>0</v>
      </c>
      <c r="Z4948">
        <v>28149.21</v>
      </c>
      <c r="AA4948">
        <v>28609.15</v>
      </c>
      <c r="AB4948" s="12" t="s">
        <v>201</v>
      </c>
      <c r="AD4948">
        <v>0</v>
      </c>
      <c r="AE4948">
        <v>0</v>
      </c>
      <c r="AH4948">
        <v>133</v>
      </c>
      <c r="AI4948">
        <v>132</v>
      </c>
      <c r="AJ4948">
        <v>1</v>
      </c>
      <c r="AK4948">
        <v>1</v>
      </c>
      <c r="AL4948">
        <v>1</v>
      </c>
      <c r="AM4948">
        <v>99.25</v>
      </c>
      <c r="AN4948">
        <v>216.73599999999999</v>
      </c>
      <c r="AO4948">
        <v>211.65</v>
      </c>
      <c r="AP4948" s="13">
        <v>45828</v>
      </c>
      <c r="AQ4948">
        <v>-1</v>
      </c>
      <c r="AR4948">
        <v>1</v>
      </c>
    </row>
    <row r="4949" spans="1:44" x14ac:dyDescent="0.35">
      <c r="A4949" s="12" t="s">
        <v>6012</v>
      </c>
      <c r="B4949" s="12" t="s">
        <v>694</v>
      </c>
      <c r="C4949" s="12" t="s">
        <v>695</v>
      </c>
      <c r="D4949" s="12" t="s">
        <v>103</v>
      </c>
      <c r="E4949" s="12" t="s">
        <v>65</v>
      </c>
      <c r="F4949">
        <v>2</v>
      </c>
      <c r="G4949">
        <v>3</v>
      </c>
      <c r="H4949">
        <v>0</v>
      </c>
      <c r="I4949" s="12" t="s">
        <v>263</v>
      </c>
      <c r="J4949" s="12" t="s">
        <v>264</v>
      </c>
      <c r="K4949" s="12" t="s">
        <v>125</v>
      </c>
      <c r="L4949" s="12" t="s">
        <v>82</v>
      </c>
      <c r="M4949">
        <v>10.210000000000001</v>
      </c>
      <c r="N4949" s="12" t="s">
        <v>107</v>
      </c>
      <c r="O4949" s="12" t="s">
        <v>108</v>
      </c>
      <c r="P4949" s="12" t="s">
        <v>109</v>
      </c>
      <c r="Q4949" s="13">
        <v>45793</v>
      </c>
      <c r="R4949" s="13">
        <v>45830</v>
      </c>
      <c r="S4949">
        <v>2025</v>
      </c>
      <c r="T4949" s="12" t="s">
        <v>5886</v>
      </c>
      <c r="U4949">
        <v>135</v>
      </c>
      <c r="V4949">
        <v>206.7869</v>
      </c>
      <c r="W4949">
        <v>558.96</v>
      </c>
      <c r="X4949">
        <v>924.96</v>
      </c>
      <c r="Y4949">
        <v>1</v>
      </c>
      <c r="Z4949">
        <v>27916.23</v>
      </c>
      <c r="AA4949">
        <v>29400.15</v>
      </c>
      <c r="AB4949" s="12" t="s">
        <v>5721</v>
      </c>
      <c r="AC4949">
        <v>206.7869</v>
      </c>
      <c r="AD4949">
        <v>1</v>
      </c>
      <c r="AE4949">
        <v>1</v>
      </c>
      <c r="AF4949">
        <v>0</v>
      </c>
      <c r="AG4949">
        <v>27916.23</v>
      </c>
      <c r="AH4949">
        <v>135</v>
      </c>
      <c r="AI4949">
        <v>133</v>
      </c>
      <c r="AJ4949">
        <v>2</v>
      </c>
      <c r="AK4949">
        <v>1</v>
      </c>
      <c r="AL4949">
        <v>1</v>
      </c>
      <c r="AM4949">
        <v>98.52</v>
      </c>
      <c r="AN4949">
        <v>221.0538</v>
      </c>
      <c r="AO4949">
        <v>413.57</v>
      </c>
      <c r="AP4949" s="13">
        <v>45827</v>
      </c>
      <c r="AQ4949">
        <v>-3</v>
      </c>
      <c r="AR4949">
        <v>1</v>
      </c>
    </row>
    <row r="4950" spans="1:44" x14ac:dyDescent="0.35">
      <c r="A4950" s="12" t="s">
        <v>6013</v>
      </c>
      <c r="B4950" s="12" t="s">
        <v>249</v>
      </c>
      <c r="C4950" s="12" t="s">
        <v>250</v>
      </c>
      <c r="D4950" s="12" t="s">
        <v>64</v>
      </c>
      <c r="E4950" s="12" t="s">
        <v>65</v>
      </c>
      <c r="F4950">
        <v>2</v>
      </c>
      <c r="G4950">
        <v>3</v>
      </c>
      <c r="H4950">
        <v>0</v>
      </c>
      <c r="I4950" s="12" t="s">
        <v>251</v>
      </c>
      <c r="J4950" s="12" t="s">
        <v>252</v>
      </c>
      <c r="K4950" s="12" t="s">
        <v>133</v>
      </c>
      <c r="L4950" s="12" t="s">
        <v>69</v>
      </c>
      <c r="M4950">
        <v>34.49</v>
      </c>
      <c r="N4950" s="12" t="s">
        <v>70</v>
      </c>
      <c r="O4950" s="12" t="s">
        <v>71</v>
      </c>
      <c r="P4950" s="12" t="s">
        <v>72</v>
      </c>
      <c r="Q4950" s="13">
        <v>45793</v>
      </c>
      <c r="R4950" s="13">
        <v>45814</v>
      </c>
      <c r="S4950">
        <v>2025</v>
      </c>
      <c r="T4950" s="12" t="s">
        <v>5886</v>
      </c>
      <c r="U4950">
        <v>106</v>
      </c>
      <c r="V4950">
        <v>9.9464000000000006</v>
      </c>
      <c r="W4950">
        <v>6.54</v>
      </c>
      <c r="X4950">
        <v>0</v>
      </c>
      <c r="Y4950">
        <v>0</v>
      </c>
      <c r="Z4950">
        <v>1054.32</v>
      </c>
      <c r="AA4950">
        <v>1060.8599999999999</v>
      </c>
      <c r="AB4950" s="12" t="s">
        <v>5207</v>
      </c>
      <c r="AC4950">
        <v>9.9464000000000006</v>
      </c>
      <c r="AD4950">
        <v>1</v>
      </c>
      <c r="AE4950">
        <v>1</v>
      </c>
      <c r="AF4950">
        <v>0</v>
      </c>
      <c r="AG4950">
        <v>1054.32</v>
      </c>
      <c r="AH4950">
        <v>106</v>
      </c>
      <c r="AI4950">
        <v>105</v>
      </c>
      <c r="AJ4950">
        <v>1</v>
      </c>
      <c r="AK4950">
        <v>1</v>
      </c>
      <c r="AL4950">
        <v>1</v>
      </c>
      <c r="AM4950">
        <v>99.06</v>
      </c>
      <c r="AN4950">
        <v>10.103400000000001</v>
      </c>
      <c r="AO4950">
        <v>9.9499999999999993</v>
      </c>
      <c r="AP4950" s="13">
        <v>45813</v>
      </c>
      <c r="AQ4950">
        <v>-1</v>
      </c>
      <c r="AR4950">
        <v>1</v>
      </c>
    </row>
    <row r="4951" spans="1:44" x14ac:dyDescent="0.35">
      <c r="A4951" s="12" t="s">
        <v>6014</v>
      </c>
      <c r="B4951" s="12" t="s">
        <v>378</v>
      </c>
      <c r="C4951" s="12" t="s">
        <v>379</v>
      </c>
      <c r="D4951" s="12" t="s">
        <v>64</v>
      </c>
      <c r="E4951" s="12" t="s">
        <v>104</v>
      </c>
      <c r="F4951">
        <v>3</v>
      </c>
      <c r="G4951">
        <v>1</v>
      </c>
      <c r="H4951">
        <v>0</v>
      </c>
      <c r="I4951" s="12" t="s">
        <v>380</v>
      </c>
      <c r="J4951" s="12" t="s">
        <v>381</v>
      </c>
      <c r="K4951" s="12" t="s">
        <v>89</v>
      </c>
      <c r="L4951" s="12" t="s">
        <v>96</v>
      </c>
      <c r="M4951">
        <v>10.210000000000001</v>
      </c>
      <c r="N4951" s="12" t="s">
        <v>70</v>
      </c>
      <c r="O4951" s="12" t="s">
        <v>71</v>
      </c>
      <c r="P4951" s="12" t="s">
        <v>72</v>
      </c>
      <c r="Q4951" s="13">
        <v>45793</v>
      </c>
      <c r="R4951" s="13">
        <v>45808</v>
      </c>
      <c r="S4951">
        <v>2025</v>
      </c>
      <c r="T4951" s="12" t="s">
        <v>5886</v>
      </c>
      <c r="U4951">
        <v>254</v>
      </c>
      <c r="V4951">
        <v>15.3193</v>
      </c>
      <c r="W4951">
        <v>82.71</v>
      </c>
      <c r="X4951">
        <v>0</v>
      </c>
      <c r="Y4951">
        <v>0</v>
      </c>
      <c r="Z4951">
        <v>3891.1</v>
      </c>
      <c r="AA4951">
        <v>3973.81</v>
      </c>
      <c r="AB4951" s="12" t="s">
        <v>5544</v>
      </c>
      <c r="AC4951">
        <v>15.3193</v>
      </c>
      <c r="AD4951">
        <v>1</v>
      </c>
      <c r="AE4951">
        <v>1</v>
      </c>
      <c r="AF4951">
        <v>0</v>
      </c>
      <c r="AG4951">
        <v>3891.1</v>
      </c>
      <c r="AH4951">
        <v>254</v>
      </c>
      <c r="AI4951">
        <v>253</v>
      </c>
      <c r="AJ4951">
        <v>1</v>
      </c>
      <c r="AK4951">
        <v>1</v>
      </c>
      <c r="AL4951">
        <v>1</v>
      </c>
      <c r="AM4951">
        <v>99.61</v>
      </c>
      <c r="AN4951">
        <v>15.706799999999999</v>
      </c>
      <c r="AO4951">
        <v>15.32</v>
      </c>
      <c r="AP4951" s="13">
        <v>45808</v>
      </c>
      <c r="AQ4951">
        <v>0</v>
      </c>
      <c r="AR4951">
        <v>1</v>
      </c>
    </row>
    <row r="4952" spans="1:44" x14ac:dyDescent="0.35">
      <c r="A4952" s="12" t="s">
        <v>6015</v>
      </c>
      <c r="B4952" s="12" t="s">
        <v>207</v>
      </c>
      <c r="C4952" s="12" t="s">
        <v>208</v>
      </c>
      <c r="D4952" s="12" t="s">
        <v>78</v>
      </c>
      <c r="E4952" s="12" t="s">
        <v>65</v>
      </c>
      <c r="F4952">
        <v>2</v>
      </c>
      <c r="G4952">
        <v>3</v>
      </c>
      <c r="H4952">
        <v>0</v>
      </c>
      <c r="I4952" s="12" t="s">
        <v>209</v>
      </c>
      <c r="J4952" s="12" t="s">
        <v>210</v>
      </c>
      <c r="K4952" s="12" t="s">
        <v>133</v>
      </c>
      <c r="L4952" s="12" t="s">
        <v>96</v>
      </c>
      <c r="M4952">
        <v>7.82</v>
      </c>
      <c r="N4952" s="12" t="s">
        <v>97</v>
      </c>
      <c r="O4952" s="12" t="s">
        <v>98</v>
      </c>
      <c r="P4952" s="12" t="s">
        <v>72</v>
      </c>
      <c r="Q4952" s="13">
        <v>45793</v>
      </c>
      <c r="R4952" s="13">
        <v>45819</v>
      </c>
      <c r="S4952">
        <v>2025</v>
      </c>
      <c r="T4952" s="12" t="s">
        <v>5886</v>
      </c>
      <c r="U4952">
        <v>112</v>
      </c>
      <c r="V4952">
        <v>145.1729</v>
      </c>
      <c r="W4952">
        <v>163.34</v>
      </c>
      <c r="X4952">
        <v>0</v>
      </c>
      <c r="Y4952">
        <v>0</v>
      </c>
      <c r="Z4952">
        <v>16259.36</v>
      </c>
      <c r="AA4952">
        <v>16422.7</v>
      </c>
      <c r="AB4952" s="12" t="s">
        <v>5196</v>
      </c>
      <c r="AC4952">
        <v>145.1729</v>
      </c>
      <c r="AD4952">
        <v>1</v>
      </c>
      <c r="AE4952">
        <v>1</v>
      </c>
      <c r="AF4952">
        <v>0</v>
      </c>
      <c r="AG4952">
        <v>16259.36</v>
      </c>
      <c r="AH4952">
        <v>112</v>
      </c>
      <c r="AI4952">
        <v>111</v>
      </c>
      <c r="AJ4952">
        <v>1</v>
      </c>
      <c r="AK4952">
        <v>1</v>
      </c>
      <c r="AL4952">
        <v>1</v>
      </c>
      <c r="AM4952">
        <v>99.11</v>
      </c>
      <c r="AN4952">
        <v>147.95230000000001</v>
      </c>
      <c r="AO4952">
        <v>145.16999999999999</v>
      </c>
      <c r="AP4952" s="13">
        <v>45817</v>
      </c>
      <c r="AQ4952">
        <v>-2</v>
      </c>
      <c r="AR4952">
        <v>1</v>
      </c>
    </row>
    <row r="4953" spans="1:44" x14ac:dyDescent="0.35">
      <c r="A4953" s="12" t="s">
        <v>6016</v>
      </c>
      <c r="B4953" s="12" t="s">
        <v>193</v>
      </c>
      <c r="C4953" s="12" t="s">
        <v>194</v>
      </c>
      <c r="D4953" s="12" t="s">
        <v>114</v>
      </c>
      <c r="E4953" s="12" t="s">
        <v>65</v>
      </c>
      <c r="F4953">
        <v>3</v>
      </c>
      <c r="G4953">
        <v>4</v>
      </c>
      <c r="H4953">
        <v>0</v>
      </c>
      <c r="I4953" s="12" t="s">
        <v>195</v>
      </c>
      <c r="J4953" s="12" t="s">
        <v>196</v>
      </c>
      <c r="K4953" s="12" t="s">
        <v>117</v>
      </c>
      <c r="L4953" s="12" t="s">
        <v>134</v>
      </c>
      <c r="M4953">
        <v>4.7699999999999996</v>
      </c>
      <c r="N4953" s="12" t="s">
        <v>97</v>
      </c>
      <c r="O4953" s="12" t="s">
        <v>98</v>
      </c>
      <c r="P4953" s="12" t="s">
        <v>72</v>
      </c>
      <c r="Q4953" s="13">
        <v>45793</v>
      </c>
      <c r="R4953" s="13">
        <v>45824</v>
      </c>
      <c r="S4953">
        <v>2025</v>
      </c>
      <c r="T4953" s="12" t="s">
        <v>5886</v>
      </c>
      <c r="U4953">
        <v>88</v>
      </c>
      <c r="V4953">
        <v>104.5202</v>
      </c>
      <c r="W4953">
        <v>170.43</v>
      </c>
      <c r="X4953">
        <v>0</v>
      </c>
      <c r="Y4953">
        <v>0</v>
      </c>
      <c r="Z4953">
        <v>9197.7800000000007</v>
      </c>
      <c r="AA4953">
        <v>9368.2099999999991</v>
      </c>
      <c r="AB4953" s="12" t="s">
        <v>5258</v>
      </c>
      <c r="AC4953">
        <v>104.5202</v>
      </c>
      <c r="AD4953">
        <v>1</v>
      </c>
      <c r="AE4953">
        <v>1</v>
      </c>
      <c r="AF4953">
        <v>0</v>
      </c>
      <c r="AG4953">
        <v>9197.7800000000007</v>
      </c>
      <c r="AH4953">
        <v>88</v>
      </c>
      <c r="AI4953">
        <v>86</v>
      </c>
      <c r="AJ4953">
        <v>2</v>
      </c>
      <c r="AK4953">
        <v>1</v>
      </c>
      <c r="AL4953">
        <v>1</v>
      </c>
      <c r="AM4953">
        <v>97.73</v>
      </c>
      <c r="AN4953">
        <v>108.93259999999999</v>
      </c>
      <c r="AO4953">
        <v>209.04</v>
      </c>
      <c r="AP4953" s="13">
        <v>45824</v>
      </c>
      <c r="AQ4953">
        <v>0</v>
      </c>
      <c r="AR4953">
        <v>1</v>
      </c>
    </row>
    <row r="4954" spans="1:44" x14ac:dyDescent="0.35">
      <c r="A4954" s="12" t="s">
        <v>6017</v>
      </c>
      <c r="B4954" s="12" t="s">
        <v>561</v>
      </c>
      <c r="C4954" s="12" t="s">
        <v>562</v>
      </c>
      <c r="D4954" s="12" t="s">
        <v>130</v>
      </c>
      <c r="E4954" s="12" t="s">
        <v>142</v>
      </c>
      <c r="F4954">
        <v>1</v>
      </c>
      <c r="G4954">
        <v>9</v>
      </c>
      <c r="H4954">
        <v>1</v>
      </c>
      <c r="I4954" s="12" t="s">
        <v>223</v>
      </c>
      <c r="J4954" s="12" t="s">
        <v>224</v>
      </c>
      <c r="K4954" s="12" t="s">
        <v>81</v>
      </c>
      <c r="L4954" s="12" t="s">
        <v>134</v>
      </c>
      <c r="M4954">
        <v>2.4900000000000002</v>
      </c>
      <c r="N4954" s="12" t="s">
        <v>159</v>
      </c>
      <c r="O4954" s="12" t="s">
        <v>160</v>
      </c>
      <c r="P4954" s="12" t="s">
        <v>137</v>
      </c>
      <c r="Q4954" s="13">
        <v>45793</v>
      </c>
      <c r="R4954" s="13">
        <v>45831</v>
      </c>
      <c r="S4954">
        <v>2025</v>
      </c>
      <c r="T4954" s="12" t="s">
        <v>5886</v>
      </c>
      <c r="U4954">
        <v>40</v>
      </c>
      <c r="V4954">
        <v>529.02430000000004</v>
      </c>
      <c r="W4954">
        <v>344.27</v>
      </c>
      <c r="X4954">
        <v>0</v>
      </c>
      <c r="Y4954">
        <v>0</v>
      </c>
      <c r="Z4954">
        <v>21160.97</v>
      </c>
      <c r="AA4954">
        <v>21505.24</v>
      </c>
      <c r="AB4954" s="12" t="s">
        <v>201</v>
      </c>
      <c r="AD4954">
        <v>0</v>
      </c>
      <c r="AE4954">
        <v>0</v>
      </c>
      <c r="AH4954">
        <v>40</v>
      </c>
      <c r="AI4954">
        <v>40</v>
      </c>
      <c r="AJ4954">
        <v>0</v>
      </c>
      <c r="AK4954">
        <v>1</v>
      </c>
      <c r="AL4954">
        <v>1</v>
      </c>
      <c r="AM4954">
        <v>100</v>
      </c>
      <c r="AN4954">
        <v>537.63109999999995</v>
      </c>
      <c r="AO4954">
        <v>0</v>
      </c>
      <c r="AP4954" s="13">
        <v>45829</v>
      </c>
      <c r="AQ4954">
        <v>-2</v>
      </c>
      <c r="AR4954">
        <v>1</v>
      </c>
    </row>
    <row r="4955" spans="1:44" x14ac:dyDescent="0.35">
      <c r="A4955" s="12" t="s">
        <v>6018</v>
      </c>
      <c r="B4955" s="12" t="s">
        <v>347</v>
      </c>
      <c r="C4955" s="12" t="s">
        <v>348</v>
      </c>
      <c r="D4955" s="12" t="s">
        <v>78</v>
      </c>
      <c r="E4955" s="12" t="s">
        <v>104</v>
      </c>
      <c r="F4955">
        <v>3</v>
      </c>
      <c r="G4955">
        <v>1</v>
      </c>
      <c r="H4955">
        <v>0</v>
      </c>
      <c r="I4955" s="12" t="s">
        <v>209</v>
      </c>
      <c r="J4955" s="12" t="s">
        <v>210</v>
      </c>
      <c r="K4955" s="12" t="s">
        <v>133</v>
      </c>
      <c r="L4955" s="12" t="s">
        <v>96</v>
      </c>
      <c r="M4955">
        <v>7.82</v>
      </c>
      <c r="N4955" s="12" t="s">
        <v>97</v>
      </c>
      <c r="O4955" s="12" t="s">
        <v>98</v>
      </c>
      <c r="P4955" s="12" t="s">
        <v>72</v>
      </c>
      <c r="Q4955" s="13">
        <v>45796</v>
      </c>
      <c r="R4955" s="13">
        <v>45812</v>
      </c>
      <c r="S4955">
        <v>2025</v>
      </c>
      <c r="T4955" s="12" t="s">
        <v>5886</v>
      </c>
      <c r="U4955">
        <v>104</v>
      </c>
      <c r="V4955">
        <v>90.156499999999994</v>
      </c>
      <c r="W4955">
        <v>113.01</v>
      </c>
      <c r="X4955">
        <v>0</v>
      </c>
      <c r="Y4955">
        <v>0</v>
      </c>
      <c r="Z4955">
        <v>9376.2800000000007</v>
      </c>
      <c r="AA4955">
        <v>9489.2900000000009</v>
      </c>
      <c r="AB4955" s="12" t="s">
        <v>6009</v>
      </c>
      <c r="AC4955">
        <v>90.156499999999994</v>
      </c>
      <c r="AD4955">
        <v>1</v>
      </c>
      <c r="AE4955">
        <v>1</v>
      </c>
      <c r="AF4955">
        <v>0</v>
      </c>
      <c r="AG4955">
        <v>9376.2800000000007</v>
      </c>
      <c r="AH4955">
        <v>104</v>
      </c>
      <c r="AI4955">
        <v>104</v>
      </c>
      <c r="AJ4955">
        <v>0</v>
      </c>
      <c r="AK4955">
        <v>1</v>
      </c>
      <c r="AL4955">
        <v>1</v>
      </c>
      <c r="AM4955">
        <v>100</v>
      </c>
      <c r="AN4955">
        <v>91.243099999999998</v>
      </c>
      <c r="AO4955">
        <v>0</v>
      </c>
      <c r="AP4955" s="13">
        <v>45812</v>
      </c>
      <c r="AQ4955">
        <v>0</v>
      </c>
      <c r="AR4955">
        <v>1</v>
      </c>
    </row>
    <row r="4956" spans="1:44" x14ac:dyDescent="0.35">
      <c r="A4956" s="12" t="s">
        <v>6019</v>
      </c>
      <c r="B4956" s="12" t="s">
        <v>630</v>
      </c>
      <c r="C4956" s="12" t="s">
        <v>631</v>
      </c>
      <c r="D4956" s="12" t="s">
        <v>130</v>
      </c>
      <c r="E4956" s="12" t="s">
        <v>65</v>
      </c>
      <c r="F4956">
        <v>1</v>
      </c>
      <c r="G4956">
        <v>2</v>
      </c>
      <c r="H4956">
        <v>1</v>
      </c>
      <c r="I4956" s="12" t="s">
        <v>335</v>
      </c>
      <c r="J4956" s="12" t="s">
        <v>336</v>
      </c>
      <c r="K4956" s="12" t="s">
        <v>89</v>
      </c>
      <c r="L4956" s="12" t="s">
        <v>82</v>
      </c>
      <c r="M4956">
        <v>16</v>
      </c>
      <c r="N4956" s="12" t="s">
        <v>135</v>
      </c>
      <c r="O4956" s="12" t="s">
        <v>136</v>
      </c>
      <c r="P4956" s="12" t="s">
        <v>137</v>
      </c>
      <c r="Q4956" s="13">
        <v>45796</v>
      </c>
      <c r="R4956" s="13">
        <v>45826</v>
      </c>
      <c r="S4956">
        <v>2025</v>
      </c>
      <c r="T4956" s="12" t="s">
        <v>5886</v>
      </c>
      <c r="U4956">
        <v>86</v>
      </c>
      <c r="V4956">
        <v>444.29629999999997</v>
      </c>
      <c r="W4956">
        <v>272.75</v>
      </c>
      <c r="X4956">
        <v>0</v>
      </c>
      <c r="Y4956">
        <v>0</v>
      </c>
      <c r="Z4956">
        <v>38209.480000000003</v>
      </c>
      <c r="AA4956">
        <v>38482.230000000003</v>
      </c>
      <c r="AB4956" s="12" t="s">
        <v>5553</v>
      </c>
      <c r="AC4956">
        <v>444.29629999999997</v>
      </c>
      <c r="AD4956">
        <v>1</v>
      </c>
      <c r="AE4956">
        <v>1</v>
      </c>
      <c r="AF4956">
        <v>0</v>
      </c>
      <c r="AG4956">
        <v>38209.480000000003</v>
      </c>
      <c r="AH4956">
        <v>86</v>
      </c>
      <c r="AI4956">
        <v>85</v>
      </c>
      <c r="AJ4956">
        <v>1</v>
      </c>
      <c r="AK4956">
        <v>1</v>
      </c>
      <c r="AL4956">
        <v>1</v>
      </c>
      <c r="AM4956">
        <v>98.84</v>
      </c>
      <c r="AN4956">
        <v>452.7321</v>
      </c>
      <c r="AO4956">
        <v>444.3</v>
      </c>
      <c r="AP4956" s="13">
        <v>45824</v>
      </c>
      <c r="AQ4956">
        <v>-2</v>
      </c>
      <c r="AR4956">
        <v>1</v>
      </c>
    </row>
    <row r="4957" spans="1:44" x14ac:dyDescent="0.35">
      <c r="A4957" s="12" t="s">
        <v>6020</v>
      </c>
      <c r="B4957" s="12" t="s">
        <v>416</v>
      </c>
      <c r="C4957" s="12" t="s">
        <v>417</v>
      </c>
      <c r="D4957" s="12" t="s">
        <v>78</v>
      </c>
      <c r="E4957" s="12" t="s">
        <v>65</v>
      </c>
      <c r="F4957">
        <v>3</v>
      </c>
      <c r="G4957">
        <v>5</v>
      </c>
      <c r="H4957">
        <v>0</v>
      </c>
      <c r="I4957" s="12" t="s">
        <v>169</v>
      </c>
      <c r="J4957" s="12" t="s">
        <v>170</v>
      </c>
      <c r="K4957" s="12" t="s">
        <v>89</v>
      </c>
      <c r="L4957" s="12" t="s">
        <v>134</v>
      </c>
      <c r="M4957">
        <v>1.37</v>
      </c>
      <c r="N4957" s="12" t="s">
        <v>97</v>
      </c>
      <c r="O4957" s="12" t="s">
        <v>98</v>
      </c>
      <c r="P4957" s="12" t="s">
        <v>72</v>
      </c>
      <c r="Q4957" s="13">
        <v>45796</v>
      </c>
      <c r="R4957" s="13">
        <v>45831</v>
      </c>
      <c r="S4957">
        <v>2025</v>
      </c>
      <c r="T4957" s="12" t="s">
        <v>5886</v>
      </c>
      <c r="U4957">
        <v>255</v>
      </c>
      <c r="V4957">
        <v>129.0615</v>
      </c>
      <c r="W4957">
        <v>834.14</v>
      </c>
      <c r="X4957">
        <v>0</v>
      </c>
      <c r="Y4957">
        <v>0</v>
      </c>
      <c r="Z4957">
        <v>32910.68</v>
      </c>
      <c r="AA4957">
        <v>33744.82</v>
      </c>
      <c r="AB4957" s="12" t="s">
        <v>5522</v>
      </c>
      <c r="AC4957">
        <v>129.0615</v>
      </c>
      <c r="AD4957">
        <v>1</v>
      </c>
      <c r="AE4957">
        <v>1</v>
      </c>
      <c r="AF4957">
        <v>0</v>
      </c>
      <c r="AG4957">
        <v>32910.68</v>
      </c>
      <c r="AH4957">
        <v>255</v>
      </c>
      <c r="AI4957">
        <v>252</v>
      </c>
      <c r="AJ4957">
        <v>3</v>
      </c>
      <c r="AK4957">
        <v>1</v>
      </c>
      <c r="AL4957">
        <v>1</v>
      </c>
      <c r="AM4957">
        <v>98.82</v>
      </c>
      <c r="AN4957">
        <v>133.90799999999999</v>
      </c>
      <c r="AO4957">
        <v>387.18</v>
      </c>
      <c r="AP4957" s="13">
        <v>45830</v>
      </c>
      <c r="AQ4957">
        <v>-1</v>
      </c>
      <c r="AR4957">
        <v>1</v>
      </c>
    </row>
    <row r="4958" spans="1:44" x14ac:dyDescent="0.35">
      <c r="A4958" s="12" t="s">
        <v>6021</v>
      </c>
      <c r="B4958" s="12" t="s">
        <v>613</v>
      </c>
      <c r="C4958" s="12" t="s">
        <v>614</v>
      </c>
      <c r="D4958" s="12" t="s">
        <v>130</v>
      </c>
      <c r="E4958" s="12" t="s">
        <v>104</v>
      </c>
      <c r="F4958">
        <v>3</v>
      </c>
      <c r="G4958">
        <v>1</v>
      </c>
      <c r="H4958">
        <v>0</v>
      </c>
      <c r="I4958" s="12" t="s">
        <v>66</v>
      </c>
      <c r="J4958" s="12" t="s">
        <v>67</v>
      </c>
      <c r="K4958" s="12" t="s">
        <v>68</v>
      </c>
      <c r="L4958" s="12" t="s">
        <v>69</v>
      </c>
      <c r="M4958">
        <v>17.66</v>
      </c>
      <c r="N4958" s="12" t="s">
        <v>135</v>
      </c>
      <c r="O4958" s="12" t="s">
        <v>136</v>
      </c>
      <c r="P4958" s="12" t="s">
        <v>137</v>
      </c>
      <c r="Q4958" s="13">
        <v>45796</v>
      </c>
      <c r="R4958" s="13">
        <v>45816</v>
      </c>
      <c r="S4958">
        <v>2025</v>
      </c>
      <c r="T4958" s="12" t="s">
        <v>5886</v>
      </c>
      <c r="U4958">
        <v>75</v>
      </c>
      <c r="V4958">
        <v>154.3064</v>
      </c>
      <c r="W4958">
        <v>138.96</v>
      </c>
      <c r="X4958">
        <v>0</v>
      </c>
      <c r="Y4958">
        <v>0</v>
      </c>
      <c r="Z4958">
        <v>11572.98</v>
      </c>
      <c r="AA4958">
        <v>11711.94</v>
      </c>
      <c r="AB4958" s="12" t="s">
        <v>5538</v>
      </c>
      <c r="AC4958">
        <v>154.3064</v>
      </c>
      <c r="AD4958">
        <v>1</v>
      </c>
      <c r="AE4958">
        <v>1</v>
      </c>
      <c r="AF4958">
        <v>0</v>
      </c>
      <c r="AG4958">
        <v>11572.98</v>
      </c>
      <c r="AH4958">
        <v>75</v>
      </c>
      <c r="AI4958">
        <v>75</v>
      </c>
      <c r="AJ4958">
        <v>0</v>
      </c>
      <c r="AK4958">
        <v>1</v>
      </c>
      <c r="AL4958">
        <v>1</v>
      </c>
      <c r="AM4958">
        <v>100</v>
      </c>
      <c r="AN4958">
        <v>156.1592</v>
      </c>
      <c r="AO4958">
        <v>0</v>
      </c>
      <c r="AP4958" s="13">
        <v>45820</v>
      </c>
      <c r="AQ4958">
        <v>4</v>
      </c>
      <c r="AR4958">
        <v>0</v>
      </c>
    </row>
    <row r="4959" spans="1:44" x14ac:dyDescent="0.35">
      <c r="A4959" s="12" t="s">
        <v>6022</v>
      </c>
      <c r="B4959" s="12" t="s">
        <v>617</v>
      </c>
      <c r="C4959" s="12" t="s">
        <v>618</v>
      </c>
      <c r="D4959" s="12" t="s">
        <v>78</v>
      </c>
      <c r="E4959" s="12" t="s">
        <v>65</v>
      </c>
      <c r="F4959">
        <v>2</v>
      </c>
      <c r="G4959">
        <v>4</v>
      </c>
      <c r="H4959">
        <v>0</v>
      </c>
      <c r="I4959" s="12" t="s">
        <v>341</v>
      </c>
      <c r="J4959" s="12" t="s">
        <v>342</v>
      </c>
      <c r="K4959" s="12" t="s">
        <v>117</v>
      </c>
      <c r="L4959" s="12" t="s">
        <v>82</v>
      </c>
      <c r="M4959">
        <v>18.36</v>
      </c>
      <c r="N4959" s="12" t="s">
        <v>70</v>
      </c>
      <c r="O4959" s="12" t="s">
        <v>71</v>
      </c>
      <c r="P4959" s="12" t="s">
        <v>72</v>
      </c>
      <c r="Q4959" s="13">
        <v>45796</v>
      </c>
      <c r="R4959" s="13">
        <v>45825</v>
      </c>
      <c r="S4959">
        <v>2025</v>
      </c>
      <c r="T4959" s="12" t="s">
        <v>5886</v>
      </c>
      <c r="U4959">
        <v>156</v>
      </c>
      <c r="V4959">
        <v>97.033799999999999</v>
      </c>
      <c r="W4959">
        <v>117.83</v>
      </c>
      <c r="X4959">
        <v>511.67</v>
      </c>
      <c r="Y4959">
        <v>1</v>
      </c>
      <c r="Z4959">
        <v>15137.27</v>
      </c>
      <c r="AA4959">
        <v>15766.77</v>
      </c>
      <c r="AB4959" s="12" t="s">
        <v>5541</v>
      </c>
      <c r="AC4959">
        <v>97.033799999999999</v>
      </c>
      <c r="AD4959">
        <v>1</v>
      </c>
      <c r="AE4959">
        <v>1</v>
      </c>
      <c r="AF4959">
        <v>0</v>
      </c>
      <c r="AG4959">
        <v>15137.27</v>
      </c>
      <c r="AH4959">
        <v>156</v>
      </c>
      <c r="AI4959">
        <v>153</v>
      </c>
      <c r="AJ4959">
        <v>3</v>
      </c>
      <c r="AK4959">
        <v>1</v>
      </c>
      <c r="AL4959">
        <v>1</v>
      </c>
      <c r="AM4959">
        <v>98.08</v>
      </c>
      <c r="AN4959">
        <v>103.0508</v>
      </c>
      <c r="AO4959">
        <v>291.10000000000002</v>
      </c>
      <c r="AP4959" s="13">
        <v>45825</v>
      </c>
      <c r="AQ4959">
        <v>0</v>
      </c>
      <c r="AR4959">
        <v>1</v>
      </c>
    </row>
    <row r="4960" spans="1:44" x14ac:dyDescent="0.35">
      <c r="A4960" s="12" t="s">
        <v>6023</v>
      </c>
      <c r="B4960" s="12" t="s">
        <v>339</v>
      </c>
      <c r="C4960" s="12" t="s">
        <v>340</v>
      </c>
      <c r="D4960" s="12" t="s">
        <v>103</v>
      </c>
      <c r="E4960" s="12" t="s">
        <v>142</v>
      </c>
      <c r="F4960">
        <v>2</v>
      </c>
      <c r="G4960">
        <v>9</v>
      </c>
      <c r="H4960">
        <v>0</v>
      </c>
      <c r="I4960" s="12" t="s">
        <v>341</v>
      </c>
      <c r="J4960" s="12" t="s">
        <v>342</v>
      </c>
      <c r="K4960" s="12" t="s">
        <v>117</v>
      </c>
      <c r="L4960" s="12" t="s">
        <v>82</v>
      </c>
      <c r="M4960">
        <v>18.36</v>
      </c>
      <c r="N4960" s="12" t="s">
        <v>145</v>
      </c>
      <c r="O4960" s="12" t="s">
        <v>146</v>
      </c>
      <c r="P4960" s="12" t="s">
        <v>109</v>
      </c>
      <c r="Q4960" s="13">
        <v>45796</v>
      </c>
      <c r="R4960" s="13">
        <v>45843</v>
      </c>
      <c r="S4960">
        <v>2025</v>
      </c>
      <c r="T4960" s="12" t="s">
        <v>5886</v>
      </c>
      <c r="U4960">
        <v>106</v>
      </c>
      <c r="V4960">
        <v>236.22890000000001</v>
      </c>
      <c r="W4960">
        <v>582.16</v>
      </c>
      <c r="X4960">
        <v>0</v>
      </c>
      <c r="Y4960">
        <v>0</v>
      </c>
      <c r="Z4960">
        <v>25040.26</v>
      </c>
      <c r="AA4960">
        <v>25622.42</v>
      </c>
      <c r="AB4960" s="12" t="s">
        <v>5881</v>
      </c>
      <c r="AC4960">
        <v>236.22890000000001</v>
      </c>
      <c r="AD4960">
        <v>1</v>
      </c>
      <c r="AE4960">
        <v>1</v>
      </c>
      <c r="AF4960">
        <v>0</v>
      </c>
      <c r="AG4960">
        <v>25040.26</v>
      </c>
      <c r="AH4960">
        <v>106</v>
      </c>
      <c r="AI4960">
        <v>105</v>
      </c>
      <c r="AJ4960">
        <v>1</v>
      </c>
      <c r="AK4960">
        <v>1</v>
      </c>
      <c r="AL4960">
        <v>1</v>
      </c>
      <c r="AM4960">
        <v>99.06</v>
      </c>
      <c r="AN4960">
        <v>244.0231</v>
      </c>
      <c r="AO4960">
        <v>236.23</v>
      </c>
      <c r="AP4960" s="13">
        <v>45843</v>
      </c>
      <c r="AQ4960">
        <v>0</v>
      </c>
      <c r="AR4960">
        <v>1</v>
      </c>
    </row>
    <row r="4961" spans="1:44" x14ac:dyDescent="0.35">
      <c r="A4961" s="12" t="s">
        <v>6024</v>
      </c>
      <c r="B4961" s="12" t="s">
        <v>231</v>
      </c>
      <c r="C4961" s="12" t="s">
        <v>232</v>
      </c>
      <c r="D4961" s="12" t="s">
        <v>130</v>
      </c>
      <c r="E4961" s="12" t="s">
        <v>65</v>
      </c>
      <c r="F4961">
        <v>1</v>
      </c>
      <c r="G4961">
        <v>2</v>
      </c>
      <c r="H4961">
        <v>1</v>
      </c>
      <c r="I4961" s="12" t="s">
        <v>233</v>
      </c>
      <c r="J4961" s="12" t="s">
        <v>234</v>
      </c>
      <c r="K4961" s="12" t="s">
        <v>125</v>
      </c>
      <c r="L4961" s="12" t="s">
        <v>96</v>
      </c>
      <c r="M4961">
        <v>3.73</v>
      </c>
      <c r="N4961" s="12" t="s">
        <v>135</v>
      </c>
      <c r="O4961" s="12" t="s">
        <v>136</v>
      </c>
      <c r="P4961" s="12" t="s">
        <v>137</v>
      </c>
      <c r="Q4961" s="13">
        <v>45796</v>
      </c>
      <c r="R4961" s="13">
        <v>45820</v>
      </c>
      <c r="S4961">
        <v>2025</v>
      </c>
      <c r="T4961" s="12" t="s">
        <v>5886</v>
      </c>
      <c r="U4961">
        <v>34</v>
      </c>
      <c r="V4961">
        <v>458.04660000000001</v>
      </c>
      <c r="W4961">
        <v>118.98</v>
      </c>
      <c r="X4961">
        <v>0</v>
      </c>
      <c r="Y4961">
        <v>0</v>
      </c>
      <c r="Z4961">
        <v>15573.58</v>
      </c>
      <c r="AA4961">
        <v>15692.56</v>
      </c>
      <c r="AB4961" s="12" t="s">
        <v>201</v>
      </c>
      <c r="AD4961">
        <v>0</v>
      </c>
      <c r="AE4961">
        <v>0</v>
      </c>
      <c r="AH4961">
        <v>34</v>
      </c>
      <c r="AI4961">
        <v>34</v>
      </c>
      <c r="AJ4961">
        <v>0</v>
      </c>
      <c r="AK4961">
        <v>1</v>
      </c>
      <c r="AL4961">
        <v>1</v>
      </c>
      <c r="AM4961">
        <v>100</v>
      </c>
      <c r="AN4961">
        <v>461.54599999999999</v>
      </c>
      <c r="AO4961">
        <v>0</v>
      </c>
      <c r="AP4961" s="13">
        <v>45819</v>
      </c>
      <c r="AQ4961">
        <v>-1</v>
      </c>
      <c r="AR4961">
        <v>1</v>
      </c>
    </row>
    <row r="4962" spans="1:44" x14ac:dyDescent="0.35">
      <c r="A4962" s="12" t="s">
        <v>6025</v>
      </c>
      <c r="B4962" s="12" t="s">
        <v>855</v>
      </c>
      <c r="C4962" s="12" t="s">
        <v>856</v>
      </c>
      <c r="D4962" s="12" t="s">
        <v>269</v>
      </c>
      <c r="E4962" s="12" t="s">
        <v>65</v>
      </c>
      <c r="F4962">
        <v>3</v>
      </c>
      <c r="G4962">
        <v>5</v>
      </c>
      <c r="H4962">
        <v>0</v>
      </c>
      <c r="I4962" s="12" t="s">
        <v>94</v>
      </c>
      <c r="J4962" s="12" t="s">
        <v>95</v>
      </c>
      <c r="K4962" s="12" t="s">
        <v>81</v>
      </c>
      <c r="L4962" s="12" t="s">
        <v>96</v>
      </c>
      <c r="M4962">
        <v>4.8099999999999996</v>
      </c>
      <c r="N4962" s="12" t="s">
        <v>135</v>
      </c>
      <c r="O4962" s="12" t="s">
        <v>136</v>
      </c>
      <c r="P4962" s="12" t="s">
        <v>137</v>
      </c>
      <c r="Q4962" s="13">
        <v>45796</v>
      </c>
      <c r="R4962" s="13">
        <v>45819</v>
      </c>
      <c r="S4962">
        <v>2025</v>
      </c>
      <c r="T4962" s="12" t="s">
        <v>5886</v>
      </c>
      <c r="U4962">
        <v>26</v>
      </c>
      <c r="V4962">
        <v>466.4701</v>
      </c>
      <c r="W4962">
        <v>239.9</v>
      </c>
      <c r="X4962">
        <v>0</v>
      </c>
      <c r="Y4962">
        <v>0</v>
      </c>
      <c r="Z4962">
        <v>12128.22</v>
      </c>
      <c r="AA4962">
        <v>12368.12</v>
      </c>
      <c r="AB4962" s="12" t="s">
        <v>5774</v>
      </c>
      <c r="AC4962">
        <v>466.4701</v>
      </c>
      <c r="AD4962">
        <v>1</v>
      </c>
      <c r="AE4962">
        <v>1</v>
      </c>
      <c r="AF4962">
        <v>0</v>
      </c>
      <c r="AG4962">
        <v>12128.22</v>
      </c>
      <c r="AH4962">
        <v>26</v>
      </c>
      <c r="AI4962">
        <v>26</v>
      </c>
      <c r="AJ4962">
        <v>0</v>
      </c>
      <c r="AK4962">
        <v>1</v>
      </c>
      <c r="AL4962">
        <v>1</v>
      </c>
      <c r="AM4962">
        <v>100</v>
      </c>
      <c r="AN4962">
        <v>475.697</v>
      </c>
      <c r="AO4962">
        <v>0</v>
      </c>
      <c r="AP4962" s="13">
        <v>45816</v>
      </c>
      <c r="AQ4962">
        <v>-3</v>
      </c>
      <c r="AR4962">
        <v>1</v>
      </c>
    </row>
    <row r="4963" spans="1:44" x14ac:dyDescent="0.35">
      <c r="A4963" s="12" t="s">
        <v>6026</v>
      </c>
      <c r="B4963" s="12" t="s">
        <v>1134</v>
      </c>
      <c r="C4963" s="12" t="s">
        <v>1135</v>
      </c>
      <c r="D4963" s="12" t="s">
        <v>269</v>
      </c>
      <c r="E4963" s="12" t="s">
        <v>104</v>
      </c>
      <c r="F4963">
        <v>2</v>
      </c>
      <c r="G4963">
        <v>0</v>
      </c>
      <c r="H4963">
        <v>0</v>
      </c>
      <c r="I4963" s="12" t="s">
        <v>380</v>
      </c>
      <c r="J4963" s="12" t="s">
        <v>381</v>
      </c>
      <c r="K4963" s="12" t="s">
        <v>89</v>
      </c>
      <c r="L4963" s="12" t="s">
        <v>96</v>
      </c>
      <c r="M4963">
        <v>10.210000000000001</v>
      </c>
      <c r="N4963" s="12" t="s">
        <v>135</v>
      </c>
      <c r="O4963" s="12" t="s">
        <v>136</v>
      </c>
      <c r="P4963" s="12" t="s">
        <v>137</v>
      </c>
      <c r="Q4963" s="13">
        <v>45796</v>
      </c>
      <c r="R4963" s="13">
        <v>45825</v>
      </c>
      <c r="S4963">
        <v>2025</v>
      </c>
      <c r="T4963" s="12" t="s">
        <v>5886</v>
      </c>
      <c r="U4963">
        <v>144</v>
      </c>
      <c r="V4963">
        <v>93.012100000000004</v>
      </c>
      <c r="W4963">
        <v>247.42</v>
      </c>
      <c r="X4963">
        <v>0</v>
      </c>
      <c r="Y4963">
        <v>0</v>
      </c>
      <c r="Z4963">
        <v>13393.74</v>
      </c>
      <c r="AA4963">
        <v>13641.16</v>
      </c>
      <c r="AB4963" s="12" t="s">
        <v>5835</v>
      </c>
      <c r="AC4963">
        <v>93.012100000000004</v>
      </c>
      <c r="AD4963">
        <v>1</v>
      </c>
      <c r="AE4963">
        <v>1</v>
      </c>
      <c r="AF4963">
        <v>0</v>
      </c>
      <c r="AG4963">
        <v>13393.74</v>
      </c>
      <c r="AH4963">
        <v>144</v>
      </c>
      <c r="AI4963">
        <v>142</v>
      </c>
      <c r="AJ4963">
        <v>2</v>
      </c>
      <c r="AK4963">
        <v>1</v>
      </c>
      <c r="AL4963">
        <v>1</v>
      </c>
      <c r="AM4963">
        <v>98.61</v>
      </c>
      <c r="AN4963">
        <v>96.064499999999995</v>
      </c>
      <c r="AO4963">
        <v>186.02</v>
      </c>
      <c r="AP4963" s="13">
        <v>45834</v>
      </c>
      <c r="AQ4963">
        <v>9</v>
      </c>
      <c r="AR4963">
        <v>0</v>
      </c>
    </row>
    <row r="4964" spans="1:44" x14ac:dyDescent="0.35">
      <c r="A4964" s="12" t="s">
        <v>6027</v>
      </c>
      <c r="B4964" s="12" t="s">
        <v>1179</v>
      </c>
      <c r="C4964" s="12" t="s">
        <v>1180</v>
      </c>
      <c r="D4964" s="12" t="s">
        <v>122</v>
      </c>
      <c r="E4964" s="12" t="s">
        <v>142</v>
      </c>
      <c r="F4964">
        <v>1</v>
      </c>
      <c r="G4964">
        <v>8</v>
      </c>
      <c r="H4964">
        <v>1</v>
      </c>
      <c r="I4964" s="12" t="s">
        <v>143</v>
      </c>
      <c r="J4964" s="12" t="s">
        <v>144</v>
      </c>
      <c r="K4964" s="12" t="s">
        <v>133</v>
      </c>
      <c r="L4964" s="12" t="s">
        <v>96</v>
      </c>
      <c r="M4964">
        <v>5.43</v>
      </c>
      <c r="N4964" s="12" t="s">
        <v>97</v>
      </c>
      <c r="O4964" s="12" t="s">
        <v>98</v>
      </c>
      <c r="P4964" s="12" t="s">
        <v>72</v>
      </c>
      <c r="Q4964" s="13">
        <v>45796</v>
      </c>
      <c r="R4964" s="13">
        <v>45843</v>
      </c>
      <c r="S4964">
        <v>2025</v>
      </c>
      <c r="T4964" s="12" t="s">
        <v>5886</v>
      </c>
      <c r="U4964">
        <v>1454</v>
      </c>
      <c r="V4964">
        <v>49.185099999999998</v>
      </c>
      <c r="W4964">
        <v>1433.03</v>
      </c>
      <c r="X4964">
        <v>0</v>
      </c>
      <c r="Y4964">
        <v>0</v>
      </c>
      <c r="Z4964">
        <v>71515.14</v>
      </c>
      <c r="AA4964">
        <v>72948.17</v>
      </c>
      <c r="AB4964" s="12" t="s">
        <v>5533</v>
      </c>
      <c r="AC4964">
        <v>52.209899999999998</v>
      </c>
      <c r="AD4964">
        <v>1</v>
      </c>
      <c r="AE4964">
        <v>1</v>
      </c>
      <c r="AF4964">
        <v>-4398.0600000000004</v>
      </c>
      <c r="AG4964">
        <v>75913.19</v>
      </c>
      <c r="AH4964">
        <v>1454</v>
      </c>
      <c r="AI4964">
        <v>1441</v>
      </c>
      <c r="AJ4964">
        <v>13</v>
      </c>
      <c r="AK4964">
        <v>1</v>
      </c>
      <c r="AL4964">
        <v>1</v>
      </c>
      <c r="AM4964">
        <v>99.11</v>
      </c>
      <c r="AN4964">
        <v>50.6233</v>
      </c>
      <c r="AO4964">
        <v>639.41</v>
      </c>
      <c r="AP4964" s="13">
        <v>45848</v>
      </c>
      <c r="AQ4964">
        <v>5</v>
      </c>
      <c r="AR4964">
        <v>0</v>
      </c>
    </row>
    <row r="4965" spans="1:44" x14ac:dyDescent="0.35">
      <c r="A4965" s="12" t="s">
        <v>6028</v>
      </c>
      <c r="B4965" s="12" t="s">
        <v>902</v>
      </c>
      <c r="C4965" s="12" t="s">
        <v>903</v>
      </c>
      <c r="D4965" s="12" t="s">
        <v>122</v>
      </c>
      <c r="E4965" s="12" t="s">
        <v>142</v>
      </c>
      <c r="F4965">
        <v>1</v>
      </c>
      <c r="G4965">
        <v>6</v>
      </c>
      <c r="H4965">
        <v>1</v>
      </c>
      <c r="I4965" s="12" t="s">
        <v>105</v>
      </c>
      <c r="J4965" s="12" t="s">
        <v>106</v>
      </c>
      <c r="K4965" s="12" t="s">
        <v>81</v>
      </c>
      <c r="L4965" s="12" t="s">
        <v>96</v>
      </c>
      <c r="M4965">
        <v>5.01</v>
      </c>
      <c r="N4965" s="12" t="s">
        <v>70</v>
      </c>
      <c r="O4965" s="12" t="s">
        <v>71</v>
      </c>
      <c r="P4965" s="12" t="s">
        <v>72</v>
      </c>
      <c r="Q4965" s="13">
        <v>45796</v>
      </c>
      <c r="R4965" s="13">
        <v>45836</v>
      </c>
      <c r="S4965">
        <v>2025</v>
      </c>
      <c r="T4965" s="12" t="s">
        <v>5886</v>
      </c>
      <c r="U4965">
        <v>773</v>
      </c>
      <c r="V4965">
        <v>41.5184</v>
      </c>
      <c r="W4965">
        <v>675.94</v>
      </c>
      <c r="X4965">
        <v>0</v>
      </c>
      <c r="Y4965">
        <v>0</v>
      </c>
      <c r="Z4965">
        <v>32093.72</v>
      </c>
      <c r="AA4965">
        <v>32769.660000000003</v>
      </c>
      <c r="AB4965" s="12" t="s">
        <v>5824</v>
      </c>
      <c r="AC4965">
        <v>41.5184</v>
      </c>
      <c r="AD4965">
        <v>1</v>
      </c>
      <c r="AE4965">
        <v>1</v>
      </c>
      <c r="AF4965">
        <v>0</v>
      </c>
      <c r="AG4965">
        <v>32093.72</v>
      </c>
      <c r="AH4965">
        <v>773</v>
      </c>
      <c r="AI4965">
        <v>769</v>
      </c>
      <c r="AJ4965">
        <v>4</v>
      </c>
      <c r="AK4965">
        <v>1</v>
      </c>
      <c r="AL4965">
        <v>1</v>
      </c>
      <c r="AM4965">
        <v>99.48</v>
      </c>
      <c r="AN4965">
        <v>42.613300000000002</v>
      </c>
      <c r="AO4965">
        <v>166.07</v>
      </c>
      <c r="AP4965" s="13">
        <v>45846</v>
      </c>
      <c r="AQ4965">
        <v>10</v>
      </c>
      <c r="AR4965">
        <v>0</v>
      </c>
    </row>
    <row r="4966" spans="1:44" x14ac:dyDescent="0.35">
      <c r="A4966" s="12" t="s">
        <v>6029</v>
      </c>
      <c r="B4966" s="12" t="s">
        <v>149</v>
      </c>
      <c r="C4966" s="12" t="s">
        <v>150</v>
      </c>
      <c r="D4966" s="12" t="s">
        <v>78</v>
      </c>
      <c r="E4966" s="12" t="s">
        <v>65</v>
      </c>
      <c r="F4966">
        <v>2</v>
      </c>
      <c r="G4966">
        <v>2</v>
      </c>
      <c r="H4966">
        <v>0</v>
      </c>
      <c r="I4966" s="12" t="s">
        <v>151</v>
      </c>
      <c r="J4966" s="12" t="s">
        <v>152</v>
      </c>
      <c r="K4966" s="12" t="s">
        <v>125</v>
      </c>
      <c r="L4966" s="12" t="s">
        <v>69</v>
      </c>
      <c r="M4966">
        <v>36.479999999999997</v>
      </c>
      <c r="N4966" s="12" t="s">
        <v>70</v>
      </c>
      <c r="O4966" s="12" t="s">
        <v>71</v>
      </c>
      <c r="P4966" s="12" t="s">
        <v>72</v>
      </c>
      <c r="Q4966" s="13">
        <v>45797</v>
      </c>
      <c r="R4966" s="13">
        <v>45832</v>
      </c>
      <c r="S4966">
        <v>2025</v>
      </c>
      <c r="T4966" s="12" t="s">
        <v>5886</v>
      </c>
      <c r="U4966">
        <v>245</v>
      </c>
      <c r="V4966">
        <v>65.934700000000007</v>
      </c>
      <c r="W4966">
        <v>316.86</v>
      </c>
      <c r="X4966">
        <v>0</v>
      </c>
      <c r="Y4966">
        <v>0</v>
      </c>
      <c r="Z4966">
        <v>16154</v>
      </c>
      <c r="AA4966">
        <v>16470.86</v>
      </c>
      <c r="AB4966" s="12" t="s">
        <v>5076</v>
      </c>
      <c r="AC4966">
        <v>65.934700000000007</v>
      </c>
      <c r="AD4966">
        <v>1</v>
      </c>
      <c r="AE4966">
        <v>1</v>
      </c>
      <c r="AF4966">
        <v>0</v>
      </c>
      <c r="AG4966">
        <v>16154</v>
      </c>
      <c r="AH4966">
        <v>245</v>
      </c>
      <c r="AI4966">
        <v>239</v>
      </c>
      <c r="AJ4966">
        <v>6</v>
      </c>
      <c r="AK4966">
        <v>1</v>
      </c>
      <c r="AL4966">
        <v>1</v>
      </c>
      <c r="AM4966">
        <v>97.55</v>
      </c>
      <c r="AN4966">
        <v>68.915700000000001</v>
      </c>
      <c r="AO4966">
        <v>395.61</v>
      </c>
      <c r="AP4966" s="13">
        <v>45831</v>
      </c>
      <c r="AQ4966">
        <v>-1</v>
      </c>
      <c r="AR4966">
        <v>1</v>
      </c>
    </row>
    <row r="4967" spans="1:44" x14ac:dyDescent="0.35">
      <c r="A4967" s="12" t="s">
        <v>6030</v>
      </c>
      <c r="B4967" s="12" t="s">
        <v>395</v>
      </c>
      <c r="C4967" s="12" t="s">
        <v>396</v>
      </c>
      <c r="D4967" s="12" t="s">
        <v>130</v>
      </c>
      <c r="E4967" s="12" t="s">
        <v>104</v>
      </c>
      <c r="F4967">
        <v>3</v>
      </c>
      <c r="G4967">
        <v>1</v>
      </c>
      <c r="H4967">
        <v>0</v>
      </c>
      <c r="I4967" s="12" t="s">
        <v>804</v>
      </c>
      <c r="J4967" s="12" t="s">
        <v>342</v>
      </c>
      <c r="K4967" s="12" t="s">
        <v>117</v>
      </c>
      <c r="L4967" s="12" t="s">
        <v>69</v>
      </c>
      <c r="M4967">
        <v>30.07</v>
      </c>
      <c r="N4967" s="12" t="s">
        <v>159</v>
      </c>
      <c r="O4967" s="12" t="s">
        <v>160</v>
      </c>
      <c r="P4967" s="12" t="s">
        <v>137</v>
      </c>
      <c r="Q4967" s="13">
        <v>45797</v>
      </c>
      <c r="R4967" s="13">
        <v>45811</v>
      </c>
      <c r="S4967">
        <v>2025</v>
      </c>
      <c r="T4967" s="12" t="s">
        <v>5886</v>
      </c>
      <c r="U4967">
        <v>31</v>
      </c>
      <c r="V4967">
        <v>196.59350000000001</v>
      </c>
      <c r="W4967">
        <v>67.95</v>
      </c>
      <c r="X4967">
        <v>0</v>
      </c>
      <c r="Y4967">
        <v>0</v>
      </c>
      <c r="Z4967">
        <v>6094.4</v>
      </c>
      <c r="AA4967">
        <v>6162.35</v>
      </c>
      <c r="AB4967" s="12" t="s">
        <v>6031</v>
      </c>
      <c r="AC4967">
        <v>190.1942</v>
      </c>
      <c r="AD4967">
        <v>1</v>
      </c>
      <c r="AE4967">
        <v>1</v>
      </c>
      <c r="AF4967">
        <v>198.38</v>
      </c>
      <c r="AG4967">
        <v>5896.02</v>
      </c>
      <c r="AH4967">
        <v>31</v>
      </c>
      <c r="AI4967">
        <v>31</v>
      </c>
      <c r="AJ4967">
        <v>0</v>
      </c>
      <c r="AK4967">
        <v>1</v>
      </c>
      <c r="AL4967">
        <v>1</v>
      </c>
      <c r="AM4967">
        <v>100</v>
      </c>
      <c r="AN4967">
        <v>198.78540000000001</v>
      </c>
      <c r="AO4967">
        <v>0</v>
      </c>
      <c r="AP4967" s="13">
        <v>45811</v>
      </c>
      <c r="AQ4967">
        <v>0</v>
      </c>
      <c r="AR4967">
        <v>1</v>
      </c>
    </row>
    <row r="4968" spans="1:44" x14ac:dyDescent="0.35">
      <c r="A4968" s="12" t="s">
        <v>6032</v>
      </c>
      <c r="B4968" s="12" t="s">
        <v>62</v>
      </c>
      <c r="C4968" s="12" t="s">
        <v>63</v>
      </c>
      <c r="D4968" s="12" t="s">
        <v>64</v>
      </c>
      <c r="E4968" s="12" t="s">
        <v>65</v>
      </c>
      <c r="F4968">
        <v>1</v>
      </c>
      <c r="G4968">
        <v>2</v>
      </c>
      <c r="H4968">
        <v>1</v>
      </c>
      <c r="I4968" s="12" t="s">
        <v>66</v>
      </c>
      <c r="J4968" s="12" t="s">
        <v>67</v>
      </c>
      <c r="K4968" s="12" t="s">
        <v>68</v>
      </c>
      <c r="L4968" s="12" t="s">
        <v>69</v>
      </c>
      <c r="M4968">
        <v>17.66</v>
      </c>
      <c r="N4968" s="12" t="s">
        <v>70</v>
      </c>
      <c r="O4968" s="12" t="s">
        <v>71</v>
      </c>
      <c r="P4968" s="12" t="s">
        <v>72</v>
      </c>
      <c r="Q4968" s="13">
        <v>45797</v>
      </c>
      <c r="R4968" s="13">
        <v>45825</v>
      </c>
      <c r="S4968">
        <v>2025</v>
      </c>
      <c r="T4968" s="12" t="s">
        <v>5886</v>
      </c>
      <c r="U4968">
        <v>476</v>
      </c>
      <c r="V4968">
        <v>24.7453</v>
      </c>
      <c r="W4968">
        <v>136.52000000000001</v>
      </c>
      <c r="X4968">
        <v>0</v>
      </c>
      <c r="Y4968">
        <v>0</v>
      </c>
      <c r="Z4968">
        <v>11778.76</v>
      </c>
      <c r="AA4968">
        <v>11915.28</v>
      </c>
      <c r="AB4968" s="12" t="s">
        <v>201</v>
      </c>
      <c r="AD4968">
        <v>0</v>
      </c>
      <c r="AE4968">
        <v>0</v>
      </c>
      <c r="AH4968">
        <v>476</v>
      </c>
      <c r="AI4968">
        <v>473</v>
      </c>
      <c r="AJ4968">
        <v>3</v>
      </c>
      <c r="AK4968">
        <v>1</v>
      </c>
      <c r="AL4968">
        <v>1</v>
      </c>
      <c r="AM4968">
        <v>99.37</v>
      </c>
      <c r="AN4968">
        <v>25.190899999999999</v>
      </c>
      <c r="AO4968">
        <v>74.239999999999995</v>
      </c>
      <c r="AP4968" s="13">
        <v>45823</v>
      </c>
      <c r="AQ4968">
        <v>-2</v>
      </c>
      <c r="AR4968">
        <v>1</v>
      </c>
    </row>
    <row r="4969" spans="1:44" x14ac:dyDescent="0.35">
      <c r="A4969" s="12" t="s">
        <v>6033</v>
      </c>
      <c r="B4969" s="12" t="s">
        <v>569</v>
      </c>
      <c r="C4969" s="12" t="s">
        <v>570</v>
      </c>
      <c r="D4969" s="12" t="s">
        <v>114</v>
      </c>
      <c r="E4969" s="12" t="s">
        <v>142</v>
      </c>
      <c r="F4969">
        <v>1</v>
      </c>
      <c r="G4969">
        <v>6</v>
      </c>
      <c r="H4969">
        <v>1</v>
      </c>
      <c r="I4969" s="12" t="s">
        <v>123</v>
      </c>
      <c r="J4969" s="12" t="s">
        <v>124</v>
      </c>
      <c r="K4969" s="12" t="s">
        <v>125</v>
      </c>
      <c r="L4969" s="12" t="s">
        <v>82</v>
      </c>
      <c r="M4969">
        <v>6.75</v>
      </c>
      <c r="N4969" s="12" t="s">
        <v>70</v>
      </c>
      <c r="O4969" s="12" t="s">
        <v>71</v>
      </c>
      <c r="P4969" s="12" t="s">
        <v>72</v>
      </c>
      <c r="Q4969" s="13">
        <v>45797</v>
      </c>
      <c r="R4969" s="13">
        <v>45834</v>
      </c>
      <c r="S4969">
        <v>2025</v>
      </c>
      <c r="T4969" s="12" t="s">
        <v>5886</v>
      </c>
      <c r="U4969">
        <v>31</v>
      </c>
      <c r="V4969">
        <v>348.21159999999998</v>
      </c>
      <c r="W4969">
        <v>191.12</v>
      </c>
      <c r="X4969">
        <v>0</v>
      </c>
      <c r="Y4969">
        <v>0</v>
      </c>
      <c r="Z4969">
        <v>10794.56</v>
      </c>
      <c r="AA4969">
        <v>10985.68</v>
      </c>
      <c r="AB4969" s="12" t="s">
        <v>5817</v>
      </c>
      <c r="AC4969">
        <v>348.21159999999998</v>
      </c>
      <c r="AD4969">
        <v>1</v>
      </c>
      <c r="AE4969">
        <v>1</v>
      </c>
      <c r="AF4969">
        <v>0</v>
      </c>
      <c r="AG4969">
        <v>10794.56</v>
      </c>
      <c r="AH4969">
        <v>31</v>
      </c>
      <c r="AI4969">
        <v>31</v>
      </c>
      <c r="AJ4969">
        <v>0</v>
      </c>
      <c r="AK4969">
        <v>1</v>
      </c>
      <c r="AL4969">
        <v>1</v>
      </c>
      <c r="AM4969">
        <v>100</v>
      </c>
      <c r="AN4969">
        <v>354.3768</v>
      </c>
      <c r="AO4969">
        <v>0</v>
      </c>
      <c r="AP4969" s="13">
        <v>45841</v>
      </c>
      <c r="AQ4969">
        <v>7</v>
      </c>
      <c r="AR4969">
        <v>0</v>
      </c>
    </row>
    <row r="4970" spans="1:44" x14ac:dyDescent="0.35">
      <c r="A4970" s="12" t="s">
        <v>6034</v>
      </c>
      <c r="B4970" s="12" t="s">
        <v>1075</v>
      </c>
      <c r="C4970" s="12" t="s">
        <v>1076</v>
      </c>
      <c r="D4970" s="12" t="s">
        <v>103</v>
      </c>
      <c r="E4970" s="12" t="s">
        <v>65</v>
      </c>
      <c r="F4970">
        <v>2</v>
      </c>
      <c r="G4970">
        <v>4</v>
      </c>
      <c r="H4970">
        <v>0</v>
      </c>
      <c r="I4970" s="12" t="s">
        <v>176</v>
      </c>
      <c r="J4970" s="12" t="s">
        <v>177</v>
      </c>
      <c r="K4970" s="12" t="s">
        <v>125</v>
      </c>
      <c r="L4970" s="12" t="s">
        <v>134</v>
      </c>
      <c r="M4970">
        <v>1.75</v>
      </c>
      <c r="N4970" s="12" t="s">
        <v>145</v>
      </c>
      <c r="O4970" s="12" t="s">
        <v>146</v>
      </c>
      <c r="P4970" s="12" t="s">
        <v>109</v>
      </c>
      <c r="Q4970" s="13">
        <v>45797</v>
      </c>
      <c r="R4970" s="13">
        <v>45819</v>
      </c>
      <c r="S4970">
        <v>2025</v>
      </c>
      <c r="T4970" s="12" t="s">
        <v>5886</v>
      </c>
      <c r="U4970">
        <v>20</v>
      </c>
      <c r="V4970">
        <v>67.238399999999999</v>
      </c>
      <c r="W4970">
        <v>24.51</v>
      </c>
      <c r="X4970">
        <v>0</v>
      </c>
      <c r="Y4970">
        <v>0</v>
      </c>
      <c r="Z4970">
        <v>1344.77</v>
      </c>
      <c r="AA4970">
        <v>1369.28</v>
      </c>
      <c r="AB4970" s="12" t="s">
        <v>6035</v>
      </c>
      <c r="AC4970">
        <v>67.238399999999999</v>
      </c>
      <c r="AD4970">
        <v>1</v>
      </c>
      <c r="AE4970">
        <v>1</v>
      </c>
      <c r="AF4970">
        <v>0</v>
      </c>
      <c r="AG4970">
        <v>1344.77</v>
      </c>
      <c r="AH4970">
        <v>20</v>
      </c>
      <c r="AI4970">
        <v>20</v>
      </c>
      <c r="AJ4970">
        <v>0</v>
      </c>
      <c r="AK4970">
        <v>1</v>
      </c>
      <c r="AL4970">
        <v>1</v>
      </c>
      <c r="AM4970">
        <v>100</v>
      </c>
      <c r="AN4970">
        <v>68.463899999999995</v>
      </c>
      <c r="AO4970">
        <v>0</v>
      </c>
      <c r="AP4970" s="13">
        <v>45816</v>
      </c>
      <c r="AQ4970">
        <v>-3</v>
      </c>
      <c r="AR4970">
        <v>1</v>
      </c>
    </row>
    <row r="4971" spans="1:44" x14ac:dyDescent="0.35">
      <c r="A4971" s="12" t="s">
        <v>6036</v>
      </c>
      <c r="B4971" s="12" t="s">
        <v>378</v>
      </c>
      <c r="C4971" s="12" t="s">
        <v>379</v>
      </c>
      <c r="D4971" s="12" t="s">
        <v>64</v>
      </c>
      <c r="E4971" s="12" t="s">
        <v>104</v>
      </c>
      <c r="F4971">
        <v>3</v>
      </c>
      <c r="G4971">
        <v>1</v>
      </c>
      <c r="H4971">
        <v>0</v>
      </c>
      <c r="I4971" s="12" t="s">
        <v>380</v>
      </c>
      <c r="J4971" s="12" t="s">
        <v>381</v>
      </c>
      <c r="K4971" s="12" t="s">
        <v>89</v>
      </c>
      <c r="L4971" s="12" t="s">
        <v>96</v>
      </c>
      <c r="M4971">
        <v>10.210000000000001</v>
      </c>
      <c r="N4971" s="12" t="s">
        <v>70</v>
      </c>
      <c r="O4971" s="12" t="s">
        <v>71</v>
      </c>
      <c r="P4971" s="12" t="s">
        <v>72</v>
      </c>
      <c r="Q4971" s="13">
        <v>45797</v>
      </c>
      <c r="R4971" s="13">
        <v>45820</v>
      </c>
      <c r="S4971">
        <v>2025</v>
      </c>
      <c r="T4971" s="12" t="s">
        <v>5886</v>
      </c>
      <c r="U4971">
        <v>691</v>
      </c>
      <c r="V4971">
        <v>15.3193</v>
      </c>
      <c r="W4971">
        <v>152.43</v>
      </c>
      <c r="X4971">
        <v>0</v>
      </c>
      <c r="Y4971">
        <v>0</v>
      </c>
      <c r="Z4971">
        <v>10585.64</v>
      </c>
      <c r="AA4971">
        <v>10738.07</v>
      </c>
      <c r="AB4971" s="12" t="s">
        <v>5544</v>
      </c>
      <c r="AC4971">
        <v>15.3193</v>
      </c>
      <c r="AD4971">
        <v>1</v>
      </c>
      <c r="AE4971">
        <v>1</v>
      </c>
      <c r="AF4971">
        <v>0</v>
      </c>
      <c r="AG4971">
        <v>10585.64</v>
      </c>
      <c r="AH4971">
        <v>691</v>
      </c>
      <c r="AI4971">
        <v>682</v>
      </c>
      <c r="AJ4971">
        <v>9</v>
      </c>
      <c r="AK4971">
        <v>1</v>
      </c>
      <c r="AL4971">
        <v>1</v>
      </c>
      <c r="AM4971">
        <v>98.7</v>
      </c>
      <c r="AN4971">
        <v>15.744999999999999</v>
      </c>
      <c r="AO4971">
        <v>137.87</v>
      </c>
      <c r="AP4971" s="13">
        <v>45817</v>
      </c>
      <c r="AQ4971">
        <v>-3</v>
      </c>
      <c r="AR4971">
        <v>1</v>
      </c>
    </row>
    <row r="4972" spans="1:44" x14ac:dyDescent="0.35">
      <c r="A4972" s="12" t="s">
        <v>6037</v>
      </c>
      <c r="B4972" s="12" t="s">
        <v>420</v>
      </c>
      <c r="C4972" s="12" t="s">
        <v>421</v>
      </c>
      <c r="D4972" s="12" t="s">
        <v>269</v>
      </c>
      <c r="E4972" s="12" t="s">
        <v>104</v>
      </c>
      <c r="F4972">
        <v>2</v>
      </c>
      <c r="G4972">
        <v>0</v>
      </c>
      <c r="H4972">
        <v>0</v>
      </c>
      <c r="I4972" s="12" t="s">
        <v>380</v>
      </c>
      <c r="J4972" s="12" t="s">
        <v>381</v>
      </c>
      <c r="K4972" s="12" t="s">
        <v>89</v>
      </c>
      <c r="L4972" s="12" t="s">
        <v>96</v>
      </c>
      <c r="M4972">
        <v>10.210000000000001</v>
      </c>
      <c r="N4972" s="12" t="s">
        <v>135</v>
      </c>
      <c r="O4972" s="12" t="s">
        <v>136</v>
      </c>
      <c r="P4972" s="12" t="s">
        <v>137</v>
      </c>
      <c r="Q4972" s="13">
        <v>45797</v>
      </c>
      <c r="R4972" s="13">
        <v>45814</v>
      </c>
      <c r="S4972">
        <v>2025</v>
      </c>
      <c r="T4972" s="12" t="s">
        <v>5886</v>
      </c>
      <c r="U4972">
        <v>50</v>
      </c>
      <c r="V4972">
        <v>137.98429999999999</v>
      </c>
      <c r="W4972">
        <v>155.38999999999999</v>
      </c>
      <c r="X4972">
        <v>208.93</v>
      </c>
      <c r="Y4972">
        <v>1</v>
      </c>
      <c r="Z4972">
        <v>6899.22</v>
      </c>
      <c r="AA4972">
        <v>7263.54</v>
      </c>
      <c r="AB4972" s="12" t="s">
        <v>5648</v>
      </c>
      <c r="AC4972">
        <v>137.98429999999999</v>
      </c>
      <c r="AD4972">
        <v>1</v>
      </c>
      <c r="AE4972">
        <v>1</v>
      </c>
      <c r="AF4972">
        <v>0</v>
      </c>
      <c r="AG4972">
        <v>6899.22</v>
      </c>
      <c r="AH4972">
        <v>50</v>
      </c>
      <c r="AI4972">
        <v>50</v>
      </c>
      <c r="AJ4972">
        <v>0</v>
      </c>
      <c r="AK4972">
        <v>1</v>
      </c>
      <c r="AL4972">
        <v>1</v>
      </c>
      <c r="AM4972">
        <v>100</v>
      </c>
      <c r="AN4972">
        <v>145.27070000000001</v>
      </c>
      <c r="AO4972">
        <v>0</v>
      </c>
      <c r="AP4972" s="13">
        <v>45811</v>
      </c>
      <c r="AQ4972">
        <v>-3</v>
      </c>
      <c r="AR4972">
        <v>1</v>
      </c>
    </row>
    <row r="4973" spans="1:44" x14ac:dyDescent="0.35">
      <c r="A4973" s="12" t="s">
        <v>6038</v>
      </c>
      <c r="B4973" s="12" t="s">
        <v>602</v>
      </c>
      <c r="C4973" s="12" t="s">
        <v>603</v>
      </c>
      <c r="D4973" s="12" t="s">
        <v>114</v>
      </c>
      <c r="E4973" s="12" t="s">
        <v>142</v>
      </c>
      <c r="F4973">
        <v>2</v>
      </c>
      <c r="G4973">
        <v>10</v>
      </c>
      <c r="H4973">
        <v>0</v>
      </c>
      <c r="I4973" s="12" t="s">
        <v>604</v>
      </c>
      <c r="J4973" s="12" t="s">
        <v>605</v>
      </c>
      <c r="K4973" s="12" t="s">
        <v>68</v>
      </c>
      <c r="L4973" s="12" t="s">
        <v>82</v>
      </c>
      <c r="M4973">
        <v>7.24</v>
      </c>
      <c r="N4973" s="12" t="s">
        <v>97</v>
      </c>
      <c r="O4973" s="12" t="s">
        <v>98</v>
      </c>
      <c r="P4973" s="12" t="s">
        <v>72</v>
      </c>
      <c r="Q4973" s="13">
        <v>45797</v>
      </c>
      <c r="R4973" s="13">
        <v>45837</v>
      </c>
      <c r="S4973">
        <v>2025</v>
      </c>
      <c r="T4973" s="12" t="s">
        <v>5886</v>
      </c>
      <c r="U4973">
        <v>50</v>
      </c>
      <c r="V4973">
        <v>213.01410000000001</v>
      </c>
      <c r="W4973">
        <v>221.4</v>
      </c>
      <c r="X4973">
        <v>0</v>
      </c>
      <c r="Y4973">
        <v>0</v>
      </c>
      <c r="Z4973">
        <v>10650.71</v>
      </c>
      <c r="AA4973">
        <v>10872.11</v>
      </c>
      <c r="AB4973" s="12" t="s">
        <v>6039</v>
      </c>
      <c r="AC4973">
        <v>213.01410000000001</v>
      </c>
      <c r="AD4973">
        <v>1</v>
      </c>
      <c r="AE4973">
        <v>1</v>
      </c>
      <c r="AF4973">
        <v>0</v>
      </c>
      <c r="AG4973">
        <v>10650.71</v>
      </c>
      <c r="AH4973">
        <v>50</v>
      </c>
      <c r="AI4973">
        <v>50</v>
      </c>
      <c r="AJ4973">
        <v>0</v>
      </c>
      <c r="AK4973">
        <v>1</v>
      </c>
      <c r="AL4973">
        <v>1</v>
      </c>
      <c r="AM4973">
        <v>100</v>
      </c>
      <c r="AN4973">
        <v>217.44210000000001</v>
      </c>
      <c r="AO4973">
        <v>0</v>
      </c>
      <c r="AP4973" s="13">
        <v>45837</v>
      </c>
      <c r="AQ4973">
        <v>0</v>
      </c>
      <c r="AR4973">
        <v>1</v>
      </c>
    </row>
    <row r="4974" spans="1:44" x14ac:dyDescent="0.35">
      <c r="A4974" s="12" t="s">
        <v>6040</v>
      </c>
      <c r="B4974" s="12" t="s">
        <v>327</v>
      </c>
      <c r="C4974" s="12" t="s">
        <v>328</v>
      </c>
      <c r="D4974" s="12" t="s">
        <v>130</v>
      </c>
      <c r="E4974" s="12" t="s">
        <v>104</v>
      </c>
      <c r="F4974">
        <v>2</v>
      </c>
      <c r="G4974">
        <v>0</v>
      </c>
      <c r="H4974">
        <v>0</v>
      </c>
      <c r="I4974" s="12" t="s">
        <v>94</v>
      </c>
      <c r="J4974" s="12" t="s">
        <v>95</v>
      </c>
      <c r="K4974" s="12" t="s">
        <v>81</v>
      </c>
      <c r="L4974" s="12" t="s">
        <v>96</v>
      </c>
      <c r="M4974">
        <v>4.8099999999999996</v>
      </c>
      <c r="N4974" s="12" t="s">
        <v>135</v>
      </c>
      <c r="O4974" s="12" t="s">
        <v>136</v>
      </c>
      <c r="P4974" s="12" t="s">
        <v>137</v>
      </c>
      <c r="Q4974" s="13">
        <v>45798</v>
      </c>
      <c r="R4974" s="13">
        <v>45810</v>
      </c>
      <c r="S4974">
        <v>2025</v>
      </c>
      <c r="T4974" s="12" t="s">
        <v>5886</v>
      </c>
      <c r="U4974">
        <v>12</v>
      </c>
      <c r="V4974">
        <v>637.04729999999995</v>
      </c>
      <c r="W4974">
        <v>163.36000000000001</v>
      </c>
      <c r="X4974">
        <v>0</v>
      </c>
      <c r="Y4974">
        <v>0</v>
      </c>
      <c r="Z4974">
        <v>7644.57</v>
      </c>
      <c r="AA4974">
        <v>7807.93</v>
      </c>
      <c r="AB4974" s="12" t="s">
        <v>5449</v>
      </c>
      <c r="AC4974">
        <v>637.04729999999995</v>
      </c>
      <c r="AD4974">
        <v>1</v>
      </c>
      <c r="AE4974">
        <v>1</v>
      </c>
      <c r="AF4974">
        <v>0</v>
      </c>
      <c r="AG4974">
        <v>7644.57</v>
      </c>
      <c r="AH4974">
        <v>12</v>
      </c>
      <c r="AI4974">
        <v>12</v>
      </c>
      <c r="AJ4974">
        <v>0</v>
      </c>
      <c r="AK4974">
        <v>1</v>
      </c>
      <c r="AL4974">
        <v>1</v>
      </c>
      <c r="AM4974">
        <v>100</v>
      </c>
      <c r="AN4974">
        <v>650.66060000000004</v>
      </c>
      <c r="AO4974">
        <v>0</v>
      </c>
      <c r="AP4974" s="13">
        <v>45809</v>
      </c>
      <c r="AQ4974">
        <v>-1</v>
      </c>
      <c r="AR4974">
        <v>1</v>
      </c>
    </row>
    <row r="4975" spans="1:44" x14ac:dyDescent="0.35">
      <c r="A4975" s="12" t="s">
        <v>6041</v>
      </c>
      <c r="B4975" s="12" t="s">
        <v>630</v>
      </c>
      <c r="C4975" s="12" t="s">
        <v>631</v>
      </c>
      <c r="D4975" s="12" t="s">
        <v>130</v>
      </c>
      <c r="E4975" s="12" t="s">
        <v>65</v>
      </c>
      <c r="F4975">
        <v>1</v>
      </c>
      <c r="G4975">
        <v>2</v>
      </c>
      <c r="H4975">
        <v>1</v>
      </c>
      <c r="I4975" s="12" t="s">
        <v>335</v>
      </c>
      <c r="J4975" s="12" t="s">
        <v>336</v>
      </c>
      <c r="K4975" s="12" t="s">
        <v>89</v>
      </c>
      <c r="L4975" s="12" t="s">
        <v>82</v>
      </c>
      <c r="M4975">
        <v>16</v>
      </c>
      <c r="N4975" s="12" t="s">
        <v>159</v>
      </c>
      <c r="O4975" s="12" t="s">
        <v>160</v>
      </c>
      <c r="P4975" s="12" t="s">
        <v>137</v>
      </c>
      <c r="Q4975" s="13">
        <v>45798</v>
      </c>
      <c r="R4975" s="13">
        <v>45834</v>
      </c>
      <c r="S4975">
        <v>2025</v>
      </c>
      <c r="T4975" s="12" t="s">
        <v>5886</v>
      </c>
      <c r="U4975">
        <v>128</v>
      </c>
      <c r="V4975">
        <v>444.29629999999997</v>
      </c>
      <c r="W4975">
        <v>512.95000000000005</v>
      </c>
      <c r="X4975">
        <v>0</v>
      </c>
      <c r="Y4975">
        <v>0</v>
      </c>
      <c r="Z4975">
        <v>56869.93</v>
      </c>
      <c r="AA4975">
        <v>57382.879999999997</v>
      </c>
      <c r="AB4975" s="12" t="s">
        <v>5553</v>
      </c>
      <c r="AC4975">
        <v>444.29629999999997</v>
      </c>
      <c r="AD4975">
        <v>1</v>
      </c>
      <c r="AE4975">
        <v>1</v>
      </c>
      <c r="AF4975">
        <v>0</v>
      </c>
      <c r="AG4975">
        <v>56869.93</v>
      </c>
      <c r="AH4975">
        <v>128</v>
      </c>
      <c r="AI4975">
        <v>127</v>
      </c>
      <c r="AJ4975">
        <v>1</v>
      </c>
      <c r="AK4975">
        <v>1</v>
      </c>
      <c r="AL4975">
        <v>1</v>
      </c>
      <c r="AM4975">
        <v>99.22</v>
      </c>
      <c r="AN4975">
        <v>451.83370000000002</v>
      </c>
      <c r="AO4975">
        <v>444.3</v>
      </c>
      <c r="AP4975" s="13">
        <v>45833</v>
      </c>
      <c r="AQ4975">
        <v>-1</v>
      </c>
      <c r="AR4975">
        <v>1</v>
      </c>
    </row>
    <row r="4976" spans="1:44" x14ac:dyDescent="0.35">
      <c r="A4976" s="12" t="s">
        <v>6042</v>
      </c>
      <c r="B4976" s="12" t="s">
        <v>408</v>
      </c>
      <c r="C4976" s="12" t="s">
        <v>409</v>
      </c>
      <c r="D4976" s="12" t="s">
        <v>130</v>
      </c>
      <c r="E4976" s="12" t="s">
        <v>65</v>
      </c>
      <c r="F4976">
        <v>3</v>
      </c>
      <c r="G4976">
        <v>5</v>
      </c>
      <c r="H4976">
        <v>0</v>
      </c>
      <c r="I4976" s="12" t="s">
        <v>105</v>
      </c>
      <c r="J4976" s="12" t="s">
        <v>106</v>
      </c>
      <c r="K4976" s="12" t="s">
        <v>81</v>
      </c>
      <c r="L4976" s="12" t="s">
        <v>96</v>
      </c>
      <c r="M4976">
        <v>5.01</v>
      </c>
      <c r="N4976" s="12" t="s">
        <v>135</v>
      </c>
      <c r="O4976" s="12" t="s">
        <v>136</v>
      </c>
      <c r="P4976" s="12" t="s">
        <v>137</v>
      </c>
      <c r="Q4976" s="13">
        <v>45798</v>
      </c>
      <c r="R4976" s="13">
        <v>45834</v>
      </c>
      <c r="S4976">
        <v>2025</v>
      </c>
      <c r="T4976" s="12" t="s">
        <v>5886</v>
      </c>
      <c r="U4976">
        <v>131</v>
      </c>
      <c r="V4976">
        <v>724.06979999999999</v>
      </c>
      <c r="W4976">
        <v>1039.8599999999999</v>
      </c>
      <c r="X4976">
        <v>0</v>
      </c>
      <c r="Y4976">
        <v>0</v>
      </c>
      <c r="Z4976">
        <v>94853.14</v>
      </c>
      <c r="AA4976">
        <v>95893</v>
      </c>
      <c r="AB4976" s="12" t="s">
        <v>5490</v>
      </c>
      <c r="AC4976">
        <v>724.06979999999999</v>
      </c>
      <c r="AD4976">
        <v>1</v>
      </c>
      <c r="AE4976">
        <v>1</v>
      </c>
      <c r="AF4976">
        <v>0</v>
      </c>
      <c r="AG4976">
        <v>94853.14</v>
      </c>
      <c r="AH4976">
        <v>131</v>
      </c>
      <c r="AI4976">
        <v>129</v>
      </c>
      <c r="AJ4976">
        <v>2</v>
      </c>
      <c r="AK4976">
        <v>1</v>
      </c>
      <c r="AL4976">
        <v>1</v>
      </c>
      <c r="AM4976">
        <v>98.47</v>
      </c>
      <c r="AN4976">
        <v>743.35659999999996</v>
      </c>
      <c r="AO4976">
        <v>1448.14</v>
      </c>
      <c r="AP4976" s="13">
        <v>45831</v>
      </c>
      <c r="AQ4976">
        <v>-3</v>
      </c>
      <c r="AR4976">
        <v>1</v>
      </c>
    </row>
    <row r="4977" spans="1:44" x14ac:dyDescent="0.35">
      <c r="A4977" s="12" t="s">
        <v>6043</v>
      </c>
      <c r="B4977" s="12" t="s">
        <v>952</v>
      </c>
      <c r="C4977" s="12" t="s">
        <v>953</v>
      </c>
      <c r="D4977" s="12" t="s">
        <v>64</v>
      </c>
      <c r="E4977" s="12" t="s">
        <v>142</v>
      </c>
      <c r="F4977">
        <v>1</v>
      </c>
      <c r="G4977">
        <v>8</v>
      </c>
      <c r="H4977">
        <v>1</v>
      </c>
      <c r="I4977" s="12" t="s">
        <v>131</v>
      </c>
      <c r="J4977" s="12" t="s">
        <v>132</v>
      </c>
      <c r="K4977" s="12" t="s">
        <v>133</v>
      </c>
      <c r="L4977" s="12" t="s">
        <v>134</v>
      </c>
      <c r="M4977">
        <v>1.51</v>
      </c>
      <c r="N4977" s="12" t="s">
        <v>97</v>
      </c>
      <c r="O4977" s="12" t="s">
        <v>98</v>
      </c>
      <c r="P4977" s="12" t="s">
        <v>72</v>
      </c>
      <c r="Q4977" s="13">
        <v>45798</v>
      </c>
      <c r="R4977" s="13">
        <v>45836</v>
      </c>
      <c r="S4977">
        <v>2025</v>
      </c>
      <c r="T4977" s="12" t="s">
        <v>5886</v>
      </c>
      <c r="U4977">
        <v>284</v>
      </c>
      <c r="V4977">
        <v>31.074300000000001</v>
      </c>
      <c r="W4977">
        <v>201.02</v>
      </c>
      <c r="X4977">
        <v>0</v>
      </c>
      <c r="Y4977">
        <v>0</v>
      </c>
      <c r="Z4977">
        <v>8825.1</v>
      </c>
      <c r="AA4977">
        <v>9026.1200000000008</v>
      </c>
      <c r="AB4977" s="12" t="s">
        <v>6001</v>
      </c>
      <c r="AC4977">
        <v>31.074300000000001</v>
      </c>
      <c r="AD4977">
        <v>1</v>
      </c>
      <c r="AE4977">
        <v>1</v>
      </c>
      <c r="AF4977">
        <v>0</v>
      </c>
      <c r="AG4977">
        <v>8825.1</v>
      </c>
      <c r="AH4977">
        <v>284</v>
      </c>
      <c r="AI4977">
        <v>282</v>
      </c>
      <c r="AJ4977">
        <v>2</v>
      </c>
      <c r="AK4977">
        <v>1</v>
      </c>
      <c r="AL4977">
        <v>1</v>
      </c>
      <c r="AM4977">
        <v>99.3</v>
      </c>
      <c r="AN4977">
        <v>32.0075</v>
      </c>
      <c r="AO4977">
        <v>62.15</v>
      </c>
      <c r="AP4977" s="13">
        <v>45835</v>
      </c>
      <c r="AQ4977">
        <v>-1</v>
      </c>
      <c r="AR4977">
        <v>1</v>
      </c>
    </row>
    <row r="4978" spans="1:44" x14ac:dyDescent="0.35">
      <c r="A4978" s="12" t="s">
        <v>6044</v>
      </c>
      <c r="B4978" s="12" t="s">
        <v>941</v>
      </c>
      <c r="C4978" s="12" t="s">
        <v>942</v>
      </c>
      <c r="D4978" s="12" t="s">
        <v>130</v>
      </c>
      <c r="E4978" s="12" t="s">
        <v>104</v>
      </c>
      <c r="F4978">
        <v>2</v>
      </c>
      <c r="G4978">
        <v>0</v>
      </c>
      <c r="H4978">
        <v>0</v>
      </c>
      <c r="I4978" s="12" t="s">
        <v>131</v>
      </c>
      <c r="J4978" s="12" t="s">
        <v>132</v>
      </c>
      <c r="K4978" s="12" t="s">
        <v>133</v>
      </c>
      <c r="L4978" s="12" t="s">
        <v>134</v>
      </c>
      <c r="M4978">
        <v>1.51</v>
      </c>
      <c r="N4978" s="12" t="s">
        <v>135</v>
      </c>
      <c r="O4978" s="12" t="s">
        <v>136</v>
      </c>
      <c r="P4978" s="12" t="s">
        <v>137</v>
      </c>
      <c r="Q4978" s="13">
        <v>45798</v>
      </c>
      <c r="R4978" s="13">
        <v>45811</v>
      </c>
      <c r="S4978">
        <v>2025</v>
      </c>
      <c r="T4978" s="12" t="s">
        <v>5886</v>
      </c>
      <c r="U4978">
        <v>18</v>
      </c>
      <c r="V4978">
        <v>711.96100000000001</v>
      </c>
      <c r="W4978">
        <v>322.14</v>
      </c>
      <c r="X4978">
        <v>0</v>
      </c>
      <c r="Y4978">
        <v>0</v>
      </c>
      <c r="Z4978">
        <v>12815.3</v>
      </c>
      <c r="AA4978">
        <v>13137.44</v>
      </c>
      <c r="AB4978" s="12" t="s">
        <v>5945</v>
      </c>
      <c r="AC4978">
        <v>711.96100000000001</v>
      </c>
      <c r="AD4978">
        <v>1</v>
      </c>
      <c r="AE4978">
        <v>1</v>
      </c>
      <c r="AF4978">
        <v>0</v>
      </c>
      <c r="AG4978">
        <v>12815.3</v>
      </c>
      <c r="AH4978">
        <v>18</v>
      </c>
      <c r="AI4978">
        <v>17</v>
      </c>
      <c r="AJ4978">
        <v>1</v>
      </c>
      <c r="AK4978">
        <v>1</v>
      </c>
      <c r="AL4978">
        <v>1</v>
      </c>
      <c r="AM4978">
        <v>94.44</v>
      </c>
      <c r="AN4978">
        <v>772.79049999999995</v>
      </c>
      <c r="AO4978">
        <v>711.96</v>
      </c>
      <c r="AP4978" s="13">
        <v>45810</v>
      </c>
      <c r="AQ4978">
        <v>-1</v>
      </c>
      <c r="AR4978">
        <v>1</v>
      </c>
    </row>
    <row r="4979" spans="1:44" x14ac:dyDescent="0.35">
      <c r="A4979" s="12" t="s">
        <v>6045</v>
      </c>
      <c r="B4979" s="12" t="s">
        <v>85</v>
      </c>
      <c r="C4979" s="12" t="s">
        <v>86</v>
      </c>
      <c r="D4979" s="12" t="s">
        <v>78</v>
      </c>
      <c r="E4979" s="12" t="s">
        <v>65</v>
      </c>
      <c r="F4979">
        <v>3</v>
      </c>
      <c r="G4979">
        <v>5</v>
      </c>
      <c r="H4979">
        <v>0</v>
      </c>
      <c r="I4979" s="12" t="s">
        <v>87</v>
      </c>
      <c r="J4979" s="12" t="s">
        <v>88</v>
      </c>
      <c r="K4979" s="12" t="s">
        <v>89</v>
      </c>
      <c r="L4979" s="12" t="s">
        <v>69</v>
      </c>
      <c r="M4979">
        <v>14.93</v>
      </c>
      <c r="N4979" s="12" t="s">
        <v>70</v>
      </c>
      <c r="O4979" s="12" t="s">
        <v>71</v>
      </c>
      <c r="P4979" s="12" t="s">
        <v>72</v>
      </c>
      <c r="Q4979" s="13">
        <v>45798</v>
      </c>
      <c r="R4979" s="13">
        <v>45827</v>
      </c>
      <c r="S4979">
        <v>2025</v>
      </c>
      <c r="T4979" s="12" t="s">
        <v>5886</v>
      </c>
      <c r="U4979">
        <v>169</v>
      </c>
      <c r="V4979">
        <v>132.05160000000001</v>
      </c>
      <c r="W4979">
        <v>338.62</v>
      </c>
      <c r="X4979">
        <v>0</v>
      </c>
      <c r="Y4979">
        <v>0</v>
      </c>
      <c r="Z4979">
        <v>22316.720000000001</v>
      </c>
      <c r="AA4979">
        <v>22655.34</v>
      </c>
      <c r="AB4979" s="12" t="s">
        <v>5445</v>
      </c>
      <c r="AC4979">
        <v>132.05160000000001</v>
      </c>
      <c r="AD4979">
        <v>1</v>
      </c>
      <c r="AE4979">
        <v>1</v>
      </c>
      <c r="AF4979">
        <v>0</v>
      </c>
      <c r="AG4979">
        <v>22316.720000000001</v>
      </c>
      <c r="AH4979">
        <v>169</v>
      </c>
      <c r="AI4979">
        <v>166</v>
      </c>
      <c r="AJ4979">
        <v>3</v>
      </c>
      <c r="AK4979">
        <v>1</v>
      </c>
      <c r="AL4979">
        <v>1</v>
      </c>
      <c r="AM4979">
        <v>98.22</v>
      </c>
      <c r="AN4979">
        <v>136.47800000000001</v>
      </c>
      <c r="AO4979">
        <v>396.15</v>
      </c>
      <c r="AP4979" s="13">
        <v>45826</v>
      </c>
      <c r="AQ4979">
        <v>-1</v>
      </c>
      <c r="AR4979">
        <v>1</v>
      </c>
    </row>
    <row r="4980" spans="1:44" x14ac:dyDescent="0.35">
      <c r="A4980" s="12" t="s">
        <v>6046</v>
      </c>
      <c r="B4980" s="12" t="s">
        <v>447</v>
      </c>
      <c r="C4980" s="12" t="s">
        <v>448</v>
      </c>
      <c r="D4980" s="12" t="s">
        <v>269</v>
      </c>
      <c r="E4980" s="12" t="s">
        <v>65</v>
      </c>
      <c r="F4980">
        <v>2</v>
      </c>
      <c r="G4980">
        <v>2</v>
      </c>
      <c r="H4980">
        <v>0</v>
      </c>
      <c r="I4980" s="12" t="s">
        <v>176</v>
      </c>
      <c r="J4980" s="12" t="s">
        <v>177</v>
      </c>
      <c r="K4980" s="12" t="s">
        <v>125</v>
      </c>
      <c r="L4980" s="12" t="s">
        <v>134</v>
      </c>
      <c r="M4980">
        <v>1.75</v>
      </c>
      <c r="N4980" s="12" t="s">
        <v>159</v>
      </c>
      <c r="O4980" s="12" t="s">
        <v>160</v>
      </c>
      <c r="P4980" s="12" t="s">
        <v>137</v>
      </c>
      <c r="Q4980" s="13">
        <v>45798</v>
      </c>
      <c r="R4980" s="13">
        <v>45829</v>
      </c>
      <c r="S4980">
        <v>2025</v>
      </c>
      <c r="T4980" s="12" t="s">
        <v>5886</v>
      </c>
      <c r="U4980">
        <v>93</v>
      </c>
      <c r="V4980">
        <v>367.34550000000002</v>
      </c>
      <c r="W4980">
        <v>264.52999999999997</v>
      </c>
      <c r="X4980">
        <v>0</v>
      </c>
      <c r="Y4980">
        <v>0</v>
      </c>
      <c r="Z4980">
        <v>34163.129999999997</v>
      </c>
      <c r="AA4980">
        <v>34427.660000000003</v>
      </c>
      <c r="AB4980" s="12" t="s">
        <v>5550</v>
      </c>
      <c r="AC4980">
        <v>367.34550000000002</v>
      </c>
      <c r="AD4980">
        <v>1</v>
      </c>
      <c r="AE4980">
        <v>1</v>
      </c>
      <c r="AF4980">
        <v>0</v>
      </c>
      <c r="AG4980">
        <v>34163.129999999997</v>
      </c>
      <c r="AH4980">
        <v>93</v>
      </c>
      <c r="AI4980">
        <v>92</v>
      </c>
      <c r="AJ4980">
        <v>1</v>
      </c>
      <c r="AK4980">
        <v>1</v>
      </c>
      <c r="AL4980">
        <v>1</v>
      </c>
      <c r="AM4980">
        <v>98.92</v>
      </c>
      <c r="AN4980">
        <v>374.21370000000002</v>
      </c>
      <c r="AO4980">
        <v>367.35</v>
      </c>
      <c r="AP4980" s="13">
        <v>45829</v>
      </c>
      <c r="AQ4980">
        <v>0</v>
      </c>
      <c r="AR4980">
        <v>1</v>
      </c>
    </row>
    <row r="4981" spans="1:44" x14ac:dyDescent="0.35">
      <c r="A4981" s="12" t="s">
        <v>6047</v>
      </c>
      <c r="B4981" s="12" t="s">
        <v>565</v>
      </c>
      <c r="C4981" s="12" t="s">
        <v>566</v>
      </c>
      <c r="D4981" s="12" t="s">
        <v>122</v>
      </c>
      <c r="E4981" s="12" t="s">
        <v>104</v>
      </c>
      <c r="F4981">
        <v>3</v>
      </c>
      <c r="G4981">
        <v>1</v>
      </c>
      <c r="H4981">
        <v>0</v>
      </c>
      <c r="I4981" s="12" t="s">
        <v>87</v>
      </c>
      <c r="J4981" s="12" t="s">
        <v>88</v>
      </c>
      <c r="K4981" s="12" t="s">
        <v>89</v>
      </c>
      <c r="L4981" s="12" t="s">
        <v>69</v>
      </c>
      <c r="M4981">
        <v>14.93</v>
      </c>
      <c r="N4981" s="12" t="s">
        <v>70</v>
      </c>
      <c r="O4981" s="12" t="s">
        <v>71</v>
      </c>
      <c r="P4981" s="12" t="s">
        <v>72</v>
      </c>
      <c r="Q4981" s="13">
        <v>45799</v>
      </c>
      <c r="R4981" s="13">
        <v>45816</v>
      </c>
      <c r="S4981">
        <v>2025</v>
      </c>
      <c r="T4981" s="12" t="s">
        <v>5886</v>
      </c>
      <c r="U4981">
        <v>764</v>
      </c>
      <c r="V4981">
        <v>33.2194</v>
      </c>
      <c r="W4981">
        <v>197.71</v>
      </c>
      <c r="X4981">
        <v>0</v>
      </c>
      <c r="Y4981">
        <v>0</v>
      </c>
      <c r="Z4981">
        <v>25379.62</v>
      </c>
      <c r="AA4981">
        <v>25577.33</v>
      </c>
      <c r="AB4981" s="12" t="s">
        <v>5711</v>
      </c>
      <c r="AC4981">
        <v>33.2194</v>
      </c>
      <c r="AD4981">
        <v>1</v>
      </c>
      <c r="AE4981">
        <v>1</v>
      </c>
      <c r="AF4981">
        <v>0</v>
      </c>
      <c r="AG4981">
        <v>25379.62</v>
      </c>
      <c r="AH4981">
        <v>764</v>
      </c>
      <c r="AI4981">
        <v>762</v>
      </c>
      <c r="AJ4981">
        <v>2</v>
      </c>
      <c r="AK4981">
        <v>1</v>
      </c>
      <c r="AL4981">
        <v>1</v>
      </c>
      <c r="AM4981">
        <v>99.74</v>
      </c>
      <c r="AN4981">
        <v>33.566099999999999</v>
      </c>
      <c r="AO4981">
        <v>66.44</v>
      </c>
      <c r="AP4981" s="13">
        <v>45813</v>
      </c>
      <c r="AQ4981">
        <v>-3</v>
      </c>
      <c r="AR4981">
        <v>1</v>
      </c>
    </row>
    <row r="4982" spans="1:44" x14ac:dyDescent="0.35">
      <c r="A4982" s="12" t="s">
        <v>6048</v>
      </c>
      <c r="B4982" s="12" t="s">
        <v>451</v>
      </c>
      <c r="C4982" s="12" t="s">
        <v>452</v>
      </c>
      <c r="D4982" s="12" t="s">
        <v>175</v>
      </c>
      <c r="E4982" s="12" t="s">
        <v>104</v>
      </c>
      <c r="F4982">
        <v>3</v>
      </c>
      <c r="G4982">
        <v>1</v>
      </c>
      <c r="H4982">
        <v>0</v>
      </c>
      <c r="I4982" s="12" t="s">
        <v>359</v>
      </c>
      <c r="J4982" s="12" t="s">
        <v>360</v>
      </c>
      <c r="K4982" s="12" t="s">
        <v>133</v>
      </c>
      <c r="L4982" s="12" t="s">
        <v>82</v>
      </c>
      <c r="M4982">
        <v>12.65</v>
      </c>
      <c r="N4982" s="12" t="s">
        <v>107</v>
      </c>
      <c r="O4982" s="12" t="s">
        <v>108</v>
      </c>
      <c r="P4982" s="12" t="s">
        <v>109</v>
      </c>
      <c r="Q4982" s="13">
        <v>45799</v>
      </c>
      <c r="R4982" s="13">
        <v>45815</v>
      </c>
      <c r="S4982">
        <v>2025</v>
      </c>
      <c r="T4982" s="12" t="s">
        <v>5886</v>
      </c>
      <c r="U4982">
        <v>43</v>
      </c>
      <c r="V4982">
        <v>229.9803</v>
      </c>
      <c r="W4982">
        <v>239.38</v>
      </c>
      <c r="X4982">
        <v>0</v>
      </c>
      <c r="Y4982">
        <v>0</v>
      </c>
      <c r="Z4982">
        <v>9889.15</v>
      </c>
      <c r="AA4982">
        <v>10128.530000000001</v>
      </c>
      <c r="AB4982" s="12" t="s">
        <v>5244</v>
      </c>
      <c r="AC4982">
        <v>216.9588</v>
      </c>
      <c r="AD4982">
        <v>1</v>
      </c>
      <c r="AE4982">
        <v>1</v>
      </c>
      <c r="AF4982">
        <v>559.91999999999996</v>
      </c>
      <c r="AG4982">
        <v>9329.23</v>
      </c>
      <c r="AH4982">
        <v>43</v>
      </c>
      <c r="AI4982">
        <v>42</v>
      </c>
      <c r="AJ4982">
        <v>1</v>
      </c>
      <c r="AK4982">
        <v>1</v>
      </c>
      <c r="AL4982">
        <v>1</v>
      </c>
      <c r="AM4982">
        <v>97.67</v>
      </c>
      <c r="AN4982">
        <v>241.15549999999999</v>
      </c>
      <c r="AO4982">
        <v>229.98</v>
      </c>
      <c r="AP4982" s="13">
        <v>45813</v>
      </c>
      <c r="AQ4982">
        <v>-2</v>
      </c>
      <c r="AR4982">
        <v>1</v>
      </c>
    </row>
    <row r="4983" spans="1:44" x14ac:dyDescent="0.35">
      <c r="A4983" s="12" t="s">
        <v>6049</v>
      </c>
      <c r="B4983" s="12" t="s">
        <v>952</v>
      </c>
      <c r="C4983" s="12" t="s">
        <v>953</v>
      </c>
      <c r="D4983" s="12" t="s">
        <v>64</v>
      </c>
      <c r="E4983" s="12" t="s">
        <v>142</v>
      </c>
      <c r="F4983">
        <v>1</v>
      </c>
      <c r="G4983">
        <v>8</v>
      </c>
      <c r="H4983">
        <v>1</v>
      </c>
      <c r="I4983" s="12" t="s">
        <v>131</v>
      </c>
      <c r="J4983" s="12" t="s">
        <v>132</v>
      </c>
      <c r="K4983" s="12" t="s">
        <v>133</v>
      </c>
      <c r="L4983" s="12" t="s">
        <v>134</v>
      </c>
      <c r="M4983">
        <v>1.51</v>
      </c>
      <c r="N4983" s="12" t="s">
        <v>97</v>
      </c>
      <c r="O4983" s="12" t="s">
        <v>98</v>
      </c>
      <c r="P4983" s="12" t="s">
        <v>72</v>
      </c>
      <c r="Q4983" s="13">
        <v>45799</v>
      </c>
      <c r="R4983" s="13">
        <v>45846</v>
      </c>
      <c r="S4983">
        <v>2025</v>
      </c>
      <c r="T4983" s="12" t="s">
        <v>5886</v>
      </c>
      <c r="U4983">
        <v>717</v>
      </c>
      <c r="V4983">
        <v>31.074300000000001</v>
      </c>
      <c r="W4983">
        <v>502.83</v>
      </c>
      <c r="X4983">
        <v>0</v>
      </c>
      <c r="Y4983">
        <v>0</v>
      </c>
      <c r="Z4983">
        <v>22280.27</v>
      </c>
      <c r="AA4983">
        <v>22783.1</v>
      </c>
      <c r="AB4983" s="12" t="s">
        <v>6001</v>
      </c>
      <c r="AC4983">
        <v>31.074300000000001</v>
      </c>
      <c r="AD4983">
        <v>1</v>
      </c>
      <c r="AE4983">
        <v>1</v>
      </c>
      <c r="AF4983">
        <v>0</v>
      </c>
      <c r="AG4983">
        <v>22280.27</v>
      </c>
      <c r="AH4983">
        <v>717</v>
      </c>
      <c r="AI4983">
        <v>709</v>
      </c>
      <c r="AJ4983">
        <v>8</v>
      </c>
      <c r="AK4983">
        <v>1</v>
      </c>
      <c r="AL4983">
        <v>1</v>
      </c>
      <c r="AM4983">
        <v>98.88</v>
      </c>
      <c r="AN4983">
        <v>32.134099999999997</v>
      </c>
      <c r="AO4983">
        <v>248.59</v>
      </c>
      <c r="AP4983" s="13">
        <v>45843</v>
      </c>
      <c r="AQ4983">
        <v>-3</v>
      </c>
      <c r="AR4983">
        <v>1</v>
      </c>
    </row>
    <row r="4984" spans="1:44" x14ac:dyDescent="0.35">
      <c r="A4984" s="12" t="s">
        <v>6050</v>
      </c>
      <c r="B4984" s="12" t="s">
        <v>238</v>
      </c>
      <c r="C4984" s="12" t="s">
        <v>239</v>
      </c>
      <c r="D4984" s="12" t="s">
        <v>122</v>
      </c>
      <c r="E4984" s="12" t="s">
        <v>65</v>
      </c>
      <c r="F4984">
        <v>3</v>
      </c>
      <c r="G4984">
        <v>4</v>
      </c>
      <c r="H4984">
        <v>0</v>
      </c>
      <c r="I4984" s="12" t="s">
        <v>79</v>
      </c>
      <c r="J4984" s="12" t="s">
        <v>80</v>
      </c>
      <c r="K4984" s="12" t="s">
        <v>81</v>
      </c>
      <c r="L4984" s="12" t="s">
        <v>82</v>
      </c>
      <c r="M4984">
        <v>12.07</v>
      </c>
      <c r="N4984" s="12" t="s">
        <v>70</v>
      </c>
      <c r="O4984" s="12" t="s">
        <v>71</v>
      </c>
      <c r="P4984" s="12" t="s">
        <v>72</v>
      </c>
      <c r="Q4984" s="13">
        <v>45799</v>
      </c>
      <c r="R4984" s="13">
        <v>45824</v>
      </c>
      <c r="S4984">
        <v>2025</v>
      </c>
      <c r="T4984" s="12" t="s">
        <v>5886</v>
      </c>
      <c r="U4984">
        <v>678</v>
      </c>
      <c r="V4984">
        <v>34.205399999999997</v>
      </c>
      <c r="W4984">
        <v>139.57</v>
      </c>
      <c r="X4984">
        <v>0</v>
      </c>
      <c r="Y4984">
        <v>0</v>
      </c>
      <c r="Z4984">
        <v>23191.26</v>
      </c>
      <c r="AA4984">
        <v>23330.83</v>
      </c>
      <c r="AB4984" s="12" t="s">
        <v>5214</v>
      </c>
      <c r="AC4984">
        <v>34.205399999999997</v>
      </c>
      <c r="AD4984">
        <v>1</v>
      </c>
      <c r="AE4984">
        <v>1</v>
      </c>
      <c r="AF4984">
        <v>0</v>
      </c>
      <c r="AG4984">
        <v>23191.26</v>
      </c>
      <c r="AH4984">
        <v>678</v>
      </c>
      <c r="AI4984">
        <v>674</v>
      </c>
      <c r="AJ4984">
        <v>4</v>
      </c>
      <c r="AK4984">
        <v>1</v>
      </c>
      <c r="AL4984">
        <v>1</v>
      </c>
      <c r="AM4984">
        <v>99.41</v>
      </c>
      <c r="AN4984">
        <v>34.615499999999997</v>
      </c>
      <c r="AO4984">
        <v>136.82</v>
      </c>
      <c r="AP4984" s="13">
        <v>45824</v>
      </c>
      <c r="AQ4984">
        <v>0</v>
      </c>
      <c r="AR4984">
        <v>1</v>
      </c>
    </row>
    <row r="4985" spans="1:44" x14ac:dyDescent="0.35">
      <c r="A4985" s="12" t="s">
        <v>6051</v>
      </c>
      <c r="B4985" s="12" t="s">
        <v>350</v>
      </c>
      <c r="C4985" s="12" t="s">
        <v>351</v>
      </c>
      <c r="D4985" s="12" t="s">
        <v>64</v>
      </c>
      <c r="E4985" s="12" t="s">
        <v>104</v>
      </c>
      <c r="F4985">
        <v>3</v>
      </c>
      <c r="G4985">
        <v>1</v>
      </c>
      <c r="H4985">
        <v>0</v>
      </c>
      <c r="I4985" s="12" t="s">
        <v>486</v>
      </c>
      <c r="J4985" s="12" t="s">
        <v>487</v>
      </c>
      <c r="K4985" s="12" t="s">
        <v>125</v>
      </c>
      <c r="L4985" s="12" t="s">
        <v>69</v>
      </c>
      <c r="M4985">
        <v>36.86</v>
      </c>
      <c r="N4985" s="12" t="s">
        <v>70</v>
      </c>
      <c r="O4985" s="12" t="s">
        <v>71</v>
      </c>
      <c r="P4985" s="12" t="s">
        <v>72</v>
      </c>
      <c r="Q4985" s="13">
        <v>45800</v>
      </c>
      <c r="R4985" s="13">
        <v>45814</v>
      </c>
      <c r="S4985">
        <v>2025</v>
      </c>
      <c r="T4985" s="12" t="s">
        <v>5886</v>
      </c>
      <c r="U4985">
        <v>245</v>
      </c>
      <c r="V4985">
        <v>8.2452000000000005</v>
      </c>
      <c r="W4985">
        <v>36.29</v>
      </c>
      <c r="X4985">
        <v>0</v>
      </c>
      <c r="Y4985">
        <v>0</v>
      </c>
      <c r="Z4985">
        <v>2020.07</v>
      </c>
      <c r="AA4985">
        <v>2056.36</v>
      </c>
      <c r="AB4985" s="12" t="s">
        <v>5628</v>
      </c>
      <c r="AC4985">
        <v>8.2452000000000005</v>
      </c>
      <c r="AD4985">
        <v>1</v>
      </c>
      <c r="AE4985">
        <v>1</v>
      </c>
      <c r="AF4985">
        <v>0</v>
      </c>
      <c r="AG4985">
        <v>2020.07</v>
      </c>
      <c r="AH4985">
        <v>245</v>
      </c>
      <c r="AI4985">
        <v>242</v>
      </c>
      <c r="AJ4985">
        <v>3</v>
      </c>
      <c r="AK4985">
        <v>1</v>
      </c>
      <c r="AL4985">
        <v>1</v>
      </c>
      <c r="AM4985">
        <v>98.78</v>
      </c>
      <c r="AN4985">
        <v>8.4974000000000007</v>
      </c>
      <c r="AO4985">
        <v>24.74</v>
      </c>
      <c r="AP4985" s="13">
        <v>45821</v>
      </c>
      <c r="AQ4985">
        <v>7</v>
      </c>
      <c r="AR4985">
        <v>0</v>
      </c>
    </row>
    <row r="4986" spans="1:44" x14ac:dyDescent="0.35">
      <c r="A4986" s="12" t="s">
        <v>6052</v>
      </c>
      <c r="B4986" s="12" t="s">
        <v>1666</v>
      </c>
      <c r="C4986" s="12" t="s">
        <v>1667</v>
      </c>
      <c r="D4986" s="12" t="s">
        <v>78</v>
      </c>
      <c r="E4986" s="12" t="s">
        <v>65</v>
      </c>
      <c r="F4986">
        <v>2</v>
      </c>
      <c r="G4986">
        <v>3</v>
      </c>
      <c r="H4986">
        <v>0</v>
      </c>
      <c r="I4986" s="12" t="s">
        <v>310</v>
      </c>
      <c r="J4986" s="12" t="s">
        <v>311</v>
      </c>
      <c r="K4986" s="12" t="s">
        <v>81</v>
      </c>
      <c r="L4986" s="12" t="s">
        <v>69</v>
      </c>
      <c r="M4986">
        <v>28.3</v>
      </c>
      <c r="N4986" s="12" t="s">
        <v>70</v>
      </c>
      <c r="O4986" s="12" t="s">
        <v>71</v>
      </c>
      <c r="P4986" s="12" t="s">
        <v>72</v>
      </c>
      <c r="Q4986" s="13">
        <v>45800</v>
      </c>
      <c r="R4986" s="13">
        <v>45837</v>
      </c>
      <c r="S4986">
        <v>2025</v>
      </c>
      <c r="T4986" s="12" t="s">
        <v>5886</v>
      </c>
      <c r="U4986">
        <v>280</v>
      </c>
      <c r="V4986">
        <v>71.7453</v>
      </c>
      <c r="W4986">
        <v>213.52</v>
      </c>
      <c r="X4986">
        <v>0</v>
      </c>
      <c r="Y4986">
        <v>0</v>
      </c>
      <c r="Z4986">
        <v>20088.68</v>
      </c>
      <c r="AA4986">
        <v>20302.2</v>
      </c>
      <c r="AB4986" s="12" t="s">
        <v>5785</v>
      </c>
      <c r="AC4986">
        <v>71.7453</v>
      </c>
      <c r="AD4986">
        <v>1</v>
      </c>
      <c r="AE4986">
        <v>1</v>
      </c>
      <c r="AF4986">
        <v>0</v>
      </c>
      <c r="AG4986">
        <v>20088.68</v>
      </c>
      <c r="AH4986">
        <v>280</v>
      </c>
      <c r="AI4986">
        <v>273</v>
      </c>
      <c r="AJ4986">
        <v>7</v>
      </c>
      <c r="AK4986">
        <v>1</v>
      </c>
      <c r="AL4986">
        <v>1</v>
      </c>
      <c r="AM4986">
        <v>97.5</v>
      </c>
      <c r="AN4986">
        <v>74.367000000000004</v>
      </c>
      <c r="AO4986">
        <v>502.22</v>
      </c>
      <c r="AP4986" s="13">
        <v>45837</v>
      </c>
      <c r="AQ4986">
        <v>0</v>
      </c>
      <c r="AR4986">
        <v>1</v>
      </c>
    </row>
    <row r="4987" spans="1:44" x14ac:dyDescent="0.35">
      <c r="A4987" s="12" t="s">
        <v>6053</v>
      </c>
      <c r="B4987" s="12" t="s">
        <v>670</v>
      </c>
      <c r="C4987" s="12" t="s">
        <v>671</v>
      </c>
      <c r="D4987" s="12" t="s">
        <v>175</v>
      </c>
      <c r="E4987" s="12" t="s">
        <v>142</v>
      </c>
      <c r="F4987">
        <v>2</v>
      </c>
      <c r="G4987">
        <v>9</v>
      </c>
      <c r="H4987">
        <v>0</v>
      </c>
      <c r="I4987" s="12" t="s">
        <v>105</v>
      </c>
      <c r="J4987" s="12" t="s">
        <v>106</v>
      </c>
      <c r="K4987" s="12" t="s">
        <v>81</v>
      </c>
      <c r="L4987" s="12" t="s">
        <v>96</v>
      </c>
      <c r="M4987">
        <v>5.01</v>
      </c>
      <c r="N4987" s="12" t="s">
        <v>107</v>
      </c>
      <c r="O4987" s="12" t="s">
        <v>108</v>
      </c>
      <c r="P4987" s="12" t="s">
        <v>109</v>
      </c>
      <c r="Q4987" s="13">
        <v>45800</v>
      </c>
      <c r="R4987" s="13">
        <v>45850</v>
      </c>
      <c r="S4987">
        <v>2025</v>
      </c>
      <c r="T4987" s="12" t="s">
        <v>5886</v>
      </c>
      <c r="U4987">
        <v>127</v>
      </c>
      <c r="V4987">
        <v>160.65710000000001</v>
      </c>
      <c r="W4987">
        <v>452.37</v>
      </c>
      <c r="X4987">
        <v>0</v>
      </c>
      <c r="Y4987">
        <v>0</v>
      </c>
      <c r="Z4987">
        <v>20403.45</v>
      </c>
      <c r="AA4987">
        <v>20855.82</v>
      </c>
      <c r="AB4987" s="12" t="s">
        <v>201</v>
      </c>
      <c r="AD4987">
        <v>0</v>
      </c>
      <c r="AE4987">
        <v>0</v>
      </c>
      <c r="AH4987">
        <v>127</v>
      </c>
      <c r="AI4987">
        <v>126</v>
      </c>
      <c r="AJ4987">
        <v>1</v>
      </c>
      <c r="AK4987">
        <v>1</v>
      </c>
      <c r="AL4987">
        <v>1</v>
      </c>
      <c r="AM4987">
        <v>99.21</v>
      </c>
      <c r="AN4987">
        <v>165.5224</v>
      </c>
      <c r="AO4987">
        <v>160.66</v>
      </c>
      <c r="AP4987" s="13">
        <v>45847</v>
      </c>
      <c r="AQ4987">
        <v>-3</v>
      </c>
      <c r="AR4987">
        <v>1</v>
      </c>
    </row>
    <row r="4988" spans="1:44" x14ac:dyDescent="0.35">
      <c r="A4988" s="12" t="s">
        <v>6054</v>
      </c>
      <c r="B4988" s="12" t="s">
        <v>472</v>
      </c>
      <c r="C4988" s="12" t="s">
        <v>473</v>
      </c>
      <c r="D4988" s="12" t="s">
        <v>122</v>
      </c>
      <c r="E4988" s="12" t="s">
        <v>142</v>
      </c>
      <c r="F4988">
        <v>2</v>
      </c>
      <c r="G4988">
        <v>9</v>
      </c>
      <c r="H4988">
        <v>0</v>
      </c>
      <c r="I4988" s="12" t="s">
        <v>209</v>
      </c>
      <c r="J4988" s="12" t="s">
        <v>210</v>
      </c>
      <c r="K4988" s="12" t="s">
        <v>133</v>
      </c>
      <c r="L4988" s="12" t="s">
        <v>96</v>
      </c>
      <c r="M4988">
        <v>7.82</v>
      </c>
      <c r="N4988" s="12" t="s">
        <v>70</v>
      </c>
      <c r="O4988" s="12" t="s">
        <v>71</v>
      </c>
      <c r="P4988" s="12" t="s">
        <v>72</v>
      </c>
      <c r="Q4988" s="13">
        <v>45803</v>
      </c>
      <c r="R4988" s="13">
        <v>45853</v>
      </c>
      <c r="S4988">
        <v>2025</v>
      </c>
      <c r="T4988" s="12" t="s">
        <v>5886</v>
      </c>
      <c r="U4988">
        <v>1784</v>
      </c>
      <c r="V4988">
        <v>48.246400000000001</v>
      </c>
      <c r="W4988">
        <v>1306.99</v>
      </c>
      <c r="X4988">
        <v>0</v>
      </c>
      <c r="Y4988">
        <v>0</v>
      </c>
      <c r="Z4988">
        <v>86071.58</v>
      </c>
      <c r="AA4988">
        <v>87378.57</v>
      </c>
      <c r="AB4988" s="12" t="s">
        <v>201</v>
      </c>
      <c r="AD4988">
        <v>0</v>
      </c>
      <c r="AE4988">
        <v>0</v>
      </c>
      <c r="AH4988">
        <v>1784</v>
      </c>
      <c r="AI4988">
        <v>1777</v>
      </c>
      <c r="AJ4988">
        <v>7</v>
      </c>
      <c r="AK4988">
        <v>1</v>
      </c>
      <c r="AL4988">
        <v>1</v>
      </c>
      <c r="AM4988">
        <v>99.61</v>
      </c>
      <c r="AN4988">
        <v>49.171999999999997</v>
      </c>
      <c r="AO4988">
        <v>337.72</v>
      </c>
      <c r="AP4988" s="13">
        <v>45851</v>
      </c>
      <c r="AQ4988">
        <v>-2</v>
      </c>
      <c r="AR4988">
        <v>1</v>
      </c>
    </row>
    <row r="4989" spans="1:44" x14ac:dyDescent="0.35">
      <c r="A4989" s="12" t="s">
        <v>6055</v>
      </c>
      <c r="B4989" s="12" t="s">
        <v>76</v>
      </c>
      <c r="C4989" s="12" t="s">
        <v>77</v>
      </c>
      <c r="D4989" s="12" t="s">
        <v>78</v>
      </c>
      <c r="E4989" s="12" t="s">
        <v>65</v>
      </c>
      <c r="F4989">
        <v>2</v>
      </c>
      <c r="G4989">
        <v>4</v>
      </c>
      <c r="H4989">
        <v>0</v>
      </c>
      <c r="I4989" s="12" t="s">
        <v>79</v>
      </c>
      <c r="J4989" s="12" t="s">
        <v>80</v>
      </c>
      <c r="K4989" s="12" t="s">
        <v>81</v>
      </c>
      <c r="L4989" s="12" t="s">
        <v>82</v>
      </c>
      <c r="M4989">
        <v>12.07</v>
      </c>
      <c r="N4989" s="12" t="s">
        <v>70</v>
      </c>
      <c r="O4989" s="12" t="s">
        <v>71</v>
      </c>
      <c r="P4989" s="12" t="s">
        <v>72</v>
      </c>
      <c r="Q4989" s="13">
        <v>45803</v>
      </c>
      <c r="R4989" s="13">
        <v>45838</v>
      </c>
      <c r="S4989">
        <v>2025</v>
      </c>
      <c r="T4989" s="12" t="s">
        <v>5886</v>
      </c>
      <c r="U4989">
        <v>254</v>
      </c>
      <c r="V4989">
        <v>41.508600000000001</v>
      </c>
      <c r="W4989">
        <v>220.21</v>
      </c>
      <c r="X4989">
        <v>0</v>
      </c>
      <c r="Y4989">
        <v>0</v>
      </c>
      <c r="Z4989">
        <v>10543.18</v>
      </c>
      <c r="AA4989">
        <v>10763.39</v>
      </c>
      <c r="AB4989" s="12" t="s">
        <v>5427</v>
      </c>
      <c r="AC4989">
        <v>44.0946</v>
      </c>
      <c r="AD4989">
        <v>1</v>
      </c>
      <c r="AE4989">
        <v>1</v>
      </c>
      <c r="AF4989">
        <v>-656.84</v>
      </c>
      <c r="AG4989">
        <v>11200.03</v>
      </c>
      <c r="AH4989">
        <v>254</v>
      </c>
      <c r="AI4989">
        <v>252</v>
      </c>
      <c r="AJ4989">
        <v>2</v>
      </c>
      <c r="AK4989">
        <v>1</v>
      </c>
      <c r="AL4989">
        <v>1</v>
      </c>
      <c r="AM4989">
        <v>99.21</v>
      </c>
      <c r="AN4989">
        <v>42.7119</v>
      </c>
      <c r="AO4989">
        <v>83.02</v>
      </c>
      <c r="AP4989" s="13">
        <v>45838</v>
      </c>
      <c r="AQ4989">
        <v>0</v>
      </c>
      <c r="AR4989">
        <v>1</v>
      </c>
    </row>
    <row r="4990" spans="1:44" x14ac:dyDescent="0.35">
      <c r="A4990" s="12" t="s">
        <v>6056</v>
      </c>
      <c r="B4990" s="12" t="s">
        <v>62</v>
      </c>
      <c r="C4990" s="12" t="s">
        <v>63</v>
      </c>
      <c r="D4990" s="12" t="s">
        <v>64</v>
      </c>
      <c r="E4990" s="12" t="s">
        <v>65</v>
      </c>
      <c r="F4990">
        <v>1</v>
      </c>
      <c r="G4990">
        <v>2</v>
      </c>
      <c r="H4990">
        <v>1</v>
      </c>
      <c r="I4990" s="12" t="s">
        <v>66</v>
      </c>
      <c r="J4990" s="12" t="s">
        <v>67</v>
      </c>
      <c r="K4990" s="12" t="s">
        <v>68</v>
      </c>
      <c r="L4990" s="12" t="s">
        <v>69</v>
      </c>
      <c r="M4990">
        <v>17.66</v>
      </c>
      <c r="N4990" s="12" t="s">
        <v>97</v>
      </c>
      <c r="O4990" s="12" t="s">
        <v>98</v>
      </c>
      <c r="P4990" s="12" t="s">
        <v>72</v>
      </c>
      <c r="Q4990" s="13">
        <v>45803</v>
      </c>
      <c r="R4990" s="13">
        <v>45831</v>
      </c>
      <c r="S4990">
        <v>2025</v>
      </c>
      <c r="T4990" s="12" t="s">
        <v>5886</v>
      </c>
      <c r="U4990">
        <v>455</v>
      </c>
      <c r="V4990">
        <v>23.887599999999999</v>
      </c>
      <c r="W4990">
        <v>238.95</v>
      </c>
      <c r="X4990">
        <v>0</v>
      </c>
      <c r="Y4990">
        <v>0</v>
      </c>
      <c r="Z4990">
        <v>10868.86</v>
      </c>
      <c r="AA4990">
        <v>11107.81</v>
      </c>
      <c r="AB4990" s="12" t="s">
        <v>201</v>
      </c>
      <c r="AD4990">
        <v>0</v>
      </c>
      <c r="AE4990">
        <v>0</v>
      </c>
      <c r="AH4990">
        <v>455</v>
      </c>
      <c r="AI4990">
        <v>452</v>
      </c>
      <c r="AJ4990">
        <v>3</v>
      </c>
      <c r="AK4990">
        <v>1</v>
      </c>
      <c r="AL4990">
        <v>1</v>
      </c>
      <c r="AM4990">
        <v>99.34</v>
      </c>
      <c r="AN4990">
        <v>24.5748</v>
      </c>
      <c r="AO4990">
        <v>71.66</v>
      </c>
      <c r="AP4990" s="13">
        <v>45830</v>
      </c>
      <c r="AQ4990">
        <v>-1</v>
      </c>
      <c r="AR4990">
        <v>1</v>
      </c>
    </row>
    <row r="4991" spans="1:44" x14ac:dyDescent="0.35">
      <c r="A4991" s="12" t="s">
        <v>6057</v>
      </c>
      <c r="B4991" s="12" t="s">
        <v>408</v>
      </c>
      <c r="C4991" s="12" t="s">
        <v>409</v>
      </c>
      <c r="D4991" s="12" t="s">
        <v>130</v>
      </c>
      <c r="E4991" s="12" t="s">
        <v>65</v>
      </c>
      <c r="F4991">
        <v>3</v>
      </c>
      <c r="G4991">
        <v>5</v>
      </c>
      <c r="H4991">
        <v>0</v>
      </c>
      <c r="I4991" s="12" t="s">
        <v>105</v>
      </c>
      <c r="J4991" s="12" t="s">
        <v>106</v>
      </c>
      <c r="K4991" s="12" t="s">
        <v>81</v>
      </c>
      <c r="L4991" s="12" t="s">
        <v>96</v>
      </c>
      <c r="M4991">
        <v>5.01</v>
      </c>
      <c r="N4991" s="12" t="s">
        <v>135</v>
      </c>
      <c r="O4991" s="12" t="s">
        <v>136</v>
      </c>
      <c r="P4991" s="12" t="s">
        <v>137</v>
      </c>
      <c r="Q4991" s="13">
        <v>45803</v>
      </c>
      <c r="R4991" s="13">
        <v>45841</v>
      </c>
      <c r="S4991">
        <v>2025</v>
      </c>
      <c r="T4991" s="12" t="s">
        <v>5886</v>
      </c>
      <c r="U4991">
        <v>146</v>
      </c>
      <c r="V4991">
        <v>724.06979999999999</v>
      </c>
      <c r="W4991">
        <v>744.75</v>
      </c>
      <c r="X4991">
        <v>0</v>
      </c>
      <c r="Y4991">
        <v>0</v>
      </c>
      <c r="Z4991">
        <v>105714.19</v>
      </c>
      <c r="AA4991">
        <v>106458.94</v>
      </c>
      <c r="AB4991" s="12" t="s">
        <v>5490</v>
      </c>
      <c r="AC4991">
        <v>724.06979999999999</v>
      </c>
      <c r="AD4991">
        <v>1</v>
      </c>
      <c r="AE4991">
        <v>1</v>
      </c>
      <c r="AF4991">
        <v>0</v>
      </c>
      <c r="AG4991">
        <v>105714.19</v>
      </c>
      <c r="AH4991">
        <v>146</v>
      </c>
      <c r="AI4991">
        <v>146</v>
      </c>
      <c r="AJ4991">
        <v>0</v>
      </c>
      <c r="AK4991">
        <v>1</v>
      </c>
      <c r="AL4991">
        <v>1</v>
      </c>
      <c r="AM4991">
        <v>100</v>
      </c>
      <c r="AN4991">
        <v>729.17079999999999</v>
      </c>
      <c r="AO4991">
        <v>0</v>
      </c>
      <c r="AP4991" s="13">
        <v>45838</v>
      </c>
      <c r="AQ4991">
        <v>-3</v>
      </c>
      <c r="AR4991">
        <v>1</v>
      </c>
    </row>
    <row r="4992" spans="1:44" x14ac:dyDescent="0.35">
      <c r="A4992" s="12" t="s">
        <v>6058</v>
      </c>
      <c r="B4992" s="12" t="s">
        <v>477</v>
      </c>
      <c r="C4992" s="12" t="s">
        <v>478</v>
      </c>
      <c r="D4992" s="12" t="s">
        <v>130</v>
      </c>
      <c r="E4992" s="12" t="s">
        <v>104</v>
      </c>
      <c r="F4992">
        <v>3</v>
      </c>
      <c r="G4992">
        <v>1</v>
      </c>
      <c r="H4992">
        <v>0</v>
      </c>
      <c r="I4992" s="12" t="s">
        <v>380</v>
      </c>
      <c r="J4992" s="12" t="s">
        <v>381</v>
      </c>
      <c r="K4992" s="12" t="s">
        <v>89</v>
      </c>
      <c r="L4992" s="12" t="s">
        <v>96</v>
      </c>
      <c r="M4992">
        <v>10.210000000000001</v>
      </c>
      <c r="N4992" s="12" t="s">
        <v>135</v>
      </c>
      <c r="O4992" s="12" t="s">
        <v>136</v>
      </c>
      <c r="P4992" s="12" t="s">
        <v>137</v>
      </c>
      <c r="Q4992" s="13">
        <v>45803</v>
      </c>
      <c r="R4992" s="13">
        <v>45828</v>
      </c>
      <c r="S4992">
        <v>2025</v>
      </c>
      <c r="T4992" s="12" t="s">
        <v>5886</v>
      </c>
      <c r="U4992">
        <v>116</v>
      </c>
      <c r="V4992">
        <v>656.68050000000005</v>
      </c>
      <c r="W4992">
        <v>1613.05</v>
      </c>
      <c r="X4992">
        <v>0</v>
      </c>
      <c r="Y4992">
        <v>0</v>
      </c>
      <c r="Z4992">
        <v>76174.94</v>
      </c>
      <c r="AA4992">
        <v>77787.990000000005</v>
      </c>
      <c r="AB4992" s="12" t="s">
        <v>5872</v>
      </c>
      <c r="AC4992">
        <v>656.68050000000005</v>
      </c>
      <c r="AD4992">
        <v>1</v>
      </c>
      <c r="AE4992">
        <v>1</v>
      </c>
      <c r="AF4992">
        <v>0</v>
      </c>
      <c r="AG4992">
        <v>76174.94</v>
      </c>
      <c r="AH4992">
        <v>116</v>
      </c>
      <c r="AI4992">
        <v>116</v>
      </c>
      <c r="AJ4992">
        <v>0</v>
      </c>
      <c r="AK4992">
        <v>1</v>
      </c>
      <c r="AL4992">
        <v>1</v>
      </c>
      <c r="AM4992">
        <v>100</v>
      </c>
      <c r="AN4992">
        <v>670.58609999999999</v>
      </c>
      <c r="AO4992">
        <v>0</v>
      </c>
      <c r="AP4992" s="13">
        <v>45827</v>
      </c>
      <c r="AQ4992">
        <v>-1</v>
      </c>
      <c r="AR4992">
        <v>1</v>
      </c>
    </row>
    <row r="4993" spans="1:44" x14ac:dyDescent="0.35">
      <c r="A4993" s="12" t="s">
        <v>6059</v>
      </c>
      <c r="B4993" s="12" t="s">
        <v>990</v>
      </c>
      <c r="C4993" s="12" t="s">
        <v>991</v>
      </c>
      <c r="D4993" s="12" t="s">
        <v>122</v>
      </c>
      <c r="E4993" s="12" t="s">
        <v>142</v>
      </c>
      <c r="F4993">
        <v>1</v>
      </c>
      <c r="G4993">
        <v>6</v>
      </c>
      <c r="H4993">
        <v>1</v>
      </c>
      <c r="I4993" s="12" t="s">
        <v>217</v>
      </c>
      <c r="J4993" s="12" t="s">
        <v>218</v>
      </c>
      <c r="K4993" s="12" t="s">
        <v>68</v>
      </c>
      <c r="L4993" s="12" t="s">
        <v>82</v>
      </c>
      <c r="M4993">
        <v>14.24</v>
      </c>
      <c r="N4993" s="12" t="s">
        <v>97</v>
      </c>
      <c r="O4993" s="12" t="s">
        <v>98</v>
      </c>
      <c r="P4993" s="12" t="s">
        <v>72</v>
      </c>
      <c r="Q4993" s="13">
        <v>45803</v>
      </c>
      <c r="R4993" s="13">
        <v>45846</v>
      </c>
      <c r="S4993">
        <v>2025</v>
      </c>
      <c r="T4993" s="12" t="s">
        <v>5886</v>
      </c>
      <c r="U4993">
        <v>1063</v>
      </c>
      <c r="V4993">
        <v>34.897399999999998</v>
      </c>
      <c r="W4993">
        <v>686.05</v>
      </c>
      <c r="X4993">
        <v>0</v>
      </c>
      <c r="Y4993">
        <v>0</v>
      </c>
      <c r="Z4993">
        <v>37095.94</v>
      </c>
      <c r="AA4993">
        <v>37781.99</v>
      </c>
      <c r="AB4993" s="12" t="s">
        <v>5831</v>
      </c>
      <c r="AC4993">
        <v>33.5533</v>
      </c>
      <c r="AD4993">
        <v>1</v>
      </c>
      <c r="AE4993">
        <v>1</v>
      </c>
      <c r="AF4993">
        <v>1428.78</v>
      </c>
      <c r="AG4993">
        <v>35667.160000000003</v>
      </c>
      <c r="AH4993">
        <v>1063</v>
      </c>
      <c r="AI4993">
        <v>1059</v>
      </c>
      <c r="AJ4993">
        <v>4</v>
      </c>
      <c r="AK4993">
        <v>1</v>
      </c>
      <c r="AL4993">
        <v>1</v>
      </c>
      <c r="AM4993">
        <v>99.62</v>
      </c>
      <c r="AN4993">
        <v>35.677</v>
      </c>
      <c r="AO4993">
        <v>139.59</v>
      </c>
      <c r="AP4993" s="13">
        <v>45846</v>
      </c>
      <c r="AQ4993">
        <v>0</v>
      </c>
      <c r="AR4993">
        <v>1</v>
      </c>
    </row>
    <row r="4994" spans="1:44" x14ac:dyDescent="0.35">
      <c r="A4994" s="12" t="s">
        <v>6060</v>
      </c>
      <c r="B4994" s="12" t="s">
        <v>978</v>
      </c>
      <c r="C4994" s="12" t="s">
        <v>979</v>
      </c>
      <c r="D4994" s="12" t="s">
        <v>122</v>
      </c>
      <c r="E4994" s="12" t="s">
        <v>65</v>
      </c>
      <c r="F4994">
        <v>1</v>
      </c>
      <c r="G4994">
        <v>2</v>
      </c>
      <c r="H4994">
        <v>1</v>
      </c>
      <c r="I4994" s="12" t="s">
        <v>310</v>
      </c>
      <c r="J4994" s="12" t="s">
        <v>311</v>
      </c>
      <c r="K4994" s="12" t="s">
        <v>81</v>
      </c>
      <c r="L4994" s="12" t="s">
        <v>69</v>
      </c>
      <c r="M4994">
        <v>28.3</v>
      </c>
      <c r="N4994" s="12" t="s">
        <v>70</v>
      </c>
      <c r="O4994" s="12" t="s">
        <v>71</v>
      </c>
      <c r="P4994" s="12" t="s">
        <v>72</v>
      </c>
      <c r="Q4994" s="13">
        <v>45803</v>
      </c>
      <c r="R4994" s="13">
        <v>45826</v>
      </c>
      <c r="S4994">
        <v>2025</v>
      </c>
      <c r="T4994" s="12" t="s">
        <v>5886</v>
      </c>
      <c r="U4994">
        <v>423</v>
      </c>
      <c r="V4994">
        <v>43.4407</v>
      </c>
      <c r="W4994">
        <v>398.95</v>
      </c>
      <c r="X4994">
        <v>0</v>
      </c>
      <c r="Y4994">
        <v>0</v>
      </c>
      <c r="Z4994">
        <v>18375.419999999998</v>
      </c>
      <c r="AA4994">
        <v>18774.37</v>
      </c>
      <c r="AB4994" s="12" t="s">
        <v>6061</v>
      </c>
      <c r="AC4994">
        <v>43.4407</v>
      </c>
      <c r="AD4994">
        <v>1</v>
      </c>
      <c r="AE4994">
        <v>1</v>
      </c>
      <c r="AF4994">
        <v>0</v>
      </c>
      <c r="AG4994">
        <v>18375.419999999998</v>
      </c>
      <c r="AH4994">
        <v>423</v>
      </c>
      <c r="AI4994">
        <v>418</v>
      </c>
      <c r="AJ4994">
        <v>5</v>
      </c>
      <c r="AK4994">
        <v>1</v>
      </c>
      <c r="AL4994">
        <v>1</v>
      </c>
      <c r="AM4994">
        <v>98.82</v>
      </c>
      <c r="AN4994">
        <v>44.9148</v>
      </c>
      <c r="AO4994">
        <v>217.2</v>
      </c>
      <c r="AP4994" s="13">
        <v>45827</v>
      </c>
      <c r="AQ4994">
        <v>1</v>
      </c>
      <c r="AR4994">
        <v>0</v>
      </c>
    </row>
    <row r="4995" spans="1:44" x14ac:dyDescent="0.35">
      <c r="A4995" s="12" t="s">
        <v>6062</v>
      </c>
      <c r="B4995" s="12" t="s">
        <v>207</v>
      </c>
      <c r="C4995" s="12" t="s">
        <v>208</v>
      </c>
      <c r="D4995" s="12" t="s">
        <v>78</v>
      </c>
      <c r="E4995" s="12" t="s">
        <v>65</v>
      </c>
      <c r="F4995">
        <v>2</v>
      </c>
      <c r="G4995">
        <v>3</v>
      </c>
      <c r="H4995">
        <v>0</v>
      </c>
      <c r="I4995" s="12" t="s">
        <v>209</v>
      </c>
      <c r="J4995" s="12" t="s">
        <v>210</v>
      </c>
      <c r="K4995" s="12" t="s">
        <v>133</v>
      </c>
      <c r="L4995" s="12" t="s">
        <v>96</v>
      </c>
      <c r="M4995">
        <v>7.82</v>
      </c>
      <c r="N4995" s="12" t="s">
        <v>97</v>
      </c>
      <c r="O4995" s="12" t="s">
        <v>98</v>
      </c>
      <c r="P4995" s="12" t="s">
        <v>72</v>
      </c>
      <c r="Q4995" s="13">
        <v>45803</v>
      </c>
      <c r="R4995" s="13">
        <v>45837</v>
      </c>
      <c r="S4995">
        <v>2025</v>
      </c>
      <c r="T4995" s="12" t="s">
        <v>5886</v>
      </c>
      <c r="U4995">
        <v>241</v>
      </c>
      <c r="V4995">
        <v>145.1729</v>
      </c>
      <c r="W4995">
        <v>213.31</v>
      </c>
      <c r="X4995">
        <v>0</v>
      </c>
      <c r="Y4995">
        <v>0</v>
      </c>
      <c r="Z4995">
        <v>34986.67</v>
      </c>
      <c r="AA4995">
        <v>35199.980000000003</v>
      </c>
      <c r="AB4995" s="12" t="s">
        <v>5196</v>
      </c>
      <c r="AC4995">
        <v>145.1729</v>
      </c>
      <c r="AD4995">
        <v>1</v>
      </c>
      <c r="AE4995">
        <v>1</v>
      </c>
      <c r="AF4995">
        <v>0</v>
      </c>
      <c r="AG4995">
        <v>34986.67</v>
      </c>
      <c r="AH4995">
        <v>241</v>
      </c>
      <c r="AI4995">
        <v>239</v>
      </c>
      <c r="AJ4995">
        <v>2</v>
      </c>
      <c r="AK4995">
        <v>1</v>
      </c>
      <c r="AL4995">
        <v>1</v>
      </c>
      <c r="AM4995">
        <v>99.17</v>
      </c>
      <c r="AN4995">
        <v>147.28020000000001</v>
      </c>
      <c r="AO4995">
        <v>290.35000000000002</v>
      </c>
      <c r="AP4995" s="13">
        <v>45837</v>
      </c>
      <c r="AQ4995">
        <v>0</v>
      </c>
      <c r="AR4995">
        <v>1</v>
      </c>
    </row>
    <row r="4996" spans="1:44" x14ac:dyDescent="0.35">
      <c r="A4996" s="12" t="s">
        <v>6063</v>
      </c>
      <c r="B4996" s="12" t="s">
        <v>357</v>
      </c>
      <c r="C4996" s="12" t="s">
        <v>358</v>
      </c>
      <c r="D4996" s="12" t="s">
        <v>103</v>
      </c>
      <c r="E4996" s="12" t="s">
        <v>104</v>
      </c>
      <c r="F4996">
        <v>3</v>
      </c>
      <c r="G4996">
        <v>1</v>
      </c>
      <c r="H4996">
        <v>0</v>
      </c>
      <c r="I4996" s="12" t="s">
        <v>151</v>
      </c>
      <c r="J4996" s="12" t="s">
        <v>152</v>
      </c>
      <c r="K4996" s="12" t="s">
        <v>125</v>
      </c>
      <c r="L4996" s="12" t="s">
        <v>69</v>
      </c>
      <c r="M4996">
        <v>36.479999999999997</v>
      </c>
      <c r="N4996" s="12" t="s">
        <v>145</v>
      </c>
      <c r="O4996" s="12" t="s">
        <v>146</v>
      </c>
      <c r="P4996" s="12" t="s">
        <v>109</v>
      </c>
      <c r="Q4996" s="13">
        <v>45804</v>
      </c>
      <c r="R4996" s="13">
        <v>45831</v>
      </c>
      <c r="S4996">
        <v>2025</v>
      </c>
      <c r="T4996" s="12" t="s">
        <v>5886</v>
      </c>
      <c r="U4996">
        <v>127</v>
      </c>
      <c r="V4996">
        <v>105.04300000000001</v>
      </c>
      <c r="W4996">
        <v>313.56</v>
      </c>
      <c r="X4996">
        <v>0</v>
      </c>
      <c r="Y4996">
        <v>0</v>
      </c>
      <c r="Z4996">
        <v>13340.46</v>
      </c>
      <c r="AA4996">
        <v>13654.02</v>
      </c>
      <c r="AB4996" s="12" t="s">
        <v>6064</v>
      </c>
      <c r="AC4996">
        <v>105.04300000000001</v>
      </c>
      <c r="AD4996">
        <v>1</v>
      </c>
      <c r="AE4996">
        <v>1</v>
      </c>
      <c r="AF4996">
        <v>0</v>
      </c>
      <c r="AG4996">
        <v>13340.46</v>
      </c>
      <c r="AH4996">
        <v>127</v>
      </c>
      <c r="AI4996">
        <v>126</v>
      </c>
      <c r="AJ4996">
        <v>1</v>
      </c>
      <c r="AK4996">
        <v>1</v>
      </c>
      <c r="AL4996">
        <v>1</v>
      </c>
      <c r="AM4996">
        <v>99.21</v>
      </c>
      <c r="AN4996">
        <v>108.3652</v>
      </c>
      <c r="AO4996">
        <v>105.04</v>
      </c>
      <c r="AP4996" s="13">
        <v>45828</v>
      </c>
      <c r="AQ4996">
        <v>-3</v>
      </c>
      <c r="AR4996">
        <v>1</v>
      </c>
    </row>
    <row r="4997" spans="1:44" x14ac:dyDescent="0.35">
      <c r="A4997" s="12" t="s">
        <v>6065</v>
      </c>
      <c r="B4997" s="12" t="s">
        <v>855</v>
      </c>
      <c r="C4997" s="12" t="s">
        <v>856</v>
      </c>
      <c r="D4997" s="12" t="s">
        <v>269</v>
      </c>
      <c r="E4997" s="12" t="s">
        <v>65</v>
      </c>
      <c r="F4997">
        <v>3</v>
      </c>
      <c r="G4997">
        <v>5</v>
      </c>
      <c r="H4997">
        <v>0</v>
      </c>
      <c r="I4997" s="12" t="s">
        <v>94</v>
      </c>
      <c r="J4997" s="12" t="s">
        <v>95</v>
      </c>
      <c r="K4997" s="12" t="s">
        <v>81</v>
      </c>
      <c r="L4997" s="12" t="s">
        <v>96</v>
      </c>
      <c r="M4997">
        <v>4.8099999999999996</v>
      </c>
      <c r="N4997" s="12" t="s">
        <v>135</v>
      </c>
      <c r="O4997" s="12" t="s">
        <v>136</v>
      </c>
      <c r="P4997" s="12" t="s">
        <v>137</v>
      </c>
      <c r="Q4997" s="13">
        <v>45804</v>
      </c>
      <c r="R4997" s="13">
        <v>45827</v>
      </c>
      <c r="S4997">
        <v>2025</v>
      </c>
      <c r="T4997" s="12" t="s">
        <v>5886</v>
      </c>
      <c r="U4997">
        <v>32</v>
      </c>
      <c r="V4997">
        <v>466.4701</v>
      </c>
      <c r="W4997">
        <v>238.88</v>
      </c>
      <c r="X4997">
        <v>0</v>
      </c>
      <c r="Y4997">
        <v>0</v>
      </c>
      <c r="Z4997">
        <v>14927.04</v>
      </c>
      <c r="AA4997">
        <v>15165.92</v>
      </c>
      <c r="AB4997" s="12" t="s">
        <v>5774</v>
      </c>
      <c r="AC4997">
        <v>466.4701</v>
      </c>
      <c r="AD4997">
        <v>1</v>
      </c>
      <c r="AE4997">
        <v>1</v>
      </c>
      <c r="AF4997">
        <v>0</v>
      </c>
      <c r="AG4997">
        <v>14927.04</v>
      </c>
      <c r="AH4997">
        <v>32</v>
      </c>
      <c r="AI4997">
        <v>32</v>
      </c>
      <c r="AJ4997">
        <v>0</v>
      </c>
      <c r="AK4997">
        <v>1</v>
      </c>
      <c r="AL4997">
        <v>1</v>
      </c>
      <c r="AM4997">
        <v>100</v>
      </c>
      <c r="AN4997">
        <v>473.93509999999998</v>
      </c>
      <c r="AO4997">
        <v>0</v>
      </c>
      <c r="AP4997" s="13">
        <v>45824</v>
      </c>
      <c r="AQ4997">
        <v>-3</v>
      </c>
      <c r="AR4997">
        <v>1</v>
      </c>
    </row>
    <row r="4998" spans="1:44" x14ac:dyDescent="0.35">
      <c r="A4998" s="12" t="s">
        <v>6066</v>
      </c>
      <c r="B4998" s="12" t="s">
        <v>670</v>
      </c>
      <c r="C4998" s="12" t="s">
        <v>671</v>
      </c>
      <c r="D4998" s="12" t="s">
        <v>175</v>
      </c>
      <c r="E4998" s="12" t="s">
        <v>142</v>
      </c>
      <c r="F4998">
        <v>2</v>
      </c>
      <c r="G4998">
        <v>9</v>
      </c>
      <c r="H4998">
        <v>0</v>
      </c>
      <c r="I4998" s="12" t="s">
        <v>105</v>
      </c>
      <c r="J4998" s="12" t="s">
        <v>106</v>
      </c>
      <c r="K4998" s="12" t="s">
        <v>81</v>
      </c>
      <c r="L4998" s="12" t="s">
        <v>96</v>
      </c>
      <c r="M4998">
        <v>5.01</v>
      </c>
      <c r="N4998" s="12" t="s">
        <v>107</v>
      </c>
      <c r="O4998" s="12" t="s">
        <v>108</v>
      </c>
      <c r="P4998" s="12" t="s">
        <v>109</v>
      </c>
      <c r="Q4998" s="13">
        <v>45804</v>
      </c>
      <c r="R4998" s="13">
        <v>45850</v>
      </c>
      <c r="S4998">
        <v>2025</v>
      </c>
      <c r="T4998" s="12" t="s">
        <v>5886</v>
      </c>
      <c r="U4998">
        <v>99</v>
      </c>
      <c r="V4998">
        <v>156.0548</v>
      </c>
      <c r="W4998">
        <v>154.5</v>
      </c>
      <c r="X4998">
        <v>0</v>
      </c>
      <c r="Y4998">
        <v>0</v>
      </c>
      <c r="Z4998">
        <v>15449.43</v>
      </c>
      <c r="AA4998">
        <v>15603.93</v>
      </c>
      <c r="AB4998" s="12" t="s">
        <v>201</v>
      </c>
      <c r="AD4998">
        <v>0</v>
      </c>
      <c r="AE4998">
        <v>0</v>
      </c>
      <c r="AH4998">
        <v>99</v>
      </c>
      <c r="AI4998">
        <v>98</v>
      </c>
      <c r="AJ4998">
        <v>1</v>
      </c>
      <c r="AK4998">
        <v>1</v>
      </c>
      <c r="AL4998">
        <v>1</v>
      </c>
      <c r="AM4998">
        <v>98.99</v>
      </c>
      <c r="AN4998">
        <v>159.22370000000001</v>
      </c>
      <c r="AO4998">
        <v>156.05000000000001</v>
      </c>
      <c r="AP4998" s="13">
        <v>45848</v>
      </c>
      <c r="AQ4998">
        <v>-2</v>
      </c>
      <c r="AR4998">
        <v>1</v>
      </c>
    </row>
    <row r="4999" spans="1:44" x14ac:dyDescent="0.35">
      <c r="A4999" s="12" t="s">
        <v>6067</v>
      </c>
      <c r="B4999" s="12" t="s">
        <v>837</v>
      </c>
      <c r="C4999" s="12" t="s">
        <v>838</v>
      </c>
      <c r="D4999" s="12" t="s">
        <v>114</v>
      </c>
      <c r="E4999" s="12" t="s">
        <v>104</v>
      </c>
      <c r="F4999">
        <v>2</v>
      </c>
      <c r="G4999">
        <v>0</v>
      </c>
      <c r="H4999">
        <v>0</v>
      </c>
      <c r="I4999" s="12" t="s">
        <v>199</v>
      </c>
      <c r="J4999" s="12" t="s">
        <v>200</v>
      </c>
      <c r="K4999" s="12" t="s">
        <v>68</v>
      </c>
      <c r="L4999" s="12" t="s">
        <v>96</v>
      </c>
      <c r="M4999">
        <v>9.4700000000000006</v>
      </c>
      <c r="N4999" s="12" t="s">
        <v>97</v>
      </c>
      <c r="O4999" s="12" t="s">
        <v>98</v>
      </c>
      <c r="P4999" s="12" t="s">
        <v>72</v>
      </c>
      <c r="Q4999" s="13">
        <v>45805</v>
      </c>
      <c r="R4999" s="13">
        <v>45825</v>
      </c>
      <c r="S4999">
        <v>2025</v>
      </c>
      <c r="T4999" s="12" t="s">
        <v>5886</v>
      </c>
      <c r="U4999">
        <v>75</v>
      </c>
      <c r="V4999">
        <v>66.785399999999996</v>
      </c>
      <c r="W4999">
        <v>121.45</v>
      </c>
      <c r="X4999">
        <v>0</v>
      </c>
      <c r="Y4999">
        <v>0</v>
      </c>
      <c r="Z4999">
        <v>5008.91</v>
      </c>
      <c r="AA4999">
        <v>5130.3599999999997</v>
      </c>
      <c r="AB4999" s="12" t="s">
        <v>5895</v>
      </c>
      <c r="AC4999">
        <v>66.785399999999996</v>
      </c>
      <c r="AD4999">
        <v>1</v>
      </c>
      <c r="AE4999">
        <v>1</v>
      </c>
      <c r="AF4999">
        <v>0</v>
      </c>
      <c r="AG4999">
        <v>5008.91</v>
      </c>
      <c r="AH4999">
        <v>75</v>
      </c>
      <c r="AI4999">
        <v>74</v>
      </c>
      <c r="AJ4999">
        <v>1</v>
      </c>
      <c r="AK4999">
        <v>1</v>
      </c>
      <c r="AL4999">
        <v>1</v>
      </c>
      <c r="AM4999">
        <v>98.67</v>
      </c>
      <c r="AN4999">
        <v>69.329099999999997</v>
      </c>
      <c r="AO4999">
        <v>66.790000000000006</v>
      </c>
      <c r="AP4999" s="13">
        <v>45826</v>
      </c>
      <c r="AQ4999">
        <v>1</v>
      </c>
      <c r="AR4999">
        <v>0</v>
      </c>
    </row>
    <row r="5000" spans="1:44" x14ac:dyDescent="0.35">
      <c r="A5000" s="12" t="s">
        <v>6068</v>
      </c>
      <c r="B5000" s="12" t="s">
        <v>537</v>
      </c>
      <c r="C5000" s="12" t="s">
        <v>538</v>
      </c>
      <c r="D5000" s="12" t="s">
        <v>103</v>
      </c>
      <c r="E5000" s="12" t="s">
        <v>104</v>
      </c>
      <c r="F5000">
        <v>3</v>
      </c>
      <c r="G5000">
        <v>0</v>
      </c>
      <c r="H5000">
        <v>0</v>
      </c>
      <c r="I5000" s="12" t="s">
        <v>143</v>
      </c>
      <c r="J5000" s="12" t="s">
        <v>144</v>
      </c>
      <c r="K5000" s="12" t="s">
        <v>133</v>
      </c>
      <c r="L5000" s="12" t="s">
        <v>96</v>
      </c>
      <c r="M5000">
        <v>5.43</v>
      </c>
      <c r="N5000" s="12" t="s">
        <v>145</v>
      </c>
      <c r="O5000" s="12" t="s">
        <v>146</v>
      </c>
      <c r="P5000" s="12" t="s">
        <v>109</v>
      </c>
      <c r="Q5000" s="13">
        <v>45805</v>
      </c>
      <c r="R5000" s="13">
        <v>45817</v>
      </c>
      <c r="S5000">
        <v>2025</v>
      </c>
      <c r="T5000" s="12" t="s">
        <v>5886</v>
      </c>
      <c r="U5000">
        <v>14</v>
      </c>
      <c r="V5000">
        <v>238.64240000000001</v>
      </c>
      <c r="W5000">
        <v>51.16</v>
      </c>
      <c r="X5000">
        <v>0</v>
      </c>
      <c r="Y5000">
        <v>0</v>
      </c>
      <c r="Z5000">
        <v>3340.99</v>
      </c>
      <c r="AA5000">
        <v>3392.15</v>
      </c>
      <c r="AB5000" s="12" t="s">
        <v>5652</v>
      </c>
      <c r="AC5000">
        <v>238.64240000000001</v>
      </c>
      <c r="AD5000">
        <v>1</v>
      </c>
      <c r="AE5000">
        <v>1</v>
      </c>
      <c r="AF5000">
        <v>0</v>
      </c>
      <c r="AG5000">
        <v>3340.99</v>
      </c>
      <c r="AH5000">
        <v>14</v>
      </c>
      <c r="AI5000">
        <v>14</v>
      </c>
      <c r="AJ5000">
        <v>0</v>
      </c>
      <c r="AK5000">
        <v>1</v>
      </c>
      <c r="AL5000">
        <v>1</v>
      </c>
      <c r="AM5000">
        <v>100</v>
      </c>
      <c r="AN5000">
        <v>242.29669999999999</v>
      </c>
      <c r="AO5000">
        <v>0</v>
      </c>
      <c r="AP5000" s="13">
        <v>45816</v>
      </c>
      <c r="AQ5000">
        <v>-1</v>
      </c>
      <c r="AR5000">
        <v>1</v>
      </c>
    </row>
    <row r="5001" spans="1:44" x14ac:dyDescent="0.35">
      <c r="A5001" s="12" t="s">
        <v>6069</v>
      </c>
      <c r="B5001" s="12" t="s">
        <v>537</v>
      </c>
      <c r="C5001" s="12" t="s">
        <v>538</v>
      </c>
      <c r="D5001" s="12" t="s">
        <v>103</v>
      </c>
      <c r="E5001" s="12" t="s">
        <v>104</v>
      </c>
      <c r="F5001">
        <v>3</v>
      </c>
      <c r="G5001">
        <v>0</v>
      </c>
      <c r="H5001">
        <v>0</v>
      </c>
      <c r="I5001" s="12" t="s">
        <v>380</v>
      </c>
      <c r="J5001" s="12" t="s">
        <v>381</v>
      </c>
      <c r="K5001" s="12" t="s">
        <v>89</v>
      </c>
      <c r="L5001" s="12" t="s">
        <v>96</v>
      </c>
      <c r="M5001">
        <v>10.210000000000001</v>
      </c>
      <c r="N5001" s="12" t="s">
        <v>107</v>
      </c>
      <c r="O5001" s="12" t="s">
        <v>108</v>
      </c>
      <c r="P5001" s="12" t="s">
        <v>109</v>
      </c>
      <c r="Q5001" s="13">
        <v>45805</v>
      </c>
      <c r="R5001" s="13">
        <v>45820</v>
      </c>
      <c r="S5001">
        <v>2025</v>
      </c>
      <c r="T5001" s="12" t="s">
        <v>5886</v>
      </c>
      <c r="U5001">
        <v>34</v>
      </c>
      <c r="V5001">
        <v>242.47130000000001</v>
      </c>
      <c r="W5001">
        <v>191.62</v>
      </c>
      <c r="X5001">
        <v>0</v>
      </c>
      <c r="Y5001">
        <v>0</v>
      </c>
      <c r="Z5001">
        <v>8244.02</v>
      </c>
      <c r="AA5001">
        <v>8435.64</v>
      </c>
      <c r="AB5001" s="12" t="s">
        <v>6070</v>
      </c>
      <c r="AC5001">
        <v>242.47130000000001</v>
      </c>
      <c r="AD5001">
        <v>1</v>
      </c>
      <c r="AE5001">
        <v>1</v>
      </c>
      <c r="AF5001">
        <v>0</v>
      </c>
      <c r="AG5001">
        <v>8244.02</v>
      </c>
      <c r="AH5001">
        <v>34</v>
      </c>
      <c r="AI5001">
        <v>34</v>
      </c>
      <c r="AJ5001">
        <v>0</v>
      </c>
      <c r="AK5001">
        <v>1</v>
      </c>
      <c r="AL5001">
        <v>1</v>
      </c>
      <c r="AM5001">
        <v>100</v>
      </c>
      <c r="AN5001">
        <v>248.10720000000001</v>
      </c>
      <c r="AO5001">
        <v>0</v>
      </c>
      <c r="AP5001" s="13">
        <v>45817</v>
      </c>
      <c r="AQ5001">
        <v>-3</v>
      </c>
      <c r="AR5001">
        <v>1</v>
      </c>
    </row>
    <row r="5002" spans="1:44" x14ac:dyDescent="0.35">
      <c r="A5002" s="12" t="s">
        <v>6071</v>
      </c>
      <c r="B5002" s="12" t="s">
        <v>802</v>
      </c>
      <c r="C5002" s="12" t="s">
        <v>803</v>
      </c>
      <c r="D5002" s="12" t="s">
        <v>114</v>
      </c>
      <c r="E5002" s="12" t="s">
        <v>65</v>
      </c>
      <c r="F5002">
        <v>3</v>
      </c>
      <c r="G5002">
        <v>5</v>
      </c>
      <c r="H5002">
        <v>0</v>
      </c>
      <c r="I5002" s="12" t="s">
        <v>87</v>
      </c>
      <c r="J5002" s="12" t="s">
        <v>88</v>
      </c>
      <c r="K5002" s="12" t="s">
        <v>89</v>
      </c>
      <c r="L5002" s="12" t="s">
        <v>69</v>
      </c>
      <c r="M5002">
        <v>14.93</v>
      </c>
      <c r="N5002" s="12" t="s">
        <v>97</v>
      </c>
      <c r="O5002" s="12" t="s">
        <v>98</v>
      </c>
      <c r="P5002" s="12" t="s">
        <v>72</v>
      </c>
      <c r="Q5002" s="13">
        <v>45805</v>
      </c>
      <c r="R5002" s="13">
        <v>45843</v>
      </c>
      <c r="S5002">
        <v>2025</v>
      </c>
      <c r="T5002" s="12" t="s">
        <v>5886</v>
      </c>
      <c r="U5002">
        <v>144</v>
      </c>
      <c r="V5002">
        <v>329.8329</v>
      </c>
      <c r="W5002">
        <v>1035.77</v>
      </c>
      <c r="X5002">
        <v>0</v>
      </c>
      <c r="Y5002">
        <v>0</v>
      </c>
      <c r="Z5002">
        <v>47495.94</v>
      </c>
      <c r="AA5002">
        <v>48531.71</v>
      </c>
      <c r="AB5002" s="12" t="s">
        <v>6072</v>
      </c>
      <c r="AC5002">
        <v>329.8329</v>
      </c>
      <c r="AD5002">
        <v>1</v>
      </c>
      <c r="AE5002">
        <v>1</v>
      </c>
      <c r="AF5002">
        <v>0</v>
      </c>
      <c r="AG5002">
        <v>47495.94</v>
      </c>
      <c r="AH5002">
        <v>144</v>
      </c>
      <c r="AI5002">
        <v>141</v>
      </c>
      <c r="AJ5002">
        <v>3</v>
      </c>
      <c r="AK5002">
        <v>1</v>
      </c>
      <c r="AL5002">
        <v>1</v>
      </c>
      <c r="AM5002">
        <v>97.92</v>
      </c>
      <c r="AN5002">
        <v>344.19650000000001</v>
      </c>
      <c r="AO5002">
        <v>989.5</v>
      </c>
      <c r="AP5002" s="13">
        <v>45841</v>
      </c>
      <c r="AQ5002">
        <v>-2</v>
      </c>
      <c r="AR5002">
        <v>1</v>
      </c>
    </row>
    <row r="5003" spans="1:44" x14ac:dyDescent="0.35">
      <c r="A5003" s="12" t="s">
        <v>6073</v>
      </c>
      <c r="B5003" s="12" t="s">
        <v>706</v>
      </c>
      <c r="C5003" s="12" t="s">
        <v>707</v>
      </c>
      <c r="D5003" s="12" t="s">
        <v>130</v>
      </c>
      <c r="E5003" s="12" t="s">
        <v>142</v>
      </c>
      <c r="F5003">
        <v>1</v>
      </c>
      <c r="G5003">
        <v>8</v>
      </c>
      <c r="H5003">
        <v>1</v>
      </c>
      <c r="I5003" s="12" t="s">
        <v>263</v>
      </c>
      <c r="J5003" s="12" t="s">
        <v>264</v>
      </c>
      <c r="K5003" s="12" t="s">
        <v>125</v>
      </c>
      <c r="L5003" s="12" t="s">
        <v>82</v>
      </c>
      <c r="M5003">
        <v>10.210000000000001</v>
      </c>
      <c r="N5003" s="12" t="s">
        <v>135</v>
      </c>
      <c r="O5003" s="12" t="s">
        <v>136</v>
      </c>
      <c r="P5003" s="12" t="s">
        <v>137</v>
      </c>
      <c r="Q5003" s="13">
        <v>45805</v>
      </c>
      <c r="R5003" s="13">
        <v>45840</v>
      </c>
      <c r="S5003">
        <v>2025</v>
      </c>
      <c r="T5003" s="12" t="s">
        <v>5886</v>
      </c>
      <c r="U5003">
        <v>12</v>
      </c>
      <c r="V5003">
        <v>276.71809999999999</v>
      </c>
      <c r="W5003">
        <v>73.78</v>
      </c>
      <c r="X5003">
        <v>108.26</v>
      </c>
      <c r="Y5003">
        <v>1</v>
      </c>
      <c r="Z5003">
        <v>3320.62</v>
      </c>
      <c r="AA5003">
        <v>3502.66</v>
      </c>
      <c r="AB5003" s="12" t="s">
        <v>5735</v>
      </c>
      <c r="AC5003">
        <v>276.71809999999999</v>
      </c>
      <c r="AD5003">
        <v>1</v>
      </c>
      <c r="AE5003">
        <v>1</v>
      </c>
      <c r="AF5003">
        <v>0</v>
      </c>
      <c r="AG5003">
        <v>3320.62</v>
      </c>
      <c r="AH5003">
        <v>12</v>
      </c>
      <c r="AI5003">
        <v>12</v>
      </c>
      <c r="AJ5003">
        <v>0</v>
      </c>
      <c r="AK5003">
        <v>1</v>
      </c>
      <c r="AL5003">
        <v>1</v>
      </c>
      <c r="AM5003">
        <v>100</v>
      </c>
      <c r="AN5003">
        <v>291.88810000000001</v>
      </c>
      <c r="AO5003">
        <v>0</v>
      </c>
      <c r="AP5003" s="13">
        <v>45836</v>
      </c>
      <c r="AQ5003">
        <v>-4</v>
      </c>
      <c r="AR5003">
        <v>1</v>
      </c>
    </row>
    <row r="5004" spans="1:44" x14ac:dyDescent="0.35">
      <c r="A5004" s="12" t="s">
        <v>6074</v>
      </c>
      <c r="B5004" s="12" t="s">
        <v>843</v>
      </c>
      <c r="C5004" s="12" t="s">
        <v>844</v>
      </c>
      <c r="D5004" s="12" t="s">
        <v>175</v>
      </c>
      <c r="E5004" s="12" t="s">
        <v>65</v>
      </c>
      <c r="F5004">
        <v>3</v>
      </c>
      <c r="G5004">
        <v>5</v>
      </c>
      <c r="H5004">
        <v>0</v>
      </c>
      <c r="I5004" s="12" t="s">
        <v>359</v>
      </c>
      <c r="J5004" s="12" t="s">
        <v>360</v>
      </c>
      <c r="K5004" s="12" t="s">
        <v>133</v>
      </c>
      <c r="L5004" s="12" t="s">
        <v>82</v>
      </c>
      <c r="M5004">
        <v>12.65</v>
      </c>
      <c r="N5004" s="12" t="s">
        <v>107</v>
      </c>
      <c r="O5004" s="12" t="s">
        <v>108</v>
      </c>
      <c r="P5004" s="12" t="s">
        <v>109</v>
      </c>
      <c r="Q5004" s="13">
        <v>45805</v>
      </c>
      <c r="R5004" s="13">
        <v>45834</v>
      </c>
      <c r="S5004">
        <v>2025</v>
      </c>
      <c r="T5004" s="12" t="s">
        <v>5886</v>
      </c>
      <c r="U5004">
        <v>78</v>
      </c>
      <c r="V5004">
        <v>251.5034</v>
      </c>
      <c r="W5004">
        <v>474.09</v>
      </c>
      <c r="X5004">
        <v>0</v>
      </c>
      <c r="Y5004">
        <v>0</v>
      </c>
      <c r="Z5004">
        <v>19617.27</v>
      </c>
      <c r="AA5004">
        <v>20091.36</v>
      </c>
      <c r="AB5004" s="12" t="s">
        <v>6075</v>
      </c>
      <c r="AC5004">
        <v>237.4212</v>
      </c>
      <c r="AD5004">
        <v>1</v>
      </c>
      <c r="AE5004">
        <v>1</v>
      </c>
      <c r="AF5004">
        <v>1098.4100000000001</v>
      </c>
      <c r="AG5004">
        <v>18518.849999999999</v>
      </c>
      <c r="AH5004">
        <v>78</v>
      </c>
      <c r="AI5004">
        <v>78</v>
      </c>
      <c r="AJ5004">
        <v>0</v>
      </c>
      <c r="AK5004">
        <v>1</v>
      </c>
      <c r="AL5004">
        <v>1</v>
      </c>
      <c r="AM5004">
        <v>100</v>
      </c>
      <c r="AN5004">
        <v>257.58150000000001</v>
      </c>
      <c r="AO5004">
        <v>0</v>
      </c>
      <c r="AP5004" s="13">
        <v>45833</v>
      </c>
      <c r="AQ5004">
        <v>-1</v>
      </c>
      <c r="AR5004">
        <v>1</v>
      </c>
    </row>
    <row r="5005" spans="1:44" x14ac:dyDescent="0.35">
      <c r="A5005" s="12" t="s">
        <v>6076</v>
      </c>
      <c r="B5005" s="12" t="s">
        <v>503</v>
      </c>
      <c r="C5005" s="12" t="s">
        <v>504</v>
      </c>
      <c r="D5005" s="12" t="s">
        <v>103</v>
      </c>
      <c r="E5005" s="12" t="s">
        <v>104</v>
      </c>
      <c r="F5005">
        <v>3</v>
      </c>
      <c r="G5005">
        <v>1</v>
      </c>
      <c r="H5005">
        <v>0</v>
      </c>
      <c r="I5005" s="12" t="s">
        <v>209</v>
      </c>
      <c r="J5005" s="12" t="s">
        <v>210</v>
      </c>
      <c r="K5005" s="12" t="s">
        <v>133</v>
      </c>
      <c r="L5005" s="12" t="s">
        <v>96</v>
      </c>
      <c r="M5005">
        <v>7.82</v>
      </c>
      <c r="N5005" s="12" t="s">
        <v>107</v>
      </c>
      <c r="O5005" s="12" t="s">
        <v>108</v>
      </c>
      <c r="P5005" s="12" t="s">
        <v>109</v>
      </c>
      <c r="Q5005" s="13">
        <v>45805</v>
      </c>
      <c r="R5005" s="13">
        <v>45824</v>
      </c>
      <c r="S5005">
        <v>2025</v>
      </c>
      <c r="T5005" s="12" t="s">
        <v>5886</v>
      </c>
      <c r="U5005">
        <v>67</v>
      </c>
      <c r="V5005">
        <v>176.21899999999999</v>
      </c>
      <c r="W5005">
        <v>287.35000000000002</v>
      </c>
      <c r="X5005">
        <v>0</v>
      </c>
      <c r="Y5005">
        <v>0</v>
      </c>
      <c r="Z5005">
        <v>11806.67</v>
      </c>
      <c r="AA5005">
        <v>12094.02</v>
      </c>
      <c r="AB5005" s="12" t="s">
        <v>201</v>
      </c>
      <c r="AD5005">
        <v>0</v>
      </c>
      <c r="AE5005">
        <v>0</v>
      </c>
      <c r="AH5005">
        <v>67</v>
      </c>
      <c r="AI5005">
        <v>67</v>
      </c>
      <c r="AJ5005">
        <v>0</v>
      </c>
      <c r="AK5005">
        <v>1</v>
      </c>
      <c r="AL5005">
        <v>1</v>
      </c>
      <c r="AM5005">
        <v>100</v>
      </c>
      <c r="AN5005">
        <v>180.5078</v>
      </c>
      <c r="AO5005">
        <v>0</v>
      </c>
      <c r="AP5005" s="13">
        <v>45821</v>
      </c>
      <c r="AQ5005">
        <v>-3</v>
      </c>
      <c r="AR5005">
        <v>1</v>
      </c>
    </row>
    <row r="5006" spans="1:44" x14ac:dyDescent="0.35">
      <c r="A5006" s="12" t="s">
        <v>6077</v>
      </c>
      <c r="B5006" s="12" t="s">
        <v>609</v>
      </c>
      <c r="C5006" s="12" t="s">
        <v>610</v>
      </c>
      <c r="D5006" s="12" t="s">
        <v>64</v>
      </c>
      <c r="E5006" s="12" t="s">
        <v>104</v>
      </c>
      <c r="F5006">
        <v>1</v>
      </c>
      <c r="G5006">
        <v>0</v>
      </c>
      <c r="H5006">
        <v>1</v>
      </c>
      <c r="I5006" s="12" t="s">
        <v>227</v>
      </c>
      <c r="J5006" s="12" t="s">
        <v>228</v>
      </c>
      <c r="K5006" s="12" t="s">
        <v>89</v>
      </c>
      <c r="L5006" s="12" t="s">
        <v>96</v>
      </c>
      <c r="M5006">
        <v>9.15</v>
      </c>
      <c r="N5006" s="12" t="s">
        <v>70</v>
      </c>
      <c r="O5006" s="12" t="s">
        <v>71</v>
      </c>
      <c r="P5006" s="12" t="s">
        <v>72</v>
      </c>
      <c r="Q5006" s="13">
        <v>45805</v>
      </c>
      <c r="R5006" s="13">
        <v>45821</v>
      </c>
      <c r="S5006">
        <v>2025</v>
      </c>
      <c r="T5006" s="12" t="s">
        <v>5886</v>
      </c>
      <c r="U5006">
        <v>330</v>
      </c>
      <c r="V5006">
        <v>20.683900000000001</v>
      </c>
      <c r="W5006">
        <v>76.56</v>
      </c>
      <c r="X5006">
        <v>0</v>
      </c>
      <c r="Y5006">
        <v>0</v>
      </c>
      <c r="Z5006">
        <v>6825.69</v>
      </c>
      <c r="AA5006">
        <v>6902.25</v>
      </c>
      <c r="AB5006" s="12" t="s">
        <v>5573</v>
      </c>
      <c r="AC5006">
        <v>20.683900000000001</v>
      </c>
      <c r="AD5006">
        <v>1</v>
      </c>
      <c r="AE5006">
        <v>1</v>
      </c>
      <c r="AF5006">
        <v>0</v>
      </c>
      <c r="AG5006">
        <v>6825.69</v>
      </c>
      <c r="AH5006">
        <v>330</v>
      </c>
      <c r="AI5006">
        <v>325</v>
      </c>
      <c r="AJ5006">
        <v>5</v>
      </c>
      <c r="AK5006">
        <v>1</v>
      </c>
      <c r="AL5006">
        <v>1</v>
      </c>
      <c r="AM5006">
        <v>98.48</v>
      </c>
      <c r="AN5006">
        <v>21.2377</v>
      </c>
      <c r="AO5006">
        <v>103.42</v>
      </c>
      <c r="AP5006" s="13">
        <v>45818</v>
      </c>
      <c r="AQ5006">
        <v>-3</v>
      </c>
      <c r="AR5006">
        <v>1</v>
      </c>
    </row>
    <row r="5007" spans="1:44" x14ac:dyDescent="0.35">
      <c r="A5007" s="12" t="s">
        <v>6078</v>
      </c>
      <c r="B5007" s="12" t="s">
        <v>284</v>
      </c>
      <c r="C5007" s="12" t="s">
        <v>285</v>
      </c>
      <c r="D5007" s="12" t="s">
        <v>269</v>
      </c>
      <c r="E5007" s="12" t="s">
        <v>104</v>
      </c>
      <c r="F5007">
        <v>3</v>
      </c>
      <c r="G5007">
        <v>1</v>
      </c>
      <c r="H5007">
        <v>0</v>
      </c>
      <c r="I5007" s="12" t="s">
        <v>199</v>
      </c>
      <c r="J5007" s="12" t="s">
        <v>200</v>
      </c>
      <c r="K5007" s="12" t="s">
        <v>68</v>
      </c>
      <c r="L5007" s="12" t="s">
        <v>96</v>
      </c>
      <c r="M5007">
        <v>9.4700000000000006</v>
      </c>
      <c r="N5007" s="12" t="s">
        <v>159</v>
      </c>
      <c r="O5007" s="12" t="s">
        <v>160</v>
      </c>
      <c r="P5007" s="12" t="s">
        <v>137</v>
      </c>
      <c r="Q5007" s="13">
        <v>45805</v>
      </c>
      <c r="R5007" s="13">
        <v>45821</v>
      </c>
      <c r="S5007">
        <v>2025</v>
      </c>
      <c r="T5007" s="12" t="s">
        <v>5886</v>
      </c>
      <c r="U5007">
        <v>45</v>
      </c>
      <c r="V5007">
        <v>398.6182</v>
      </c>
      <c r="W5007">
        <v>462.19</v>
      </c>
      <c r="X5007">
        <v>0</v>
      </c>
      <c r="Y5007">
        <v>0</v>
      </c>
      <c r="Z5007">
        <v>17937.82</v>
      </c>
      <c r="AA5007">
        <v>18400.009999999998</v>
      </c>
      <c r="AB5007" s="12" t="s">
        <v>201</v>
      </c>
      <c r="AD5007">
        <v>0</v>
      </c>
      <c r="AE5007">
        <v>0</v>
      </c>
      <c r="AH5007">
        <v>45</v>
      </c>
      <c r="AI5007">
        <v>45</v>
      </c>
      <c r="AJ5007">
        <v>0</v>
      </c>
      <c r="AK5007">
        <v>1</v>
      </c>
      <c r="AL5007">
        <v>1</v>
      </c>
      <c r="AM5007">
        <v>100</v>
      </c>
      <c r="AN5007">
        <v>408.88909999999998</v>
      </c>
      <c r="AO5007">
        <v>0</v>
      </c>
      <c r="AP5007" s="13">
        <v>45825</v>
      </c>
      <c r="AQ5007">
        <v>4</v>
      </c>
      <c r="AR5007">
        <v>0</v>
      </c>
    </row>
    <row r="5008" spans="1:44" x14ac:dyDescent="0.35">
      <c r="A5008" s="12" t="s">
        <v>6079</v>
      </c>
      <c r="B5008" s="12" t="s">
        <v>442</v>
      </c>
      <c r="C5008" s="12" t="s">
        <v>443</v>
      </c>
      <c r="D5008" s="12" t="s">
        <v>130</v>
      </c>
      <c r="E5008" s="12" t="s">
        <v>65</v>
      </c>
      <c r="F5008">
        <v>3</v>
      </c>
      <c r="G5008">
        <v>4</v>
      </c>
      <c r="H5008">
        <v>0</v>
      </c>
      <c r="I5008" s="12" t="s">
        <v>251</v>
      </c>
      <c r="J5008" s="12" t="s">
        <v>252</v>
      </c>
      <c r="K5008" s="12" t="s">
        <v>133</v>
      </c>
      <c r="L5008" s="12" t="s">
        <v>69</v>
      </c>
      <c r="M5008">
        <v>34.49</v>
      </c>
      <c r="N5008" s="12" t="s">
        <v>135</v>
      </c>
      <c r="O5008" s="12" t="s">
        <v>136</v>
      </c>
      <c r="P5008" s="12" t="s">
        <v>137</v>
      </c>
      <c r="Q5008" s="13">
        <v>45805</v>
      </c>
      <c r="R5008" s="13">
        <v>45833</v>
      </c>
      <c r="S5008">
        <v>2025</v>
      </c>
      <c r="T5008" s="12" t="s">
        <v>5886</v>
      </c>
      <c r="U5008">
        <v>65</v>
      </c>
      <c r="V5008">
        <v>514.42409999999995</v>
      </c>
      <c r="W5008">
        <v>836.04</v>
      </c>
      <c r="X5008">
        <v>0</v>
      </c>
      <c r="Y5008">
        <v>0</v>
      </c>
      <c r="Z5008">
        <v>33437.57</v>
      </c>
      <c r="AA5008">
        <v>34273.61</v>
      </c>
      <c r="AB5008" s="12" t="s">
        <v>5218</v>
      </c>
      <c r="AC5008">
        <v>514.42409999999995</v>
      </c>
      <c r="AD5008">
        <v>1</v>
      </c>
      <c r="AE5008">
        <v>1</v>
      </c>
      <c r="AF5008">
        <v>0</v>
      </c>
      <c r="AG5008">
        <v>33437.57</v>
      </c>
      <c r="AH5008">
        <v>65</v>
      </c>
      <c r="AI5008">
        <v>65</v>
      </c>
      <c r="AJ5008">
        <v>0</v>
      </c>
      <c r="AK5008">
        <v>1</v>
      </c>
      <c r="AL5008">
        <v>1</v>
      </c>
      <c r="AM5008">
        <v>100</v>
      </c>
      <c r="AN5008">
        <v>527.28629999999998</v>
      </c>
      <c r="AO5008">
        <v>0</v>
      </c>
      <c r="AP5008" s="13">
        <v>45831</v>
      </c>
      <c r="AQ5008">
        <v>-2</v>
      </c>
      <c r="AR5008">
        <v>1</v>
      </c>
    </row>
    <row r="5009" spans="1:44" x14ac:dyDescent="0.35">
      <c r="A5009" s="12" t="s">
        <v>6080</v>
      </c>
      <c r="B5009" s="12" t="s">
        <v>477</v>
      </c>
      <c r="C5009" s="12" t="s">
        <v>478</v>
      </c>
      <c r="D5009" s="12" t="s">
        <v>130</v>
      </c>
      <c r="E5009" s="12" t="s">
        <v>104</v>
      </c>
      <c r="F5009">
        <v>3</v>
      </c>
      <c r="G5009">
        <v>1</v>
      </c>
      <c r="H5009">
        <v>0</v>
      </c>
      <c r="I5009" s="12" t="s">
        <v>380</v>
      </c>
      <c r="J5009" s="12" t="s">
        <v>381</v>
      </c>
      <c r="K5009" s="12" t="s">
        <v>89</v>
      </c>
      <c r="L5009" s="12" t="s">
        <v>96</v>
      </c>
      <c r="M5009">
        <v>10.210000000000001</v>
      </c>
      <c r="N5009" s="12" t="s">
        <v>135</v>
      </c>
      <c r="O5009" s="12" t="s">
        <v>136</v>
      </c>
      <c r="P5009" s="12" t="s">
        <v>137</v>
      </c>
      <c r="Q5009" s="13">
        <v>45805</v>
      </c>
      <c r="R5009" s="13">
        <v>45829</v>
      </c>
      <c r="S5009">
        <v>2025</v>
      </c>
      <c r="T5009" s="12" t="s">
        <v>5886</v>
      </c>
      <c r="U5009">
        <v>109</v>
      </c>
      <c r="V5009">
        <v>656.68050000000005</v>
      </c>
      <c r="W5009">
        <v>1121.06</v>
      </c>
      <c r="X5009">
        <v>0</v>
      </c>
      <c r="Y5009">
        <v>0</v>
      </c>
      <c r="Z5009">
        <v>71578.17</v>
      </c>
      <c r="AA5009">
        <v>72699.23</v>
      </c>
      <c r="AB5009" s="12" t="s">
        <v>5872</v>
      </c>
      <c r="AC5009">
        <v>656.68050000000005</v>
      </c>
      <c r="AD5009">
        <v>1</v>
      </c>
      <c r="AE5009">
        <v>1</v>
      </c>
      <c r="AF5009">
        <v>0</v>
      </c>
      <c r="AG5009">
        <v>71578.17</v>
      </c>
      <c r="AH5009">
        <v>109</v>
      </c>
      <c r="AI5009">
        <v>109</v>
      </c>
      <c r="AJ5009">
        <v>0</v>
      </c>
      <c r="AK5009">
        <v>1</v>
      </c>
      <c r="AL5009">
        <v>1</v>
      </c>
      <c r="AM5009">
        <v>100</v>
      </c>
      <c r="AN5009">
        <v>666.96550000000002</v>
      </c>
      <c r="AO5009">
        <v>0</v>
      </c>
      <c r="AP5009" s="13">
        <v>45828</v>
      </c>
      <c r="AQ5009">
        <v>-1</v>
      </c>
      <c r="AR5009">
        <v>1</v>
      </c>
    </row>
    <row r="5010" spans="1:44" x14ac:dyDescent="0.35">
      <c r="A5010" s="12" t="s">
        <v>6081</v>
      </c>
      <c r="B5010" s="12" t="s">
        <v>732</v>
      </c>
      <c r="C5010" s="12" t="s">
        <v>733</v>
      </c>
      <c r="D5010" s="12" t="s">
        <v>114</v>
      </c>
      <c r="E5010" s="12" t="s">
        <v>104</v>
      </c>
      <c r="F5010">
        <v>3</v>
      </c>
      <c r="G5010">
        <v>1</v>
      </c>
      <c r="H5010">
        <v>0</v>
      </c>
      <c r="I5010" s="12" t="s">
        <v>359</v>
      </c>
      <c r="J5010" s="12" t="s">
        <v>360</v>
      </c>
      <c r="K5010" s="12" t="s">
        <v>133</v>
      </c>
      <c r="L5010" s="12" t="s">
        <v>82</v>
      </c>
      <c r="M5010">
        <v>12.65</v>
      </c>
      <c r="N5010" s="12" t="s">
        <v>97</v>
      </c>
      <c r="O5010" s="12" t="s">
        <v>98</v>
      </c>
      <c r="P5010" s="12" t="s">
        <v>72</v>
      </c>
      <c r="Q5010" s="13">
        <v>45805</v>
      </c>
      <c r="R5010" s="13">
        <v>45826</v>
      </c>
      <c r="S5010">
        <v>2025</v>
      </c>
      <c r="T5010" s="12" t="s">
        <v>5886</v>
      </c>
      <c r="U5010">
        <v>83</v>
      </c>
      <c r="V5010">
        <v>337.45549999999997</v>
      </c>
      <c r="W5010">
        <v>346.55</v>
      </c>
      <c r="X5010">
        <v>0</v>
      </c>
      <c r="Y5010">
        <v>0</v>
      </c>
      <c r="Z5010">
        <v>28008.81</v>
      </c>
      <c r="AA5010">
        <v>28355.360000000001</v>
      </c>
      <c r="AB5010" s="12" t="s">
        <v>201</v>
      </c>
      <c r="AD5010">
        <v>0</v>
      </c>
      <c r="AE5010">
        <v>0</v>
      </c>
      <c r="AH5010">
        <v>83</v>
      </c>
      <c r="AI5010">
        <v>82</v>
      </c>
      <c r="AJ5010">
        <v>1</v>
      </c>
      <c r="AK5010">
        <v>1</v>
      </c>
      <c r="AL5010">
        <v>1</v>
      </c>
      <c r="AM5010">
        <v>98.8</v>
      </c>
      <c r="AN5010">
        <v>345.79700000000003</v>
      </c>
      <c r="AO5010">
        <v>337.46</v>
      </c>
      <c r="AP5010" s="13">
        <v>45825</v>
      </c>
      <c r="AQ5010">
        <v>-1</v>
      </c>
      <c r="AR5010">
        <v>1</v>
      </c>
    </row>
    <row r="5011" spans="1:44" x14ac:dyDescent="0.35">
      <c r="A5011" s="12" t="s">
        <v>6082</v>
      </c>
      <c r="B5011" s="12" t="s">
        <v>231</v>
      </c>
      <c r="C5011" s="12" t="s">
        <v>232</v>
      </c>
      <c r="D5011" s="12" t="s">
        <v>130</v>
      </c>
      <c r="E5011" s="12" t="s">
        <v>65</v>
      </c>
      <c r="F5011">
        <v>1</v>
      </c>
      <c r="G5011">
        <v>2</v>
      </c>
      <c r="H5011">
        <v>1</v>
      </c>
      <c r="I5011" s="12" t="s">
        <v>233</v>
      </c>
      <c r="J5011" s="12" t="s">
        <v>234</v>
      </c>
      <c r="K5011" s="12" t="s">
        <v>125</v>
      </c>
      <c r="L5011" s="12" t="s">
        <v>96</v>
      </c>
      <c r="M5011">
        <v>3.73</v>
      </c>
      <c r="N5011" s="12" t="s">
        <v>159</v>
      </c>
      <c r="O5011" s="12" t="s">
        <v>160</v>
      </c>
      <c r="P5011" s="12" t="s">
        <v>137</v>
      </c>
      <c r="Q5011" s="13">
        <v>45805</v>
      </c>
      <c r="R5011" s="13">
        <v>45831</v>
      </c>
      <c r="S5011">
        <v>2025</v>
      </c>
      <c r="T5011" s="12" t="s">
        <v>5886</v>
      </c>
      <c r="U5011">
        <v>54</v>
      </c>
      <c r="V5011">
        <v>468.52010000000001</v>
      </c>
      <c r="W5011">
        <v>319.92</v>
      </c>
      <c r="X5011">
        <v>0</v>
      </c>
      <c r="Y5011">
        <v>0</v>
      </c>
      <c r="Z5011">
        <v>25300.09</v>
      </c>
      <c r="AA5011">
        <v>25620.01</v>
      </c>
      <c r="AB5011" s="12" t="s">
        <v>201</v>
      </c>
      <c r="AD5011">
        <v>0</v>
      </c>
      <c r="AE5011">
        <v>0</v>
      </c>
      <c r="AH5011">
        <v>54</v>
      </c>
      <c r="AI5011">
        <v>54</v>
      </c>
      <c r="AJ5011">
        <v>0</v>
      </c>
      <c r="AK5011">
        <v>1</v>
      </c>
      <c r="AL5011">
        <v>1</v>
      </c>
      <c r="AM5011">
        <v>100</v>
      </c>
      <c r="AN5011">
        <v>474.44450000000001</v>
      </c>
      <c r="AO5011">
        <v>0</v>
      </c>
      <c r="AP5011" s="13">
        <v>45839</v>
      </c>
      <c r="AQ5011">
        <v>8</v>
      </c>
      <c r="AR5011">
        <v>0</v>
      </c>
    </row>
    <row r="5012" spans="1:44" x14ac:dyDescent="0.35">
      <c r="A5012" s="12" t="s">
        <v>6083</v>
      </c>
      <c r="B5012" s="12" t="s">
        <v>587</v>
      </c>
      <c r="C5012" s="12" t="s">
        <v>588</v>
      </c>
      <c r="D5012" s="12" t="s">
        <v>122</v>
      </c>
      <c r="E5012" s="12" t="s">
        <v>104</v>
      </c>
      <c r="F5012">
        <v>2</v>
      </c>
      <c r="G5012">
        <v>0</v>
      </c>
      <c r="H5012">
        <v>0</v>
      </c>
      <c r="I5012" s="12" t="s">
        <v>486</v>
      </c>
      <c r="J5012" s="12" t="s">
        <v>487</v>
      </c>
      <c r="K5012" s="12" t="s">
        <v>125</v>
      </c>
      <c r="L5012" s="12" t="s">
        <v>69</v>
      </c>
      <c r="M5012">
        <v>36.86</v>
      </c>
      <c r="N5012" s="12" t="s">
        <v>97</v>
      </c>
      <c r="O5012" s="12" t="s">
        <v>98</v>
      </c>
      <c r="P5012" s="12" t="s">
        <v>72</v>
      </c>
      <c r="Q5012" s="13">
        <v>45805</v>
      </c>
      <c r="R5012" s="13">
        <v>45819</v>
      </c>
      <c r="S5012">
        <v>2025</v>
      </c>
      <c r="T5012" s="12" t="s">
        <v>5886</v>
      </c>
      <c r="U5012">
        <v>473</v>
      </c>
      <c r="V5012">
        <v>11.834099999999999</v>
      </c>
      <c r="W5012">
        <v>68.25</v>
      </c>
      <c r="X5012">
        <v>180.93</v>
      </c>
      <c r="Y5012">
        <v>1</v>
      </c>
      <c r="Z5012">
        <v>5597.53</v>
      </c>
      <c r="AA5012">
        <v>5846.71</v>
      </c>
      <c r="AB5012" s="12" t="s">
        <v>201</v>
      </c>
      <c r="AD5012">
        <v>0</v>
      </c>
      <c r="AE5012">
        <v>0</v>
      </c>
      <c r="AH5012">
        <v>473</v>
      </c>
      <c r="AI5012">
        <v>468</v>
      </c>
      <c r="AJ5012">
        <v>5</v>
      </c>
      <c r="AK5012">
        <v>1</v>
      </c>
      <c r="AL5012">
        <v>1</v>
      </c>
      <c r="AM5012">
        <v>98.94</v>
      </c>
      <c r="AN5012">
        <v>12.493</v>
      </c>
      <c r="AO5012">
        <v>59.17</v>
      </c>
      <c r="AP5012" s="13">
        <v>45818</v>
      </c>
      <c r="AQ5012">
        <v>-1</v>
      </c>
      <c r="AR5012">
        <v>1</v>
      </c>
    </row>
    <row r="5013" spans="1:44" x14ac:dyDescent="0.35">
      <c r="A5013" s="12" t="s">
        <v>6084</v>
      </c>
      <c r="B5013" s="12" t="s">
        <v>792</v>
      </c>
      <c r="C5013" s="12" t="s">
        <v>793</v>
      </c>
      <c r="D5013" s="12" t="s">
        <v>103</v>
      </c>
      <c r="E5013" s="12" t="s">
        <v>65</v>
      </c>
      <c r="F5013">
        <v>2</v>
      </c>
      <c r="G5013">
        <v>3</v>
      </c>
      <c r="H5013">
        <v>0</v>
      </c>
      <c r="I5013" s="12" t="s">
        <v>359</v>
      </c>
      <c r="J5013" s="12" t="s">
        <v>360</v>
      </c>
      <c r="K5013" s="12" t="s">
        <v>133</v>
      </c>
      <c r="L5013" s="12" t="s">
        <v>82</v>
      </c>
      <c r="M5013">
        <v>12.65</v>
      </c>
      <c r="N5013" s="12" t="s">
        <v>145</v>
      </c>
      <c r="O5013" s="12" t="s">
        <v>146</v>
      </c>
      <c r="P5013" s="12" t="s">
        <v>109</v>
      </c>
      <c r="Q5013" s="13">
        <v>45805</v>
      </c>
      <c r="R5013" s="13">
        <v>45835</v>
      </c>
      <c r="S5013">
        <v>2025</v>
      </c>
      <c r="T5013" s="12" t="s">
        <v>5886</v>
      </c>
      <c r="U5013">
        <v>84</v>
      </c>
      <c r="V5013">
        <v>97.418599999999998</v>
      </c>
      <c r="W5013">
        <v>67.23</v>
      </c>
      <c r="X5013">
        <v>0</v>
      </c>
      <c r="Y5013">
        <v>0</v>
      </c>
      <c r="Z5013">
        <v>8183.16</v>
      </c>
      <c r="AA5013">
        <v>8250.39</v>
      </c>
      <c r="AB5013" s="12" t="s">
        <v>6085</v>
      </c>
      <c r="AC5013">
        <v>97.418599999999998</v>
      </c>
      <c r="AD5013">
        <v>1</v>
      </c>
      <c r="AE5013">
        <v>1</v>
      </c>
      <c r="AF5013">
        <v>0</v>
      </c>
      <c r="AG5013">
        <v>8183.16</v>
      </c>
      <c r="AH5013">
        <v>84</v>
      </c>
      <c r="AI5013">
        <v>83</v>
      </c>
      <c r="AJ5013">
        <v>1</v>
      </c>
      <c r="AK5013">
        <v>1</v>
      </c>
      <c r="AL5013">
        <v>1</v>
      </c>
      <c r="AM5013">
        <v>98.81</v>
      </c>
      <c r="AN5013">
        <v>99.402299999999997</v>
      </c>
      <c r="AO5013">
        <v>97.42</v>
      </c>
      <c r="AP5013" s="13">
        <v>45834</v>
      </c>
      <c r="AQ5013">
        <v>-1</v>
      </c>
      <c r="AR5013">
        <v>1</v>
      </c>
    </row>
    <row r="5014" spans="1:44" x14ac:dyDescent="0.35">
      <c r="A5014" s="12" t="s">
        <v>6086</v>
      </c>
      <c r="B5014" s="12" t="s">
        <v>498</v>
      </c>
      <c r="C5014" s="12" t="s">
        <v>499</v>
      </c>
      <c r="D5014" s="12" t="s">
        <v>175</v>
      </c>
      <c r="E5014" s="12" t="s">
        <v>104</v>
      </c>
      <c r="F5014">
        <v>3</v>
      </c>
      <c r="G5014">
        <v>1</v>
      </c>
      <c r="H5014">
        <v>0</v>
      </c>
      <c r="I5014" s="12" t="s">
        <v>233</v>
      </c>
      <c r="J5014" s="12" t="s">
        <v>234</v>
      </c>
      <c r="K5014" s="12" t="s">
        <v>125</v>
      </c>
      <c r="L5014" s="12" t="s">
        <v>96</v>
      </c>
      <c r="M5014">
        <v>3.73</v>
      </c>
      <c r="N5014" s="12" t="s">
        <v>145</v>
      </c>
      <c r="O5014" s="12" t="s">
        <v>146</v>
      </c>
      <c r="P5014" s="12" t="s">
        <v>109</v>
      </c>
      <c r="Q5014" s="13">
        <v>45805</v>
      </c>
      <c r="R5014" s="13">
        <v>45826</v>
      </c>
      <c r="S5014">
        <v>2025</v>
      </c>
      <c r="T5014" s="12" t="s">
        <v>5886</v>
      </c>
      <c r="U5014">
        <v>87</v>
      </c>
      <c r="V5014">
        <v>262.52229999999997</v>
      </c>
      <c r="W5014">
        <v>453.05</v>
      </c>
      <c r="X5014">
        <v>0</v>
      </c>
      <c r="Y5014">
        <v>0</v>
      </c>
      <c r="Z5014">
        <v>22839.439999999999</v>
      </c>
      <c r="AA5014">
        <v>23292.49</v>
      </c>
      <c r="AB5014" s="12" t="s">
        <v>5729</v>
      </c>
      <c r="AC5014">
        <v>262.52229999999997</v>
      </c>
      <c r="AD5014">
        <v>1</v>
      </c>
      <c r="AE5014">
        <v>1</v>
      </c>
      <c r="AF5014">
        <v>0</v>
      </c>
      <c r="AG5014">
        <v>22839.439999999999</v>
      </c>
      <c r="AH5014">
        <v>87</v>
      </c>
      <c r="AI5014">
        <v>86</v>
      </c>
      <c r="AJ5014">
        <v>1</v>
      </c>
      <c r="AK5014">
        <v>1</v>
      </c>
      <c r="AL5014">
        <v>1</v>
      </c>
      <c r="AM5014">
        <v>98.85</v>
      </c>
      <c r="AN5014">
        <v>270.84289999999999</v>
      </c>
      <c r="AO5014">
        <v>262.52</v>
      </c>
      <c r="AP5014" s="13">
        <v>45826</v>
      </c>
      <c r="AQ5014">
        <v>0</v>
      </c>
      <c r="AR5014">
        <v>1</v>
      </c>
    </row>
    <row r="5015" spans="1:44" x14ac:dyDescent="0.35">
      <c r="A5015" s="12" t="s">
        <v>6087</v>
      </c>
      <c r="B5015" s="12" t="s">
        <v>163</v>
      </c>
      <c r="C5015" s="12" t="s">
        <v>164</v>
      </c>
      <c r="D5015" s="12" t="s">
        <v>64</v>
      </c>
      <c r="E5015" s="12" t="s">
        <v>104</v>
      </c>
      <c r="F5015">
        <v>2</v>
      </c>
      <c r="G5015">
        <v>0</v>
      </c>
      <c r="H5015">
        <v>0</v>
      </c>
      <c r="I5015" s="12" t="s">
        <v>79</v>
      </c>
      <c r="J5015" s="12" t="s">
        <v>80</v>
      </c>
      <c r="K5015" s="12" t="s">
        <v>81</v>
      </c>
      <c r="L5015" s="12" t="s">
        <v>82</v>
      </c>
      <c r="M5015">
        <v>12.07</v>
      </c>
      <c r="N5015" s="12" t="s">
        <v>70</v>
      </c>
      <c r="O5015" s="12" t="s">
        <v>71</v>
      </c>
      <c r="P5015" s="12" t="s">
        <v>72</v>
      </c>
      <c r="Q5015" s="13">
        <v>45806</v>
      </c>
      <c r="R5015" s="13">
        <v>45829</v>
      </c>
      <c r="S5015">
        <v>2025</v>
      </c>
      <c r="T5015" s="12" t="s">
        <v>5886</v>
      </c>
      <c r="U5015">
        <v>685</v>
      </c>
      <c r="V5015">
        <v>10.482900000000001</v>
      </c>
      <c r="W5015">
        <v>170.89</v>
      </c>
      <c r="X5015">
        <v>0</v>
      </c>
      <c r="Y5015">
        <v>0</v>
      </c>
      <c r="Z5015">
        <v>7180.79</v>
      </c>
      <c r="AA5015">
        <v>7351.68</v>
      </c>
      <c r="AB5015" s="12" t="s">
        <v>5303</v>
      </c>
      <c r="AC5015">
        <v>10.482900000000001</v>
      </c>
      <c r="AD5015">
        <v>1</v>
      </c>
      <c r="AE5015">
        <v>1</v>
      </c>
      <c r="AF5015">
        <v>0</v>
      </c>
      <c r="AG5015">
        <v>7180.79</v>
      </c>
      <c r="AH5015">
        <v>685</v>
      </c>
      <c r="AI5015">
        <v>681</v>
      </c>
      <c r="AJ5015">
        <v>4</v>
      </c>
      <c r="AK5015">
        <v>1</v>
      </c>
      <c r="AL5015">
        <v>1</v>
      </c>
      <c r="AM5015">
        <v>99.42</v>
      </c>
      <c r="AN5015">
        <v>10.795400000000001</v>
      </c>
      <c r="AO5015">
        <v>41.93</v>
      </c>
      <c r="AP5015" s="13">
        <v>45828</v>
      </c>
      <c r="AQ5015">
        <v>-1</v>
      </c>
      <c r="AR5015">
        <v>1</v>
      </c>
    </row>
    <row r="5016" spans="1:44" x14ac:dyDescent="0.35">
      <c r="A5016" s="12" t="s">
        <v>6088</v>
      </c>
      <c r="B5016" s="12" t="s">
        <v>437</v>
      </c>
      <c r="C5016" s="12" t="s">
        <v>438</v>
      </c>
      <c r="D5016" s="12" t="s">
        <v>269</v>
      </c>
      <c r="E5016" s="12" t="s">
        <v>65</v>
      </c>
      <c r="F5016">
        <v>2</v>
      </c>
      <c r="G5016">
        <v>4</v>
      </c>
      <c r="H5016">
        <v>0</v>
      </c>
      <c r="I5016" s="12" t="s">
        <v>115</v>
      </c>
      <c r="J5016" s="12" t="s">
        <v>116</v>
      </c>
      <c r="K5016" s="12" t="s">
        <v>117</v>
      </c>
      <c r="L5016" s="12" t="s">
        <v>82</v>
      </c>
      <c r="M5016">
        <v>17.170000000000002</v>
      </c>
      <c r="N5016" s="12" t="s">
        <v>135</v>
      </c>
      <c r="O5016" s="12" t="s">
        <v>136</v>
      </c>
      <c r="P5016" s="12" t="s">
        <v>137</v>
      </c>
      <c r="Q5016" s="13">
        <v>45806</v>
      </c>
      <c r="R5016" s="13">
        <v>45832</v>
      </c>
      <c r="S5016">
        <v>2025</v>
      </c>
      <c r="T5016" s="12" t="s">
        <v>5886</v>
      </c>
      <c r="U5016">
        <v>49</v>
      </c>
      <c r="V5016">
        <v>409.1377</v>
      </c>
      <c r="W5016">
        <v>402.24</v>
      </c>
      <c r="X5016">
        <v>0</v>
      </c>
      <c r="Y5016">
        <v>0</v>
      </c>
      <c r="Z5016">
        <v>20047.75</v>
      </c>
      <c r="AA5016">
        <v>20449.990000000002</v>
      </c>
      <c r="AB5016" s="12" t="s">
        <v>5505</v>
      </c>
      <c r="AC5016">
        <v>409.1377</v>
      </c>
      <c r="AD5016">
        <v>1</v>
      </c>
      <c r="AE5016">
        <v>1</v>
      </c>
      <c r="AF5016">
        <v>0</v>
      </c>
      <c r="AG5016">
        <v>20047.75</v>
      </c>
      <c r="AH5016">
        <v>49</v>
      </c>
      <c r="AI5016">
        <v>48</v>
      </c>
      <c r="AJ5016">
        <v>1</v>
      </c>
      <c r="AK5016">
        <v>1</v>
      </c>
      <c r="AL5016">
        <v>1</v>
      </c>
      <c r="AM5016">
        <v>97.96</v>
      </c>
      <c r="AN5016">
        <v>426.04140000000001</v>
      </c>
      <c r="AO5016">
        <v>409.14</v>
      </c>
      <c r="AP5016" s="13">
        <v>45829</v>
      </c>
      <c r="AQ5016">
        <v>-3</v>
      </c>
      <c r="AR5016">
        <v>1</v>
      </c>
    </row>
    <row r="5017" spans="1:44" x14ac:dyDescent="0.35">
      <c r="A5017" s="12" t="s">
        <v>6089</v>
      </c>
      <c r="B5017" s="12" t="s">
        <v>1068</v>
      </c>
      <c r="C5017" s="12" t="s">
        <v>1069</v>
      </c>
      <c r="D5017" s="12" t="s">
        <v>122</v>
      </c>
      <c r="E5017" s="12" t="s">
        <v>65</v>
      </c>
      <c r="F5017">
        <v>2</v>
      </c>
      <c r="G5017">
        <v>2</v>
      </c>
      <c r="H5017">
        <v>0</v>
      </c>
      <c r="I5017" s="12" t="s">
        <v>79</v>
      </c>
      <c r="J5017" s="12" t="s">
        <v>80</v>
      </c>
      <c r="K5017" s="12" t="s">
        <v>81</v>
      </c>
      <c r="L5017" s="12" t="s">
        <v>82</v>
      </c>
      <c r="M5017">
        <v>12.07</v>
      </c>
      <c r="N5017" s="12" t="s">
        <v>97</v>
      </c>
      <c r="O5017" s="12" t="s">
        <v>98</v>
      </c>
      <c r="P5017" s="12" t="s">
        <v>72</v>
      </c>
      <c r="Q5017" s="13">
        <v>45806</v>
      </c>
      <c r="R5017" s="13">
        <v>45827</v>
      </c>
      <c r="S5017">
        <v>2025</v>
      </c>
      <c r="T5017" s="12" t="s">
        <v>5886</v>
      </c>
      <c r="U5017">
        <v>202</v>
      </c>
      <c r="V5017">
        <v>20.8949</v>
      </c>
      <c r="W5017">
        <v>43.84</v>
      </c>
      <c r="X5017">
        <v>133.43</v>
      </c>
      <c r="Y5017">
        <v>1</v>
      </c>
      <c r="Z5017">
        <v>4220.7700000000004</v>
      </c>
      <c r="AA5017">
        <v>4398.04</v>
      </c>
      <c r="AB5017" s="12" t="s">
        <v>5478</v>
      </c>
      <c r="AC5017">
        <v>20.8949</v>
      </c>
      <c r="AD5017">
        <v>1</v>
      </c>
      <c r="AE5017">
        <v>1</v>
      </c>
      <c r="AF5017">
        <v>0</v>
      </c>
      <c r="AG5017">
        <v>4220.7700000000004</v>
      </c>
      <c r="AH5017">
        <v>202</v>
      </c>
      <c r="AI5017">
        <v>200</v>
      </c>
      <c r="AJ5017">
        <v>2</v>
      </c>
      <c r="AK5017">
        <v>1</v>
      </c>
      <c r="AL5017">
        <v>1</v>
      </c>
      <c r="AM5017">
        <v>99.01</v>
      </c>
      <c r="AN5017">
        <v>21.990200000000002</v>
      </c>
      <c r="AO5017">
        <v>41.79</v>
      </c>
      <c r="AP5017" s="13">
        <v>45834</v>
      </c>
      <c r="AQ5017">
        <v>7</v>
      </c>
      <c r="AR5017">
        <v>0</v>
      </c>
    </row>
    <row r="5018" spans="1:44" x14ac:dyDescent="0.35">
      <c r="A5018" s="12" t="s">
        <v>6090</v>
      </c>
      <c r="B5018" s="12" t="s">
        <v>519</v>
      </c>
      <c r="C5018" s="12" t="s">
        <v>520</v>
      </c>
      <c r="D5018" s="12" t="s">
        <v>78</v>
      </c>
      <c r="E5018" s="12" t="s">
        <v>65</v>
      </c>
      <c r="F5018">
        <v>2</v>
      </c>
      <c r="G5018">
        <v>3</v>
      </c>
      <c r="H5018">
        <v>0</v>
      </c>
      <c r="I5018" s="12" t="s">
        <v>143</v>
      </c>
      <c r="J5018" s="12" t="s">
        <v>144</v>
      </c>
      <c r="K5018" s="12" t="s">
        <v>133</v>
      </c>
      <c r="L5018" s="12" t="s">
        <v>96</v>
      </c>
      <c r="M5018">
        <v>5.43</v>
      </c>
      <c r="N5018" s="12" t="s">
        <v>70</v>
      </c>
      <c r="O5018" s="12" t="s">
        <v>71</v>
      </c>
      <c r="P5018" s="12" t="s">
        <v>72</v>
      </c>
      <c r="Q5018" s="13">
        <v>45806</v>
      </c>
      <c r="R5018" s="13">
        <v>45832</v>
      </c>
      <c r="S5018">
        <v>2025</v>
      </c>
      <c r="T5018" s="12" t="s">
        <v>5886</v>
      </c>
      <c r="U5018">
        <v>116</v>
      </c>
      <c r="V5018">
        <v>28.570399999999999</v>
      </c>
      <c r="W5018">
        <v>72.83</v>
      </c>
      <c r="X5018">
        <v>0</v>
      </c>
      <c r="Y5018">
        <v>0</v>
      </c>
      <c r="Z5018">
        <v>3314.17</v>
      </c>
      <c r="AA5018">
        <v>3387</v>
      </c>
      <c r="AB5018" s="12" t="s">
        <v>5619</v>
      </c>
      <c r="AC5018">
        <v>28.570399999999999</v>
      </c>
      <c r="AD5018">
        <v>1</v>
      </c>
      <c r="AE5018">
        <v>1</v>
      </c>
      <c r="AF5018">
        <v>0</v>
      </c>
      <c r="AG5018">
        <v>3314.17</v>
      </c>
      <c r="AH5018">
        <v>116</v>
      </c>
      <c r="AI5018">
        <v>113</v>
      </c>
      <c r="AJ5018">
        <v>3</v>
      </c>
      <c r="AK5018">
        <v>1</v>
      </c>
      <c r="AL5018">
        <v>1</v>
      </c>
      <c r="AM5018">
        <v>97.41</v>
      </c>
      <c r="AN5018">
        <v>29.973400000000002</v>
      </c>
      <c r="AO5018">
        <v>85.71</v>
      </c>
      <c r="AP5018" s="13">
        <v>45839</v>
      </c>
      <c r="AQ5018">
        <v>7</v>
      </c>
      <c r="AR5018">
        <v>0</v>
      </c>
    </row>
    <row r="5019" spans="1:44" x14ac:dyDescent="0.35">
      <c r="A5019" s="12" t="s">
        <v>6091</v>
      </c>
      <c r="B5019" s="12" t="s">
        <v>809</v>
      </c>
      <c r="C5019" s="12" t="s">
        <v>810</v>
      </c>
      <c r="D5019" s="12" t="s">
        <v>114</v>
      </c>
      <c r="E5019" s="12" t="s">
        <v>65</v>
      </c>
      <c r="F5019">
        <v>3</v>
      </c>
      <c r="G5019">
        <v>5</v>
      </c>
      <c r="H5019">
        <v>0</v>
      </c>
      <c r="I5019" s="12" t="s">
        <v>804</v>
      </c>
      <c r="J5019" s="12" t="s">
        <v>342</v>
      </c>
      <c r="K5019" s="12" t="s">
        <v>117</v>
      </c>
      <c r="L5019" s="12" t="s">
        <v>69</v>
      </c>
      <c r="M5019">
        <v>30.07</v>
      </c>
      <c r="N5019" s="12" t="s">
        <v>70</v>
      </c>
      <c r="O5019" s="12" t="s">
        <v>71</v>
      </c>
      <c r="P5019" s="12" t="s">
        <v>72</v>
      </c>
      <c r="Q5019" s="13">
        <v>45806</v>
      </c>
      <c r="R5019" s="13">
        <v>45832</v>
      </c>
      <c r="S5019">
        <v>2025</v>
      </c>
      <c r="T5019" s="12" t="s">
        <v>5886</v>
      </c>
      <c r="U5019">
        <v>56</v>
      </c>
      <c r="V5019">
        <v>302.71480000000003</v>
      </c>
      <c r="W5019">
        <v>394.88</v>
      </c>
      <c r="X5019">
        <v>0</v>
      </c>
      <c r="Y5019">
        <v>0</v>
      </c>
      <c r="Z5019">
        <v>16952.03</v>
      </c>
      <c r="AA5019">
        <v>17346.91</v>
      </c>
      <c r="AB5019" s="12" t="s">
        <v>5511</v>
      </c>
      <c r="AC5019">
        <v>302.71480000000003</v>
      </c>
      <c r="AD5019">
        <v>1</v>
      </c>
      <c r="AE5019">
        <v>1</v>
      </c>
      <c r="AF5019">
        <v>0</v>
      </c>
      <c r="AG5019">
        <v>16952.03</v>
      </c>
      <c r="AH5019">
        <v>56</v>
      </c>
      <c r="AI5019">
        <v>55</v>
      </c>
      <c r="AJ5019">
        <v>1</v>
      </c>
      <c r="AK5019">
        <v>1</v>
      </c>
      <c r="AL5019">
        <v>1</v>
      </c>
      <c r="AM5019">
        <v>98.21</v>
      </c>
      <c r="AN5019">
        <v>315.39830000000001</v>
      </c>
      <c r="AO5019">
        <v>302.70999999999998</v>
      </c>
      <c r="AP5019" s="13">
        <v>45831</v>
      </c>
      <c r="AQ5019">
        <v>-1</v>
      </c>
      <c r="AR5019">
        <v>1</v>
      </c>
    </row>
    <row r="5020" spans="1:44" x14ac:dyDescent="0.35">
      <c r="A5020" s="12" t="s">
        <v>6092</v>
      </c>
      <c r="B5020" s="12" t="s">
        <v>827</v>
      </c>
      <c r="C5020" s="12" t="s">
        <v>828</v>
      </c>
      <c r="D5020" s="12" t="s">
        <v>175</v>
      </c>
      <c r="E5020" s="12" t="s">
        <v>104</v>
      </c>
      <c r="F5020">
        <v>2</v>
      </c>
      <c r="G5020">
        <v>0</v>
      </c>
      <c r="H5020">
        <v>0</v>
      </c>
      <c r="I5020" s="12" t="s">
        <v>183</v>
      </c>
      <c r="J5020" s="12" t="s">
        <v>184</v>
      </c>
      <c r="K5020" s="12" t="s">
        <v>133</v>
      </c>
      <c r="L5020" s="12" t="s">
        <v>82</v>
      </c>
      <c r="M5020">
        <v>8.6199999999999992</v>
      </c>
      <c r="N5020" s="12" t="s">
        <v>107</v>
      </c>
      <c r="O5020" s="12" t="s">
        <v>108</v>
      </c>
      <c r="P5020" s="12" t="s">
        <v>109</v>
      </c>
      <c r="Q5020" s="13">
        <v>45806</v>
      </c>
      <c r="R5020" s="13">
        <v>45822</v>
      </c>
      <c r="S5020">
        <v>2025</v>
      </c>
      <c r="T5020" s="12" t="s">
        <v>5886</v>
      </c>
      <c r="U5020">
        <v>48</v>
      </c>
      <c r="V5020">
        <v>111.33759999999999</v>
      </c>
      <c r="W5020">
        <v>100.53</v>
      </c>
      <c r="X5020">
        <v>0</v>
      </c>
      <c r="Y5020">
        <v>0</v>
      </c>
      <c r="Z5020">
        <v>5344.2</v>
      </c>
      <c r="AA5020">
        <v>5444.73</v>
      </c>
      <c r="AB5020" s="12" t="s">
        <v>201</v>
      </c>
      <c r="AD5020">
        <v>0</v>
      </c>
      <c r="AE5020">
        <v>0</v>
      </c>
      <c r="AH5020">
        <v>48</v>
      </c>
      <c r="AI5020">
        <v>48</v>
      </c>
      <c r="AJ5020">
        <v>0</v>
      </c>
      <c r="AK5020">
        <v>1</v>
      </c>
      <c r="AL5020">
        <v>1</v>
      </c>
      <c r="AM5020">
        <v>100</v>
      </c>
      <c r="AN5020">
        <v>113.432</v>
      </c>
      <c r="AO5020">
        <v>0</v>
      </c>
      <c r="AP5020" s="13">
        <v>45831</v>
      </c>
      <c r="AQ5020">
        <v>9</v>
      </c>
      <c r="AR5020">
        <v>0</v>
      </c>
    </row>
    <row r="5021" spans="1:44" x14ac:dyDescent="0.35">
      <c r="A5021" s="12" t="s">
        <v>6093</v>
      </c>
      <c r="B5021" s="12" t="s">
        <v>1026</v>
      </c>
      <c r="C5021" s="12" t="s">
        <v>1027</v>
      </c>
      <c r="D5021" s="12" t="s">
        <v>122</v>
      </c>
      <c r="E5021" s="12" t="s">
        <v>104</v>
      </c>
      <c r="F5021">
        <v>3</v>
      </c>
      <c r="G5021">
        <v>1</v>
      </c>
      <c r="H5021">
        <v>0</v>
      </c>
      <c r="I5021" s="12" t="s">
        <v>604</v>
      </c>
      <c r="J5021" s="12" t="s">
        <v>605</v>
      </c>
      <c r="K5021" s="12" t="s">
        <v>68</v>
      </c>
      <c r="L5021" s="12" t="s">
        <v>82</v>
      </c>
      <c r="M5021">
        <v>7.24</v>
      </c>
      <c r="N5021" s="12" t="s">
        <v>97</v>
      </c>
      <c r="O5021" s="12" t="s">
        <v>98</v>
      </c>
      <c r="P5021" s="12" t="s">
        <v>72</v>
      </c>
      <c r="Q5021" s="13">
        <v>45806</v>
      </c>
      <c r="R5021" s="13">
        <v>45828</v>
      </c>
      <c r="S5021">
        <v>2025</v>
      </c>
      <c r="T5021" s="12" t="s">
        <v>5886</v>
      </c>
      <c r="U5021">
        <v>1221</v>
      </c>
      <c r="V5021">
        <v>40.553100000000001</v>
      </c>
      <c r="W5021">
        <v>863.85</v>
      </c>
      <c r="X5021">
        <v>0</v>
      </c>
      <c r="Y5021">
        <v>0</v>
      </c>
      <c r="Z5021">
        <v>49515.34</v>
      </c>
      <c r="AA5021">
        <v>50379.19</v>
      </c>
      <c r="AB5021" s="12" t="s">
        <v>6094</v>
      </c>
      <c r="AC5021">
        <v>40.553100000000001</v>
      </c>
      <c r="AD5021">
        <v>1</v>
      </c>
      <c r="AE5021">
        <v>1</v>
      </c>
      <c r="AF5021">
        <v>0</v>
      </c>
      <c r="AG5021">
        <v>49515.34</v>
      </c>
      <c r="AH5021">
        <v>1221</v>
      </c>
      <c r="AI5021">
        <v>1213</v>
      </c>
      <c r="AJ5021">
        <v>8</v>
      </c>
      <c r="AK5021">
        <v>1</v>
      </c>
      <c r="AL5021">
        <v>1</v>
      </c>
      <c r="AM5021">
        <v>99.34</v>
      </c>
      <c r="AN5021">
        <v>41.532699999999998</v>
      </c>
      <c r="AO5021">
        <v>324.42</v>
      </c>
      <c r="AP5021" s="13">
        <v>45826</v>
      </c>
      <c r="AQ5021">
        <v>-2</v>
      </c>
      <c r="AR5021">
        <v>1</v>
      </c>
    </row>
    <row r="5022" spans="1:44" x14ac:dyDescent="0.35">
      <c r="A5022" s="12" t="s">
        <v>6095</v>
      </c>
      <c r="B5022" s="12" t="s">
        <v>289</v>
      </c>
      <c r="C5022" s="12" t="s">
        <v>290</v>
      </c>
      <c r="D5022" s="12" t="s">
        <v>175</v>
      </c>
      <c r="E5022" s="12" t="s">
        <v>104</v>
      </c>
      <c r="F5022">
        <v>3</v>
      </c>
      <c r="G5022">
        <v>1</v>
      </c>
      <c r="H5022">
        <v>0</v>
      </c>
      <c r="I5022" s="12" t="s">
        <v>157</v>
      </c>
      <c r="J5022" s="12" t="s">
        <v>158</v>
      </c>
      <c r="K5022" s="12" t="s">
        <v>117</v>
      </c>
      <c r="L5022" s="12" t="s">
        <v>96</v>
      </c>
      <c r="M5022">
        <v>4.72</v>
      </c>
      <c r="N5022" s="12" t="s">
        <v>107</v>
      </c>
      <c r="O5022" s="12" t="s">
        <v>108</v>
      </c>
      <c r="P5022" s="12" t="s">
        <v>109</v>
      </c>
      <c r="Q5022" s="13">
        <v>45806</v>
      </c>
      <c r="R5022" s="13">
        <v>45827</v>
      </c>
      <c r="S5022">
        <v>2025</v>
      </c>
      <c r="T5022" s="12" t="s">
        <v>5886</v>
      </c>
      <c r="U5022">
        <v>85</v>
      </c>
      <c r="V5022">
        <v>180.4204</v>
      </c>
      <c r="W5022">
        <v>155.30000000000001</v>
      </c>
      <c r="X5022">
        <v>0</v>
      </c>
      <c r="Y5022">
        <v>0</v>
      </c>
      <c r="Z5022">
        <v>15335.73</v>
      </c>
      <c r="AA5022">
        <v>15491.03</v>
      </c>
      <c r="AB5022" s="12" t="s">
        <v>201</v>
      </c>
      <c r="AD5022">
        <v>0</v>
      </c>
      <c r="AE5022">
        <v>0</v>
      </c>
      <c r="AH5022">
        <v>85</v>
      </c>
      <c r="AI5022">
        <v>84</v>
      </c>
      <c r="AJ5022">
        <v>1</v>
      </c>
      <c r="AK5022">
        <v>1</v>
      </c>
      <c r="AL5022">
        <v>1</v>
      </c>
      <c r="AM5022">
        <v>98.82</v>
      </c>
      <c r="AN5022">
        <v>184.4171</v>
      </c>
      <c r="AO5022">
        <v>180.42</v>
      </c>
      <c r="AP5022" s="13">
        <v>45826</v>
      </c>
      <c r="AQ5022">
        <v>-1</v>
      </c>
      <c r="AR5022">
        <v>1</v>
      </c>
    </row>
    <row r="5023" spans="1:44" x14ac:dyDescent="0.35">
      <c r="A5023" s="12" t="s">
        <v>6096</v>
      </c>
      <c r="B5023" s="12" t="s">
        <v>140</v>
      </c>
      <c r="C5023" s="12" t="s">
        <v>141</v>
      </c>
      <c r="D5023" s="12" t="s">
        <v>103</v>
      </c>
      <c r="E5023" s="12" t="s">
        <v>142</v>
      </c>
      <c r="F5023">
        <v>1</v>
      </c>
      <c r="G5023">
        <v>7</v>
      </c>
      <c r="H5023">
        <v>1</v>
      </c>
      <c r="I5023" s="12" t="s">
        <v>143</v>
      </c>
      <c r="J5023" s="12" t="s">
        <v>144</v>
      </c>
      <c r="K5023" s="12" t="s">
        <v>133</v>
      </c>
      <c r="L5023" s="12" t="s">
        <v>96</v>
      </c>
      <c r="M5023">
        <v>5.43</v>
      </c>
      <c r="N5023" s="12" t="s">
        <v>145</v>
      </c>
      <c r="O5023" s="12" t="s">
        <v>146</v>
      </c>
      <c r="P5023" s="12" t="s">
        <v>109</v>
      </c>
      <c r="Q5023" s="13">
        <v>45806</v>
      </c>
      <c r="R5023" s="13">
        <v>45842</v>
      </c>
      <c r="S5023">
        <v>2025</v>
      </c>
      <c r="T5023" s="12" t="s">
        <v>5886</v>
      </c>
      <c r="U5023">
        <v>20</v>
      </c>
      <c r="V5023">
        <v>210.93029999999999</v>
      </c>
      <c r="W5023">
        <v>28.45</v>
      </c>
      <c r="X5023">
        <v>0</v>
      </c>
      <c r="Y5023">
        <v>0</v>
      </c>
      <c r="Z5023">
        <v>4218.6099999999997</v>
      </c>
      <c r="AA5023">
        <v>4247.0600000000004</v>
      </c>
      <c r="AB5023" s="12" t="s">
        <v>5126</v>
      </c>
      <c r="AC5023">
        <v>210.93029999999999</v>
      </c>
      <c r="AD5023">
        <v>1</v>
      </c>
      <c r="AE5023">
        <v>1</v>
      </c>
      <c r="AF5023">
        <v>0</v>
      </c>
      <c r="AG5023">
        <v>4218.6099999999997</v>
      </c>
      <c r="AH5023">
        <v>20</v>
      </c>
      <c r="AI5023">
        <v>20</v>
      </c>
      <c r="AJ5023">
        <v>0</v>
      </c>
      <c r="AK5023">
        <v>1</v>
      </c>
      <c r="AL5023">
        <v>1</v>
      </c>
      <c r="AM5023">
        <v>100</v>
      </c>
      <c r="AN5023">
        <v>212.3528</v>
      </c>
      <c r="AO5023">
        <v>0</v>
      </c>
      <c r="AP5023" s="13">
        <v>45840</v>
      </c>
      <c r="AQ5023">
        <v>-2</v>
      </c>
      <c r="AR5023">
        <v>1</v>
      </c>
    </row>
    <row r="5024" spans="1:44" x14ac:dyDescent="0.35">
      <c r="A5024" s="12" t="s">
        <v>6097</v>
      </c>
      <c r="B5024" s="12" t="s">
        <v>670</v>
      </c>
      <c r="C5024" s="12" t="s">
        <v>671</v>
      </c>
      <c r="D5024" s="12" t="s">
        <v>175</v>
      </c>
      <c r="E5024" s="12" t="s">
        <v>142</v>
      </c>
      <c r="F5024">
        <v>2</v>
      </c>
      <c r="G5024">
        <v>9</v>
      </c>
      <c r="H5024">
        <v>0</v>
      </c>
      <c r="I5024" s="12" t="s">
        <v>233</v>
      </c>
      <c r="J5024" s="12" t="s">
        <v>234</v>
      </c>
      <c r="K5024" s="12" t="s">
        <v>125</v>
      </c>
      <c r="L5024" s="12" t="s">
        <v>96</v>
      </c>
      <c r="M5024">
        <v>3.73</v>
      </c>
      <c r="N5024" s="12" t="s">
        <v>145</v>
      </c>
      <c r="O5024" s="12" t="s">
        <v>146</v>
      </c>
      <c r="P5024" s="12" t="s">
        <v>109</v>
      </c>
      <c r="Q5024" s="13">
        <v>45806</v>
      </c>
      <c r="R5024" s="13">
        <v>45841</v>
      </c>
      <c r="S5024">
        <v>2025</v>
      </c>
      <c r="T5024" s="12" t="s">
        <v>5886</v>
      </c>
      <c r="U5024">
        <v>12</v>
      </c>
      <c r="V5024">
        <v>144.0438</v>
      </c>
      <c r="W5024">
        <v>40.090000000000003</v>
      </c>
      <c r="X5024">
        <v>0</v>
      </c>
      <c r="Y5024">
        <v>0</v>
      </c>
      <c r="Z5024">
        <v>1728.53</v>
      </c>
      <c r="AA5024">
        <v>1768.62</v>
      </c>
      <c r="AB5024" s="12" t="s">
        <v>6098</v>
      </c>
      <c r="AC5024">
        <v>144.0438</v>
      </c>
      <c r="AD5024">
        <v>1</v>
      </c>
      <c r="AE5024">
        <v>1</v>
      </c>
      <c r="AF5024">
        <v>0</v>
      </c>
      <c r="AG5024">
        <v>1728.53</v>
      </c>
      <c r="AH5024">
        <v>12</v>
      </c>
      <c r="AI5024">
        <v>12</v>
      </c>
      <c r="AJ5024">
        <v>0</v>
      </c>
      <c r="AK5024">
        <v>1</v>
      </c>
      <c r="AL5024">
        <v>1</v>
      </c>
      <c r="AM5024">
        <v>100</v>
      </c>
      <c r="AN5024">
        <v>147.38460000000001</v>
      </c>
      <c r="AO5024">
        <v>0</v>
      </c>
      <c r="AP5024" s="13">
        <v>45839</v>
      </c>
      <c r="AQ5024">
        <v>-2</v>
      </c>
      <c r="AR5024">
        <v>1</v>
      </c>
    </row>
    <row r="5025" spans="1:44" x14ac:dyDescent="0.35">
      <c r="A5025" s="12" t="s">
        <v>6099</v>
      </c>
      <c r="B5025" s="12" t="s">
        <v>163</v>
      </c>
      <c r="C5025" s="12" t="s">
        <v>164</v>
      </c>
      <c r="D5025" s="12" t="s">
        <v>64</v>
      </c>
      <c r="E5025" s="12" t="s">
        <v>104</v>
      </c>
      <c r="F5025">
        <v>2</v>
      </c>
      <c r="G5025">
        <v>0</v>
      </c>
      <c r="H5025">
        <v>0</v>
      </c>
      <c r="I5025" s="12" t="s">
        <v>183</v>
      </c>
      <c r="J5025" s="12" t="s">
        <v>184</v>
      </c>
      <c r="K5025" s="12" t="s">
        <v>133</v>
      </c>
      <c r="L5025" s="12" t="s">
        <v>82</v>
      </c>
      <c r="M5025">
        <v>8.6199999999999992</v>
      </c>
      <c r="N5025" s="12" t="s">
        <v>97</v>
      </c>
      <c r="O5025" s="12" t="s">
        <v>98</v>
      </c>
      <c r="P5025" s="12" t="s">
        <v>72</v>
      </c>
      <c r="Q5025" s="13">
        <v>45807</v>
      </c>
      <c r="R5025" s="13">
        <v>45822</v>
      </c>
      <c r="S5025">
        <v>2025</v>
      </c>
      <c r="T5025" s="12" t="s">
        <v>5886</v>
      </c>
      <c r="U5025">
        <v>257</v>
      </c>
      <c r="V5025">
        <v>12.0688</v>
      </c>
      <c r="W5025">
        <v>47.71</v>
      </c>
      <c r="X5025">
        <v>0</v>
      </c>
      <c r="Y5025">
        <v>0</v>
      </c>
      <c r="Z5025">
        <v>3101.68</v>
      </c>
      <c r="AA5025">
        <v>3149.39</v>
      </c>
      <c r="AB5025" s="12" t="s">
        <v>6100</v>
      </c>
      <c r="AC5025">
        <v>12.0688</v>
      </c>
      <c r="AD5025">
        <v>1</v>
      </c>
      <c r="AE5025">
        <v>1</v>
      </c>
      <c r="AF5025">
        <v>0</v>
      </c>
      <c r="AG5025">
        <v>3101.68</v>
      </c>
      <c r="AH5025">
        <v>257</v>
      </c>
      <c r="AI5025">
        <v>256</v>
      </c>
      <c r="AJ5025">
        <v>1</v>
      </c>
      <c r="AK5025">
        <v>1</v>
      </c>
      <c r="AL5025">
        <v>1</v>
      </c>
      <c r="AM5025">
        <v>99.61</v>
      </c>
      <c r="AN5025">
        <v>12.302300000000001</v>
      </c>
      <c r="AO5025">
        <v>12.07</v>
      </c>
      <c r="AP5025" s="13">
        <v>45822</v>
      </c>
      <c r="AQ5025">
        <v>0</v>
      </c>
      <c r="AR5025">
        <v>1</v>
      </c>
    </row>
    <row r="5026" spans="1:44" x14ac:dyDescent="0.35">
      <c r="A5026" s="12" t="s">
        <v>6101</v>
      </c>
      <c r="B5026" s="12" t="s">
        <v>565</v>
      </c>
      <c r="C5026" s="12" t="s">
        <v>566</v>
      </c>
      <c r="D5026" s="12" t="s">
        <v>122</v>
      </c>
      <c r="E5026" s="12" t="s">
        <v>104</v>
      </c>
      <c r="F5026">
        <v>3</v>
      </c>
      <c r="G5026">
        <v>1</v>
      </c>
      <c r="H5026">
        <v>0</v>
      </c>
      <c r="I5026" s="12" t="s">
        <v>87</v>
      </c>
      <c r="J5026" s="12" t="s">
        <v>88</v>
      </c>
      <c r="K5026" s="12" t="s">
        <v>89</v>
      </c>
      <c r="L5026" s="12" t="s">
        <v>69</v>
      </c>
      <c r="M5026">
        <v>14.93</v>
      </c>
      <c r="N5026" s="12" t="s">
        <v>70</v>
      </c>
      <c r="O5026" s="12" t="s">
        <v>71</v>
      </c>
      <c r="P5026" s="12" t="s">
        <v>72</v>
      </c>
      <c r="Q5026" s="13">
        <v>45807</v>
      </c>
      <c r="R5026" s="13">
        <v>45829</v>
      </c>
      <c r="S5026">
        <v>2025</v>
      </c>
      <c r="T5026" s="12" t="s">
        <v>5886</v>
      </c>
      <c r="U5026">
        <v>1243</v>
      </c>
      <c r="V5026">
        <v>33.2194</v>
      </c>
      <c r="W5026">
        <v>614.62</v>
      </c>
      <c r="X5026">
        <v>1354.24</v>
      </c>
      <c r="Y5026">
        <v>1</v>
      </c>
      <c r="Z5026">
        <v>41291.71</v>
      </c>
      <c r="AA5026">
        <v>43260.57</v>
      </c>
      <c r="AB5026" s="12" t="s">
        <v>5711</v>
      </c>
      <c r="AC5026">
        <v>33.2194</v>
      </c>
      <c r="AD5026">
        <v>1</v>
      </c>
      <c r="AE5026">
        <v>1</v>
      </c>
      <c r="AF5026">
        <v>0</v>
      </c>
      <c r="AG5026">
        <v>41291.71</v>
      </c>
      <c r="AH5026">
        <v>1243</v>
      </c>
      <c r="AI5026">
        <v>1237</v>
      </c>
      <c r="AJ5026">
        <v>6</v>
      </c>
      <c r="AK5026">
        <v>1</v>
      </c>
      <c r="AL5026">
        <v>1</v>
      </c>
      <c r="AM5026">
        <v>99.52</v>
      </c>
      <c r="AN5026">
        <v>34.972200000000001</v>
      </c>
      <c r="AO5026">
        <v>199.32</v>
      </c>
      <c r="AP5026" s="13">
        <v>45829</v>
      </c>
      <c r="AQ5026">
        <v>0</v>
      </c>
      <c r="AR5026">
        <v>1</v>
      </c>
    </row>
    <row r="5027" spans="1:44" x14ac:dyDescent="0.35">
      <c r="A5027" s="12" t="s">
        <v>6102</v>
      </c>
      <c r="B5027" s="12" t="s">
        <v>613</v>
      </c>
      <c r="C5027" s="12" t="s">
        <v>614</v>
      </c>
      <c r="D5027" s="12" t="s">
        <v>130</v>
      </c>
      <c r="E5027" s="12" t="s">
        <v>104</v>
      </c>
      <c r="F5027">
        <v>3</v>
      </c>
      <c r="G5027">
        <v>1</v>
      </c>
      <c r="H5027">
        <v>0</v>
      </c>
      <c r="I5027" s="12" t="s">
        <v>105</v>
      </c>
      <c r="J5027" s="12" t="s">
        <v>106</v>
      </c>
      <c r="K5027" s="12" t="s">
        <v>81</v>
      </c>
      <c r="L5027" s="12" t="s">
        <v>96</v>
      </c>
      <c r="M5027">
        <v>5.01</v>
      </c>
      <c r="N5027" s="12" t="s">
        <v>159</v>
      </c>
      <c r="O5027" s="12" t="s">
        <v>160</v>
      </c>
      <c r="P5027" s="12" t="s">
        <v>137</v>
      </c>
      <c r="Q5027" s="13">
        <v>45807</v>
      </c>
      <c r="R5027" s="13">
        <v>45832</v>
      </c>
      <c r="S5027">
        <v>2025</v>
      </c>
      <c r="T5027" s="12" t="s">
        <v>5886</v>
      </c>
      <c r="U5027">
        <v>117</v>
      </c>
      <c r="V5027">
        <v>178.6405</v>
      </c>
      <c r="W5027">
        <v>227.14</v>
      </c>
      <c r="X5027">
        <v>0</v>
      </c>
      <c r="Y5027">
        <v>0</v>
      </c>
      <c r="Z5027">
        <v>20900.939999999999</v>
      </c>
      <c r="AA5027">
        <v>21128.080000000002</v>
      </c>
      <c r="AB5027" s="12" t="s">
        <v>201</v>
      </c>
      <c r="AD5027">
        <v>0</v>
      </c>
      <c r="AE5027">
        <v>0</v>
      </c>
      <c r="AH5027">
        <v>117</v>
      </c>
      <c r="AI5027">
        <v>116</v>
      </c>
      <c r="AJ5027">
        <v>1</v>
      </c>
      <c r="AK5027">
        <v>1</v>
      </c>
      <c r="AL5027">
        <v>1</v>
      </c>
      <c r="AM5027">
        <v>99.15</v>
      </c>
      <c r="AN5027">
        <v>182.1386</v>
      </c>
      <c r="AO5027">
        <v>178.64</v>
      </c>
      <c r="AP5027" s="13">
        <v>45832</v>
      </c>
      <c r="AQ5027">
        <v>0</v>
      </c>
      <c r="AR5027">
        <v>1</v>
      </c>
    </row>
    <row r="5028" spans="1:44" x14ac:dyDescent="0.35">
      <c r="A5028" s="12" t="s">
        <v>6103</v>
      </c>
      <c r="B5028" s="12" t="s">
        <v>284</v>
      </c>
      <c r="C5028" s="12" t="s">
        <v>285</v>
      </c>
      <c r="D5028" s="12" t="s">
        <v>269</v>
      </c>
      <c r="E5028" s="12" t="s">
        <v>104</v>
      </c>
      <c r="F5028">
        <v>3</v>
      </c>
      <c r="G5028">
        <v>1</v>
      </c>
      <c r="H5028">
        <v>0</v>
      </c>
      <c r="I5028" s="12" t="s">
        <v>199</v>
      </c>
      <c r="J5028" s="12" t="s">
        <v>200</v>
      </c>
      <c r="K5028" s="12" t="s">
        <v>68</v>
      </c>
      <c r="L5028" s="12" t="s">
        <v>96</v>
      </c>
      <c r="M5028">
        <v>9.4700000000000006</v>
      </c>
      <c r="N5028" s="12" t="s">
        <v>135</v>
      </c>
      <c r="O5028" s="12" t="s">
        <v>136</v>
      </c>
      <c r="P5028" s="12" t="s">
        <v>137</v>
      </c>
      <c r="Q5028" s="13">
        <v>45807</v>
      </c>
      <c r="R5028" s="13">
        <v>45828</v>
      </c>
      <c r="S5028">
        <v>2025</v>
      </c>
      <c r="T5028" s="12" t="s">
        <v>5886</v>
      </c>
      <c r="U5028">
        <v>84</v>
      </c>
      <c r="V5028">
        <v>397.88</v>
      </c>
      <c r="W5028">
        <v>577</v>
      </c>
      <c r="X5028">
        <v>0</v>
      </c>
      <c r="Y5028">
        <v>0</v>
      </c>
      <c r="Z5028">
        <v>33421.919999999998</v>
      </c>
      <c r="AA5028">
        <v>33998.92</v>
      </c>
      <c r="AB5028" s="12" t="s">
        <v>201</v>
      </c>
      <c r="AD5028">
        <v>0</v>
      </c>
      <c r="AE5028">
        <v>0</v>
      </c>
      <c r="AH5028">
        <v>84</v>
      </c>
      <c r="AI5028">
        <v>83</v>
      </c>
      <c r="AJ5028">
        <v>1</v>
      </c>
      <c r="AK5028">
        <v>1</v>
      </c>
      <c r="AL5028">
        <v>1</v>
      </c>
      <c r="AM5028">
        <v>98.81</v>
      </c>
      <c r="AN5028">
        <v>409.62549999999999</v>
      </c>
      <c r="AO5028">
        <v>397.88</v>
      </c>
      <c r="AP5028" s="13">
        <v>45837</v>
      </c>
      <c r="AQ5028">
        <v>9</v>
      </c>
      <c r="AR5028">
        <v>0</v>
      </c>
    </row>
    <row r="5029" spans="1:44" x14ac:dyDescent="0.35">
      <c r="A5029" s="12" t="s">
        <v>6104</v>
      </c>
      <c r="B5029" s="12" t="s">
        <v>876</v>
      </c>
      <c r="C5029" s="12" t="s">
        <v>877</v>
      </c>
      <c r="D5029" s="12" t="s">
        <v>269</v>
      </c>
      <c r="E5029" s="12" t="s">
        <v>142</v>
      </c>
      <c r="F5029">
        <v>3</v>
      </c>
      <c r="G5029">
        <v>11</v>
      </c>
      <c r="H5029">
        <v>0</v>
      </c>
      <c r="I5029" s="12" t="s">
        <v>515</v>
      </c>
      <c r="J5029" s="12" t="s">
        <v>516</v>
      </c>
      <c r="K5029" s="12" t="s">
        <v>68</v>
      </c>
      <c r="L5029" s="12" t="s">
        <v>134</v>
      </c>
      <c r="M5029">
        <v>3.69</v>
      </c>
      <c r="N5029" s="12" t="s">
        <v>135</v>
      </c>
      <c r="O5029" s="12" t="s">
        <v>136</v>
      </c>
      <c r="P5029" s="12" t="s">
        <v>137</v>
      </c>
      <c r="Q5029" s="13">
        <v>45807</v>
      </c>
      <c r="R5029" s="13">
        <v>45858</v>
      </c>
      <c r="S5029">
        <v>2025</v>
      </c>
      <c r="T5029" s="12" t="s">
        <v>5886</v>
      </c>
      <c r="U5029">
        <v>140</v>
      </c>
      <c r="V5029">
        <v>179.24969999999999</v>
      </c>
      <c r="W5029">
        <v>638.28</v>
      </c>
      <c r="X5029">
        <v>790.1</v>
      </c>
      <c r="Y5029">
        <v>1</v>
      </c>
      <c r="Z5029">
        <v>25094.959999999999</v>
      </c>
      <c r="AA5029">
        <v>26523.34</v>
      </c>
      <c r="AB5029" s="12" t="s">
        <v>5961</v>
      </c>
      <c r="AC5029">
        <v>179.24969999999999</v>
      </c>
      <c r="AD5029">
        <v>1</v>
      </c>
      <c r="AE5029">
        <v>1</v>
      </c>
      <c r="AF5029">
        <v>0</v>
      </c>
      <c r="AG5029">
        <v>25094.959999999999</v>
      </c>
      <c r="AH5029">
        <v>140</v>
      </c>
      <c r="AI5029">
        <v>139</v>
      </c>
      <c r="AJ5029">
        <v>1</v>
      </c>
      <c r="AK5029">
        <v>1</v>
      </c>
      <c r="AL5029">
        <v>1</v>
      </c>
      <c r="AM5029">
        <v>99.29</v>
      </c>
      <c r="AN5029">
        <v>190.81540000000001</v>
      </c>
      <c r="AO5029">
        <v>179.25</v>
      </c>
      <c r="AP5029" s="13">
        <v>45858</v>
      </c>
      <c r="AQ5029">
        <v>0</v>
      </c>
      <c r="AR5029">
        <v>1</v>
      </c>
    </row>
    <row r="5030" spans="1:44" x14ac:dyDescent="0.35">
      <c r="A5030" s="12" t="s">
        <v>6105</v>
      </c>
      <c r="B5030" s="12" t="s">
        <v>357</v>
      </c>
      <c r="C5030" s="12" t="s">
        <v>358</v>
      </c>
      <c r="D5030" s="12" t="s">
        <v>103</v>
      </c>
      <c r="E5030" s="12" t="s">
        <v>104</v>
      </c>
      <c r="F5030">
        <v>3</v>
      </c>
      <c r="G5030">
        <v>1</v>
      </c>
      <c r="H5030">
        <v>0</v>
      </c>
      <c r="I5030" s="12" t="s">
        <v>151</v>
      </c>
      <c r="J5030" s="12" t="s">
        <v>152</v>
      </c>
      <c r="K5030" s="12" t="s">
        <v>125</v>
      </c>
      <c r="L5030" s="12" t="s">
        <v>69</v>
      </c>
      <c r="M5030">
        <v>36.479999999999997</v>
      </c>
      <c r="N5030" s="12" t="s">
        <v>145</v>
      </c>
      <c r="O5030" s="12" t="s">
        <v>146</v>
      </c>
      <c r="P5030" s="12" t="s">
        <v>109</v>
      </c>
      <c r="Q5030" s="13">
        <v>45807</v>
      </c>
      <c r="R5030" s="13">
        <v>45827</v>
      </c>
      <c r="S5030">
        <v>2025</v>
      </c>
      <c r="T5030" s="12" t="s">
        <v>5886</v>
      </c>
      <c r="U5030">
        <v>75</v>
      </c>
      <c r="V5030">
        <v>105.04300000000001</v>
      </c>
      <c r="W5030">
        <v>167.54</v>
      </c>
      <c r="X5030">
        <v>0</v>
      </c>
      <c r="Y5030">
        <v>0</v>
      </c>
      <c r="Z5030">
        <v>7878.23</v>
      </c>
      <c r="AA5030">
        <v>8045.77</v>
      </c>
      <c r="AB5030" s="12" t="s">
        <v>6064</v>
      </c>
      <c r="AC5030">
        <v>105.04300000000001</v>
      </c>
      <c r="AD5030">
        <v>1</v>
      </c>
      <c r="AE5030">
        <v>1</v>
      </c>
      <c r="AF5030">
        <v>0</v>
      </c>
      <c r="AG5030">
        <v>7878.23</v>
      </c>
      <c r="AH5030">
        <v>75</v>
      </c>
      <c r="AI5030">
        <v>74</v>
      </c>
      <c r="AJ5030">
        <v>1</v>
      </c>
      <c r="AK5030">
        <v>1</v>
      </c>
      <c r="AL5030">
        <v>1</v>
      </c>
      <c r="AM5030">
        <v>98.67</v>
      </c>
      <c r="AN5030">
        <v>108.7266</v>
      </c>
      <c r="AO5030">
        <v>105.04</v>
      </c>
      <c r="AP5030" s="13">
        <v>45831</v>
      </c>
      <c r="AQ5030">
        <v>4</v>
      </c>
      <c r="AR5030">
        <v>0</v>
      </c>
    </row>
    <row r="5031" spans="1:44" x14ac:dyDescent="0.35">
      <c r="A5031" s="12" t="s">
        <v>6106</v>
      </c>
      <c r="B5031" s="12" t="s">
        <v>490</v>
      </c>
      <c r="C5031" s="12" t="s">
        <v>491</v>
      </c>
      <c r="D5031" s="12" t="s">
        <v>130</v>
      </c>
      <c r="E5031" s="12" t="s">
        <v>104</v>
      </c>
      <c r="F5031">
        <v>3</v>
      </c>
      <c r="G5031">
        <v>1</v>
      </c>
      <c r="H5031">
        <v>0</v>
      </c>
      <c r="I5031" s="12" t="s">
        <v>176</v>
      </c>
      <c r="J5031" s="12" t="s">
        <v>177</v>
      </c>
      <c r="K5031" s="12" t="s">
        <v>125</v>
      </c>
      <c r="L5031" s="12" t="s">
        <v>134</v>
      </c>
      <c r="M5031">
        <v>1.75</v>
      </c>
      <c r="N5031" s="12" t="s">
        <v>135</v>
      </c>
      <c r="O5031" s="12" t="s">
        <v>136</v>
      </c>
      <c r="P5031" s="12" t="s">
        <v>137</v>
      </c>
      <c r="Q5031" s="13">
        <v>45807</v>
      </c>
      <c r="R5031" s="13">
        <v>45826</v>
      </c>
      <c r="S5031">
        <v>2025</v>
      </c>
      <c r="T5031" s="12" t="s">
        <v>5886</v>
      </c>
      <c r="U5031">
        <v>71</v>
      </c>
      <c r="V5031">
        <v>234.9982</v>
      </c>
      <c r="W5031">
        <v>394.21</v>
      </c>
      <c r="X5031">
        <v>0</v>
      </c>
      <c r="Y5031">
        <v>0</v>
      </c>
      <c r="Z5031">
        <v>16684.87</v>
      </c>
      <c r="AA5031">
        <v>17079.080000000002</v>
      </c>
      <c r="AB5031" s="12" t="s">
        <v>5760</v>
      </c>
      <c r="AC5031">
        <v>234.9982</v>
      </c>
      <c r="AD5031">
        <v>1</v>
      </c>
      <c r="AE5031">
        <v>1</v>
      </c>
      <c r="AF5031">
        <v>0</v>
      </c>
      <c r="AG5031">
        <v>16684.87</v>
      </c>
      <c r="AH5031">
        <v>71</v>
      </c>
      <c r="AI5031">
        <v>70</v>
      </c>
      <c r="AJ5031">
        <v>1</v>
      </c>
      <c r="AK5031">
        <v>1</v>
      </c>
      <c r="AL5031">
        <v>1</v>
      </c>
      <c r="AM5031">
        <v>98.59</v>
      </c>
      <c r="AN5031">
        <v>243.98689999999999</v>
      </c>
      <c r="AO5031">
        <v>235</v>
      </c>
      <c r="AP5031" s="13">
        <v>45826</v>
      </c>
      <c r="AQ5031">
        <v>0</v>
      </c>
      <c r="AR5031">
        <v>1</v>
      </c>
    </row>
    <row r="5032" spans="1:44" x14ac:dyDescent="0.35">
      <c r="A5032" s="12" t="s">
        <v>6107</v>
      </c>
      <c r="B5032" s="12" t="s">
        <v>362</v>
      </c>
      <c r="C5032" s="12" t="s">
        <v>363</v>
      </c>
      <c r="D5032" s="12" t="s">
        <v>78</v>
      </c>
      <c r="E5032" s="12" t="s">
        <v>104</v>
      </c>
      <c r="F5032">
        <v>3</v>
      </c>
      <c r="G5032">
        <v>0</v>
      </c>
      <c r="H5032">
        <v>0</v>
      </c>
      <c r="I5032" s="12" t="s">
        <v>157</v>
      </c>
      <c r="J5032" s="12" t="s">
        <v>158</v>
      </c>
      <c r="K5032" s="12" t="s">
        <v>117</v>
      </c>
      <c r="L5032" s="12" t="s">
        <v>96</v>
      </c>
      <c r="M5032">
        <v>4.72</v>
      </c>
      <c r="N5032" s="12" t="s">
        <v>70</v>
      </c>
      <c r="O5032" s="12" t="s">
        <v>71</v>
      </c>
      <c r="P5032" s="12" t="s">
        <v>72</v>
      </c>
      <c r="Q5032" s="13">
        <v>45807</v>
      </c>
      <c r="R5032" s="13">
        <v>45828</v>
      </c>
      <c r="S5032">
        <v>2025</v>
      </c>
      <c r="T5032" s="12" t="s">
        <v>5886</v>
      </c>
      <c r="U5032">
        <v>183</v>
      </c>
      <c r="V5032">
        <v>61.233699999999999</v>
      </c>
      <c r="W5032">
        <v>136.97</v>
      </c>
      <c r="X5032">
        <v>0</v>
      </c>
      <c r="Y5032">
        <v>0</v>
      </c>
      <c r="Z5032">
        <v>11205.77</v>
      </c>
      <c r="AA5032">
        <v>11342.74</v>
      </c>
      <c r="AB5032" s="12" t="s">
        <v>201</v>
      </c>
      <c r="AD5032">
        <v>0</v>
      </c>
      <c r="AE5032">
        <v>0</v>
      </c>
      <c r="AH5032">
        <v>183</v>
      </c>
      <c r="AI5032">
        <v>182</v>
      </c>
      <c r="AJ5032">
        <v>1</v>
      </c>
      <c r="AK5032">
        <v>1</v>
      </c>
      <c r="AL5032">
        <v>1</v>
      </c>
      <c r="AM5032">
        <v>99.45</v>
      </c>
      <c r="AN5032">
        <v>62.322699999999998</v>
      </c>
      <c r="AO5032">
        <v>61.23</v>
      </c>
      <c r="AP5032" s="13">
        <v>45827</v>
      </c>
      <c r="AQ5032">
        <v>-1</v>
      </c>
      <c r="AR5032">
        <v>1</v>
      </c>
    </row>
    <row r="5033" spans="1:44" x14ac:dyDescent="0.35">
      <c r="A5033" s="12" t="s">
        <v>6108</v>
      </c>
      <c r="B5033" s="12" t="s">
        <v>661</v>
      </c>
      <c r="C5033" s="12" t="s">
        <v>662</v>
      </c>
      <c r="D5033" s="12" t="s">
        <v>175</v>
      </c>
      <c r="E5033" s="12" t="s">
        <v>104</v>
      </c>
      <c r="F5033">
        <v>1</v>
      </c>
      <c r="G5033">
        <v>0</v>
      </c>
      <c r="H5033">
        <v>1</v>
      </c>
      <c r="I5033" s="12" t="s">
        <v>183</v>
      </c>
      <c r="J5033" s="12" t="s">
        <v>184</v>
      </c>
      <c r="K5033" s="12" t="s">
        <v>133</v>
      </c>
      <c r="L5033" s="12" t="s">
        <v>82</v>
      </c>
      <c r="M5033">
        <v>8.6199999999999992</v>
      </c>
      <c r="N5033" s="12" t="s">
        <v>145</v>
      </c>
      <c r="O5033" s="12" t="s">
        <v>146</v>
      </c>
      <c r="P5033" s="12" t="s">
        <v>109</v>
      </c>
      <c r="Q5033" s="13">
        <v>45807</v>
      </c>
      <c r="R5033" s="13">
        <v>45830</v>
      </c>
      <c r="S5033">
        <v>2025</v>
      </c>
      <c r="T5033" s="12" t="s">
        <v>5886</v>
      </c>
      <c r="U5033">
        <v>97</v>
      </c>
      <c r="V5033">
        <v>166.30070000000001</v>
      </c>
      <c r="W5033">
        <v>349.81</v>
      </c>
      <c r="X5033">
        <v>0</v>
      </c>
      <c r="Y5033">
        <v>0</v>
      </c>
      <c r="Z5033">
        <v>16131.17</v>
      </c>
      <c r="AA5033">
        <v>16480.98</v>
      </c>
      <c r="AB5033" s="12" t="s">
        <v>5336</v>
      </c>
      <c r="AC5033">
        <v>166.30070000000001</v>
      </c>
      <c r="AD5033">
        <v>1</v>
      </c>
      <c r="AE5033">
        <v>1</v>
      </c>
      <c r="AF5033">
        <v>0</v>
      </c>
      <c r="AG5033">
        <v>16131.17</v>
      </c>
      <c r="AH5033">
        <v>97</v>
      </c>
      <c r="AI5033">
        <v>96</v>
      </c>
      <c r="AJ5033">
        <v>1</v>
      </c>
      <c r="AK5033">
        <v>1</v>
      </c>
      <c r="AL5033">
        <v>1</v>
      </c>
      <c r="AM5033">
        <v>98.97</v>
      </c>
      <c r="AN5033">
        <v>171.67689999999999</v>
      </c>
      <c r="AO5033">
        <v>166.3</v>
      </c>
      <c r="AP5033" s="13">
        <v>45827</v>
      </c>
      <c r="AQ5033">
        <v>-3</v>
      </c>
      <c r="AR5033">
        <v>1</v>
      </c>
    </row>
    <row r="5034" spans="1:44" x14ac:dyDescent="0.35">
      <c r="A5034" s="12" t="s">
        <v>6109</v>
      </c>
      <c r="B5034" s="12" t="s">
        <v>391</v>
      </c>
      <c r="C5034" s="12" t="s">
        <v>392</v>
      </c>
      <c r="D5034" s="12" t="s">
        <v>114</v>
      </c>
      <c r="E5034" s="12" t="s">
        <v>65</v>
      </c>
      <c r="F5034">
        <v>2</v>
      </c>
      <c r="G5034">
        <v>2</v>
      </c>
      <c r="H5034">
        <v>0</v>
      </c>
      <c r="I5034" s="12" t="s">
        <v>310</v>
      </c>
      <c r="J5034" s="12" t="s">
        <v>311</v>
      </c>
      <c r="K5034" s="12" t="s">
        <v>81</v>
      </c>
      <c r="L5034" s="12" t="s">
        <v>69</v>
      </c>
      <c r="M5034">
        <v>28.3</v>
      </c>
      <c r="N5034" s="12" t="s">
        <v>70</v>
      </c>
      <c r="O5034" s="12" t="s">
        <v>71</v>
      </c>
      <c r="P5034" s="12" t="s">
        <v>72</v>
      </c>
      <c r="Q5034" s="13">
        <v>45807</v>
      </c>
      <c r="R5034" s="13">
        <v>45845</v>
      </c>
      <c r="S5034">
        <v>2025</v>
      </c>
      <c r="T5034" s="12" t="s">
        <v>5886</v>
      </c>
      <c r="U5034">
        <v>145</v>
      </c>
      <c r="V5034">
        <v>250.4443</v>
      </c>
      <c r="W5034">
        <v>659.19</v>
      </c>
      <c r="X5034">
        <v>0</v>
      </c>
      <c r="Y5034">
        <v>0</v>
      </c>
      <c r="Z5034">
        <v>36314.42</v>
      </c>
      <c r="AA5034">
        <v>36973.61</v>
      </c>
      <c r="AB5034" s="12" t="s">
        <v>201</v>
      </c>
      <c r="AD5034">
        <v>0</v>
      </c>
      <c r="AE5034">
        <v>0</v>
      </c>
      <c r="AH5034">
        <v>145</v>
      </c>
      <c r="AI5034">
        <v>142</v>
      </c>
      <c r="AJ5034">
        <v>3</v>
      </c>
      <c r="AK5034">
        <v>1</v>
      </c>
      <c r="AL5034">
        <v>1</v>
      </c>
      <c r="AM5034">
        <v>97.93</v>
      </c>
      <c r="AN5034">
        <v>260.37759999999997</v>
      </c>
      <c r="AO5034">
        <v>751.33</v>
      </c>
      <c r="AP5034" s="13">
        <v>45848</v>
      </c>
      <c r="AQ5034">
        <v>3</v>
      </c>
      <c r="AR5034">
        <v>0</v>
      </c>
    </row>
    <row r="5035" spans="1:44" x14ac:dyDescent="0.35">
      <c r="A5035" s="12" t="s">
        <v>6110</v>
      </c>
      <c r="B5035" s="12" t="s">
        <v>509</v>
      </c>
      <c r="C5035" s="12" t="s">
        <v>510</v>
      </c>
      <c r="D5035" s="12" t="s">
        <v>78</v>
      </c>
      <c r="E5035" s="12" t="s">
        <v>142</v>
      </c>
      <c r="F5035">
        <v>3</v>
      </c>
      <c r="G5035">
        <v>11</v>
      </c>
      <c r="H5035">
        <v>0</v>
      </c>
      <c r="I5035" s="12" t="s">
        <v>275</v>
      </c>
      <c r="J5035" s="12" t="s">
        <v>276</v>
      </c>
      <c r="K5035" s="12" t="s">
        <v>89</v>
      </c>
      <c r="L5035" s="12" t="s">
        <v>82</v>
      </c>
      <c r="M5035">
        <v>14.26</v>
      </c>
      <c r="N5035" s="12" t="s">
        <v>97</v>
      </c>
      <c r="O5035" s="12" t="s">
        <v>98</v>
      </c>
      <c r="P5035" s="12" t="s">
        <v>72</v>
      </c>
      <c r="Q5035" s="13">
        <v>45807</v>
      </c>
      <c r="R5035" s="13">
        <v>45845</v>
      </c>
      <c r="S5035">
        <v>2025</v>
      </c>
      <c r="T5035" s="12" t="s">
        <v>5886</v>
      </c>
      <c r="U5035">
        <v>92</v>
      </c>
      <c r="V5035">
        <v>129.607</v>
      </c>
      <c r="W5035">
        <v>135.99</v>
      </c>
      <c r="X5035">
        <v>0</v>
      </c>
      <c r="Y5035">
        <v>0</v>
      </c>
      <c r="Z5035">
        <v>11923.84</v>
      </c>
      <c r="AA5035">
        <v>12059.83</v>
      </c>
      <c r="AB5035" s="12" t="s">
        <v>5853</v>
      </c>
      <c r="AC5035">
        <v>129.607</v>
      </c>
      <c r="AD5035">
        <v>1</v>
      </c>
      <c r="AE5035">
        <v>1</v>
      </c>
      <c r="AF5035">
        <v>0</v>
      </c>
      <c r="AG5035">
        <v>11923.84</v>
      </c>
      <c r="AH5035">
        <v>92</v>
      </c>
      <c r="AI5035">
        <v>92</v>
      </c>
      <c r="AJ5035">
        <v>0</v>
      </c>
      <c r="AK5035">
        <v>1</v>
      </c>
      <c r="AL5035">
        <v>1</v>
      </c>
      <c r="AM5035">
        <v>100</v>
      </c>
      <c r="AN5035">
        <v>131.08519999999999</v>
      </c>
      <c r="AO5035">
        <v>0</v>
      </c>
      <c r="AP5035" s="13">
        <v>45842</v>
      </c>
      <c r="AQ5035">
        <v>-3</v>
      </c>
      <c r="AR5035">
        <v>1</v>
      </c>
    </row>
    <row r="5036" spans="1:44" x14ac:dyDescent="0.35">
      <c r="A5036" s="12" t="s">
        <v>6111</v>
      </c>
      <c r="B5036" s="12" t="s">
        <v>323</v>
      </c>
      <c r="C5036" s="12" t="s">
        <v>324</v>
      </c>
      <c r="D5036" s="12" t="s">
        <v>64</v>
      </c>
      <c r="E5036" s="12" t="s">
        <v>142</v>
      </c>
      <c r="F5036">
        <v>1</v>
      </c>
      <c r="G5036">
        <v>7</v>
      </c>
      <c r="H5036">
        <v>1</v>
      </c>
      <c r="I5036" s="12" t="s">
        <v>143</v>
      </c>
      <c r="J5036" s="12" t="s">
        <v>144</v>
      </c>
      <c r="K5036" s="12" t="s">
        <v>133</v>
      </c>
      <c r="L5036" s="12" t="s">
        <v>96</v>
      </c>
      <c r="M5036">
        <v>5.43</v>
      </c>
      <c r="N5036" s="12" t="s">
        <v>70</v>
      </c>
      <c r="O5036" s="12" t="s">
        <v>71</v>
      </c>
      <c r="P5036" s="12" t="s">
        <v>72</v>
      </c>
      <c r="Q5036" s="13">
        <v>45807</v>
      </c>
      <c r="R5036" s="13">
        <v>45848</v>
      </c>
      <c r="S5036">
        <v>2025</v>
      </c>
      <c r="T5036" s="12" t="s">
        <v>5886</v>
      </c>
      <c r="U5036">
        <v>400</v>
      </c>
      <c r="V5036">
        <v>39.226399999999998</v>
      </c>
      <c r="W5036">
        <v>98.81</v>
      </c>
      <c r="X5036">
        <v>0</v>
      </c>
      <c r="Y5036">
        <v>0</v>
      </c>
      <c r="Z5036">
        <v>15690.56</v>
      </c>
      <c r="AA5036">
        <v>15789.37</v>
      </c>
      <c r="AB5036" s="12" t="s">
        <v>5324</v>
      </c>
      <c r="AC5036">
        <v>39.226399999999998</v>
      </c>
      <c r="AD5036">
        <v>1</v>
      </c>
      <c r="AE5036">
        <v>1</v>
      </c>
      <c r="AF5036">
        <v>0</v>
      </c>
      <c r="AG5036">
        <v>15690.56</v>
      </c>
      <c r="AH5036">
        <v>400</v>
      </c>
      <c r="AI5036">
        <v>395</v>
      </c>
      <c r="AJ5036">
        <v>5</v>
      </c>
      <c r="AK5036">
        <v>1</v>
      </c>
      <c r="AL5036">
        <v>1</v>
      </c>
      <c r="AM5036">
        <v>98.75</v>
      </c>
      <c r="AN5036">
        <v>39.973100000000002</v>
      </c>
      <c r="AO5036">
        <v>196.13</v>
      </c>
      <c r="AP5036" s="13">
        <v>45845</v>
      </c>
      <c r="AQ5036">
        <v>-3</v>
      </c>
      <c r="AR5036">
        <v>1</v>
      </c>
    </row>
    <row r="5037" spans="1:44" x14ac:dyDescent="0.35">
      <c r="A5037" s="12" t="s">
        <v>6112</v>
      </c>
      <c r="B5037" s="12" t="s">
        <v>101</v>
      </c>
      <c r="C5037" s="12" t="s">
        <v>102</v>
      </c>
      <c r="D5037" s="12" t="s">
        <v>103</v>
      </c>
      <c r="E5037" s="12" t="s">
        <v>104</v>
      </c>
      <c r="F5037">
        <v>1</v>
      </c>
      <c r="G5037">
        <v>0</v>
      </c>
      <c r="H5037">
        <v>1</v>
      </c>
      <c r="I5037" s="12" t="s">
        <v>105</v>
      </c>
      <c r="J5037" s="12" t="s">
        <v>106</v>
      </c>
      <c r="K5037" s="12" t="s">
        <v>81</v>
      </c>
      <c r="L5037" s="12" t="s">
        <v>96</v>
      </c>
      <c r="M5037">
        <v>5.01</v>
      </c>
      <c r="N5037" s="12" t="s">
        <v>145</v>
      </c>
      <c r="O5037" s="12" t="s">
        <v>146</v>
      </c>
      <c r="P5037" s="12" t="s">
        <v>109</v>
      </c>
      <c r="Q5037" s="13">
        <v>45810</v>
      </c>
      <c r="R5037" s="13">
        <v>45831</v>
      </c>
      <c r="S5037">
        <v>2025</v>
      </c>
      <c r="T5037" s="12" t="s">
        <v>6113</v>
      </c>
      <c r="U5037">
        <v>87</v>
      </c>
      <c r="V5037">
        <v>203.18520000000001</v>
      </c>
      <c r="W5037">
        <v>113.29</v>
      </c>
      <c r="X5037">
        <v>0</v>
      </c>
      <c r="Y5037">
        <v>0</v>
      </c>
      <c r="Z5037">
        <v>17677.11</v>
      </c>
      <c r="AA5037">
        <v>17790.400000000001</v>
      </c>
      <c r="AB5037" s="12" t="s">
        <v>5173</v>
      </c>
      <c r="AC5037">
        <v>203.18520000000001</v>
      </c>
      <c r="AD5037">
        <v>1</v>
      </c>
      <c r="AE5037">
        <v>1</v>
      </c>
      <c r="AF5037">
        <v>0</v>
      </c>
      <c r="AG5037">
        <v>17677.11</v>
      </c>
      <c r="AH5037">
        <v>87</v>
      </c>
      <c r="AI5037">
        <v>86</v>
      </c>
      <c r="AJ5037">
        <v>1</v>
      </c>
      <c r="AK5037">
        <v>1</v>
      </c>
      <c r="AL5037">
        <v>1</v>
      </c>
      <c r="AM5037">
        <v>98.85</v>
      </c>
      <c r="AN5037">
        <v>206.86510000000001</v>
      </c>
      <c r="AO5037">
        <v>203.19</v>
      </c>
      <c r="AP5037" s="13">
        <v>45830</v>
      </c>
      <c r="AQ5037">
        <v>-1</v>
      </c>
      <c r="AR5037">
        <v>1</v>
      </c>
    </row>
    <row r="5038" spans="1:44" x14ac:dyDescent="0.35">
      <c r="A5038" s="12" t="s">
        <v>6114</v>
      </c>
      <c r="B5038" s="12" t="s">
        <v>706</v>
      </c>
      <c r="C5038" s="12" t="s">
        <v>707</v>
      </c>
      <c r="D5038" s="12" t="s">
        <v>130</v>
      </c>
      <c r="E5038" s="12" t="s">
        <v>142</v>
      </c>
      <c r="F5038">
        <v>1</v>
      </c>
      <c r="G5038">
        <v>8</v>
      </c>
      <c r="H5038">
        <v>1</v>
      </c>
      <c r="I5038" s="12" t="s">
        <v>263</v>
      </c>
      <c r="J5038" s="12" t="s">
        <v>264</v>
      </c>
      <c r="K5038" s="12" t="s">
        <v>125</v>
      </c>
      <c r="L5038" s="12" t="s">
        <v>82</v>
      </c>
      <c r="M5038">
        <v>10.210000000000001</v>
      </c>
      <c r="N5038" s="12" t="s">
        <v>135</v>
      </c>
      <c r="O5038" s="12" t="s">
        <v>136</v>
      </c>
      <c r="P5038" s="12" t="s">
        <v>137</v>
      </c>
      <c r="Q5038" s="13">
        <v>45810</v>
      </c>
      <c r="R5038" s="13">
        <v>45860</v>
      </c>
      <c r="S5038">
        <v>2025</v>
      </c>
      <c r="T5038" s="12" t="s">
        <v>6113</v>
      </c>
      <c r="U5038">
        <v>131</v>
      </c>
      <c r="V5038">
        <v>276.71809999999999</v>
      </c>
      <c r="W5038">
        <v>355.55</v>
      </c>
      <c r="X5038">
        <v>0</v>
      </c>
      <c r="Y5038">
        <v>0</v>
      </c>
      <c r="Z5038">
        <v>36250.07</v>
      </c>
      <c r="AA5038">
        <v>36605.620000000003</v>
      </c>
      <c r="AB5038" s="12" t="s">
        <v>5735</v>
      </c>
      <c r="AC5038">
        <v>276.71809999999999</v>
      </c>
      <c r="AD5038">
        <v>1</v>
      </c>
      <c r="AE5038">
        <v>1</v>
      </c>
      <c r="AF5038">
        <v>0</v>
      </c>
      <c r="AG5038">
        <v>36250.07</v>
      </c>
      <c r="AH5038">
        <v>131</v>
      </c>
      <c r="AI5038">
        <v>130</v>
      </c>
      <c r="AJ5038">
        <v>1</v>
      </c>
      <c r="AK5038">
        <v>1</v>
      </c>
      <c r="AL5038">
        <v>1</v>
      </c>
      <c r="AM5038">
        <v>99.24</v>
      </c>
      <c r="AN5038">
        <v>281.58170000000001</v>
      </c>
      <c r="AO5038">
        <v>276.72000000000003</v>
      </c>
      <c r="AP5038" s="13">
        <v>45866</v>
      </c>
      <c r="AQ5038">
        <v>6</v>
      </c>
      <c r="AR5038">
        <v>0</v>
      </c>
    </row>
    <row r="5039" spans="1:44" x14ac:dyDescent="0.35">
      <c r="A5039" s="12" t="s">
        <v>6115</v>
      </c>
      <c r="B5039" s="12" t="s">
        <v>548</v>
      </c>
      <c r="C5039" s="12" t="s">
        <v>549</v>
      </c>
      <c r="D5039" s="12" t="s">
        <v>78</v>
      </c>
      <c r="E5039" s="12" t="s">
        <v>104</v>
      </c>
      <c r="F5039">
        <v>3</v>
      </c>
      <c r="G5039">
        <v>1</v>
      </c>
      <c r="H5039">
        <v>0</v>
      </c>
      <c r="I5039" s="12" t="s">
        <v>223</v>
      </c>
      <c r="J5039" s="12" t="s">
        <v>224</v>
      </c>
      <c r="K5039" s="12" t="s">
        <v>81</v>
      </c>
      <c r="L5039" s="12" t="s">
        <v>134</v>
      </c>
      <c r="M5039">
        <v>2.4900000000000002</v>
      </c>
      <c r="N5039" s="12" t="s">
        <v>97</v>
      </c>
      <c r="O5039" s="12" t="s">
        <v>98</v>
      </c>
      <c r="P5039" s="12" t="s">
        <v>72</v>
      </c>
      <c r="Q5039" s="13">
        <v>45810</v>
      </c>
      <c r="R5039" s="13">
        <v>45838</v>
      </c>
      <c r="S5039">
        <v>2025</v>
      </c>
      <c r="T5039" s="12" t="s">
        <v>6113</v>
      </c>
      <c r="U5039">
        <v>285</v>
      </c>
      <c r="V5039">
        <v>56.384999999999998</v>
      </c>
      <c r="W5039">
        <v>97.61</v>
      </c>
      <c r="X5039">
        <v>0</v>
      </c>
      <c r="Y5039">
        <v>0</v>
      </c>
      <c r="Z5039">
        <v>16069.73</v>
      </c>
      <c r="AA5039">
        <v>16167.34</v>
      </c>
      <c r="AB5039" s="12" t="s">
        <v>6116</v>
      </c>
      <c r="AC5039">
        <v>56.384999999999998</v>
      </c>
      <c r="AD5039">
        <v>1</v>
      </c>
      <c r="AE5039">
        <v>1</v>
      </c>
      <c r="AF5039">
        <v>0</v>
      </c>
      <c r="AG5039">
        <v>16069.73</v>
      </c>
      <c r="AH5039">
        <v>285</v>
      </c>
      <c r="AI5039">
        <v>279</v>
      </c>
      <c r="AJ5039">
        <v>6</v>
      </c>
      <c r="AK5039">
        <v>1</v>
      </c>
      <c r="AL5039">
        <v>1</v>
      </c>
      <c r="AM5039">
        <v>97.89</v>
      </c>
      <c r="AN5039">
        <v>57.947400000000002</v>
      </c>
      <c r="AO5039">
        <v>338.31</v>
      </c>
      <c r="AP5039" s="13">
        <v>45836</v>
      </c>
      <c r="AQ5039">
        <v>-2</v>
      </c>
      <c r="AR5039">
        <v>1</v>
      </c>
    </row>
    <row r="5040" spans="1:44" x14ac:dyDescent="0.35">
      <c r="A5040" s="12" t="s">
        <v>6117</v>
      </c>
      <c r="B5040" s="12" t="s">
        <v>1108</v>
      </c>
      <c r="C5040" s="12" t="s">
        <v>1109</v>
      </c>
      <c r="D5040" s="12" t="s">
        <v>103</v>
      </c>
      <c r="E5040" s="12" t="s">
        <v>65</v>
      </c>
      <c r="F5040">
        <v>3</v>
      </c>
      <c r="G5040">
        <v>4</v>
      </c>
      <c r="H5040">
        <v>0</v>
      </c>
      <c r="I5040" s="12" t="s">
        <v>176</v>
      </c>
      <c r="J5040" s="12" t="s">
        <v>177</v>
      </c>
      <c r="K5040" s="12" t="s">
        <v>125</v>
      </c>
      <c r="L5040" s="12" t="s">
        <v>134</v>
      </c>
      <c r="M5040">
        <v>1.75</v>
      </c>
      <c r="N5040" s="12" t="s">
        <v>145</v>
      </c>
      <c r="O5040" s="12" t="s">
        <v>146</v>
      </c>
      <c r="P5040" s="12" t="s">
        <v>109</v>
      </c>
      <c r="Q5040" s="13">
        <v>45810</v>
      </c>
      <c r="R5040" s="13">
        <v>45847</v>
      </c>
      <c r="S5040">
        <v>2025</v>
      </c>
      <c r="T5040" s="12" t="s">
        <v>6113</v>
      </c>
      <c r="U5040">
        <v>139</v>
      </c>
      <c r="V5040">
        <v>92.379099999999994</v>
      </c>
      <c r="W5040">
        <v>116.2</v>
      </c>
      <c r="X5040">
        <v>424.33</v>
      </c>
      <c r="Y5040">
        <v>1</v>
      </c>
      <c r="Z5040">
        <v>12840.69</v>
      </c>
      <c r="AA5040">
        <v>13381.22</v>
      </c>
      <c r="AB5040" s="12" t="s">
        <v>201</v>
      </c>
      <c r="AD5040">
        <v>0</v>
      </c>
      <c r="AE5040">
        <v>0</v>
      </c>
      <c r="AH5040">
        <v>139</v>
      </c>
      <c r="AI5040">
        <v>137</v>
      </c>
      <c r="AJ5040">
        <v>2</v>
      </c>
      <c r="AK5040">
        <v>1</v>
      </c>
      <c r="AL5040">
        <v>1</v>
      </c>
      <c r="AM5040">
        <v>98.56</v>
      </c>
      <c r="AN5040">
        <v>97.673199999999994</v>
      </c>
      <c r="AO5040">
        <v>184.76</v>
      </c>
      <c r="AP5040" s="13">
        <v>45844</v>
      </c>
      <c r="AQ5040">
        <v>-3</v>
      </c>
      <c r="AR5040">
        <v>1</v>
      </c>
    </row>
    <row r="5041" spans="1:44" x14ac:dyDescent="0.35">
      <c r="A5041" s="12" t="s">
        <v>6118</v>
      </c>
      <c r="B5041" s="12" t="s">
        <v>76</v>
      </c>
      <c r="C5041" s="12" t="s">
        <v>77</v>
      </c>
      <c r="D5041" s="12" t="s">
        <v>78</v>
      </c>
      <c r="E5041" s="12" t="s">
        <v>65</v>
      </c>
      <c r="F5041">
        <v>2</v>
      </c>
      <c r="G5041">
        <v>4</v>
      </c>
      <c r="H5041">
        <v>0</v>
      </c>
      <c r="I5041" s="12" t="s">
        <v>79</v>
      </c>
      <c r="J5041" s="12" t="s">
        <v>80</v>
      </c>
      <c r="K5041" s="12" t="s">
        <v>81</v>
      </c>
      <c r="L5041" s="12" t="s">
        <v>82</v>
      </c>
      <c r="M5041">
        <v>12.07</v>
      </c>
      <c r="N5041" s="12" t="s">
        <v>97</v>
      </c>
      <c r="O5041" s="12" t="s">
        <v>98</v>
      </c>
      <c r="P5041" s="12" t="s">
        <v>72</v>
      </c>
      <c r="Q5041" s="13">
        <v>45810</v>
      </c>
      <c r="R5041" s="13">
        <v>45831</v>
      </c>
      <c r="S5041">
        <v>2025</v>
      </c>
      <c r="T5041" s="12" t="s">
        <v>6113</v>
      </c>
      <c r="U5041">
        <v>52</v>
      </c>
      <c r="V5041">
        <v>44.0946</v>
      </c>
      <c r="W5041">
        <v>20.46</v>
      </c>
      <c r="X5041">
        <v>0</v>
      </c>
      <c r="Y5041">
        <v>0</v>
      </c>
      <c r="Z5041">
        <v>2292.92</v>
      </c>
      <c r="AA5041">
        <v>2313.38</v>
      </c>
      <c r="AB5041" s="12" t="s">
        <v>5427</v>
      </c>
      <c r="AC5041">
        <v>44.0946</v>
      </c>
      <c r="AD5041">
        <v>1</v>
      </c>
      <c r="AE5041">
        <v>1</v>
      </c>
      <c r="AF5041">
        <v>0</v>
      </c>
      <c r="AG5041">
        <v>2292.92</v>
      </c>
      <c r="AH5041">
        <v>52</v>
      </c>
      <c r="AI5041">
        <v>51</v>
      </c>
      <c r="AJ5041">
        <v>1</v>
      </c>
      <c r="AK5041">
        <v>1</v>
      </c>
      <c r="AL5041">
        <v>1</v>
      </c>
      <c r="AM5041">
        <v>98.08</v>
      </c>
      <c r="AN5041">
        <v>45.360399999999998</v>
      </c>
      <c r="AO5041">
        <v>44.09</v>
      </c>
      <c r="AP5041" s="13">
        <v>45830</v>
      </c>
      <c r="AQ5041">
        <v>-1</v>
      </c>
      <c r="AR5041">
        <v>1</v>
      </c>
    </row>
    <row r="5042" spans="1:44" x14ac:dyDescent="0.35">
      <c r="A5042" s="12" t="s">
        <v>6119</v>
      </c>
      <c r="B5042" s="12" t="s">
        <v>399</v>
      </c>
      <c r="C5042" s="12" t="s">
        <v>400</v>
      </c>
      <c r="D5042" s="12" t="s">
        <v>114</v>
      </c>
      <c r="E5042" s="12" t="s">
        <v>65</v>
      </c>
      <c r="F5042">
        <v>1</v>
      </c>
      <c r="G5042">
        <v>2</v>
      </c>
      <c r="H5042">
        <v>1</v>
      </c>
      <c r="I5042" s="12" t="s">
        <v>151</v>
      </c>
      <c r="J5042" s="12" t="s">
        <v>152</v>
      </c>
      <c r="K5042" s="12" t="s">
        <v>125</v>
      </c>
      <c r="L5042" s="12" t="s">
        <v>69</v>
      </c>
      <c r="M5042">
        <v>36.479999999999997</v>
      </c>
      <c r="N5042" s="12" t="s">
        <v>70</v>
      </c>
      <c r="O5042" s="12" t="s">
        <v>71</v>
      </c>
      <c r="P5042" s="12" t="s">
        <v>72</v>
      </c>
      <c r="Q5042" s="13">
        <v>45810</v>
      </c>
      <c r="R5042" s="13">
        <v>45834</v>
      </c>
      <c r="S5042">
        <v>2025</v>
      </c>
      <c r="T5042" s="12" t="s">
        <v>6113</v>
      </c>
      <c r="U5042">
        <v>39</v>
      </c>
      <c r="V5042">
        <v>319.93130000000002</v>
      </c>
      <c r="W5042">
        <v>161.6</v>
      </c>
      <c r="X5042">
        <v>0</v>
      </c>
      <c r="Y5042">
        <v>0</v>
      </c>
      <c r="Z5042">
        <v>12477.32</v>
      </c>
      <c r="AA5042">
        <v>12638.92</v>
      </c>
      <c r="AB5042" s="12" t="s">
        <v>201</v>
      </c>
      <c r="AD5042">
        <v>0</v>
      </c>
      <c r="AE5042">
        <v>0</v>
      </c>
      <c r="AH5042">
        <v>39</v>
      </c>
      <c r="AI5042">
        <v>39</v>
      </c>
      <c r="AJ5042">
        <v>0</v>
      </c>
      <c r="AK5042">
        <v>1</v>
      </c>
      <c r="AL5042">
        <v>1</v>
      </c>
      <c r="AM5042">
        <v>100</v>
      </c>
      <c r="AN5042">
        <v>324.07490000000001</v>
      </c>
      <c r="AO5042">
        <v>0</v>
      </c>
      <c r="AP5042" s="13">
        <v>45831</v>
      </c>
      <c r="AQ5042">
        <v>-3</v>
      </c>
      <c r="AR5042">
        <v>1</v>
      </c>
    </row>
    <row r="5043" spans="1:44" x14ac:dyDescent="0.35">
      <c r="A5043" s="12" t="s">
        <v>6120</v>
      </c>
      <c r="B5043" s="12" t="s">
        <v>555</v>
      </c>
      <c r="C5043" s="12" t="s">
        <v>556</v>
      </c>
      <c r="D5043" s="12" t="s">
        <v>114</v>
      </c>
      <c r="E5043" s="12" t="s">
        <v>142</v>
      </c>
      <c r="F5043">
        <v>1</v>
      </c>
      <c r="G5043">
        <v>6</v>
      </c>
      <c r="H5043">
        <v>1</v>
      </c>
      <c r="I5043" s="12" t="s">
        <v>151</v>
      </c>
      <c r="J5043" s="12" t="s">
        <v>152</v>
      </c>
      <c r="K5043" s="12" t="s">
        <v>125</v>
      </c>
      <c r="L5043" s="12" t="s">
        <v>69</v>
      </c>
      <c r="M5043">
        <v>36.479999999999997</v>
      </c>
      <c r="N5043" s="12" t="s">
        <v>70</v>
      </c>
      <c r="O5043" s="12" t="s">
        <v>71</v>
      </c>
      <c r="P5043" s="12" t="s">
        <v>72</v>
      </c>
      <c r="Q5043" s="13">
        <v>45810</v>
      </c>
      <c r="R5043" s="13">
        <v>45856</v>
      </c>
      <c r="S5043">
        <v>2025</v>
      </c>
      <c r="T5043" s="12" t="s">
        <v>6113</v>
      </c>
      <c r="U5043">
        <v>100</v>
      </c>
      <c r="V5043">
        <v>266.68439999999998</v>
      </c>
      <c r="W5043">
        <v>380.66</v>
      </c>
      <c r="X5043">
        <v>0</v>
      </c>
      <c r="Y5043">
        <v>0</v>
      </c>
      <c r="Z5043">
        <v>26668.44</v>
      </c>
      <c r="AA5043">
        <v>27049.1</v>
      </c>
      <c r="AB5043" s="12" t="s">
        <v>6121</v>
      </c>
      <c r="AC5043">
        <v>266.68439999999998</v>
      </c>
      <c r="AD5043">
        <v>1</v>
      </c>
      <c r="AE5043">
        <v>1</v>
      </c>
      <c r="AF5043">
        <v>0</v>
      </c>
      <c r="AG5043">
        <v>26668.44</v>
      </c>
      <c r="AH5043">
        <v>100</v>
      </c>
      <c r="AI5043">
        <v>99</v>
      </c>
      <c r="AJ5043">
        <v>1</v>
      </c>
      <c r="AK5043">
        <v>1</v>
      </c>
      <c r="AL5043">
        <v>1</v>
      </c>
      <c r="AM5043">
        <v>99</v>
      </c>
      <c r="AN5043">
        <v>273.22320000000002</v>
      </c>
      <c r="AO5043">
        <v>266.68</v>
      </c>
      <c r="AP5043" s="13">
        <v>45855</v>
      </c>
      <c r="AQ5043">
        <v>-1</v>
      </c>
      <c r="AR5043">
        <v>1</v>
      </c>
    </row>
    <row r="5044" spans="1:44" x14ac:dyDescent="0.35">
      <c r="A5044" s="12" t="s">
        <v>6122</v>
      </c>
      <c r="B5044" s="12" t="s">
        <v>621</v>
      </c>
      <c r="C5044" s="12" t="s">
        <v>622</v>
      </c>
      <c r="D5044" s="12" t="s">
        <v>103</v>
      </c>
      <c r="E5044" s="12" t="s">
        <v>65</v>
      </c>
      <c r="F5044">
        <v>1</v>
      </c>
      <c r="G5044">
        <v>2</v>
      </c>
      <c r="H5044">
        <v>1</v>
      </c>
      <c r="I5044" s="12" t="s">
        <v>486</v>
      </c>
      <c r="J5044" s="12" t="s">
        <v>487</v>
      </c>
      <c r="K5044" s="12" t="s">
        <v>125</v>
      </c>
      <c r="L5044" s="12" t="s">
        <v>69</v>
      </c>
      <c r="M5044">
        <v>36.86</v>
      </c>
      <c r="N5044" s="12" t="s">
        <v>145</v>
      </c>
      <c r="O5044" s="12" t="s">
        <v>146</v>
      </c>
      <c r="P5044" s="12" t="s">
        <v>109</v>
      </c>
      <c r="Q5044" s="13">
        <v>45810</v>
      </c>
      <c r="R5044" s="13">
        <v>45842</v>
      </c>
      <c r="S5044">
        <v>2025</v>
      </c>
      <c r="T5044" s="12" t="s">
        <v>6113</v>
      </c>
      <c r="U5044">
        <v>96</v>
      </c>
      <c r="V5044">
        <v>200.7516</v>
      </c>
      <c r="W5044">
        <v>388.46</v>
      </c>
      <c r="X5044">
        <v>0</v>
      </c>
      <c r="Y5044">
        <v>0</v>
      </c>
      <c r="Z5044">
        <v>19272.150000000001</v>
      </c>
      <c r="AA5044">
        <v>19660.61</v>
      </c>
      <c r="AB5044" s="12" t="s">
        <v>5123</v>
      </c>
      <c r="AC5044">
        <v>200.7516</v>
      </c>
      <c r="AD5044">
        <v>1</v>
      </c>
      <c r="AE5044">
        <v>1</v>
      </c>
      <c r="AF5044">
        <v>0</v>
      </c>
      <c r="AG5044">
        <v>19272.150000000001</v>
      </c>
      <c r="AH5044">
        <v>96</v>
      </c>
      <c r="AI5044">
        <v>95</v>
      </c>
      <c r="AJ5044">
        <v>1</v>
      </c>
      <c r="AK5044">
        <v>1</v>
      </c>
      <c r="AL5044">
        <v>1</v>
      </c>
      <c r="AM5044">
        <v>98.96</v>
      </c>
      <c r="AN5044">
        <v>206.9538</v>
      </c>
      <c r="AO5044">
        <v>200.75</v>
      </c>
      <c r="AP5044" s="13">
        <v>45849</v>
      </c>
      <c r="AQ5044">
        <v>7</v>
      </c>
      <c r="AR5044">
        <v>0</v>
      </c>
    </row>
    <row r="5045" spans="1:44" x14ac:dyDescent="0.35">
      <c r="A5045" s="12" t="s">
        <v>6123</v>
      </c>
      <c r="B5045" s="12" t="s">
        <v>809</v>
      </c>
      <c r="C5045" s="12" t="s">
        <v>810</v>
      </c>
      <c r="D5045" s="12" t="s">
        <v>114</v>
      </c>
      <c r="E5045" s="12" t="s">
        <v>65</v>
      </c>
      <c r="F5045">
        <v>3</v>
      </c>
      <c r="G5045">
        <v>5</v>
      </c>
      <c r="H5045">
        <v>0</v>
      </c>
      <c r="I5045" s="12" t="s">
        <v>804</v>
      </c>
      <c r="J5045" s="12" t="s">
        <v>342</v>
      </c>
      <c r="K5045" s="12" t="s">
        <v>117</v>
      </c>
      <c r="L5045" s="12" t="s">
        <v>69</v>
      </c>
      <c r="M5045">
        <v>30.07</v>
      </c>
      <c r="N5045" s="12" t="s">
        <v>97</v>
      </c>
      <c r="O5045" s="12" t="s">
        <v>98</v>
      </c>
      <c r="P5045" s="12" t="s">
        <v>72</v>
      </c>
      <c r="Q5045" s="13">
        <v>45810</v>
      </c>
      <c r="R5045" s="13">
        <v>45845</v>
      </c>
      <c r="S5045">
        <v>2025</v>
      </c>
      <c r="T5045" s="12" t="s">
        <v>6113</v>
      </c>
      <c r="U5045">
        <v>120</v>
      </c>
      <c r="V5045">
        <v>302.71480000000003</v>
      </c>
      <c r="W5045">
        <v>745.14</v>
      </c>
      <c r="X5045">
        <v>0</v>
      </c>
      <c r="Y5045">
        <v>0</v>
      </c>
      <c r="Z5045">
        <v>36325.78</v>
      </c>
      <c r="AA5045">
        <v>37070.92</v>
      </c>
      <c r="AB5045" s="12" t="s">
        <v>5511</v>
      </c>
      <c r="AC5045">
        <v>302.71480000000003</v>
      </c>
      <c r="AD5045">
        <v>1</v>
      </c>
      <c r="AE5045">
        <v>1</v>
      </c>
      <c r="AF5045">
        <v>0</v>
      </c>
      <c r="AG5045">
        <v>36325.78</v>
      </c>
      <c r="AH5045">
        <v>120</v>
      </c>
      <c r="AI5045">
        <v>117</v>
      </c>
      <c r="AJ5045">
        <v>3</v>
      </c>
      <c r="AK5045">
        <v>1</v>
      </c>
      <c r="AL5045">
        <v>1</v>
      </c>
      <c r="AM5045">
        <v>97.5</v>
      </c>
      <c r="AN5045">
        <v>316.84539999999998</v>
      </c>
      <c r="AO5045">
        <v>908.14</v>
      </c>
      <c r="AP5045" s="13">
        <v>45844</v>
      </c>
      <c r="AQ5045">
        <v>-1</v>
      </c>
      <c r="AR5045">
        <v>1</v>
      </c>
    </row>
    <row r="5046" spans="1:44" x14ac:dyDescent="0.35">
      <c r="A5046" s="12" t="s">
        <v>6124</v>
      </c>
      <c r="B5046" s="12" t="s">
        <v>1666</v>
      </c>
      <c r="C5046" s="12" t="s">
        <v>1667</v>
      </c>
      <c r="D5046" s="12" t="s">
        <v>78</v>
      </c>
      <c r="E5046" s="12" t="s">
        <v>65</v>
      </c>
      <c r="F5046">
        <v>2</v>
      </c>
      <c r="G5046">
        <v>3</v>
      </c>
      <c r="H5046">
        <v>0</v>
      </c>
      <c r="I5046" s="12" t="s">
        <v>176</v>
      </c>
      <c r="J5046" s="12" t="s">
        <v>177</v>
      </c>
      <c r="K5046" s="12" t="s">
        <v>125</v>
      </c>
      <c r="L5046" s="12" t="s">
        <v>134</v>
      </c>
      <c r="M5046">
        <v>1.75</v>
      </c>
      <c r="N5046" s="12" t="s">
        <v>97</v>
      </c>
      <c r="O5046" s="12" t="s">
        <v>98</v>
      </c>
      <c r="P5046" s="12" t="s">
        <v>72</v>
      </c>
      <c r="Q5046" s="13">
        <v>45810</v>
      </c>
      <c r="R5046" s="13">
        <v>45833</v>
      </c>
      <c r="S5046">
        <v>2025</v>
      </c>
      <c r="T5046" s="12" t="s">
        <v>6113</v>
      </c>
      <c r="U5046">
        <v>75</v>
      </c>
      <c r="V5046">
        <v>63.696199999999997</v>
      </c>
      <c r="W5046">
        <v>113.74</v>
      </c>
      <c r="X5046">
        <v>149.19</v>
      </c>
      <c r="Y5046">
        <v>1</v>
      </c>
      <c r="Z5046">
        <v>4777.22</v>
      </c>
      <c r="AA5046">
        <v>5040.1499999999996</v>
      </c>
      <c r="AB5046" s="12" t="s">
        <v>6125</v>
      </c>
      <c r="AC5046">
        <v>67.594700000000003</v>
      </c>
      <c r="AD5046">
        <v>1</v>
      </c>
      <c r="AE5046">
        <v>1</v>
      </c>
      <c r="AF5046">
        <v>-292.39</v>
      </c>
      <c r="AG5046">
        <v>5069.6000000000004</v>
      </c>
      <c r="AH5046">
        <v>75</v>
      </c>
      <c r="AI5046">
        <v>74</v>
      </c>
      <c r="AJ5046">
        <v>1</v>
      </c>
      <c r="AK5046">
        <v>1</v>
      </c>
      <c r="AL5046">
        <v>1</v>
      </c>
      <c r="AM5046">
        <v>98.67</v>
      </c>
      <c r="AN5046">
        <v>68.110100000000003</v>
      </c>
      <c r="AO5046">
        <v>63.7</v>
      </c>
      <c r="AP5046" s="13">
        <v>45833</v>
      </c>
      <c r="AQ5046">
        <v>0</v>
      </c>
      <c r="AR5046">
        <v>1</v>
      </c>
    </row>
    <row r="5047" spans="1:44" x14ac:dyDescent="0.35">
      <c r="A5047" s="12" t="s">
        <v>6126</v>
      </c>
      <c r="B5047" s="12" t="s">
        <v>732</v>
      </c>
      <c r="C5047" s="12" t="s">
        <v>733</v>
      </c>
      <c r="D5047" s="12" t="s">
        <v>114</v>
      </c>
      <c r="E5047" s="12" t="s">
        <v>104</v>
      </c>
      <c r="F5047">
        <v>3</v>
      </c>
      <c r="G5047">
        <v>1</v>
      </c>
      <c r="H5047">
        <v>0</v>
      </c>
      <c r="I5047" s="12" t="s">
        <v>251</v>
      </c>
      <c r="J5047" s="12" t="s">
        <v>252</v>
      </c>
      <c r="K5047" s="12" t="s">
        <v>133</v>
      </c>
      <c r="L5047" s="12" t="s">
        <v>69</v>
      </c>
      <c r="M5047">
        <v>34.49</v>
      </c>
      <c r="N5047" s="12" t="s">
        <v>97</v>
      </c>
      <c r="O5047" s="12" t="s">
        <v>98</v>
      </c>
      <c r="P5047" s="12" t="s">
        <v>72</v>
      </c>
      <c r="Q5047" s="13">
        <v>45810</v>
      </c>
      <c r="R5047" s="13">
        <v>45828</v>
      </c>
      <c r="S5047">
        <v>2025</v>
      </c>
      <c r="T5047" s="12" t="s">
        <v>6113</v>
      </c>
      <c r="U5047">
        <v>62</v>
      </c>
      <c r="V5047">
        <v>295.06799999999998</v>
      </c>
      <c r="W5047">
        <v>304.63</v>
      </c>
      <c r="X5047">
        <v>0</v>
      </c>
      <c r="Y5047">
        <v>0</v>
      </c>
      <c r="Z5047">
        <v>18294.22</v>
      </c>
      <c r="AA5047">
        <v>18598.849999999999</v>
      </c>
      <c r="AB5047" s="12" t="s">
        <v>5795</v>
      </c>
      <c r="AC5047">
        <v>295.06799999999998</v>
      </c>
      <c r="AD5047">
        <v>1</v>
      </c>
      <c r="AE5047">
        <v>1</v>
      </c>
      <c r="AF5047">
        <v>0</v>
      </c>
      <c r="AG5047">
        <v>18294.22</v>
      </c>
      <c r="AH5047">
        <v>62</v>
      </c>
      <c r="AI5047">
        <v>61</v>
      </c>
      <c r="AJ5047">
        <v>1</v>
      </c>
      <c r="AK5047">
        <v>1</v>
      </c>
      <c r="AL5047">
        <v>1</v>
      </c>
      <c r="AM5047">
        <v>98.39</v>
      </c>
      <c r="AN5047">
        <v>304.89909999999998</v>
      </c>
      <c r="AO5047">
        <v>295.07</v>
      </c>
      <c r="AP5047" s="13">
        <v>45834</v>
      </c>
      <c r="AQ5047">
        <v>6</v>
      </c>
      <c r="AR5047">
        <v>0</v>
      </c>
    </row>
    <row r="5048" spans="1:44" x14ac:dyDescent="0.35">
      <c r="A5048" s="12" t="s">
        <v>6127</v>
      </c>
      <c r="B5048" s="12" t="s">
        <v>869</v>
      </c>
      <c r="C5048" s="12" t="s">
        <v>870</v>
      </c>
      <c r="D5048" s="12" t="s">
        <v>130</v>
      </c>
      <c r="E5048" s="12" t="s">
        <v>104</v>
      </c>
      <c r="F5048">
        <v>2</v>
      </c>
      <c r="G5048">
        <v>0</v>
      </c>
      <c r="H5048">
        <v>0</v>
      </c>
      <c r="I5048" s="12" t="s">
        <v>515</v>
      </c>
      <c r="J5048" s="12" t="s">
        <v>516</v>
      </c>
      <c r="K5048" s="12" t="s">
        <v>68</v>
      </c>
      <c r="L5048" s="12" t="s">
        <v>134</v>
      </c>
      <c r="M5048">
        <v>3.69</v>
      </c>
      <c r="N5048" s="12" t="s">
        <v>135</v>
      </c>
      <c r="O5048" s="12" t="s">
        <v>136</v>
      </c>
      <c r="P5048" s="12" t="s">
        <v>137</v>
      </c>
      <c r="Q5048" s="13">
        <v>45810</v>
      </c>
      <c r="R5048" s="13">
        <v>45834</v>
      </c>
      <c r="S5048">
        <v>2025</v>
      </c>
      <c r="T5048" s="12" t="s">
        <v>6113</v>
      </c>
      <c r="U5048">
        <v>108</v>
      </c>
      <c r="V5048">
        <v>637.39859999999999</v>
      </c>
      <c r="W5048">
        <v>1727.77</v>
      </c>
      <c r="X5048">
        <v>0</v>
      </c>
      <c r="Y5048">
        <v>0</v>
      </c>
      <c r="Z5048">
        <v>68839.05</v>
      </c>
      <c r="AA5048">
        <v>70566.820000000007</v>
      </c>
      <c r="AB5048" s="12" t="s">
        <v>201</v>
      </c>
      <c r="AD5048">
        <v>0</v>
      </c>
      <c r="AE5048">
        <v>0</v>
      </c>
      <c r="AH5048">
        <v>108</v>
      </c>
      <c r="AI5048">
        <v>107</v>
      </c>
      <c r="AJ5048">
        <v>1</v>
      </c>
      <c r="AK5048">
        <v>1</v>
      </c>
      <c r="AL5048">
        <v>1</v>
      </c>
      <c r="AM5048">
        <v>99.07</v>
      </c>
      <c r="AN5048">
        <v>659.50300000000004</v>
      </c>
      <c r="AO5048">
        <v>637.4</v>
      </c>
      <c r="AP5048" s="13">
        <v>45834</v>
      </c>
      <c r="AQ5048">
        <v>0</v>
      </c>
      <c r="AR5048">
        <v>1</v>
      </c>
    </row>
    <row r="5049" spans="1:44" x14ac:dyDescent="0.35">
      <c r="A5049" s="12" t="s">
        <v>6128</v>
      </c>
      <c r="B5049" s="12" t="s">
        <v>680</v>
      </c>
      <c r="C5049" s="12" t="s">
        <v>681</v>
      </c>
      <c r="D5049" s="12" t="s">
        <v>122</v>
      </c>
      <c r="E5049" s="12" t="s">
        <v>104</v>
      </c>
      <c r="F5049">
        <v>3</v>
      </c>
      <c r="G5049">
        <v>1</v>
      </c>
      <c r="H5049">
        <v>0</v>
      </c>
      <c r="I5049" s="12" t="s">
        <v>227</v>
      </c>
      <c r="J5049" s="12" t="s">
        <v>228</v>
      </c>
      <c r="K5049" s="12" t="s">
        <v>89</v>
      </c>
      <c r="L5049" s="12" t="s">
        <v>96</v>
      </c>
      <c r="M5049">
        <v>9.15</v>
      </c>
      <c r="N5049" s="12" t="s">
        <v>70</v>
      </c>
      <c r="O5049" s="12" t="s">
        <v>71</v>
      </c>
      <c r="P5049" s="12" t="s">
        <v>72</v>
      </c>
      <c r="Q5049" s="13">
        <v>45811</v>
      </c>
      <c r="R5049" s="13">
        <v>45830</v>
      </c>
      <c r="S5049">
        <v>2025</v>
      </c>
      <c r="T5049" s="12" t="s">
        <v>6113</v>
      </c>
      <c r="U5049">
        <v>926</v>
      </c>
      <c r="V5049">
        <v>23.342199999999998</v>
      </c>
      <c r="W5049">
        <v>310.95999999999998</v>
      </c>
      <c r="X5049">
        <v>0</v>
      </c>
      <c r="Y5049">
        <v>0</v>
      </c>
      <c r="Z5049">
        <v>21614.880000000001</v>
      </c>
      <c r="AA5049">
        <v>21925.84</v>
      </c>
      <c r="AB5049" s="12" t="s">
        <v>201</v>
      </c>
      <c r="AD5049">
        <v>0</v>
      </c>
      <c r="AE5049">
        <v>0</v>
      </c>
      <c r="AH5049">
        <v>926</v>
      </c>
      <c r="AI5049">
        <v>921</v>
      </c>
      <c r="AJ5049">
        <v>5</v>
      </c>
      <c r="AK5049">
        <v>1</v>
      </c>
      <c r="AL5049">
        <v>1</v>
      </c>
      <c r="AM5049">
        <v>99.46</v>
      </c>
      <c r="AN5049">
        <v>23.8066</v>
      </c>
      <c r="AO5049">
        <v>116.71</v>
      </c>
      <c r="AP5049" s="13">
        <v>45830</v>
      </c>
      <c r="AQ5049">
        <v>0</v>
      </c>
      <c r="AR5049">
        <v>1</v>
      </c>
    </row>
    <row r="5050" spans="1:44" x14ac:dyDescent="0.35">
      <c r="A5050" s="12" t="s">
        <v>6129</v>
      </c>
      <c r="B5050" s="12" t="s">
        <v>706</v>
      </c>
      <c r="C5050" s="12" t="s">
        <v>707</v>
      </c>
      <c r="D5050" s="12" t="s">
        <v>130</v>
      </c>
      <c r="E5050" s="12" t="s">
        <v>142</v>
      </c>
      <c r="F5050">
        <v>1</v>
      </c>
      <c r="G5050">
        <v>8</v>
      </c>
      <c r="H5050">
        <v>1</v>
      </c>
      <c r="I5050" s="12" t="s">
        <v>263</v>
      </c>
      <c r="J5050" s="12" t="s">
        <v>264</v>
      </c>
      <c r="K5050" s="12" t="s">
        <v>125</v>
      </c>
      <c r="L5050" s="12" t="s">
        <v>82</v>
      </c>
      <c r="M5050">
        <v>10.210000000000001</v>
      </c>
      <c r="N5050" s="12" t="s">
        <v>135</v>
      </c>
      <c r="O5050" s="12" t="s">
        <v>136</v>
      </c>
      <c r="P5050" s="12" t="s">
        <v>137</v>
      </c>
      <c r="Q5050" s="13">
        <v>45811</v>
      </c>
      <c r="R5050" s="13">
        <v>45856</v>
      </c>
      <c r="S5050">
        <v>2025</v>
      </c>
      <c r="T5050" s="12" t="s">
        <v>6113</v>
      </c>
      <c r="U5050">
        <v>91</v>
      </c>
      <c r="V5050">
        <v>276.71809999999999</v>
      </c>
      <c r="W5050">
        <v>320.52999999999997</v>
      </c>
      <c r="X5050">
        <v>0</v>
      </c>
      <c r="Y5050">
        <v>0</v>
      </c>
      <c r="Z5050">
        <v>25181.35</v>
      </c>
      <c r="AA5050">
        <v>25501.88</v>
      </c>
      <c r="AB5050" s="12" t="s">
        <v>5735</v>
      </c>
      <c r="AC5050">
        <v>276.71809999999999</v>
      </c>
      <c r="AD5050">
        <v>1</v>
      </c>
      <c r="AE5050">
        <v>1</v>
      </c>
      <c r="AF5050">
        <v>0</v>
      </c>
      <c r="AG5050">
        <v>25181.35</v>
      </c>
      <c r="AH5050">
        <v>91</v>
      </c>
      <c r="AI5050">
        <v>90</v>
      </c>
      <c r="AJ5050">
        <v>1</v>
      </c>
      <c r="AK5050">
        <v>1</v>
      </c>
      <c r="AL5050">
        <v>1</v>
      </c>
      <c r="AM5050">
        <v>98.9</v>
      </c>
      <c r="AN5050">
        <v>283.35419999999999</v>
      </c>
      <c r="AO5050">
        <v>276.72000000000003</v>
      </c>
      <c r="AP5050" s="13">
        <v>45856</v>
      </c>
      <c r="AQ5050">
        <v>0</v>
      </c>
      <c r="AR5050">
        <v>1</v>
      </c>
    </row>
    <row r="5051" spans="1:44" x14ac:dyDescent="0.35">
      <c r="A5051" s="12" t="s">
        <v>6130</v>
      </c>
      <c r="B5051" s="12" t="s">
        <v>1034</v>
      </c>
      <c r="C5051" s="12" t="s">
        <v>1035</v>
      </c>
      <c r="D5051" s="12" t="s">
        <v>64</v>
      </c>
      <c r="E5051" s="12" t="s">
        <v>104</v>
      </c>
      <c r="F5051">
        <v>2</v>
      </c>
      <c r="G5051">
        <v>0</v>
      </c>
      <c r="H5051">
        <v>0</v>
      </c>
      <c r="I5051" s="12" t="s">
        <v>157</v>
      </c>
      <c r="J5051" s="12" t="s">
        <v>158</v>
      </c>
      <c r="K5051" s="12" t="s">
        <v>117</v>
      </c>
      <c r="L5051" s="12" t="s">
        <v>96</v>
      </c>
      <c r="M5051">
        <v>4.72</v>
      </c>
      <c r="N5051" s="12" t="s">
        <v>70</v>
      </c>
      <c r="O5051" s="12" t="s">
        <v>71</v>
      </c>
      <c r="P5051" s="12" t="s">
        <v>72</v>
      </c>
      <c r="Q5051" s="13">
        <v>45811</v>
      </c>
      <c r="R5051" s="13">
        <v>45830</v>
      </c>
      <c r="S5051">
        <v>2025</v>
      </c>
      <c r="T5051" s="12" t="s">
        <v>6113</v>
      </c>
      <c r="U5051">
        <v>474</v>
      </c>
      <c r="V5051">
        <v>8.5963999999999992</v>
      </c>
      <c r="W5051">
        <v>85.47</v>
      </c>
      <c r="X5051">
        <v>0</v>
      </c>
      <c r="Y5051">
        <v>0</v>
      </c>
      <c r="Z5051">
        <v>4074.69</v>
      </c>
      <c r="AA5051">
        <v>4160.16</v>
      </c>
      <c r="AB5051" s="12" t="s">
        <v>5798</v>
      </c>
      <c r="AC5051">
        <v>8.5963999999999992</v>
      </c>
      <c r="AD5051">
        <v>1</v>
      </c>
      <c r="AE5051">
        <v>1</v>
      </c>
      <c r="AF5051">
        <v>0</v>
      </c>
      <c r="AG5051">
        <v>4074.69</v>
      </c>
      <c r="AH5051">
        <v>474</v>
      </c>
      <c r="AI5051">
        <v>468</v>
      </c>
      <c r="AJ5051">
        <v>6</v>
      </c>
      <c r="AK5051">
        <v>1</v>
      </c>
      <c r="AL5051">
        <v>1</v>
      </c>
      <c r="AM5051">
        <v>98.73</v>
      </c>
      <c r="AN5051">
        <v>8.8892000000000007</v>
      </c>
      <c r="AO5051">
        <v>51.58</v>
      </c>
      <c r="AP5051" s="13">
        <v>45828</v>
      </c>
      <c r="AQ5051">
        <v>-2</v>
      </c>
      <c r="AR5051">
        <v>1</v>
      </c>
    </row>
    <row r="5052" spans="1:44" x14ac:dyDescent="0.35">
      <c r="A5052" s="12" t="s">
        <v>6131</v>
      </c>
      <c r="B5052" s="12" t="s">
        <v>503</v>
      </c>
      <c r="C5052" s="12" t="s">
        <v>504</v>
      </c>
      <c r="D5052" s="12" t="s">
        <v>103</v>
      </c>
      <c r="E5052" s="12" t="s">
        <v>104</v>
      </c>
      <c r="F5052">
        <v>3</v>
      </c>
      <c r="G5052">
        <v>1</v>
      </c>
      <c r="H5052">
        <v>0</v>
      </c>
      <c r="I5052" s="12" t="s">
        <v>94</v>
      </c>
      <c r="J5052" s="12" t="s">
        <v>95</v>
      </c>
      <c r="K5052" s="12" t="s">
        <v>81</v>
      </c>
      <c r="L5052" s="12" t="s">
        <v>96</v>
      </c>
      <c r="M5052">
        <v>4.8099999999999996</v>
      </c>
      <c r="N5052" s="12" t="s">
        <v>145</v>
      </c>
      <c r="O5052" s="12" t="s">
        <v>146</v>
      </c>
      <c r="P5052" s="12" t="s">
        <v>109</v>
      </c>
      <c r="Q5052" s="13">
        <v>45811</v>
      </c>
      <c r="R5052" s="13">
        <v>45834</v>
      </c>
      <c r="S5052">
        <v>2025</v>
      </c>
      <c r="T5052" s="12" t="s">
        <v>6113</v>
      </c>
      <c r="U5052">
        <v>101</v>
      </c>
      <c r="V5052">
        <v>162.83940000000001</v>
      </c>
      <c r="W5052">
        <v>367.48</v>
      </c>
      <c r="X5052">
        <v>0</v>
      </c>
      <c r="Y5052">
        <v>0</v>
      </c>
      <c r="Z5052">
        <v>16446.78</v>
      </c>
      <c r="AA5052">
        <v>16814.259999999998</v>
      </c>
      <c r="AB5052" s="12" t="s">
        <v>201</v>
      </c>
      <c r="AD5052">
        <v>0</v>
      </c>
      <c r="AE5052">
        <v>0</v>
      </c>
      <c r="AH5052">
        <v>101</v>
      </c>
      <c r="AI5052">
        <v>100</v>
      </c>
      <c r="AJ5052">
        <v>1</v>
      </c>
      <c r="AK5052">
        <v>1</v>
      </c>
      <c r="AL5052">
        <v>1</v>
      </c>
      <c r="AM5052">
        <v>99.01</v>
      </c>
      <c r="AN5052">
        <v>168.14259999999999</v>
      </c>
      <c r="AO5052">
        <v>162.84</v>
      </c>
      <c r="AP5052" s="13">
        <v>45832</v>
      </c>
      <c r="AQ5052">
        <v>-2</v>
      </c>
      <c r="AR5052">
        <v>1</v>
      </c>
    </row>
    <row r="5053" spans="1:44" x14ac:dyDescent="0.35">
      <c r="A5053" s="12" t="s">
        <v>6132</v>
      </c>
      <c r="B5053" s="12" t="s">
        <v>241</v>
      </c>
      <c r="C5053" s="12" t="s">
        <v>242</v>
      </c>
      <c r="D5053" s="12" t="s">
        <v>103</v>
      </c>
      <c r="E5053" s="12" t="s">
        <v>142</v>
      </c>
      <c r="F5053">
        <v>3</v>
      </c>
      <c r="G5053">
        <v>11</v>
      </c>
      <c r="H5053">
        <v>0</v>
      </c>
      <c r="I5053" s="12" t="s">
        <v>243</v>
      </c>
      <c r="J5053" s="12" t="s">
        <v>244</v>
      </c>
      <c r="K5053" s="12" t="s">
        <v>81</v>
      </c>
      <c r="L5053" s="12" t="s">
        <v>82</v>
      </c>
      <c r="M5053">
        <v>9.2200000000000006</v>
      </c>
      <c r="N5053" s="12" t="s">
        <v>107</v>
      </c>
      <c r="O5053" s="12" t="s">
        <v>108</v>
      </c>
      <c r="P5053" s="12" t="s">
        <v>109</v>
      </c>
      <c r="Q5053" s="13">
        <v>45811</v>
      </c>
      <c r="R5053" s="13">
        <v>45853</v>
      </c>
      <c r="S5053">
        <v>2025</v>
      </c>
      <c r="T5053" s="12" t="s">
        <v>6113</v>
      </c>
      <c r="U5053">
        <v>71</v>
      </c>
      <c r="V5053">
        <v>166.9923</v>
      </c>
      <c r="W5053">
        <v>108.72</v>
      </c>
      <c r="X5053">
        <v>0</v>
      </c>
      <c r="Y5053">
        <v>0</v>
      </c>
      <c r="Z5053">
        <v>11856.45</v>
      </c>
      <c r="AA5053">
        <v>11965.17</v>
      </c>
      <c r="AB5053" s="12" t="s">
        <v>201</v>
      </c>
      <c r="AD5053">
        <v>0</v>
      </c>
      <c r="AE5053">
        <v>0</v>
      </c>
      <c r="AH5053">
        <v>71</v>
      </c>
      <c r="AI5053">
        <v>71</v>
      </c>
      <c r="AJ5053">
        <v>0</v>
      </c>
      <c r="AK5053">
        <v>1</v>
      </c>
      <c r="AL5053">
        <v>1</v>
      </c>
      <c r="AM5053">
        <v>100</v>
      </c>
      <c r="AN5053">
        <v>168.52359999999999</v>
      </c>
      <c r="AO5053">
        <v>0</v>
      </c>
      <c r="AP5053" s="13">
        <v>45857</v>
      </c>
      <c r="AQ5053">
        <v>4</v>
      </c>
      <c r="AR5053">
        <v>0</v>
      </c>
    </row>
    <row r="5054" spans="1:44" x14ac:dyDescent="0.35">
      <c r="A5054" s="12" t="s">
        <v>6133</v>
      </c>
      <c r="B5054" s="12" t="s">
        <v>451</v>
      </c>
      <c r="C5054" s="12" t="s">
        <v>452</v>
      </c>
      <c r="D5054" s="12" t="s">
        <v>175</v>
      </c>
      <c r="E5054" s="12" t="s">
        <v>104</v>
      </c>
      <c r="F5054">
        <v>3</v>
      </c>
      <c r="G5054">
        <v>1</v>
      </c>
      <c r="H5054">
        <v>0</v>
      </c>
      <c r="I5054" s="12" t="s">
        <v>359</v>
      </c>
      <c r="J5054" s="12" t="s">
        <v>360</v>
      </c>
      <c r="K5054" s="12" t="s">
        <v>133</v>
      </c>
      <c r="L5054" s="12" t="s">
        <v>82</v>
      </c>
      <c r="M5054">
        <v>12.65</v>
      </c>
      <c r="N5054" s="12" t="s">
        <v>145</v>
      </c>
      <c r="O5054" s="12" t="s">
        <v>146</v>
      </c>
      <c r="P5054" s="12" t="s">
        <v>109</v>
      </c>
      <c r="Q5054" s="13">
        <v>45811</v>
      </c>
      <c r="R5054" s="13">
        <v>45835</v>
      </c>
      <c r="S5054">
        <v>2025</v>
      </c>
      <c r="T5054" s="12" t="s">
        <v>6113</v>
      </c>
      <c r="U5054">
        <v>105</v>
      </c>
      <c r="V5054">
        <v>216.9588</v>
      </c>
      <c r="W5054">
        <v>434.72</v>
      </c>
      <c r="X5054">
        <v>0</v>
      </c>
      <c r="Y5054">
        <v>0</v>
      </c>
      <c r="Z5054">
        <v>22780.67</v>
      </c>
      <c r="AA5054">
        <v>23215.39</v>
      </c>
      <c r="AB5054" s="12" t="s">
        <v>5244</v>
      </c>
      <c r="AC5054">
        <v>216.9588</v>
      </c>
      <c r="AD5054">
        <v>1</v>
      </c>
      <c r="AE5054">
        <v>1</v>
      </c>
      <c r="AF5054">
        <v>0</v>
      </c>
      <c r="AG5054">
        <v>22780.67</v>
      </c>
      <c r="AH5054">
        <v>105</v>
      </c>
      <c r="AI5054">
        <v>105</v>
      </c>
      <c r="AJ5054">
        <v>0</v>
      </c>
      <c r="AK5054">
        <v>1</v>
      </c>
      <c r="AL5054">
        <v>1</v>
      </c>
      <c r="AM5054">
        <v>100</v>
      </c>
      <c r="AN5054">
        <v>221.09899999999999</v>
      </c>
      <c r="AO5054">
        <v>0</v>
      </c>
      <c r="AP5054" s="13">
        <v>45833</v>
      </c>
      <c r="AQ5054">
        <v>-2</v>
      </c>
      <c r="AR5054">
        <v>1</v>
      </c>
    </row>
    <row r="5055" spans="1:44" x14ac:dyDescent="0.35">
      <c r="A5055" s="12" t="s">
        <v>6134</v>
      </c>
      <c r="B5055" s="12" t="s">
        <v>876</v>
      </c>
      <c r="C5055" s="12" t="s">
        <v>877</v>
      </c>
      <c r="D5055" s="12" t="s">
        <v>269</v>
      </c>
      <c r="E5055" s="12" t="s">
        <v>142</v>
      </c>
      <c r="F5055">
        <v>3</v>
      </c>
      <c r="G5055">
        <v>11</v>
      </c>
      <c r="H5055">
        <v>0</v>
      </c>
      <c r="I5055" s="12" t="s">
        <v>310</v>
      </c>
      <c r="J5055" s="12" t="s">
        <v>311</v>
      </c>
      <c r="K5055" s="12" t="s">
        <v>81</v>
      </c>
      <c r="L5055" s="12" t="s">
        <v>69</v>
      </c>
      <c r="M5055">
        <v>28.3</v>
      </c>
      <c r="N5055" s="12" t="s">
        <v>159</v>
      </c>
      <c r="O5055" s="12" t="s">
        <v>160</v>
      </c>
      <c r="P5055" s="12" t="s">
        <v>137</v>
      </c>
      <c r="Q5055" s="13">
        <v>45811</v>
      </c>
      <c r="R5055" s="13">
        <v>45858</v>
      </c>
      <c r="S5055">
        <v>2025</v>
      </c>
      <c r="T5055" s="12" t="s">
        <v>6113</v>
      </c>
      <c r="U5055">
        <v>108</v>
      </c>
      <c r="V5055">
        <v>194.0711</v>
      </c>
      <c r="W5055">
        <v>541.21</v>
      </c>
      <c r="X5055">
        <v>0</v>
      </c>
      <c r="Y5055">
        <v>0</v>
      </c>
      <c r="Z5055">
        <v>20959.68</v>
      </c>
      <c r="AA5055">
        <v>21500.89</v>
      </c>
      <c r="AB5055" s="12" t="s">
        <v>5926</v>
      </c>
      <c r="AC5055">
        <v>194.0711</v>
      </c>
      <c r="AD5055">
        <v>1</v>
      </c>
      <c r="AE5055">
        <v>1</v>
      </c>
      <c r="AF5055">
        <v>0</v>
      </c>
      <c r="AG5055">
        <v>20959.68</v>
      </c>
      <c r="AH5055">
        <v>108</v>
      </c>
      <c r="AI5055">
        <v>107</v>
      </c>
      <c r="AJ5055">
        <v>1</v>
      </c>
      <c r="AK5055">
        <v>1</v>
      </c>
      <c r="AL5055">
        <v>1</v>
      </c>
      <c r="AM5055">
        <v>99.07</v>
      </c>
      <c r="AN5055">
        <v>200.94290000000001</v>
      </c>
      <c r="AO5055">
        <v>194.07</v>
      </c>
      <c r="AP5055" s="13">
        <v>45857</v>
      </c>
      <c r="AQ5055">
        <v>-1</v>
      </c>
      <c r="AR5055">
        <v>1</v>
      </c>
    </row>
    <row r="5056" spans="1:44" x14ac:dyDescent="0.35">
      <c r="A5056" s="12" t="s">
        <v>6135</v>
      </c>
      <c r="B5056" s="12" t="s">
        <v>657</v>
      </c>
      <c r="C5056" s="12" t="s">
        <v>658</v>
      </c>
      <c r="D5056" s="12" t="s">
        <v>175</v>
      </c>
      <c r="E5056" s="12" t="s">
        <v>65</v>
      </c>
      <c r="F5056">
        <v>1</v>
      </c>
      <c r="G5056">
        <v>2</v>
      </c>
      <c r="H5056">
        <v>1</v>
      </c>
      <c r="I5056" s="12" t="s">
        <v>183</v>
      </c>
      <c r="J5056" s="12" t="s">
        <v>184</v>
      </c>
      <c r="K5056" s="12" t="s">
        <v>133</v>
      </c>
      <c r="L5056" s="12" t="s">
        <v>82</v>
      </c>
      <c r="M5056">
        <v>8.6199999999999992</v>
      </c>
      <c r="N5056" s="12" t="s">
        <v>145</v>
      </c>
      <c r="O5056" s="12" t="s">
        <v>146</v>
      </c>
      <c r="P5056" s="12" t="s">
        <v>109</v>
      </c>
      <c r="Q5056" s="13">
        <v>45811</v>
      </c>
      <c r="R5056" s="13">
        <v>45837</v>
      </c>
      <c r="S5056">
        <v>2025</v>
      </c>
      <c r="T5056" s="12" t="s">
        <v>6113</v>
      </c>
      <c r="U5056">
        <v>50</v>
      </c>
      <c r="V5056">
        <v>144.5094</v>
      </c>
      <c r="W5056">
        <v>132.13999999999999</v>
      </c>
      <c r="X5056">
        <v>245.66</v>
      </c>
      <c r="Y5056">
        <v>1</v>
      </c>
      <c r="Z5056">
        <v>7225.47</v>
      </c>
      <c r="AA5056">
        <v>7603.27</v>
      </c>
      <c r="AB5056" s="12" t="s">
        <v>5771</v>
      </c>
      <c r="AC5056">
        <v>144.5094</v>
      </c>
      <c r="AD5056">
        <v>1</v>
      </c>
      <c r="AE5056">
        <v>1</v>
      </c>
      <c r="AF5056">
        <v>0</v>
      </c>
      <c r="AG5056">
        <v>7225.47</v>
      </c>
      <c r="AH5056">
        <v>50</v>
      </c>
      <c r="AI5056">
        <v>49</v>
      </c>
      <c r="AJ5056">
        <v>1</v>
      </c>
      <c r="AK5056">
        <v>1</v>
      </c>
      <c r="AL5056">
        <v>1</v>
      </c>
      <c r="AM5056">
        <v>98</v>
      </c>
      <c r="AN5056">
        <v>155.1688</v>
      </c>
      <c r="AO5056">
        <v>144.51</v>
      </c>
      <c r="AP5056" s="13">
        <v>45835</v>
      </c>
      <c r="AQ5056">
        <v>-2</v>
      </c>
      <c r="AR5056">
        <v>1</v>
      </c>
    </row>
    <row r="5057" spans="1:44" x14ac:dyDescent="0.35">
      <c r="A5057" s="12" t="s">
        <v>6136</v>
      </c>
      <c r="B5057" s="12" t="s">
        <v>509</v>
      </c>
      <c r="C5057" s="12" t="s">
        <v>510</v>
      </c>
      <c r="D5057" s="12" t="s">
        <v>78</v>
      </c>
      <c r="E5057" s="12" t="s">
        <v>142</v>
      </c>
      <c r="F5057">
        <v>3</v>
      </c>
      <c r="G5057">
        <v>11</v>
      </c>
      <c r="H5057">
        <v>0</v>
      </c>
      <c r="I5057" s="12" t="s">
        <v>251</v>
      </c>
      <c r="J5057" s="12" t="s">
        <v>252</v>
      </c>
      <c r="K5057" s="12" t="s">
        <v>133</v>
      </c>
      <c r="L5057" s="12" t="s">
        <v>69</v>
      </c>
      <c r="M5057">
        <v>34.49</v>
      </c>
      <c r="N5057" s="12" t="s">
        <v>97</v>
      </c>
      <c r="O5057" s="12" t="s">
        <v>98</v>
      </c>
      <c r="P5057" s="12" t="s">
        <v>72</v>
      </c>
      <c r="Q5057" s="13">
        <v>45811</v>
      </c>
      <c r="R5057" s="13">
        <v>45863</v>
      </c>
      <c r="S5057">
        <v>2025</v>
      </c>
      <c r="T5057" s="12" t="s">
        <v>6113</v>
      </c>
      <c r="U5057">
        <v>291</v>
      </c>
      <c r="V5057">
        <v>155.39330000000001</v>
      </c>
      <c r="W5057">
        <v>558.94000000000005</v>
      </c>
      <c r="X5057">
        <v>0</v>
      </c>
      <c r="Y5057">
        <v>0</v>
      </c>
      <c r="Z5057">
        <v>45219.45</v>
      </c>
      <c r="AA5057">
        <v>45778.39</v>
      </c>
      <c r="AB5057" s="12" t="s">
        <v>201</v>
      </c>
      <c r="AD5057">
        <v>0</v>
      </c>
      <c r="AE5057">
        <v>0</v>
      </c>
      <c r="AH5057">
        <v>291</v>
      </c>
      <c r="AI5057">
        <v>284</v>
      </c>
      <c r="AJ5057">
        <v>7</v>
      </c>
      <c r="AK5057">
        <v>1</v>
      </c>
      <c r="AL5057">
        <v>1</v>
      </c>
      <c r="AM5057">
        <v>97.59</v>
      </c>
      <c r="AN5057">
        <v>161.19149999999999</v>
      </c>
      <c r="AO5057">
        <v>1087.75</v>
      </c>
      <c r="AP5057" s="13">
        <v>45862</v>
      </c>
      <c r="AQ5057">
        <v>-1</v>
      </c>
      <c r="AR5057">
        <v>1</v>
      </c>
    </row>
    <row r="5058" spans="1:44" x14ac:dyDescent="0.35">
      <c r="A5058" s="12" t="s">
        <v>6137</v>
      </c>
      <c r="B5058" s="12" t="s">
        <v>837</v>
      </c>
      <c r="C5058" s="12" t="s">
        <v>838</v>
      </c>
      <c r="D5058" s="12" t="s">
        <v>114</v>
      </c>
      <c r="E5058" s="12" t="s">
        <v>104</v>
      </c>
      <c r="F5058">
        <v>2</v>
      </c>
      <c r="G5058">
        <v>0</v>
      </c>
      <c r="H5058">
        <v>0</v>
      </c>
      <c r="I5058" s="12" t="s">
        <v>79</v>
      </c>
      <c r="J5058" s="12" t="s">
        <v>80</v>
      </c>
      <c r="K5058" s="12" t="s">
        <v>81</v>
      </c>
      <c r="L5058" s="12" t="s">
        <v>82</v>
      </c>
      <c r="M5058">
        <v>12.07</v>
      </c>
      <c r="N5058" s="12" t="s">
        <v>97</v>
      </c>
      <c r="O5058" s="12" t="s">
        <v>98</v>
      </c>
      <c r="P5058" s="12" t="s">
        <v>72</v>
      </c>
      <c r="Q5058" s="13">
        <v>45812</v>
      </c>
      <c r="R5058" s="13">
        <v>45837</v>
      </c>
      <c r="S5058">
        <v>2025</v>
      </c>
      <c r="T5058" s="12" t="s">
        <v>6113</v>
      </c>
      <c r="U5058">
        <v>115</v>
      </c>
      <c r="V5058">
        <v>71.0244</v>
      </c>
      <c r="W5058">
        <v>143.22999999999999</v>
      </c>
      <c r="X5058">
        <v>0</v>
      </c>
      <c r="Y5058">
        <v>0</v>
      </c>
      <c r="Z5058">
        <v>8167.81</v>
      </c>
      <c r="AA5058">
        <v>8311.0400000000009</v>
      </c>
      <c r="AB5058" s="12" t="s">
        <v>5905</v>
      </c>
      <c r="AC5058">
        <v>71.0244</v>
      </c>
      <c r="AD5058">
        <v>1</v>
      </c>
      <c r="AE5058">
        <v>1</v>
      </c>
      <c r="AF5058">
        <v>0</v>
      </c>
      <c r="AG5058">
        <v>8167.81</v>
      </c>
      <c r="AH5058">
        <v>115</v>
      </c>
      <c r="AI5058">
        <v>112</v>
      </c>
      <c r="AJ5058">
        <v>3</v>
      </c>
      <c r="AK5058">
        <v>1</v>
      </c>
      <c r="AL5058">
        <v>1</v>
      </c>
      <c r="AM5058">
        <v>97.39</v>
      </c>
      <c r="AN5058">
        <v>74.205699999999993</v>
      </c>
      <c r="AO5058">
        <v>213.07</v>
      </c>
      <c r="AP5058" s="13">
        <v>45837</v>
      </c>
      <c r="AQ5058">
        <v>0</v>
      </c>
      <c r="AR5058">
        <v>1</v>
      </c>
    </row>
    <row r="5059" spans="1:44" x14ac:dyDescent="0.35">
      <c r="A5059" s="12" t="s">
        <v>6138</v>
      </c>
      <c r="B5059" s="12" t="s">
        <v>149</v>
      </c>
      <c r="C5059" s="12" t="s">
        <v>150</v>
      </c>
      <c r="D5059" s="12" t="s">
        <v>78</v>
      </c>
      <c r="E5059" s="12" t="s">
        <v>65</v>
      </c>
      <c r="F5059">
        <v>2</v>
      </c>
      <c r="G5059">
        <v>2</v>
      </c>
      <c r="H5059">
        <v>0</v>
      </c>
      <c r="I5059" s="12" t="s">
        <v>151</v>
      </c>
      <c r="J5059" s="12" t="s">
        <v>152</v>
      </c>
      <c r="K5059" s="12" t="s">
        <v>125</v>
      </c>
      <c r="L5059" s="12" t="s">
        <v>69</v>
      </c>
      <c r="M5059">
        <v>36.479999999999997</v>
      </c>
      <c r="N5059" s="12" t="s">
        <v>97</v>
      </c>
      <c r="O5059" s="12" t="s">
        <v>98</v>
      </c>
      <c r="P5059" s="12" t="s">
        <v>72</v>
      </c>
      <c r="Q5059" s="13">
        <v>45812</v>
      </c>
      <c r="R5059" s="13">
        <v>45833</v>
      </c>
      <c r="S5059">
        <v>2025</v>
      </c>
      <c r="T5059" s="12" t="s">
        <v>6113</v>
      </c>
      <c r="U5059">
        <v>52</v>
      </c>
      <c r="V5059">
        <v>65.934700000000007</v>
      </c>
      <c r="W5059">
        <v>61.06</v>
      </c>
      <c r="X5059">
        <v>0</v>
      </c>
      <c r="Y5059">
        <v>0</v>
      </c>
      <c r="Z5059">
        <v>3428.6</v>
      </c>
      <c r="AA5059">
        <v>3489.66</v>
      </c>
      <c r="AB5059" s="12" t="s">
        <v>5076</v>
      </c>
      <c r="AC5059">
        <v>65.934700000000007</v>
      </c>
      <c r="AD5059">
        <v>1</v>
      </c>
      <c r="AE5059">
        <v>1</v>
      </c>
      <c r="AF5059">
        <v>0</v>
      </c>
      <c r="AG5059">
        <v>3428.6</v>
      </c>
      <c r="AH5059">
        <v>52</v>
      </c>
      <c r="AI5059">
        <v>52</v>
      </c>
      <c r="AJ5059">
        <v>0</v>
      </c>
      <c r="AK5059">
        <v>1</v>
      </c>
      <c r="AL5059">
        <v>1</v>
      </c>
      <c r="AM5059">
        <v>100</v>
      </c>
      <c r="AN5059">
        <v>67.108900000000006</v>
      </c>
      <c r="AO5059">
        <v>0</v>
      </c>
      <c r="AP5059" s="13">
        <v>45833</v>
      </c>
      <c r="AQ5059">
        <v>0</v>
      </c>
      <c r="AR5059">
        <v>1</v>
      </c>
    </row>
    <row r="5060" spans="1:44" x14ac:dyDescent="0.35">
      <c r="A5060" s="12" t="s">
        <v>6139</v>
      </c>
      <c r="B5060" s="12" t="s">
        <v>537</v>
      </c>
      <c r="C5060" s="12" t="s">
        <v>538</v>
      </c>
      <c r="D5060" s="12" t="s">
        <v>103</v>
      </c>
      <c r="E5060" s="12" t="s">
        <v>104</v>
      </c>
      <c r="F5060">
        <v>3</v>
      </c>
      <c r="G5060">
        <v>0</v>
      </c>
      <c r="H5060">
        <v>0</v>
      </c>
      <c r="I5060" s="12" t="s">
        <v>380</v>
      </c>
      <c r="J5060" s="12" t="s">
        <v>381</v>
      </c>
      <c r="K5060" s="12" t="s">
        <v>89</v>
      </c>
      <c r="L5060" s="12" t="s">
        <v>96</v>
      </c>
      <c r="M5060">
        <v>10.210000000000001</v>
      </c>
      <c r="N5060" s="12" t="s">
        <v>145</v>
      </c>
      <c r="O5060" s="12" t="s">
        <v>146</v>
      </c>
      <c r="P5060" s="12" t="s">
        <v>109</v>
      </c>
      <c r="Q5060" s="13">
        <v>45812</v>
      </c>
      <c r="R5060" s="13">
        <v>45836</v>
      </c>
      <c r="S5060">
        <v>2025</v>
      </c>
      <c r="T5060" s="12" t="s">
        <v>6113</v>
      </c>
      <c r="U5060">
        <v>108</v>
      </c>
      <c r="V5060">
        <v>242.47130000000001</v>
      </c>
      <c r="W5060">
        <v>405.32</v>
      </c>
      <c r="X5060">
        <v>0</v>
      </c>
      <c r="Y5060">
        <v>0</v>
      </c>
      <c r="Z5060">
        <v>26186.9</v>
      </c>
      <c r="AA5060">
        <v>26592.22</v>
      </c>
      <c r="AB5060" s="12" t="s">
        <v>6070</v>
      </c>
      <c r="AC5060">
        <v>242.47130000000001</v>
      </c>
      <c r="AD5060">
        <v>1</v>
      </c>
      <c r="AE5060">
        <v>1</v>
      </c>
      <c r="AF5060">
        <v>0</v>
      </c>
      <c r="AG5060">
        <v>26186.9</v>
      </c>
      <c r="AH5060">
        <v>108</v>
      </c>
      <c r="AI5060">
        <v>107</v>
      </c>
      <c r="AJ5060">
        <v>1</v>
      </c>
      <c r="AK5060">
        <v>1</v>
      </c>
      <c r="AL5060">
        <v>1</v>
      </c>
      <c r="AM5060">
        <v>99.07</v>
      </c>
      <c r="AN5060">
        <v>248.52539999999999</v>
      </c>
      <c r="AO5060">
        <v>242.47</v>
      </c>
      <c r="AP5060" s="13">
        <v>45834</v>
      </c>
      <c r="AQ5060">
        <v>-2</v>
      </c>
      <c r="AR5060">
        <v>1</v>
      </c>
    </row>
    <row r="5061" spans="1:44" x14ac:dyDescent="0.35">
      <c r="A5061" s="12" t="s">
        <v>6140</v>
      </c>
      <c r="B5061" s="12" t="s">
        <v>76</v>
      </c>
      <c r="C5061" s="12" t="s">
        <v>77</v>
      </c>
      <c r="D5061" s="12" t="s">
        <v>78</v>
      </c>
      <c r="E5061" s="12" t="s">
        <v>65</v>
      </c>
      <c r="F5061">
        <v>2</v>
      </c>
      <c r="G5061">
        <v>4</v>
      </c>
      <c r="H5061">
        <v>0</v>
      </c>
      <c r="I5061" s="12" t="s">
        <v>79</v>
      </c>
      <c r="J5061" s="12" t="s">
        <v>80</v>
      </c>
      <c r="K5061" s="12" t="s">
        <v>81</v>
      </c>
      <c r="L5061" s="12" t="s">
        <v>82</v>
      </c>
      <c r="M5061">
        <v>12.07</v>
      </c>
      <c r="N5061" s="12" t="s">
        <v>70</v>
      </c>
      <c r="O5061" s="12" t="s">
        <v>71</v>
      </c>
      <c r="P5061" s="12" t="s">
        <v>72</v>
      </c>
      <c r="Q5061" s="13">
        <v>45812</v>
      </c>
      <c r="R5061" s="13">
        <v>45834</v>
      </c>
      <c r="S5061">
        <v>2025</v>
      </c>
      <c r="T5061" s="12" t="s">
        <v>6113</v>
      </c>
      <c r="U5061">
        <v>57</v>
      </c>
      <c r="V5061">
        <v>41.535699999999999</v>
      </c>
      <c r="W5061">
        <v>50.7</v>
      </c>
      <c r="X5061">
        <v>0</v>
      </c>
      <c r="Y5061">
        <v>0</v>
      </c>
      <c r="Z5061">
        <v>2367.5300000000002</v>
      </c>
      <c r="AA5061">
        <v>2418.23</v>
      </c>
      <c r="AB5061" s="12" t="s">
        <v>5427</v>
      </c>
      <c r="AC5061">
        <v>44.0946</v>
      </c>
      <c r="AD5061">
        <v>1</v>
      </c>
      <c r="AE5061">
        <v>1</v>
      </c>
      <c r="AF5061">
        <v>-145.86000000000001</v>
      </c>
      <c r="AG5061">
        <v>2513.39</v>
      </c>
      <c r="AH5061">
        <v>57</v>
      </c>
      <c r="AI5061">
        <v>56</v>
      </c>
      <c r="AJ5061">
        <v>1</v>
      </c>
      <c r="AK5061">
        <v>1</v>
      </c>
      <c r="AL5061">
        <v>1</v>
      </c>
      <c r="AM5061">
        <v>98.25</v>
      </c>
      <c r="AN5061">
        <v>43.1828</v>
      </c>
      <c r="AO5061">
        <v>41.54</v>
      </c>
      <c r="AP5061" s="13">
        <v>45832</v>
      </c>
      <c r="AQ5061">
        <v>-2</v>
      </c>
      <c r="AR5061">
        <v>1</v>
      </c>
    </row>
    <row r="5062" spans="1:44" x14ac:dyDescent="0.35">
      <c r="A5062" s="12" t="s">
        <v>6141</v>
      </c>
      <c r="B5062" s="12" t="s">
        <v>249</v>
      </c>
      <c r="C5062" s="12" t="s">
        <v>250</v>
      </c>
      <c r="D5062" s="12" t="s">
        <v>64</v>
      </c>
      <c r="E5062" s="12" t="s">
        <v>65</v>
      </c>
      <c r="F5062">
        <v>2</v>
      </c>
      <c r="G5062">
        <v>3</v>
      </c>
      <c r="H5062">
        <v>0</v>
      </c>
      <c r="I5062" s="12" t="s">
        <v>251</v>
      </c>
      <c r="J5062" s="12" t="s">
        <v>252</v>
      </c>
      <c r="K5062" s="12" t="s">
        <v>133</v>
      </c>
      <c r="L5062" s="12" t="s">
        <v>69</v>
      </c>
      <c r="M5062">
        <v>34.49</v>
      </c>
      <c r="N5062" s="12" t="s">
        <v>97</v>
      </c>
      <c r="O5062" s="12" t="s">
        <v>98</v>
      </c>
      <c r="P5062" s="12" t="s">
        <v>72</v>
      </c>
      <c r="Q5062" s="13">
        <v>45812</v>
      </c>
      <c r="R5062" s="13">
        <v>45841</v>
      </c>
      <c r="S5062">
        <v>2025</v>
      </c>
      <c r="T5062" s="12" t="s">
        <v>6113</v>
      </c>
      <c r="U5062">
        <v>523</v>
      </c>
      <c r="V5062">
        <v>9.9464000000000006</v>
      </c>
      <c r="W5062">
        <v>133.21</v>
      </c>
      <c r="X5062">
        <v>0</v>
      </c>
      <c r="Y5062">
        <v>0</v>
      </c>
      <c r="Z5062">
        <v>5201.97</v>
      </c>
      <c r="AA5062">
        <v>5335.18</v>
      </c>
      <c r="AB5062" s="12" t="s">
        <v>5207</v>
      </c>
      <c r="AC5062">
        <v>9.9464000000000006</v>
      </c>
      <c r="AD5062">
        <v>1</v>
      </c>
      <c r="AE5062">
        <v>1</v>
      </c>
      <c r="AF5062">
        <v>0</v>
      </c>
      <c r="AG5062">
        <v>5201.97</v>
      </c>
      <c r="AH5062">
        <v>523</v>
      </c>
      <c r="AI5062">
        <v>516</v>
      </c>
      <c r="AJ5062">
        <v>7</v>
      </c>
      <c r="AK5062">
        <v>1</v>
      </c>
      <c r="AL5062">
        <v>1</v>
      </c>
      <c r="AM5062">
        <v>98.66</v>
      </c>
      <c r="AN5062">
        <v>10.339499999999999</v>
      </c>
      <c r="AO5062">
        <v>69.62</v>
      </c>
      <c r="AP5062" s="13">
        <v>45840</v>
      </c>
      <c r="AQ5062">
        <v>-1</v>
      </c>
      <c r="AR5062">
        <v>1</v>
      </c>
    </row>
    <row r="5063" spans="1:44" x14ac:dyDescent="0.35">
      <c r="A5063" s="12" t="s">
        <v>6142</v>
      </c>
      <c r="B5063" s="12" t="s">
        <v>952</v>
      </c>
      <c r="C5063" s="12" t="s">
        <v>953</v>
      </c>
      <c r="D5063" s="12" t="s">
        <v>64</v>
      </c>
      <c r="E5063" s="12" t="s">
        <v>142</v>
      </c>
      <c r="F5063">
        <v>1</v>
      </c>
      <c r="G5063">
        <v>8</v>
      </c>
      <c r="H5063">
        <v>1</v>
      </c>
      <c r="I5063" s="12" t="s">
        <v>131</v>
      </c>
      <c r="J5063" s="12" t="s">
        <v>132</v>
      </c>
      <c r="K5063" s="12" t="s">
        <v>133</v>
      </c>
      <c r="L5063" s="12" t="s">
        <v>134</v>
      </c>
      <c r="M5063">
        <v>1.51</v>
      </c>
      <c r="N5063" s="12" t="s">
        <v>97</v>
      </c>
      <c r="O5063" s="12" t="s">
        <v>98</v>
      </c>
      <c r="P5063" s="12" t="s">
        <v>72</v>
      </c>
      <c r="Q5063" s="13">
        <v>45812</v>
      </c>
      <c r="R5063" s="13">
        <v>45849</v>
      </c>
      <c r="S5063">
        <v>2025</v>
      </c>
      <c r="T5063" s="12" t="s">
        <v>6113</v>
      </c>
      <c r="U5063">
        <v>215</v>
      </c>
      <c r="V5063">
        <v>31.074300000000001</v>
      </c>
      <c r="W5063">
        <v>169.26</v>
      </c>
      <c r="X5063">
        <v>0</v>
      </c>
      <c r="Y5063">
        <v>0</v>
      </c>
      <c r="Z5063">
        <v>6680.97</v>
      </c>
      <c r="AA5063">
        <v>6850.23</v>
      </c>
      <c r="AB5063" s="12" t="s">
        <v>6001</v>
      </c>
      <c r="AC5063">
        <v>31.074300000000001</v>
      </c>
      <c r="AD5063">
        <v>1</v>
      </c>
      <c r="AE5063">
        <v>1</v>
      </c>
      <c r="AF5063">
        <v>0</v>
      </c>
      <c r="AG5063">
        <v>6680.97</v>
      </c>
      <c r="AH5063">
        <v>215</v>
      </c>
      <c r="AI5063">
        <v>214</v>
      </c>
      <c r="AJ5063">
        <v>1</v>
      </c>
      <c r="AK5063">
        <v>1</v>
      </c>
      <c r="AL5063">
        <v>1</v>
      </c>
      <c r="AM5063">
        <v>99.53</v>
      </c>
      <c r="AN5063">
        <v>32.010399999999997</v>
      </c>
      <c r="AO5063">
        <v>31.07</v>
      </c>
      <c r="AP5063" s="13">
        <v>45847</v>
      </c>
      <c r="AQ5063">
        <v>-2</v>
      </c>
      <c r="AR5063">
        <v>1</v>
      </c>
    </row>
    <row r="5064" spans="1:44" x14ac:dyDescent="0.35">
      <c r="A5064" s="12" t="s">
        <v>6143</v>
      </c>
      <c r="B5064" s="12" t="s">
        <v>454</v>
      </c>
      <c r="C5064" s="12" t="s">
        <v>455</v>
      </c>
      <c r="D5064" s="12" t="s">
        <v>122</v>
      </c>
      <c r="E5064" s="12" t="s">
        <v>104</v>
      </c>
      <c r="F5064">
        <v>3</v>
      </c>
      <c r="G5064">
        <v>1</v>
      </c>
      <c r="H5064">
        <v>0</v>
      </c>
      <c r="I5064" s="12" t="s">
        <v>87</v>
      </c>
      <c r="J5064" s="12" t="s">
        <v>88</v>
      </c>
      <c r="K5064" s="12" t="s">
        <v>89</v>
      </c>
      <c r="L5064" s="12" t="s">
        <v>69</v>
      </c>
      <c r="M5064">
        <v>14.93</v>
      </c>
      <c r="N5064" s="12" t="s">
        <v>97</v>
      </c>
      <c r="O5064" s="12" t="s">
        <v>98</v>
      </c>
      <c r="P5064" s="12" t="s">
        <v>72</v>
      </c>
      <c r="Q5064" s="13">
        <v>45812</v>
      </c>
      <c r="R5064" s="13">
        <v>45841</v>
      </c>
      <c r="S5064">
        <v>2025</v>
      </c>
      <c r="T5064" s="12" t="s">
        <v>6113</v>
      </c>
      <c r="U5064">
        <v>1903</v>
      </c>
      <c r="V5064">
        <v>21.032599999999999</v>
      </c>
      <c r="W5064">
        <v>707.04</v>
      </c>
      <c r="X5064">
        <v>0</v>
      </c>
      <c r="Y5064">
        <v>0</v>
      </c>
      <c r="Z5064">
        <v>40025.040000000001</v>
      </c>
      <c r="AA5064">
        <v>40732.080000000002</v>
      </c>
      <c r="AB5064" s="12" t="s">
        <v>5456</v>
      </c>
      <c r="AC5064">
        <v>21.032599999999999</v>
      </c>
      <c r="AD5064">
        <v>1</v>
      </c>
      <c r="AE5064">
        <v>1</v>
      </c>
      <c r="AF5064">
        <v>0</v>
      </c>
      <c r="AG5064">
        <v>40025.040000000001</v>
      </c>
      <c r="AH5064">
        <v>1903</v>
      </c>
      <c r="AI5064">
        <v>1895</v>
      </c>
      <c r="AJ5064">
        <v>8</v>
      </c>
      <c r="AK5064">
        <v>1</v>
      </c>
      <c r="AL5064">
        <v>1</v>
      </c>
      <c r="AM5064">
        <v>99.58</v>
      </c>
      <c r="AN5064">
        <v>21.494499999999999</v>
      </c>
      <c r="AO5064">
        <v>168.26</v>
      </c>
      <c r="AP5064" s="13">
        <v>45839</v>
      </c>
      <c r="AQ5064">
        <v>-2</v>
      </c>
      <c r="AR5064">
        <v>1</v>
      </c>
    </row>
    <row r="5065" spans="1:44" x14ac:dyDescent="0.35">
      <c r="A5065" s="12" t="s">
        <v>6144</v>
      </c>
      <c r="B5065" s="12" t="s">
        <v>957</v>
      </c>
      <c r="C5065" s="12" t="s">
        <v>958</v>
      </c>
      <c r="D5065" s="12" t="s">
        <v>103</v>
      </c>
      <c r="E5065" s="12" t="s">
        <v>142</v>
      </c>
      <c r="F5065">
        <v>1</v>
      </c>
      <c r="G5065">
        <v>7</v>
      </c>
      <c r="H5065">
        <v>1</v>
      </c>
      <c r="I5065" s="12" t="s">
        <v>183</v>
      </c>
      <c r="J5065" s="12" t="s">
        <v>184</v>
      </c>
      <c r="K5065" s="12" t="s">
        <v>133</v>
      </c>
      <c r="L5065" s="12" t="s">
        <v>82</v>
      </c>
      <c r="M5065">
        <v>8.6199999999999992</v>
      </c>
      <c r="N5065" s="12" t="s">
        <v>145</v>
      </c>
      <c r="O5065" s="12" t="s">
        <v>146</v>
      </c>
      <c r="P5065" s="12" t="s">
        <v>109</v>
      </c>
      <c r="Q5065" s="13">
        <v>45812</v>
      </c>
      <c r="R5065" s="13">
        <v>45848</v>
      </c>
      <c r="S5065">
        <v>2025</v>
      </c>
      <c r="T5065" s="12" t="s">
        <v>6113</v>
      </c>
      <c r="U5065">
        <v>25</v>
      </c>
      <c r="V5065">
        <v>188.30439999999999</v>
      </c>
      <c r="W5065">
        <v>59.53</v>
      </c>
      <c r="X5065">
        <v>160.9</v>
      </c>
      <c r="Y5065">
        <v>1</v>
      </c>
      <c r="Z5065">
        <v>4707.6099999999997</v>
      </c>
      <c r="AA5065">
        <v>4928.04</v>
      </c>
      <c r="AB5065" s="12" t="s">
        <v>5622</v>
      </c>
      <c r="AC5065">
        <v>188.30439999999999</v>
      </c>
      <c r="AD5065">
        <v>1</v>
      </c>
      <c r="AE5065">
        <v>1</v>
      </c>
      <c r="AF5065">
        <v>0</v>
      </c>
      <c r="AG5065">
        <v>4707.6099999999997</v>
      </c>
      <c r="AH5065">
        <v>25</v>
      </c>
      <c r="AI5065">
        <v>25</v>
      </c>
      <c r="AJ5065">
        <v>0</v>
      </c>
      <c r="AK5065">
        <v>1</v>
      </c>
      <c r="AL5065">
        <v>1</v>
      </c>
      <c r="AM5065">
        <v>100</v>
      </c>
      <c r="AN5065">
        <v>197.1216</v>
      </c>
      <c r="AO5065">
        <v>0</v>
      </c>
      <c r="AP5065" s="13">
        <v>45851</v>
      </c>
      <c r="AQ5065">
        <v>3</v>
      </c>
      <c r="AR5065">
        <v>0</v>
      </c>
    </row>
    <row r="5066" spans="1:44" x14ac:dyDescent="0.35">
      <c r="A5066" s="12" t="s">
        <v>6145</v>
      </c>
      <c r="B5066" s="12" t="s">
        <v>740</v>
      </c>
      <c r="C5066" s="12" t="s">
        <v>741</v>
      </c>
      <c r="D5066" s="12" t="s">
        <v>64</v>
      </c>
      <c r="E5066" s="12" t="s">
        <v>104</v>
      </c>
      <c r="F5066">
        <v>2</v>
      </c>
      <c r="G5066">
        <v>0</v>
      </c>
      <c r="H5066">
        <v>0</v>
      </c>
      <c r="I5066" s="12" t="s">
        <v>183</v>
      </c>
      <c r="J5066" s="12" t="s">
        <v>184</v>
      </c>
      <c r="K5066" s="12" t="s">
        <v>133</v>
      </c>
      <c r="L5066" s="12" t="s">
        <v>82</v>
      </c>
      <c r="M5066">
        <v>8.6199999999999992</v>
      </c>
      <c r="N5066" s="12" t="s">
        <v>70</v>
      </c>
      <c r="O5066" s="12" t="s">
        <v>71</v>
      </c>
      <c r="P5066" s="12" t="s">
        <v>72</v>
      </c>
      <c r="Q5066" s="13">
        <v>45812</v>
      </c>
      <c r="R5066" s="13">
        <v>45835</v>
      </c>
      <c r="S5066">
        <v>2025</v>
      </c>
      <c r="T5066" s="12" t="s">
        <v>6113</v>
      </c>
      <c r="U5066">
        <v>658</v>
      </c>
      <c r="V5066">
        <v>38.732599999999998</v>
      </c>
      <c r="W5066">
        <v>411.59</v>
      </c>
      <c r="X5066">
        <v>0</v>
      </c>
      <c r="Y5066">
        <v>0</v>
      </c>
      <c r="Z5066">
        <v>25486.05</v>
      </c>
      <c r="AA5066">
        <v>25897.64</v>
      </c>
      <c r="AB5066" s="12" t="s">
        <v>5789</v>
      </c>
      <c r="AC5066">
        <v>41.1374</v>
      </c>
      <c r="AD5066">
        <v>1</v>
      </c>
      <c r="AE5066">
        <v>1</v>
      </c>
      <c r="AF5066">
        <v>-1582.36</v>
      </c>
      <c r="AG5066">
        <v>27068.41</v>
      </c>
      <c r="AH5066">
        <v>658</v>
      </c>
      <c r="AI5066">
        <v>649</v>
      </c>
      <c r="AJ5066">
        <v>9</v>
      </c>
      <c r="AK5066">
        <v>1</v>
      </c>
      <c r="AL5066">
        <v>1</v>
      </c>
      <c r="AM5066">
        <v>98.63</v>
      </c>
      <c r="AN5066">
        <v>39.9039</v>
      </c>
      <c r="AO5066">
        <v>348.59</v>
      </c>
      <c r="AP5066" s="13">
        <v>45839</v>
      </c>
      <c r="AQ5066">
        <v>4</v>
      </c>
      <c r="AR5066">
        <v>0</v>
      </c>
    </row>
    <row r="5067" spans="1:44" x14ac:dyDescent="0.35">
      <c r="A5067" s="12" t="s">
        <v>6146</v>
      </c>
      <c r="B5067" s="12" t="s">
        <v>640</v>
      </c>
      <c r="C5067" s="12" t="s">
        <v>641</v>
      </c>
      <c r="D5067" s="12" t="s">
        <v>130</v>
      </c>
      <c r="E5067" s="12" t="s">
        <v>104</v>
      </c>
      <c r="F5067">
        <v>3</v>
      </c>
      <c r="G5067">
        <v>0</v>
      </c>
      <c r="H5067">
        <v>0</v>
      </c>
      <c r="I5067" s="12" t="s">
        <v>209</v>
      </c>
      <c r="J5067" s="12" t="s">
        <v>210</v>
      </c>
      <c r="K5067" s="12" t="s">
        <v>133</v>
      </c>
      <c r="L5067" s="12" t="s">
        <v>96</v>
      </c>
      <c r="M5067">
        <v>7.82</v>
      </c>
      <c r="N5067" s="12" t="s">
        <v>159</v>
      </c>
      <c r="O5067" s="12" t="s">
        <v>160</v>
      </c>
      <c r="P5067" s="12" t="s">
        <v>137</v>
      </c>
      <c r="Q5067" s="13">
        <v>45812</v>
      </c>
      <c r="R5067" s="13">
        <v>45824</v>
      </c>
      <c r="S5067">
        <v>2025</v>
      </c>
      <c r="T5067" s="12" t="s">
        <v>6113</v>
      </c>
      <c r="U5067">
        <v>15</v>
      </c>
      <c r="V5067">
        <v>947.05309999999997</v>
      </c>
      <c r="W5067">
        <v>272.98</v>
      </c>
      <c r="X5067">
        <v>0</v>
      </c>
      <c r="Y5067">
        <v>0</v>
      </c>
      <c r="Z5067">
        <v>14205.8</v>
      </c>
      <c r="AA5067">
        <v>14478.78</v>
      </c>
      <c r="AB5067" s="12" t="s">
        <v>5727</v>
      </c>
      <c r="AC5067">
        <v>947.05309999999997</v>
      </c>
      <c r="AD5067">
        <v>1</v>
      </c>
      <c r="AE5067">
        <v>1</v>
      </c>
      <c r="AF5067">
        <v>0</v>
      </c>
      <c r="AG5067">
        <v>14205.8</v>
      </c>
      <c r="AH5067">
        <v>15</v>
      </c>
      <c r="AI5067">
        <v>15</v>
      </c>
      <c r="AJ5067">
        <v>0</v>
      </c>
      <c r="AK5067">
        <v>1</v>
      </c>
      <c r="AL5067">
        <v>1</v>
      </c>
      <c r="AM5067">
        <v>100</v>
      </c>
      <c r="AN5067">
        <v>965.2518</v>
      </c>
      <c r="AO5067">
        <v>0</v>
      </c>
      <c r="AP5067" s="13">
        <v>45823</v>
      </c>
      <c r="AQ5067">
        <v>-1</v>
      </c>
      <c r="AR5067">
        <v>1</v>
      </c>
    </row>
    <row r="5068" spans="1:44" x14ac:dyDescent="0.35">
      <c r="A5068" s="12" t="s">
        <v>6147</v>
      </c>
      <c r="B5068" s="12" t="s">
        <v>972</v>
      </c>
      <c r="C5068" s="12" t="s">
        <v>973</v>
      </c>
      <c r="D5068" s="12" t="s">
        <v>130</v>
      </c>
      <c r="E5068" s="12" t="s">
        <v>142</v>
      </c>
      <c r="F5068">
        <v>2</v>
      </c>
      <c r="G5068">
        <v>9</v>
      </c>
      <c r="H5068">
        <v>0</v>
      </c>
      <c r="I5068" s="12" t="s">
        <v>676</v>
      </c>
      <c r="J5068" s="12" t="s">
        <v>677</v>
      </c>
      <c r="K5068" s="12" t="s">
        <v>68</v>
      </c>
      <c r="L5068" s="12" t="s">
        <v>96</v>
      </c>
      <c r="M5068">
        <v>3.57</v>
      </c>
      <c r="N5068" s="12" t="s">
        <v>135</v>
      </c>
      <c r="O5068" s="12" t="s">
        <v>136</v>
      </c>
      <c r="P5068" s="12" t="s">
        <v>137</v>
      </c>
      <c r="Q5068" s="13">
        <v>45812</v>
      </c>
      <c r="R5068" s="13">
        <v>45852</v>
      </c>
      <c r="S5068">
        <v>2025</v>
      </c>
      <c r="T5068" s="12" t="s">
        <v>6113</v>
      </c>
      <c r="U5068">
        <v>50</v>
      </c>
      <c r="V5068">
        <v>839.82719999999995</v>
      </c>
      <c r="W5068">
        <v>957.26</v>
      </c>
      <c r="X5068">
        <v>0</v>
      </c>
      <c r="Y5068">
        <v>0</v>
      </c>
      <c r="Z5068">
        <v>41991.360000000001</v>
      </c>
      <c r="AA5068">
        <v>42948.62</v>
      </c>
      <c r="AB5068" s="12" t="s">
        <v>6005</v>
      </c>
      <c r="AC5068">
        <v>839.82719999999995</v>
      </c>
      <c r="AD5068">
        <v>1</v>
      </c>
      <c r="AE5068">
        <v>1</v>
      </c>
      <c r="AF5068">
        <v>0</v>
      </c>
      <c r="AG5068">
        <v>41991.360000000001</v>
      </c>
      <c r="AH5068">
        <v>50</v>
      </c>
      <c r="AI5068">
        <v>50</v>
      </c>
      <c r="AJ5068">
        <v>0</v>
      </c>
      <c r="AK5068">
        <v>1</v>
      </c>
      <c r="AL5068">
        <v>1</v>
      </c>
      <c r="AM5068">
        <v>100</v>
      </c>
      <c r="AN5068">
        <v>858.97239999999999</v>
      </c>
      <c r="AO5068">
        <v>0</v>
      </c>
      <c r="AP5068" s="13">
        <v>45850</v>
      </c>
      <c r="AQ5068">
        <v>-2</v>
      </c>
      <c r="AR5068">
        <v>1</v>
      </c>
    </row>
    <row r="5069" spans="1:44" x14ac:dyDescent="0.35">
      <c r="A5069" s="12" t="s">
        <v>6148</v>
      </c>
      <c r="B5069" s="12" t="s">
        <v>902</v>
      </c>
      <c r="C5069" s="12" t="s">
        <v>903</v>
      </c>
      <c r="D5069" s="12" t="s">
        <v>122</v>
      </c>
      <c r="E5069" s="12" t="s">
        <v>142</v>
      </c>
      <c r="F5069">
        <v>1</v>
      </c>
      <c r="G5069">
        <v>6</v>
      </c>
      <c r="H5069">
        <v>1</v>
      </c>
      <c r="I5069" s="12" t="s">
        <v>105</v>
      </c>
      <c r="J5069" s="12" t="s">
        <v>106</v>
      </c>
      <c r="K5069" s="12" t="s">
        <v>81</v>
      </c>
      <c r="L5069" s="12" t="s">
        <v>96</v>
      </c>
      <c r="M5069">
        <v>5.01</v>
      </c>
      <c r="N5069" s="12" t="s">
        <v>70</v>
      </c>
      <c r="O5069" s="12" t="s">
        <v>71</v>
      </c>
      <c r="P5069" s="12" t="s">
        <v>72</v>
      </c>
      <c r="Q5069" s="13">
        <v>45812</v>
      </c>
      <c r="R5069" s="13">
        <v>45848</v>
      </c>
      <c r="S5069">
        <v>2025</v>
      </c>
      <c r="T5069" s="12" t="s">
        <v>6113</v>
      </c>
      <c r="U5069">
        <v>369</v>
      </c>
      <c r="V5069">
        <v>41.5184</v>
      </c>
      <c r="W5069">
        <v>318.41000000000003</v>
      </c>
      <c r="X5069">
        <v>0</v>
      </c>
      <c r="Y5069">
        <v>0</v>
      </c>
      <c r="Z5069">
        <v>15320.29</v>
      </c>
      <c r="AA5069">
        <v>15638.7</v>
      </c>
      <c r="AB5069" s="12" t="s">
        <v>5824</v>
      </c>
      <c r="AC5069">
        <v>41.5184</v>
      </c>
      <c r="AD5069">
        <v>1</v>
      </c>
      <c r="AE5069">
        <v>1</v>
      </c>
      <c r="AF5069">
        <v>0</v>
      </c>
      <c r="AG5069">
        <v>15320.29</v>
      </c>
      <c r="AH5069">
        <v>369</v>
      </c>
      <c r="AI5069">
        <v>366</v>
      </c>
      <c r="AJ5069">
        <v>3</v>
      </c>
      <c r="AK5069">
        <v>1</v>
      </c>
      <c r="AL5069">
        <v>1</v>
      </c>
      <c r="AM5069">
        <v>99.19</v>
      </c>
      <c r="AN5069">
        <v>42.728700000000003</v>
      </c>
      <c r="AO5069">
        <v>124.56</v>
      </c>
      <c r="AP5069" s="13">
        <v>45848</v>
      </c>
      <c r="AQ5069">
        <v>0</v>
      </c>
      <c r="AR5069">
        <v>1</v>
      </c>
    </row>
    <row r="5070" spans="1:44" x14ac:dyDescent="0.35">
      <c r="A5070" s="12" t="s">
        <v>6149</v>
      </c>
      <c r="B5070" s="12" t="s">
        <v>293</v>
      </c>
      <c r="C5070" s="12" t="s">
        <v>294</v>
      </c>
      <c r="D5070" s="12" t="s">
        <v>114</v>
      </c>
      <c r="E5070" s="12" t="s">
        <v>142</v>
      </c>
      <c r="F5070">
        <v>1</v>
      </c>
      <c r="G5070">
        <v>6</v>
      </c>
      <c r="H5070">
        <v>1</v>
      </c>
      <c r="I5070" s="12" t="s">
        <v>195</v>
      </c>
      <c r="J5070" s="12" t="s">
        <v>196</v>
      </c>
      <c r="K5070" s="12" t="s">
        <v>117</v>
      </c>
      <c r="L5070" s="12" t="s">
        <v>134</v>
      </c>
      <c r="M5070">
        <v>4.7699999999999996</v>
      </c>
      <c r="N5070" s="12" t="s">
        <v>70</v>
      </c>
      <c r="O5070" s="12" t="s">
        <v>71</v>
      </c>
      <c r="P5070" s="12" t="s">
        <v>72</v>
      </c>
      <c r="Q5070" s="13">
        <v>45812</v>
      </c>
      <c r="R5070" s="13">
        <v>45855</v>
      </c>
      <c r="S5070">
        <v>2025</v>
      </c>
      <c r="T5070" s="12" t="s">
        <v>6113</v>
      </c>
      <c r="U5070">
        <v>72</v>
      </c>
      <c r="V5070">
        <v>199.8203</v>
      </c>
      <c r="W5070">
        <v>365.06</v>
      </c>
      <c r="X5070">
        <v>0</v>
      </c>
      <c r="Y5070">
        <v>0</v>
      </c>
      <c r="Z5070">
        <v>14387.06</v>
      </c>
      <c r="AA5070">
        <v>14752.12</v>
      </c>
      <c r="AB5070" s="12" t="s">
        <v>5190</v>
      </c>
      <c r="AC5070">
        <v>199.8203</v>
      </c>
      <c r="AD5070">
        <v>1</v>
      </c>
      <c r="AE5070">
        <v>1</v>
      </c>
      <c r="AF5070">
        <v>0</v>
      </c>
      <c r="AG5070">
        <v>14387.06</v>
      </c>
      <c r="AH5070">
        <v>72</v>
      </c>
      <c r="AI5070">
        <v>70</v>
      </c>
      <c r="AJ5070">
        <v>2</v>
      </c>
      <c r="AK5070">
        <v>1</v>
      </c>
      <c r="AL5070">
        <v>1</v>
      </c>
      <c r="AM5070">
        <v>97.22</v>
      </c>
      <c r="AN5070">
        <v>210.74459999999999</v>
      </c>
      <c r="AO5070">
        <v>399.64</v>
      </c>
      <c r="AP5070" s="13">
        <v>45854</v>
      </c>
      <c r="AQ5070">
        <v>-1</v>
      </c>
      <c r="AR5070">
        <v>1</v>
      </c>
    </row>
    <row r="5071" spans="1:44" x14ac:dyDescent="0.35">
      <c r="A5071" s="12" t="s">
        <v>6150</v>
      </c>
      <c r="B5071" s="12" t="s">
        <v>513</v>
      </c>
      <c r="C5071" s="12" t="s">
        <v>514</v>
      </c>
      <c r="D5071" s="12" t="s">
        <v>269</v>
      </c>
      <c r="E5071" s="12" t="s">
        <v>65</v>
      </c>
      <c r="F5071">
        <v>1</v>
      </c>
      <c r="G5071">
        <v>2</v>
      </c>
      <c r="H5071">
        <v>1</v>
      </c>
      <c r="I5071" s="12" t="s">
        <v>515</v>
      </c>
      <c r="J5071" s="12" t="s">
        <v>516</v>
      </c>
      <c r="K5071" s="12" t="s">
        <v>68</v>
      </c>
      <c r="L5071" s="12" t="s">
        <v>134</v>
      </c>
      <c r="M5071">
        <v>3.69</v>
      </c>
      <c r="N5071" s="12" t="s">
        <v>159</v>
      </c>
      <c r="O5071" s="12" t="s">
        <v>160</v>
      </c>
      <c r="P5071" s="12" t="s">
        <v>137</v>
      </c>
      <c r="Q5071" s="13">
        <v>45813</v>
      </c>
      <c r="R5071" s="13">
        <v>45843</v>
      </c>
      <c r="S5071">
        <v>2025</v>
      </c>
      <c r="T5071" s="12" t="s">
        <v>6113</v>
      </c>
      <c r="U5071">
        <v>86</v>
      </c>
      <c r="V5071">
        <v>210.24629999999999</v>
      </c>
      <c r="W5071">
        <v>463.68</v>
      </c>
      <c r="X5071">
        <v>0</v>
      </c>
      <c r="Y5071">
        <v>0</v>
      </c>
      <c r="Z5071">
        <v>18081.18</v>
      </c>
      <c r="AA5071">
        <v>18544.86</v>
      </c>
      <c r="AB5071" s="12" t="s">
        <v>201</v>
      </c>
      <c r="AD5071">
        <v>0</v>
      </c>
      <c r="AE5071">
        <v>0</v>
      </c>
      <c r="AH5071">
        <v>86</v>
      </c>
      <c r="AI5071">
        <v>85</v>
      </c>
      <c r="AJ5071">
        <v>1</v>
      </c>
      <c r="AK5071">
        <v>1</v>
      </c>
      <c r="AL5071">
        <v>1</v>
      </c>
      <c r="AM5071">
        <v>98.84</v>
      </c>
      <c r="AN5071">
        <v>218.1748</v>
      </c>
      <c r="AO5071">
        <v>210.25</v>
      </c>
      <c r="AP5071" s="13">
        <v>45843</v>
      </c>
      <c r="AQ5071">
        <v>0</v>
      </c>
      <c r="AR5071">
        <v>1</v>
      </c>
    </row>
    <row r="5072" spans="1:44" x14ac:dyDescent="0.35">
      <c r="A5072" s="12" t="s">
        <v>6151</v>
      </c>
      <c r="B5072" s="12" t="s">
        <v>519</v>
      </c>
      <c r="C5072" s="12" t="s">
        <v>520</v>
      </c>
      <c r="D5072" s="12" t="s">
        <v>78</v>
      </c>
      <c r="E5072" s="12" t="s">
        <v>65</v>
      </c>
      <c r="F5072">
        <v>2</v>
      </c>
      <c r="G5072">
        <v>3</v>
      </c>
      <c r="H5072">
        <v>0</v>
      </c>
      <c r="I5072" s="12" t="s">
        <v>143</v>
      </c>
      <c r="J5072" s="12" t="s">
        <v>144</v>
      </c>
      <c r="K5072" s="12" t="s">
        <v>133</v>
      </c>
      <c r="L5072" s="12" t="s">
        <v>96</v>
      </c>
      <c r="M5072">
        <v>5.43</v>
      </c>
      <c r="N5072" s="12" t="s">
        <v>70</v>
      </c>
      <c r="O5072" s="12" t="s">
        <v>71</v>
      </c>
      <c r="P5072" s="12" t="s">
        <v>72</v>
      </c>
      <c r="Q5072" s="13">
        <v>45813</v>
      </c>
      <c r="R5072" s="13">
        <v>45841</v>
      </c>
      <c r="S5072">
        <v>2025</v>
      </c>
      <c r="T5072" s="12" t="s">
        <v>6113</v>
      </c>
      <c r="U5072">
        <v>149</v>
      </c>
      <c r="V5072">
        <v>28.570399999999999</v>
      </c>
      <c r="W5072">
        <v>58.2</v>
      </c>
      <c r="X5072">
        <v>0</v>
      </c>
      <c r="Y5072">
        <v>0</v>
      </c>
      <c r="Z5072">
        <v>4256.99</v>
      </c>
      <c r="AA5072">
        <v>4315.1899999999996</v>
      </c>
      <c r="AB5072" s="12" t="s">
        <v>5619</v>
      </c>
      <c r="AC5072">
        <v>28.570399999999999</v>
      </c>
      <c r="AD5072">
        <v>1</v>
      </c>
      <c r="AE5072">
        <v>1</v>
      </c>
      <c r="AF5072">
        <v>0</v>
      </c>
      <c r="AG5072">
        <v>4256.99</v>
      </c>
      <c r="AH5072">
        <v>149</v>
      </c>
      <c r="AI5072">
        <v>148</v>
      </c>
      <c r="AJ5072">
        <v>1</v>
      </c>
      <c r="AK5072">
        <v>1</v>
      </c>
      <c r="AL5072">
        <v>1</v>
      </c>
      <c r="AM5072">
        <v>99.33</v>
      </c>
      <c r="AN5072">
        <v>29.156700000000001</v>
      </c>
      <c r="AO5072">
        <v>28.57</v>
      </c>
      <c r="AP5072" s="13">
        <v>45838</v>
      </c>
      <c r="AQ5072">
        <v>-3</v>
      </c>
      <c r="AR5072">
        <v>1</v>
      </c>
    </row>
    <row r="5073" spans="1:44" x14ac:dyDescent="0.35">
      <c r="A5073" s="12" t="s">
        <v>6152</v>
      </c>
      <c r="B5073" s="12" t="s">
        <v>249</v>
      </c>
      <c r="C5073" s="12" t="s">
        <v>250</v>
      </c>
      <c r="D5073" s="12" t="s">
        <v>64</v>
      </c>
      <c r="E5073" s="12" t="s">
        <v>65</v>
      </c>
      <c r="F5073">
        <v>2</v>
      </c>
      <c r="G5073">
        <v>3</v>
      </c>
      <c r="H5073">
        <v>0</v>
      </c>
      <c r="I5073" s="12" t="s">
        <v>251</v>
      </c>
      <c r="J5073" s="12" t="s">
        <v>252</v>
      </c>
      <c r="K5073" s="12" t="s">
        <v>133</v>
      </c>
      <c r="L5073" s="12" t="s">
        <v>69</v>
      </c>
      <c r="M5073">
        <v>34.49</v>
      </c>
      <c r="N5073" s="12" t="s">
        <v>70</v>
      </c>
      <c r="O5073" s="12" t="s">
        <v>71</v>
      </c>
      <c r="P5073" s="12" t="s">
        <v>72</v>
      </c>
      <c r="Q5073" s="13">
        <v>45813</v>
      </c>
      <c r="R5073" s="13">
        <v>45851</v>
      </c>
      <c r="S5073">
        <v>2025</v>
      </c>
      <c r="T5073" s="12" t="s">
        <v>6113</v>
      </c>
      <c r="U5073">
        <v>999</v>
      </c>
      <c r="V5073">
        <v>9.9464000000000006</v>
      </c>
      <c r="W5073">
        <v>236.06</v>
      </c>
      <c r="X5073">
        <v>0</v>
      </c>
      <c r="Y5073">
        <v>0</v>
      </c>
      <c r="Z5073">
        <v>9936.4500000000007</v>
      </c>
      <c r="AA5073">
        <v>10172.51</v>
      </c>
      <c r="AB5073" s="12" t="s">
        <v>5207</v>
      </c>
      <c r="AC5073">
        <v>9.9464000000000006</v>
      </c>
      <c r="AD5073">
        <v>1</v>
      </c>
      <c r="AE5073">
        <v>1</v>
      </c>
      <c r="AF5073">
        <v>0</v>
      </c>
      <c r="AG5073">
        <v>9936.4500000000007</v>
      </c>
      <c r="AH5073">
        <v>999</v>
      </c>
      <c r="AI5073">
        <v>985</v>
      </c>
      <c r="AJ5073">
        <v>14</v>
      </c>
      <c r="AK5073">
        <v>1</v>
      </c>
      <c r="AL5073">
        <v>1</v>
      </c>
      <c r="AM5073">
        <v>98.6</v>
      </c>
      <c r="AN5073">
        <v>10.327400000000001</v>
      </c>
      <c r="AO5073">
        <v>139.25</v>
      </c>
      <c r="AP5073" s="13">
        <v>45848</v>
      </c>
      <c r="AQ5073">
        <v>-3</v>
      </c>
      <c r="AR5073">
        <v>1</v>
      </c>
    </row>
    <row r="5074" spans="1:44" x14ac:dyDescent="0.35">
      <c r="A5074" s="12" t="s">
        <v>6153</v>
      </c>
      <c r="B5074" s="12" t="s">
        <v>128</v>
      </c>
      <c r="C5074" s="12" t="s">
        <v>129</v>
      </c>
      <c r="D5074" s="12" t="s">
        <v>130</v>
      </c>
      <c r="E5074" s="12" t="s">
        <v>65</v>
      </c>
      <c r="F5074">
        <v>3</v>
      </c>
      <c r="G5074">
        <v>5</v>
      </c>
      <c r="H5074">
        <v>0</v>
      </c>
      <c r="I5074" s="12" t="s">
        <v>380</v>
      </c>
      <c r="J5074" s="12" t="s">
        <v>381</v>
      </c>
      <c r="K5074" s="12" t="s">
        <v>89</v>
      </c>
      <c r="L5074" s="12" t="s">
        <v>96</v>
      </c>
      <c r="M5074">
        <v>10.210000000000001</v>
      </c>
      <c r="N5074" s="12" t="s">
        <v>159</v>
      </c>
      <c r="O5074" s="12" t="s">
        <v>160</v>
      </c>
      <c r="P5074" s="12" t="s">
        <v>137</v>
      </c>
      <c r="Q5074" s="13">
        <v>45813</v>
      </c>
      <c r="R5074" s="13">
        <v>45844</v>
      </c>
      <c r="S5074">
        <v>2025</v>
      </c>
      <c r="T5074" s="12" t="s">
        <v>6113</v>
      </c>
      <c r="U5074">
        <v>94</v>
      </c>
      <c r="V5074">
        <v>468.52519999999998</v>
      </c>
      <c r="W5074">
        <v>1085.76</v>
      </c>
      <c r="X5074">
        <v>0</v>
      </c>
      <c r="Y5074">
        <v>0</v>
      </c>
      <c r="Z5074">
        <v>44041.37</v>
      </c>
      <c r="AA5074">
        <v>45127.13</v>
      </c>
      <c r="AB5074" s="12" t="s">
        <v>5396</v>
      </c>
      <c r="AC5074">
        <v>468.52519999999998</v>
      </c>
      <c r="AD5074">
        <v>1</v>
      </c>
      <c r="AE5074">
        <v>1</v>
      </c>
      <c r="AF5074">
        <v>0</v>
      </c>
      <c r="AG5074">
        <v>44041.37</v>
      </c>
      <c r="AH5074">
        <v>94</v>
      </c>
      <c r="AI5074">
        <v>93</v>
      </c>
      <c r="AJ5074">
        <v>1</v>
      </c>
      <c r="AK5074">
        <v>1</v>
      </c>
      <c r="AL5074">
        <v>1</v>
      </c>
      <c r="AM5074">
        <v>98.94</v>
      </c>
      <c r="AN5074">
        <v>485.23790000000002</v>
      </c>
      <c r="AO5074">
        <v>468.53</v>
      </c>
      <c r="AP5074" s="13">
        <v>45843</v>
      </c>
      <c r="AQ5074">
        <v>-1</v>
      </c>
      <c r="AR5074">
        <v>1</v>
      </c>
    </row>
    <row r="5075" spans="1:44" x14ac:dyDescent="0.35">
      <c r="A5075" s="12" t="s">
        <v>6154</v>
      </c>
      <c r="B5075" s="12" t="s">
        <v>362</v>
      </c>
      <c r="C5075" s="12" t="s">
        <v>363</v>
      </c>
      <c r="D5075" s="12" t="s">
        <v>78</v>
      </c>
      <c r="E5075" s="12" t="s">
        <v>104</v>
      </c>
      <c r="F5075">
        <v>3</v>
      </c>
      <c r="G5075">
        <v>0</v>
      </c>
      <c r="H5075">
        <v>0</v>
      </c>
      <c r="I5075" s="12" t="s">
        <v>157</v>
      </c>
      <c r="J5075" s="12" t="s">
        <v>158</v>
      </c>
      <c r="K5075" s="12" t="s">
        <v>117</v>
      </c>
      <c r="L5075" s="12" t="s">
        <v>96</v>
      </c>
      <c r="M5075">
        <v>4.72</v>
      </c>
      <c r="N5075" s="12" t="s">
        <v>70</v>
      </c>
      <c r="O5075" s="12" t="s">
        <v>71</v>
      </c>
      <c r="P5075" s="12" t="s">
        <v>72</v>
      </c>
      <c r="Q5075" s="13">
        <v>45813</v>
      </c>
      <c r="R5075" s="13">
        <v>45838</v>
      </c>
      <c r="S5075">
        <v>2025</v>
      </c>
      <c r="T5075" s="12" t="s">
        <v>6113</v>
      </c>
      <c r="U5075">
        <v>235</v>
      </c>
      <c r="V5075">
        <v>60.0672</v>
      </c>
      <c r="W5075">
        <v>261.75</v>
      </c>
      <c r="X5075">
        <v>0</v>
      </c>
      <c r="Y5075">
        <v>0</v>
      </c>
      <c r="Z5075">
        <v>14115.79</v>
      </c>
      <c r="AA5075">
        <v>14377.54</v>
      </c>
      <c r="AB5075" s="12" t="s">
        <v>201</v>
      </c>
      <c r="AD5075">
        <v>0</v>
      </c>
      <c r="AE5075">
        <v>0</v>
      </c>
      <c r="AH5075">
        <v>235</v>
      </c>
      <c r="AI5075">
        <v>230</v>
      </c>
      <c r="AJ5075">
        <v>5</v>
      </c>
      <c r="AK5075">
        <v>1</v>
      </c>
      <c r="AL5075">
        <v>1</v>
      </c>
      <c r="AM5075">
        <v>97.87</v>
      </c>
      <c r="AN5075">
        <v>62.511099999999999</v>
      </c>
      <c r="AO5075">
        <v>300.33999999999997</v>
      </c>
      <c r="AP5075" s="13">
        <v>45847</v>
      </c>
      <c r="AQ5075">
        <v>9</v>
      </c>
      <c r="AR5075">
        <v>0</v>
      </c>
    </row>
    <row r="5076" spans="1:44" x14ac:dyDescent="0.35">
      <c r="A5076" s="12" t="s">
        <v>6155</v>
      </c>
      <c r="B5076" s="12" t="s">
        <v>215</v>
      </c>
      <c r="C5076" s="12" t="s">
        <v>216</v>
      </c>
      <c r="D5076" s="12" t="s">
        <v>122</v>
      </c>
      <c r="E5076" s="12" t="s">
        <v>142</v>
      </c>
      <c r="F5076">
        <v>3</v>
      </c>
      <c r="G5076">
        <v>11</v>
      </c>
      <c r="H5076">
        <v>0</v>
      </c>
      <c r="I5076" s="12" t="s">
        <v>217</v>
      </c>
      <c r="J5076" s="12" t="s">
        <v>218</v>
      </c>
      <c r="K5076" s="12" t="s">
        <v>68</v>
      </c>
      <c r="L5076" s="12" t="s">
        <v>82</v>
      </c>
      <c r="M5076">
        <v>14.24</v>
      </c>
      <c r="N5076" s="12" t="s">
        <v>70</v>
      </c>
      <c r="O5076" s="12" t="s">
        <v>71</v>
      </c>
      <c r="P5076" s="12" t="s">
        <v>72</v>
      </c>
      <c r="Q5076" s="13">
        <v>45813</v>
      </c>
      <c r="R5076" s="13">
        <v>45864</v>
      </c>
      <c r="S5076">
        <v>2025</v>
      </c>
      <c r="T5076" s="12" t="s">
        <v>6113</v>
      </c>
      <c r="U5076">
        <v>1801</v>
      </c>
      <c r="V5076">
        <v>14.1587</v>
      </c>
      <c r="W5076">
        <v>238.45</v>
      </c>
      <c r="X5076">
        <v>809.43</v>
      </c>
      <c r="Y5076">
        <v>1</v>
      </c>
      <c r="Z5076">
        <v>25499.82</v>
      </c>
      <c r="AA5076">
        <v>26547.7</v>
      </c>
      <c r="AB5076" s="12" t="s">
        <v>5706</v>
      </c>
      <c r="AC5076">
        <v>14.1587</v>
      </c>
      <c r="AD5076">
        <v>1</v>
      </c>
      <c r="AE5076">
        <v>1</v>
      </c>
      <c r="AF5076">
        <v>0</v>
      </c>
      <c r="AG5076">
        <v>25499.82</v>
      </c>
      <c r="AH5076">
        <v>1801</v>
      </c>
      <c r="AI5076">
        <v>1796</v>
      </c>
      <c r="AJ5076">
        <v>5</v>
      </c>
      <c r="AK5076">
        <v>1</v>
      </c>
      <c r="AL5076">
        <v>1</v>
      </c>
      <c r="AM5076">
        <v>99.72</v>
      </c>
      <c r="AN5076">
        <v>14.781599999999999</v>
      </c>
      <c r="AO5076">
        <v>70.790000000000006</v>
      </c>
      <c r="AP5076" s="13">
        <v>45864</v>
      </c>
      <c r="AQ5076">
        <v>0</v>
      </c>
      <c r="AR5076">
        <v>1</v>
      </c>
    </row>
    <row r="5077" spans="1:44" x14ac:dyDescent="0.35">
      <c r="A5077" s="12" t="s">
        <v>6156</v>
      </c>
      <c r="B5077" s="12" t="s">
        <v>640</v>
      </c>
      <c r="C5077" s="12" t="s">
        <v>641</v>
      </c>
      <c r="D5077" s="12" t="s">
        <v>130</v>
      </c>
      <c r="E5077" s="12" t="s">
        <v>104</v>
      </c>
      <c r="F5077">
        <v>3</v>
      </c>
      <c r="G5077">
        <v>0</v>
      </c>
      <c r="H5077">
        <v>0</v>
      </c>
      <c r="I5077" s="12" t="s">
        <v>123</v>
      </c>
      <c r="J5077" s="12" t="s">
        <v>124</v>
      </c>
      <c r="K5077" s="12" t="s">
        <v>125</v>
      </c>
      <c r="L5077" s="12" t="s">
        <v>82</v>
      </c>
      <c r="M5077">
        <v>6.75</v>
      </c>
      <c r="N5077" s="12" t="s">
        <v>159</v>
      </c>
      <c r="O5077" s="12" t="s">
        <v>160</v>
      </c>
      <c r="P5077" s="12" t="s">
        <v>137</v>
      </c>
      <c r="Q5077" s="13">
        <v>45813</v>
      </c>
      <c r="R5077" s="13">
        <v>45827</v>
      </c>
      <c r="S5077">
        <v>2025</v>
      </c>
      <c r="T5077" s="12" t="s">
        <v>6113</v>
      </c>
      <c r="U5077">
        <v>27</v>
      </c>
      <c r="V5077">
        <v>844.25710000000004</v>
      </c>
      <c r="W5077">
        <v>155.34</v>
      </c>
      <c r="X5077">
        <v>780.1</v>
      </c>
      <c r="Y5077">
        <v>1</v>
      </c>
      <c r="Z5077">
        <v>22794.94</v>
      </c>
      <c r="AA5077">
        <v>23730.38</v>
      </c>
      <c r="AB5077" s="12" t="s">
        <v>6157</v>
      </c>
      <c r="AC5077">
        <v>844.25710000000004</v>
      </c>
      <c r="AD5077">
        <v>1</v>
      </c>
      <c r="AE5077">
        <v>1</v>
      </c>
      <c r="AF5077">
        <v>0</v>
      </c>
      <c r="AG5077">
        <v>22794.94</v>
      </c>
      <c r="AH5077">
        <v>27</v>
      </c>
      <c r="AI5077">
        <v>27</v>
      </c>
      <c r="AJ5077">
        <v>0</v>
      </c>
      <c r="AK5077">
        <v>1</v>
      </c>
      <c r="AL5077">
        <v>1</v>
      </c>
      <c r="AM5077">
        <v>100</v>
      </c>
      <c r="AN5077">
        <v>878.90300000000002</v>
      </c>
      <c r="AO5077">
        <v>0</v>
      </c>
      <c r="AP5077" s="13">
        <v>45824</v>
      </c>
      <c r="AQ5077">
        <v>-3</v>
      </c>
      <c r="AR5077">
        <v>1</v>
      </c>
    </row>
    <row r="5078" spans="1:44" x14ac:dyDescent="0.35">
      <c r="A5078" s="12" t="s">
        <v>6158</v>
      </c>
      <c r="B5078" s="12" t="s">
        <v>85</v>
      </c>
      <c r="C5078" s="12" t="s">
        <v>86</v>
      </c>
      <c r="D5078" s="12" t="s">
        <v>78</v>
      </c>
      <c r="E5078" s="12" t="s">
        <v>65</v>
      </c>
      <c r="F5078">
        <v>3</v>
      </c>
      <c r="G5078">
        <v>5</v>
      </c>
      <c r="H5078">
        <v>0</v>
      </c>
      <c r="I5078" s="12" t="s">
        <v>87</v>
      </c>
      <c r="J5078" s="12" t="s">
        <v>88</v>
      </c>
      <c r="K5078" s="12" t="s">
        <v>89</v>
      </c>
      <c r="L5078" s="12" t="s">
        <v>69</v>
      </c>
      <c r="M5078">
        <v>14.93</v>
      </c>
      <c r="N5078" s="12" t="s">
        <v>70</v>
      </c>
      <c r="O5078" s="12" t="s">
        <v>71</v>
      </c>
      <c r="P5078" s="12" t="s">
        <v>72</v>
      </c>
      <c r="Q5078" s="13">
        <v>45813</v>
      </c>
      <c r="R5078" s="13">
        <v>45836</v>
      </c>
      <c r="S5078">
        <v>2025</v>
      </c>
      <c r="T5078" s="12" t="s">
        <v>6113</v>
      </c>
      <c r="U5078">
        <v>78</v>
      </c>
      <c r="V5078">
        <v>132.05160000000001</v>
      </c>
      <c r="W5078">
        <v>136.58000000000001</v>
      </c>
      <c r="X5078">
        <v>0</v>
      </c>
      <c r="Y5078">
        <v>0</v>
      </c>
      <c r="Z5078">
        <v>10300.02</v>
      </c>
      <c r="AA5078">
        <v>10436.6</v>
      </c>
      <c r="AB5078" s="12" t="s">
        <v>5445</v>
      </c>
      <c r="AC5078">
        <v>132.05160000000001</v>
      </c>
      <c r="AD5078">
        <v>1</v>
      </c>
      <c r="AE5078">
        <v>1</v>
      </c>
      <c r="AF5078">
        <v>0</v>
      </c>
      <c r="AG5078">
        <v>10300.02</v>
      </c>
      <c r="AH5078">
        <v>78</v>
      </c>
      <c r="AI5078">
        <v>77</v>
      </c>
      <c r="AJ5078">
        <v>1</v>
      </c>
      <c r="AK5078">
        <v>1</v>
      </c>
      <c r="AL5078">
        <v>1</v>
      </c>
      <c r="AM5078">
        <v>98.72</v>
      </c>
      <c r="AN5078">
        <v>135.5403</v>
      </c>
      <c r="AO5078">
        <v>132.05000000000001</v>
      </c>
      <c r="AP5078" s="13">
        <v>45835</v>
      </c>
      <c r="AQ5078">
        <v>-1</v>
      </c>
      <c r="AR5078">
        <v>1</v>
      </c>
    </row>
    <row r="5079" spans="1:44" x14ac:dyDescent="0.35">
      <c r="A5079" s="12" t="s">
        <v>6159</v>
      </c>
      <c r="B5079" s="12" t="s">
        <v>792</v>
      </c>
      <c r="C5079" s="12" t="s">
        <v>793</v>
      </c>
      <c r="D5079" s="12" t="s">
        <v>103</v>
      </c>
      <c r="E5079" s="12" t="s">
        <v>65</v>
      </c>
      <c r="F5079">
        <v>2</v>
      </c>
      <c r="G5079">
        <v>3</v>
      </c>
      <c r="H5079">
        <v>0</v>
      </c>
      <c r="I5079" s="12" t="s">
        <v>115</v>
      </c>
      <c r="J5079" s="12" t="s">
        <v>116</v>
      </c>
      <c r="K5079" s="12" t="s">
        <v>117</v>
      </c>
      <c r="L5079" s="12" t="s">
        <v>82</v>
      </c>
      <c r="M5079">
        <v>17.170000000000002</v>
      </c>
      <c r="N5079" s="12" t="s">
        <v>107</v>
      </c>
      <c r="O5079" s="12" t="s">
        <v>108</v>
      </c>
      <c r="P5079" s="12" t="s">
        <v>109</v>
      </c>
      <c r="Q5079" s="13">
        <v>45813</v>
      </c>
      <c r="R5079" s="13">
        <v>45838</v>
      </c>
      <c r="S5079">
        <v>2025</v>
      </c>
      <c r="T5079" s="12" t="s">
        <v>6113</v>
      </c>
      <c r="U5079">
        <v>45</v>
      </c>
      <c r="V5079">
        <v>102.209</v>
      </c>
      <c r="W5079">
        <v>42.21</v>
      </c>
      <c r="X5079">
        <v>0</v>
      </c>
      <c r="Y5079">
        <v>0</v>
      </c>
      <c r="Z5079">
        <v>4599.41</v>
      </c>
      <c r="AA5079">
        <v>4641.62</v>
      </c>
      <c r="AB5079" s="12" t="s">
        <v>6160</v>
      </c>
      <c r="AC5079">
        <v>97.497299999999996</v>
      </c>
      <c r="AD5079">
        <v>1</v>
      </c>
      <c r="AE5079">
        <v>1</v>
      </c>
      <c r="AF5079">
        <v>212.03</v>
      </c>
      <c r="AG5079">
        <v>4387.38</v>
      </c>
      <c r="AH5079">
        <v>45</v>
      </c>
      <c r="AI5079">
        <v>44</v>
      </c>
      <c r="AJ5079">
        <v>1</v>
      </c>
      <c r="AK5079">
        <v>1</v>
      </c>
      <c r="AL5079">
        <v>1</v>
      </c>
      <c r="AM5079">
        <v>97.78</v>
      </c>
      <c r="AN5079">
        <v>105.4913</v>
      </c>
      <c r="AO5079">
        <v>102.21</v>
      </c>
      <c r="AP5079" s="13">
        <v>45835</v>
      </c>
      <c r="AQ5079">
        <v>-3</v>
      </c>
      <c r="AR5079">
        <v>1</v>
      </c>
    </row>
    <row r="5080" spans="1:44" x14ac:dyDescent="0.35">
      <c r="A5080" s="12" t="s">
        <v>6161</v>
      </c>
      <c r="B5080" s="12" t="s">
        <v>503</v>
      </c>
      <c r="C5080" s="12" t="s">
        <v>504</v>
      </c>
      <c r="D5080" s="12" t="s">
        <v>103</v>
      </c>
      <c r="E5080" s="12" t="s">
        <v>104</v>
      </c>
      <c r="F5080">
        <v>3</v>
      </c>
      <c r="G5080">
        <v>1</v>
      </c>
      <c r="H5080">
        <v>0</v>
      </c>
      <c r="I5080" s="12" t="s">
        <v>209</v>
      </c>
      <c r="J5080" s="12" t="s">
        <v>210</v>
      </c>
      <c r="K5080" s="12" t="s">
        <v>133</v>
      </c>
      <c r="L5080" s="12" t="s">
        <v>96</v>
      </c>
      <c r="M5080">
        <v>7.82</v>
      </c>
      <c r="N5080" s="12" t="s">
        <v>107</v>
      </c>
      <c r="O5080" s="12" t="s">
        <v>108</v>
      </c>
      <c r="P5080" s="12" t="s">
        <v>109</v>
      </c>
      <c r="Q5080" s="13">
        <v>45814</v>
      </c>
      <c r="R5080" s="13">
        <v>45834</v>
      </c>
      <c r="S5080">
        <v>2025</v>
      </c>
      <c r="T5080" s="12" t="s">
        <v>6113</v>
      </c>
      <c r="U5080">
        <v>78</v>
      </c>
      <c r="V5080">
        <v>167.9503</v>
      </c>
      <c r="W5080">
        <v>172.79</v>
      </c>
      <c r="X5080">
        <v>0</v>
      </c>
      <c r="Y5080">
        <v>0</v>
      </c>
      <c r="Z5080">
        <v>13100.12</v>
      </c>
      <c r="AA5080">
        <v>13272.91</v>
      </c>
      <c r="AB5080" s="12" t="s">
        <v>201</v>
      </c>
      <c r="AD5080">
        <v>0</v>
      </c>
      <c r="AE5080">
        <v>0</v>
      </c>
      <c r="AH5080">
        <v>78</v>
      </c>
      <c r="AI5080">
        <v>78</v>
      </c>
      <c r="AJ5080">
        <v>0</v>
      </c>
      <c r="AK5080">
        <v>1</v>
      </c>
      <c r="AL5080">
        <v>1</v>
      </c>
      <c r="AM5080">
        <v>100</v>
      </c>
      <c r="AN5080">
        <v>170.16560000000001</v>
      </c>
      <c r="AO5080">
        <v>0</v>
      </c>
      <c r="AP5080" s="13">
        <v>45834</v>
      </c>
      <c r="AQ5080">
        <v>0</v>
      </c>
      <c r="AR5080">
        <v>1</v>
      </c>
    </row>
    <row r="5081" spans="1:44" x14ac:dyDescent="0.35">
      <c r="A5081" s="12" t="s">
        <v>6162</v>
      </c>
      <c r="B5081" s="12" t="s">
        <v>472</v>
      </c>
      <c r="C5081" s="12" t="s">
        <v>473</v>
      </c>
      <c r="D5081" s="12" t="s">
        <v>122</v>
      </c>
      <c r="E5081" s="12" t="s">
        <v>142</v>
      </c>
      <c r="F5081">
        <v>2</v>
      </c>
      <c r="G5081">
        <v>9</v>
      </c>
      <c r="H5081">
        <v>0</v>
      </c>
      <c r="I5081" s="12" t="s">
        <v>87</v>
      </c>
      <c r="J5081" s="12" t="s">
        <v>88</v>
      </c>
      <c r="K5081" s="12" t="s">
        <v>89</v>
      </c>
      <c r="L5081" s="12" t="s">
        <v>69</v>
      </c>
      <c r="M5081">
        <v>14.93</v>
      </c>
      <c r="N5081" s="12" t="s">
        <v>97</v>
      </c>
      <c r="O5081" s="12" t="s">
        <v>98</v>
      </c>
      <c r="P5081" s="12" t="s">
        <v>72</v>
      </c>
      <c r="Q5081" s="13">
        <v>45814</v>
      </c>
      <c r="R5081" s="13">
        <v>45857</v>
      </c>
      <c r="S5081">
        <v>2025</v>
      </c>
      <c r="T5081" s="12" t="s">
        <v>6113</v>
      </c>
      <c r="U5081">
        <v>1034</v>
      </c>
      <c r="V5081">
        <v>46.924199999999999</v>
      </c>
      <c r="W5081">
        <v>604.04999999999995</v>
      </c>
      <c r="X5081">
        <v>0</v>
      </c>
      <c r="Y5081">
        <v>0</v>
      </c>
      <c r="Z5081">
        <v>48519.62</v>
      </c>
      <c r="AA5081">
        <v>49123.67</v>
      </c>
      <c r="AB5081" s="12" t="s">
        <v>5714</v>
      </c>
      <c r="AC5081">
        <v>46.924199999999999</v>
      </c>
      <c r="AD5081">
        <v>1</v>
      </c>
      <c r="AE5081">
        <v>1</v>
      </c>
      <c r="AF5081">
        <v>0</v>
      </c>
      <c r="AG5081">
        <v>48519.62</v>
      </c>
      <c r="AH5081">
        <v>1034</v>
      </c>
      <c r="AI5081">
        <v>1023</v>
      </c>
      <c r="AJ5081">
        <v>11</v>
      </c>
      <c r="AK5081">
        <v>1</v>
      </c>
      <c r="AL5081">
        <v>1</v>
      </c>
      <c r="AM5081">
        <v>98.94</v>
      </c>
      <c r="AN5081">
        <v>48.019199999999998</v>
      </c>
      <c r="AO5081">
        <v>516.16999999999996</v>
      </c>
      <c r="AP5081" s="13">
        <v>45862</v>
      </c>
      <c r="AQ5081">
        <v>5</v>
      </c>
      <c r="AR5081">
        <v>0</v>
      </c>
    </row>
    <row r="5082" spans="1:44" x14ac:dyDescent="0.35">
      <c r="A5082" s="12" t="s">
        <v>6163</v>
      </c>
      <c r="B5082" s="12" t="s">
        <v>261</v>
      </c>
      <c r="C5082" s="12" t="s">
        <v>262</v>
      </c>
      <c r="D5082" s="12" t="s">
        <v>114</v>
      </c>
      <c r="E5082" s="12" t="s">
        <v>142</v>
      </c>
      <c r="F5082">
        <v>1</v>
      </c>
      <c r="G5082">
        <v>8</v>
      </c>
      <c r="H5082">
        <v>1</v>
      </c>
      <c r="I5082" s="12" t="s">
        <v>263</v>
      </c>
      <c r="J5082" s="12" t="s">
        <v>264</v>
      </c>
      <c r="K5082" s="12" t="s">
        <v>125</v>
      </c>
      <c r="L5082" s="12" t="s">
        <v>82</v>
      </c>
      <c r="M5082">
        <v>10.210000000000001</v>
      </c>
      <c r="N5082" s="12" t="s">
        <v>97</v>
      </c>
      <c r="O5082" s="12" t="s">
        <v>98</v>
      </c>
      <c r="P5082" s="12" t="s">
        <v>72</v>
      </c>
      <c r="Q5082" s="13">
        <v>45814</v>
      </c>
      <c r="R5082" s="13">
        <v>45860</v>
      </c>
      <c r="S5082">
        <v>2025</v>
      </c>
      <c r="T5082" s="12" t="s">
        <v>6113</v>
      </c>
      <c r="U5082">
        <v>102</v>
      </c>
      <c r="V5082">
        <v>150.60220000000001</v>
      </c>
      <c r="W5082">
        <v>337.08</v>
      </c>
      <c r="X5082">
        <v>0</v>
      </c>
      <c r="Y5082">
        <v>0</v>
      </c>
      <c r="Z5082">
        <v>15361.42</v>
      </c>
      <c r="AA5082">
        <v>15698.5</v>
      </c>
      <c r="AB5082" s="12" t="s">
        <v>201</v>
      </c>
      <c r="AD5082">
        <v>0</v>
      </c>
      <c r="AE5082">
        <v>0</v>
      </c>
      <c r="AH5082">
        <v>102</v>
      </c>
      <c r="AI5082">
        <v>100</v>
      </c>
      <c r="AJ5082">
        <v>2</v>
      </c>
      <c r="AK5082">
        <v>1</v>
      </c>
      <c r="AL5082">
        <v>1</v>
      </c>
      <c r="AM5082">
        <v>98.04</v>
      </c>
      <c r="AN5082">
        <v>156.98500000000001</v>
      </c>
      <c r="AO5082">
        <v>301.2</v>
      </c>
      <c r="AP5082" s="13">
        <v>45862</v>
      </c>
      <c r="AQ5082">
        <v>2</v>
      </c>
      <c r="AR5082">
        <v>0</v>
      </c>
    </row>
    <row r="5083" spans="1:44" x14ac:dyDescent="0.35">
      <c r="A5083" s="12" t="s">
        <v>6164</v>
      </c>
      <c r="B5083" s="12" t="s">
        <v>685</v>
      </c>
      <c r="C5083" s="12" t="s">
        <v>686</v>
      </c>
      <c r="D5083" s="12" t="s">
        <v>175</v>
      </c>
      <c r="E5083" s="12" t="s">
        <v>104</v>
      </c>
      <c r="F5083">
        <v>2</v>
      </c>
      <c r="G5083">
        <v>0</v>
      </c>
      <c r="H5083">
        <v>0</v>
      </c>
      <c r="I5083" s="12" t="s">
        <v>243</v>
      </c>
      <c r="J5083" s="12" t="s">
        <v>244</v>
      </c>
      <c r="K5083" s="12" t="s">
        <v>81</v>
      </c>
      <c r="L5083" s="12" t="s">
        <v>82</v>
      </c>
      <c r="M5083">
        <v>9.2200000000000006</v>
      </c>
      <c r="N5083" s="12" t="s">
        <v>107</v>
      </c>
      <c r="O5083" s="12" t="s">
        <v>108</v>
      </c>
      <c r="P5083" s="12" t="s">
        <v>109</v>
      </c>
      <c r="Q5083" s="13">
        <v>45814</v>
      </c>
      <c r="R5083" s="13">
        <v>45838</v>
      </c>
      <c r="S5083">
        <v>2025</v>
      </c>
      <c r="T5083" s="12" t="s">
        <v>6113</v>
      </c>
      <c r="U5083">
        <v>106</v>
      </c>
      <c r="V5083">
        <v>227.3177</v>
      </c>
      <c r="W5083">
        <v>453.02</v>
      </c>
      <c r="X5083">
        <v>0</v>
      </c>
      <c r="Y5083">
        <v>0</v>
      </c>
      <c r="Z5083">
        <v>24095.68</v>
      </c>
      <c r="AA5083">
        <v>24548.7</v>
      </c>
      <c r="AB5083" s="12" t="s">
        <v>201</v>
      </c>
      <c r="AD5083">
        <v>0</v>
      </c>
      <c r="AE5083">
        <v>0</v>
      </c>
      <c r="AH5083">
        <v>106</v>
      </c>
      <c r="AI5083">
        <v>106</v>
      </c>
      <c r="AJ5083">
        <v>0</v>
      </c>
      <c r="AK5083">
        <v>1</v>
      </c>
      <c r="AL5083">
        <v>1</v>
      </c>
      <c r="AM5083">
        <v>100</v>
      </c>
      <c r="AN5083">
        <v>231.5915</v>
      </c>
      <c r="AO5083">
        <v>0</v>
      </c>
      <c r="AP5083" s="13">
        <v>45836</v>
      </c>
      <c r="AQ5083">
        <v>-2</v>
      </c>
      <c r="AR5083">
        <v>1</v>
      </c>
    </row>
    <row r="5084" spans="1:44" x14ac:dyDescent="0.35">
      <c r="A5084" s="12" t="s">
        <v>6165</v>
      </c>
      <c r="B5084" s="12" t="s">
        <v>420</v>
      </c>
      <c r="C5084" s="12" t="s">
        <v>421</v>
      </c>
      <c r="D5084" s="12" t="s">
        <v>269</v>
      </c>
      <c r="E5084" s="12" t="s">
        <v>104</v>
      </c>
      <c r="F5084">
        <v>2</v>
      </c>
      <c r="G5084">
        <v>0</v>
      </c>
      <c r="H5084">
        <v>0</v>
      </c>
      <c r="I5084" s="12" t="s">
        <v>335</v>
      </c>
      <c r="J5084" s="12" t="s">
        <v>336</v>
      </c>
      <c r="K5084" s="12" t="s">
        <v>89</v>
      </c>
      <c r="L5084" s="12" t="s">
        <v>82</v>
      </c>
      <c r="M5084">
        <v>16</v>
      </c>
      <c r="N5084" s="12" t="s">
        <v>159</v>
      </c>
      <c r="O5084" s="12" t="s">
        <v>160</v>
      </c>
      <c r="P5084" s="12" t="s">
        <v>137</v>
      </c>
      <c r="Q5084" s="13">
        <v>45814</v>
      </c>
      <c r="R5084" s="13">
        <v>45835</v>
      </c>
      <c r="S5084">
        <v>2025</v>
      </c>
      <c r="T5084" s="12" t="s">
        <v>6113</v>
      </c>
      <c r="U5084">
        <v>87</v>
      </c>
      <c r="V5084">
        <v>153.4383</v>
      </c>
      <c r="W5084">
        <v>235.87</v>
      </c>
      <c r="X5084">
        <v>0</v>
      </c>
      <c r="Y5084">
        <v>0</v>
      </c>
      <c r="Z5084">
        <v>13349.13</v>
      </c>
      <c r="AA5084">
        <v>13585</v>
      </c>
      <c r="AB5084" s="12" t="s">
        <v>201</v>
      </c>
      <c r="AD5084">
        <v>0</v>
      </c>
      <c r="AE5084">
        <v>0</v>
      </c>
      <c r="AH5084">
        <v>87</v>
      </c>
      <c r="AI5084">
        <v>86</v>
      </c>
      <c r="AJ5084">
        <v>1</v>
      </c>
      <c r="AK5084">
        <v>1</v>
      </c>
      <c r="AL5084">
        <v>1</v>
      </c>
      <c r="AM5084">
        <v>98.85</v>
      </c>
      <c r="AN5084">
        <v>157.96510000000001</v>
      </c>
      <c r="AO5084">
        <v>153.44</v>
      </c>
      <c r="AP5084" s="13">
        <v>45841</v>
      </c>
      <c r="AQ5084">
        <v>6</v>
      </c>
      <c r="AR5084">
        <v>0</v>
      </c>
    </row>
    <row r="5085" spans="1:44" x14ac:dyDescent="0.35">
      <c r="A5085" s="12" t="s">
        <v>6166</v>
      </c>
      <c r="B5085" s="12" t="s">
        <v>657</v>
      </c>
      <c r="C5085" s="12" t="s">
        <v>658</v>
      </c>
      <c r="D5085" s="12" t="s">
        <v>175</v>
      </c>
      <c r="E5085" s="12" t="s">
        <v>65</v>
      </c>
      <c r="F5085">
        <v>1</v>
      </c>
      <c r="G5085">
        <v>2</v>
      </c>
      <c r="H5085">
        <v>1</v>
      </c>
      <c r="I5085" s="12" t="s">
        <v>183</v>
      </c>
      <c r="J5085" s="12" t="s">
        <v>184</v>
      </c>
      <c r="K5085" s="12" t="s">
        <v>133</v>
      </c>
      <c r="L5085" s="12" t="s">
        <v>82</v>
      </c>
      <c r="M5085">
        <v>8.6199999999999992</v>
      </c>
      <c r="N5085" s="12" t="s">
        <v>107</v>
      </c>
      <c r="O5085" s="12" t="s">
        <v>108</v>
      </c>
      <c r="P5085" s="12" t="s">
        <v>109</v>
      </c>
      <c r="Q5085" s="13">
        <v>45814</v>
      </c>
      <c r="R5085" s="13">
        <v>45836</v>
      </c>
      <c r="S5085">
        <v>2025</v>
      </c>
      <c r="T5085" s="12" t="s">
        <v>6113</v>
      </c>
      <c r="U5085">
        <v>18</v>
      </c>
      <c r="V5085">
        <v>144.5094</v>
      </c>
      <c r="W5085">
        <v>30.44</v>
      </c>
      <c r="X5085">
        <v>0</v>
      </c>
      <c r="Y5085">
        <v>0</v>
      </c>
      <c r="Z5085">
        <v>2601.17</v>
      </c>
      <c r="AA5085">
        <v>2631.61</v>
      </c>
      <c r="AB5085" s="12" t="s">
        <v>5771</v>
      </c>
      <c r="AC5085">
        <v>144.5094</v>
      </c>
      <c r="AD5085">
        <v>1</v>
      </c>
      <c r="AE5085">
        <v>1</v>
      </c>
      <c r="AF5085">
        <v>0</v>
      </c>
      <c r="AG5085">
        <v>2601.17</v>
      </c>
      <c r="AH5085">
        <v>18</v>
      </c>
      <c r="AI5085">
        <v>18</v>
      </c>
      <c r="AJ5085">
        <v>0</v>
      </c>
      <c r="AK5085">
        <v>1</v>
      </c>
      <c r="AL5085">
        <v>1</v>
      </c>
      <c r="AM5085">
        <v>100</v>
      </c>
      <c r="AN5085">
        <v>146.20050000000001</v>
      </c>
      <c r="AO5085">
        <v>0</v>
      </c>
      <c r="AP5085" s="13">
        <v>45842</v>
      </c>
      <c r="AQ5085">
        <v>6</v>
      </c>
      <c r="AR5085">
        <v>0</v>
      </c>
    </row>
    <row r="5086" spans="1:44" x14ac:dyDescent="0.35">
      <c r="A5086" s="12" t="s">
        <v>6167</v>
      </c>
      <c r="B5086" s="12" t="s">
        <v>823</v>
      </c>
      <c r="C5086" s="12" t="s">
        <v>824</v>
      </c>
      <c r="D5086" s="12" t="s">
        <v>114</v>
      </c>
      <c r="E5086" s="12" t="s">
        <v>142</v>
      </c>
      <c r="F5086">
        <v>1</v>
      </c>
      <c r="G5086">
        <v>8</v>
      </c>
      <c r="H5086">
        <v>1</v>
      </c>
      <c r="I5086" s="12" t="s">
        <v>515</v>
      </c>
      <c r="J5086" s="12" t="s">
        <v>516</v>
      </c>
      <c r="K5086" s="12" t="s">
        <v>68</v>
      </c>
      <c r="L5086" s="12" t="s">
        <v>134</v>
      </c>
      <c r="M5086">
        <v>3.69</v>
      </c>
      <c r="N5086" s="12" t="s">
        <v>97</v>
      </c>
      <c r="O5086" s="12" t="s">
        <v>98</v>
      </c>
      <c r="P5086" s="12" t="s">
        <v>72</v>
      </c>
      <c r="Q5086" s="13">
        <v>45814</v>
      </c>
      <c r="R5086" s="13">
        <v>45857</v>
      </c>
      <c r="S5086">
        <v>2025</v>
      </c>
      <c r="T5086" s="12" t="s">
        <v>6113</v>
      </c>
      <c r="U5086">
        <v>76</v>
      </c>
      <c r="V5086">
        <v>361.69060000000002</v>
      </c>
      <c r="W5086">
        <v>394.67</v>
      </c>
      <c r="X5086">
        <v>0</v>
      </c>
      <c r="Y5086">
        <v>0</v>
      </c>
      <c r="Z5086">
        <v>27488.49</v>
      </c>
      <c r="AA5086">
        <v>27883.16</v>
      </c>
      <c r="AB5086" s="12" t="s">
        <v>5883</v>
      </c>
      <c r="AC5086">
        <v>361.69060000000002</v>
      </c>
      <c r="AD5086">
        <v>1</v>
      </c>
      <c r="AE5086">
        <v>1</v>
      </c>
      <c r="AF5086">
        <v>0</v>
      </c>
      <c r="AG5086">
        <v>27488.49</v>
      </c>
      <c r="AH5086">
        <v>76</v>
      </c>
      <c r="AI5086">
        <v>75</v>
      </c>
      <c r="AJ5086">
        <v>1</v>
      </c>
      <c r="AK5086">
        <v>1</v>
      </c>
      <c r="AL5086">
        <v>1</v>
      </c>
      <c r="AM5086">
        <v>98.68</v>
      </c>
      <c r="AN5086">
        <v>371.77539999999999</v>
      </c>
      <c r="AO5086">
        <v>361.69</v>
      </c>
      <c r="AP5086" s="13">
        <v>45862</v>
      </c>
      <c r="AQ5086">
        <v>5</v>
      </c>
      <c r="AR5086">
        <v>0</v>
      </c>
    </row>
    <row r="5087" spans="1:44" x14ac:dyDescent="0.35">
      <c r="A5087" s="12" t="s">
        <v>6168</v>
      </c>
      <c r="B5087" s="12" t="s">
        <v>490</v>
      </c>
      <c r="C5087" s="12" t="s">
        <v>491</v>
      </c>
      <c r="D5087" s="12" t="s">
        <v>130</v>
      </c>
      <c r="E5087" s="12" t="s">
        <v>104</v>
      </c>
      <c r="F5087">
        <v>3</v>
      </c>
      <c r="G5087">
        <v>1</v>
      </c>
      <c r="H5087">
        <v>0</v>
      </c>
      <c r="I5087" s="12" t="s">
        <v>176</v>
      </c>
      <c r="J5087" s="12" t="s">
        <v>177</v>
      </c>
      <c r="K5087" s="12" t="s">
        <v>125</v>
      </c>
      <c r="L5087" s="12" t="s">
        <v>134</v>
      </c>
      <c r="M5087">
        <v>1.75</v>
      </c>
      <c r="N5087" s="12" t="s">
        <v>159</v>
      </c>
      <c r="O5087" s="12" t="s">
        <v>160</v>
      </c>
      <c r="P5087" s="12" t="s">
        <v>137</v>
      </c>
      <c r="Q5087" s="13">
        <v>45814</v>
      </c>
      <c r="R5087" s="13">
        <v>45832</v>
      </c>
      <c r="S5087">
        <v>2025</v>
      </c>
      <c r="T5087" s="12" t="s">
        <v>6113</v>
      </c>
      <c r="U5087">
        <v>58</v>
      </c>
      <c r="V5087">
        <v>234.9982</v>
      </c>
      <c r="W5087">
        <v>290.70999999999998</v>
      </c>
      <c r="X5087">
        <v>432.17</v>
      </c>
      <c r="Y5087">
        <v>1</v>
      </c>
      <c r="Z5087">
        <v>13629.9</v>
      </c>
      <c r="AA5087">
        <v>14352.78</v>
      </c>
      <c r="AB5087" s="12" t="s">
        <v>5760</v>
      </c>
      <c r="AC5087">
        <v>234.9982</v>
      </c>
      <c r="AD5087">
        <v>1</v>
      </c>
      <c r="AE5087">
        <v>1</v>
      </c>
      <c r="AF5087">
        <v>0</v>
      </c>
      <c r="AG5087">
        <v>13629.9</v>
      </c>
      <c r="AH5087">
        <v>58</v>
      </c>
      <c r="AI5087">
        <v>57</v>
      </c>
      <c r="AJ5087">
        <v>1</v>
      </c>
      <c r="AK5087">
        <v>1</v>
      </c>
      <c r="AL5087">
        <v>1</v>
      </c>
      <c r="AM5087">
        <v>98.28</v>
      </c>
      <c r="AN5087">
        <v>251.8031</v>
      </c>
      <c r="AO5087">
        <v>235</v>
      </c>
      <c r="AP5087" s="13">
        <v>45830</v>
      </c>
      <c r="AQ5087">
        <v>-2</v>
      </c>
      <c r="AR5087">
        <v>1</v>
      </c>
    </row>
    <row r="5088" spans="1:44" x14ac:dyDescent="0.35">
      <c r="A5088" s="12" t="s">
        <v>6169</v>
      </c>
      <c r="B5088" s="12" t="s">
        <v>670</v>
      </c>
      <c r="C5088" s="12" t="s">
        <v>671</v>
      </c>
      <c r="D5088" s="12" t="s">
        <v>175</v>
      </c>
      <c r="E5088" s="12" t="s">
        <v>142</v>
      </c>
      <c r="F5088">
        <v>2</v>
      </c>
      <c r="G5088">
        <v>9</v>
      </c>
      <c r="H5088">
        <v>0</v>
      </c>
      <c r="I5088" s="12" t="s">
        <v>233</v>
      </c>
      <c r="J5088" s="12" t="s">
        <v>234</v>
      </c>
      <c r="K5088" s="12" t="s">
        <v>125</v>
      </c>
      <c r="L5088" s="12" t="s">
        <v>96</v>
      </c>
      <c r="M5088">
        <v>3.73</v>
      </c>
      <c r="N5088" s="12" t="s">
        <v>145</v>
      </c>
      <c r="O5088" s="12" t="s">
        <v>146</v>
      </c>
      <c r="P5088" s="12" t="s">
        <v>109</v>
      </c>
      <c r="Q5088" s="13">
        <v>45814</v>
      </c>
      <c r="R5088" s="13">
        <v>45849</v>
      </c>
      <c r="S5088">
        <v>2025</v>
      </c>
      <c r="T5088" s="12" t="s">
        <v>6113</v>
      </c>
      <c r="U5088">
        <v>11</v>
      </c>
      <c r="V5088">
        <v>144.0438</v>
      </c>
      <c r="W5088">
        <v>41.11</v>
      </c>
      <c r="X5088">
        <v>0</v>
      </c>
      <c r="Y5088">
        <v>0</v>
      </c>
      <c r="Z5088">
        <v>1584.48</v>
      </c>
      <c r="AA5088">
        <v>1625.59</v>
      </c>
      <c r="AB5088" s="12" t="s">
        <v>6098</v>
      </c>
      <c r="AC5088">
        <v>144.0438</v>
      </c>
      <c r="AD5088">
        <v>1</v>
      </c>
      <c r="AE5088">
        <v>1</v>
      </c>
      <c r="AF5088">
        <v>0</v>
      </c>
      <c r="AG5088">
        <v>1584.48</v>
      </c>
      <c r="AH5088">
        <v>11</v>
      </c>
      <c r="AI5088">
        <v>11</v>
      </c>
      <c r="AJ5088">
        <v>0</v>
      </c>
      <c r="AK5088">
        <v>1</v>
      </c>
      <c r="AL5088">
        <v>1</v>
      </c>
      <c r="AM5088">
        <v>100</v>
      </c>
      <c r="AN5088">
        <v>147.78110000000001</v>
      </c>
      <c r="AO5088">
        <v>0</v>
      </c>
      <c r="AP5088" s="13">
        <v>45848</v>
      </c>
      <c r="AQ5088">
        <v>-1</v>
      </c>
      <c r="AR5088">
        <v>1</v>
      </c>
    </row>
    <row r="5089" spans="1:44" x14ac:dyDescent="0.35">
      <c r="A5089" s="12" t="s">
        <v>6170</v>
      </c>
      <c r="B5089" s="12" t="s">
        <v>293</v>
      </c>
      <c r="C5089" s="12" t="s">
        <v>294</v>
      </c>
      <c r="D5089" s="12" t="s">
        <v>114</v>
      </c>
      <c r="E5089" s="12" t="s">
        <v>142</v>
      </c>
      <c r="F5089">
        <v>1</v>
      </c>
      <c r="G5089">
        <v>6</v>
      </c>
      <c r="H5089">
        <v>1</v>
      </c>
      <c r="I5089" s="12" t="s">
        <v>195</v>
      </c>
      <c r="J5089" s="12" t="s">
        <v>196</v>
      </c>
      <c r="K5089" s="12" t="s">
        <v>117</v>
      </c>
      <c r="L5089" s="12" t="s">
        <v>134</v>
      </c>
      <c r="M5089">
        <v>4.7699999999999996</v>
      </c>
      <c r="N5089" s="12" t="s">
        <v>70</v>
      </c>
      <c r="O5089" s="12" t="s">
        <v>71</v>
      </c>
      <c r="P5089" s="12" t="s">
        <v>72</v>
      </c>
      <c r="Q5089" s="13">
        <v>45814</v>
      </c>
      <c r="R5089" s="13">
        <v>45863</v>
      </c>
      <c r="S5089">
        <v>2025</v>
      </c>
      <c r="T5089" s="12" t="s">
        <v>6113</v>
      </c>
      <c r="U5089">
        <v>119</v>
      </c>
      <c r="V5089">
        <v>199.8203</v>
      </c>
      <c r="W5089">
        <v>295.66000000000003</v>
      </c>
      <c r="X5089">
        <v>0</v>
      </c>
      <c r="Y5089">
        <v>0</v>
      </c>
      <c r="Z5089">
        <v>23778.62</v>
      </c>
      <c r="AA5089">
        <v>24074.28</v>
      </c>
      <c r="AB5089" s="12" t="s">
        <v>5190</v>
      </c>
      <c r="AC5089">
        <v>199.8203</v>
      </c>
      <c r="AD5089">
        <v>1</v>
      </c>
      <c r="AE5089">
        <v>1</v>
      </c>
      <c r="AF5089">
        <v>0</v>
      </c>
      <c r="AG5089">
        <v>23778.62</v>
      </c>
      <c r="AH5089">
        <v>119</v>
      </c>
      <c r="AI5089">
        <v>118</v>
      </c>
      <c r="AJ5089">
        <v>1</v>
      </c>
      <c r="AK5089">
        <v>1</v>
      </c>
      <c r="AL5089">
        <v>1</v>
      </c>
      <c r="AM5089">
        <v>99.16</v>
      </c>
      <c r="AN5089">
        <v>204.01929999999999</v>
      </c>
      <c r="AO5089">
        <v>199.82</v>
      </c>
      <c r="AP5089" s="13">
        <v>45860</v>
      </c>
      <c r="AQ5089">
        <v>-3</v>
      </c>
      <c r="AR5089">
        <v>1</v>
      </c>
    </row>
    <row r="5090" spans="1:44" x14ac:dyDescent="0.35">
      <c r="A5090" s="12" t="s">
        <v>6171</v>
      </c>
      <c r="B5090" s="12" t="s">
        <v>163</v>
      </c>
      <c r="C5090" s="12" t="s">
        <v>164</v>
      </c>
      <c r="D5090" s="12" t="s">
        <v>64</v>
      </c>
      <c r="E5090" s="12" t="s">
        <v>104</v>
      </c>
      <c r="F5090">
        <v>2</v>
      </c>
      <c r="G5090">
        <v>0</v>
      </c>
      <c r="H5090">
        <v>0</v>
      </c>
      <c r="I5090" s="12" t="s">
        <v>79</v>
      </c>
      <c r="J5090" s="12" t="s">
        <v>80</v>
      </c>
      <c r="K5090" s="12" t="s">
        <v>81</v>
      </c>
      <c r="L5090" s="12" t="s">
        <v>82</v>
      </c>
      <c r="M5090">
        <v>12.07</v>
      </c>
      <c r="N5090" s="12" t="s">
        <v>97</v>
      </c>
      <c r="O5090" s="12" t="s">
        <v>98</v>
      </c>
      <c r="P5090" s="12" t="s">
        <v>72</v>
      </c>
      <c r="Q5090" s="13">
        <v>45817</v>
      </c>
      <c r="R5090" s="13">
        <v>45831</v>
      </c>
      <c r="S5090">
        <v>2025</v>
      </c>
      <c r="T5090" s="12" t="s">
        <v>6113</v>
      </c>
      <c r="U5090">
        <v>228</v>
      </c>
      <c r="V5090">
        <v>10.988300000000001</v>
      </c>
      <c r="W5090">
        <v>41.17</v>
      </c>
      <c r="X5090">
        <v>0</v>
      </c>
      <c r="Y5090">
        <v>0</v>
      </c>
      <c r="Z5090">
        <v>2505.33</v>
      </c>
      <c r="AA5090">
        <v>2546.5</v>
      </c>
      <c r="AB5090" s="12" t="s">
        <v>5303</v>
      </c>
      <c r="AC5090">
        <v>10.482900000000001</v>
      </c>
      <c r="AD5090">
        <v>1</v>
      </c>
      <c r="AE5090">
        <v>1</v>
      </c>
      <c r="AF5090">
        <v>115.23</v>
      </c>
      <c r="AG5090">
        <v>2390.1</v>
      </c>
      <c r="AH5090">
        <v>228</v>
      </c>
      <c r="AI5090">
        <v>226</v>
      </c>
      <c r="AJ5090">
        <v>2</v>
      </c>
      <c r="AK5090">
        <v>1</v>
      </c>
      <c r="AL5090">
        <v>1</v>
      </c>
      <c r="AM5090">
        <v>99.12</v>
      </c>
      <c r="AN5090">
        <v>11.2677</v>
      </c>
      <c r="AO5090">
        <v>21.98</v>
      </c>
      <c r="AP5090" s="13">
        <v>45828</v>
      </c>
      <c r="AQ5090">
        <v>-3</v>
      </c>
      <c r="AR5090">
        <v>1</v>
      </c>
    </row>
    <row r="5091" spans="1:44" x14ac:dyDescent="0.35">
      <c r="A5091" s="12" t="s">
        <v>6172</v>
      </c>
      <c r="B5091" s="12" t="s">
        <v>1108</v>
      </c>
      <c r="C5091" s="12" t="s">
        <v>1109</v>
      </c>
      <c r="D5091" s="12" t="s">
        <v>103</v>
      </c>
      <c r="E5091" s="12" t="s">
        <v>65</v>
      </c>
      <c r="F5091">
        <v>3</v>
      </c>
      <c r="G5091">
        <v>4</v>
      </c>
      <c r="H5091">
        <v>0</v>
      </c>
      <c r="I5091" s="12" t="s">
        <v>66</v>
      </c>
      <c r="J5091" s="12" t="s">
        <v>67</v>
      </c>
      <c r="K5091" s="12" t="s">
        <v>68</v>
      </c>
      <c r="L5091" s="12" t="s">
        <v>69</v>
      </c>
      <c r="M5091">
        <v>17.66</v>
      </c>
      <c r="N5091" s="12" t="s">
        <v>145</v>
      </c>
      <c r="O5091" s="12" t="s">
        <v>146</v>
      </c>
      <c r="P5091" s="12" t="s">
        <v>109</v>
      </c>
      <c r="Q5091" s="13">
        <v>45817</v>
      </c>
      <c r="R5091" s="13">
        <v>45849</v>
      </c>
      <c r="S5091">
        <v>2025</v>
      </c>
      <c r="T5091" s="12" t="s">
        <v>6113</v>
      </c>
      <c r="U5091">
        <v>96</v>
      </c>
      <c r="V5091">
        <v>90.102400000000003</v>
      </c>
      <c r="W5091">
        <v>112.43</v>
      </c>
      <c r="X5091">
        <v>0</v>
      </c>
      <c r="Y5091">
        <v>0</v>
      </c>
      <c r="Z5091">
        <v>8649.83</v>
      </c>
      <c r="AA5091">
        <v>8762.26</v>
      </c>
      <c r="AB5091" s="12" t="s">
        <v>201</v>
      </c>
      <c r="AD5091">
        <v>0</v>
      </c>
      <c r="AE5091">
        <v>0</v>
      </c>
      <c r="AH5091">
        <v>96</v>
      </c>
      <c r="AI5091">
        <v>95</v>
      </c>
      <c r="AJ5091">
        <v>1</v>
      </c>
      <c r="AK5091">
        <v>1</v>
      </c>
      <c r="AL5091">
        <v>1</v>
      </c>
      <c r="AM5091">
        <v>98.96</v>
      </c>
      <c r="AN5091">
        <v>92.234300000000005</v>
      </c>
      <c r="AO5091">
        <v>90.1</v>
      </c>
      <c r="AP5091" s="13">
        <v>45847</v>
      </c>
      <c r="AQ5091">
        <v>-2</v>
      </c>
      <c r="AR5091">
        <v>1</v>
      </c>
    </row>
    <row r="5092" spans="1:44" x14ac:dyDescent="0.35">
      <c r="A5092" s="12" t="s">
        <v>6173</v>
      </c>
      <c r="B5092" s="12" t="s">
        <v>331</v>
      </c>
      <c r="C5092" s="12" t="s">
        <v>332</v>
      </c>
      <c r="D5092" s="12" t="s">
        <v>122</v>
      </c>
      <c r="E5092" s="12" t="s">
        <v>142</v>
      </c>
      <c r="F5092">
        <v>3</v>
      </c>
      <c r="G5092">
        <v>11</v>
      </c>
      <c r="H5092">
        <v>0</v>
      </c>
      <c r="I5092" s="12" t="s">
        <v>263</v>
      </c>
      <c r="J5092" s="12" t="s">
        <v>264</v>
      </c>
      <c r="K5092" s="12" t="s">
        <v>125</v>
      </c>
      <c r="L5092" s="12" t="s">
        <v>82</v>
      </c>
      <c r="M5092">
        <v>10.210000000000001</v>
      </c>
      <c r="N5092" s="12" t="s">
        <v>97</v>
      </c>
      <c r="O5092" s="12" t="s">
        <v>98</v>
      </c>
      <c r="P5092" s="12" t="s">
        <v>72</v>
      </c>
      <c r="Q5092" s="13">
        <v>45817</v>
      </c>
      <c r="R5092" s="13">
        <v>45858</v>
      </c>
      <c r="S5092">
        <v>2025</v>
      </c>
      <c r="T5092" s="12" t="s">
        <v>6113</v>
      </c>
      <c r="U5092">
        <v>816</v>
      </c>
      <c r="V5092">
        <v>23.006</v>
      </c>
      <c r="W5092">
        <v>254.15</v>
      </c>
      <c r="X5092">
        <v>0</v>
      </c>
      <c r="Y5092">
        <v>0</v>
      </c>
      <c r="Z5092">
        <v>18772.900000000001</v>
      </c>
      <c r="AA5092">
        <v>19027.05</v>
      </c>
      <c r="AB5092" s="12" t="s">
        <v>5234</v>
      </c>
      <c r="AC5092">
        <v>23.006</v>
      </c>
      <c r="AD5092">
        <v>1</v>
      </c>
      <c r="AE5092">
        <v>1</v>
      </c>
      <c r="AF5092">
        <v>0</v>
      </c>
      <c r="AG5092">
        <v>18772.900000000001</v>
      </c>
      <c r="AH5092">
        <v>816</v>
      </c>
      <c r="AI5092">
        <v>814</v>
      </c>
      <c r="AJ5092">
        <v>2</v>
      </c>
      <c r="AK5092">
        <v>1</v>
      </c>
      <c r="AL5092">
        <v>1</v>
      </c>
      <c r="AM5092">
        <v>99.75</v>
      </c>
      <c r="AN5092">
        <v>23.374700000000001</v>
      </c>
      <c r="AO5092">
        <v>46.01</v>
      </c>
      <c r="AP5092" s="13">
        <v>45867</v>
      </c>
      <c r="AQ5092">
        <v>9</v>
      </c>
      <c r="AR5092">
        <v>0</v>
      </c>
    </row>
    <row r="5093" spans="1:44" x14ac:dyDescent="0.35">
      <c r="A5093" s="12" t="s">
        <v>6174</v>
      </c>
      <c r="B5093" s="12" t="s">
        <v>255</v>
      </c>
      <c r="C5093" s="12" t="s">
        <v>256</v>
      </c>
      <c r="D5093" s="12" t="s">
        <v>103</v>
      </c>
      <c r="E5093" s="12" t="s">
        <v>65</v>
      </c>
      <c r="F5093">
        <v>2</v>
      </c>
      <c r="G5093">
        <v>4</v>
      </c>
      <c r="H5093">
        <v>0</v>
      </c>
      <c r="I5093" s="12" t="s">
        <v>143</v>
      </c>
      <c r="J5093" s="12" t="s">
        <v>144</v>
      </c>
      <c r="K5093" s="12" t="s">
        <v>133</v>
      </c>
      <c r="L5093" s="12" t="s">
        <v>96</v>
      </c>
      <c r="M5093">
        <v>5.43</v>
      </c>
      <c r="N5093" s="12" t="s">
        <v>107</v>
      </c>
      <c r="O5093" s="12" t="s">
        <v>108</v>
      </c>
      <c r="P5093" s="12" t="s">
        <v>109</v>
      </c>
      <c r="Q5093" s="13">
        <v>45817</v>
      </c>
      <c r="R5093" s="13">
        <v>45846</v>
      </c>
      <c r="S5093">
        <v>2025</v>
      </c>
      <c r="T5093" s="12" t="s">
        <v>6113</v>
      </c>
      <c r="U5093">
        <v>77</v>
      </c>
      <c r="V5093">
        <v>95.061000000000007</v>
      </c>
      <c r="W5093">
        <v>160.25</v>
      </c>
      <c r="X5093">
        <v>0</v>
      </c>
      <c r="Y5093">
        <v>0</v>
      </c>
      <c r="Z5093">
        <v>7319.7</v>
      </c>
      <c r="AA5093">
        <v>7479.95</v>
      </c>
      <c r="AB5093" s="12" t="s">
        <v>5188</v>
      </c>
      <c r="AC5093">
        <v>95.061000000000007</v>
      </c>
      <c r="AD5093">
        <v>1</v>
      </c>
      <c r="AE5093">
        <v>1</v>
      </c>
      <c r="AF5093">
        <v>0</v>
      </c>
      <c r="AG5093">
        <v>7319.7</v>
      </c>
      <c r="AH5093">
        <v>77</v>
      </c>
      <c r="AI5093">
        <v>76</v>
      </c>
      <c r="AJ5093">
        <v>1</v>
      </c>
      <c r="AK5093">
        <v>1</v>
      </c>
      <c r="AL5093">
        <v>1</v>
      </c>
      <c r="AM5093">
        <v>98.7</v>
      </c>
      <c r="AN5093">
        <v>98.420400000000001</v>
      </c>
      <c r="AO5093">
        <v>95.06</v>
      </c>
      <c r="AP5093" s="13">
        <v>45846</v>
      </c>
      <c r="AQ5093">
        <v>0</v>
      </c>
      <c r="AR5093">
        <v>1</v>
      </c>
    </row>
    <row r="5094" spans="1:44" x14ac:dyDescent="0.35">
      <c r="A5094" s="12" t="s">
        <v>6175</v>
      </c>
      <c r="B5094" s="12" t="s">
        <v>231</v>
      </c>
      <c r="C5094" s="12" t="s">
        <v>232</v>
      </c>
      <c r="D5094" s="12" t="s">
        <v>130</v>
      </c>
      <c r="E5094" s="12" t="s">
        <v>65</v>
      </c>
      <c r="F5094">
        <v>1</v>
      </c>
      <c r="G5094">
        <v>2</v>
      </c>
      <c r="H5094">
        <v>1</v>
      </c>
      <c r="I5094" s="12" t="s">
        <v>233</v>
      </c>
      <c r="J5094" s="12" t="s">
        <v>234</v>
      </c>
      <c r="K5094" s="12" t="s">
        <v>125</v>
      </c>
      <c r="L5094" s="12" t="s">
        <v>96</v>
      </c>
      <c r="M5094">
        <v>3.73</v>
      </c>
      <c r="N5094" s="12" t="s">
        <v>159</v>
      </c>
      <c r="O5094" s="12" t="s">
        <v>160</v>
      </c>
      <c r="P5094" s="12" t="s">
        <v>137</v>
      </c>
      <c r="Q5094" s="13">
        <v>45817</v>
      </c>
      <c r="R5094" s="13">
        <v>45852</v>
      </c>
      <c r="S5094">
        <v>2025</v>
      </c>
      <c r="T5094" s="12" t="s">
        <v>6113</v>
      </c>
      <c r="U5094">
        <v>118</v>
      </c>
      <c r="V5094">
        <v>472.1277</v>
      </c>
      <c r="W5094">
        <v>855.93</v>
      </c>
      <c r="X5094">
        <v>1824.54</v>
      </c>
      <c r="Y5094">
        <v>1</v>
      </c>
      <c r="Z5094">
        <v>55711.07</v>
      </c>
      <c r="AA5094">
        <v>58391.54</v>
      </c>
      <c r="AB5094" s="12" t="s">
        <v>201</v>
      </c>
      <c r="AD5094">
        <v>0</v>
      </c>
      <c r="AE5094">
        <v>0</v>
      </c>
      <c r="AH5094">
        <v>118</v>
      </c>
      <c r="AI5094">
        <v>117</v>
      </c>
      <c r="AJ5094">
        <v>1</v>
      </c>
      <c r="AK5094">
        <v>1</v>
      </c>
      <c r="AL5094">
        <v>1</v>
      </c>
      <c r="AM5094">
        <v>99.15</v>
      </c>
      <c r="AN5094">
        <v>499.07299999999998</v>
      </c>
      <c r="AO5094">
        <v>472.13</v>
      </c>
      <c r="AP5094" s="13">
        <v>45849</v>
      </c>
      <c r="AQ5094">
        <v>-3</v>
      </c>
      <c r="AR5094">
        <v>1</v>
      </c>
    </row>
    <row r="5095" spans="1:44" x14ac:dyDescent="0.35">
      <c r="A5095" s="12" t="s">
        <v>6176</v>
      </c>
      <c r="B5095" s="12" t="s">
        <v>740</v>
      </c>
      <c r="C5095" s="12" t="s">
        <v>741</v>
      </c>
      <c r="D5095" s="12" t="s">
        <v>64</v>
      </c>
      <c r="E5095" s="12" t="s">
        <v>104</v>
      </c>
      <c r="F5095">
        <v>2</v>
      </c>
      <c r="G5095">
        <v>0</v>
      </c>
      <c r="H5095">
        <v>0</v>
      </c>
      <c r="I5095" s="12" t="s">
        <v>183</v>
      </c>
      <c r="J5095" s="12" t="s">
        <v>184</v>
      </c>
      <c r="K5095" s="12" t="s">
        <v>133</v>
      </c>
      <c r="L5095" s="12" t="s">
        <v>82</v>
      </c>
      <c r="M5095">
        <v>8.6199999999999992</v>
      </c>
      <c r="N5095" s="12" t="s">
        <v>70</v>
      </c>
      <c r="O5095" s="12" t="s">
        <v>71</v>
      </c>
      <c r="P5095" s="12" t="s">
        <v>72</v>
      </c>
      <c r="Q5095" s="13">
        <v>45817</v>
      </c>
      <c r="R5095" s="13">
        <v>45832</v>
      </c>
      <c r="S5095">
        <v>2025</v>
      </c>
      <c r="T5095" s="12" t="s">
        <v>6113</v>
      </c>
      <c r="U5095">
        <v>251</v>
      </c>
      <c r="V5095">
        <v>41.1374</v>
      </c>
      <c r="W5095">
        <v>96.7</v>
      </c>
      <c r="X5095">
        <v>0</v>
      </c>
      <c r="Y5095">
        <v>0</v>
      </c>
      <c r="Z5095">
        <v>10325.49</v>
      </c>
      <c r="AA5095">
        <v>10422.19</v>
      </c>
      <c r="AB5095" s="12" t="s">
        <v>5789</v>
      </c>
      <c r="AC5095">
        <v>41.1374</v>
      </c>
      <c r="AD5095">
        <v>1</v>
      </c>
      <c r="AE5095">
        <v>1</v>
      </c>
      <c r="AF5095">
        <v>0</v>
      </c>
      <c r="AG5095">
        <v>10325.49</v>
      </c>
      <c r="AH5095">
        <v>251</v>
      </c>
      <c r="AI5095">
        <v>248</v>
      </c>
      <c r="AJ5095">
        <v>3</v>
      </c>
      <c r="AK5095">
        <v>1</v>
      </c>
      <c r="AL5095">
        <v>1</v>
      </c>
      <c r="AM5095">
        <v>98.8</v>
      </c>
      <c r="AN5095">
        <v>42.024900000000002</v>
      </c>
      <c r="AO5095">
        <v>123.41</v>
      </c>
      <c r="AP5095" s="13">
        <v>45834</v>
      </c>
      <c r="AQ5095">
        <v>2</v>
      </c>
      <c r="AR5095">
        <v>0</v>
      </c>
    </row>
    <row r="5096" spans="1:44" x14ac:dyDescent="0.35">
      <c r="A5096" s="12" t="s">
        <v>6177</v>
      </c>
      <c r="B5096" s="12" t="s">
        <v>221</v>
      </c>
      <c r="C5096" s="12" t="s">
        <v>222</v>
      </c>
      <c r="D5096" s="12" t="s">
        <v>114</v>
      </c>
      <c r="E5096" s="12" t="s">
        <v>142</v>
      </c>
      <c r="F5096">
        <v>3</v>
      </c>
      <c r="G5096">
        <v>11</v>
      </c>
      <c r="H5096">
        <v>0</v>
      </c>
      <c r="I5096" s="12" t="s">
        <v>105</v>
      </c>
      <c r="J5096" s="12" t="s">
        <v>106</v>
      </c>
      <c r="K5096" s="12" t="s">
        <v>81</v>
      </c>
      <c r="L5096" s="12" t="s">
        <v>96</v>
      </c>
      <c r="M5096">
        <v>5.01</v>
      </c>
      <c r="N5096" s="12" t="s">
        <v>97</v>
      </c>
      <c r="O5096" s="12" t="s">
        <v>98</v>
      </c>
      <c r="P5096" s="12" t="s">
        <v>72</v>
      </c>
      <c r="Q5096" s="13">
        <v>45817</v>
      </c>
      <c r="R5096" s="13">
        <v>45853</v>
      </c>
      <c r="S5096">
        <v>2025</v>
      </c>
      <c r="T5096" s="12" t="s">
        <v>6113</v>
      </c>
      <c r="U5096">
        <v>21</v>
      </c>
      <c r="V5096">
        <v>278.29399999999998</v>
      </c>
      <c r="W5096">
        <v>143.46</v>
      </c>
      <c r="X5096">
        <v>0</v>
      </c>
      <c r="Y5096">
        <v>0</v>
      </c>
      <c r="Z5096">
        <v>5844.17</v>
      </c>
      <c r="AA5096">
        <v>5987.63</v>
      </c>
      <c r="AB5096" s="12" t="s">
        <v>201</v>
      </c>
      <c r="AD5096">
        <v>0</v>
      </c>
      <c r="AE5096">
        <v>0</v>
      </c>
      <c r="AH5096">
        <v>21</v>
      </c>
      <c r="AI5096">
        <v>20</v>
      </c>
      <c r="AJ5096">
        <v>1</v>
      </c>
      <c r="AK5096">
        <v>1</v>
      </c>
      <c r="AL5096">
        <v>1</v>
      </c>
      <c r="AM5096">
        <v>95.24</v>
      </c>
      <c r="AN5096">
        <v>299.38170000000002</v>
      </c>
      <c r="AO5096">
        <v>278.29000000000002</v>
      </c>
      <c r="AP5096" s="13">
        <v>45851</v>
      </c>
      <c r="AQ5096">
        <v>-2</v>
      </c>
      <c r="AR5096">
        <v>1</v>
      </c>
    </row>
    <row r="5097" spans="1:44" x14ac:dyDescent="0.35">
      <c r="A5097" s="12" t="s">
        <v>6178</v>
      </c>
      <c r="B5097" s="12" t="s">
        <v>1433</v>
      </c>
      <c r="C5097" s="12" t="s">
        <v>1434</v>
      </c>
      <c r="D5097" s="12" t="s">
        <v>269</v>
      </c>
      <c r="E5097" s="12" t="s">
        <v>65</v>
      </c>
      <c r="F5097">
        <v>3</v>
      </c>
      <c r="G5097">
        <v>5</v>
      </c>
      <c r="H5097">
        <v>0</v>
      </c>
      <c r="I5097" s="12" t="s">
        <v>223</v>
      </c>
      <c r="J5097" s="12" t="s">
        <v>224</v>
      </c>
      <c r="K5097" s="12" t="s">
        <v>81</v>
      </c>
      <c r="L5097" s="12" t="s">
        <v>134</v>
      </c>
      <c r="M5097">
        <v>2.4900000000000002</v>
      </c>
      <c r="N5097" s="12" t="s">
        <v>159</v>
      </c>
      <c r="O5097" s="12" t="s">
        <v>160</v>
      </c>
      <c r="P5097" s="12" t="s">
        <v>137</v>
      </c>
      <c r="Q5097" s="13">
        <v>45817</v>
      </c>
      <c r="R5097" s="13">
        <v>45848</v>
      </c>
      <c r="S5097">
        <v>2025</v>
      </c>
      <c r="T5097" s="12" t="s">
        <v>6113</v>
      </c>
      <c r="U5097">
        <v>93</v>
      </c>
      <c r="V5097">
        <v>489.74259999999998</v>
      </c>
      <c r="W5097">
        <v>307.72000000000003</v>
      </c>
      <c r="X5097">
        <v>0</v>
      </c>
      <c r="Y5097">
        <v>0</v>
      </c>
      <c r="Z5097">
        <v>45546.06</v>
      </c>
      <c r="AA5097">
        <v>45853.78</v>
      </c>
      <c r="AB5097" s="12" t="s">
        <v>201</v>
      </c>
      <c r="AD5097">
        <v>0</v>
      </c>
      <c r="AE5097">
        <v>0</v>
      </c>
      <c r="AH5097">
        <v>93</v>
      </c>
      <c r="AI5097">
        <v>92</v>
      </c>
      <c r="AJ5097">
        <v>1</v>
      </c>
      <c r="AK5097">
        <v>1</v>
      </c>
      <c r="AL5097">
        <v>1</v>
      </c>
      <c r="AM5097">
        <v>98.92</v>
      </c>
      <c r="AN5097">
        <v>498.41070000000002</v>
      </c>
      <c r="AO5097">
        <v>489.74</v>
      </c>
      <c r="AP5097" s="13">
        <v>45845</v>
      </c>
      <c r="AQ5097">
        <v>-3</v>
      </c>
      <c r="AR5097">
        <v>1</v>
      </c>
    </row>
    <row r="5098" spans="1:44" x14ac:dyDescent="0.35">
      <c r="A5098" s="12" t="s">
        <v>6179</v>
      </c>
      <c r="B5098" s="12" t="s">
        <v>433</v>
      </c>
      <c r="C5098" s="12" t="s">
        <v>434</v>
      </c>
      <c r="D5098" s="12" t="s">
        <v>78</v>
      </c>
      <c r="E5098" s="12" t="s">
        <v>65</v>
      </c>
      <c r="F5098">
        <v>2</v>
      </c>
      <c r="G5098">
        <v>4</v>
      </c>
      <c r="H5098">
        <v>0</v>
      </c>
      <c r="I5098" s="12" t="s">
        <v>105</v>
      </c>
      <c r="J5098" s="12" t="s">
        <v>106</v>
      </c>
      <c r="K5098" s="12" t="s">
        <v>81</v>
      </c>
      <c r="L5098" s="12" t="s">
        <v>96</v>
      </c>
      <c r="M5098">
        <v>5.01</v>
      </c>
      <c r="N5098" s="12" t="s">
        <v>97</v>
      </c>
      <c r="O5098" s="12" t="s">
        <v>98</v>
      </c>
      <c r="P5098" s="12" t="s">
        <v>72</v>
      </c>
      <c r="Q5098" s="13">
        <v>45817</v>
      </c>
      <c r="R5098" s="13">
        <v>45840</v>
      </c>
      <c r="S5098">
        <v>2025</v>
      </c>
      <c r="T5098" s="12" t="s">
        <v>6113</v>
      </c>
      <c r="U5098">
        <v>78</v>
      </c>
      <c r="V5098">
        <v>68.594099999999997</v>
      </c>
      <c r="W5098">
        <v>83.95</v>
      </c>
      <c r="X5098">
        <v>0</v>
      </c>
      <c r="Y5098">
        <v>0</v>
      </c>
      <c r="Z5098">
        <v>5350.34</v>
      </c>
      <c r="AA5098">
        <v>5434.29</v>
      </c>
      <c r="AB5098" s="12" t="s">
        <v>5436</v>
      </c>
      <c r="AC5098">
        <v>68.594099999999997</v>
      </c>
      <c r="AD5098">
        <v>1</v>
      </c>
      <c r="AE5098">
        <v>1</v>
      </c>
      <c r="AF5098">
        <v>0</v>
      </c>
      <c r="AG5098">
        <v>5350.34</v>
      </c>
      <c r="AH5098">
        <v>78</v>
      </c>
      <c r="AI5098">
        <v>78</v>
      </c>
      <c r="AJ5098">
        <v>0</v>
      </c>
      <c r="AK5098">
        <v>1</v>
      </c>
      <c r="AL5098">
        <v>1</v>
      </c>
      <c r="AM5098">
        <v>100</v>
      </c>
      <c r="AN5098">
        <v>69.670400000000001</v>
      </c>
      <c r="AO5098">
        <v>0</v>
      </c>
      <c r="AP5098" s="13">
        <v>45838</v>
      </c>
      <c r="AQ5098">
        <v>-2</v>
      </c>
      <c r="AR5098">
        <v>1</v>
      </c>
    </row>
    <row r="5099" spans="1:44" x14ac:dyDescent="0.35">
      <c r="A5099" s="12" t="s">
        <v>6180</v>
      </c>
      <c r="B5099" s="12" t="s">
        <v>537</v>
      </c>
      <c r="C5099" s="12" t="s">
        <v>538</v>
      </c>
      <c r="D5099" s="12" t="s">
        <v>103</v>
      </c>
      <c r="E5099" s="12" t="s">
        <v>104</v>
      </c>
      <c r="F5099">
        <v>3</v>
      </c>
      <c r="G5099">
        <v>0</v>
      </c>
      <c r="H5099">
        <v>0</v>
      </c>
      <c r="I5099" s="12" t="s">
        <v>380</v>
      </c>
      <c r="J5099" s="12" t="s">
        <v>381</v>
      </c>
      <c r="K5099" s="12" t="s">
        <v>89</v>
      </c>
      <c r="L5099" s="12" t="s">
        <v>96</v>
      </c>
      <c r="M5099">
        <v>10.210000000000001</v>
      </c>
      <c r="N5099" s="12" t="s">
        <v>107</v>
      </c>
      <c r="O5099" s="12" t="s">
        <v>108</v>
      </c>
      <c r="P5099" s="12" t="s">
        <v>109</v>
      </c>
      <c r="Q5099" s="13">
        <v>45818</v>
      </c>
      <c r="R5099" s="13">
        <v>45835</v>
      </c>
      <c r="S5099">
        <v>2025</v>
      </c>
      <c r="T5099" s="12" t="s">
        <v>6113</v>
      </c>
      <c r="U5099">
        <v>51</v>
      </c>
      <c r="V5099">
        <v>242.47130000000001</v>
      </c>
      <c r="W5099">
        <v>185.92</v>
      </c>
      <c r="X5099">
        <v>0</v>
      </c>
      <c r="Y5099">
        <v>0</v>
      </c>
      <c r="Z5099">
        <v>12366.04</v>
      </c>
      <c r="AA5099">
        <v>12551.96</v>
      </c>
      <c r="AB5099" s="12" t="s">
        <v>6070</v>
      </c>
      <c r="AC5099">
        <v>242.47130000000001</v>
      </c>
      <c r="AD5099">
        <v>1</v>
      </c>
      <c r="AE5099">
        <v>1</v>
      </c>
      <c r="AF5099">
        <v>0</v>
      </c>
      <c r="AG5099">
        <v>12366.04</v>
      </c>
      <c r="AH5099">
        <v>51</v>
      </c>
      <c r="AI5099">
        <v>50</v>
      </c>
      <c r="AJ5099">
        <v>1</v>
      </c>
      <c r="AK5099">
        <v>1</v>
      </c>
      <c r="AL5099">
        <v>1</v>
      </c>
      <c r="AM5099">
        <v>98.04</v>
      </c>
      <c r="AN5099">
        <v>251.03909999999999</v>
      </c>
      <c r="AO5099">
        <v>242.47</v>
      </c>
      <c r="AP5099" s="13">
        <v>45832</v>
      </c>
      <c r="AQ5099">
        <v>-3</v>
      </c>
      <c r="AR5099">
        <v>1</v>
      </c>
    </row>
    <row r="5100" spans="1:44" x14ac:dyDescent="0.35">
      <c r="A5100" s="12" t="s">
        <v>6181</v>
      </c>
      <c r="B5100" s="12" t="s">
        <v>472</v>
      </c>
      <c r="C5100" s="12" t="s">
        <v>473</v>
      </c>
      <c r="D5100" s="12" t="s">
        <v>122</v>
      </c>
      <c r="E5100" s="12" t="s">
        <v>142</v>
      </c>
      <c r="F5100">
        <v>2</v>
      </c>
      <c r="G5100">
        <v>9</v>
      </c>
      <c r="H5100">
        <v>0</v>
      </c>
      <c r="I5100" s="12" t="s">
        <v>209</v>
      </c>
      <c r="J5100" s="12" t="s">
        <v>210</v>
      </c>
      <c r="K5100" s="12" t="s">
        <v>133</v>
      </c>
      <c r="L5100" s="12" t="s">
        <v>96</v>
      </c>
      <c r="M5100">
        <v>7.82</v>
      </c>
      <c r="N5100" s="12" t="s">
        <v>70</v>
      </c>
      <c r="O5100" s="12" t="s">
        <v>71</v>
      </c>
      <c r="P5100" s="12" t="s">
        <v>72</v>
      </c>
      <c r="Q5100" s="13">
        <v>45818</v>
      </c>
      <c r="R5100" s="13">
        <v>45865</v>
      </c>
      <c r="S5100">
        <v>2025</v>
      </c>
      <c r="T5100" s="12" t="s">
        <v>6113</v>
      </c>
      <c r="U5100">
        <v>1499</v>
      </c>
      <c r="V5100">
        <v>52.296199999999999</v>
      </c>
      <c r="W5100">
        <v>1793.15</v>
      </c>
      <c r="X5100">
        <v>0</v>
      </c>
      <c r="Y5100">
        <v>0</v>
      </c>
      <c r="Z5100">
        <v>78392</v>
      </c>
      <c r="AA5100">
        <v>80185.149999999994</v>
      </c>
      <c r="AB5100" s="12" t="s">
        <v>201</v>
      </c>
      <c r="AD5100">
        <v>0</v>
      </c>
      <c r="AE5100">
        <v>0</v>
      </c>
      <c r="AH5100">
        <v>1499</v>
      </c>
      <c r="AI5100">
        <v>1490</v>
      </c>
      <c r="AJ5100">
        <v>9</v>
      </c>
      <c r="AK5100">
        <v>1</v>
      </c>
      <c r="AL5100">
        <v>1</v>
      </c>
      <c r="AM5100">
        <v>99.4</v>
      </c>
      <c r="AN5100">
        <v>53.8155</v>
      </c>
      <c r="AO5100">
        <v>470.67</v>
      </c>
      <c r="AP5100" s="13">
        <v>45862</v>
      </c>
      <c r="AQ5100">
        <v>-3</v>
      </c>
      <c r="AR5100">
        <v>1</v>
      </c>
    </row>
    <row r="5101" spans="1:44" x14ac:dyDescent="0.35">
      <c r="A5101" s="12" t="s">
        <v>6182</v>
      </c>
      <c r="B5101" s="12" t="s">
        <v>399</v>
      </c>
      <c r="C5101" s="12" t="s">
        <v>400</v>
      </c>
      <c r="D5101" s="12" t="s">
        <v>114</v>
      </c>
      <c r="E5101" s="12" t="s">
        <v>65</v>
      </c>
      <c r="F5101">
        <v>1</v>
      </c>
      <c r="G5101">
        <v>2</v>
      </c>
      <c r="H5101">
        <v>1</v>
      </c>
      <c r="I5101" s="12" t="s">
        <v>151</v>
      </c>
      <c r="J5101" s="12" t="s">
        <v>152</v>
      </c>
      <c r="K5101" s="12" t="s">
        <v>125</v>
      </c>
      <c r="L5101" s="12" t="s">
        <v>69</v>
      </c>
      <c r="M5101">
        <v>36.479999999999997</v>
      </c>
      <c r="N5101" s="12" t="s">
        <v>70</v>
      </c>
      <c r="O5101" s="12" t="s">
        <v>71</v>
      </c>
      <c r="P5101" s="12" t="s">
        <v>72</v>
      </c>
      <c r="Q5101" s="13">
        <v>45818</v>
      </c>
      <c r="R5101" s="13">
        <v>45848</v>
      </c>
      <c r="S5101">
        <v>2025</v>
      </c>
      <c r="T5101" s="12" t="s">
        <v>6113</v>
      </c>
      <c r="U5101">
        <v>86</v>
      </c>
      <c r="V5101">
        <v>313.65679999999998</v>
      </c>
      <c r="W5101">
        <v>680.22</v>
      </c>
      <c r="X5101">
        <v>0</v>
      </c>
      <c r="Y5101">
        <v>0</v>
      </c>
      <c r="Z5101">
        <v>26974.48</v>
      </c>
      <c r="AA5101">
        <v>27654.7</v>
      </c>
      <c r="AB5101" s="12" t="s">
        <v>201</v>
      </c>
      <c r="AD5101">
        <v>0</v>
      </c>
      <c r="AE5101">
        <v>0</v>
      </c>
      <c r="AH5101">
        <v>86</v>
      </c>
      <c r="AI5101">
        <v>85</v>
      </c>
      <c r="AJ5101">
        <v>1</v>
      </c>
      <c r="AK5101">
        <v>1</v>
      </c>
      <c r="AL5101">
        <v>1</v>
      </c>
      <c r="AM5101">
        <v>98.84</v>
      </c>
      <c r="AN5101">
        <v>325.34949999999998</v>
      </c>
      <c r="AO5101">
        <v>313.66000000000003</v>
      </c>
      <c r="AP5101" s="13">
        <v>45845</v>
      </c>
      <c r="AQ5101">
        <v>-3</v>
      </c>
      <c r="AR5101">
        <v>1</v>
      </c>
    </row>
    <row r="5102" spans="1:44" x14ac:dyDescent="0.35">
      <c r="A5102" s="12" t="s">
        <v>6183</v>
      </c>
      <c r="B5102" s="12" t="s">
        <v>207</v>
      </c>
      <c r="C5102" s="12" t="s">
        <v>208</v>
      </c>
      <c r="D5102" s="12" t="s">
        <v>78</v>
      </c>
      <c r="E5102" s="12" t="s">
        <v>65</v>
      </c>
      <c r="F5102">
        <v>2</v>
      </c>
      <c r="G5102">
        <v>3</v>
      </c>
      <c r="H5102">
        <v>0</v>
      </c>
      <c r="I5102" s="12" t="s">
        <v>209</v>
      </c>
      <c r="J5102" s="12" t="s">
        <v>210</v>
      </c>
      <c r="K5102" s="12" t="s">
        <v>133</v>
      </c>
      <c r="L5102" s="12" t="s">
        <v>96</v>
      </c>
      <c r="M5102">
        <v>7.82</v>
      </c>
      <c r="N5102" s="12" t="s">
        <v>70</v>
      </c>
      <c r="O5102" s="12" t="s">
        <v>71</v>
      </c>
      <c r="P5102" s="12" t="s">
        <v>72</v>
      </c>
      <c r="Q5102" s="13">
        <v>45818</v>
      </c>
      <c r="R5102" s="13">
        <v>45854</v>
      </c>
      <c r="S5102">
        <v>2025</v>
      </c>
      <c r="T5102" s="12" t="s">
        <v>6113</v>
      </c>
      <c r="U5102">
        <v>261</v>
      </c>
      <c r="V5102">
        <v>145.1729</v>
      </c>
      <c r="W5102">
        <v>545.54999999999995</v>
      </c>
      <c r="X5102">
        <v>0</v>
      </c>
      <c r="Y5102">
        <v>0</v>
      </c>
      <c r="Z5102">
        <v>37890.129999999997</v>
      </c>
      <c r="AA5102">
        <v>38435.68</v>
      </c>
      <c r="AB5102" s="12" t="s">
        <v>5196</v>
      </c>
      <c r="AC5102">
        <v>145.1729</v>
      </c>
      <c r="AD5102">
        <v>1</v>
      </c>
      <c r="AE5102">
        <v>1</v>
      </c>
      <c r="AF5102">
        <v>0</v>
      </c>
      <c r="AG5102">
        <v>37890.129999999997</v>
      </c>
      <c r="AH5102">
        <v>261</v>
      </c>
      <c r="AI5102">
        <v>259</v>
      </c>
      <c r="AJ5102">
        <v>2</v>
      </c>
      <c r="AK5102">
        <v>1</v>
      </c>
      <c r="AL5102">
        <v>1</v>
      </c>
      <c r="AM5102">
        <v>99.23</v>
      </c>
      <c r="AN5102">
        <v>148.40029999999999</v>
      </c>
      <c r="AO5102">
        <v>290.35000000000002</v>
      </c>
      <c r="AP5102" s="13">
        <v>45853</v>
      </c>
      <c r="AQ5102">
        <v>-1</v>
      </c>
      <c r="AR5102">
        <v>1</v>
      </c>
    </row>
    <row r="5103" spans="1:44" x14ac:dyDescent="0.35">
      <c r="A5103" s="12" t="s">
        <v>6184</v>
      </c>
      <c r="B5103" s="12" t="s">
        <v>454</v>
      </c>
      <c r="C5103" s="12" t="s">
        <v>455</v>
      </c>
      <c r="D5103" s="12" t="s">
        <v>122</v>
      </c>
      <c r="E5103" s="12" t="s">
        <v>104</v>
      </c>
      <c r="F5103">
        <v>3</v>
      </c>
      <c r="G5103">
        <v>1</v>
      </c>
      <c r="H5103">
        <v>0</v>
      </c>
      <c r="I5103" s="12" t="s">
        <v>87</v>
      </c>
      <c r="J5103" s="12" t="s">
        <v>88</v>
      </c>
      <c r="K5103" s="12" t="s">
        <v>89</v>
      </c>
      <c r="L5103" s="12" t="s">
        <v>69</v>
      </c>
      <c r="M5103">
        <v>14.93</v>
      </c>
      <c r="N5103" s="12" t="s">
        <v>70</v>
      </c>
      <c r="O5103" s="12" t="s">
        <v>71</v>
      </c>
      <c r="P5103" s="12" t="s">
        <v>72</v>
      </c>
      <c r="Q5103" s="13">
        <v>45818</v>
      </c>
      <c r="R5103" s="13">
        <v>45841</v>
      </c>
      <c r="S5103">
        <v>2025</v>
      </c>
      <c r="T5103" s="12" t="s">
        <v>6113</v>
      </c>
      <c r="U5103">
        <v>1395</v>
      </c>
      <c r="V5103">
        <v>21.032599999999999</v>
      </c>
      <c r="W5103">
        <v>475.91</v>
      </c>
      <c r="X5103">
        <v>0</v>
      </c>
      <c r="Y5103">
        <v>0</v>
      </c>
      <c r="Z5103">
        <v>29340.48</v>
      </c>
      <c r="AA5103">
        <v>29816.39</v>
      </c>
      <c r="AB5103" s="12" t="s">
        <v>5456</v>
      </c>
      <c r="AC5103">
        <v>21.032599999999999</v>
      </c>
      <c r="AD5103">
        <v>1</v>
      </c>
      <c r="AE5103">
        <v>1</v>
      </c>
      <c r="AF5103">
        <v>0</v>
      </c>
      <c r="AG5103">
        <v>29340.48</v>
      </c>
      <c r="AH5103">
        <v>1395</v>
      </c>
      <c r="AI5103">
        <v>1386</v>
      </c>
      <c r="AJ5103">
        <v>9</v>
      </c>
      <c r="AK5103">
        <v>1</v>
      </c>
      <c r="AL5103">
        <v>1</v>
      </c>
      <c r="AM5103">
        <v>99.35</v>
      </c>
      <c r="AN5103">
        <v>21.512499999999999</v>
      </c>
      <c r="AO5103">
        <v>189.29</v>
      </c>
      <c r="AP5103" s="13">
        <v>45851</v>
      </c>
      <c r="AQ5103">
        <v>10</v>
      </c>
      <c r="AR5103">
        <v>0</v>
      </c>
    </row>
    <row r="5104" spans="1:44" x14ac:dyDescent="0.35">
      <c r="A5104" s="12" t="s">
        <v>6185</v>
      </c>
      <c r="B5104" s="12" t="s">
        <v>736</v>
      </c>
      <c r="C5104" s="12" t="s">
        <v>737</v>
      </c>
      <c r="D5104" s="12" t="s">
        <v>64</v>
      </c>
      <c r="E5104" s="12" t="s">
        <v>104</v>
      </c>
      <c r="F5104">
        <v>3</v>
      </c>
      <c r="G5104">
        <v>1</v>
      </c>
      <c r="H5104">
        <v>0</v>
      </c>
      <c r="I5104" s="12" t="s">
        <v>94</v>
      </c>
      <c r="J5104" s="12" t="s">
        <v>95</v>
      </c>
      <c r="K5104" s="12" t="s">
        <v>81</v>
      </c>
      <c r="L5104" s="12" t="s">
        <v>96</v>
      </c>
      <c r="M5104">
        <v>4.8099999999999996</v>
      </c>
      <c r="N5104" s="12" t="s">
        <v>70</v>
      </c>
      <c r="O5104" s="12" t="s">
        <v>71</v>
      </c>
      <c r="P5104" s="12" t="s">
        <v>72</v>
      </c>
      <c r="Q5104" s="13">
        <v>45818</v>
      </c>
      <c r="R5104" s="13">
        <v>45833</v>
      </c>
      <c r="S5104">
        <v>2025</v>
      </c>
      <c r="T5104" s="12" t="s">
        <v>6113</v>
      </c>
      <c r="U5104">
        <v>258</v>
      </c>
      <c r="V5104">
        <v>21.2288</v>
      </c>
      <c r="W5104">
        <v>126.04</v>
      </c>
      <c r="X5104">
        <v>0</v>
      </c>
      <c r="Y5104">
        <v>0</v>
      </c>
      <c r="Z5104">
        <v>5477.03</v>
      </c>
      <c r="AA5104">
        <v>5603.07</v>
      </c>
      <c r="AB5104" s="12" t="s">
        <v>5992</v>
      </c>
      <c r="AC5104">
        <v>21.2288</v>
      </c>
      <c r="AD5104">
        <v>1</v>
      </c>
      <c r="AE5104">
        <v>1</v>
      </c>
      <c r="AF5104">
        <v>0</v>
      </c>
      <c r="AG5104">
        <v>5477.03</v>
      </c>
      <c r="AH5104">
        <v>258</v>
      </c>
      <c r="AI5104">
        <v>256</v>
      </c>
      <c r="AJ5104">
        <v>2</v>
      </c>
      <c r="AK5104">
        <v>1</v>
      </c>
      <c r="AL5104">
        <v>1</v>
      </c>
      <c r="AM5104">
        <v>99.22</v>
      </c>
      <c r="AN5104">
        <v>21.887</v>
      </c>
      <c r="AO5104">
        <v>42.46</v>
      </c>
      <c r="AP5104" s="13">
        <v>45831</v>
      </c>
      <c r="AQ5104">
        <v>-2</v>
      </c>
      <c r="AR5104">
        <v>1</v>
      </c>
    </row>
    <row r="5105" spans="1:44" x14ac:dyDescent="0.35">
      <c r="A5105" s="12" t="s">
        <v>6186</v>
      </c>
      <c r="B5105" s="12" t="s">
        <v>399</v>
      </c>
      <c r="C5105" s="12" t="s">
        <v>400</v>
      </c>
      <c r="D5105" s="12" t="s">
        <v>114</v>
      </c>
      <c r="E5105" s="12" t="s">
        <v>65</v>
      </c>
      <c r="F5105">
        <v>1</v>
      </c>
      <c r="G5105">
        <v>2</v>
      </c>
      <c r="H5105">
        <v>1</v>
      </c>
      <c r="I5105" s="12" t="s">
        <v>151</v>
      </c>
      <c r="J5105" s="12" t="s">
        <v>152</v>
      </c>
      <c r="K5105" s="12" t="s">
        <v>125</v>
      </c>
      <c r="L5105" s="12" t="s">
        <v>69</v>
      </c>
      <c r="M5105">
        <v>36.479999999999997</v>
      </c>
      <c r="N5105" s="12" t="s">
        <v>70</v>
      </c>
      <c r="O5105" s="12" t="s">
        <v>71</v>
      </c>
      <c r="P5105" s="12" t="s">
        <v>72</v>
      </c>
      <c r="Q5105" s="13">
        <v>45818</v>
      </c>
      <c r="R5105" s="13">
        <v>45848</v>
      </c>
      <c r="S5105">
        <v>2025</v>
      </c>
      <c r="T5105" s="12" t="s">
        <v>6113</v>
      </c>
      <c r="U5105">
        <v>86</v>
      </c>
      <c r="V5105">
        <v>313.65679999999998</v>
      </c>
      <c r="W5105">
        <v>680.22</v>
      </c>
      <c r="X5105">
        <v>0</v>
      </c>
      <c r="Y5105">
        <v>0</v>
      </c>
      <c r="Z5105">
        <v>26974.48</v>
      </c>
      <c r="AA5105">
        <v>27654.7</v>
      </c>
      <c r="AB5105" s="12" t="s">
        <v>201</v>
      </c>
      <c r="AD5105">
        <v>0</v>
      </c>
      <c r="AE5105">
        <v>0</v>
      </c>
      <c r="AK5105">
        <v>0</v>
      </c>
      <c r="AL5105">
        <v>0</v>
      </c>
      <c r="AO5105">
        <v>0</v>
      </c>
      <c r="AP5105" s="13"/>
    </row>
    <row r="5106" spans="1:44" x14ac:dyDescent="0.35">
      <c r="A5106" s="12" t="s">
        <v>6187</v>
      </c>
      <c r="B5106" s="12" t="s">
        <v>350</v>
      </c>
      <c r="C5106" s="12" t="s">
        <v>351</v>
      </c>
      <c r="D5106" s="12" t="s">
        <v>64</v>
      </c>
      <c r="E5106" s="12" t="s">
        <v>104</v>
      </c>
      <c r="F5106">
        <v>3</v>
      </c>
      <c r="G5106">
        <v>1</v>
      </c>
      <c r="H5106">
        <v>0</v>
      </c>
      <c r="I5106" s="12" t="s">
        <v>227</v>
      </c>
      <c r="J5106" s="12" t="s">
        <v>228</v>
      </c>
      <c r="K5106" s="12" t="s">
        <v>89</v>
      </c>
      <c r="L5106" s="12" t="s">
        <v>96</v>
      </c>
      <c r="M5106">
        <v>9.15</v>
      </c>
      <c r="N5106" s="12" t="s">
        <v>97</v>
      </c>
      <c r="O5106" s="12" t="s">
        <v>98</v>
      </c>
      <c r="P5106" s="12" t="s">
        <v>72</v>
      </c>
      <c r="Q5106" s="13">
        <v>45819</v>
      </c>
      <c r="R5106" s="13">
        <v>45848</v>
      </c>
      <c r="S5106">
        <v>2025</v>
      </c>
      <c r="T5106" s="12" t="s">
        <v>6113</v>
      </c>
      <c r="U5106">
        <v>955</v>
      </c>
      <c r="V5106">
        <v>7.4992999999999999</v>
      </c>
      <c r="W5106">
        <v>137.38</v>
      </c>
      <c r="X5106">
        <v>0</v>
      </c>
      <c r="Y5106">
        <v>0</v>
      </c>
      <c r="Z5106">
        <v>7161.83</v>
      </c>
      <c r="AA5106">
        <v>7299.21</v>
      </c>
      <c r="AB5106" s="12" t="s">
        <v>6188</v>
      </c>
      <c r="AC5106">
        <v>7.4992999999999999</v>
      </c>
      <c r="AD5106">
        <v>1</v>
      </c>
      <c r="AE5106">
        <v>1</v>
      </c>
      <c r="AF5106">
        <v>0</v>
      </c>
      <c r="AG5106">
        <v>7161.83</v>
      </c>
      <c r="AH5106">
        <v>955</v>
      </c>
      <c r="AI5106">
        <v>948</v>
      </c>
      <c r="AJ5106">
        <v>7</v>
      </c>
      <c r="AK5106">
        <v>1</v>
      </c>
      <c r="AL5106">
        <v>1</v>
      </c>
      <c r="AM5106">
        <v>99.27</v>
      </c>
      <c r="AN5106">
        <v>7.6996000000000002</v>
      </c>
      <c r="AO5106">
        <v>52.5</v>
      </c>
      <c r="AP5106" s="13">
        <v>45847</v>
      </c>
      <c r="AQ5106">
        <v>-1</v>
      </c>
      <c r="AR5106">
        <v>1</v>
      </c>
    </row>
    <row r="5107" spans="1:44" x14ac:dyDescent="0.35">
      <c r="A5107" s="12" t="s">
        <v>6189</v>
      </c>
      <c r="B5107" s="12" t="s">
        <v>1068</v>
      </c>
      <c r="C5107" s="12" t="s">
        <v>1069</v>
      </c>
      <c r="D5107" s="12" t="s">
        <v>122</v>
      </c>
      <c r="E5107" s="12" t="s">
        <v>65</v>
      </c>
      <c r="F5107">
        <v>2</v>
      </c>
      <c r="G5107">
        <v>2</v>
      </c>
      <c r="H5107">
        <v>0</v>
      </c>
      <c r="I5107" s="12" t="s">
        <v>79</v>
      </c>
      <c r="J5107" s="12" t="s">
        <v>80</v>
      </c>
      <c r="K5107" s="12" t="s">
        <v>81</v>
      </c>
      <c r="L5107" s="12" t="s">
        <v>82</v>
      </c>
      <c r="M5107">
        <v>12.07</v>
      </c>
      <c r="N5107" s="12" t="s">
        <v>97</v>
      </c>
      <c r="O5107" s="12" t="s">
        <v>98</v>
      </c>
      <c r="P5107" s="12" t="s">
        <v>72</v>
      </c>
      <c r="Q5107" s="13">
        <v>45819</v>
      </c>
      <c r="R5107" s="13">
        <v>45843</v>
      </c>
      <c r="S5107">
        <v>2025</v>
      </c>
      <c r="T5107" s="12" t="s">
        <v>6113</v>
      </c>
      <c r="U5107">
        <v>584</v>
      </c>
      <c r="V5107">
        <v>20.8949</v>
      </c>
      <c r="W5107">
        <v>257.33</v>
      </c>
      <c r="X5107">
        <v>0</v>
      </c>
      <c r="Y5107">
        <v>0</v>
      </c>
      <c r="Z5107">
        <v>12202.62</v>
      </c>
      <c r="AA5107">
        <v>12459.95</v>
      </c>
      <c r="AB5107" s="12" t="s">
        <v>5478</v>
      </c>
      <c r="AC5107">
        <v>20.8949</v>
      </c>
      <c r="AD5107">
        <v>1</v>
      </c>
      <c r="AE5107">
        <v>1</v>
      </c>
      <c r="AF5107">
        <v>0</v>
      </c>
      <c r="AG5107">
        <v>12202.62</v>
      </c>
      <c r="AH5107">
        <v>584</v>
      </c>
      <c r="AI5107">
        <v>579</v>
      </c>
      <c r="AJ5107">
        <v>5</v>
      </c>
      <c r="AK5107">
        <v>1</v>
      </c>
      <c r="AL5107">
        <v>1</v>
      </c>
      <c r="AM5107">
        <v>99.14</v>
      </c>
      <c r="AN5107">
        <v>21.5198</v>
      </c>
      <c r="AO5107">
        <v>104.47</v>
      </c>
      <c r="AP5107" s="13">
        <v>45840</v>
      </c>
      <c r="AQ5107">
        <v>-3</v>
      </c>
      <c r="AR5107">
        <v>1</v>
      </c>
    </row>
    <row r="5108" spans="1:44" x14ac:dyDescent="0.35">
      <c r="A5108" s="12" t="s">
        <v>6190</v>
      </c>
      <c r="B5108" s="12" t="s">
        <v>193</v>
      </c>
      <c r="C5108" s="12" t="s">
        <v>194</v>
      </c>
      <c r="D5108" s="12" t="s">
        <v>114</v>
      </c>
      <c r="E5108" s="12" t="s">
        <v>65</v>
      </c>
      <c r="F5108">
        <v>3</v>
      </c>
      <c r="G5108">
        <v>4</v>
      </c>
      <c r="H5108">
        <v>0</v>
      </c>
      <c r="I5108" s="12" t="s">
        <v>143</v>
      </c>
      <c r="J5108" s="12" t="s">
        <v>144</v>
      </c>
      <c r="K5108" s="12" t="s">
        <v>133</v>
      </c>
      <c r="L5108" s="12" t="s">
        <v>96</v>
      </c>
      <c r="M5108">
        <v>5.43</v>
      </c>
      <c r="N5108" s="12" t="s">
        <v>97</v>
      </c>
      <c r="O5108" s="12" t="s">
        <v>98</v>
      </c>
      <c r="P5108" s="12" t="s">
        <v>72</v>
      </c>
      <c r="Q5108" s="13">
        <v>45819</v>
      </c>
      <c r="R5108" s="13">
        <v>45843</v>
      </c>
      <c r="S5108">
        <v>2025</v>
      </c>
      <c r="T5108" s="12" t="s">
        <v>6113</v>
      </c>
      <c r="U5108">
        <v>40</v>
      </c>
      <c r="V5108">
        <v>104.46510000000001</v>
      </c>
      <c r="W5108">
        <v>42.02</v>
      </c>
      <c r="X5108">
        <v>0</v>
      </c>
      <c r="Y5108">
        <v>0</v>
      </c>
      <c r="Z5108">
        <v>4178.6000000000004</v>
      </c>
      <c r="AA5108">
        <v>4220.62</v>
      </c>
      <c r="AB5108" s="12" t="s">
        <v>6191</v>
      </c>
      <c r="AC5108">
        <v>104.46510000000001</v>
      </c>
      <c r="AD5108">
        <v>1</v>
      </c>
      <c r="AE5108">
        <v>1</v>
      </c>
      <c r="AF5108">
        <v>0</v>
      </c>
      <c r="AG5108">
        <v>4178.6000000000004</v>
      </c>
      <c r="AH5108">
        <v>40</v>
      </c>
      <c r="AI5108">
        <v>40</v>
      </c>
      <c r="AJ5108">
        <v>0</v>
      </c>
      <c r="AK5108">
        <v>1</v>
      </c>
      <c r="AL5108">
        <v>1</v>
      </c>
      <c r="AM5108">
        <v>100</v>
      </c>
      <c r="AN5108">
        <v>105.51560000000001</v>
      </c>
      <c r="AO5108">
        <v>0</v>
      </c>
      <c r="AP5108" s="13">
        <v>45843</v>
      </c>
      <c r="AQ5108">
        <v>0</v>
      </c>
      <c r="AR5108">
        <v>1</v>
      </c>
    </row>
    <row r="5109" spans="1:44" x14ac:dyDescent="0.35">
      <c r="A5109" s="12" t="s">
        <v>6192</v>
      </c>
      <c r="B5109" s="12" t="s">
        <v>302</v>
      </c>
      <c r="C5109" s="12" t="s">
        <v>303</v>
      </c>
      <c r="D5109" s="12" t="s">
        <v>78</v>
      </c>
      <c r="E5109" s="12" t="s">
        <v>65</v>
      </c>
      <c r="F5109">
        <v>2</v>
      </c>
      <c r="G5109">
        <v>3</v>
      </c>
      <c r="H5109">
        <v>0</v>
      </c>
      <c r="I5109" s="12" t="s">
        <v>335</v>
      </c>
      <c r="J5109" s="12" t="s">
        <v>336</v>
      </c>
      <c r="K5109" s="12" t="s">
        <v>89</v>
      </c>
      <c r="L5109" s="12" t="s">
        <v>82</v>
      </c>
      <c r="M5109">
        <v>16</v>
      </c>
      <c r="N5109" s="12" t="s">
        <v>97</v>
      </c>
      <c r="O5109" s="12" t="s">
        <v>98</v>
      </c>
      <c r="P5109" s="12" t="s">
        <v>72</v>
      </c>
      <c r="Q5109" s="13">
        <v>45819</v>
      </c>
      <c r="R5109" s="13">
        <v>45844</v>
      </c>
      <c r="S5109">
        <v>2025</v>
      </c>
      <c r="T5109" s="12" t="s">
        <v>6113</v>
      </c>
      <c r="U5109">
        <v>103</v>
      </c>
      <c r="V5109">
        <v>129.63470000000001</v>
      </c>
      <c r="W5109">
        <v>293.14999999999998</v>
      </c>
      <c r="X5109">
        <v>402.62</v>
      </c>
      <c r="Y5109">
        <v>1</v>
      </c>
      <c r="Z5109">
        <v>13352.37</v>
      </c>
      <c r="AA5109">
        <v>14048.14</v>
      </c>
      <c r="AB5109" s="12" t="s">
        <v>5763</v>
      </c>
      <c r="AC5109">
        <v>137.82220000000001</v>
      </c>
      <c r="AD5109">
        <v>1</v>
      </c>
      <c r="AE5109">
        <v>1</v>
      </c>
      <c r="AF5109">
        <v>-843.31</v>
      </c>
      <c r="AG5109">
        <v>14195.69</v>
      </c>
      <c r="AH5109">
        <v>103</v>
      </c>
      <c r="AI5109">
        <v>101</v>
      </c>
      <c r="AJ5109">
        <v>2</v>
      </c>
      <c r="AK5109">
        <v>1</v>
      </c>
      <c r="AL5109">
        <v>1</v>
      </c>
      <c r="AM5109">
        <v>98.06</v>
      </c>
      <c r="AN5109">
        <v>139.09049999999999</v>
      </c>
      <c r="AO5109">
        <v>259.27</v>
      </c>
      <c r="AP5109" s="13">
        <v>45842</v>
      </c>
      <c r="AQ5109">
        <v>-2</v>
      </c>
      <c r="AR5109">
        <v>1</v>
      </c>
    </row>
    <row r="5110" spans="1:44" x14ac:dyDescent="0.35">
      <c r="A5110" s="12" t="s">
        <v>6193</v>
      </c>
      <c r="B5110" s="12" t="s">
        <v>1166</v>
      </c>
      <c r="C5110" s="12" t="s">
        <v>1167</v>
      </c>
      <c r="D5110" s="12" t="s">
        <v>175</v>
      </c>
      <c r="E5110" s="12" t="s">
        <v>65</v>
      </c>
      <c r="F5110">
        <v>3</v>
      </c>
      <c r="G5110">
        <v>5</v>
      </c>
      <c r="H5110">
        <v>0</v>
      </c>
      <c r="I5110" s="12" t="s">
        <v>143</v>
      </c>
      <c r="J5110" s="12" t="s">
        <v>144</v>
      </c>
      <c r="K5110" s="12" t="s">
        <v>133</v>
      </c>
      <c r="L5110" s="12" t="s">
        <v>96</v>
      </c>
      <c r="M5110">
        <v>5.43</v>
      </c>
      <c r="N5110" s="12" t="s">
        <v>107</v>
      </c>
      <c r="O5110" s="12" t="s">
        <v>108</v>
      </c>
      <c r="P5110" s="12" t="s">
        <v>109</v>
      </c>
      <c r="Q5110" s="13">
        <v>45819</v>
      </c>
      <c r="R5110" s="13">
        <v>45846</v>
      </c>
      <c r="S5110">
        <v>2025</v>
      </c>
      <c r="T5110" s="12" t="s">
        <v>6113</v>
      </c>
      <c r="U5110">
        <v>60</v>
      </c>
      <c r="V5110">
        <v>258.11669999999998</v>
      </c>
      <c r="W5110">
        <v>345.47</v>
      </c>
      <c r="X5110">
        <v>0</v>
      </c>
      <c r="Y5110">
        <v>0</v>
      </c>
      <c r="Z5110">
        <v>15487</v>
      </c>
      <c r="AA5110">
        <v>15832.47</v>
      </c>
      <c r="AB5110" s="12" t="s">
        <v>201</v>
      </c>
      <c r="AD5110">
        <v>0</v>
      </c>
      <c r="AE5110">
        <v>0</v>
      </c>
      <c r="AH5110">
        <v>60</v>
      </c>
      <c r="AI5110">
        <v>59</v>
      </c>
      <c r="AJ5110">
        <v>1</v>
      </c>
      <c r="AK5110">
        <v>1</v>
      </c>
      <c r="AL5110">
        <v>1</v>
      </c>
      <c r="AM5110">
        <v>98.33</v>
      </c>
      <c r="AN5110">
        <v>268.34699999999998</v>
      </c>
      <c r="AO5110">
        <v>258.12</v>
      </c>
      <c r="AP5110" s="13">
        <v>45843</v>
      </c>
      <c r="AQ5110">
        <v>-3</v>
      </c>
      <c r="AR5110">
        <v>1</v>
      </c>
    </row>
    <row r="5111" spans="1:44" x14ac:dyDescent="0.35">
      <c r="A5111" s="12" t="s">
        <v>6194</v>
      </c>
      <c r="B5111" s="12" t="s">
        <v>902</v>
      </c>
      <c r="C5111" s="12" t="s">
        <v>903</v>
      </c>
      <c r="D5111" s="12" t="s">
        <v>122</v>
      </c>
      <c r="E5111" s="12" t="s">
        <v>142</v>
      </c>
      <c r="F5111">
        <v>1</v>
      </c>
      <c r="G5111">
        <v>6</v>
      </c>
      <c r="H5111">
        <v>1</v>
      </c>
      <c r="I5111" s="12" t="s">
        <v>105</v>
      </c>
      <c r="J5111" s="12" t="s">
        <v>106</v>
      </c>
      <c r="K5111" s="12" t="s">
        <v>81</v>
      </c>
      <c r="L5111" s="12" t="s">
        <v>96</v>
      </c>
      <c r="M5111">
        <v>5.01</v>
      </c>
      <c r="N5111" s="12" t="s">
        <v>97</v>
      </c>
      <c r="O5111" s="12" t="s">
        <v>98</v>
      </c>
      <c r="P5111" s="12" t="s">
        <v>72</v>
      </c>
      <c r="Q5111" s="13">
        <v>45819</v>
      </c>
      <c r="R5111" s="13">
        <v>45860</v>
      </c>
      <c r="S5111">
        <v>2025</v>
      </c>
      <c r="T5111" s="12" t="s">
        <v>6113</v>
      </c>
      <c r="U5111">
        <v>863</v>
      </c>
      <c r="V5111">
        <v>41.5184</v>
      </c>
      <c r="W5111">
        <v>882.49</v>
      </c>
      <c r="X5111">
        <v>0</v>
      </c>
      <c r="Y5111">
        <v>0</v>
      </c>
      <c r="Z5111">
        <v>35830.379999999997</v>
      </c>
      <c r="AA5111">
        <v>36712.870000000003</v>
      </c>
      <c r="AB5111" s="12" t="s">
        <v>5824</v>
      </c>
      <c r="AC5111">
        <v>41.5184</v>
      </c>
      <c r="AD5111">
        <v>1</v>
      </c>
      <c r="AE5111">
        <v>1</v>
      </c>
      <c r="AF5111">
        <v>0</v>
      </c>
      <c r="AG5111">
        <v>35830.379999999997</v>
      </c>
      <c r="AH5111">
        <v>863</v>
      </c>
      <c r="AI5111">
        <v>855</v>
      </c>
      <c r="AJ5111">
        <v>8</v>
      </c>
      <c r="AK5111">
        <v>1</v>
      </c>
      <c r="AL5111">
        <v>1</v>
      </c>
      <c r="AM5111">
        <v>99.07</v>
      </c>
      <c r="AN5111">
        <v>42.939</v>
      </c>
      <c r="AO5111">
        <v>332.15</v>
      </c>
      <c r="AP5111" s="13">
        <v>45858</v>
      </c>
      <c r="AQ5111">
        <v>-2</v>
      </c>
      <c r="AR5111">
        <v>1</v>
      </c>
    </row>
    <row r="5112" spans="1:44" x14ac:dyDescent="0.35">
      <c r="A5112" s="12" t="s">
        <v>6195</v>
      </c>
      <c r="B5112" s="12" t="s">
        <v>646</v>
      </c>
      <c r="C5112" s="12" t="s">
        <v>647</v>
      </c>
      <c r="D5112" s="12" t="s">
        <v>175</v>
      </c>
      <c r="E5112" s="12" t="s">
        <v>104</v>
      </c>
      <c r="F5112">
        <v>3</v>
      </c>
      <c r="G5112">
        <v>1</v>
      </c>
      <c r="H5112">
        <v>0</v>
      </c>
      <c r="I5112" s="12" t="s">
        <v>227</v>
      </c>
      <c r="J5112" s="12" t="s">
        <v>228</v>
      </c>
      <c r="K5112" s="12" t="s">
        <v>89</v>
      </c>
      <c r="L5112" s="12" t="s">
        <v>96</v>
      </c>
      <c r="M5112">
        <v>9.15</v>
      </c>
      <c r="N5112" s="12" t="s">
        <v>145</v>
      </c>
      <c r="O5112" s="12" t="s">
        <v>146</v>
      </c>
      <c r="P5112" s="12" t="s">
        <v>109</v>
      </c>
      <c r="Q5112" s="13">
        <v>45820</v>
      </c>
      <c r="R5112" s="13">
        <v>45836</v>
      </c>
      <c r="S5112">
        <v>2025</v>
      </c>
      <c r="T5112" s="12" t="s">
        <v>6113</v>
      </c>
      <c r="U5112">
        <v>47</v>
      </c>
      <c r="V5112">
        <v>191.95849999999999</v>
      </c>
      <c r="W5112">
        <v>73.19</v>
      </c>
      <c r="X5112">
        <v>0</v>
      </c>
      <c r="Y5112">
        <v>0</v>
      </c>
      <c r="Z5112">
        <v>9022.0499999999993</v>
      </c>
      <c r="AA5112">
        <v>9095.24</v>
      </c>
      <c r="AB5112" s="12" t="s">
        <v>5935</v>
      </c>
      <c r="AC5112">
        <v>191.95849999999999</v>
      </c>
      <c r="AD5112">
        <v>1</v>
      </c>
      <c r="AE5112">
        <v>1</v>
      </c>
      <c r="AF5112">
        <v>0</v>
      </c>
      <c r="AG5112">
        <v>9022.0499999999993</v>
      </c>
      <c r="AH5112">
        <v>47</v>
      </c>
      <c r="AI5112">
        <v>47</v>
      </c>
      <c r="AJ5112">
        <v>0</v>
      </c>
      <c r="AK5112">
        <v>1</v>
      </c>
      <c r="AL5112">
        <v>1</v>
      </c>
      <c r="AM5112">
        <v>100</v>
      </c>
      <c r="AN5112">
        <v>193.51570000000001</v>
      </c>
      <c r="AO5112">
        <v>0</v>
      </c>
      <c r="AP5112" s="13">
        <v>45836</v>
      </c>
      <c r="AQ5112">
        <v>0</v>
      </c>
      <c r="AR5112">
        <v>1</v>
      </c>
    </row>
    <row r="5113" spans="1:44" x14ac:dyDescent="0.35">
      <c r="A5113" s="12" t="s">
        <v>6196</v>
      </c>
      <c r="B5113" s="12" t="s">
        <v>519</v>
      </c>
      <c r="C5113" s="12" t="s">
        <v>520</v>
      </c>
      <c r="D5113" s="12" t="s">
        <v>78</v>
      </c>
      <c r="E5113" s="12" t="s">
        <v>65</v>
      </c>
      <c r="F5113">
        <v>2</v>
      </c>
      <c r="G5113">
        <v>3</v>
      </c>
      <c r="H5113">
        <v>0</v>
      </c>
      <c r="I5113" s="12" t="s">
        <v>143</v>
      </c>
      <c r="J5113" s="12" t="s">
        <v>144</v>
      </c>
      <c r="K5113" s="12" t="s">
        <v>133</v>
      </c>
      <c r="L5113" s="12" t="s">
        <v>96</v>
      </c>
      <c r="M5113">
        <v>5.43</v>
      </c>
      <c r="N5113" s="12" t="s">
        <v>97</v>
      </c>
      <c r="O5113" s="12" t="s">
        <v>98</v>
      </c>
      <c r="P5113" s="12" t="s">
        <v>72</v>
      </c>
      <c r="Q5113" s="13">
        <v>45820</v>
      </c>
      <c r="R5113" s="13">
        <v>45850</v>
      </c>
      <c r="S5113">
        <v>2025</v>
      </c>
      <c r="T5113" s="12" t="s">
        <v>6113</v>
      </c>
      <c r="U5113">
        <v>179</v>
      </c>
      <c r="V5113">
        <v>28.570399999999999</v>
      </c>
      <c r="W5113">
        <v>116.11</v>
      </c>
      <c r="X5113">
        <v>0</v>
      </c>
      <c r="Y5113">
        <v>0</v>
      </c>
      <c r="Z5113">
        <v>5114.1000000000004</v>
      </c>
      <c r="AA5113">
        <v>5230.21</v>
      </c>
      <c r="AB5113" s="12" t="s">
        <v>5619</v>
      </c>
      <c r="AC5113">
        <v>28.570399999999999</v>
      </c>
      <c r="AD5113">
        <v>1</v>
      </c>
      <c r="AE5113">
        <v>1</v>
      </c>
      <c r="AF5113">
        <v>0</v>
      </c>
      <c r="AG5113">
        <v>5114.1000000000004</v>
      </c>
      <c r="AH5113">
        <v>179</v>
      </c>
      <c r="AI5113">
        <v>178</v>
      </c>
      <c r="AJ5113">
        <v>1</v>
      </c>
      <c r="AK5113">
        <v>1</v>
      </c>
      <c r="AL5113">
        <v>1</v>
      </c>
      <c r="AM5113">
        <v>99.44</v>
      </c>
      <c r="AN5113">
        <v>29.383199999999999</v>
      </c>
      <c r="AO5113">
        <v>28.57</v>
      </c>
      <c r="AP5113" s="13">
        <v>45847</v>
      </c>
      <c r="AQ5113">
        <v>-3</v>
      </c>
      <c r="AR5113">
        <v>1</v>
      </c>
    </row>
    <row r="5114" spans="1:44" x14ac:dyDescent="0.35">
      <c r="A5114" s="12" t="s">
        <v>6197</v>
      </c>
      <c r="B5114" s="12" t="s">
        <v>569</v>
      </c>
      <c r="C5114" s="12" t="s">
        <v>570</v>
      </c>
      <c r="D5114" s="12" t="s">
        <v>114</v>
      </c>
      <c r="E5114" s="12" t="s">
        <v>142</v>
      </c>
      <c r="F5114">
        <v>1</v>
      </c>
      <c r="G5114">
        <v>6</v>
      </c>
      <c r="H5114">
        <v>1</v>
      </c>
      <c r="I5114" s="12" t="s">
        <v>123</v>
      </c>
      <c r="J5114" s="12" t="s">
        <v>124</v>
      </c>
      <c r="K5114" s="12" t="s">
        <v>125</v>
      </c>
      <c r="L5114" s="12" t="s">
        <v>82</v>
      </c>
      <c r="M5114">
        <v>6.75</v>
      </c>
      <c r="N5114" s="12" t="s">
        <v>70</v>
      </c>
      <c r="O5114" s="12" t="s">
        <v>71</v>
      </c>
      <c r="P5114" s="12" t="s">
        <v>72</v>
      </c>
      <c r="Q5114" s="13">
        <v>45820</v>
      </c>
      <c r="R5114" s="13">
        <v>45856</v>
      </c>
      <c r="S5114">
        <v>2025</v>
      </c>
      <c r="T5114" s="12" t="s">
        <v>6113</v>
      </c>
      <c r="U5114">
        <v>24</v>
      </c>
      <c r="V5114">
        <v>348.21159999999998</v>
      </c>
      <c r="W5114">
        <v>151.08000000000001</v>
      </c>
      <c r="X5114">
        <v>0</v>
      </c>
      <c r="Y5114">
        <v>0</v>
      </c>
      <c r="Z5114">
        <v>8357.08</v>
      </c>
      <c r="AA5114">
        <v>8508.16</v>
      </c>
      <c r="AB5114" s="12" t="s">
        <v>5817</v>
      </c>
      <c r="AC5114">
        <v>348.21159999999998</v>
      </c>
      <c r="AD5114">
        <v>1</v>
      </c>
      <c r="AE5114">
        <v>1</v>
      </c>
      <c r="AF5114">
        <v>0</v>
      </c>
      <c r="AG5114">
        <v>8357.08</v>
      </c>
      <c r="AH5114">
        <v>24</v>
      </c>
      <c r="AI5114">
        <v>24</v>
      </c>
      <c r="AJ5114">
        <v>0</v>
      </c>
      <c r="AK5114">
        <v>1</v>
      </c>
      <c r="AL5114">
        <v>1</v>
      </c>
      <c r="AM5114">
        <v>100</v>
      </c>
      <c r="AN5114">
        <v>354.50659999999999</v>
      </c>
      <c r="AO5114">
        <v>0</v>
      </c>
      <c r="AP5114" s="13">
        <v>45864</v>
      </c>
      <c r="AQ5114">
        <v>8</v>
      </c>
      <c r="AR5114">
        <v>0</v>
      </c>
    </row>
    <row r="5115" spans="1:44" x14ac:dyDescent="0.35">
      <c r="A5115" s="12" t="s">
        <v>6198</v>
      </c>
      <c r="B5115" s="12" t="s">
        <v>978</v>
      </c>
      <c r="C5115" s="12" t="s">
        <v>979</v>
      </c>
      <c r="D5115" s="12" t="s">
        <v>122</v>
      </c>
      <c r="E5115" s="12" t="s">
        <v>65</v>
      </c>
      <c r="F5115">
        <v>1</v>
      </c>
      <c r="G5115">
        <v>2</v>
      </c>
      <c r="H5115">
        <v>1</v>
      </c>
      <c r="I5115" s="12" t="s">
        <v>310</v>
      </c>
      <c r="J5115" s="12" t="s">
        <v>311</v>
      </c>
      <c r="K5115" s="12" t="s">
        <v>81</v>
      </c>
      <c r="L5115" s="12" t="s">
        <v>69</v>
      </c>
      <c r="M5115">
        <v>28.3</v>
      </c>
      <c r="N5115" s="12" t="s">
        <v>70</v>
      </c>
      <c r="O5115" s="12" t="s">
        <v>71</v>
      </c>
      <c r="P5115" s="12" t="s">
        <v>72</v>
      </c>
      <c r="Q5115" s="13">
        <v>45820</v>
      </c>
      <c r="R5115" s="13">
        <v>45845</v>
      </c>
      <c r="S5115">
        <v>2025</v>
      </c>
      <c r="T5115" s="12" t="s">
        <v>6113</v>
      </c>
      <c r="U5115">
        <v>680</v>
      </c>
      <c r="V5115">
        <v>43.4407</v>
      </c>
      <c r="W5115">
        <v>350.73</v>
      </c>
      <c r="X5115">
        <v>0</v>
      </c>
      <c r="Y5115">
        <v>0</v>
      </c>
      <c r="Z5115">
        <v>29539.68</v>
      </c>
      <c r="AA5115">
        <v>29890.41</v>
      </c>
      <c r="AB5115" s="12" t="s">
        <v>6061</v>
      </c>
      <c r="AC5115">
        <v>43.4407</v>
      </c>
      <c r="AD5115">
        <v>1</v>
      </c>
      <c r="AE5115">
        <v>1</v>
      </c>
      <c r="AF5115">
        <v>0</v>
      </c>
      <c r="AG5115">
        <v>29539.68</v>
      </c>
      <c r="AH5115">
        <v>680</v>
      </c>
      <c r="AI5115">
        <v>676</v>
      </c>
      <c r="AJ5115">
        <v>4</v>
      </c>
      <c r="AK5115">
        <v>1</v>
      </c>
      <c r="AL5115">
        <v>1</v>
      </c>
      <c r="AM5115">
        <v>99.41</v>
      </c>
      <c r="AN5115">
        <v>44.2166</v>
      </c>
      <c r="AO5115">
        <v>173.76</v>
      </c>
      <c r="AP5115" s="13">
        <v>45843</v>
      </c>
      <c r="AQ5115">
        <v>-2</v>
      </c>
      <c r="AR5115">
        <v>1</v>
      </c>
    </row>
    <row r="5116" spans="1:44" x14ac:dyDescent="0.35">
      <c r="A5116" s="12" t="s">
        <v>6199</v>
      </c>
      <c r="B5116" s="12" t="s">
        <v>490</v>
      </c>
      <c r="C5116" s="12" t="s">
        <v>491</v>
      </c>
      <c r="D5116" s="12" t="s">
        <v>130</v>
      </c>
      <c r="E5116" s="12" t="s">
        <v>104</v>
      </c>
      <c r="F5116">
        <v>3</v>
      </c>
      <c r="G5116">
        <v>1</v>
      </c>
      <c r="H5116">
        <v>0</v>
      </c>
      <c r="I5116" s="12" t="s">
        <v>176</v>
      </c>
      <c r="J5116" s="12" t="s">
        <v>177</v>
      </c>
      <c r="K5116" s="12" t="s">
        <v>125</v>
      </c>
      <c r="L5116" s="12" t="s">
        <v>134</v>
      </c>
      <c r="M5116">
        <v>1.75</v>
      </c>
      <c r="N5116" s="12" t="s">
        <v>135</v>
      </c>
      <c r="O5116" s="12" t="s">
        <v>136</v>
      </c>
      <c r="P5116" s="12" t="s">
        <v>137</v>
      </c>
      <c r="Q5116" s="13">
        <v>45820</v>
      </c>
      <c r="R5116" s="13">
        <v>45836</v>
      </c>
      <c r="S5116">
        <v>2025</v>
      </c>
      <c r="T5116" s="12" t="s">
        <v>6113</v>
      </c>
      <c r="U5116">
        <v>46</v>
      </c>
      <c r="V5116">
        <v>234.9982</v>
      </c>
      <c r="W5116">
        <v>277.89</v>
      </c>
      <c r="X5116">
        <v>0</v>
      </c>
      <c r="Y5116">
        <v>0</v>
      </c>
      <c r="Z5116">
        <v>10809.92</v>
      </c>
      <c r="AA5116">
        <v>11087.81</v>
      </c>
      <c r="AB5116" s="12" t="s">
        <v>5760</v>
      </c>
      <c r="AC5116">
        <v>234.9982</v>
      </c>
      <c r="AD5116">
        <v>1</v>
      </c>
      <c r="AE5116">
        <v>1</v>
      </c>
      <c r="AF5116">
        <v>0</v>
      </c>
      <c r="AG5116">
        <v>10809.92</v>
      </c>
      <c r="AH5116">
        <v>46</v>
      </c>
      <c r="AI5116">
        <v>45</v>
      </c>
      <c r="AJ5116">
        <v>1</v>
      </c>
      <c r="AK5116">
        <v>1</v>
      </c>
      <c r="AL5116">
        <v>1</v>
      </c>
      <c r="AM5116">
        <v>97.83</v>
      </c>
      <c r="AN5116">
        <v>246.39570000000001</v>
      </c>
      <c r="AO5116">
        <v>235</v>
      </c>
      <c r="AP5116" s="13">
        <v>45836</v>
      </c>
      <c r="AQ5116">
        <v>0</v>
      </c>
      <c r="AR5116">
        <v>1</v>
      </c>
    </row>
    <row r="5117" spans="1:44" x14ac:dyDescent="0.35">
      <c r="A5117" s="12" t="s">
        <v>6200</v>
      </c>
      <c r="B5117" s="12" t="s">
        <v>494</v>
      </c>
      <c r="C5117" s="12" t="s">
        <v>495</v>
      </c>
      <c r="D5117" s="12" t="s">
        <v>175</v>
      </c>
      <c r="E5117" s="12" t="s">
        <v>65</v>
      </c>
      <c r="F5117">
        <v>2</v>
      </c>
      <c r="G5117">
        <v>3</v>
      </c>
      <c r="H5117">
        <v>0</v>
      </c>
      <c r="I5117" s="12" t="s">
        <v>515</v>
      </c>
      <c r="J5117" s="12" t="s">
        <v>516</v>
      </c>
      <c r="K5117" s="12" t="s">
        <v>68</v>
      </c>
      <c r="L5117" s="12" t="s">
        <v>134</v>
      </c>
      <c r="M5117">
        <v>3.69</v>
      </c>
      <c r="N5117" s="12" t="s">
        <v>107</v>
      </c>
      <c r="O5117" s="12" t="s">
        <v>108</v>
      </c>
      <c r="P5117" s="12" t="s">
        <v>109</v>
      </c>
      <c r="Q5117" s="13">
        <v>45820</v>
      </c>
      <c r="R5117" s="13">
        <v>45844</v>
      </c>
      <c r="S5117">
        <v>2025</v>
      </c>
      <c r="T5117" s="12" t="s">
        <v>6113</v>
      </c>
      <c r="U5117">
        <v>37</v>
      </c>
      <c r="V5117">
        <v>153.36940000000001</v>
      </c>
      <c r="W5117">
        <v>34.29</v>
      </c>
      <c r="X5117">
        <v>0</v>
      </c>
      <c r="Y5117">
        <v>0</v>
      </c>
      <c r="Z5117">
        <v>5674.67</v>
      </c>
      <c r="AA5117">
        <v>5708.96</v>
      </c>
      <c r="AB5117" s="12" t="s">
        <v>5442</v>
      </c>
      <c r="AC5117">
        <v>153.36940000000001</v>
      </c>
      <c r="AD5117">
        <v>1</v>
      </c>
      <c r="AE5117">
        <v>1</v>
      </c>
      <c r="AF5117">
        <v>0</v>
      </c>
      <c r="AG5117">
        <v>5674.67</v>
      </c>
      <c r="AH5117">
        <v>37</v>
      </c>
      <c r="AI5117">
        <v>37</v>
      </c>
      <c r="AJ5117">
        <v>0</v>
      </c>
      <c r="AK5117">
        <v>1</v>
      </c>
      <c r="AL5117">
        <v>1</v>
      </c>
      <c r="AM5117">
        <v>100</v>
      </c>
      <c r="AN5117">
        <v>154.2962</v>
      </c>
      <c r="AO5117">
        <v>0</v>
      </c>
      <c r="AP5117" s="13">
        <v>45851</v>
      </c>
      <c r="AQ5117">
        <v>7</v>
      </c>
      <c r="AR5117">
        <v>0</v>
      </c>
    </row>
    <row r="5118" spans="1:44" x14ac:dyDescent="0.35">
      <c r="A5118" s="12" t="s">
        <v>6201</v>
      </c>
      <c r="B5118" s="12" t="s">
        <v>323</v>
      </c>
      <c r="C5118" s="12" t="s">
        <v>324</v>
      </c>
      <c r="D5118" s="12" t="s">
        <v>64</v>
      </c>
      <c r="E5118" s="12" t="s">
        <v>142</v>
      </c>
      <c r="F5118">
        <v>1</v>
      </c>
      <c r="G5118">
        <v>7</v>
      </c>
      <c r="H5118">
        <v>1</v>
      </c>
      <c r="I5118" s="12" t="s">
        <v>143</v>
      </c>
      <c r="J5118" s="12" t="s">
        <v>144</v>
      </c>
      <c r="K5118" s="12" t="s">
        <v>133</v>
      </c>
      <c r="L5118" s="12" t="s">
        <v>96</v>
      </c>
      <c r="M5118">
        <v>5.43</v>
      </c>
      <c r="N5118" s="12" t="s">
        <v>97</v>
      </c>
      <c r="O5118" s="12" t="s">
        <v>98</v>
      </c>
      <c r="P5118" s="12" t="s">
        <v>72</v>
      </c>
      <c r="Q5118" s="13">
        <v>45820</v>
      </c>
      <c r="R5118" s="13">
        <v>45855</v>
      </c>
      <c r="S5118">
        <v>2025</v>
      </c>
      <c r="T5118" s="12" t="s">
        <v>6113</v>
      </c>
      <c r="U5118">
        <v>137</v>
      </c>
      <c r="V5118">
        <v>39.226399999999998</v>
      </c>
      <c r="W5118">
        <v>120.79</v>
      </c>
      <c r="X5118">
        <v>163.80000000000001</v>
      </c>
      <c r="Y5118">
        <v>1</v>
      </c>
      <c r="Z5118">
        <v>5374.02</v>
      </c>
      <c r="AA5118">
        <v>5658.61</v>
      </c>
      <c r="AB5118" s="12" t="s">
        <v>5324</v>
      </c>
      <c r="AC5118">
        <v>39.226399999999998</v>
      </c>
      <c r="AD5118">
        <v>1</v>
      </c>
      <c r="AE5118">
        <v>1</v>
      </c>
      <c r="AF5118">
        <v>0</v>
      </c>
      <c r="AG5118">
        <v>5374.02</v>
      </c>
      <c r="AH5118">
        <v>137</v>
      </c>
      <c r="AI5118">
        <v>136</v>
      </c>
      <c r="AJ5118">
        <v>1</v>
      </c>
      <c r="AK5118">
        <v>1</v>
      </c>
      <c r="AL5118">
        <v>1</v>
      </c>
      <c r="AM5118">
        <v>99.27</v>
      </c>
      <c r="AN5118">
        <v>41.607399999999998</v>
      </c>
      <c r="AO5118">
        <v>39.229999999999997</v>
      </c>
      <c r="AP5118" s="13">
        <v>45852</v>
      </c>
      <c r="AQ5118">
        <v>-3</v>
      </c>
      <c r="AR5118">
        <v>1</v>
      </c>
    </row>
    <row r="5119" spans="1:44" x14ac:dyDescent="0.35">
      <c r="A5119" s="12" t="s">
        <v>6202</v>
      </c>
      <c r="B5119" s="12" t="s">
        <v>284</v>
      </c>
      <c r="C5119" s="12" t="s">
        <v>285</v>
      </c>
      <c r="D5119" s="12" t="s">
        <v>269</v>
      </c>
      <c r="E5119" s="12" t="s">
        <v>104</v>
      </c>
      <c r="F5119">
        <v>3</v>
      </c>
      <c r="G5119">
        <v>1</v>
      </c>
      <c r="H5119">
        <v>0</v>
      </c>
      <c r="I5119" s="12" t="s">
        <v>199</v>
      </c>
      <c r="J5119" s="12" t="s">
        <v>200</v>
      </c>
      <c r="K5119" s="12" t="s">
        <v>68</v>
      </c>
      <c r="L5119" s="12" t="s">
        <v>96</v>
      </c>
      <c r="M5119">
        <v>9.4700000000000006</v>
      </c>
      <c r="N5119" s="12" t="s">
        <v>135</v>
      </c>
      <c r="O5119" s="12" t="s">
        <v>136</v>
      </c>
      <c r="P5119" s="12" t="s">
        <v>137</v>
      </c>
      <c r="Q5119" s="13">
        <v>45821</v>
      </c>
      <c r="R5119" s="13">
        <v>45850</v>
      </c>
      <c r="S5119">
        <v>2025</v>
      </c>
      <c r="T5119" s="12" t="s">
        <v>6113</v>
      </c>
      <c r="U5119">
        <v>148</v>
      </c>
      <c r="V5119">
        <v>387.66269999999997</v>
      </c>
      <c r="W5119">
        <v>383.78</v>
      </c>
      <c r="X5119">
        <v>0</v>
      </c>
      <c r="Y5119">
        <v>0</v>
      </c>
      <c r="Z5119">
        <v>57374.080000000002</v>
      </c>
      <c r="AA5119">
        <v>57757.86</v>
      </c>
      <c r="AB5119" s="12" t="s">
        <v>201</v>
      </c>
      <c r="AD5119">
        <v>0</v>
      </c>
      <c r="AE5119">
        <v>0</v>
      </c>
      <c r="AH5119">
        <v>148</v>
      </c>
      <c r="AI5119">
        <v>147</v>
      </c>
      <c r="AJ5119">
        <v>1</v>
      </c>
      <c r="AK5119">
        <v>1</v>
      </c>
      <c r="AL5119">
        <v>1</v>
      </c>
      <c r="AM5119">
        <v>99.32</v>
      </c>
      <c r="AN5119">
        <v>392.91059999999999</v>
      </c>
      <c r="AO5119">
        <v>387.66</v>
      </c>
      <c r="AP5119" s="13">
        <v>45852</v>
      </c>
      <c r="AQ5119">
        <v>2</v>
      </c>
      <c r="AR5119">
        <v>0</v>
      </c>
    </row>
    <row r="5120" spans="1:44" x14ac:dyDescent="0.35">
      <c r="A5120" s="12" t="s">
        <v>6203</v>
      </c>
      <c r="B5120" s="12" t="s">
        <v>267</v>
      </c>
      <c r="C5120" s="12" t="s">
        <v>268</v>
      </c>
      <c r="D5120" s="12" t="s">
        <v>269</v>
      </c>
      <c r="E5120" s="12" t="s">
        <v>142</v>
      </c>
      <c r="F5120">
        <v>1</v>
      </c>
      <c r="G5120">
        <v>8</v>
      </c>
      <c r="H5120">
        <v>1</v>
      </c>
      <c r="I5120" s="12" t="s">
        <v>94</v>
      </c>
      <c r="J5120" s="12" t="s">
        <v>95</v>
      </c>
      <c r="K5120" s="12" t="s">
        <v>81</v>
      </c>
      <c r="L5120" s="12" t="s">
        <v>96</v>
      </c>
      <c r="M5120">
        <v>4.8099999999999996</v>
      </c>
      <c r="N5120" s="12" t="s">
        <v>159</v>
      </c>
      <c r="O5120" s="12" t="s">
        <v>160</v>
      </c>
      <c r="P5120" s="12" t="s">
        <v>137</v>
      </c>
      <c r="Q5120" s="13">
        <v>45821</v>
      </c>
      <c r="R5120" s="13">
        <v>45872</v>
      </c>
      <c r="S5120">
        <v>2025</v>
      </c>
      <c r="T5120" s="12" t="s">
        <v>6113</v>
      </c>
      <c r="U5120">
        <v>137</v>
      </c>
      <c r="V5120">
        <v>227.1309</v>
      </c>
      <c r="W5120">
        <v>654.99</v>
      </c>
      <c r="X5120">
        <v>0</v>
      </c>
      <c r="Y5120">
        <v>0</v>
      </c>
      <c r="Z5120">
        <v>31116.93</v>
      </c>
      <c r="AA5120">
        <v>31771.919999999998</v>
      </c>
      <c r="AB5120" s="12" t="s">
        <v>201</v>
      </c>
      <c r="AD5120">
        <v>0</v>
      </c>
      <c r="AE5120">
        <v>0</v>
      </c>
      <c r="AH5120">
        <v>137</v>
      </c>
      <c r="AI5120">
        <v>136</v>
      </c>
      <c r="AJ5120">
        <v>1</v>
      </c>
      <c r="AK5120">
        <v>1</v>
      </c>
      <c r="AL5120">
        <v>1</v>
      </c>
      <c r="AM5120">
        <v>99.27</v>
      </c>
      <c r="AN5120">
        <v>233.61709999999999</v>
      </c>
      <c r="AO5120">
        <v>227.13</v>
      </c>
      <c r="AP5120" s="13">
        <v>45880</v>
      </c>
      <c r="AQ5120">
        <v>8</v>
      </c>
      <c r="AR5120">
        <v>0</v>
      </c>
    </row>
    <row r="5121" spans="1:44" x14ac:dyDescent="0.35">
      <c r="A5121" s="12" t="s">
        <v>6204</v>
      </c>
      <c r="B5121" s="12" t="s">
        <v>587</v>
      </c>
      <c r="C5121" s="12" t="s">
        <v>588</v>
      </c>
      <c r="D5121" s="12" t="s">
        <v>122</v>
      </c>
      <c r="E5121" s="12" t="s">
        <v>104</v>
      </c>
      <c r="F5121">
        <v>2</v>
      </c>
      <c r="G5121">
        <v>0</v>
      </c>
      <c r="H5121">
        <v>0</v>
      </c>
      <c r="I5121" s="12" t="s">
        <v>486</v>
      </c>
      <c r="J5121" s="12" t="s">
        <v>487</v>
      </c>
      <c r="K5121" s="12" t="s">
        <v>125</v>
      </c>
      <c r="L5121" s="12" t="s">
        <v>69</v>
      </c>
      <c r="M5121">
        <v>36.86</v>
      </c>
      <c r="N5121" s="12" t="s">
        <v>70</v>
      </c>
      <c r="O5121" s="12" t="s">
        <v>71</v>
      </c>
      <c r="P5121" s="12" t="s">
        <v>72</v>
      </c>
      <c r="Q5121" s="13">
        <v>45821</v>
      </c>
      <c r="R5121" s="13">
        <v>45845</v>
      </c>
      <c r="S5121">
        <v>2025</v>
      </c>
      <c r="T5121" s="12" t="s">
        <v>6113</v>
      </c>
      <c r="U5121">
        <v>1494</v>
      </c>
      <c r="V5121">
        <v>12.908799999999999</v>
      </c>
      <c r="W5121">
        <v>457.25</v>
      </c>
      <c r="X5121">
        <v>0</v>
      </c>
      <c r="Y5121">
        <v>0</v>
      </c>
      <c r="Z5121">
        <v>19285.75</v>
      </c>
      <c r="AA5121">
        <v>19743</v>
      </c>
      <c r="AB5121" s="12" t="s">
        <v>201</v>
      </c>
      <c r="AD5121">
        <v>0</v>
      </c>
      <c r="AE5121">
        <v>0</v>
      </c>
      <c r="AH5121">
        <v>1494</v>
      </c>
      <c r="AI5121">
        <v>1480</v>
      </c>
      <c r="AJ5121">
        <v>14</v>
      </c>
      <c r="AK5121">
        <v>1</v>
      </c>
      <c r="AL5121">
        <v>1</v>
      </c>
      <c r="AM5121">
        <v>99.06</v>
      </c>
      <c r="AN5121">
        <v>13.3399</v>
      </c>
      <c r="AO5121">
        <v>180.72</v>
      </c>
      <c r="AP5121" s="13">
        <v>45842</v>
      </c>
      <c r="AQ5121">
        <v>-3</v>
      </c>
      <c r="AR5121">
        <v>1</v>
      </c>
    </row>
    <row r="5122" spans="1:44" x14ac:dyDescent="0.35">
      <c r="A5122" s="12" t="s">
        <v>6205</v>
      </c>
      <c r="B5122" s="12" t="s">
        <v>317</v>
      </c>
      <c r="C5122" s="12" t="s">
        <v>318</v>
      </c>
      <c r="D5122" s="12" t="s">
        <v>64</v>
      </c>
      <c r="E5122" s="12" t="s">
        <v>104</v>
      </c>
      <c r="F5122">
        <v>2</v>
      </c>
      <c r="G5122">
        <v>0</v>
      </c>
      <c r="H5122">
        <v>0</v>
      </c>
      <c r="I5122" s="12" t="s">
        <v>169</v>
      </c>
      <c r="J5122" s="12" t="s">
        <v>170</v>
      </c>
      <c r="K5122" s="12" t="s">
        <v>89</v>
      </c>
      <c r="L5122" s="12" t="s">
        <v>134</v>
      </c>
      <c r="M5122">
        <v>1.37</v>
      </c>
      <c r="N5122" s="12" t="s">
        <v>70</v>
      </c>
      <c r="O5122" s="12" t="s">
        <v>71</v>
      </c>
      <c r="P5122" s="12" t="s">
        <v>72</v>
      </c>
      <c r="Q5122" s="13">
        <v>45824</v>
      </c>
      <c r="R5122" s="13">
        <v>45839</v>
      </c>
      <c r="S5122">
        <v>2025</v>
      </c>
      <c r="T5122" s="12" t="s">
        <v>6113</v>
      </c>
      <c r="U5122">
        <v>260</v>
      </c>
      <c r="V5122">
        <v>15.823399999999999</v>
      </c>
      <c r="W5122">
        <v>90.86</v>
      </c>
      <c r="X5122">
        <v>0</v>
      </c>
      <c r="Y5122">
        <v>0</v>
      </c>
      <c r="Z5122">
        <v>4114.08</v>
      </c>
      <c r="AA5122">
        <v>4204.9399999999996</v>
      </c>
      <c r="AB5122" s="12" t="s">
        <v>5518</v>
      </c>
      <c r="AC5122">
        <v>15.823399999999999</v>
      </c>
      <c r="AD5122">
        <v>1</v>
      </c>
      <c r="AE5122">
        <v>1</v>
      </c>
      <c r="AF5122">
        <v>0</v>
      </c>
      <c r="AG5122">
        <v>4114.08</v>
      </c>
      <c r="AH5122">
        <v>260</v>
      </c>
      <c r="AI5122">
        <v>257</v>
      </c>
      <c r="AJ5122">
        <v>3</v>
      </c>
      <c r="AK5122">
        <v>1</v>
      </c>
      <c r="AL5122">
        <v>1</v>
      </c>
      <c r="AM5122">
        <v>98.85</v>
      </c>
      <c r="AN5122">
        <v>16.361599999999999</v>
      </c>
      <c r="AO5122">
        <v>47.47</v>
      </c>
      <c r="AP5122" s="13">
        <v>45838</v>
      </c>
      <c r="AQ5122">
        <v>-1</v>
      </c>
      <c r="AR5122">
        <v>1</v>
      </c>
    </row>
    <row r="5123" spans="1:44" x14ac:dyDescent="0.35">
      <c r="A5123" s="12" t="s">
        <v>6206</v>
      </c>
      <c r="B5123" s="12" t="s">
        <v>404</v>
      </c>
      <c r="C5123" s="12" t="s">
        <v>405</v>
      </c>
      <c r="D5123" s="12" t="s">
        <v>269</v>
      </c>
      <c r="E5123" s="12" t="s">
        <v>65</v>
      </c>
      <c r="F5123">
        <v>3</v>
      </c>
      <c r="G5123">
        <v>5</v>
      </c>
      <c r="H5123">
        <v>0</v>
      </c>
      <c r="I5123" s="12" t="s">
        <v>79</v>
      </c>
      <c r="J5123" s="12" t="s">
        <v>80</v>
      </c>
      <c r="K5123" s="12" t="s">
        <v>81</v>
      </c>
      <c r="L5123" s="12" t="s">
        <v>82</v>
      </c>
      <c r="M5123">
        <v>12.07</v>
      </c>
      <c r="N5123" s="12" t="s">
        <v>135</v>
      </c>
      <c r="O5123" s="12" t="s">
        <v>136</v>
      </c>
      <c r="P5123" s="12" t="s">
        <v>137</v>
      </c>
      <c r="Q5123" s="13">
        <v>45824</v>
      </c>
      <c r="R5123" s="13">
        <v>45858</v>
      </c>
      <c r="S5123">
        <v>2025</v>
      </c>
      <c r="T5123" s="12" t="s">
        <v>6113</v>
      </c>
      <c r="U5123">
        <v>116</v>
      </c>
      <c r="V5123">
        <v>430.10059999999999</v>
      </c>
      <c r="W5123">
        <v>346.27</v>
      </c>
      <c r="X5123">
        <v>0</v>
      </c>
      <c r="Y5123">
        <v>0</v>
      </c>
      <c r="Z5123">
        <v>49891.67</v>
      </c>
      <c r="AA5123">
        <v>50237.94</v>
      </c>
      <c r="AB5123" s="12" t="s">
        <v>5503</v>
      </c>
      <c r="AC5123">
        <v>430.10059999999999</v>
      </c>
      <c r="AD5123">
        <v>1</v>
      </c>
      <c r="AE5123">
        <v>1</v>
      </c>
      <c r="AF5123">
        <v>0</v>
      </c>
      <c r="AG5123">
        <v>49891.67</v>
      </c>
      <c r="AH5123">
        <v>116</v>
      </c>
      <c r="AI5123">
        <v>114</v>
      </c>
      <c r="AJ5123">
        <v>2</v>
      </c>
      <c r="AK5123">
        <v>1</v>
      </c>
      <c r="AL5123">
        <v>1</v>
      </c>
      <c r="AM5123">
        <v>98.28</v>
      </c>
      <c r="AN5123">
        <v>440.68369999999999</v>
      </c>
      <c r="AO5123">
        <v>860.2</v>
      </c>
      <c r="AP5123" s="13">
        <v>45862</v>
      </c>
      <c r="AQ5123">
        <v>4</v>
      </c>
      <c r="AR5123">
        <v>0</v>
      </c>
    </row>
    <row r="5124" spans="1:44" x14ac:dyDescent="0.35">
      <c r="A5124" s="12" t="s">
        <v>6207</v>
      </c>
      <c r="B5124" s="12" t="s">
        <v>437</v>
      </c>
      <c r="C5124" s="12" t="s">
        <v>438</v>
      </c>
      <c r="D5124" s="12" t="s">
        <v>269</v>
      </c>
      <c r="E5124" s="12" t="s">
        <v>65</v>
      </c>
      <c r="F5124">
        <v>2</v>
      </c>
      <c r="G5124">
        <v>4</v>
      </c>
      <c r="H5124">
        <v>0</v>
      </c>
      <c r="I5124" s="12" t="s">
        <v>115</v>
      </c>
      <c r="J5124" s="12" t="s">
        <v>116</v>
      </c>
      <c r="K5124" s="12" t="s">
        <v>117</v>
      </c>
      <c r="L5124" s="12" t="s">
        <v>82</v>
      </c>
      <c r="M5124">
        <v>17.170000000000002</v>
      </c>
      <c r="N5124" s="12" t="s">
        <v>135</v>
      </c>
      <c r="O5124" s="12" t="s">
        <v>136</v>
      </c>
      <c r="P5124" s="12" t="s">
        <v>137</v>
      </c>
      <c r="Q5124" s="13">
        <v>45824</v>
      </c>
      <c r="R5124" s="13">
        <v>45859</v>
      </c>
      <c r="S5124">
        <v>2025</v>
      </c>
      <c r="T5124" s="12" t="s">
        <v>6113</v>
      </c>
      <c r="U5124">
        <v>121</v>
      </c>
      <c r="V5124">
        <v>385.00290000000001</v>
      </c>
      <c r="W5124">
        <v>546.61</v>
      </c>
      <c r="X5124">
        <v>0</v>
      </c>
      <c r="Y5124">
        <v>0</v>
      </c>
      <c r="Z5124">
        <v>46585.35</v>
      </c>
      <c r="AA5124">
        <v>47131.96</v>
      </c>
      <c r="AB5124" s="12" t="s">
        <v>5505</v>
      </c>
      <c r="AC5124">
        <v>409.1377</v>
      </c>
      <c r="AD5124">
        <v>1</v>
      </c>
      <c r="AE5124">
        <v>1</v>
      </c>
      <c r="AF5124">
        <v>-2920.31</v>
      </c>
      <c r="AG5124">
        <v>49505.66</v>
      </c>
      <c r="AH5124">
        <v>121</v>
      </c>
      <c r="AI5124">
        <v>120</v>
      </c>
      <c r="AJ5124">
        <v>1</v>
      </c>
      <c r="AK5124">
        <v>1</v>
      </c>
      <c r="AL5124">
        <v>1</v>
      </c>
      <c r="AM5124">
        <v>99.17</v>
      </c>
      <c r="AN5124">
        <v>392.7663</v>
      </c>
      <c r="AO5124">
        <v>385</v>
      </c>
      <c r="AP5124" s="13">
        <v>45857</v>
      </c>
      <c r="AQ5124">
        <v>-2</v>
      </c>
      <c r="AR5124">
        <v>1</v>
      </c>
    </row>
    <row r="5125" spans="1:44" x14ac:dyDescent="0.35">
      <c r="A5125" s="12" t="s">
        <v>6208</v>
      </c>
      <c r="B5125" s="12" t="s">
        <v>412</v>
      </c>
      <c r="C5125" s="12" t="s">
        <v>413</v>
      </c>
      <c r="D5125" s="12" t="s">
        <v>269</v>
      </c>
      <c r="E5125" s="12" t="s">
        <v>65</v>
      </c>
      <c r="F5125">
        <v>1</v>
      </c>
      <c r="G5125">
        <v>2</v>
      </c>
      <c r="H5125">
        <v>1</v>
      </c>
      <c r="I5125" s="12" t="s">
        <v>233</v>
      </c>
      <c r="J5125" s="12" t="s">
        <v>234</v>
      </c>
      <c r="K5125" s="12" t="s">
        <v>125</v>
      </c>
      <c r="L5125" s="12" t="s">
        <v>96</v>
      </c>
      <c r="M5125">
        <v>3.73</v>
      </c>
      <c r="N5125" s="12" t="s">
        <v>135</v>
      </c>
      <c r="O5125" s="12" t="s">
        <v>136</v>
      </c>
      <c r="P5125" s="12" t="s">
        <v>137</v>
      </c>
      <c r="Q5125" s="13">
        <v>45824</v>
      </c>
      <c r="R5125" s="13">
        <v>45846</v>
      </c>
      <c r="S5125">
        <v>2025</v>
      </c>
      <c r="T5125" s="12" t="s">
        <v>6113</v>
      </c>
      <c r="U5125">
        <v>21</v>
      </c>
      <c r="V5125">
        <v>103.87350000000001</v>
      </c>
      <c r="W5125">
        <v>31.03</v>
      </c>
      <c r="X5125">
        <v>0</v>
      </c>
      <c r="Y5125">
        <v>0</v>
      </c>
      <c r="Z5125">
        <v>2181.34</v>
      </c>
      <c r="AA5125">
        <v>2212.37</v>
      </c>
      <c r="AB5125" s="12" t="s">
        <v>5424</v>
      </c>
      <c r="AC5125">
        <v>103.87350000000001</v>
      </c>
      <c r="AD5125">
        <v>1</v>
      </c>
      <c r="AE5125">
        <v>1</v>
      </c>
      <c r="AF5125">
        <v>0</v>
      </c>
      <c r="AG5125">
        <v>2181.34</v>
      </c>
      <c r="AH5125">
        <v>21</v>
      </c>
      <c r="AI5125">
        <v>21</v>
      </c>
      <c r="AJ5125">
        <v>0</v>
      </c>
      <c r="AK5125">
        <v>1</v>
      </c>
      <c r="AL5125">
        <v>1</v>
      </c>
      <c r="AM5125">
        <v>100</v>
      </c>
      <c r="AN5125">
        <v>105.3511</v>
      </c>
      <c r="AO5125">
        <v>0</v>
      </c>
      <c r="AP5125" s="13">
        <v>45844</v>
      </c>
      <c r="AQ5125">
        <v>-2</v>
      </c>
      <c r="AR5125">
        <v>1</v>
      </c>
    </row>
    <row r="5126" spans="1:44" x14ac:dyDescent="0.35">
      <c r="A5126" s="12" t="s">
        <v>6209</v>
      </c>
      <c r="B5126" s="12" t="s">
        <v>416</v>
      </c>
      <c r="C5126" s="12" t="s">
        <v>417</v>
      </c>
      <c r="D5126" s="12" t="s">
        <v>78</v>
      </c>
      <c r="E5126" s="12" t="s">
        <v>65</v>
      </c>
      <c r="F5126">
        <v>3</v>
      </c>
      <c r="G5126">
        <v>5</v>
      </c>
      <c r="H5126">
        <v>0</v>
      </c>
      <c r="I5126" s="12" t="s">
        <v>169</v>
      </c>
      <c r="J5126" s="12" t="s">
        <v>170</v>
      </c>
      <c r="K5126" s="12" t="s">
        <v>89</v>
      </c>
      <c r="L5126" s="12" t="s">
        <v>134</v>
      </c>
      <c r="M5126">
        <v>1.37</v>
      </c>
      <c r="N5126" s="12" t="s">
        <v>70</v>
      </c>
      <c r="O5126" s="12" t="s">
        <v>71</v>
      </c>
      <c r="P5126" s="12" t="s">
        <v>72</v>
      </c>
      <c r="Q5126" s="13">
        <v>45824</v>
      </c>
      <c r="R5126" s="13">
        <v>45858</v>
      </c>
      <c r="S5126">
        <v>2025</v>
      </c>
      <c r="T5126" s="12" t="s">
        <v>6113</v>
      </c>
      <c r="U5126">
        <v>233</v>
      </c>
      <c r="V5126">
        <v>129.0615</v>
      </c>
      <c r="W5126">
        <v>216.21</v>
      </c>
      <c r="X5126">
        <v>0</v>
      </c>
      <c r="Y5126">
        <v>0</v>
      </c>
      <c r="Z5126">
        <v>30071.33</v>
      </c>
      <c r="AA5126">
        <v>30287.54</v>
      </c>
      <c r="AB5126" s="12" t="s">
        <v>5522</v>
      </c>
      <c r="AC5126">
        <v>129.0615</v>
      </c>
      <c r="AD5126">
        <v>1</v>
      </c>
      <c r="AE5126">
        <v>1</v>
      </c>
      <c r="AF5126">
        <v>0</v>
      </c>
      <c r="AG5126">
        <v>30071.33</v>
      </c>
      <c r="AH5126">
        <v>233</v>
      </c>
      <c r="AI5126">
        <v>228</v>
      </c>
      <c r="AJ5126">
        <v>5</v>
      </c>
      <c r="AK5126">
        <v>1</v>
      </c>
      <c r="AL5126">
        <v>1</v>
      </c>
      <c r="AM5126">
        <v>97.85</v>
      </c>
      <c r="AN5126">
        <v>132.84010000000001</v>
      </c>
      <c r="AO5126">
        <v>645.30999999999995</v>
      </c>
      <c r="AP5126" s="13">
        <v>45867</v>
      </c>
      <c r="AQ5126">
        <v>9</v>
      </c>
      <c r="AR5126">
        <v>0</v>
      </c>
    </row>
    <row r="5127" spans="1:44" x14ac:dyDescent="0.35">
      <c r="A5127" s="12" t="s">
        <v>6210</v>
      </c>
      <c r="B5127" s="12" t="s">
        <v>465</v>
      </c>
      <c r="C5127" s="12" t="s">
        <v>466</v>
      </c>
      <c r="D5127" s="12" t="s">
        <v>78</v>
      </c>
      <c r="E5127" s="12" t="s">
        <v>142</v>
      </c>
      <c r="F5127">
        <v>3</v>
      </c>
      <c r="G5127">
        <v>11</v>
      </c>
      <c r="H5127">
        <v>0</v>
      </c>
      <c r="I5127" s="12" t="s">
        <v>341</v>
      </c>
      <c r="J5127" s="12" t="s">
        <v>342</v>
      </c>
      <c r="K5127" s="12" t="s">
        <v>117</v>
      </c>
      <c r="L5127" s="12" t="s">
        <v>82</v>
      </c>
      <c r="M5127">
        <v>18.36</v>
      </c>
      <c r="N5127" s="12" t="s">
        <v>97</v>
      </c>
      <c r="O5127" s="12" t="s">
        <v>98</v>
      </c>
      <c r="P5127" s="12" t="s">
        <v>72</v>
      </c>
      <c r="Q5127" s="13">
        <v>45824</v>
      </c>
      <c r="R5127" s="13">
        <v>45876</v>
      </c>
      <c r="S5127">
        <v>2025</v>
      </c>
      <c r="T5127" s="12" t="s">
        <v>6113</v>
      </c>
      <c r="U5127">
        <v>297</v>
      </c>
      <c r="V5127">
        <v>106.0159</v>
      </c>
      <c r="W5127">
        <v>688.34</v>
      </c>
      <c r="X5127">
        <v>0</v>
      </c>
      <c r="Y5127">
        <v>0</v>
      </c>
      <c r="Z5127">
        <v>31486.720000000001</v>
      </c>
      <c r="AA5127">
        <v>32175.06</v>
      </c>
      <c r="AB5127" s="12" t="s">
        <v>6211</v>
      </c>
      <c r="AC5127">
        <v>106.0159</v>
      </c>
      <c r="AD5127">
        <v>1</v>
      </c>
      <c r="AE5127">
        <v>1</v>
      </c>
      <c r="AF5127">
        <v>0</v>
      </c>
      <c r="AG5127">
        <v>31486.720000000001</v>
      </c>
      <c r="AH5127">
        <v>297</v>
      </c>
      <c r="AI5127">
        <v>293</v>
      </c>
      <c r="AJ5127">
        <v>4</v>
      </c>
      <c r="AK5127">
        <v>1</v>
      </c>
      <c r="AL5127">
        <v>1</v>
      </c>
      <c r="AM5127">
        <v>98.65</v>
      </c>
      <c r="AN5127">
        <v>109.8125</v>
      </c>
      <c r="AO5127">
        <v>424.06</v>
      </c>
      <c r="AP5127" s="13">
        <v>45876</v>
      </c>
      <c r="AQ5127">
        <v>0</v>
      </c>
      <c r="AR5127">
        <v>1</v>
      </c>
    </row>
    <row r="5128" spans="1:44" x14ac:dyDescent="0.35">
      <c r="A5128" s="12" t="s">
        <v>6212</v>
      </c>
      <c r="B5128" s="12" t="s">
        <v>249</v>
      </c>
      <c r="C5128" s="12" t="s">
        <v>250</v>
      </c>
      <c r="D5128" s="12" t="s">
        <v>64</v>
      </c>
      <c r="E5128" s="12" t="s">
        <v>65</v>
      </c>
      <c r="F5128">
        <v>2</v>
      </c>
      <c r="G5128">
        <v>3</v>
      </c>
      <c r="H5128">
        <v>0</v>
      </c>
      <c r="I5128" s="12" t="s">
        <v>251</v>
      </c>
      <c r="J5128" s="12" t="s">
        <v>252</v>
      </c>
      <c r="K5128" s="12" t="s">
        <v>133</v>
      </c>
      <c r="L5128" s="12" t="s">
        <v>69</v>
      </c>
      <c r="M5128">
        <v>34.49</v>
      </c>
      <c r="N5128" s="12" t="s">
        <v>70</v>
      </c>
      <c r="O5128" s="12" t="s">
        <v>71</v>
      </c>
      <c r="P5128" s="12" t="s">
        <v>72</v>
      </c>
      <c r="Q5128" s="13">
        <v>45824</v>
      </c>
      <c r="R5128" s="13">
        <v>45853</v>
      </c>
      <c r="S5128">
        <v>2025</v>
      </c>
      <c r="T5128" s="12" t="s">
        <v>6113</v>
      </c>
      <c r="U5128">
        <v>526</v>
      </c>
      <c r="V5128">
        <v>9.3600999999999992</v>
      </c>
      <c r="W5128">
        <v>75.739999999999995</v>
      </c>
      <c r="X5128">
        <v>0</v>
      </c>
      <c r="Y5128">
        <v>0</v>
      </c>
      <c r="Z5128">
        <v>4923.41</v>
      </c>
      <c r="AA5128">
        <v>4999.1499999999996</v>
      </c>
      <c r="AB5128" s="12" t="s">
        <v>5207</v>
      </c>
      <c r="AC5128">
        <v>9.9464000000000006</v>
      </c>
      <c r="AD5128">
        <v>1</v>
      </c>
      <c r="AE5128">
        <v>1</v>
      </c>
      <c r="AF5128">
        <v>-308.39</v>
      </c>
      <c r="AG5128">
        <v>5231.8100000000004</v>
      </c>
      <c r="AH5128">
        <v>526</v>
      </c>
      <c r="AI5128">
        <v>523</v>
      </c>
      <c r="AJ5128">
        <v>3</v>
      </c>
      <c r="AK5128">
        <v>1</v>
      </c>
      <c r="AL5128">
        <v>1</v>
      </c>
      <c r="AM5128">
        <v>99.43</v>
      </c>
      <c r="AN5128">
        <v>9.5586000000000002</v>
      </c>
      <c r="AO5128">
        <v>28.08</v>
      </c>
      <c r="AP5128" s="13">
        <v>45852</v>
      </c>
      <c r="AQ5128">
        <v>-1</v>
      </c>
      <c r="AR5128">
        <v>1</v>
      </c>
    </row>
    <row r="5129" spans="1:44" x14ac:dyDescent="0.35">
      <c r="A5129" s="12" t="s">
        <v>6213</v>
      </c>
      <c r="B5129" s="12" t="s">
        <v>876</v>
      </c>
      <c r="C5129" s="12" t="s">
        <v>877</v>
      </c>
      <c r="D5129" s="12" t="s">
        <v>269</v>
      </c>
      <c r="E5129" s="12" t="s">
        <v>142</v>
      </c>
      <c r="F5129">
        <v>3</v>
      </c>
      <c r="G5129">
        <v>11</v>
      </c>
      <c r="H5129">
        <v>0</v>
      </c>
      <c r="I5129" s="12" t="s">
        <v>87</v>
      </c>
      <c r="J5129" s="12" t="s">
        <v>88</v>
      </c>
      <c r="K5129" s="12" t="s">
        <v>89</v>
      </c>
      <c r="L5129" s="12" t="s">
        <v>69</v>
      </c>
      <c r="M5129">
        <v>14.93</v>
      </c>
      <c r="N5129" s="12" t="s">
        <v>159</v>
      </c>
      <c r="O5129" s="12" t="s">
        <v>160</v>
      </c>
      <c r="P5129" s="12" t="s">
        <v>137</v>
      </c>
      <c r="Q5129" s="13">
        <v>45824</v>
      </c>
      <c r="R5129" s="13">
        <v>45865</v>
      </c>
      <c r="S5129">
        <v>2025</v>
      </c>
      <c r="T5129" s="12" t="s">
        <v>6113</v>
      </c>
      <c r="U5129">
        <v>56</v>
      </c>
      <c r="V5129">
        <v>216.1104</v>
      </c>
      <c r="W5129">
        <v>144.83000000000001</v>
      </c>
      <c r="X5129">
        <v>0</v>
      </c>
      <c r="Y5129">
        <v>0</v>
      </c>
      <c r="Z5129">
        <v>12102.18</v>
      </c>
      <c r="AA5129">
        <v>12247.01</v>
      </c>
      <c r="AB5129" s="12" t="s">
        <v>201</v>
      </c>
      <c r="AD5129">
        <v>0</v>
      </c>
      <c r="AE5129">
        <v>0</v>
      </c>
      <c r="AH5129">
        <v>56</v>
      </c>
      <c r="AI5129">
        <v>55</v>
      </c>
      <c r="AJ5129">
        <v>1</v>
      </c>
      <c r="AK5129">
        <v>1</v>
      </c>
      <c r="AL5129">
        <v>1</v>
      </c>
      <c r="AM5129">
        <v>98.21</v>
      </c>
      <c r="AN5129">
        <v>222.673</v>
      </c>
      <c r="AO5129">
        <v>216.11</v>
      </c>
      <c r="AP5129" s="13">
        <v>45871</v>
      </c>
      <c r="AQ5129">
        <v>6</v>
      </c>
      <c r="AR5129">
        <v>0</v>
      </c>
    </row>
    <row r="5130" spans="1:44" x14ac:dyDescent="0.35">
      <c r="A5130" s="12" t="s">
        <v>6214</v>
      </c>
      <c r="B5130" s="12" t="s">
        <v>755</v>
      </c>
      <c r="C5130" s="12" t="s">
        <v>756</v>
      </c>
      <c r="D5130" s="12" t="s">
        <v>78</v>
      </c>
      <c r="E5130" s="12" t="s">
        <v>65</v>
      </c>
      <c r="F5130">
        <v>2</v>
      </c>
      <c r="G5130">
        <v>2</v>
      </c>
      <c r="H5130">
        <v>0</v>
      </c>
      <c r="I5130" s="12" t="s">
        <v>359</v>
      </c>
      <c r="J5130" s="12" t="s">
        <v>360</v>
      </c>
      <c r="K5130" s="12" t="s">
        <v>133</v>
      </c>
      <c r="L5130" s="12" t="s">
        <v>82</v>
      </c>
      <c r="M5130">
        <v>12.65</v>
      </c>
      <c r="N5130" s="12" t="s">
        <v>70</v>
      </c>
      <c r="O5130" s="12" t="s">
        <v>71</v>
      </c>
      <c r="P5130" s="12" t="s">
        <v>72</v>
      </c>
      <c r="Q5130" s="13">
        <v>45824</v>
      </c>
      <c r="R5130" s="13">
        <v>45848</v>
      </c>
      <c r="S5130">
        <v>2025</v>
      </c>
      <c r="T5130" s="12" t="s">
        <v>6113</v>
      </c>
      <c r="U5130">
        <v>96</v>
      </c>
      <c r="V5130">
        <v>40.900399999999998</v>
      </c>
      <c r="W5130">
        <v>63.67</v>
      </c>
      <c r="X5130">
        <v>0</v>
      </c>
      <c r="Y5130">
        <v>0</v>
      </c>
      <c r="Z5130">
        <v>3926.44</v>
      </c>
      <c r="AA5130">
        <v>3990.11</v>
      </c>
      <c r="AB5130" s="12" t="s">
        <v>6215</v>
      </c>
      <c r="AC5130">
        <v>40.900399999999998</v>
      </c>
      <c r="AD5130">
        <v>1</v>
      </c>
      <c r="AE5130">
        <v>1</v>
      </c>
      <c r="AF5130">
        <v>0</v>
      </c>
      <c r="AG5130">
        <v>3926.44</v>
      </c>
      <c r="AH5130">
        <v>96</v>
      </c>
      <c r="AI5130">
        <v>94</v>
      </c>
      <c r="AJ5130">
        <v>2</v>
      </c>
      <c r="AK5130">
        <v>1</v>
      </c>
      <c r="AL5130">
        <v>1</v>
      </c>
      <c r="AM5130">
        <v>97.92</v>
      </c>
      <c r="AN5130">
        <v>42.448</v>
      </c>
      <c r="AO5130">
        <v>81.8</v>
      </c>
      <c r="AP5130" s="13">
        <v>45846</v>
      </c>
      <c r="AQ5130">
        <v>-2</v>
      </c>
      <c r="AR5130">
        <v>1</v>
      </c>
    </row>
    <row r="5131" spans="1:44" x14ac:dyDescent="0.35">
      <c r="A5131" s="12" t="s">
        <v>6216</v>
      </c>
      <c r="B5131" s="12" t="s">
        <v>978</v>
      </c>
      <c r="C5131" s="12" t="s">
        <v>979</v>
      </c>
      <c r="D5131" s="12" t="s">
        <v>122</v>
      </c>
      <c r="E5131" s="12" t="s">
        <v>65</v>
      </c>
      <c r="F5131">
        <v>1</v>
      </c>
      <c r="G5131">
        <v>2</v>
      </c>
      <c r="H5131">
        <v>1</v>
      </c>
      <c r="I5131" s="12" t="s">
        <v>310</v>
      </c>
      <c r="J5131" s="12" t="s">
        <v>311</v>
      </c>
      <c r="K5131" s="12" t="s">
        <v>81</v>
      </c>
      <c r="L5131" s="12" t="s">
        <v>69</v>
      </c>
      <c r="M5131">
        <v>28.3</v>
      </c>
      <c r="N5131" s="12" t="s">
        <v>97</v>
      </c>
      <c r="O5131" s="12" t="s">
        <v>98</v>
      </c>
      <c r="P5131" s="12" t="s">
        <v>72</v>
      </c>
      <c r="Q5131" s="13">
        <v>45824</v>
      </c>
      <c r="R5131" s="13">
        <v>45855</v>
      </c>
      <c r="S5131">
        <v>2025</v>
      </c>
      <c r="T5131" s="12" t="s">
        <v>6113</v>
      </c>
      <c r="U5131">
        <v>1217</v>
      </c>
      <c r="V5131">
        <v>43.4407</v>
      </c>
      <c r="W5131">
        <v>1102.02</v>
      </c>
      <c r="X5131">
        <v>0</v>
      </c>
      <c r="Y5131">
        <v>0</v>
      </c>
      <c r="Z5131">
        <v>52867.33</v>
      </c>
      <c r="AA5131">
        <v>53969.35</v>
      </c>
      <c r="AB5131" s="12" t="s">
        <v>6061</v>
      </c>
      <c r="AC5131">
        <v>43.4407</v>
      </c>
      <c r="AD5131">
        <v>1</v>
      </c>
      <c r="AE5131">
        <v>1</v>
      </c>
      <c r="AF5131">
        <v>0</v>
      </c>
      <c r="AG5131">
        <v>52867.33</v>
      </c>
      <c r="AH5131">
        <v>1217</v>
      </c>
      <c r="AI5131">
        <v>1210</v>
      </c>
      <c r="AJ5131">
        <v>7</v>
      </c>
      <c r="AK5131">
        <v>1</v>
      </c>
      <c r="AL5131">
        <v>1</v>
      </c>
      <c r="AM5131">
        <v>99.42</v>
      </c>
      <c r="AN5131">
        <v>44.602800000000002</v>
      </c>
      <c r="AO5131">
        <v>304.08</v>
      </c>
      <c r="AP5131" s="13">
        <v>45852</v>
      </c>
      <c r="AQ5131">
        <v>-3</v>
      </c>
      <c r="AR5131">
        <v>1</v>
      </c>
    </row>
    <row r="5132" spans="1:44" x14ac:dyDescent="0.35">
      <c r="A5132" s="12" t="s">
        <v>6217</v>
      </c>
      <c r="B5132" s="12" t="s">
        <v>823</v>
      </c>
      <c r="C5132" s="12" t="s">
        <v>824</v>
      </c>
      <c r="D5132" s="12" t="s">
        <v>114</v>
      </c>
      <c r="E5132" s="12" t="s">
        <v>142</v>
      </c>
      <c r="F5132">
        <v>1</v>
      </c>
      <c r="G5132">
        <v>8</v>
      </c>
      <c r="H5132">
        <v>1</v>
      </c>
      <c r="I5132" s="12" t="s">
        <v>515</v>
      </c>
      <c r="J5132" s="12" t="s">
        <v>516</v>
      </c>
      <c r="K5132" s="12" t="s">
        <v>68</v>
      </c>
      <c r="L5132" s="12" t="s">
        <v>134</v>
      </c>
      <c r="M5132">
        <v>3.69</v>
      </c>
      <c r="N5132" s="12" t="s">
        <v>70</v>
      </c>
      <c r="O5132" s="12" t="s">
        <v>71</v>
      </c>
      <c r="P5132" s="12" t="s">
        <v>72</v>
      </c>
      <c r="Q5132" s="13">
        <v>45824</v>
      </c>
      <c r="R5132" s="13">
        <v>45873</v>
      </c>
      <c r="S5132">
        <v>2025</v>
      </c>
      <c r="T5132" s="12" t="s">
        <v>6113</v>
      </c>
      <c r="U5132">
        <v>125</v>
      </c>
      <c r="V5132">
        <v>361.69060000000002</v>
      </c>
      <c r="W5132">
        <v>816.15</v>
      </c>
      <c r="X5132">
        <v>0</v>
      </c>
      <c r="Y5132">
        <v>0</v>
      </c>
      <c r="Z5132">
        <v>45211.33</v>
      </c>
      <c r="AA5132">
        <v>46027.48</v>
      </c>
      <c r="AB5132" s="12" t="s">
        <v>5883</v>
      </c>
      <c r="AC5132">
        <v>361.69060000000002</v>
      </c>
      <c r="AD5132">
        <v>1</v>
      </c>
      <c r="AE5132">
        <v>1</v>
      </c>
      <c r="AF5132">
        <v>0</v>
      </c>
      <c r="AG5132">
        <v>45211.33</v>
      </c>
      <c r="AH5132">
        <v>125</v>
      </c>
      <c r="AI5132">
        <v>123</v>
      </c>
      <c r="AJ5132">
        <v>2</v>
      </c>
      <c r="AK5132">
        <v>1</v>
      </c>
      <c r="AL5132">
        <v>1</v>
      </c>
      <c r="AM5132">
        <v>98.4</v>
      </c>
      <c r="AN5132">
        <v>374.20710000000003</v>
      </c>
      <c r="AO5132">
        <v>723.38</v>
      </c>
      <c r="AP5132" s="13">
        <v>45872</v>
      </c>
      <c r="AQ5132">
        <v>-1</v>
      </c>
      <c r="AR5132">
        <v>1</v>
      </c>
    </row>
    <row r="5133" spans="1:44" x14ac:dyDescent="0.35">
      <c r="A5133" s="12" t="s">
        <v>6218</v>
      </c>
      <c r="B5133" s="12" t="s">
        <v>458</v>
      </c>
      <c r="C5133" s="12" t="s">
        <v>459</v>
      </c>
      <c r="D5133" s="12" t="s">
        <v>64</v>
      </c>
      <c r="E5133" s="12" t="s">
        <v>104</v>
      </c>
      <c r="F5133">
        <v>2</v>
      </c>
      <c r="G5133">
        <v>0</v>
      </c>
      <c r="H5133">
        <v>0</v>
      </c>
      <c r="I5133" s="12" t="s">
        <v>199</v>
      </c>
      <c r="J5133" s="12" t="s">
        <v>200</v>
      </c>
      <c r="K5133" s="12" t="s">
        <v>68</v>
      </c>
      <c r="L5133" s="12" t="s">
        <v>96</v>
      </c>
      <c r="M5133">
        <v>9.4700000000000006</v>
      </c>
      <c r="N5133" s="12" t="s">
        <v>70</v>
      </c>
      <c r="O5133" s="12" t="s">
        <v>71</v>
      </c>
      <c r="P5133" s="12" t="s">
        <v>72</v>
      </c>
      <c r="Q5133" s="13">
        <v>45824</v>
      </c>
      <c r="R5133" s="13">
        <v>45852</v>
      </c>
      <c r="S5133">
        <v>2025</v>
      </c>
      <c r="T5133" s="12" t="s">
        <v>6113</v>
      </c>
      <c r="U5133">
        <v>932</v>
      </c>
      <c r="V5133">
        <v>21.352799999999998</v>
      </c>
      <c r="W5133">
        <v>446.79</v>
      </c>
      <c r="X5133">
        <v>0</v>
      </c>
      <c r="Y5133">
        <v>0</v>
      </c>
      <c r="Z5133">
        <v>19900.810000000001</v>
      </c>
      <c r="AA5133">
        <v>20347.599999999999</v>
      </c>
      <c r="AB5133" s="12" t="s">
        <v>5527</v>
      </c>
      <c r="AC5133">
        <v>21.352799999999998</v>
      </c>
      <c r="AD5133">
        <v>1</v>
      </c>
      <c r="AE5133">
        <v>1</v>
      </c>
      <c r="AF5133">
        <v>0</v>
      </c>
      <c r="AG5133">
        <v>19900.810000000001</v>
      </c>
      <c r="AH5133">
        <v>932</v>
      </c>
      <c r="AI5133">
        <v>926</v>
      </c>
      <c r="AJ5133">
        <v>6</v>
      </c>
      <c r="AK5133">
        <v>1</v>
      </c>
      <c r="AL5133">
        <v>1</v>
      </c>
      <c r="AM5133">
        <v>99.36</v>
      </c>
      <c r="AN5133">
        <v>21.973600000000001</v>
      </c>
      <c r="AO5133">
        <v>128.12</v>
      </c>
      <c r="AP5133" s="13">
        <v>45855</v>
      </c>
      <c r="AQ5133">
        <v>3</v>
      </c>
      <c r="AR5133">
        <v>0</v>
      </c>
    </row>
    <row r="5134" spans="1:44" x14ac:dyDescent="0.35">
      <c r="A5134" s="12" t="s">
        <v>6219</v>
      </c>
      <c r="B5134" s="12" t="s">
        <v>544</v>
      </c>
      <c r="C5134" s="12" t="s">
        <v>545</v>
      </c>
      <c r="D5134" s="12" t="s">
        <v>175</v>
      </c>
      <c r="E5134" s="12" t="s">
        <v>65</v>
      </c>
      <c r="F5134">
        <v>3</v>
      </c>
      <c r="G5134">
        <v>5</v>
      </c>
      <c r="H5134">
        <v>0</v>
      </c>
      <c r="I5134" s="12" t="s">
        <v>66</v>
      </c>
      <c r="J5134" s="12" t="s">
        <v>67</v>
      </c>
      <c r="K5134" s="12" t="s">
        <v>68</v>
      </c>
      <c r="L5134" s="12" t="s">
        <v>69</v>
      </c>
      <c r="M5134">
        <v>17.66</v>
      </c>
      <c r="N5134" s="12" t="s">
        <v>107</v>
      </c>
      <c r="O5134" s="12" t="s">
        <v>108</v>
      </c>
      <c r="P5134" s="12" t="s">
        <v>109</v>
      </c>
      <c r="Q5134" s="13">
        <v>45825</v>
      </c>
      <c r="R5134" s="13">
        <v>45849</v>
      </c>
      <c r="S5134">
        <v>2025</v>
      </c>
      <c r="T5134" s="12" t="s">
        <v>6113</v>
      </c>
      <c r="U5134">
        <v>38</v>
      </c>
      <c r="V5134">
        <v>158.88130000000001</v>
      </c>
      <c r="W5134">
        <v>111.01</v>
      </c>
      <c r="X5134">
        <v>0</v>
      </c>
      <c r="Y5134">
        <v>0</v>
      </c>
      <c r="Z5134">
        <v>6037.49</v>
      </c>
      <c r="AA5134">
        <v>6148.5</v>
      </c>
      <c r="AB5134" s="12" t="s">
        <v>201</v>
      </c>
      <c r="AD5134">
        <v>0</v>
      </c>
      <c r="AE5134">
        <v>0</v>
      </c>
      <c r="AH5134">
        <v>38</v>
      </c>
      <c r="AI5134">
        <v>38</v>
      </c>
      <c r="AJ5134">
        <v>0</v>
      </c>
      <c r="AK5134">
        <v>1</v>
      </c>
      <c r="AL5134">
        <v>1</v>
      </c>
      <c r="AM5134">
        <v>100</v>
      </c>
      <c r="AN5134">
        <v>161.80260000000001</v>
      </c>
      <c r="AO5134">
        <v>0</v>
      </c>
      <c r="AP5134" s="13">
        <v>45849</v>
      </c>
      <c r="AQ5134">
        <v>0</v>
      </c>
      <c r="AR5134">
        <v>1</v>
      </c>
    </row>
    <row r="5135" spans="1:44" x14ac:dyDescent="0.35">
      <c r="A5135" s="12" t="s">
        <v>6220</v>
      </c>
      <c r="B5135" s="12" t="s">
        <v>331</v>
      </c>
      <c r="C5135" s="12" t="s">
        <v>332</v>
      </c>
      <c r="D5135" s="12" t="s">
        <v>122</v>
      </c>
      <c r="E5135" s="12" t="s">
        <v>142</v>
      </c>
      <c r="F5135">
        <v>3</v>
      </c>
      <c r="G5135">
        <v>11</v>
      </c>
      <c r="H5135">
        <v>0</v>
      </c>
      <c r="I5135" s="12" t="s">
        <v>66</v>
      </c>
      <c r="J5135" s="12" t="s">
        <v>67</v>
      </c>
      <c r="K5135" s="12" t="s">
        <v>68</v>
      </c>
      <c r="L5135" s="12" t="s">
        <v>69</v>
      </c>
      <c r="M5135">
        <v>17.66</v>
      </c>
      <c r="N5135" s="12" t="s">
        <v>97</v>
      </c>
      <c r="O5135" s="12" t="s">
        <v>98</v>
      </c>
      <c r="P5135" s="12" t="s">
        <v>72</v>
      </c>
      <c r="Q5135" s="13">
        <v>45825</v>
      </c>
      <c r="R5135" s="13">
        <v>45871</v>
      </c>
      <c r="S5135">
        <v>2025</v>
      </c>
      <c r="T5135" s="12" t="s">
        <v>6113</v>
      </c>
      <c r="U5135">
        <v>1348</v>
      </c>
      <c r="V5135">
        <v>23.332899999999999</v>
      </c>
      <c r="W5135">
        <v>275.01</v>
      </c>
      <c r="X5135">
        <v>0</v>
      </c>
      <c r="Y5135">
        <v>0</v>
      </c>
      <c r="Z5135">
        <v>31452.75</v>
      </c>
      <c r="AA5135">
        <v>31727.759999999998</v>
      </c>
      <c r="AB5135" s="12" t="s">
        <v>201</v>
      </c>
      <c r="AD5135">
        <v>0</v>
      </c>
      <c r="AE5135">
        <v>0</v>
      </c>
      <c r="AH5135">
        <v>1348</v>
      </c>
      <c r="AI5135">
        <v>1341</v>
      </c>
      <c r="AJ5135">
        <v>7</v>
      </c>
      <c r="AK5135">
        <v>1</v>
      </c>
      <c r="AL5135">
        <v>1</v>
      </c>
      <c r="AM5135">
        <v>99.48</v>
      </c>
      <c r="AN5135">
        <v>23.659800000000001</v>
      </c>
      <c r="AO5135">
        <v>163.33000000000001</v>
      </c>
      <c r="AP5135" s="13">
        <v>45871</v>
      </c>
      <c r="AQ5135">
        <v>0</v>
      </c>
      <c r="AR5135">
        <v>1</v>
      </c>
    </row>
    <row r="5136" spans="1:44" x14ac:dyDescent="0.35">
      <c r="A5136" s="12" t="s">
        <v>6221</v>
      </c>
      <c r="B5136" s="12" t="s">
        <v>661</v>
      </c>
      <c r="C5136" s="12" t="s">
        <v>662</v>
      </c>
      <c r="D5136" s="12" t="s">
        <v>175</v>
      </c>
      <c r="E5136" s="12" t="s">
        <v>104</v>
      </c>
      <c r="F5136">
        <v>1</v>
      </c>
      <c r="G5136">
        <v>0</v>
      </c>
      <c r="H5136">
        <v>1</v>
      </c>
      <c r="I5136" s="12" t="s">
        <v>183</v>
      </c>
      <c r="J5136" s="12" t="s">
        <v>184</v>
      </c>
      <c r="K5136" s="12" t="s">
        <v>133</v>
      </c>
      <c r="L5136" s="12" t="s">
        <v>82</v>
      </c>
      <c r="M5136">
        <v>8.6199999999999992</v>
      </c>
      <c r="N5136" s="12" t="s">
        <v>145</v>
      </c>
      <c r="O5136" s="12" t="s">
        <v>146</v>
      </c>
      <c r="P5136" s="12" t="s">
        <v>109</v>
      </c>
      <c r="Q5136" s="13">
        <v>45825</v>
      </c>
      <c r="R5136" s="13">
        <v>45853</v>
      </c>
      <c r="S5136">
        <v>2025</v>
      </c>
      <c r="T5136" s="12" t="s">
        <v>6113</v>
      </c>
      <c r="U5136">
        <v>137</v>
      </c>
      <c r="V5136">
        <v>166.30070000000001</v>
      </c>
      <c r="W5136">
        <v>510.3</v>
      </c>
      <c r="X5136">
        <v>0</v>
      </c>
      <c r="Y5136">
        <v>0</v>
      </c>
      <c r="Z5136">
        <v>22783.200000000001</v>
      </c>
      <c r="AA5136">
        <v>23293.5</v>
      </c>
      <c r="AB5136" s="12" t="s">
        <v>5336</v>
      </c>
      <c r="AC5136">
        <v>166.30070000000001</v>
      </c>
      <c r="AD5136">
        <v>1</v>
      </c>
      <c r="AE5136">
        <v>1</v>
      </c>
      <c r="AF5136">
        <v>0</v>
      </c>
      <c r="AG5136">
        <v>22783.200000000001</v>
      </c>
      <c r="AH5136">
        <v>137</v>
      </c>
      <c r="AI5136">
        <v>136</v>
      </c>
      <c r="AJ5136">
        <v>1</v>
      </c>
      <c r="AK5136">
        <v>1</v>
      </c>
      <c r="AL5136">
        <v>1</v>
      </c>
      <c r="AM5136">
        <v>99.27</v>
      </c>
      <c r="AN5136">
        <v>171.2757</v>
      </c>
      <c r="AO5136">
        <v>166.3</v>
      </c>
      <c r="AP5136" s="13">
        <v>45852</v>
      </c>
      <c r="AQ5136">
        <v>-1</v>
      </c>
      <c r="AR5136">
        <v>1</v>
      </c>
    </row>
    <row r="5137" spans="1:44" x14ac:dyDescent="0.35">
      <c r="A5137" s="12" t="s">
        <v>6222</v>
      </c>
      <c r="B5137" s="12" t="s">
        <v>740</v>
      </c>
      <c r="C5137" s="12" t="s">
        <v>741</v>
      </c>
      <c r="D5137" s="12" t="s">
        <v>64</v>
      </c>
      <c r="E5137" s="12" t="s">
        <v>104</v>
      </c>
      <c r="F5137">
        <v>2</v>
      </c>
      <c r="G5137">
        <v>0</v>
      </c>
      <c r="H5137">
        <v>0</v>
      </c>
      <c r="I5137" s="12" t="s">
        <v>183</v>
      </c>
      <c r="J5137" s="12" t="s">
        <v>184</v>
      </c>
      <c r="K5137" s="12" t="s">
        <v>133</v>
      </c>
      <c r="L5137" s="12" t="s">
        <v>82</v>
      </c>
      <c r="M5137">
        <v>8.6199999999999992</v>
      </c>
      <c r="N5137" s="12" t="s">
        <v>97</v>
      </c>
      <c r="O5137" s="12" t="s">
        <v>98</v>
      </c>
      <c r="P5137" s="12" t="s">
        <v>72</v>
      </c>
      <c r="Q5137" s="13">
        <v>45825</v>
      </c>
      <c r="R5137" s="13">
        <v>45837</v>
      </c>
      <c r="S5137">
        <v>2025</v>
      </c>
      <c r="T5137" s="12" t="s">
        <v>6113</v>
      </c>
      <c r="U5137">
        <v>103</v>
      </c>
      <c r="V5137">
        <v>41.1374</v>
      </c>
      <c r="W5137">
        <v>36.47</v>
      </c>
      <c r="X5137">
        <v>0</v>
      </c>
      <c r="Y5137">
        <v>0</v>
      </c>
      <c r="Z5137">
        <v>4237.1499999999996</v>
      </c>
      <c r="AA5137">
        <v>4273.62</v>
      </c>
      <c r="AB5137" s="12" t="s">
        <v>5789</v>
      </c>
      <c r="AC5137">
        <v>41.1374</v>
      </c>
      <c r="AD5137">
        <v>1</v>
      </c>
      <c r="AE5137">
        <v>1</v>
      </c>
      <c r="AF5137">
        <v>0</v>
      </c>
      <c r="AG5137">
        <v>4237.1499999999996</v>
      </c>
      <c r="AH5137">
        <v>103</v>
      </c>
      <c r="AI5137">
        <v>103</v>
      </c>
      <c r="AJ5137">
        <v>0</v>
      </c>
      <c r="AK5137">
        <v>1</v>
      </c>
      <c r="AL5137">
        <v>1</v>
      </c>
      <c r="AM5137">
        <v>100</v>
      </c>
      <c r="AN5137">
        <v>41.491500000000002</v>
      </c>
      <c r="AO5137">
        <v>0</v>
      </c>
      <c r="AP5137" s="13">
        <v>45838</v>
      </c>
      <c r="AQ5137">
        <v>1</v>
      </c>
      <c r="AR5137">
        <v>0</v>
      </c>
    </row>
    <row r="5138" spans="1:44" x14ac:dyDescent="0.35">
      <c r="A5138" s="12" t="s">
        <v>6223</v>
      </c>
      <c r="B5138" s="12" t="s">
        <v>712</v>
      </c>
      <c r="C5138" s="12" t="s">
        <v>713</v>
      </c>
      <c r="D5138" s="12" t="s">
        <v>103</v>
      </c>
      <c r="E5138" s="12" t="s">
        <v>104</v>
      </c>
      <c r="F5138">
        <v>2</v>
      </c>
      <c r="G5138">
        <v>0</v>
      </c>
      <c r="H5138">
        <v>0</v>
      </c>
      <c r="I5138" s="12" t="s">
        <v>199</v>
      </c>
      <c r="J5138" s="12" t="s">
        <v>200</v>
      </c>
      <c r="K5138" s="12" t="s">
        <v>68</v>
      </c>
      <c r="L5138" s="12" t="s">
        <v>96</v>
      </c>
      <c r="M5138">
        <v>9.4700000000000006</v>
      </c>
      <c r="N5138" s="12" t="s">
        <v>107</v>
      </c>
      <c r="O5138" s="12" t="s">
        <v>108</v>
      </c>
      <c r="P5138" s="12" t="s">
        <v>109</v>
      </c>
      <c r="Q5138" s="13">
        <v>45825</v>
      </c>
      <c r="R5138" s="13">
        <v>45844</v>
      </c>
      <c r="S5138">
        <v>2025</v>
      </c>
      <c r="T5138" s="12" t="s">
        <v>6113</v>
      </c>
      <c r="U5138">
        <v>66</v>
      </c>
      <c r="V5138">
        <v>223.92169999999999</v>
      </c>
      <c r="W5138">
        <v>358.27</v>
      </c>
      <c r="X5138">
        <v>0</v>
      </c>
      <c r="Y5138">
        <v>0</v>
      </c>
      <c r="Z5138">
        <v>14778.83</v>
      </c>
      <c r="AA5138">
        <v>15137.1</v>
      </c>
      <c r="AB5138" s="12" t="s">
        <v>201</v>
      </c>
      <c r="AD5138">
        <v>0</v>
      </c>
      <c r="AE5138">
        <v>0</v>
      </c>
      <c r="AH5138">
        <v>66</v>
      </c>
      <c r="AI5138">
        <v>65</v>
      </c>
      <c r="AJ5138">
        <v>1</v>
      </c>
      <c r="AK5138">
        <v>1</v>
      </c>
      <c r="AL5138">
        <v>1</v>
      </c>
      <c r="AM5138">
        <v>98.48</v>
      </c>
      <c r="AN5138">
        <v>232.8785</v>
      </c>
      <c r="AO5138">
        <v>223.92</v>
      </c>
      <c r="AP5138" s="13">
        <v>45849</v>
      </c>
      <c r="AQ5138">
        <v>5</v>
      </c>
      <c r="AR5138">
        <v>0</v>
      </c>
    </row>
    <row r="5139" spans="1:44" x14ac:dyDescent="0.35">
      <c r="A5139" s="12" t="s">
        <v>6224</v>
      </c>
      <c r="B5139" s="12" t="s">
        <v>561</v>
      </c>
      <c r="C5139" s="12" t="s">
        <v>562</v>
      </c>
      <c r="D5139" s="12" t="s">
        <v>130</v>
      </c>
      <c r="E5139" s="12" t="s">
        <v>142</v>
      </c>
      <c r="F5139">
        <v>1</v>
      </c>
      <c r="G5139">
        <v>9</v>
      </c>
      <c r="H5139">
        <v>1</v>
      </c>
      <c r="I5139" s="12" t="s">
        <v>223</v>
      </c>
      <c r="J5139" s="12" t="s">
        <v>224</v>
      </c>
      <c r="K5139" s="12" t="s">
        <v>81</v>
      </c>
      <c r="L5139" s="12" t="s">
        <v>134</v>
      </c>
      <c r="M5139">
        <v>2.4900000000000002</v>
      </c>
      <c r="N5139" s="12" t="s">
        <v>159</v>
      </c>
      <c r="O5139" s="12" t="s">
        <v>160</v>
      </c>
      <c r="P5139" s="12" t="s">
        <v>137</v>
      </c>
      <c r="Q5139" s="13">
        <v>45825</v>
      </c>
      <c r="R5139" s="13">
        <v>45861</v>
      </c>
      <c r="S5139">
        <v>2025</v>
      </c>
      <c r="T5139" s="12" t="s">
        <v>6113</v>
      </c>
      <c r="U5139">
        <v>19</v>
      </c>
      <c r="V5139">
        <v>493.31369999999998</v>
      </c>
      <c r="W5139">
        <v>186.9</v>
      </c>
      <c r="X5139">
        <v>0</v>
      </c>
      <c r="Y5139">
        <v>0</v>
      </c>
      <c r="Z5139">
        <v>9372.9599999999991</v>
      </c>
      <c r="AA5139">
        <v>9559.86</v>
      </c>
      <c r="AB5139" s="12" t="s">
        <v>201</v>
      </c>
      <c r="AD5139">
        <v>0</v>
      </c>
      <c r="AE5139">
        <v>0</v>
      </c>
      <c r="AH5139">
        <v>19</v>
      </c>
      <c r="AI5139">
        <v>19</v>
      </c>
      <c r="AJ5139">
        <v>0</v>
      </c>
      <c r="AK5139">
        <v>1</v>
      </c>
      <c r="AL5139">
        <v>1</v>
      </c>
      <c r="AM5139">
        <v>100</v>
      </c>
      <c r="AN5139">
        <v>503.15050000000002</v>
      </c>
      <c r="AO5139">
        <v>0</v>
      </c>
      <c r="AP5139" s="13">
        <v>45861</v>
      </c>
      <c r="AQ5139">
        <v>0</v>
      </c>
      <c r="AR5139">
        <v>1</v>
      </c>
    </row>
    <row r="5140" spans="1:44" x14ac:dyDescent="0.35">
      <c r="A5140" s="12" t="s">
        <v>6225</v>
      </c>
      <c r="B5140" s="12" t="s">
        <v>238</v>
      </c>
      <c r="C5140" s="12" t="s">
        <v>239</v>
      </c>
      <c r="D5140" s="12" t="s">
        <v>122</v>
      </c>
      <c r="E5140" s="12" t="s">
        <v>65</v>
      </c>
      <c r="F5140">
        <v>3</v>
      </c>
      <c r="G5140">
        <v>4</v>
      </c>
      <c r="H5140">
        <v>0</v>
      </c>
      <c r="I5140" s="12" t="s">
        <v>243</v>
      </c>
      <c r="J5140" s="12" t="s">
        <v>244</v>
      </c>
      <c r="K5140" s="12" t="s">
        <v>81</v>
      </c>
      <c r="L5140" s="12" t="s">
        <v>82</v>
      </c>
      <c r="M5140">
        <v>9.2200000000000006</v>
      </c>
      <c r="N5140" s="12" t="s">
        <v>97</v>
      </c>
      <c r="O5140" s="12" t="s">
        <v>98</v>
      </c>
      <c r="P5140" s="12" t="s">
        <v>72</v>
      </c>
      <c r="Q5140" s="13">
        <v>45825</v>
      </c>
      <c r="R5140" s="13">
        <v>45852</v>
      </c>
      <c r="S5140">
        <v>2025</v>
      </c>
      <c r="T5140" s="12" t="s">
        <v>6113</v>
      </c>
      <c r="U5140">
        <v>872</v>
      </c>
      <c r="V5140">
        <v>35.924999999999997</v>
      </c>
      <c r="W5140">
        <v>642.73</v>
      </c>
      <c r="X5140">
        <v>0</v>
      </c>
      <c r="Y5140">
        <v>0</v>
      </c>
      <c r="Z5140">
        <v>31326.6</v>
      </c>
      <c r="AA5140">
        <v>31969.33</v>
      </c>
      <c r="AB5140" s="12" t="s">
        <v>6226</v>
      </c>
      <c r="AC5140">
        <v>35.924999999999997</v>
      </c>
      <c r="AD5140">
        <v>1</v>
      </c>
      <c r="AE5140">
        <v>1</v>
      </c>
      <c r="AF5140">
        <v>0</v>
      </c>
      <c r="AG5140">
        <v>31326.6</v>
      </c>
      <c r="AH5140">
        <v>872</v>
      </c>
      <c r="AI5140">
        <v>865</v>
      </c>
      <c r="AJ5140">
        <v>7</v>
      </c>
      <c r="AK5140">
        <v>1</v>
      </c>
      <c r="AL5140">
        <v>1</v>
      </c>
      <c r="AM5140">
        <v>99.2</v>
      </c>
      <c r="AN5140">
        <v>36.958799999999997</v>
      </c>
      <c r="AO5140">
        <v>251.48</v>
      </c>
      <c r="AP5140" s="13">
        <v>45851</v>
      </c>
      <c r="AQ5140">
        <v>-1</v>
      </c>
      <c r="AR5140">
        <v>1</v>
      </c>
    </row>
    <row r="5141" spans="1:44" x14ac:dyDescent="0.35">
      <c r="A5141" s="12" t="s">
        <v>6227</v>
      </c>
      <c r="B5141" s="12" t="s">
        <v>317</v>
      </c>
      <c r="C5141" s="12" t="s">
        <v>318</v>
      </c>
      <c r="D5141" s="12" t="s">
        <v>64</v>
      </c>
      <c r="E5141" s="12" t="s">
        <v>104</v>
      </c>
      <c r="F5141">
        <v>2</v>
      </c>
      <c r="G5141">
        <v>0</v>
      </c>
      <c r="H5141">
        <v>0</v>
      </c>
      <c r="I5141" s="12" t="s">
        <v>169</v>
      </c>
      <c r="J5141" s="12" t="s">
        <v>170</v>
      </c>
      <c r="K5141" s="12" t="s">
        <v>89</v>
      </c>
      <c r="L5141" s="12" t="s">
        <v>134</v>
      </c>
      <c r="M5141">
        <v>1.37</v>
      </c>
      <c r="N5141" s="12" t="s">
        <v>70</v>
      </c>
      <c r="O5141" s="12" t="s">
        <v>71</v>
      </c>
      <c r="P5141" s="12" t="s">
        <v>72</v>
      </c>
      <c r="Q5141" s="13">
        <v>45826</v>
      </c>
      <c r="R5141" s="13">
        <v>45842</v>
      </c>
      <c r="S5141">
        <v>2025</v>
      </c>
      <c r="T5141" s="12" t="s">
        <v>6113</v>
      </c>
      <c r="U5141">
        <v>328</v>
      </c>
      <c r="V5141">
        <v>15.823399999999999</v>
      </c>
      <c r="W5141">
        <v>88.87</v>
      </c>
      <c r="X5141">
        <v>0</v>
      </c>
      <c r="Y5141">
        <v>0</v>
      </c>
      <c r="Z5141">
        <v>5190.08</v>
      </c>
      <c r="AA5141">
        <v>5278.95</v>
      </c>
      <c r="AB5141" s="12" t="s">
        <v>5518</v>
      </c>
      <c r="AC5141">
        <v>15.823399999999999</v>
      </c>
      <c r="AD5141">
        <v>1</v>
      </c>
      <c r="AE5141">
        <v>1</v>
      </c>
      <c r="AF5141">
        <v>0</v>
      </c>
      <c r="AG5141">
        <v>5190.08</v>
      </c>
      <c r="AH5141">
        <v>328</v>
      </c>
      <c r="AI5141">
        <v>323</v>
      </c>
      <c r="AJ5141">
        <v>5</v>
      </c>
      <c r="AK5141">
        <v>1</v>
      </c>
      <c r="AL5141">
        <v>1</v>
      </c>
      <c r="AM5141">
        <v>98.48</v>
      </c>
      <c r="AN5141">
        <v>16.343499999999999</v>
      </c>
      <c r="AO5141">
        <v>79.12</v>
      </c>
      <c r="AP5141" s="13">
        <v>45841</v>
      </c>
      <c r="AQ5141">
        <v>-1</v>
      </c>
      <c r="AR5141">
        <v>1</v>
      </c>
    </row>
    <row r="5142" spans="1:44" x14ac:dyDescent="0.35">
      <c r="A5142" s="12" t="s">
        <v>6228</v>
      </c>
      <c r="B5142" s="12" t="s">
        <v>544</v>
      </c>
      <c r="C5142" s="12" t="s">
        <v>545</v>
      </c>
      <c r="D5142" s="12" t="s">
        <v>175</v>
      </c>
      <c r="E5142" s="12" t="s">
        <v>65</v>
      </c>
      <c r="F5142">
        <v>3</v>
      </c>
      <c r="G5142">
        <v>5</v>
      </c>
      <c r="H5142">
        <v>0</v>
      </c>
      <c r="I5142" s="12" t="s">
        <v>66</v>
      </c>
      <c r="J5142" s="12" t="s">
        <v>67</v>
      </c>
      <c r="K5142" s="12" t="s">
        <v>68</v>
      </c>
      <c r="L5142" s="12" t="s">
        <v>69</v>
      </c>
      <c r="M5142">
        <v>17.66</v>
      </c>
      <c r="N5142" s="12" t="s">
        <v>107</v>
      </c>
      <c r="O5142" s="12" t="s">
        <v>108</v>
      </c>
      <c r="P5142" s="12" t="s">
        <v>109</v>
      </c>
      <c r="Q5142" s="13">
        <v>45826</v>
      </c>
      <c r="R5142" s="13">
        <v>45858</v>
      </c>
      <c r="S5142">
        <v>2025</v>
      </c>
      <c r="T5142" s="12" t="s">
        <v>6113</v>
      </c>
      <c r="U5142">
        <v>101</v>
      </c>
      <c r="V5142">
        <v>148.32650000000001</v>
      </c>
      <c r="W5142">
        <v>265.05</v>
      </c>
      <c r="X5142">
        <v>0</v>
      </c>
      <c r="Y5142">
        <v>0</v>
      </c>
      <c r="Z5142">
        <v>14980.98</v>
      </c>
      <c r="AA5142">
        <v>15246.03</v>
      </c>
      <c r="AB5142" s="12" t="s">
        <v>201</v>
      </c>
      <c r="AD5142">
        <v>0</v>
      </c>
      <c r="AE5142">
        <v>0</v>
      </c>
      <c r="AH5142">
        <v>101</v>
      </c>
      <c r="AI5142">
        <v>100</v>
      </c>
      <c r="AJ5142">
        <v>1</v>
      </c>
      <c r="AK5142">
        <v>1</v>
      </c>
      <c r="AL5142">
        <v>1</v>
      </c>
      <c r="AM5142">
        <v>99.01</v>
      </c>
      <c r="AN5142">
        <v>152.46029999999999</v>
      </c>
      <c r="AO5142">
        <v>148.33000000000001</v>
      </c>
      <c r="AP5142" s="13">
        <v>45858</v>
      </c>
      <c r="AQ5142">
        <v>0</v>
      </c>
      <c r="AR5142">
        <v>1</v>
      </c>
    </row>
    <row r="5143" spans="1:44" x14ac:dyDescent="0.35">
      <c r="A5143" s="12" t="s">
        <v>6229</v>
      </c>
      <c r="B5143" s="12" t="s">
        <v>802</v>
      </c>
      <c r="C5143" s="12" t="s">
        <v>803</v>
      </c>
      <c r="D5143" s="12" t="s">
        <v>114</v>
      </c>
      <c r="E5143" s="12" t="s">
        <v>65</v>
      </c>
      <c r="F5143">
        <v>3</v>
      </c>
      <c r="G5143">
        <v>5</v>
      </c>
      <c r="H5143">
        <v>0</v>
      </c>
      <c r="I5143" s="12" t="s">
        <v>804</v>
      </c>
      <c r="J5143" s="12" t="s">
        <v>342</v>
      </c>
      <c r="K5143" s="12" t="s">
        <v>117</v>
      </c>
      <c r="L5143" s="12" t="s">
        <v>69</v>
      </c>
      <c r="M5143">
        <v>30.07</v>
      </c>
      <c r="N5143" s="12" t="s">
        <v>70</v>
      </c>
      <c r="O5143" s="12" t="s">
        <v>71</v>
      </c>
      <c r="P5143" s="12" t="s">
        <v>72</v>
      </c>
      <c r="Q5143" s="13">
        <v>45826</v>
      </c>
      <c r="R5143" s="13">
        <v>45857</v>
      </c>
      <c r="S5143">
        <v>2025</v>
      </c>
      <c r="T5143" s="12" t="s">
        <v>6113</v>
      </c>
      <c r="U5143">
        <v>88</v>
      </c>
      <c r="V5143">
        <v>382.6884</v>
      </c>
      <c r="W5143">
        <v>599.82000000000005</v>
      </c>
      <c r="X5143">
        <v>0</v>
      </c>
      <c r="Y5143">
        <v>0</v>
      </c>
      <c r="Z5143">
        <v>33676.58</v>
      </c>
      <c r="AA5143">
        <v>34276.400000000001</v>
      </c>
      <c r="AB5143" s="12" t="s">
        <v>201</v>
      </c>
      <c r="AD5143">
        <v>0</v>
      </c>
      <c r="AE5143">
        <v>0</v>
      </c>
      <c r="AH5143">
        <v>88</v>
      </c>
      <c r="AI5143">
        <v>87</v>
      </c>
      <c r="AJ5143">
        <v>1</v>
      </c>
      <c r="AK5143">
        <v>1</v>
      </c>
      <c r="AL5143">
        <v>1</v>
      </c>
      <c r="AM5143">
        <v>98.86</v>
      </c>
      <c r="AN5143">
        <v>393.98160000000001</v>
      </c>
      <c r="AO5143">
        <v>382.69</v>
      </c>
      <c r="AP5143" s="13">
        <v>45856</v>
      </c>
      <c r="AQ5143">
        <v>-1</v>
      </c>
      <c r="AR5143">
        <v>1</v>
      </c>
    </row>
    <row r="5144" spans="1:44" x14ac:dyDescent="0.35">
      <c r="A5144" s="12" t="s">
        <v>6230</v>
      </c>
      <c r="B5144" s="12" t="s">
        <v>273</v>
      </c>
      <c r="C5144" s="12" t="s">
        <v>274</v>
      </c>
      <c r="D5144" s="12" t="s">
        <v>175</v>
      </c>
      <c r="E5144" s="12" t="s">
        <v>104</v>
      </c>
      <c r="F5144">
        <v>3</v>
      </c>
      <c r="G5144">
        <v>1</v>
      </c>
      <c r="H5144">
        <v>0</v>
      </c>
      <c r="I5144" s="12" t="s">
        <v>341</v>
      </c>
      <c r="J5144" s="12" t="s">
        <v>342</v>
      </c>
      <c r="K5144" s="12" t="s">
        <v>117</v>
      </c>
      <c r="L5144" s="12" t="s">
        <v>82</v>
      </c>
      <c r="M5144">
        <v>18.36</v>
      </c>
      <c r="N5144" s="12" t="s">
        <v>145</v>
      </c>
      <c r="O5144" s="12" t="s">
        <v>146</v>
      </c>
      <c r="P5144" s="12" t="s">
        <v>109</v>
      </c>
      <c r="Q5144" s="13">
        <v>45826</v>
      </c>
      <c r="R5144" s="13">
        <v>45855</v>
      </c>
      <c r="S5144">
        <v>2025</v>
      </c>
      <c r="T5144" s="12" t="s">
        <v>6113</v>
      </c>
      <c r="U5144">
        <v>143</v>
      </c>
      <c r="V5144">
        <v>96.783699999999996</v>
      </c>
      <c r="W5144">
        <v>257.27999999999997</v>
      </c>
      <c r="X5144">
        <v>0</v>
      </c>
      <c r="Y5144">
        <v>0</v>
      </c>
      <c r="Z5144">
        <v>13840.07</v>
      </c>
      <c r="AA5144">
        <v>14097.35</v>
      </c>
      <c r="AB5144" s="12" t="s">
        <v>6231</v>
      </c>
      <c r="AC5144">
        <v>96.783699999999996</v>
      </c>
      <c r="AD5144">
        <v>1</v>
      </c>
      <c r="AE5144">
        <v>1</v>
      </c>
      <c r="AF5144">
        <v>0</v>
      </c>
      <c r="AG5144">
        <v>13840.07</v>
      </c>
      <c r="AH5144">
        <v>143</v>
      </c>
      <c r="AI5144">
        <v>142</v>
      </c>
      <c r="AJ5144">
        <v>1</v>
      </c>
      <c r="AK5144">
        <v>1</v>
      </c>
      <c r="AL5144">
        <v>1</v>
      </c>
      <c r="AM5144">
        <v>99.3</v>
      </c>
      <c r="AN5144">
        <v>99.277100000000004</v>
      </c>
      <c r="AO5144">
        <v>96.78</v>
      </c>
      <c r="AP5144" s="13">
        <v>45853</v>
      </c>
      <c r="AQ5144">
        <v>-2</v>
      </c>
      <c r="AR5144">
        <v>1</v>
      </c>
    </row>
    <row r="5145" spans="1:44" x14ac:dyDescent="0.35">
      <c r="A5145" s="12" t="s">
        <v>6232</v>
      </c>
      <c r="B5145" s="12" t="s">
        <v>747</v>
      </c>
      <c r="C5145" s="12" t="s">
        <v>748</v>
      </c>
      <c r="D5145" s="12" t="s">
        <v>114</v>
      </c>
      <c r="E5145" s="12" t="s">
        <v>104</v>
      </c>
      <c r="F5145">
        <v>2</v>
      </c>
      <c r="G5145">
        <v>0</v>
      </c>
      <c r="H5145">
        <v>0</v>
      </c>
      <c r="I5145" s="12" t="s">
        <v>380</v>
      </c>
      <c r="J5145" s="12" t="s">
        <v>381</v>
      </c>
      <c r="K5145" s="12" t="s">
        <v>89</v>
      </c>
      <c r="L5145" s="12" t="s">
        <v>96</v>
      </c>
      <c r="M5145">
        <v>10.210000000000001</v>
      </c>
      <c r="N5145" s="12" t="s">
        <v>70</v>
      </c>
      <c r="O5145" s="12" t="s">
        <v>71</v>
      </c>
      <c r="P5145" s="12" t="s">
        <v>72</v>
      </c>
      <c r="Q5145" s="13">
        <v>45826</v>
      </c>
      <c r="R5145" s="13">
        <v>45849</v>
      </c>
      <c r="S5145">
        <v>2025</v>
      </c>
      <c r="T5145" s="12" t="s">
        <v>6113</v>
      </c>
      <c r="U5145">
        <v>97</v>
      </c>
      <c r="V5145">
        <v>253.43709999999999</v>
      </c>
      <c r="W5145">
        <v>394.9</v>
      </c>
      <c r="X5145">
        <v>0</v>
      </c>
      <c r="Y5145">
        <v>0</v>
      </c>
      <c r="Z5145">
        <v>24583.4</v>
      </c>
      <c r="AA5145">
        <v>24978.3</v>
      </c>
      <c r="AB5145" s="12" t="s">
        <v>201</v>
      </c>
      <c r="AD5145">
        <v>0</v>
      </c>
      <c r="AE5145">
        <v>0</v>
      </c>
      <c r="AH5145">
        <v>97</v>
      </c>
      <c r="AI5145">
        <v>95</v>
      </c>
      <c r="AJ5145">
        <v>2</v>
      </c>
      <c r="AK5145">
        <v>1</v>
      </c>
      <c r="AL5145">
        <v>1</v>
      </c>
      <c r="AM5145">
        <v>97.94</v>
      </c>
      <c r="AN5145">
        <v>262.92950000000002</v>
      </c>
      <c r="AO5145">
        <v>506.87</v>
      </c>
      <c r="AP5145" s="13">
        <v>45848</v>
      </c>
      <c r="AQ5145">
        <v>-1</v>
      </c>
      <c r="AR5145">
        <v>1</v>
      </c>
    </row>
    <row r="5146" spans="1:44" x14ac:dyDescent="0.35">
      <c r="A5146" s="12" t="s">
        <v>6233</v>
      </c>
      <c r="B5146" s="12" t="s">
        <v>569</v>
      </c>
      <c r="C5146" s="12" t="s">
        <v>570</v>
      </c>
      <c r="D5146" s="12" t="s">
        <v>114</v>
      </c>
      <c r="E5146" s="12" t="s">
        <v>142</v>
      </c>
      <c r="F5146">
        <v>1</v>
      </c>
      <c r="G5146">
        <v>6</v>
      </c>
      <c r="H5146">
        <v>1</v>
      </c>
      <c r="I5146" s="12" t="s">
        <v>123</v>
      </c>
      <c r="J5146" s="12" t="s">
        <v>124</v>
      </c>
      <c r="K5146" s="12" t="s">
        <v>125</v>
      </c>
      <c r="L5146" s="12" t="s">
        <v>82</v>
      </c>
      <c r="M5146">
        <v>6.75</v>
      </c>
      <c r="N5146" s="12" t="s">
        <v>70</v>
      </c>
      <c r="O5146" s="12" t="s">
        <v>71</v>
      </c>
      <c r="P5146" s="12" t="s">
        <v>72</v>
      </c>
      <c r="Q5146" s="13">
        <v>45826</v>
      </c>
      <c r="R5146" s="13">
        <v>45863</v>
      </c>
      <c r="S5146">
        <v>2025</v>
      </c>
      <c r="T5146" s="12" t="s">
        <v>6113</v>
      </c>
      <c r="U5146">
        <v>27</v>
      </c>
      <c r="V5146">
        <v>348.21159999999998</v>
      </c>
      <c r="W5146">
        <v>195.76</v>
      </c>
      <c r="X5146">
        <v>0</v>
      </c>
      <c r="Y5146">
        <v>0</v>
      </c>
      <c r="Z5146">
        <v>9401.7099999999991</v>
      </c>
      <c r="AA5146">
        <v>9597.4699999999993</v>
      </c>
      <c r="AB5146" s="12" t="s">
        <v>5817</v>
      </c>
      <c r="AC5146">
        <v>348.21159999999998</v>
      </c>
      <c r="AD5146">
        <v>1</v>
      </c>
      <c r="AE5146">
        <v>1</v>
      </c>
      <c r="AF5146">
        <v>0</v>
      </c>
      <c r="AG5146">
        <v>9401.7099999999991</v>
      </c>
      <c r="AH5146">
        <v>27</v>
      </c>
      <c r="AI5146">
        <v>27</v>
      </c>
      <c r="AJ5146">
        <v>0</v>
      </c>
      <c r="AK5146">
        <v>1</v>
      </c>
      <c r="AL5146">
        <v>1</v>
      </c>
      <c r="AM5146">
        <v>100</v>
      </c>
      <c r="AN5146">
        <v>355.46199999999999</v>
      </c>
      <c r="AO5146">
        <v>0</v>
      </c>
      <c r="AP5146" s="13">
        <v>45868</v>
      </c>
      <c r="AQ5146">
        <v>5</v>
      </c>
      <c r="AR5146">
        <v>0</v>
      </c>
    </row>
    <row r="5147" spans="1:44" x14ac:dyDescent="0.35">
      <c r="A5147" s="12" t="s">
        <v>6234</v>
      </c>
      <c r="B5147" s="12" t="s">
        <v>661</v>
      </c>
      <c r="C5147" s="12" t="s">
        <v>662</v>
      </c>
      <c r="D5147" s="12" t="s">
        <v>175</v>
      </c>
      <c r="E5147" s="12" t="s">
        <v>104</v>
      </c>
      <c r="F5147">
        <v>1</v>
      </c>
      <c r="G5147">
        <v>0</v>
      </c>
      <c r="H5147">
        <v>1</v>
      </c>
      <c r="I5147" s="12" t="s">
        <v>183</v>
      </c>
      <c r="J5147" s="12" t="s">
        <v>184</v>
      </c>
      <c r="K5147" s="12" t="s">
        <v>133</v>
      </c>
      <c r="L5147" s="12" t="s">
        <v>82</v>
      </c>
      <c r="M5147">
        <v>8.6199999999999992</v>
      </c>
      <c r="N5147" s="12" t="s">
        <v>107</v>
      </c>
      <c r="O5147" s="12" t="s">
        <v>108</v>
      </c>
      <c r="P5147" s="12" t="s">
        <v>109</v>
      </c>
      <c r="Q5147" s="13">
        <v>45826</v>
      </c>
      <c r="R5147" s="13">
        <v>45851</v>
      </c>
      <c r="S5147">
        <v>2025</v>
      </c>
      <c r="T5147" s="12" t="s">
        <v>6113</v>
      </c>
      <c r="U5147">
        <v>117</v>
      </c>
      <c r="V5147">
        <v>166.30070000000001</v>
      </c>
      <c r="W5147">
        <v>328.34</v>
      </c>
      <c r="X5147">
        <v>0</v>
      </c>
      <c r="Y5147">
        <v>0</v>
      </c>
      <c r="Z5147">
        <v>19457.18</v>
      </c>
      <c r="AA5147">
        <v>19785.52</v>
      </c>
      <c r="AB5147" s="12" t="s">
        <v>5336</v>
      </c>
      <c r="AC5147">
        <v>166.30070000000001</v>
      </c>
      <c r="AD5147">
        <v>1</v>
      </c>
      <c r="AE5147">
        <v>1</v>
      </c>
      <c r="AF5147">
        <v>0</v>
      </c>
      <c r="AG5147">
        <v>19457.18</v>
      </c>
      <c r="AH5147">
        <v>117</v>
      </c>
      <c r="AI5147">
        <v>116</v>
      </c>
      <c r="AJ5147">
        <v>1</v>
      </c>
      <c r="AK5147">
        <v>1</v>
      </c>
      <c r="AL5147">
        <v>1</v>
      </c>
      <c r="AM5147">
        <v>99.15</v>
      </c>
      <c r="AN5147">
        <v>170.56479999999999</v>
      </c>
      <c r="AO5147">
        <v>166.3</v>
      </c>
      <c r="AP5147" s="13">
        <v>45850</v>
      </c>
      <c r="AQ5147">
        <v>-1</v>
      </c>
      <c r="AR5147">
        <v>1</v>
      </c>
    </row>
    <row r="5148" spans="1:44" x14ac:dyDescent="0.35">
      <c r="A5148" s="12" t="s">
        <v>6235</v>
      </c>
      <c r="B5148" s="12" t="s">
        <v>215</v>
      </c>
      <c r="C5148" s="12" t="s">
        <v>216</v>
      </c>
      <c r="D5148" s="12" t="s">
        <v>122</v>
      </c>
      <c r="E5148" s="12" t="s">
        <v>142</v>
      </c>
      <c r="F5148">
        <v>3</v>
      </c>
      <c r="G5148">
        <v>11</v>
      </c>
      <c r="H5148">
        <v>0</v>
      </c>
      <c r="I5148" s="12" t="s">
        <v>217</v>
      </c>
      <c r="J5148" s="12" t="s">
        <v>218</v>
      </c>
      <c r="K5148" s="12" t="s">
        <v>68</v>
      </c>
      <c r="L5148" s="12" t="s">
        <v>82</v>
      </c>
      <c r="M5148">
        <v>14.24</v>
      </c>
      <c r="N5148" s="12" t="s">
        <v>70</v>
      </c>
      <c r="O5148" s="12" t="s">
        <v>71</v>
      </c>
      <c r="P5148" s="12" t="s">
        <v>72</v>
      </c>
      <c r="Q5148" s="13">
        <v>45826</v>
      </c>
      <c r="R5148" s="13">
        <v>45864</v>
      </c>
      <c r="S5148">
        <v>2025</v>
      </c>
      <c r="T5148" s="12" t="s">
        <v>6113</v>
      </c>
      <c r="U5148">
        <v>525</v>
      </c>
      <c r="V5148">
        <v>14.1587</v>
      </c>
      <c r="W5148">
        <v>48.32</v>
      </c>
      <c r="X5148">
        <v>0</v>
      </c>
      <c r="Y5148">
        <v>0</v>
      </c>
      <c r="Z5148">
        <v>7433.32</v>
      </c>
      <c r="AA5148">
        <v>7481.64</v>
      </c>
      <c r="AB5148" s="12" t="s">
        <v>5706</v>
      </c>
      <c r="AC5148">
        <v>14.1587</v>
      </c>
      <c r="AD5148">
        <v>1</v>
      </c>
      <c r="AE5148">
        <v>1</v>
      </c>
      <c r="AF5148">
        <v>0</v>
      </c>
      <c r="AG5148">
        <v>7433.32</v>
      </c>
      <c r="AH5148">
        <v>525</v>
      </c>
      <c r="AI5148">
        <v>521</v>
      </c>
      <c r="AJ5148">
        <v>4</v>
      </c>
      <c r="AK5148">
        <v>1</v>
      </c>
      <c r="AL5148">
        <v>1</v>
      </c>
      <c r="AM5148">
        <v>99.24</v>
      </c>
      <c r="AN5148">
        <v>14.360099999999999</v>
      </c>
      <c r="AO5148">
        <v>56.63</v>
      </c>
      <c r="AP5148" s="13">
        <v>45866</v>
      </c>
      <c r="AQ5148">
        <v>2</v>
      </c>
      <c r="AR5148">
        <v>0</v>
      </c>
    </row>
    <row r="5149" spans="1:44" x14ac:dyDescent="0.35">
      <c r="A5149" s="12" t="s">
        <v>6236</v>
      </c>
      <c r="B5149" s="12" t="s">
        <v>924</v>
      </c>
      <c r="C5149" s="12" t="s">
        <v>925</v>
      </c>
      <c r="D5149" s="12" t="s">
        <v>103</v>
      </c>
      <c r="E5149" s="12" t="s">
        <v>104</v>
      </c>
      <c r="F5149">
        <v>2</v>
      </c>
      <c r="G5149">
        <v>0</v>
      </c>
      <c r="H5149">
        <v>0</v>
      </c>
      <c r="I5149" s="12" t="s">
        <v>275</v>
      </c>
      <c r="J5149" s="12" t="s">
        <v>276</v>
      </c>
      <c r="K5149" s="12" t="s">
        <v>89</v>
      </c>
      <c r="L5149" s="12" t="s">
        <v>82</v>
      </c>
      <c r="M5149">
        <v>14.26</v>
      </c>
      <c r="N5149" s="12" t="s">
        <v>145</v>
      </c>
      <c r="O5149" s="12" t="s">
        <v>146</v>
      </c>
      <c r="P5149" s="12" t="s">
        <v>109</v>
      </c>
      <c r="Q5149" s="13">
        <v>45826</v>
      </c>
      <c r="R5149" s="13">
        <v>45853</v>
      </c>
      <c r="S5149">
        <v>2025</v>
      </c>
      <c r="T5149" s="12" t="s">
        <v>6113</v>
      </c>
      <c r="U5149">
        <v>133</v>
      </c>
      <c r="V5149">
        <v>154.6558</v>
      </c>
      <c r="W5149">
        <v>214.6</v>
      </c>
      <c r="X5149">
        <v>0</v>
      </c>
      <c r="Y5149">
        <v>0</v>
      </c>
      <c r="Z5149">
        <v>20569.22</v>
      </c>
      <c r="AA5149">
        <v>20783.82</v>
      </c>
      <c r="AB5149" s="12" t="s">
        <v>5863</v>
      </c>
      <c r="AC5149">
        <v>154.6558</v>
      </c>
      <c r="AD5149">
        <v>1</v>
      </c>
      <c r="AE5149">
        <v>1</v>
      </c>
      <c r="AF5149">
        <v>0</v>
      </c>
      <c r="AG5149">
        <v>20569.22</v>
      </c>
      <c r="AH5149">
        <v>133</v>
      </c>
      <c r="AI5149">
        <v>132</v>
      </c>
      <c r="AJ5149">
        <v>1</v>
      </c>
      <c r="AK5149">
        <v>1</v>
      </c>
      <c r="AL5149">
        <v>1</v>
      </c>
      <c r="AM5149">
        <v>99.25</v>
      </c>
      <c r="AN5149">
        <v>157.45320000000001</v>
      </c>
      <c r="AO5149">
        <v>154.66</v>
      </c>
      <c r="AP5149" s="13">
        <v>45851</v>
      </c>
      <c r="AQ5149">
        <v>-2</v>
      </c>
      <c r="AR5149">
        <v>1</v>
      </c>
    </row>
    <row r="5150" spans="1:44" x14ac:dyDescent="0.35">
      <c r="A5150" s="12" t="s">
        <v>6237</v>
      </c>
      <c r="B5150" s="12" t="s">
        <v>85</v>
      </c>
      <c r="C5150" s="12" t="s">
        <v>86</v>
      </c>
      <c r="D5150" s="12" t="s">
        <v>78</v>
      </c>
      <c r="E5150" s="12" t="s">
        <v>65</v>
      </c>
      <c r="F5150">
        <v>3</v>
      </c>
      <c r="G5150">
        <v>5</v>
      </c>
      <c r="H5150">
        <v>0</v>
      </c>
      <c r="I5150" s="12" t="s">
        <v>87</v>
      </c>
      <c r="J5150" s="12" t="s">
        <v>88</v>
      </c>
      <c r="K5150" s="12" t="s">
        <v>89</v>
      </c>
      <c r="L5150" s="12" t="s">
        <v>69</v>
      </c>
      <c r="M5150">
        <v>14.93</v>
      </c>
      <c r="N5150" s="12" t="s">
        <v>70</v>
      </c>
      <c r="O5150" s="12" t="s">
        <v>71</v>
      </c>
      <c r="P5150" s="12" t="s">
        <v>72</v>
      </c>
      <c r="Q5150" s="13">
        <v>45826</v>
      </c>
      <c r="R5150" s="13">
        <v>45863</v>
      </c>
      <c r="S5150">
        <v>2025</v>
      </c>
      <c r="T5150" s="12" t="s">
        <v>6113</v>
      </c>
      <c r="U5150">
        <v>278</v>
      </c>
      <c r="V5150">
        <v>136.25559999999999</v>
      </c>
      <c r="W5150">
        <v>360.13</v>
      </c>
      <c r="X5150">
        <v>0</v>
      </c>
      <c r="Y5150">
        <v>0</v>
      </c>
      <c r="Z5150">
        <v>37879.06</v>
      </c>
      <c r="AA5150">
        <v>38239.19</v>
      </c>
      <c r="AB5150" s="12" t="s">
        <v>5445</v>
      </c>
      <c r="AC5150">
        <v>132.05160000000001</v>
      </c>
      <c r="AD5150">
        <v>1</v>
      </c>
      <c r="AE5150">
        <v>1</v>
      </c>
      <c r="AF5150">
        <v>1168.71</v>
      </c>
      <c r="AG5150">
        <v>36710.339999999997</v>
      </c>
      <c r="AH5150">
        <v>278</v>
      </c>
      <c r="AI5150">
        <v>273</v>
      </c>
      <c r="AJ5150">
        <v>5</v>
      </c>
      <c r="AK5150">
        <v>1</v>
      </c>
      <c r="AL5150">
        <v>1</v>
      </c>
      <c r="AM5150">
        <v>98.2</v>
      </c>
      <c r="AN5150">
        <v>140.0703</v>
      </c>
      <c r="AO5150">
        <v>681.28</v>
      </c>
      <c r="AP5150" s="13">
        <v>45864</v>
      </c>
      <c r="AQ5150">
        <v>1</v>
      </c>
      <c r="AR5150">
        <v>0</v>
      </c>
    </row>
    <row r="5151" spans="1:44" x14ac:dyDescent="0.35">
      <c r="A5151" s="12" t="s">
        <v>6238</v>
      </c>
      <c r="B5151" s="12" t="s">
        <v>447</v>
      </c>
      <c r="C5151" s="12" t="s">
        <v>448</v>
      </c>
      <c r="D5151" s="12" t="s">
        <v>269</v>
      </c>
      <c r="E5151" s="12" t="s">
        <v>65</v>
      </c>
      <c r="F5151">
        <v>2</v>
      </c>
      <c r="G5151">
        <v>2</v>
      </c>
      <c r="H5151">
        <v>0</v>
      </c>
      <c r="I5151" s="12" t="s">
        <v>94</v>
      </c>
      <c r="J5151" s="12" t="s">
        <v>95</v>
      </c>
      <c r="K5151" s="12" t="s">
        <v>81</v>
      </c>
      <c r="L5151" s="12" t="s">
        <v>96</v>
      </c>
      <c r="M5151">
        <v>4.8099999999999996</v>
      </c>
      <c r="N5151" s="12" t="s">
        <v>159</v>
      </c>
      <c r="O5151" s="12" t="s">
        <v>160</v>
      </c>
      <c r="P5151" s="12" t="s">
        <v>137</v>
      </c>
      <c r="Q5151" s="13">
        <v>45826</v>
      </c>
      <c r="R5151" s="13">
        <v>45859</v>
      </c>
      <c r="S5151">
        <v>2025</v>
      </c>
      <c r="T5151" s="12" t="s">
        <v>6113</v>
      </c>
      <c r="U5151">
        <v>105</v>
      </c>
      <c r="V5151">
        <v>367.30009999999999</v>
      </c>
      <c r="W5151">
        <v>244.87</v>
      </c>
      <c r="X5151">
        <v>0</v>
      </c>
      <c r="Y5151">
        <v>0</v>
      </c>
      <c r="Z5151">
        <v>38566.51</v>
      </c>
      <c r="AA5151">
        <v>38811.379999999997</v>
      </c>
      <c r="AB5151" s="12" t="s">
        <v>5685</v>
      </c>
      <c r="AC5151">
        <v>367.30009999999999</v>
      </c>
      <c r="AD5151">
        <v>1</v>
      </c>
      <c r="AE5151">
        <v>1</v>
      </c>
      <c r="AF5151">
        <v>0</v>
      </c>
      <c r="AG5151">
        <v>38566.51</v>
      </c>
      <c r="AH5151">
        <v>105</v>
      </c>
      <c r="AI5151">
        <v>104</v>
      </c>
      <c r="AJ5151">
        <v>1</v>
      </c>
      <c r="AK5151">
        <v>1</v>
      </c>
      <c r="AL5151">
        <v>1</v>
      </c>
      <c r="AM5151">
        <v>99.05</v>
      </c>
      <c r="AN5151">
        <v>373.18639999999999</v>
      </c>
      <c r="AO5151">
        <v>367.3</v>
      </c>
      <c r="AP5151" s="13">
        <v>45857</v>
      </c>
      <c r="AQ5151">
        <v>-2</v>
      </c>
      <c r="AR5151">
        <v>1</v>
      </c>
    </row>
    <row r="5152" spans="1:44" x14ac:dyDescent="0.35">
      <c r="A5152" s="12" t="s">
        <v>6239</v>
      </c>
      <c r="B5152" s="12" t="s">
        <v>602</v>
      </c>
      <c r="C5152" s="12" t="s">
        <v>603</v>
      </c>
      <c r="D5152" s="12" t="s">
        <v>114</v>
      </c>
      <c r="E5152" s="12" t="s">
        <v>142</v>
      </c>
      <c r="F5152">
        <v>2</v>
      </c>
      <c r="G5152">
        <v>10</v>
      </c>
      <c r="H5152">
        <v>0</v>
      </c>
      <c r="I5152" s="12" t="s">
        <v>263</v>
      </c>
      <c r="J5152" s="12" t="s">
        <v>264</v>
      </c>
      <c r="K5152" s="12" t="s">
        <v>125</v>
      </c>
      <c r="L5152" s="12" t="s">
        <v>82</v>
      </c>
      <c r="M5152">
        <v>10.210000000000001</v>
      </c>
      <c r="N5152" s="12" t="s">
        <v>97</v>
      </c>
      <c r="O5152" s="12" t="s">
        <v>98</v>
      </c>
      <c r="P5152" s="12" t="s">
        <v>72</v>
      </c>
      <c r="Q5152" s="13">
        <v>45826</v>
      </c>
      <c r="R5152" s="13">
        <v>45862</v>
      </c>
      <c r="S5152">
        <v>2025</v>
      </c>
      <c r="T5152" s="12" t="s">
        <v>6113</v>
      </c>
      <c r="U5152">
        <v>21</v>
      </c>
      <c r="V5152">
        <v>218.292</v>
      </c>
      <c r="W5152">
        <v>88.15</v>
      </c>
      <c r="X5152">
        <v>0</v>
      </c>
      <c r="Y5152">
        <v>0</v>
      </c>
      <c r="Z5152">
        <v>4584.13</v>
      </c>
      <c r="AA5152">
        <v>4672.28</v>
      </c>
      <c r="AB5152" s="12" t="s">
        <v>5373</v>
      </c>
      <c r="AC5152">
        <v>207.9658</v>
      </c>
      <c r="AD5152">
        <v>1</v>
      </c>
      <c r="AE5152">
        <v>1</v>
      </c>
      <c r="AF5152">
        <v>216.85</v>
      </c>
      <c r="AG5152">
        <v>4367.28</v>
      </c>
      <c r="AH5152">
        <v>21</v>
      </c>
      <c r="AI5152">
        <v>21</v>
      </c>
      <c r="AJ5152">
        <v>0</v>
      </c>
      <c r="AK5152">
        <v>1</v>
      </c>
      <c r="AL5152">
        <v>1</v>
      </c>
      <c r="AM5152">
        <v>100</v>
      </c>
      <c r="AN5152">
        <v>222.4896</v>
      </c>
      <c r="AO5152">
        <v>0</v>
      </c>
      <c r="AP5152" s="13">
        <v>45860</v>
      </c>
      <c r="AQ5152">
        <v>-2</v>
      </c>
      <c r="AR5152">
        <v>1</v>
      </c>
    </row>
    <row r="5153" spans="1:44" x14ac:dyDescent="0.35">
      <c r="A5153" s="12" t="s">
        <v>6240</v>
      </c>
      <c r="B5153" s="12" t="s">
        <v>848</v>
      </c>
      <c r="C5153" s="12" t="s">
        <v>849</v>
      </c>
      <c r="D5153" s="12" t="s">
        <v>103</v>
      </c>
      <c r="E5153" s="12" t="s">
        <v>65</v>
      </c>
      <c r="F5153">
        <v>2</v>
      </c>
      <c r="G5153">
        <v>4</v>
      </c>
      <c r="H5153">
        <v>0</v>
      </c>
      <c r="I5153" s="12" t="s">
        <v>87</v>
      </c>
      <c r="J5153" s="12" t="s">
        <v>88</v>
      </c>
      <c r="K5153" s="12" t="s">
        <v>89</v>
      </c>
      <c r="L5153" s="12" t="s">
        <v>69</v>
      </c>
      <c r="M5153">
        <v>14.93</v>
      </c>
      <c r="N5153" s="12" t="s">
        <v>145</v>
      </c>
      <c r="O5153" s="12" t="s">
        <v>146</v>
      </c>
      <c r="P5153" s="12" t="s">
        <v>109</v>
      </c>
      <c r="Q5153" s="13">
        <v>45827</v>
      </c>
      <c r="R5153" s="13">
        <v>45854</v>
      </c>
      <c r="S5153">
        <v>2025</v>
      </c>
      <c r="T5153" s="12" t="s">
        <v>6113</v>
      </c>
      <c r="U5153">
        <v>57</v>
      </c>
      <c r="V5153">
        <v>118.5639</v>
      </c>
      <c r="W5153">
        <v>87.61</v>
      </c>
      <c r="X5153">
        <v>0</v>
      </c>
      <c r="Y5153">
        <v>0</v>
      </c>
      <c r="Z5153">
        <v>6758.14</v>
      </c>
      <c r="AA5153">
        <v>6845.75</v>
      </c>
      <c r="AB5153" s="12" t="s">
        <v>5911</v>
      </c>
      <c r="AC5153">
        <v>118.5639</v>
      </c>
      <c r="AD5153">
        <v>1</v>
      </c>
      <c r="AE5153">
        <v>1</v>
      </c>
      <c r="AF5153">
        <v>0</v>
      </c>
      <c r="AG5153">
        <v>6758.14</v>
      </c>
      <c r="AH5153">
        <v>57</v>
      </c>
      <c r="AI5153">
        <v>56</v>
      </c>
      <c r="AJ5153">
        <v>1</v>
      </c>
      <c r="AK5153">
        <v>1</v>
      </c>
      <c r="AL5153">
        <v>1</v>
      </c>
      <c r="AM5153">
        <v>98.25</v>
      </c>
      <c r="AN5153">
        <v>122.2456</v>
      </c>
      <c r="AO5153">
        <v>118.56</v>
      </c>
      <c r="AP5153" s="13">
        <v>45853</v>
      </c>
      <c r="AQ5153">
        <v>-1</v>
      </c>
      <c r="AR5153">
        <v>1</v>
      </c>
    </row>
    <row r="5154" spans="1:44" x14ac:dyDescent="0.35">
      <c r="A5154" s="12" t="s">
        <v>6241</v>
      </c>
      <c r="B5154" s="12" t="s">
        <v>685</v>
      </c>
      <c r="C5154" s="12" t="s">
        <v>686</v>
      </c>
      <c r="D5154" s="12" t="s">
        <v>175</v>
      </c>
      <c r="E5154" s="12" t="s">
        <v>104</v>
      </c>
      <c r="F5154">
        <v>2</v>
      </c>
      <c r="G5154">
        <v>0</v>
      </c>
      <c r="H5154">
        <v>0</v>
      </c>
      <c r="I5154" s="12" t="s">
        <v>195</v>
      </c>
      <c r="J5154" s="12" t="s">
        <v>196</v>
      </c>
      <c r="K5154" s="12" t="s">
        <v>117</v>
      </c>
      <c r="L5154" s="12" t="s">
        <v>134</v>
      </c>
      <c r="M5154">
        <v>4.7699999999999996</v>
      </c>
      <c r="N5154" s="12" t="s">
        <v>145</v>
      </c>
      <c r="O5154" s="12" t="s">
        <v>146</v>
      </c>
      <c r="P5154" s="12" t="s">
        <v>109</v>
      </c>
      <c r="Q5154" s="13">
        <v>45827</v>
      </c>
      <c r="R5154" s="13">
        <v>45843</v>
      </c>
      <c r="S5154">
        <v>2025</v>
      </c>
      <c r="T5154" s="12" t="s">
        <v>6113</v>
      </c>
      <c r="U5154">
        <v>42</v>
      </c>
      <c r="V5154">
        <v>221.73</v>
      </c>
      <c r="W5154">
        <v>239.53</v>
      </c>
      <c r="X5154">
        <v>0</v>
      </c>
      <c r="Y5154">
        <v>0</v>
      </c>
      <c r="Z5154">
        <v>9312.66</v>
      </c>
      <c r="AA5154">
        <v>9552.19</v>
      </c>
      <c r="AB5154" s="12" t="s">
        <v>5780</v>
      </c>
      <c r="AC5154">
        <v>221.73</v>
      </c>
      <c r="AD5154">
        <v>1</v>
      </c>
      <c r="AE5154">
        <v>1</v>
      </c>
      <c r="AF5154">
        <v>0</v>
      </c>
      <c r="AG5154">
        <v>9312.66</v>
      </c>
      <c r="AH5154">
        <v>42</v>
      </c>
      <c r="AI5154">
        <v>41</v>
      </c>
      <c r="AJ5154">
        <v>1</v>
      </c>
      <c r="AK5154">
        <v>1</v>
      </c>
      <c r="AL5154">
        <v>1</v>
      </c>
      <c r="AM5154">
        <v>97.62</v>
      </c>
      <c r="AN5154">
        <v>232.9802</v>
      </c>
      <c r="AO5154">
        <v>221.73</v>
      </c>
      <c r="AP5154" s="13">
        <v>45842</v>
      </c>
      <c r="AQ5154">
        <v>-1</v>
      </c>
      <c r="AR5154">
        <v>1</v>
      </c>
    </row>
    <row r="5155" spans="1:44" x14ac:dyDescent="0.35">
      <c r="A5155" s="12" t="s">
        <v>6242</v>
      </c>
      <c r="B5155" s="12" t="s">
        <v>420</v>
      </c>
      <c r="C5155" s="12" t="s">
        <v>421</v>
      </c>
      <c r="D5155" s="12" t="s">
        <v>269</v>
      </c>
      <c r="E5155" s="12" t="s">
        <v>104</v>
      </c>
      <c r="F5155">
        <v>2</v>
      </c>
      <c r="G5155">
        <v>0</v>
      </c>
      <c r="H5155">
        <v>0</v>
      </c>
      <c r="I5155" s="12" t="s">
        <v>335</v>
      </c>
      <c r="J5155" s="12" t="s">
        <v>336</v>
      </c>
      <c r="K5155" s="12" t="s">
        <v>89</v>
      </c>
      <c r="L5155" s="12" t="s">
        <v>82</v>
      </c>
      <c r="M5155">
        <v>16</v>
      </c>
      <c r="N5155" s="12" t="s">
        <v>159</v>
      </c>
      <c r="O5155" s="12" t="s">
        <v>160</v>
      </c>
      <c r="P5155" s="12" t="s">
        <v>137</v>
      </c>
      <c r="Q5155" s="13">
        <v>45827</v>
      </c>
      <c r="R5155" s="13">
        <v>45849</v>
      </c>
      <c r="S5155">
        <v>2025</v>
      </c>
      <c r="T5155" s="12" t="s">
        <v>6113</v>
      </c>
      <c r="U5155">
        <v>88</v>
      </c>
      <c r="V5155">
        <v>160.5993</v>
      </c>
      <c r="W5155">
        <v>200.17</v>
      </c>
      <c r="X5155">
        <v>0</v>
      </c>
      <c r="Y5155">
        <v>0</v>
      </c>
      <c r="Z5155">
        <v>14132.74</v>
      </c>
      <c r="AA5155">
        <v>14332.91</v>
      </c>
      <c r="AB5155" s="12" t="s">
        <v>201</v>
      </c>
      <c r="AD5155">
        <v>0</v>
      </c>
      <c r="AE5155">
        <v>0</v>
      </c>
      <c r="AH5155">
        <v>88</v>
      </c>
      <c r="AI5155">
        <v>87</v>
      </c>
      <c r="AJ5155">
        <v>1</v>
      </c>
      <c r="AK5155">
        <v>1</v>
      </c>
      <c r="AL5155">
        <v>1</v>
      </c>
      <c r="AM5155">
        <v>98.86</v>
      </c>
      <c r="AN5155">
        <v>164.74610000000001</v>
      </c>
      <c r="AO5155">
        <v>160.6</v>
      </c>
      <c r="AP5155" s="13">
        <v>45847</v>
      </c>
      <c r="AQ5155">
        <v>-2</v>
      </c>
      <c r="AR5155">
        <v>1</v>
      </c>
    </row>
    <row r="5156" spans="1:44" x14ac:dyDescent="0.35">
      <c r="A5156" s="12" t="s">
        <v>6243</v>
      </c>
      <c r="B5156" s="12" t="s">
        <v>657</v>
      </c>
      <c r="C5156" s="12" t="s">
        <v>658</v>
      </c>
      <c r="D5156" s="12" t="s">
        <v>175</v>
      </c>
      <c r="E5156" s="12" t="s">
        <v>65</v>
      </c>
      <c r="F5156">
        <v>1</v>
      </c>
      <c r="G5156">
        <v>2</v>
      </c>
      <c r="H5156">
        <v>1</v>
      </c>
      <c r="I5156" s="12" t="s">
        <v>183</v>
      </c>
      <c r="J5156" s="12" t="s">
        <v>184</v>
      </c>
      <c r="K5156" s="12" t="s">
        <v>133</v>
      </c>
      <c r="L5156" s="12" t="s">
        <v>82</v>
      </c>
      <c r="M5156">
        <v>8.6199999999999992</v>
      </c>
      <c r="N5156" s="12" t="s">
        <v>145</v>
      </c>
      <c r="O5156" s="12" t="s">
        <v>146</v>
      </c>
      <c r="P5156" s="12" t="s">
        <v>109</v>
      </c>
      <c r="Q5156" s="13">
        <v>45827</v>
      </c>
      <c r="R5156" s="13">
        <v>45851</v>
      </c>
      <c r="S5156">
        <v>2025</v>
      </c>
      <c r="T5156" s="12" t="s">
        <v>6113</v>
      </c>
      <c r="U5156">
        <v>37</v>
      </c>
      <c r="V5156">
        <v>144.5094</v>
      </c>
      <c r="W5156">
        <v>93.77</v>
      </c>
      <c r="X5156">
        <v>0</v>
      </c>
      <c r="Y5156">
        <v>0</v>
      </c>
      <c r="Z5156">
        <v>5346.85</v>
      </c>
      <c r="AA5156">
        <v>5440.62</v>
      </c>
      <c r="AB5156" s="12" t="s">
        <v>5771</v>
      </c>
      <c r="AC5156">
        <v>144.5094</v>
      </c>
      <c r="AD5156">
        <v>1</v>
      </c>
      <c r="AE5156">
        <v>1</v>
      </c>
      <c r="AF5156">
        <v>0</v>
      </c>
      <c r="AG5156">
        <v>5346.85</v>
      </c>
      <c r="AH5156">
        <v>37</v>
      </c>
      <c r="AI5156">
        <v>37</v>
      </c>
      <c r="AJ5156">
        <v>0</v>
      </c>
      <c r="AK5156">
        <v>1</v>
      </c>
      <c r="AL5156">
        <v>1</v>
      </c>
      <c r="AM5156">
        <v>100</v>
      </c>
      <c r="AN5156">
        <v>147.0437</v>
      </c>
      <c r="AO5156">
        <v>0</v>
      </c>
      <c r="AP5156" s="13">
        <v>45848</v>
      </c>
      <c r="AQ5156">
        <v>-3</v>
      </c>
      <c r="AR5156">
        <v>1</v>
      </c>
    </row>
    <row r="5157" spans="1:44" x14ac:dyDescent="0.35">
      <c r="A5157" s="12" t="s">
        <v>6244</v>
      </c>
      <c r="B5157" s="12" t="s">
        <v>357</v>
      </c>
      <c r="C5157" s="12" t="s">
        <v>358</v>
      </c>
      <c r="D5157" s="12" t="s">
        <v>103</v>
      </c>
      <c r="E5157" s="12" t="s">
        <v>104</v>
      </c>
      <c r="F5157">
        <v>3</v>
      </c>
      <c r="G5157">
        <v>1</v>
      </c>
      <c r="H5157">
        <v>0</v>
      </c>
      <c r="I5157" s="12" t="s">
        <v>105</v>
      </c>
      <c r="J5157" s="12" t="s">
        <v>106</v>
      </c>
      <c r="K5157" s="12" t="s">
        <v>81</v>
      </c>
      <c r="L5157" s="12" t="s">
        <v>96</v>
      </c>
      <c r="M5157">
        <v>5.01</v>
      </c>
      <c r="N5157" s="12" t="s">
        <v>145</v>
      </c>
      <c r="O5157" s="12" t="s">
        <v>146</v>
      </c>
      <c r="P5157" s="12" t="s">
        <v>109</v>
      </c>
      <c r="Q5157" s="13">
        <v>45827</v>
      </c>
      <c r="R5157" s="13">
        <v>45843</v>
      </c>
      <c r="S5157">
        <v>2025</v>
      </c>
      <c r="T5157" s="12" t="s">
        <v>6113</v>
      </c>
      <c r="U5157">
        <v>45</v>
      </c>
      <c r="V5157">
        <v>112.6494</v>
      </c>
      <c r="W5157">
        <v>65.78</v>
      </c>
      <c r="X5157">
        <v>0</v>
      </c>
      <c r="Y5157">
        <v>0</v>
      </c>
      <c r="Z5157">
        <v>5069.22</v>
      </c>
      <c r="AA5157">
        <v>5135</v>
      </c>
      <c r="AB5157" s="12" t="s">
        <v>5265</v>
      </c>
      <c r="AC5157">
        <v>106.63800000000001</v>
      </c>
      <c r="AD5157">
        <v>1</v>
      </c>
      <c r="AE5157">
        <v>1</v>
      </c>
      <c r="AF5157">
        <v>270.51</v>
      </c>
      <c r="AG5157">
        <v>4798.71</v>
      </c>
      <c r="AH5157">
        <v>45</v>
      </c>
      <c r="AI5157">
        <v>45</v>
      </c>
      <c r="AJ5157">
        <v>0</v>
      </c>
      <c r="AK5157">
        <v>1</v>
      </c>
      <c r="AL5157">
        <v>1</v>
      </c>
      <c r="AM5157">
        <v>100</v>
      </c>
      <c r="AN5157">
        <v>114.1112</v>
      </c>
      <c r="AO5157">
        <v>0</v>
      </c>
      <c r="AP5157" s="13">
        <v>45843</v>
      </c>
      <c r="AQ5157">
        <v>0</v>
      </c>
      <c r="AR5157">
        <v>1</v>
      </c>
    </row>
    <row r="5158" spans="1:44" x14ac:dyDescent="0.35">
      <c r="A5158" s="12" t="s">
        <v>6245</v>
      </c>
      <c r="B5158" s="12" t="s">
        <v>289</v>
      </c>
      <c r="C5158" s="12" t="s">
        <v>290</v>
      </c>
      <c r="D5158" s="12" t="s">
        <v>175</v>
      </c>
      <c r="E5158" s="12" t="s">
        <v>104</v>
      </c>
      <c r="F5158">
        <v>3</v>
      </c>
      <c r="G5158">
        <v>1</v>
      </c>
      <c r="H5158">
        <v>0</v>
      </c>
      <c r="I5158" s="12" t="s">
        <v>157</v>
      </c>
      <c r="J5158" s="12" t="s">
        <v>158</v>
      </c>
      <c r="K5158" s="12" t="s">
        <v>117</v>
      </c>
      <c r="L5158" s="12" t="s">
        <v>96</v>
      </c>
      <c r="M5158">
        <v>4.72</v>
      </c>
      <c r="N5158" s="12" t="s">
        <v>107</v>
      </c>
      <c r="O5158" s="12" t="s">
        <v>108</v>
      </c>
      <c r="P5158" s="12" t="s">
        <v>109</v>
      </c>
      <c r="Q5158" s="13">
        <v>45827</v>
      </c>
      <c r="R5158" s="13">
        <v>45850</v>
      </c>
      <c r="S5158">
        <v>2025</v>
      </c>
      <c r="T5158" s="12" t="s">
        <v>6113</v>
      </c>
      <c r="U5158">
        <v>97</v>
      </c>
      <c r="V5158">
        <v>183.11660000000001</v>
      </c>
      <c r="W5158">
        <v>118.27</v>
      </c>
      <c r="X5158">
        <v>0</v>
      </c>
      <c r="Y5158">
        <v>0</v>
      </c>
      <c r="Z5158">
        <v>17762.310000000001</v>
      </c>
      <c r="AA5158">
        <v>17880.580000000002</v>
      </c>
      <c r="AB5158" s="12" t="s">
        <v>201</v>
      </c>
      <c r="AD5158">
        <v>0</v>
      </c>
      <c r="AE5158">
        <v>0</v>
      </c>
      <c r="AH5158">
        <v>97</v>
      </c>
      <c r="AI5158">
        <v>96</v>
      </c>
      <c r="AJ5158">
        <v>1</v>
      </c>
      <c r="AK5158">
        <v>1</v>
      </c>
      <c r="AL5158">
        <v>1</v>
      </c>
      <c r="AM5158">
        <v>98.97</v>
      </c>
      <c r="AN5158">
        <v>186.256</v>
      </c>
      <c r="AO5158">
        <v>183.12</v>
      </c>
      <c r="AP5158" s="13">
        <v>45848</v>
      </c>
      <c r="AQ5158">
        <v>-2</v>
      </c>
      <c r="AR5158">
        <v>1</v>
      </c>
    </row>
    <row r="5159" spans="1:44" x14ac:dyDescent="0.35">
      <c r="A5159" s="12" t="s">
        <v>6246</v>
      </c>
      <c r="B5159" s="12" t="s">
        <v>712</v>
      </c>
      <c r="C5159" s="12" t="s">
        <v>713</v>
      </c>
      <c r="D5159" s="12" t="s">
        <v>103</v>
      </c>
      <c r="E5159" s="12" t="s">
        <v>104</v>
      </c>
      <c r="F5159">
        <v>2</v>
      </c>
      <c r="G5159">
        <v>0</v>
      </c>
      <c r="H5159">
        <v>0</v>
      </c>
      <c r="I5159" s="12" t="s">
        <v>199</v>
      </c>
      <c r="J5159" s="12" t="s">
        <v>200</v>
      </c>
      <c r="K5159" s="12" t="s">
        <v>68</v>
      </c>
      <c r="L5159" s="12" t="s">
        <v>96</v>
      </c>
      <c r="M5159">
        <v>9.4700000000000006</v>
      </c>
      <c r="N5159" s="12" t="s">
        <v>145</v>
      </c>
      <c r="O5159" s="12" t="s">
        <v>146</v>
      </c>
      <c r="P5159" s="12" t="s">
        <v>109</v>
      </c>
      <c r="Q5159" s="13">
        <v>45827</v>
      </c>
      <c r="R5159" s="13">
        <v>45841</v>
      </c>
      <c r="S5159">
        <v>2025</v>
      </c>
      <c r="T5159" s="12" t="s">
        <v>6113</v>
      </c>
      <c r="U5159">
        <v>29</v>
      </c>
      <c r="V5159">
        <v>216.39580000000001</v>
      </c>
      <c r="W5159">
        <v>124.44</v>
      </c>
      <c r="X5159">
        <v>0</v>
      </c>
      <c r="Y5159">
        <v>0</v>
      </c>
      <c r="Z5159">
        <v>6275.48</v>
      </c>
      <c r="AA5159">
        <v>6399.92</v>
      </c>
      <c r="AB5159" s="12" t="s">
        <v>201</v>
      </c>
      <c r="AD5159">
        <v>0</v>
      </c>
      <c r="AE5159">
        <v>0</v>
      </c>
      <c r="AH5159">
        <v>29</v>
      </c>
      <c r="AI5159">
        <v>29</v>
      </c>
      <c r="AJ5159">
        <v>0</v>
      </c>
      <c r="AK5159">
        <v>1</v>
      </c>
      <c r="AL5159">
        <v>1</v>
      </c>
      <c r="AM5159">
        <v>100</v>
      </c>
      <c r="AN5159">
        <v>220.68680000000001</v>
      </c>
      <c r="AO5159">
        <v>0</v>
      </c>
      <c r="AP5159" s="13">
        <v>45842</v>
      </c>
      <c r="AQ5159">
        <v>1</v>
      </c>
      <c r="AR5159">
        <v>0</v>
      </c>
    </row>
    <row r="5160" spans="1:44" x14ac:dyDescent="0.35">
      <c r="A5160" s="12" t="s">
        <v>6247</v>
      </c>
      <c r="B5160" s="12" t="s">
        <v>972</v>
      </c>
      <c r="C5160" s="12" t="s">
        <v>973</v>
      </c>
      <c r="D5160" s="12" t="s">
        <v>130</v>
      </c>
      <c r="E5160" s="12" t="s">
        <v>142</v>
      </c>
      <c r="F5160">
        <v>2</v>
      </c>
      <c r="G5160">
        <v>9</v>
      </c>
      <c r="H5160">
        <v>0</v>
      </c>
      <c r="I5160" s="12" t="s">
        <v>676</v>
      </c>
      <c r="J5160" s="12" t="s">
        <v>677</v>
      </c>
      <c r="K5160" s="12" t="s">
        <v>68</v>
      </c>
      <c r="L5160" s="12" t="s">
        <v>96</v>
      </c>
      <c r="M5160">
        <v>3.57</v>
      </c>
      <c r="N5160" s="12" t="s">
        <v>135</v>
      </c>
      <c r="O5160" s="12" t="s">
        <v>136</v>
      </c>
      <c r="P5160" s="12" t="s">
        <v>137</v>
      </c>
      <c r="Q5160" s="13">
        <v>45827</v>
      </c>
      <c r="R5160" s="13">
        <v>45876</v>
      </c>
      <c r="S5160">
        <v>2025</v>
      </c>
      <c r="T5160" s="12" t="s">
        <v>6113</v>
      </c>
      <c r="U5160">
        <v>125</v>
      </c>
      <c r="V5160">
        <v>839.82719999999995</v>
      </c>
      <c r="W5160">
        <v>2434.29</v>
      </c>
      <c r="X5160">
        <v>0</v>
      </c>
      <c r="Y5160">
        <v>0</v>
      </c>
      <c r="Z5160">
        <v>104978.4</v>
      </c>
      <c r="AA5160">
        <v>107412.69</v>
      </c>
      <c r="AB5160" s="12" t="s">
        <v>6005</v>
      </c>
      <c r="AC5160">
        <v>839.82719999999995</v>
      </c>
      <c r="AD5160">
        <v>1</v>
      </c>
      <c r="AE5160">
        <v>1</v>
      </c>
      <c r="AF5160">
        <v>0</v>
      </c>
      <c r="AG5160">
        <v>104978.4</v>
      </c>
      <c r="AH5160">
        <v>125</v>
      </c>
      <c r="AI5160">
        <v>123</v>
      </c>
      <c r="AJ5160">
        <v>2</v>
      </c>
      <c r="AK5160">
        <v>1</v>
      </c>
      <c r="AL5160">
        <v>1</v>
      </c>
      <c r="AM5160">
        <v>98.4</v>
      </c>
      <c r="AN5160">
        <v>873.27390000000003</v>
      </c>
      <c r="AO5160">
        <v>1679.65</v>
      </c>
      <c r="AP5160" s="13">
        <v>45875</v>
      </c>
      <c r="AQ5160">
        <v>-1</v>
      </c>
      <c r="AR5160">
        <v>1</v>
      </c>
    </row>
    <row r="5161" spans="1:44" x14ac:dyDescent="0.35">
      <c r="A5161" s="12" t="s">
        <v>6248</v>
      </c>
      <c r="B5161" s="12" t="s">
        <v>347</v>
      </c>
      <c r="C5161" s="12" t="s">
        <v>348</v>
      </c>
      <c r="D5161" s="12" t="s">
        <v>78</v>
      </c>
      <c r="E5161" s="12" t="s">
        <v>104</v>
      </c>
      <c r="F5161">
        <v>3</v>
      </c>
      <c r="G5161">
        <v>1</v>
      </c>
      <c r="H5161">
        <v>0</v>
      </c>
      <c r="I5161" s="12" t="s">
        <v>105</v>
      </c>
      <c r="J5161" s="12" t="s">
        <v>106</v>
      </c>
      <c r="K5161" s="12" t="s">
        <v>81</v>
      </c>
      <c r="L5161" s="12" t="s">
        <v>96</v>
      </c>
      <c r="M5161">
        <v>5.01</v>
      </c>
      <c r="N5161" s="12" t="s">
        <v>70</v>
      </c>
      <c r="O5161" s="12" t="s">
        <v>71</v>
      </c>
      <c r="P5161" s="12" t="s">
        <v>72</v>
      </c>
      <c r="Q5161" s="13">
        <v>45828</v>
      </c>
      <c r="R5161" s="13">
        <v>45845</v>
      </c>
      <c r="S5161">
        <v>2025</v>
      </c>
      <c r="T5161" s="12" t="s">
        <v>6113</v>
      </c>
      <c r="U5161">
        <v>119</v>
      </c>
      <c r="V5161">
        <v>112.0783</v>
      </c>
      <c r="W5161">
        <v>204.78</v>
      </c>
      <c r="X5161">
        <v>0</v>
      </c>
      <c r="Y5161">
        <v>0</v>
      </c>
      <c r="Z5161">
        <v>13337.32</v>
      </c>
      <c r="AA5161">
        <v>13542.1</v>
      </c>
      <c r="AB5161" s="12" t="s">
        <v>201</v>
      </c>
      <c r="AD5161">
        <v>0</v>
      </c>
      <c r="AE5161">
        <v>0</v>
      </c>
      <c r="AH5161">
        <v>119</v>
      </c>
      <c r="AI5161">
        <v>117</v>
      </c>
      <c r="AJ5161">
        <v>2</v>
      </c>
      <c r="AK5161">
        <v>1</v>
      </c>
      <c r="AL5161">
        <v>1</v>
      </c>
      <c r="AM5161">
        <v>98.32</v>
      </c>
      <c r="AN5161">
        <v>115.7444</v>
      </c>
      <c r="AO5161">
        <v>224.16</v>
      </c>
      <c r="AP5161" s="13">
        <v>45845</v>
      </c>
      <c r="AQ5161">
        <v>0</v>
      </c>
      <c r="AR5161">
        <v>1</v>
      </c>
    </row>
    <row r="5162" spans="1:44" x14ac:dyDescent="0.35">
      <c r="A5162" s="12" t="s">
        <v>6249</v>
      </c>
      <c r="B5162" s="12" t="s">
        <v>347</v>
      </c>
      <c r="C5162" s="12" t="s">
        <v>348</v>
      </c>
      <c r="D5162" s="12" t="s">
        <v>78</v>
      </c>
      <c r="E5162" s="12" t="s">
        <v>104</v>
      </c>
      <c r="F5162">
        <v>3</v>
      </c>
      <c r="G5162">
        <v>1</v>
      </c>
      <c r="H5162">
        <v>0</v>
      </c>
      <c r="I5162" s="12" t="s">
        <v>105</v>
      </c>
      <c r="J5162" s="12" t="s">
        <v>106</v>
      </c>
      <c r="K5162" s="12" t="s">
        <v>81</v>
      </c>
      <c r="L5162" s="12" t="s">
        <v>96</v>
      </c>
      <c r="M5162">
        <v>5.01</v>
      </c>
      <c r="N5162" s="12" t="s">
        <v>70</v>
      </c>
      <c r="O5162" s="12" t="s">
        <v>71</v>
      </c>
      <c r="P5162" s="12" t="s">
        <v>72</v>
      </c>
      <c r="Q5162" s="13">
        <v>45828</v>
      </c>
      <c r="R5162" s="13">
        <v>45851</v>
      </c>
      <c r="S5162">
        <v>2025</v>
      </c>
      <c r="T5162" s="12" t="s">
        <v>6113</v>
      </c>
      <c r="U5162">
        <v>206</v>
      </c>
      <c r="V5162">
        <v>112.2841</v>
      </c>
      <c r="W5162">
        <v>294.08</v>
      </c>
      <c r="X5162">
        <v>0</v>
      </c>
      <c r="Y5162">
        <v>0</v>
      </c>
      <c r="Z5162">
        <v>23130.52</v>
      </c>
      <c r="AA5162">
        <v>23424.6</v>
      </c>
      <c r="AB5162" s="12" t="s">
        <v>201</v>
      </c>
      <c r="AD5162">
        <v>0</v>
      </c>
      <c r="AE5162">
        <v>0</v>
      </c>
      <c r="AH5162">
        <v>206</v>
      </c>
      <c r="AI5162">
        <v>205</v>
      </c>
      <c r="AJ5162">
        <v>1</v>
      </c>
      <c r="AK5162">
        <v>1</v>
      </c>
      <c r="AL5162">
        <v>1</v>
      </c>
      <c r="AM5162">
        <v>99.51</v>
      </c>
      <c r="AN5162">
        <v>114.2664</v>
      </c>
      <c r="AO5162">
        <v>112.28</v>
      </c>
      <c r="AP5162" s="13">
        <v>45849</v>
      </c>
      <c r="AQ5162">
        <v>-2</v>
      </c>
      <c r="AR5162">
        <v>1</v>
      </c>
    </row>
    <row r="5163" spans="1:44" x14ac:dyDescent="0.35">
      <c r="A5163" s="12" t="s">
        <v>6250</v>
      </c>
      <c r="B5163" s="12" t="s">
        <v>163</v>
      </c>
      <c r="C5163" s="12" t="s">
        <v>164</v>
      </c>
      <c r="D5163" s="12" t="s">
        <v>64</v>
      </c>
      <c r="E5163" s="12" t="s">
        <v>104</v>
      </c>
      <c r="F5163">
        <v>2</v>
      </c>
      <c r="G5163">
        <v>0</v>
      </c>
      <c r="H5163">
        <v>0</v>
      </c>
      <c r="I5163" s="12" t="s">
        <v>79</v>
      </c>
      <c r="J5163" s="12" t="s">
        <v>80</v>
      </c>
      <c r="K5163" s="12" t="s">
        <v>81</v>
      </c>
      <c r="L5163" s="12" t="s">
        <v>82</v>
      </c>
      <c r="M5163">
        <v>12.07</v>
      </c>
      <c r="N5163" s="12" t="s">
        <v>70</v>
      </c>
      <c r="O5163" s="12" t="s">
        <v>71</v>
      </c>
      <c r="P5163" s="12" t="s">
        <v>72</v>
      </c>
      <c r="Q5163" s="13">
        <v>45828</v>
      </c>
      <c r="R5163" s="13">
        <v>45847</v>
      </c>
      <c r="S5163">
        <v>2025</v>
      </c>
      <c r="T5163" s="12" t="s">
        <v>6113</v>
      </c>
      <c r="U5163">
        <v>465</v>
      </c>
      <c r="V5163">
        <v>10.482900000000001</v>
      </c>
      <c r="W5163">
        <v>59.67</v>
      </c>
      <c r="X5163">
        <v>0</v>
      </c>
      <c r="Y5163">
        <v>0</v>
      </c>
      <c r="Z5163">
        <v>4874.55</v>
      </c>
      <c r="AA5163">
        <v>4934.22</v>
      </c>
      <c r="AB5163" s="12" t="s">
        <v>5303</v>
      </c>
      <c r="AC5163">
        <v>10.482900000000001</v>
      </c>
      <c r="AD5163">
        <v>1</v>
      </c>
      <c r="AE5163">
        <v>1</v>
      </c>
      <c r="AF5163">
        <v>0</v>
      </c>
      <c r="AG5163">
        <v>4874.55</v>
      </c>
      <c r="AH5163">
        <v>465</v>
      </c>
      <c r="AI5163">
        <v>463</v>
      </c>
      <c r="AJ5163">
        <v>2</v>
      </c>
      <c r="AK5163">
        <v>1</v>
      </c>
      <c r="AL5163">
        <v>1</v>
      </c>
      <c r="AM5163">
        <v>99.57</v>
      </c>
      <c r="AN5163">
        <v>10.6571</v>
      </c>
      <c r="AO5163">
        <v>20.97</v>
      </c>
      <c r="AP5163" s="13">
        <v>45845</v>
      </c>
      <c r="AQ5163">
        <v>-2</v>
      </c>
      <c r="AR5163">
        <v>1</v>
      </c>
    </row>
    <row r="5164" spans="1:44" x14ac:dyDescent="0.35">
      <c r="A5164" s="12" t="s">
        <v>6251</v>
      </c>
      <c r="B5164" s="12" t="s">
        <v>1108</v>
      </c>
      <c r="C5164" s="12" t="s">
        <v>1109</v>
      </c>
      <c r="D5164" s="12" t="s">
        <v>103</v>
      </c>
      <c r="E5164" s="12" t="s">
        <v>65</v>
      </c>
      <c r="F5164">
        <v>3</v>
      </c>
      <c r="G5164">
        <v>4</v>
      </c>
      <c r="H5164">
        <v>0</v>
      </c>
      <c r="I5164" s="12" t="s">
        <v>79</v>
      </c>
      <c r="J5164" s="12" t="s">
        <v>80</v>
      </c>
      <c r="K5164" s="12" t="s">
        <v>81</v>
      </c>
      <c r="L5164" s="12" t="s">
        <v>82</v>
      </c>
      <c r="M5164">
        <v>12.07</v>
      </c>
      <c r="N5164" s="12" t="s">
        <v>107</v>
      </c>
      <c r="O5164" s="12" t="s">
        <v>108</v>
      </c>
      <c r="P5164" s="12" t="s">
        <v>109</v>
      </c>
      <c r="Q5164" s="13">
        <v>45828</v>
      </c>
      <c r="R5164" s="13">
        <v>45863</v>
      </c>
      <c r="S5164">
        <v>2025</v>
      </c>
      <c r="T5164" s="12" t="s">
        <v>6113</v>
      </c>
      <c r="U5164">
        <v>120</v>
      </c>
      <c r="V5164">
        <v>85.1721</v>
      </c>
      <c r="W5164">
        <v>159.33000000000001</v>
      </c>
      <c r="X5164">
        <v>0</v>
      </c>
      <c r="Y5164">
        <v>0</v>
      </c>
      <c r="Z5164">
        <v>10220.65</v>
      </c>
      <c r="AA5164">
        <v>10379.98</v>
      </c>
      <c r="AB5164" s="12" t="s">
        <v>6252</v>
      </c>
      <c r="AC5164">
        <v>85.1721</v>
      </c>
      <c r="AD5164">
        <v>1</v>
      </c>
      <c r="AE5164">
        <v>1</v>
      </c>
      <c r="AF5164">
        <v>0</v>
      </c>
      <c r="AG5164">
        <v>10220.65</v>
      </c>
      <c r="AH5164">
        <v>120</v>
      </c>
      <c r="AI5164">
        <v>118</v>
      </c>
      <c r="AJ5164">
        <v>2</v>
      </c>
      <c r="AK5164">
        <v>1</v>
      </c>
      <c r="AL5164">
        <v>1</v>
      </c>
      <c r="AM5164">
        <v>98.33</v>
      </c>
      <c r="AN5164">
        <v>87.965900000000005</v>
      </c>
      <c r="AO5164">
        <v>170.34</v>
      </c>
      <c r="AP5164" s="13">
        <v>45860</v>
      </c>
      <c r="AQ5164">
        <v>-3</v>
      </c>
      <c r="AR5164">
        <v>1</v>
      </c>
    </row>
    <row r="5165" spans="1:44" x14ac:dyDescent="0.35">
      <c r="A5165" s="12" t="s">
        <v>6253</v>
      </c>
      <c r="B5165" s="12" t="s">
        <v>843</v>
      </c>
      <c r="C5165" s="12" t="s">
        <v>844</v>
      </c>
      <c r="D5165" s="12" t="s">
        <v>175</v>
      </c>
      <c r="E5165" s="12" t="s">
        <v>65</v>
      </c>
      <c r="F5165">
        <v>3</v>
      </c>
      <c r="G5165">
        <v>5</v>
      </c>
      <c r="H5165">
        <v>0</v>
      </c>
      <c r="I5165" s="12" t="s">
        <v>359</v>
      </c>
      <c r="J5165" s="12" t="s">
        <v>360</v>
      </c>
      <c r="K5165" s="12" t="s">
        <v>133</v>
      </c>
      <c r="L5165" s="12" t="s">
        <v>82</v>
      </c>
      <c r="M5165">
        <v>12.65</v>
      </c>
      <c r="N5165" s="12" t="s">
        <v>107</v>
      </c>
      <c r="O5165" s="12" t="s">
        <v>108</v>
      </c>
      <c r="P5165" s="12" t="s">
        <v>109</v>
      </c>
      <c r="Q5165" s="13">
        <v>45828</v>
      </c>
      <c r="R5165" s="13">
        <v>45864</v>
      </c>
      <c r="S5165">
        <v>2025</v>
      </c>
      <c r="T5165" s="12" t="s">
        <v>6113</v>
      </c>
      <c r="U5165">
        <v>132</v>
      </c>
      <c r="V5165">
        <v>237.4212</v>
      </c>
      <c r="W5165">
        <v>340.5</v>
      </c>
      <c r="X5165">
        <v>0</v>
      </c>
      <c r="Y5165">
        <v>0</v>
      </c>
      <c r="Z5165">
        <v>31339.599999999999</v>
      </c>
      <c r="AA5165">
        <v>31680.1</v>
      </c>
      <c r="AB5165" s="12" t="s">
        <v>6075</v>
      </c>
      <c r="AC5165">
        <v>237.4212</v>
      </c>
      <c r="AD5165">
        <v>1</v>
      </c>
      <c r="AE5165">
        <v>1</v>
      </c>
      <c r="AF5165">
        <v>0</v>
      </c>
      <c r="AG5165">
        <v>31339.599999999999</v>
      </c>
      <c r="AH5165">
        <v>132</v>
      </c>
      <c r="AI5165">
        <v>131</v>
      </c>
      <c r="AJ5165">
        <v>1</v>
      </c>
      <c r="AK5165">
        <v>1</v>
      </c>
      <c r="AL5165">
        <v>1</v>
      </c>
      <c r="AM5165">
        <v>99.24</v>
      </c>
      <c r="AN5165">
        <v>241.83279999999999</v>
      </c>
      <c r="AO5165">
        <v>237.42</v>
      </c>
      <c r="AP5165" s="13">
        <v>45861</v>
      </c>
      <c r="AQ5165">
        <v>-3</v>
      </c>
      <c r="AR5165">
        <v>1</v>
      </c>
    </row>
    <row r="5166" spans="1:44" x14ac:dyDescent="0.35">
      <c r="A5166" s="12" t="s">
        <v>6254</v>
      </c>
      <c r="B5166" s="12" t="s">
        <v>843</v>
      </c>
      <c r="C5166" s="12" t="s">
        <v>844</v>
      </c>
      <c r="D5166" s="12" t="s">
        <v>175</v>
      </c>
      <c r="E5166" s="12" t="s">
        <v>65</v>
      </c>
      <c r="F5166">
        <v>3</v>
      </c>
      <c r="G5166">
        <v>5</v>
      </c>
      <c r="H5166">
        <v>0</v>
      </c>
      <c r="I5166" s="12" t="s">
        <v>359</v>
      </c>
      <c r="J5166" s="12" t="s">
        <v>360</v>
      </c>
      <c r="K5166" s="12" t="s">
        <v>133</v>
      </c>
      <c r="L5166" s="12" t="s">
        <v>82</v>
      </c>
      <c r="M5166">
        <v>12.65</v>
      </c>
      <c r="N5166" s="12" t="s">
        <v>145</v>
      </c>
      <c r="O5166" s="12" t="s">
        <v>146</v>
      </c>
      <c r="P5166" s="12" t="s">
        <v>109</v>
      </c>
      <c r="Q5166" s="13">
        <v>45828</v>
      </c>
      <c r="R5166" s="13">
        <v>45852</v>
      </c>
      <c r="S5166">
        <v>2025</v>
      </c>
      <c r="T5166" s="12" t="s">
        <v>6113</v>
      </c>
      <c r="U5166">
        <v>33</v>
      </c>
      <c r="V5166">
        <v>237.4212</v>
      </c>
      <c r="W5166">
        <v>114.06</v>
      </c>
      <c r="X5166">
        <v>0</v>
      </c>
      <c r="Y5166">
        <v>0</v>
      </c>
      <c r="Z5166">
        <v>7834.9</v>
      </c>
      <c r="AA5166">
        <v>7948.96</v>
      </c>
      <c r="AB5166" s="12" t="s">
        <v>6075</v>
      </c>
      <c r="AC5166">
        <v>237.4212</v>
      </c>
      <c r="AD5166">
        <v>1</v>
      </c>
      <c r="AE5166">
        <v>1</v>
      </c>
      <c r="AF5166">
        <v>0</v>
      </c>
      <c r="AG5166">
        <v>7834.9</v>
      </c>
      <c r="AH5166">
        <v>33</v>
      </c>
      <c r="AI5166">
        <v>33</v>
      </c>
      <c r="AJ5166">
        <v>0</v>
      </c>
      <c r="AK5166">
        <v>1</v>
      </c>
      <c r="AL5166">
        <v>1</v>
      </c>
      <c r="AM5166">
        <v>100</v>
      </c>
      <c r="AN5166">
        <v>240.8776</v>
      </c>
      <c r="AO5166">
        <v>0</v>
      </c>
      <c r="AP5166" s="13">
        <v>45851</v>
      </c>
      <c r="AQ5166">
        <v>-1</v>
      </c>
      <c r="AR5166">
        <v>1</v>
      </c>
    </row>
    <row r="5167" spans="1:44" x14ac:dyDescent="0.35">
      <c r="A5167" s="12" t="s">
        <v>6255</v>
      </c>
      <c r="B5167" s="12" t="s">
        <v>685</v>
      </c>
      <c r="C5167" s="12" t="s">
        <v>686</v>
      </c>
      <c r="D5167" s="12" t="s">
        <v>175</v>
      </c>
      <c r="E5167" s="12" t="s">
        <v>104</v>
      </c>
      <c r="F5167">
        <v>2</v>
      </c>
      <c r="G5167">
        <v>0</v>
      </c>
      <c r="H5167">
        <v>0</v>
      </c>
      <c r="I5167" s="12" t="s">
        <v>195</v>
      </c>
      <c r="J5167" s="12" t="s">
        <v>196</v>
      </c>
      <c r="K5167" s="12" t="s">
        <v>117</v>
      </c>
      <c r="L5167" s="12" t="s">
        <v>134</v>
      </c>
      <c r="M5167">
        <v>4.7699999999999996</v>
      </c>
      <c r="N5167" s="12" t="s">
        <v>145</v>
      </c>
      <c r="O5167" s="12" t="s">
        <v>146</v>
      </c>
      <c r="P5167" s="12" t="s">
        <v>109</v>
      </c>
      <c r="Q5167" s="13">
        <v>45828</v>
      </c>
      <c r="R5167" s="13">
        <v>45852</v>
      </c>
      <c r="S5167">
        <v>2025</v>
      </c>
      <c r="T5167" s="12" t="s">
        <v>6113</v>
      </c>
      <c r="U5167">
        <v>110</v>
      </c>
      <c r="V5167">
        <v>221.73</v>
      </c>
      <c r="W5167">
        <v>181.06</v>
      </c>
      <c r="X5167">
        <v>0</v>
      </c>
      <c r="Y5167">
        <v>0</v>
      </c>
      <c r="Z5167">
        <v>24390.3</v>
      </c>
      <c r="AA5167">
        <v>24571.360000000001</v>
      </c>
      <c r="AB5167" s="12" t="s">
        <v>5780</v>
      </c>
      <c r="AC5167">
        <v>221.73</v>
      </c>
      <c r="AD5167">
        <v>1</v>
      </c>
      <c r="AE5167">
        <v>1</v>
      </c>
      <c r="AF5167">
        <v>0</v>
      </c>
      <c r="AG5167">
        <v>24390.3</v>
      </c>
      <c r="AH5167">
        <v>110</v>
      </c>
      <c r="AI5167">
        <v>109</v>
      </c>
      <c r="AJ5167">
        <v>1</v>
      </c>
      <c r="AK5167">
        <v>1</v>
      </c>
      <c r="AL5167">
        <v>1</v>
      </c>
      <c r="AM5167">
        <v>99.09</v>
      </c>
      <c r="AN5167">
        <v>225.42529999999999</v>
      </c>
      <c r="AO5167">
        <v>221.73</v>
      </c>
      <c r="AP5167" s="13">
        <v>45852</v>
      </c>
      <c r="AQ5167">
        <v>0</v>
      </c>
      <c r="AR5167">
        <v>1</v>
      </c>
    </row>
    <row r="5168" spans="1:44" x14ac:dyDescent="0.35">
      <c r="A5168" s="12" t="s">
        <v>6256</v>
      </c>
      <c r="B5168" s="12" t="s">
        <v>617</v>
      </c>
      <c r="C5168" s="12" t="s">
        <v>618</v>
      </c>
      <c r="D5168" s="12" t="s">
        <v>78</v>
      </c>
      <c r="E5168" s="12" t="s">
        <v>65</v>
      </c>
      <c r="F5168">
        <v>2</v>
      </c>
      <c r="G5168">
        <v>4</v>
      </c>
      <c r="H5168">
        <v>0</v>
      </c>
      <c r="I5168" s="12" t="s">
        <v>341</v>
      </c>
      <c r="J5168" s="12" t="s">
        <v>342</v>
      </c>
      <c r="K5168" s="12" t="s">
        <v>117</v>
      </c>
      <c r="L5168" s="12" t="s">
        <v>82</v>
      </c>
      <c r="M5168">
        <v>18.36</v>
      </c>
      <c r="N5168" s="12" t="s">
        <v>70</v>
      </c>
      <c r="O5168" s="12" t="s">
        <v>71</v>
      </c>
      <c r="P5168" s="12" t="s">
        <v>72</v>
      </c>
      <c r="Q5168" s="13">
        <v>45828</v>
      </c>
      <c r="R5168" s="13">
        <v>45850</v>
      </c>
      <c r="S5168">
        <v>2025</v>
      </c>
      <c r="T5168" s="12" t="s">
        <v>6113</v>
      </c>
      <c r="U5168">
        <v>68</v>
      </c>
      <c r="V5168">
        <v>97.033799999999999</v>
      </c>
      <c r="W5168">
        <v>51.8</v>
      </c>
      <c r="X5168">
        <v>0</v>
      </c>
      <c r="Y5168">
        <v>0</v>
      </c>
      <c r="Z5168">
        <v>6598.3</v>
      </c>
      <c r="AA5168">
        <v>6650.1</v>
      </c>
      <c r="AB5168" s="12" t="s">
        <v>5541</v>
      </c>
      <c r="AC5168">
        <v>97.033799999999999</v>
      </c>
      <c r="AD5168">
        <v>1</v>
      </c>
      <c r="AE5168">
        <v>1</v>
      </c>
      <c r="AF5168">
        <v>0</v>
      </c>
      <c r="AG5168">
        <v>6598.3</v>
      </c>
      <c r="AH5168">
        <v>68</v>
      </c>
      <c r="AI5168">
        <v>67</v>
      </c>
      <c r="AJ5168">
        <v>1</v>
      </c>
      <c r="AK5168">
        <v>1</v>
      </c>
      <c r="AL5168">
        <v>1</v>
      </c>
      <c r="AM5168">
        <v>98.53</v>
      </c>
      <c r="AN5168">
        <v>99.255200000000002</v>
      </c>
      <c r="AO5168">
        <v>97.03</v>
      </c>
      <c r="AP5168" s="13">
        <v>45848</v>
      </c>
      <c r="AQ5168">
        <v>-2</v>
      </c>
      <c r="AR5168">
        <v>1</v>
      </c>
    </row>
    <row r="5169" spans="1:44" x14ac:dyDescent="0.35">
      <c r="A5169" s="12" t="s">
        <v>6257</v>
      </c>
      <c r="B5169" s="12" t="s">
        <v>598</v>
      </c>
      <c r="C5169" s="12" t="s">
        <v>599</v>
      </c>
      <c r="D5169" s="12" t="s">
        <v>269</v>
      </c>
      <c r="E5169" s="12" t="s">
        <v>65</v>
      </c>
      <c r="F5169">
        <v>1</v>
      </c>
      <c r="G5169">
        <v>2</v>
      </c>
      <c r="H5169">
        <v>1</v>
      </c>
      <c r="I5169" s="12" t="s">
        <v>176</v>
      </c>
      <c r="J5169" s="12" t="s">
        <v>177</v>
      </c>
      <c r="K5169" s="12" t="s">
        <v>125</v>
      </c>
      <c r="L5169" s="12" t="s">
        <v>134</v>
      </c>
      <c r="M5169">
        <v>1.75</v>
      </c>
      <c r="N5169" s="12" t="s">
        <v>135</v>
      </c>
      <c r="O5169" s="12" t="s">
        <v>136</v>
      </c>
      <c r="P5169" s="12" t="s">
        <v>137</v>
      </c>
      <c r="Q5169" s="13">
        <v>45828</v>
      </c>
      <c r="R5169" s="13">
        <v>45864</v>
      </c>
      <c r="S5169">
        <v>2025</v>
      </c>
      <c r="T5169" s="12" t="s">
        <v>6113</v>
      </c>
      <c r="U5169">
        <v>132</v>
      </c>
      <c r="V5169">
        <v>506.10919999999999</v>
      </c>
      <c r="W5169">
        <v>1383.06</v>
      </c>
      <c r="X5169">
        <v>0</v>
      </c>
      <c r="Y5169">
        <v>0</v>
      </c>
      <c r="Z5169">
        <v>66806.41</v>
      </c>
      <c r="AA5169">
        <v>68189.47</v>
      </c>
      <c r="AB5169" s="12" t="s">
        <v>201</v>
      </c>
      <c r="AD5169">
        <v>0</v>
      </c>
      <c r="AE5169">
        <v>0</v>
      </c>
      <c r="AH5169">
        <v>132</v>
      </c>
      <c r="AI5169">
        <v>130</v>
      </c>
      <c r="AJ5169">
        <v>2</v>
      </c>
      <c r="AK5169">
        <v>1</v>
      </c>
      <c r="AL5169">
        <v>1</v>
      </c>
      <c r="AM5169">
        <v>98.48</v>
      </c>
      <c r="AN5169">
        <v>524.53440000000001</v>
      </c>
      <c r="AO5169">
        <v>1012.22</v>
      </c>
      <c r="AP5169" s="13">
        <v>45863</v>
      </c>
      <c r="AQ5169">
        <v>-1</v>
      </c>
      <c r="AR5169">
        <v>1</v>
      </c>
    </row>
    <row r="5170" spans="1:44" x14ac:dyDescent="0.35">
      <c r="A5170" s="12" t="s">
        <v>6258</v>
      </c>
      <c r="B5170" s="12" t="s">
        <v>1666</v>
      </c>
      <c r="C5170" s="12" t="s">
        <v>1667</v>
      </c>
      <c r="D5170" s="12" t="s">
        <v>78</v>
      </c>
      <c r="E5170" s="12" t="s">
        <v>65</v>
      </c>
      <c r="F5170">
        <v>2</v>
      </c>
      <c r="G5170">
        <v>3</v>
      </c>
      <c r="H5170">
        <v>0</v>
      </c>
      <c r="I5170" s="12" t="s">
        <v>310</v>
      </c>
      <c r="J5170" s="12" t="s">
        <v>311</v>
      </c>
      <c r="K5170" s="12" t="s">
        <v>81</v>
      </c>
      <c r="L5170" s="12" t="s">
        <v>69</v>
      </c>
      <c r="M5170">
        <v>28.3</v>
      </c>
      <c r="N5170" s="12" t="s">
        <v>70</v>
      </c>
      <c r="O5170" s="12" t="s">
        <v>71</v>
      </c>
      <c r="P5170" s="12" t="s">
        <v>72</v>
      </c>
      <c r="Q5170" s="13">
        <v>45828</v>
      </c>
      <c r="R5170" s="13">
        <v>45862</v>
      </c>
      <c r="S5170">
        <v>2025</v>
      </c>
      <c r="T5170" s="12" t="s">
        <v>6113</v>
      </c>
      <c r="U5170">
        <v>233</v>
      </c>
      <c r="V5170">
        <v>71.7453</v>
      </c>
      <c r="W5170">
        <v>221.57</v>
      </c>
      <c r="X5170">
        <v>0</v>
      </c>
      <c r="Y5170">
        <v>0</v>
      </c>
      <c r="Z5170">
        <v>16716.650000000001</v>
      </c>
      <c r="AA5170">
        <v>16938.22</v>
      </c>
      <c r="AB5170" s="12" t="s">
        <v>5785</v>
      </c>
      <c r="AC5170">
        <v>71.7453</v>
      </c>
      <c r="AD5170">
        <v>1</v>
      </c>
      <c r="AE5170">
        <v>1</v>
      </c>
      <c r="AF5170">
        <v>0</v>
      </c>
      <c r="AG5170">
        <v>16716.650000000001</v>
      </c>
      <c r="AH5170">
        <v>233</v>
      </c>
      <c r="AI5170">
        <v>232</v>
      </c>
      <c r="AJ5170">
        <v>1</v>
      </c>
      <c r="AK5170">
        <v>1</v>
      </c>
      <c r="AL5170">
        <v>1</v>
      </c>
      <c r="AM5170">
        <v>99.57</v>
      </c>
      <c r="AN5170">
        <v>73.009600000000006</v>
      </c>
      <c r="AO5170">
        <v>71.75</v>
      </c>
      <c r="AP5170" s="13">
        <v>45870</v>
      </c>
      <c r="AQ5170">
        <v>8</v>
      </c>
      <c r="AR5170">
        <v>0</v>
      </c>
    </row>
    <row r="5171" spans="1:44" x14ac:dyDescent="0.35">
      <c r="A5171" s="12" t="s">
        <v>6259</v>
      </c>
      <c r="B5171" s="12" t="s">
        <v>490</v>
      </c>
      <c r="C5171" s="12" t="s">
        <v>491</v>
      </c>
      <c r="D5171" s="12" t="s">
        <v>130</v>
      </c>
      <c r="E5171" s="12" t="s">
        <v>104</v>
      </c>
      <c r="F5171">
        <v>3</v>
      </c>
      <c r="G5171">
        <v>1</v>
      </c>
      <c r="H5171">
        <v>0</v>
      </c>
      <c r="I5171" s="12" t="s">
        <v>176</v>
      </c>
      <c r="J5171" s="12" t="s">
        <v>177</v>
      </c>
      <c r="K5171" s="12" t="s">
        <v>125</v>
      </c>
      <c r="L5171" s="12" t="s">
        <v>134</v>
      </c>
      <c r="M5171">
        <v>1.75</v>
      </c>
      <c r="N5171" s="12" t="s">
        <v>135</v>
      </c>
      <c r="O5171" s="12" t="s">
        <v>136</v>
      </c>
      <c r="P5171" s="12" t="s">
        <v>137</v>
      </c>
      <c r="Q5171" s="13">
        <v>45828</v>
      </c>
      <c r="R5171" s="13">
        <v>45849</v>
      </c>
      <c r="S5171">
        <v>2025</v>
      </c>
      <c r="T5171" s="12" t="s">
        <v>6113</v>
      </c>
      <c r="U5171">
        <v>80</v>
      </c>
      <c r="V5171">
        <v>234.9982</v>
      </c>
      <c r="W5171">
        <v>252.64</v>
      </c>
      <c r="X5171">
        <v>0</v>
      </c>
      <c r="Y5171">
        <v>0</v>
      </c>
      <c r="Z5171">
        <v>18799.86</v>
      </c>
      <c r="AA5171">
        <v>19052.5</v>
      </c>
      <c r="AB5171" s="12" t="s">
        <v>5760</v>
      </c>
      <c r="AC5171">
        <v>234.9982</v>
      </c>
      <c r="AD5171">
        <v>1</v>
      </c>
      <c r="AE5171">
        <v>1</v>
      </c>
      <c r="AF5171">
        <v>0</v>
      </c>
      <c r="AG5171">
        <v>18799.86</v>
      </c>
      <c r="AH5171">
        <v>80</v>
      </c>
      <c r="AI5171">
        <v>80</v>
      </c>
      <c r="AJ5171">
        <v>0</v>
      </c>
      <c r="AK5171">
        <v>1</v>
      </c>
      <c r="AL5171">
        <v>1</v>
      </c>
      <c r="AM5171">
        <v>100</v>
      </c>
      <c r="AN5171">
        <v>238.15620000000001</v>
      </c>
      <c r="AO5171">
        <v>0</v>
      </c>
      <c r="AP5171" s="13">
        <v>45848</v>
      </c>
      <c r="AQ5171">
        <v>-1</v>
      </c>
      <c r="AR5171">
        <v>1</v>
      </c>
    </row>
    <row r="5172" spans="1:44" x14ac:dyDescent="0.35">
      <c r="A5172" s="12" t="s">
        <v>6260</v>
      </c>
      <c r="B5172" s="12" t="s">
        <v>289</v>
      </c>
      <c r="C5172" s="12" t="s">
        <v>290</v>
      </c>
      <c r="D5172" s="12" t="s">
        <v>175</v>
      </c>
      <c r="E5172" s="12" t="s">
        <v>104</v>
      </c>
      <c r="F5172">
        <v>3</v>
      </c>
      <c r="G5172">
        <v>1</v>
      </c>
      <c r="H5172">
        <v>0</v>
      </c>
      <c r="I5172" s="12" t="s">
        <v>359</v>
      </c>
      <c r="J5172" s="12" t="s">
        <v>360</v>
      </c>
      <c r="K5172" s="12" t="s">
        <v>133</v>
      </c>
      <c r="L5172" s="12" t="s">
        <v>82</v>
      </c>
      <c r="M5172">
        <v>12.65</v>
      </c>
      <c r="N5172" s="12" t="s">
        <v>145</v>
      </c>
      <c r="O5172" s="12" t="s">
        <v>146</v>
      </c>
      <c r="P5172" s="12" t="s">
        <v>109</v>
      </c>
      <c r="Q5172" s="13">
        <v>45828</v>
      </c>
      <c r="R5172" s="13">
        <v>45844</v>
      </c>
      <c r="S5172">
        <v>2025</v>
      </c>
      <c r="T5172" s="12" t="s">
        <v>6113</v>
      </c>
      <c r="U5172">
        <v>47</v>
      </c>
      <c r="V5172">
        <v>186.04859999999999</v>
      </c>
      <c r="W5172">
        <v>211.4</v>
      </c>
      <c r="X5172">
        <v>0</v>
      </c>
      <c r="Y5172">
        <v>0</v>
      </c>
      <c r="Z5172">
        <v>8744.2800000000007</v>
      </c>
      <c r="AA5172">
        <v>8955.68</v>
      </c>
      <c r="AB5172" s="12" t="s">
        <v>6261</v>
      </c>
      <c r="AC5172">
        <v>186.04859999999999</v>
      </c>
      <c r="AD5172">
        <v>1</v>
      </c>
      <c r="AE5172">
        <v>1</v>
      </c>
      <c r="AF5172">
        <v>0</v>
      </c>
      <c r="AG5172">
        <v>8744.2800000000007</v>
      </c>
      <c r="AH5172">
        <v>47</v>
      </c>
      <c r="AI5172">
        <v>47</v>
      </c>
      <c r="AJ5172">
        <v>0</v>
      </c>
      <c r="AK5172">
        <v>1</v>
      </c>
      <c r="AL5172">
        <v>1</v>
      </c>
      <c r="AM5172">
        <v>100</v>
      </c>
      <c r="AN5172">
        <v>190.54650000000001</v>
      </c>
      <c r="AO5172">
        <v>0</v>
      </c>
      <c r="AP5172" s="13">
        <v>45842</v>
      </c>
      <c r="AQ5172">
        <v>-2</v>
      </c>
      <c r="AR5172">
        <v>1</v>
      </c>
    </row>
    <row r="5173" spans="1:44" x14ac:dyDescent="0.35">
      <c r="A5173" s="12" t="s">
        <v>6262</v>
      </c>
      <c r="B5173" s="12" t="s">
        <v>140</v>
      </c>
      <c r="C5173" s="12" t="s">
        <v>141</v>
      </c>
      <c r="D5173" s="12" t="s">
        <v>103</v>
      </c>
      <c r="E5173" s="12" t="s">
        <v>142</v>
      </c>
      <c r="F5173">
        <v>1</v>
      </c>
      <c r="G5173">
        <v>7</v>
      </c>
      <c r="H5173">
        <v>1</v>
      </c>
      <c r="I5173" s="12" t="s">
        <v>143</v>
      </c>
      <c r="J5173" s="12" t="s">
        <v>144</v>
      </c>
      <c r="K5173" s="12" t="s">
        <v>133</v>
      </c>
      <c r="L5173" s="12" t="s">
        <v>96</v>
      </c>
      <c r="M5173">
        <v>5.43</v>
      </c>
      <c r="N5173" s="12" t="s">
        <v>107</v>
      </c>
      <c r="O5173" s="12" t="s">
        <v>108</v>
      </c>
      <c r="P5173" s="12" t="s">
        <v>109</v>
      </c>
      <c r="Q5173" s="13">
        <v>45828</v>
      </c>
      <c r="R5173" s="13">
        <v>45876</v>
      </c>
      <c r="S5173">
        <v>2025</v>
      </c>
      <c r="T5173" s="12" t="s">
        <v>6113</v>
      </c>
      <c r="U5173">
        <v>113</v>
      </c>
      <c r="V5173">
        <v>216.76339999999999</v>
      </c>
      <c r="W5173">
        <v>205.99</v>
      </c>
      <c r="X5173">
        <v>0</v>
      </c>
      <c r="Y5173">
        <v>0</v>
      </c>
      <c r="Z5173">
        <v>24494.26</v>
      </c>
      <c r="AA5173">
        <v>24700.25</v>
      </c>
      <c r="AB5173" s="12" t="s">
        <v>5126</v>
      </c>
      <c r="AC5173">
        <v>210.93029999999999</v>
      </c>
      <c r="AD5173">
        <v>1</v>
      </c>
      <c r="AE5173">
        <v>1</v>
      </c>
      <c r="AF5173">
        <v>659.14</v>
      </c>
      <c r="AG5173">
        <v>23835.119999999999</v>
      </c>
      <c r="AH5173">
        <v>113</v>
      </c>
      <c r="AI5173">
        <v>112</v>
      </c>
      <c r="AJ5173">
        <v>1</v>
      </c>
      <c r="AK5173">
        <v>1</v>
      </c>
      <c r="AL5173">
        <v>1</v>
      </c>
      <c r="AM5173">
        <v>99.12</v>
      </c>
      <c r="AN5173">
        <v>220.53800000000001</v>
      </c>
      <c r="AO5173">
        <v>216.76</v>
      </c>
      <c r="AP5173" s="13">
        <v>45873</v>
      </c>
      <c r="AQ5173">
        <v>-3</v>
      </c>
      <c r="AR5173">
        <v>1</v>
      </c>
    </row>
    <row r="5174" spans="1:44" x14ac:dyDescent="0.35">
      <c r="A5174" s="12" t="s">
        <v>6263</v>
      </c>
      <c r="B5174" s="12" t="s">
        <v>428</v>
      </c>
      <c r="C5174" s="12" t="s">
        <v>429</v>
      </c>
      <c r="D5174" s="12" t="s">
        <v>64</v>
      </c>
      <c r="E5174" s="12" t="s">
        <v>65</v>
      </c>
      <c r="F5174">
        <v>3</v>
      </c>
      <c r="G5174">
        <v>4</v>
      </c>
      <c r="H5174">
        <v>0</v>
      </c>
      <c r="I5174" s="12" t="s">
        <v>380</v>
      </c>
      <c r="J5174" s="12" t="s">
        <v>381</v>
      </c>
      <c r="K5174" s="12" t="s">
        <v>89</v>
      </c>
      <c r="L5174" s="12" t="s">
        <v>96</v>
      </c>
      <c r="M5174">
        <v>10.210000000000001</v>
      </c>
      <c r="N5174" s="12" t="s">
        <v>97</v>
      </c>
      <c r="O5174" s="12" t="s">
        <v>98</v>
      </c>
      <c r="P5174" s="12" t="s">
        <v>72</v>
      </c>
      <c r="Q5174" s="13">
        <v>45828</v>
      </c>
      <c r="R5174" s="13">
        <v>45849</v>
      </c>
      <c r="S5174">
        <v>2025</v>
      </c>
      <c r="T5174" s="12" t="s">
        <v>6113</v>
      </c>
      <c r="U5174">
        <v>102</v>
      </c>
      <c r="V5174">
        <v>12.879099999999999</v>
      </c>
      <c r="W5174">
        <v>9.7899999999999991</v>
      </c>
      <c r="X5174">
        <v>0</v>
      </c>
      <c r="Y5174">
        <v>0</v>
      </c>
      <c r="Z5174">
        <v>1313.67</v>
      </c>
      <c r="AA5174">
        <v>1323.46</v>
      </c>
      <c r="AB5174" s="12" t="s">
        <v>5501</v>
      </c>
      <c r="AC5174">
        <v>12.879099999999999</v>
      </c>
      <c r="AD5174">
        <v>1</v>
      </c>
      <c r="AE5174">
        <v>1</v>
      </c>
      <c r="AF5174">
        <v>0</v>
      </c>
      <c r="AG5174">
        <v>1313.67</v>
      </c>
      <c r="AH5174">
        <v>102</v>
      </c>
      <c r="AI5174">
        <v>101</v>
      </c>
      <c r="AJ5174">
        <v>1</v>
      </c>
      <c r="AK5174">
        <v>1</v>
      </c>
      <c r="AL5174">
        <v>1</v>
      </c>
      <c r="AM5174">
        <v>99.02</v>
      </c>
      <c r="AN5174">
        <v>13.1035</v>
      </c>
      <c r="AO5174">
        <v>12.88</v>
      </c>
      <c r="AP5174" s="13">
        <v>45847</v>
      </c>
      <c r="AQ5174">
        <v>-2</v>
      </c>
      <c r="AR5174">
        <v>1</v>
      </c>
    </row>
    <row r="5175" spans="1:44" x14ac:dyDescent="0.35">
      <c r="A5175" s="12" t="s">
        <v>6264</v>
      </c>
      <c r="B5175" s="12" t="s">
        <v>1433</v>
      </c>
      <c r="C5175" s="12" t="s">
        <v>1434</v>
      </c>
      <c r="D5175" s="12" t="s">
        <v>269</v>
      </c>
      <c r="E5175" s="12" t="s">
        <v>65</v>
      </c>
      <c r="F5175">
        <v>3</v>
      </c>
      <c r="G5175">
        <v>5</v>
      </c>
      <c r="H5175">
        <v>0</v>
      </c>
      <c r="I5175" s="12" t="s">
        <v>223</v>
      </c>
      <c r="J5175" s="12" t="s">
        <v>224</v>
      </c>
      <c r="K5175" s="12" t="s">
        <v>81</v>
      </c>
      <c r="L5175" s="12" t="s">
        <v>134</v>
      </c>
      <c r="M5175">
        <v>2.4900000000000002</v>
      </c>
      <c r="N5175" s="12" t="s">
        <v>159</v>
      </c>
      <c r="O5175" s="12" t="s">
        <v>160</v>
      </c>
      <c r="P5175" s="12" t="s">
        <v>137</v>
      </c>
      <c r="Q5175" s="13">
        <v>45828</v>
      </c>
      <c r="R5175" s="13">
        <v>45862</v>
      </c>
      <c r="S5175">
        <v>2025</v>
      </c>
      <c r="T5175" s="12" t="s">
        <v>6113</v>
      </c>
      <c r="U5175">
        <v>114</v>
      </c>
      <c r="V5175">
        <v>478.5111</v>
      </c>
      <c r="W5175">
        <v>690.13</v>
      </c>
      <c r="X5175">
        <v>0</v>
      </c>
      <c r="Y5175">
        <v>0</v>
      </c>
      <c r="Z5175">
        <v>54550.27</v>
      </c>
      <c r="AA5175">
        <v>55240.4</v>
      </c>
      <c r="AB5175" s="12" t="s">
        <v>201</v>
      </c>
      <c r="AD5175">
        <v>0</v>
      </c>
      <c r="AE5175">
        <v>0</v>
      </c>
      <c r="AH5175">
        <v>114</v>
      </c>
      <c r="AI5175">
        <v>112</v>
      </c>
      <c r="AJ5175">
        <v>2</v>
      </c>
      <c r="AK5175">
        <v>1</v>
      </c>
      <c r="AL5175">
        <v>1</v>
      </c>
      <c r="AM5175">
        <v>98.25</v>
      </c>
      <c r="AN5175">
        <v>493.21780000000001</v>
      </c>
      <c r="AO5175">
        <v>957.02</v>
      </c>
      <c r="AP5175" s="13">
        <v>45862</v>
      </c>
      <c r="AQ5175">
        <v>0</v>
      </c>
      <c r="AR5175">
        <v>1</v>
      </c>
    </row>
    <row r="5176" spans="1:44" x14ac:dyDescent="0.35">
      <c r="A5176" s="12" t="s">
        <v>6265</v>
      </c>
      <c r="B5176" s="12" t="s">
        <v>442</v>
      </c>
      <c r="C5176" s="12" t="s">
        <v>443</v>
      </c>
      <c r="D5176" s="12" t="s">
        <v>130</v>
      </c>
      <c r="E5176" s="12" t="s">
        <v>65</v>
      </c>
      <c r="F5176">
        <v>3</v>
      </c>
      <c r="G5176">
        <v>4</v>
      </c>
      <c r="H5176">
        <v>0</v>
      </c>
      <c r="I5176" s="12" t="s">
        <v>251</v>
      </c>
      <c r="J5176" s="12" t="s">
        <v>252</v>
      </c>
      <c r="K5176" s="12" t="s">
        <v>133</v>
      </c>
      <c r="L5176" s="12" t="s">
        <v>69</v>
      </c>
      <c r="M5176">
        <v>34.49</v>
      </c>
      <c r="N5176" s="12" t="s">
        <v>159</v>
      </c>
      <c r="O5176" s="12" t="s">
        <v>160</v>
      </c>
      <c r="P5176" s="12" t="s">
        <v>137</v>
      </c>
      <c r="Q5176" s="13">
        <v>45831</v>
      </c>
      <c r="R5176" s="13">
        <v>45855</v>
      </c>
      <c r="S5176">
        <v>2025</v>
      </c>
      <c r="T5176" s="12" t="s">
        <v>6113</v>
      </c>
      <c r="U5176">
        <v>40</v>
      </c>
      <c r="V5176">
        <v>514.42409999999995</v>
      </c>
      <c r="W5176">
        <v>220.05</v>
      </c>
      <c r="X5176">
        <v>0</v>
      </c>
      <c r="Y5176">
        <v>0</v>
      </c>
      <c r="Z5176">
        <v>20576.96</v>
      </c>
      <c r="AA5176">
        <v>20797.009999999998</v>
      </c>
      <c r="AB5176" s="12" t="s">
        <v>5218</v>
      </c>
      <c r="AC5176">
        <v>514.42409999999995</v>
      </c>
      <c r="AD5176">
        <v>1</v>
      </c>
      <c r="AE5176">
        <v>1</v>
      </c>
      <c r="AF5176">
        <v>0</v>
      </c>
      <c r="AG5176">
        <v>20576.96</v>
      </c>
      <c r="AH5176">
        <v>40</v>
      </c>
      <c r="AI5176">
        <v>39</v>
      </c>
      <c r="AJ5176">
        <v>1</v>
      </c>
      <c r="AK5176">
        <v>1</v>
      </c>
      <c r="AL5176">
        <v>1</v>
      </c>
      <c r="AM5176">
        <v>97.5</v>
      </c>
      <c r="AN5176">
        <v>533.2568</v>
      </c>
      <c r="AO5176">
        <v>514.41999999999996</v>
      </c>
      <c r="AP5176" s="13">
        <v>45852</v>
      </c>
      <c r="AQ5176">
        <v>-3</v>
      </c>
      <c r="AR5176">
        <v>1</v>
      </c>
    </row>
    <row r="5177" spans="1:44" x14ac:dyDescent="0.35">
      <c r="A5177" s="12" t="s">
        <v>6266</v>
      </c>
      <c r="B5177" s="12" t="s">
        <v>339</v>
      </c>
      <c r="C5177" s="12" t="s">
        <v>340</v>
      </c>
      <c r="D5177" s="12" t="s">
        <v>103</v>
      </c>
      <c r="E5177" s="12" t="s">
        <v>142</v>
      </c>
      <c r="F5177">
        <v>2</v>
      </c>
      <c r="G5177">
        <v>9</v>
      </c>
      <c r="H5177">
        <v>0</v>
      </c>
      <c r="I5177" s="12" t="s">
        <v>341</v>
      </c>
      <c r="J5177" s="12" t="s">
        <v>342</v>
      </c>
      <c r="K5177" s="12" t="s">
        <v>117</v>
      </c>
      <c r="L5177" s="12" t="s">
        <v>82</v>
      </c>
      <c r="M5177">
        <v>18.36</v>
      </c>
      <c r="N5177" s="12" t="s">
        <v>145</v>
      </c>
      <c r="O5177" s="12" t="s">
        <v>146</v>
      </c>
      <c r="P5177" s="12" t="s">
        <v>109</v>
      </c>
      <c r="Q5177" s="13">
        <v>45831</v>
      </c>
      <c r="R5177" s="13">
        <v>45868</v>
      </c>
      <c r="S5177">
        <v>2025</v>
      </c>
      <c r="T5177" s="12" t="s">
        <v>6113</v>
      </c>
      <c r="U5177">
        <v>33</v>
      </c>
      <c r="V5177">
        <v>236.22890000000001</v>
      </c>
      <c r="W5177">
        <v>187.71</v>
      </c>
      <c r="X5177">
        <v>0</v>
      </c>
      <c r="Y5177">
        <v>0</v>
      </c>
      <c r="Z5177">
        <v>7795.55</v>
      </c>
      <c r="AA5177">
        <v>7983.26</v>
      </c>
      <c r="AB5177" s="12" t="s">
        <v>5881</v>
      </c>
      <c r="AC5177">
        <v>236.22890000000001</v>
      </c>
      <c r="AD5177">
        <v>1</v>
      </c>
      <c r="AE5177">
        <v>1</v>
      </c>
      <c r="AF5177">
        <v>0</v>
      </c>
      <c r="AG5177">
        <v>7795.55</v>
      </c>
      <c r="AH5177">
        <v>33</v>
      </c>
      <c r="AI5177">
        <v>33</v>
      </c>
      <c r="AJ5177">
        <v>0</v>
      </c>
      <c r="AK5177">
        <v>1</v>
      </c>
      <c r="AL5177">
        <v>1</v>
      </c>
      <c r="AM5177">
        <v>100</v>
      </c>
      <c r="AN5177">
        <v>241.9171</v>
      </c>
      <c r="AO5177">
        <v>0</v>
      </c>
      <c r="AP5177" s="13">
        <v>45874</v>
      </c>
      <c r="AQ5177">
        <v>6</v>
      </c>
      <c r="AR5177">
        <v>0</v>
      </c>
    </row>
    <row r="5178" spans="1:44" x14ac:dyDescent="0.35">
      <c r="A5178" s="12" t="s">
        <v>6267</v>
      </c>
      <c r="B5178" s="12" t="s">
        <v>207</v>
      </c>
      <c r="C5178" s="12" t="s">
        <v>208</v>
      </c>
      <c r="D5178" s="12" t="s">
        <v>78</v>
      </c>
      <c r="E5178" s="12" t="s">
        <v>65</v>
      </c>
      <c r="F5178">
        <v>2</v>
      </c>
      <c r="G5178">
        <v>3</v>
      </c>
      <c r="H5178">
        <v>0</v>
      </c>
      <c r="I5178" s="12" t="s">
        <v>209</v>
      </c>
      <c r="J5178" s="12" t="s">
        <v>210</v>
      </c>
      <c r="K5178" s="12" t="s">
        <v>133</v>
      </c>
      <c r="L5178" s="12" t="s">
        <v>96</v>
      </c>
      <c r="M5178">
        <v>7.82</v>
      </c>
      <c r="N5178" s="12" t="s">
        <v>97</v>
      </c>
      <c r="O5178" s="12" t="s">
        <v>98</v>
      </c>
      <c r="P5178" s="12" t="s">
        <v>72</v>
      </c>
      <c r="Q5178" s="13">
        <v>45831</v>
      </c>
      <c r="R5178" s="13">
        <v>45864</v>
      </c>
      <c r="S5178">
        <v>2025</v>
      </c>
      <c r="T5178" s="12" t="s">
        <v>6113</v>
      </c>
      <c r="U5178">
        <v>217</v>
      </c>
      <c r="V5178">
        <v>136.8546</v>
      </c>
      <c r="W5178">
        <v>269.37</v>
      </c>
      <c r="X5178">
        <v>0</v>
      </c>
      <c r="Y5178">
        <v>0</v>
      </c>
      <c r="Z5178">
        <v>29697.45</v>
      </c>
      <c r="AA5178">
        <v>29966.82</v>
      </c>
      <c r="AB5178" s="12" t="s">
        <v>5196</v>
      </c>
      <c r="AC5178">
        <v>145.1729</v>
      </c>
      <c r="AD5178">
        <v>1</v>
      </c>
      <c r="AE5178">
        <v>1</v>
      </c>
      <c r="AF5178">
        <v>-1805.07</v>
      </c>
      <c r="AG5178">
        <v>31502.52</v>
      </c>
      <c r="AH5178">
        <v>217</v>
      </c>
      <c r="AI5178">
        <v>216</v>
      </c>
      <c r="AJ5178">
        <v>1</v>
      </c>
      <c r="AK5178">
        <v>1</v>
      </c>
      <c r="AL5178">
        <v>1</v>
      </c>
      <c r="AM5178">
        <v>99.54</v>
      </c>
      <c r="AN5178">
        <v>138.7353</v>
      </c>
      <c r="AO5178">
        <v>136.85</v>
      </c>
      <c r="AP5178" s="13">
        <v>45862</v>
      </c>
      <c r="AQ5178">
        <v>-2</v>
      </c>
      <c r="AR5178">
        <v>1</v>
      </c>
    </row>
    <row r="5179" spans="1:44" x14ac:dyDescent="0.35">
      <c r="A5179" s="12" t="s">
        <v>6268</v>
      </c>
      <c r="B5179" s="12" t="s">
        <v>640</v>
      </c>
      <c r="C5179" s="12" t="s">
        <v>641</v>
      </c>
      <c r="D5179" s="12" t="s">
        <v>130</v>
      </c>
      <c r="E5179" s="12" t="s">
        <v>104</v>
      </c>
      <c r="F5179">
        <v>3</v>
      </c>
      <c r="G5179">
        <v>0</v>
      </c>
      <c r="H5179">
        <v>0</v>
      </c>
      <c r="I5179" s="12" t="s">
        <v>209</v>
      </c>
      <c r="J5179" s="12" t="s">
        <v>210</v>
      </c>
      <c r="K5179" s="12" t="s">
        <v>133</v>
      </c>
      <c r="L5179" s="12" t="s">
        <v>96</v>
      </c>
      <c r="M5179">
        <v>7.82</v>
      </c>
      <c r="N5179" s="12" t="s">
        <v>159</v>
      </c>
      <c r="O5179" s="12" t="s">
        <v>160</v>
      </c>
      <c r="P5179" s="12" t="s">
        <v>137</v>
      </c>
      <c r="Q5179" s="13">
        <v>45831</v>
      </c>
      <c r="R5179" s="13">
        <v>45844</v>
      </c>
      <c r="S5179">
        <v>2025</v>
      </c>
      <c r="T5179" s="12" t="s">
        <v>6113</v>
      </c>
      <c r="U5179">
        <v>24</v>
      </c>
      <c r="V5179">
        <v>891.49130000000002</v>
      </c>
      <c r="W5179">
        <v>361.5</v>
      </c>
      <c r="X5179">
        <v>0</v>
      </c>
      <c r="Y5179">
        <v>0</v>
      </c>
      <c r="Z5179">
        <v>21395.79</v>
      </c>
      <c r="AA5179">
        <v>21757.29</v>
      </c>
      <c r="AB5179" s="12" t="s">
        <v>5727</v>
      </c>
      <c r="AC5179">
        <v>947.05309999999997</v>
      </c>
      <c r="AD5179">
        <v>1</v>
      </c>
      <c r="AE5179">
        <v>1</v>
      </c>
      <c r="AF5179">
        <v>-1333.48</v>
      </c>
      <c r="AG5179">
        <v>22729.27</v>
      </c>
      <c r="AH5179">
        <v>24</v>
      </c>
      <c r="AI5179">
        <v>24</v>
      </c>
      <c r="AJ5179">
        <v>0</v>
      </c>
      <c r="AK5179">
        <v>1</v>
      </c>
      <c r="AL5179">
        <v>1</v>
      </c>
      <c r="AM5179">
        <v>100</v>
      </c>
      <c r="AN5179">
        <v>906.55380000000002</v>
      </c>
      <c r="AO5179">
        <v>0</v>
      </c>
      <c r="AP5179" s="13">
        <v>45840</v>
      </c>
      <c r="AQ5179">
        <v>-4</v>
      </c>
      <c r="AR5179">
        <v>1</v>
      </c>
    </row>
    <row r="5180" spans="1:44" x14ac:dyDescent="0.35">
      <c r="A5180" s="12" t="s">
        <v>6269</v>
      </c>
      <c r="B5180" s="12" t="s">
        <v>509</v>
      </c>
      <c r="C5180" s="12" t="s">
        <v>510</v>
      </c>
      <c r="D5180" s="12" t="s">
        <v>78</v>
      </c>
      <c r="E5180" s="12" t="s">
        <v>142</v>
      </c>
      <c r="F5180">
        <v>3</v>
      </c>
      <c r="G5180">
        <v>11</v>
      </c>
      <c r="H5180">
        <v>0</v>
      </c>
      <c r="I5180" s="12" t="s">
        <v>176</v>
      </c>
      <c r="J5180" s="12" t="s">
        <v>177</v>
      </c>
      <c r="K5180" s="12" t="s">
        <v>125</v>
      </c>
      <c r="L5180" s="12" t="s">
        <v>134</v>
      </c>
      <c r="M5180">
        <v>1.75</v>
      </c>
      <c r="N5180" s="12" t="s">
        <v>70</v>
      </c>
      <c r="O5180" s="12" t="s">
        <v>71</v>
      </c>
      <c r="P5180" s="12" t="s">
        <v>72</v>
      </c>
      <c r="Q5180" s="13">
        <v>45831</v>
      </c>
      <c r="R5180" s="13">
        <v>45878</v>
      </c>
      <c r="S5180">
        <v>2025</v>
      </c>
      <c r="T5180" s="12" t="s">
        <v>6113</v>
      </c>
      <c r="U5180">
        <v>215</v>
      </c>
      <c r="V5180">
        <v>139.9477</v>
      </c>
      <c r="W5180">
        <v>442.26</v>
      </c>
      <c r="X5180">
        <v>0</v>
      </c>
      <c r="Y5180">
        <v>0</v>
      </c>
      <c r="Z5180">
        <v>30088.76</v>
      </c>
      <c r="AA5180">
        <v>30531.02</v>
      </c>
      <c r="AB5180" s="12" t="s">
        <v>201</v>
      </c>
      <c r="AD5180">
        <v>0</v>
      </c>
      <c r="AE5180">
        <v>0</v>
      </c>
      <c r="AH5180">
        <v>215</v>
      </c>
      <c r="AI5180">
        <v>214</v>
      </c>
      <c r="AJ5180">
        <v>1</v>
      </c>
      <c r="AK5180">
        <v>1</v>
      </c>
      <c r="AL5180">
        <v>1</v>
      </c>
      <c r="AM5180">
        <v>99.53</v>
      </c>
      <c r="AN5180">
        <v>142.66829999999999</v>
      </c>
      <c r="AO5180">
        <v>139.94999999999999</v>
      </c>
      <c r="AP5180" s="13">
        <v>45875</v>
      </c>
      <c r="AQ5180">
        <v>-3</v>
      </c>
      <c r="AR5180">
        <v>1</v>
      </c>
    </row>
    <row r="5181" spans="1:44" x14ac:dyDescent="0.35">
      <c r="A5181" s="12" t="s">
        <v>6270</v>
      </c>
      <c r="B5181" s="12" t="s">
        <v>680</v>
      </c>
      <c r="C5181" s="12" t="s">
        <v>681</v>
      </c>
      <c r="D5181" s="12" t="s">
        <v>122</v>
      </c>
      <c r="E5181" s="12" t="s">
        <v>104</v>
      </c>
      <c r="F5181">
        <v>3</v>
      </c>
      <c r="G5181">
        <v>1</v>
      </c>
      <c r="H5181">
        <v>0</v>
      </c>
      <c r="I5181" s="12" t="s">
        <v>233</v>
      </c>
      <c r="J5181" s="12" t="s">
        <v>234</v>
      </c>
      <c r="K5181" s="12" t="s">
        <v>125</v>
      </c>
      <c r="L5181" s="12" t="s">
        <v>96</v>
      </c>
      <c r="M5181">
        <v>3.73</v>
      </c>
      <c r="N5181" s="12" t="s">
        <v>97</v>
      </c>
      <c r="O5181" s="12" t="s">
        <v>98</v>
      </c>
      <c r="P5181" s="12" t="s">
        <v>72</v>
      </c>
      <c r="Q5181" s="13">
        <v>45832</v>
      </c>
      <c r="R5181" s="13">
        <v>45849</v>
      </c>
      <c r="S5181">
        <v>2025</v>
      </c>
      <c r="T5181" s="12" t="s">
        <v>6113</v>
      </c>
      <c r="U5181">
        <v>745</v>
      </c>
      <c r="V5181">
        <v>22.414400000000001</v>
      </c>
      <c r="W5181">
        <v>154.74</v>
      </c>
      <c r="X5181">
        <v>0</v>
      </c>
      <c r="Y5181">
        <v>0</v>
      </c>
      <c r="Z5181">
        <v>16698.73</v>
      </c>
      <c r="AA5181">
        <v>16853.47</v>
      </c>
      <c r="AB5181" s="12" t="s">
        <v>201</v>
      </c>
      <c r="AD5181">
        <v>0</v>
      </c>
      <c r="AE5181">
        <v>0</v>
      </c>
      <c r="AH5181">
        <v>745</v>
      </c>
      <c r="AI5181">
        <v>738</v>
      </c>
      <c r="AJ5181">
        <v>7</v>
      </c>
      <c r="AK5181">
        <v>1</v>
      </c>
      <c r="AL5181">
        <v>1</v>
      </c>
      <c r="AM5181">
        <v>99.06</v>
      </c>
      <c r="AN5181">
        <v>22.8367</v>
      </c>
      <c r="AO5181">
        <v>156.9</v>
      </c>
      <c r="AP5181" s="13">
        <v>45849</v>
      </c>
      <c r="AQ5181">
        <v>0</v>
      </c>
      <c r="AR5181">
        <v>1</v>
      </c>
    </row>
    <row r="5182" spans="1:44" x14ac:dyDescent="0.35">
      <c r="A5182" s="12" t="s">
        <v>6271</v>
      </c>
      <c r="B5182" s="12" t="s">
        <v>465</v>
      </c>
      <c r="C5182" s="12" t="s">
        <v>466</v>
      </c>
      <c r="D5182" s="12" t="s">
        <v>78</v>
      </c>
      <c r="E5182" s="12" t="s">
        <v>142</v>
      </c>
      <c r="F5182">
        <v>3</v>
      </c>
      <c r="G5182">
        <v>11</v>
      </c>
      <c r="H5182">
        <v>0</v>
      </c>
      <c r="I5182" s="12" t="s">
        <v>195</v>
      </c>
      <c r="J5182" s="12" t="s">
        <v>196</v>
      </c>
      <c r="K5182" s="12" t="s">
        <v>117</v>
      </c>
      <c r="L5182" s="12" t="s">
        <v>134</v>
      </c>
      <c r="M5182">
        <v>4.7699999999999996</v>
      </c>
      <c r="N5182" s="12" t="s">
        <v>97</v>
      </c>
      <c r="O5182" s="12" t="s">
        <v>98</v>
      </c>
      <c r="P5182" s="12" t="s">
        <v>72</v>
      </c>
      <c r="Q5182" s="13">
        <v>45832</v>
      </c>
      <c r="R5182" s="13">
        <v>45879</v>
      </c>
      <c r="S5182">
        <v>2025</v>
      </c>
      <c r="T5182" s="12" t="s">
        <v>6113</v>
      </c>
      <c r="U5182">
        <v>221</v>
      </c>
      <c r="V5182">
        <v>105.56229999999999</v>
      </c>
      <c r="W5182">
        <v>585.83000000000004</v>
      </c>
      <c r="X5182">
        <v>0</v>
      </c>
      <c r="Y5182">
        <v>0</v>
      </c>
      <c r="Z5182">
        <v>23329.27</v>
      </c>
      <c r="AA5182">
        <v>23915.1</v>
      </c>
      <c r="AB5182" s="12" t="s">
        <v>5716</v>
      </c>
      <c r="AC5182">
        <v>105.56229999999999</v>
      </c>
      <c r="AD5182">
        <v>1</v>
      </c>
      <c r="AE5182">
        <v>1</v>
      </c>
      <c r="AF5182">
        <v>0</v>
      </c>
      <c r="AG5182">
        <v>23329.27</v>
      </c>
      <c r="AH5182">
        <v>221</v>
      </c>
      <c r="AI5182">
        <v>219</v>
      </c>
      <c r="AJ5182">
        <v>2</v>
      </c>
      <c r="AK5182">
        <v>1</v>
      </c>
      <c r="AL5182">
        <v>1</v>
      </c>
      <c r="AM5182">
        <v>99.1</v>
      </c>
      <c r="AN5182">
        <v>109.20140000000001</v>
      </c>
      <c r="AO5182">
        <v>211.12</v>
      </c>
      <c r="AP5182" s="13">
        <v>45882</v>
      </c>
      <c r="AQ5182">
        <v>3</v>
      </c>
      <c r="AR5182">
        <v>0</v>
      </c>
    </row>
    <row r="5183" spans="1:44" x14ac:dyDescent="0.35">
      <c r="A5183" s="12" t="s">
        <v>6272</v>
      </c>
      <c r="B5183" s="12" t="s">
        <v>62</v>
      </c>
      <c r="C5183" s="12" t="s">
        <v>63</v>
      </c>
      <c r="D5183" s="12" t="s">
        <v>64</v>
      </c>
      <c r="E5183" s="12" t="s">
        <v>65</v>
      </c>
      <c r="F5183">
        <v>1</v>
      </c>
      <c r="G5183">
        <v>2</v>
      </c>
      <c r="H5183">
        <v>1</v>
      </c>
      <c r="I5183" s="12" t="s">
        <v>66</v>
      </c>
      <c r="J5183" s="12" t="s">
        <v>67</v>
      </c>
      <c r="K5183" s="12" t="s">
        <v>68</v>
      </c>
      <c r="L5183" s="12" t="s">
        <v>69</v>
      </c>
      <c r="M5183">
        <v>17.66</v>
      </c>
      <c r="N5183" s="12" t="s">
        <v>70</v>
      </c>
      <c r="O5183" s="12" t="s">
        <v>71</v>
      </c>
      <c r="P5183" s="12" t="s">
        <v>72</v>
      </c>
      <c r="Q5183" s="13">
        <v>45832</v>
      </c>
      <c r="R5183" s="13">
        <v>45860</v>
      </c>
      <c r="S5183">
        <v>2025</v>
      </c>
      <c r="T5183" s="12" t="s">
        <v>6113</v>
      </c>
      <c r="U5183">
        <v>487</v>
      </c>
      <c r="V5183">
        <v>23.6493</v>
      </c>
      <c r="W5183">
        <v>199.66</v>
      </c>
      <c r="X5183">
        <v>0</v>
      </c>
      <c r="Y5183">
        <v>0</v>
      </c>
      <c r="Z5183">
        <v>11517.21</v>
      </c>
      <c r="AA5183">
        <v>11716.87</v>
      </c>
      <c r="AB5183" s="12" t="s">
        <v>201</v>
      </c>
      <c r="AD5183">
        <v>0</v>
      </c>
      <c r="AE5183">
        <v>0</v>
      </c>
      <c r="AH5183">
        <v>487</v>
      </c>
      <c r="AI5183">
        <v>483</v>
      </c>
      <c r="AJ5183">
        <v>4</v>
      </c>
      <c r="AK5183">
        <v>1</v>
      </c>
      <c r="AL5183">
        <v>1</v>
      </c>
      <c r="AM5183">
        <v>99.18</v>
      </c>
      <c r="AN5183">
        <v>24.258500000000002</v>
      </c>
      <c r="AO5183">
        <v>94.6</v>
      </c>
      <c r="AP5183" s="13">
        <v>45860</v>
      </c>
      <c r="AQ5183">
        <v>0</v>
      </c>
      <c r="AR5183">
        <v>1</v>
      </c>
    </row>
    <row r="5184" spans="1:44" x14ac:dyDescent="0.35">
      <c r="A5184" s="12" t="s">
        <v>6273</v>
      </c>
      <c r="B5184" s="12" t="s">
        <v>167</v>
      </c>
      <c r="C5184" s="12" t="s">
        <v>168</v>
      </c>
      <c r="D5184" s="12" t="s">
        <v>64</v>
      </c>
      <c r="E5184" s="12" t="s">
        <v>104</v>
      </c>
      <c r="F5184">
        <v>3</v>
      </c>
      <c r="G5184">
        <v>1</v>
      </c>
      <c r="H5184">
        <v>0</v>
      </c>
      <c r="I5184" s="12" t="s">
        <v>169</v>
      </c>
      <c r="J5184" s="12" t="s">
        <v>170</v>
      </c>
      <c r="K5184" s="12" t="s">
        <v>89</v>
      </c>
      <c r="L5184" s="12" t="s">
        <v>134</v>
      </c>
      <c r="M5184">
        <v>1.37</v>
      </c>
      <c r="N5184" s="12" t="s">
        <v>70</v>
      </c>
      <c r="O5184" s="12" t="s">
        <v>71</v>
      </c>
      <c r="P5184" s="12" t="s">
        <v>72</v>
      </c>
      <c r="Q5184" s="13">
        <v>45832</v>
      </c>
      <c r="R5184" s="13">
        <v>45844</v>
      </c>
      <c r="S5184">
        <v>2025</v>
      </c>
      <c r="T5184" s="12" t="s">
        <v>6113</v>
      </c>
      <c r="U5184">
        <v>122</v>
      </c>
      <c r="V5184">
        <v>24.557099999999998</v>
      </c>
      <c r="W5184">
        <v>19.13</v>
      </c>
      <c r="X5184">
        <v>0</v>
      </c>
      <c r="Y5184">
        <v>0</v>
      </c>
      <c r="Z5184">
        <v>2995.97</v>
      </c>
      <c r="AA5184">
        <v>3015.1</v>
      </c>
      <c r="AB5184" s="12" t="s">
        <v>5232</v>
      </c>
      <c r="AC5184">
        <v>24.557099999999998</v>
      </c>
      <c r="AD5184">
        <v>1</v>
      </c>
      <c r="AE5184">
        <v>1</v>
      </c>
      <c r="AF5184">
        <v>0</v>
      </c>
      <c r="AG5184">
        <v>2995.97</v>
      </c>
      <c r="AH5184">
        <v>122</v>
      </c>
      <c r="AI5184">
        <v>121</v>
      </c>
      <c r="AJ5184">
        <v>1</v>
      </c>
      <c r="AK5184">
        <v>1</v>
      </c>
      <c r="AL5184">
        <v>1</v>
      </c>
      <c r="AM5184">
        <v>99.18</v>
      </c>
      <c r="AN5184">
        <v>24.918199999999999</v>
      </c>
      <c r="AO5184">
        <v>24.56</v>
      </c>
      <c r="AP5184" s="13">
        <v>45843</v>
      </c>
      <c r="AQ5184">
        <v>-1</v>
      </c>
      <c r="AR5184">
        <v>1</v>
      </c>
    </row>
    <row r="5185" spans="1:44" x14ac:dyDescent="0.35">
      <c r="A5185" s="12" t="s">
        <v>6274</v>
      </c>
      <c r="B5185" s="12" t="s">
        <v>1666</v>
      </c>
      <c r="C5185" s="12" t="s">
        <v>1667</v>
      </c>
      <c r="D5185" s="12" t="s">
        <v>78</v>
      </c>
      <c r="E5185" s="12" t="s">
        <v>65</v>
      </c>
      <c r="F5185">
        <v>2</v>
      </c>
      <c r="G5185">
        <v>3</v>
      </c>
      <c r="H5185">
        <v>0</v>
      </c>
      <c r="I5185" s="12" t="s">
        <v>310</v>
      </c>
      <c r="J5185" s="12" t="s">
        <v>311</v>
      </c>
      <c r="K5185" s="12" t="s">
        <v>81</v>
      </c>
      <c r="L5185" s="12" t="s">
        <v>69</v>
      </c>
      <c r="M5185">
        <v>28.3</v>
      </c>
      <c r="N5185" s="12" t="s">
        <v>70</v>
      </c>
      <c r="O5185" s="12" t="s">
        <v>71</v>
      </c>
      <c r="P5185" s="12" t="s">
        <v>72</v>
      </c>
      <c r="Q5185" s="13">
        <v>45832</v>
      </c>
      <c r="R5185" s="13">
        <v>45858</v>
      </c>
      <c r="S5185">
        <v>2025</v>
      </c>
      <c r="T5185" s="12" t="s">
        <v>6113</v>
      </c>
      <c r="U5185">
        <v>123</v>
      </c>
      <c r="V5185">
        <v>71.7453</v>
      </c>
      <c r="W5185">
        <v>139.13</v>
      </c>
      <c r="X5185">
        <v>0</v>
      </c>
      <c r="Y5185">
        <v>0</v>
      </c>
      <c r="Z5185">
        <v>8824.67</v>
      </c>
      <c r="AA5185">
        <v>8963.7999999999993</v>
      </c>
      <c r="AB5185" s="12" t="s">
        <v>5785</v>
      </c>
      <c r="AC5185">
        <v>71.7453</v>
      </c>
      <c r="AD5185">
        <v>1</v>
      </c>
      <c r="AE5185">
        <v>1</v>
      </c>
      <c r="AF5185">
        <v>0</v>
      </c>
      <c r="AG5185">
        <v>8824.67</v>
      </c>
      <c r="AH5185">
        <v>123</v>
      </c>
      <c r="AI5185">
        <v>121</v>
      </c>
      <c r="AJ5185">
        <v>2</v>
      </c>
      <c r="AK5185">
        <v>1</v>
      </c>
      <c r="AL5185">
        <v>1</v>
      </c>
      <c r="AM5185">
        <v>98.37</v>
      </c>
      <c r="AN5185">
        <v>74.081000000000003</v>
      </c>
      <c r="AO5185">
        <v>143.49</v>
      </c>
      <c r="AP5185" s="13">
        <v>45857</v>
      </c>
      <c r="AQ5185">
        <v>-1</v>
      </c>
      <c r="AR5185">
        <v>1</v>
      </c>
    </row>
    <row r="5186" spans="1:44" x14ac:dyDescent="0.35">
      <c r="A5186" s="12" t="s">
        <v>6275</v>
      </c>
      <c r="B5186" s="12" t="s">
        <v>339</v>
      </c>
      <c r="C5186" s="12" t="s">
        <v>340</v>
      </c>
      <c r="D5186" s="12" t="s">
        <v>103</v>
      </c>
      <c r="E5186" s="12" t="s">
        <v>142</v>
      </c>
      <c r="F5186">
        <v>2</v>
      </c>
      <c r="G5186">
        <v>9</v>
      </c>
      <c r="H5186">
        <v>0</v>
      </c>
      <c r="I5186" s="12" t="s">
        <v>169</v>
      </c>
      <c r="J5186" s="12" t="s">
        <v>170</v>
      </c>
      <c r="K5186" s="12" t="s">
        <v>89</v>
      </c>
      <c r="L5186" s="12" t="s">
        <v>134</v>
      </c>
      <c r="M5186">
        <v>1.37</v>
      </c>
      <c r="N5186" s="12" t="s">
        <v>145</v>
      </c>
      <c r="O5186" s="12" t="s">
        <v>146</v>
      </c>
      <c r="P5186" s="12" t="s">
        <v>109</v>
      </c>
      <c r="Q5186" s="13">
        <v>45832</v>
      </c>
      <c r="R5186" s="13">
        <v>45871</v>
      </c>
      <c r="S5186">
        <v>2025</v>
      </c>
      <c r="T5186" s="12" t="s">
        <v>6113</v>
      </c>
      <c r="U5186">
        <v>41</v>
      </c>
      <c r="V5186">
        <v>236.3116</v>
      </c>
      <c r="W5186">
        <v>242.46</v>
      </c>
      <c r="X5186">
        <v>0</v>
      </c>
      <c r="Y5186">
        <v>0</v>
      </c>
      <c r="Z5186">
        <v>9688.7800000000007</v>
      </c>
      <c r="AA5186">
        <v>9931.24</v>
      </c>
      <c r="AB5186" s="12" t="s">
        <v>5394</v>
      </c>
      <c r="AC5186">
        <v>236.3116</v>
      </c>
      <c r="AD5186">
        <v>1</v>
      </c>
      <c r="AE5186">
        <v>1</v>
      </c>
      <c r="AF5186">
        <v>0</v>
      </c>
      <c r="AG5186">
        <v>9688.7800000000007</v>
      </c>
      <c r="AH5186">
        <v>41</v>
      </c>
      <c r="AI5186">
        <v>41</v>
      </c>
      <c r="AJ5186">
        <v>0</v>
      </c>
      <c r="AK5186">
        <v>1</v>
      </c>
      <c r="AL5186">
        <v>1</v>
      </c>
      <c r="AM5186">
        <v>100</v>
      </c>
      <c r="AN5186">
        <v>242.2253</v>
      </c>
      <c r="AO5186">
        <v>0</v>
      </c>
      <c r="AP5186" s="13">
        <v>45869</v>
      </c>
      <c r="AQ5186">
        <v>-2</v>
      </c>
      <c r="AR5186">
        <v>1</v>
      </c>
    </row>
    <row r="5187" spans="1:44" x14ac:dyDescent="0.35">
      <c r="A5187" s="12" t="s">
        <v>6276</v>
      </c>
      <c r="B5187" s="12" t="s">
        <v>207</v>
      </c>
      <c r="C5187" s="12" t="s">
        <v>208</v>
      </c>
      <c r="D5187" s="12" t="s">
        <v>78</v>
      </c>
      <c r="E5187" s="12" t="s">
        <v>65</v>
      </c>
      <c r="F5187">
        <v>2</v>
      </c>
      <c r="G5187">
        <v>3</v>
      </c>
      <c r="H5187">
        <v>0</v>
      </c>
      <c r="I5187" s="12" t="s">
        <v>217</v>
      </c>
      <c r="J5187" s="12" t="s">
        <v>218</v>
      </c>
      <c r="K5187" s="12" t="s">
        <v>68</v>
      </c>
      <c r="L5187" s="12" t="s">
        <v>82</v>
      </c>
      <c r="M5187">
        <v>14.24</v>
      </c>
      <c r="N5187" s="12" t="s">
        <v>97</v>
      </c>
      <c r="O5187" s="12" t="s">
        <v>98</v>
      </c>
      <c r="P5187" s="12" t="s">
        <v>72</v>
      </c>
      <c r="Q5187" s="13">
        <v>45832</v>
      </c>
      <c r="R5187" s="13">
        <v>45853</v>
      </c>
      <c r="S5187">
        <v>2025</v>
      </c>
      <c r="T5187" s="12" t="s">
        <v>6113</v>
      </c>
      <c r="U5187">
        <v>51</v>
      </c>
      <c r="V5187">
        <v>144.68260000000001</v>
      </c>
      <c r="W5187">
        <v>103.89</v>
      </c>
      <c r="X5187">
        <v>0</v>
      </c>
      <c r="Y5187">
        <v>0</v>
      </c>
      <c r="Z5187">
        <v>7378.81</v>
      </c>
      <c r="AA5187">
        <v>7482.7</v>
      </c>
      <c r="AB5187" s="12" t="s">
        <v>6277</v>
      </c>
      <c r="AC5187">
        <v>144.68260000000001</v>
      </c>
      <c r="AD5187">
        <v>1</v>
      </c>
      <c r="AE5187">
        <v>1</v>
      </c>
      <c r="AF5187">
        <v>0</v>
      </c>
      <c r="AG5187">
        <v>7378.81</v>
      </c>
      <c r="AH5187">
        <v>51</v>
      </c>
      <c r="AI5187">
        <v>50</v>
      </c>
      <c r="AJ5187">
        <v>1</v>
      </c>
      <c r="AK5187">
        <v>1</v>
      </c>
      <c r="AL5187">
        <v>1</v>
      </c>
      <c r="AM5187">
        <v>98.04</v>
      </c>
      <c r="AN5187">
        <v>149.6541</v>
      </c>
      <c r="AO5187">
        <v>144.68</v>
      </c>
      <c r="AP5187" s="13">
        <v>45852</v>
      </c>
      <c r="AQ5187">
        <v>-1</v>
      </c>
      <c r="AR5187">
        <v>1</v>
      </c>
    </row>
    <row r="5188" spans="1:44" x14ac:dyDescent="0.35">
      <c r="A5188" s="12" t="s">
        <v>6278</v>
      </c>
      <c r="B5188" s="12" t="s">
        <v>92</v>
      </c>
      <c r="C5188" s="12" t="s">
        <v>93</v>
      </c>
      <c r="D5188" s="12" t="s">
        <v>64</v>
      </c>
      <c r="E5188" s="12" t="s">
        <v>65</v>
      </c>
      <c r="F5188">
        <v>3</v>
      </c>
      <c r="G5188">
        <v>5</v>
      </c>
      <c r="H5188">
        <v>0</v>
      </c>
      <c r="I5188" s="12" t="s">
        <v>94</v>
      </c>
      <c r="J5188" s="12" t="s">
        <v>95</v>
      </c>
      <c r="K5188" s="12" t="s">
        <v>81</v>
      </c>
      <c r="L5188" s="12" t="s">
        <v>96</v>
      </c>
      <c r="M5188">
        <v>4.8099999999999996</v>
      </c>
      <c r="N5188" s="12" t="s">
        <v>70</v>
      </c>
      <c r="O5188" s="12" t="s">
        <v>71</v>
      </c>
      <c r="P5188" s="12" t="s">
        <v>72</v>
      </c>
      <c r="Q5188" s="13">
        <v>45832</v>
      </c>
      <c r="R5188" s="13">
        <v>45860</v>
      </c>
      <c r="S5188">
        <v>2025</v>
      </c>
      <c r="T5188" s="12" t="s">
        <v>6113</v>
      </c>
      <c r="U5188">
        <v>492</v>
      </c>
      <c r="V5188">
        <v>23.1553</v>
      </c>
      <c r="W5188">
        <v>202.56</v>
      </c>
      <c r="X5188">
        <v>0</v>
      </c>
      <c r="Y5188">
        <v>0</v>
      </c>
      <c r="Z5188">
        <v>11392.41</v>
      </c>
      <c r="AA5188">
        <v>11594.97</v>
      </c>
      <c r="AB5188" s="12" t="s">
        <v>5110</v>
      </c>
      <c r="AC5188">
        <v>23.1553</v>
      </c>
      <c r="AD5188">
        <v>1</v>
      </c>
      <c r="AE5188">
        <v>1</v>
      </c>
      <c r="AF5188">
        <v>0</v>
      </c>
      <c r="AG5188">
        <v>11392.41</v>
      </c>
      <c r="AH5188">
        <v>492</v>
      </c>
      <c r="AI5188">
        <v>488</v>
      </c>
      <c r="AJ5188">
        <v>4</v>
      </c>
      <c r="AK5188">
        <v>1</v>
      </c>
      <c r="AL5188">
        <v>1</v>
      </c>
      <c r="AM5188">
        <v>99.19</v>
      </c>
      <c r="AN5188">
        <v>23.760200000000001</v>
      </c>
      <c r="AO5188">
        <v>92.62</v>
      </c>
      <c r="AP5188" s="13">
        <v>45860</v>
      </c>
      <c r="AQ5188">
        <v>0</v>
      </c>
      <c r="AR5188">
        <v>1</v>
      </c>
    </row>
    <row r="5189" spans="1:44" x14ac:dyDescent="0.35">
      <c r="A5189" s="12" t="s">
        <v>6279</v>
      </c>
      <c r="B5189" s="12" t="s">
        <v>532</v>
      </c>
      <c r="C5189" s="12" t="s">
        <v>533</v>
      </c>
      <c r="D5189" s="12" t="s">
        <v>114</v>
      </c>
      <c r="E5189" s="12" t="s">
        <v>65</v>
      </c>
      <c r="F5189">
        <v>2</v>
      </c>
      <c r="G5189">
        <v>3</v>
      </c>
      <c r="H5189">
        <v>0</v>
      </c>
      <c r="I5189" s="12" t="s">
        <v>105</v>
      </c>
      <c r="J5189" s="12" t="s">
        <v>106</v>
      </c>
      <c r="K5189" s="12" t="s">
        <v>81</v>
      </c>
      <c r="L5189" s="12" t="s">
        <v>96</v>
      </c>
      <c r="M5189">
        <v>5.01</v>
      </c>
      <c r="N5189" s="12" t="s">
        <v>70</v>
      </c>
      <c r="O5189" s="12" t="s">
        <v>71</v>
      </c>
      <c r="P5189" s="12" t="s">
        <v>72</v>
      </c>
      <c r="Q5189" s="13">
        <v>45832</v>
      </c>
      <c r="R5189" s="13">
        <v>45865</v>
      </c>
      <c r="S5189">
        <v>2025</v>
      </c>
      <c r="T5189" s="12" t="s">
        <v>6113</v>
      </c>
      <c r="U5189">
        <v>105</v>
      </c>
      <c r="V5189">
        <v>249.89959999999999</v>
      </c>
      <c r="W5189">
        <v>303.63</v>
      </c>
      <c r="X5189">
        <v>0</v>
      </c>
      <c r="Y5189">
        <v>0</v>
      </c>
      <c r="Z5189">
        <v>26239.46</v>
      </c>
      <c r="AA5189">
        <v>26543.09</v>
      </c>
      <c r="AB5189" s="12" t="s">
        <v>5676</v>
      </c>
      <c r="AC5189">
        <v>249.89959999999999</v>
      </c>
      <c r="AD5189">
        <v>1</v>
      </c>
      <c r="AE5189">
        <v>1</v>
      </c>
      <c r="AF5189">
        <v>0</v>
      </c>
      <c r="AG5189">
        <v>26239.46</v>
      </c>
      <c r="AH5189">
        <v>105</v>
      </c>
      <c r="AI5189">
        <v>103</v>
      </c>
      <c r="AJ5189">
        <v>2</v>
      </c>
      <c r="AK5189">
        <v>1</v>
      </c>
      <c r="AL5189">
        <v>1</v>
      </c>
      <c r="AM5189">
        <v>98.1</v>
      </c>
      <c r="AN5189">
        <v>257.69990000000001</v>
      </c>
      <c r="AO5189">
        <v>499.8</v>
      </c>
      <c r="AP5189" s="13">
        <v>45865</v>
      </c>
      <c r="AQ5189">
        <v>0</v>
      </c>
      <c r="AR5189">
        <v>1</v>
      </c>
    </row>
    <row r="5190" spans="1:44" x14ac:dyDescent="0.35">
      <c r="A5190" s="12" t="s">
        <v>6280</v>
      </c>
      <c r="B5190" s="12" t="s">
        <v>787</v>
      </c>
      <c r="C5190" s="12" t="s">
        <v>788</v>
      </c>
      <c r="D5190" s="12" t="s">
        <v>269</v>
      </c>
      <c r="E5190" s="12" t="s">
        <v>65</v>
      </c>
      <c r="F5190">
        <v>2</v>
      </c>
      <c r="G5190">
        <v>3</v>
      </c>
      <c r="H5190">
        <v>0</v>
      </c>
      <c r="I5190" s="12" t="s">
        <v>143</v>
      </c>
      <c r="J5190" s="12" t="s">
        <v>144</v>
      </c>
      <c r="K5190" s="12" t="s">
        <v>133</v>
      </c>
      <c r="L5190" s="12" t="s">
        <v>96</v>
      </c>
      <c r="M5190">
        <v>5.43</v>
      </c>
      <c r="N5190" s="12" t="s">
        <v>159</v>
      </c>
      <c r="O5190" s="12" t="s">
        <v>160</v>
      </c>
      <c r="P5190" s="12" t="s">
        <v>137</v>
      </c>
      <c r="Q5190" s="13">
        <v>45832</v>
      </c>
      <c r="R5190" s="13">
        <v>45861</v>
      </c>
      <c r="S5190">
        <v>2025</v>
      </c>
      <c r="T5190" s="12" t="s">
        <v>6113</v>
      </c>
      <c r="U5190">
        <v>73</v>
      </c>
      <c r="V5190">
        <v>331.79969999999997</v>
      </c>
      <c r="W5190">
        <v>275.33</v>
      </c>
      <c r="X5190">
        <v>0</v>
      </c>
      <c r="Y5190">
        <v>0</v>
      </c>
      <c r="Z5190">
        <v>24221.38</v>
      </c>
      <c r="AA5190">
        <v>24496.71</v>
      </c>
      <c r="AB5190" s="12" t="s">
        <v>5902</v>
      </c>
      <c r="AC5190">
        <v>331.79969999999997</v>
      </c>
      <c r="AD5190">
        <v>1</v>
      </c>
      <c r="AE5190">
        <v>1</v>
      </c>
      <c r="AF5190">
        <v>0</v>
      </c>
      <c r="AG5190">
        <v>24221.38</v>
      </c>
      <c r="AH5190">
        <v>73</v>
      </c>
      <c r="AI5190">
        <v>72</v>
      </c>
      <c r="AJ5190">
        <v>1</v>
      </c>
      <c r="AK5190">
        <v>1</v>
      </c>
      <c r="AL5190">
        <v>1</v>
      </c>
      <c r="AM5190">
        <v>98.63</v>
      </c>
      <c r="AN5190">
        <v>340.2321</v>
      </c>
      <c r="AO5190">
        <v>331.8</v>
      </c>
      <c r="AP5190" s="13">
        <v>45861</v>
      </c>
      <c r="AQ5190">
        <v>0</v>
      </c>
      <c r="AR5190">
        <v>1</v>
      </c>
    </row>
    <row r="5191" spans="1:44" x14ac:dyDescent="0.35">
      <c r="A5191" s="12" t="s">
        <v>6281</v>
      </c>
      <c r="B5191" s="12" t="s">
        <v>482</v>
      </c>
      <c r="C5191" s="12" t="s">
        <v>483</v>
      </c>
      <c r="D5191" s="12" t="s">
        <v>78</v>
      </c>
      <c r="E5191" s="12" t="s">
        <v>142</v>
      </c>
      <c r="F5191">
        <v>2</v>
      </c>
      <c r="G5191">
        <v>9</v>
      </c>
      <c r="H5191">
        <v>0</v>
      </c>
      <c r="I5191" s="12" t="s">
        <v>183</v>
      </c>
      <c r="J5191" s="12" t="s">
        <v>184</v>
      </c>
      <c r="K5191" s="12" t="s">
        <v>133</v>
      </c>
      <c r="L5191" s="12" t="s">
        <v>82</v>
      </c>
      <c r="M5191">
        <v>8.6199999999999992</v>
      </c>
      <c r="N5191" s="12" t="s">
        <v>97</v>
      </c>
      <c r="O5191" s="12" t="s">
        <v>98</v>
      </c>
      <c r="P5191" s="12" t="s">
        <v>72</v>
      </c>
      <c r="Q5191" s="13">
        <v>45832</v>
      </c>
      <c r="R5191" s="13">
        <v>45882</v>
      </c>
      <c r="S5191">
        <v>2025</v>
      </c>
      <c r="T5191" s="12" t="s">
        <v>6113</v>
      </c>
      <c r="U5191">
        <v>269</v>
      </c>
      <c r="V5191">
        <v>43.527000000000001</v>
      </c>
      <c r="W5191">
        <v>104.19</v>
      </c>
      <c r="X5191">
        <v>0</v>
      </c>
      <c r="Y5191">
        <v>0</v>
      </c>
      <c r="Z5191">
        <v>11708.76</v>
      </c>
      <c r="AA5191">
        <v>11812.95</v>
      </c>
      <c r="AB5191" s="12" t="s">
        <v>201</v>
      </c>
      <c r="AD5191">
        <v>0</v>
      </c>
      <c r="AE5191">
        <v>0</v>
      </c>
      <c r="AH5191">
        <v>269</v>
      </c>
      <c r="AI5191">
        <v>265</v>
      </c>
      <c r="AJ5191">
        <v>4</v>
      </c>
      <c r="AK5191">
        <v>1</v>
      </c>
      <c r="AL5191">
        <v>1</v>
      </c>
      <c r="AM5191">
        <v>98.51</v>
      </c>
      <c r="AN5191">
        <v>44.577199999999998</v>
      </c>
      <c r="AO5191">
        <v>174.11</v>
      </c>
      <c r="AP5191" s="13">
        <v>45880</v>
      </c>
      <c r="AQ5191">
        <v>-2</v>
      </c>
      <c r="AR5191">
        <v>1</v>
      </c>
    </row>
    <row r="5192" spans="1:44" x14ac:dyDescent="0.35">
      <c r="A5192" s="12" t="s">
        <v>6282</v>
      </c>
      <c r="B5192" s="12" t="s">
        <v>544</v>
      </c>
      <c r="C5192" s="12" t="s">
        <v>545</v>
      </c>
      <c r="D5192" s="12" t="s">
        <v>175</v>
      </c>
      <c r="E5192" s="12" t="s">
        <v>65</v>
      </c>
      <c r="F5192">
        <v>3</v>
      </c>
      <c r="G5192">
        <v>5</v>
      </c>
      <c r="H5192">
        <v>0</v>
      </c>
      <c r="I5192" s="12" t="s">
        <v>66</v>
      </c>
      <c r="J5192" s="12" t="s">
        <v>67</v>
      </c>
      <c r="K5192" s="12" t="s">
        <v>68</v>
      </c>
      <c r="L5192" s="12" t="s">
        <v>69</v>
      </c>
      <c r="M5192">
        <v>17.66</v>
      </c>
      <c r="N5192" s="12" t="s">
        <v>145</v>
      </c>
      <c r="O5192" s="12" t="s">
        <v>146</v>
      </c>
      <c r="P5192" s="12" t="s">
        <v>109</v>
      </c>
      <c r="Q5192" s="13">
        <v>45833</v>
      </c>
      <c r="R5192" s="13">
        <v>45867</v>
      </c>
      <c r="S5192">
        <v>2025</v>
      </c>
      <c r="T5192" s="12" t="s">
        <v>6113</v>
      </c>
      <c r="U5192">
        <v>116</v>
      </c>
      <c r="V5192">
        <v>145.46979999999999</v>
      </c>
      <c r="W5192">
        <v>290.54000000000002</v>
      </c>
      <c r="X5192">
        <v>0</v>
      </c>
      <c r="Y5192">
        <v>0</v>
      </c>
      <c r="Z5192">
        <v>16874.5</v>
      </c>
      <c r="AA5192">
        <v>17165.04</v>
      </c>
      <c r="AB5192" s="12" t="s">
        <v>201</v>
      </c>
      <c r="AD5192">
        <v>0</v>
      </c>
      <c r="AE5192">
        <v>0</v>
      </c>
      <c r="AH5192">
        <v>116</v>
      </c>
      <c r="AI5192">
        <v>114</v>
      </c>
      <c r="AJ5192">
        <v>2</v>
      </c>
      <c r="AK5192">
        <v>1</v>
      </c>
      <c r="AL5192">
        <v>1</v>
      </c>
      <c r="AM5192">
        <v>98.28</v>
      </c>
      <c r="AN5192">
        <v>150.57050000000001</v>
      </c>
      <c r="AO5192">
        <v>290.94</v>
      </c>
      <c r="AP5192" s="13">
        <v>45867</v>
      </c>
      <c r="AQ5192">
        <v>0</v>
      </c>
      <c r="AR5192">
        <v>1</v>
      </c>
    </row>
    <row r="5193" spans="1:44" x14ac:dyDescent="0.35">
      <c r="A5193" s="12" t="s">
        <v>6283</v>
      </c>
      <c r="B5193" s="12" t="s">
        <v>437</v>
      </c>
      <c r="C5193" s="12" t="s">
        <v>438</v>
      </c>
      <c r="D5193" s="12" t="s">
        <v>269</v>
      </c>
      <c r="E5193" s="12" t="s">
        <v>65</v>
      </c>
      <c r="F5193">
        <v>2</v>
      </c>
      <c r="G5193">
        <v>4</v>
      </c>
      <c r="H5193">
        <v>0</v>
      </c>
      <c r="I5193" s="12" t="s">
        <v>115</v>
      </c>
      <c r="J5193" s="12" t="s">
        <v>116</v>
      </c>
      <c r="K5193" s="12" t="s">
        <v>117</v>
      </c>
      <c r="L5193" s="12" t="s">
        <v>82</v>
      </c>
      <c r="M5193">
        <v>17.170000000000002</v>
      </c>
      <c r="N5193" s="12" t="s">
        <v>159</v>
      </c>
      <c r="O5193" s="12" t="s">
        <v>160</v>
      </c>
      <c r="P5193" s="12" t="s">
        <v>137</v>
      </c>
      <c r="Q5193" s="13">
        <v>45833</v>
      </c>
      <c r="R5193" s="13">
        <v>45867</v>
      </c>
      <c r="S5193">
        <v>2025</v>
      </c>
      <c r="T5193" s="12" t="s">
        <v>6113</v>
      </c>
      <c r="U5193">
        <v>113</v>
      </c>
      <c r="V5193">
        <v>385.58449999999999</v>
      </c>
      <c r="W5193">
        <v>302.98</v>
      </c>
      <c r="X5193">
        <v>0</v>
      </c>
      <c r="Y5193">
        <v>0</v>
      </c>
      <c r="Z5193">
        <v>43571.05</v>
      </c>
      <c r="AA5193">
        <v>43874.03</v>
      </c>
      <c r="AB5193" s="12" t="s">
        <v>5505</v>
      </c>
      <c r="AC5193">
        <v>409.1377</v>
      </c>
      <c r="AD5193">
        <v>1</v>
      </c>
      <c r="AE5193">
        <v>1</v>
      </c>
      <c r="AF5193">
        <v>-2661.51</v>
      </c>
      <c r="AG5193">
        <v>46232.56</v>
      </c>
      <c r="AH5193">
        <v>113</v>
      </c>
      <c r="AI5193">
        <v>112</v>
      </c>
      <c r="AJ5193">
        <v>1</v>
      </c>
      <c r="AK5193">
        <v>1</v>
      </c>
      <c r="AL5193">
        <v>1</v>
      </c>
      <c r="AM5193">
        <v>99.12</v>
      </c>
      <c r="AN5193">
        <v>391.73239999999998</v>
      </c>
      <c r="AO5193">
        <v>385.58</v>
      </c>
      <c r="AP5193" s="13">
        <v>45864</v>
      </c>
      <c r="AQ5193">
        <v>-3</v>
      </c>
      <c r="AR5193">
        <v>1</v>
      </c>
    </row>
    <row r="5194" spans="1:44" x14ac:dyDescent="0.35">
      <c r="A5194" s="12" t="s">
        <v>6284</v>
      </c>
      <c r="B5194" s="12" t="s">
        <v>350</v>
      </c>
      <c r="C5194" s="12" t="s">
        <v>351</v>
      </c>
      <c r="D5194" s="12" t="s">
        <v>64</v>
      </c>
      <c r="E5194" s="12" t="s">
        <v>104</v>
      </c>
      <c r="F5194">
        <v>3</v>
      </c>
      <c r="G5194">
        <v>1</v>
      </c>
      <c r="H5194">
        <v>0</v>
      </c>
      <c r="I5194" s="12" t="s">
        <v>486</v>
      </c>
      <c r="J5194" s="12" t="s">
        <v>487</v>
      </c>
      <c r="K5194" s="12" t="s">
        <v>125</v>
      </c>
      <c r="L5194" s="12" t="s">
        <v>69</v>
      </c>
      <c r="M5194">
        <v>36.86</v>
      </c>
      <c r="N5194" s="12" t="s">
        <v>70</v>
      </c>
      <c r="O5194" s="12" t="s">
        <v>71</v>
      </c>
      <c r="P5194" s="12" t="s">
        <v>72</v>
      </c>
      <c r="Q5194" s="13">
        <v>45833</v>
      </c>
      <c r="R5194" s="13">
        <v>45847</v>
      </c>
      <c r="S5194">
        <v>2025</v>
      </c>
      <c r="T5194" s="12" t="s">
        <v>6113</v>
      </c>
      <c r="U5194">
        <v>235</v>
      </c>
      <c r="V5194">
        <v>8.2452000000000005</v>
      </c>
      <c r="W5194">
        <v>15.73</v>
      </c>
      <c r="X5194">
        <v>0</v>
      </c>
      <c r="Y5194">
        <v>0</v>
      </c>
      <c r="Z5194">
        <v>1937.62</v>
      </c>
      <c r="AA5194">
        <v>1953.35</v>
      </c>
      <c r="AB5194" s="12" t="s">
        <v>5628</v>
      </c>
      <c r="AC5194">
        <v>8.2452000000000005</v>
      </c>
      <c r="AD5194">
        <v>1</v>
      </c>
      <c r="AE5194">
        <v>1</v>
      </c>
      <c r="AF5194">
        <v>0</v>
      </c>
      <c r="AG5194">
        <v>1937.62</v>
      </c>
      <c r="AH5194">
        <v>235</v>
      </c>
      <c r="AI5194">
        <v>232</v>
      </c>
      <c r="AJ5194">
        <v>3</v>
      </c>
      <c r="AK5194">
        <v>1</v>
      </c>
      <c r="AL5194">
        <v>1</v>
      </c>
      <c r="AM5194">
        <v>98.72</v>
      </c>
      <c r="AN5194">
        <v>8.4196000000000009</v>
      </c>
      <c r="AO5194">
        <v>24.74</v>
      </c>
      <c r="AP5194" s="13">
        <v>45844</v>
      </c>
      <c r="AQ5194">
        <v>-3</v>
      </c>
      <c r="AR5194">
        <v>1</v>
      </c>
    </row>
    <row r="5195" spans="1:44" x14ac:dyDescent="0.35">
      <c r="A5195" s="12" t="s">
        <v>6285</v>
      </c>
      <c r="B5195" s="12" t="s">
        <v>1666</v>
      </c>
      <c r="C5195" s="12" t="s">
        <v>1667</v>
      </c>
      <c r="D5195" s="12" t="s">
        <v>78</v>
      </c>
      <c r="E5195" s="12" t="s">
        <v>65</v>
      </c>
      <c r="F5195">
        <v>2</v>
      </c>
      <c r="G5195">
        <v>3</v>
      </c>
      <c r="H5195">
        <v>0</v>
      </c>
      <c r="I5195" s="12" t="s">
        <v>176</v>
      </c>
      <c r="J5195" s="12" t="s">
        <v>177</v>
      </c>
      <c r="K5195" s="12" t="s">
        <v>125</v>
      </c>
      <c r="L5195" s="12" t="s">
        <v>134</v>
      </c>
      <c r="M5195">
        <v>1.75</v>
      </c>
      <c r="N5195" s="12" t="s">
        <v>97</v>
      </c>
      <c r="O5195" s="12" t="s">
        <v>98</v>
      </c>
      <c r="P5195" s="12" t="s">
        <v>72</v>
      </c>
      <c r="Q5195" s="13">
        <v>45833</v>
      </c>
      <c r="R5195" s="13">
        <v>45869</v>
      </c>
      <c r="S5195">
        <v>2025</v>
      </c>
      <c r="T5195" s="12" t="s">
        <v>6113</v>
      </c>
      <c r="U5195">
        <v>260</v>
      </c>
      <c r="V5195">
        <v>67.594700000000003</v>
      </c>
      <c r="W5195">
        <v>138.15</v>
      </c>
      <c r="X5195">
        <v>0</v>
      </c>
      <c r="Y5195">
        <v>0</v>
      </c>
      <c r="Z5195">
        <v>17574.62</v>
      </c>
      <c r="AA5195">
        <v>17712.77</v>
      </c>
      <c r="AB5195" s="12" t="s">
        <v>6125</v>
      </c>
      <c r="AC5195">
        <v>67.594700000000003</v>
      </c>
      <c r="AD5195">
        <v>1</v>
      </c>
      <c r="AE5195">
        <v>1</v>
      </c>
      <c r="AF5195">
        <v>0</v>
      </c>
      <c r="AG5195">
        <v>17574.62</v>
      </c>
      <c r="AH5195">
        <v>260</v>
      </c>
      <c r="AI5195">
        <v>258</v>
      </c>
      <c r="AJ5195">
        <v>2</v>
      </c>
      <c r="AK5195">
        <v>1</v>
      </c>
      <c r="AL5195">
        <v>1</v>
      </c>
      <c r="AM5195">
        <v>99.23</v>
      </c>
      <c r="AN5195">
        <v>68.654200000000003</v>
      </c>
      <c r="AO5195">
        <v>135.19</v>
      </c>
      <c r="AP5195" s="13">
        <v>45868</v>
      </c>
      <c r="AQ5195">
        <v>-1</v>
      </c>
      <c r="AR5195">
        <v>1</v>
      </c>
    </row>
    <row r="5196" spans="1:44" x14ac:dyDescent="0.35">
      <c r="A5196" s="12" t="s">
        <v>6286</v>
      </c>
      <c r="B5196" s="12" t="s">
        <v>391</v>
      </c>
      <c r="C5196" s="12" t="s">
        <v>392</v>
      </c>
      <c r="D5196" s="12" t="s">
        <v>114</v>
      </c>
      <c r="E5196" s="12" t="s">
        <v>65</v>
      </c>
      <c r="F5196">
        <v>2</v>
      </c>
      <c r="G5196">
        <v>2</v>
      </c>
      <c r="H5196">
        <v>0</v>
      </c>
      <c r="I5196" s="12" t="s">
        <v>310</v>
      </c>
      <c r="J5196" s="12" t="s">
        <v>311</v>
      </c>
      <c r="K5196" s="12" t="s">
        <v>81</v>
      </c>
      <c r="L5196" s="12" t="s">
        <v>69</v>
      </c>
      <c r="M5196">
        <v>28.3</v>
      </c>
      <c r="N5196" s="12" t="s">
        <v>70</v>
      </c>
      <c r="O5196" s="12" t="s">
        <v>71</v>
      </c>
      <c r="P5196" s="12" t="s">
        <v>72</v>
      </c>
      <c r="Q5196" s="13">
        <v>45833</v>
      </c>
      <c r="R5196" s="13">
        <v>45856</v>
      </c>
      <c r="S5196">
        <v>2025</v>
      </c>
      <c r="T5196" s="12" t="s">
        <v>6113</v>
      </c>
      <c r="U5196">
        <v>25</v>
      </c>
      <c r="V5196">
        <v>234.11539999999999</v>
      </c>
      <c r="W5196">
        <v>43.09</v>
      </c>
      <c r="X5196">
        <v>0</v>
      </c>
      <c r="Y5196">
        <v>0</v>
      </c>
      <c r="Z5196">
        <v>5852.89</v>
      </c>
      <c r="AA5196">
        <v>5895.98</v>
      </c>
      <c r="AB5196" s="12" t="s">
        <v>201</v>
      </c>
      <c r="AD5196">
        <v>0</v>
      </c>
      <c r="AE5196">
        <v>0</v>
      </c>
      <c r="AH5196">
        <v>25</v>
      </c>
      <c r="AI5196">
        <v>25</v>
      </c>
      <c r="AJ5196">
        <v>0</v>
      </c>
      <c r="AK5196">
        <v>1</v>
      </c>
      <c r="AL5196">
        <v>1</v>
      </c>
      <c r="AM5196">
        <v>100</v>
      </c>
      <c r="AN5196">
        <v>235.839</v>
      </c>
      <c r="AO5196">
        <v>0</v>
      </c>
      <c r="AP5196" s="13">
        <v>45854</v>
      </c>
      <c r="AQ5196">
        <v>-2</v>
      </c>
      <c r="AR5196">
        <v>1</v>
      </c>
    </row>
    <row r="5197" spans="1:44" x14ac:dyDescent="0.35">
      <c r="A5197" s="12" t="s">
        <v>6287</v>
      </c>
      <c r="B5197" s="12" t="s">
        <v>587</v>
      </c>
      <c r="C5197" s="12" t="s">
        <v>588</v>
      </c>
      <c r="D5197" s="12" t="s">
        <v>122</v>
      </c>
      <c r="E5197" s="12" t="s">
        <v>104</v>
      </c>
      <c r="F5197">
        <v>2</v>
      </c>
      <c r="G5197">
        <v>0</v>
      </c>
      <c r="H5197">
        <v>0</v>
      </c>
      <c r="I5197" s="12" t="s">
        <v>486</v>
      </c>
      <c r="J5197" s="12" t="s">
        <v>487</v>
      </c>
      <c r="K5197" s="12" t="s">
        <v>125</v>
      </c>
      <c r="L5197" s="12" t="s">
        <v>69</v>
      </c>
      <c r="M5197">
        <v>36.86</v>
      </c>
      <c r="N5197" s="12" t="s">
        <v>97</v>
      </c>
      <c r="O5197" s="12" t="s">
        <v>98</v>
      </c>
      <c r="P5197" s="12" t="s">
        <v>72</v>
      </c>
      <c r="Q5197" s="13">
        <v>45833</v>
      </c>
      <c r="R5197" s="13">
        <v>45850</v>
      </c>
      <c r="S5197">
        <v>2025</v>
      </c>
      <c r="T5197" s="12" t="s">
        <v>6113</v>
      </c>
      <c r="U5197">
        <v>766</v>
      </c>
      <c r="V5197">
        <v>12.0753</v>
      </c>
      <c r="W5197">
        <v>75.77</v>
      </c>
      <c r="X5197">
        <v>0</v>
      </c>
      <c r="Y5197">
        <v>0</v>
      </c>
      <c r="Z5197">
        <v>9249.68</v>
      </c>
      <c r="AA5197">
        <v>9325.4500000000007</v>
      </c>
      <c r="AB5197" s="12" t="s">
        <v>201</v>
      </c>
      <c r="AD5197">
        <v>0</v>
      </c>
      <c r="AE5197">
        <v>0</v>
      </c>
      <c r="AH5197">
        <v>766</v>
      </c>
      <c r="AI5197">
        <v>760</v>
      </c>
      <c r="AJ5197">
        <v>6</v>
      </c>
      <c r="AK5197">
        <v>1</v>
      </c>
      <c r="AL5197">
        <v>1</v>
      </c>
      <c r="AM5197">
        <v>99.22</v>
      </c>
      <c r="AN5197">
        <v>12.270300000000001</v>
      </c>
      <c r="AO5197">
        <v>72.45</v>
      </c>
      <c r="AP5197" s="13">
        <v>45850</v>
      </c>
      <c r="AQ5197">
        <v>0</v>
      </c>
      <c r="AR5197">
        <v>1</v>
      </c>
    </row>
    <row r="5198" spans="1:44" x14ac:dyDescent="0.35">
      <c r="A5198" s="12" t="s">
        <v>6288</v>
      </c>
      <c r="B5198" s="12" t="s">
        <v>293</v>
      </c>
      <c r="C5198" s="12" t="s">
        <v>294</v>
      </c>
      <c r="D5198" s="12" t="s">
        <v>114</v>
      </c>
      <c r="E5198" s="12" t="s">
        <v>142</v>
      </c>
      <c r="F5198">
        <v>1</v>
      </c>
      <c r="G5198">
        <v>6</v>
      </c>
      <c r="H5198">
        <v>1</v>
      </c>
      <c r="I5198" s="12" t="s">
        <v>195</v>
      </c>
      <c r="J5198" s="12" t="s">
        <v>196</v>
      </c>
      <c r="K5198" s="12" t="s">
        <v>117</v>
      </c>
      <c r="L5198" s="12" t="s">
        <v>134</v>
      </c>
      <c r="M5198">
        <v>4.7699999999999996</v>
      </c>
      <c r="N5198" s="12" t="s">
        <v>70</v>
      </c>
      <c r="O5198" s="12" t="s">
        <v>71</v>
      </c>
      <c r="P5198" s="12" t="s">
        <v>72</v>
      </c>
      <c r="Q5198" s="13">
        <v>45833</v>
      </c>
      <c r="R5198" s="13">
        <v>45875</v>
      </c>
      <c r="S5198">
        <v>2025</v>
      </c>
      <c r="T5198" s="12" t="s">
        <v>6113</v>
      </c>
      <c r="U5198">
        <v>69</v>
      </c>
      <c r="V5198">
        <v>199.8203</v>
      </c>
      <c r="W5198">
        <v>220.56</v>
      </c>
      <c r="X5198">
        <v>0</v>
      </c>
      <c r="Y5198">
        <v>0</v>
      </c>
      <c r="Z5198">
        <v>13787.6</v>
      </c>
      <c r="AA5198">
        <v>14008.16</v>
      </c>
      <c r="AB5198" s="12" t="s">
        <v>5190</v>
      </c>
      <c r="AC5198">
        <v>199.8203</v>
      </c>
      <c r="AD5198">
        <v>1</v>
      </c>
      <c r="AE5198">
        <v>1</v>
      </c>
      <c r="AF5198">
        <v>0</v>
      </c>
      <c r="AG5198">
        <v>13787.6</v>
      </c>
      <c r="AH5198">
        <v>69</v>
      </c>
      <c r="AI5198">
        <v>68</v>
      </c>
      <c r="AJ5198">
        <v>1</v>
      </c>
      <c r="AK5198">
        <v>1</v>
      </c>
      <c r="AL5198">
        <v>1</v>
      </c>
      <c r="AM5198">
        <v>98.55</v>
      </c>
      <c r="AN5198">
        <v>206.00239999999999</v>
      </c>
      <c r="AO5198">
        <v>199.82</v>
      </c>
      <c r="AP5198" s="13">
        <v>45872</v>
      </c>
      <c r="AQ5198">
        <v>-3</v>
      </c>
      <c r="AR5198">
        <v>1</v>
      </c>
    </row>
    <row r="5199" spans="1:44" x14ac:dyDescent="0.35">
      <c r="A5199" s="12" t="s">
        <v>6289</v>
      </c>
      <c r="B5199" s="12" t="s">
        <v>327</v>
      </c>
      <c r="C5199" s="12" t="s">
        <v>328</v>
      </c>
      <c r="D5199" s="12" t="s">
        <v>130</v>
      </c>
      <c r="E5199" s="12" t="s">
        <v>104</v>
      </c>
      <c r="F5199">
        <v>2</v>
      </c>
      <c r="G5199">
        <v>0</v>
      </c>
      <c r="H5199">
        <v>0</v>
      </c>
      <c r="I5199" s="12" t="s">
        <v>94</v>
      </c>
      <c r="J5199" s="12" t="s">
        <v>95</v>
      </c>
      <c r="K5199" s="12" t="s">
        <v>81</v>
      </c>
      <c r="L5199" s="12" t="s">
        <v>96</v>
      </c>
      <c r="M5199">
        <v>4.8099999999999996</v>
      </c>
      <c r="N5199" s="12" t="s">
        <v>135</v>
      </c>
      <c r="O5199" s="12" t="s">
        <v>136</v>
      </c>
      <c r="P5199" s="12" t="s">
        <v>137</v>
      </c>
      <c r="Q5199" s="13">
        <v>45834</v>
      </c>
      <c r="R5199" s="13">
        <v>45863</v>
      </c>
      <c r="S5199">
        <v>2025</v>
      </c>
      <c r="T5199" s="12" t="s">
        <v>6113</v>
      </c>
      <c r="U5199">
        <v>144</v>
      </c>
      <c r="V5199">
        <v>637.04729999999995</v>
      </c>
      <c r="W5199">
        <v>1654.65</v>
      </c>
      <c r="X5199">
        <v>0</v>
      </c>
      <c r="Y5199">
        <v>0</v>
      </c>
      <c r="Z5199">
        <v>91734.81</v>
      </c>
      <c r="AA5199">
        <v>93389.46</v>
      </c>
      <c r="AB5199" s="12" t="s">
        <v>5449</v>
      </c>
      <c r="AC5199">
        <v>637.04729999999995</v>
      </c>
      <c r="AD5199">
        <v>1</v>
      </c>
      <c r="AE5199">
        <v>1</v>
      </c>
      <c r="AF5199">
        <v>0</v>
      </c>
      <c r="AG5199">
        <v>91734.81</v>
      </c>
      <c r="AH5199">
        <v>144</v>
      </c>
      <c r="AI5199">
        <v>144</v>
      </c>
      <c r="AJ5199">
        <v>0</v>
      </c>
      <c r="AK5199">
        <v>1</v>
      </c>
      <c r="AL5199">
        <v>1</v>
      </c>
      <c r="AM5199">
        <v>100</v>
      </c>
      <c r="AN5199">
        <v>648.53790000000004</v>
      </c>
      <c r="AO5199">
        <v>0</v>
      </c>
      <c r="AP5199" s="13">
        <v>45861</v>
      </c>
      <c r="AQ5199">
        <v>-2</v>
      </c>
      <c r="AR5199">
        <v>1</v>
      </c>
    </row>
    <row r="5200" spans="1:44" x14ac:dyDescent="0.35">
      <c r="A5200" s="12" t="s">
        <v>6290</v>
      </c>
      <c r="B5200" s="12" t="s">
        <v>120</v>
      </c>
      <c r="C5200" s="12" t="s">
        <v>121</v>
      </c>
      <c r="D5200" s="12" t="s">
        <v>122</v>
      </c>
      <c r="E5200" s="12" t="s">
        <v>65</v>
      </c>
      <c r="F5200">
        <v>3</v>
      </c>
      <c r="G5200">
        <v>4</v>
      </c>
      <c r="H5200">
        <v>0</v>
      </c>
      <c r="I5200" s="12" t="s">
        <v>123</v>
      </c>
      <c r="J5200" s="12" t="s">
        <v>124</v>
      </c>
      <c r="K5200" s="12" t="s">
        <v>125</v>
      </c>
      <c r="L5200" s="12" t="s">
        <v>82</v>
      </c>
      <c r="M5200">
        <v>6.75</v>
      </c>
      <c r="N5200" s="12" t="s">
        <v>70</v>
      </c>
      <c r="O5200" s="12" t="s">
        <v>71</v>
      </c>
      <c r="P5200" s="12" t="s">
        <v>72</v>
      </c>
      <c r="Q5200" s="13">
        <v>45834</v>
      </c>
      <c r="R5200" s="13">
        <v>45864</v>
      </c>
      <c r="S5200">
        <v>2025</v>
      </c>
      <c r="T5200" s="12" t="s">
        <v>6113</v>
      </c>
      <c r="U5200">
        <v>1152</v>
      </c>
      <c r="V5200">
        <v>50.976100000000002</v>
      </c>
      <c r="W5200">
        <v>623.04999999999995</v>
      </c>
      <c r="X5200">
        <v>1821.34</v>
      </c>
      <c r="Y5200">
        <v>1</v>
      </c>
      <c r="Z5200">
        <v>58724.47</v>
      </c>
      <c r="AA5200">
        <v>61168.86</v>
      </c>
      <c r="AB5200" s="12" t="s">
        <v>5139</v>
      </c>
      <c r="AC5200">
        <v>50.976100000000002</v>
      </c>
      <c r="AD5200">
        <v>1</v>
      </c>
      <c r="AE5200">
        <v>1</v>
      </c>
      <c r="AF5200">
        <v>0</v>
      </c>
      <c r="AG5200">
        <v>58724.47</v>
      </c>
      <c r="AH5200">
        <v>1152</v>
      </c>
      <c r="AI5200">
        <v>1140</v>
      </c>
      <c r="AJ5200">
        <v>12</v>
      </c>
      <c r="AK5200">
        <v>1</v>
      </c>
      <c r="AL5200">
        <v>1</v>
      </c>
      <c r="AM5200">
        <v>98.96</v>
      </c>
      <c r="AN5200">
        <v>53.6569</v>
      </c>
      <c r="AO5200">
        <v>611.71</v>
      </c>
      <c r="AP5200" s="13">
        <v>45862</v>
      </c>
      <c r="AQ5200">
        <v>-2</v>
      </c>
      <c r="AR5200">
        <v>1</v>
      </c>
    </row>
    <row r="5201" spans="1:44" x14ac:dyDescent="0.35">
      <c r="A5201" s="12" t="s">
        <v>6291</v>
      </c>
      <c r="B5201" s="12" t="s">
        <v>451</v>
      </c>
      <c r="C5201" s="12" t="s">
        <v>452</v>
      </c>
      <c r="D5201" s="12" t="s">
        <v>175</v>
      </c>
      <c r="E5201" s="12" t="s">
        <v>104</v>
      </c>
      <c r="F5201">
        <v>3</v>
      </c>
      <c r="G5201">
        <v>1</v>
      </c>
      <c r="H5201">
        <v>0</v>
      </c>
      <c r="I5201" s="12" t="s">
        <v>359</v>
      </c>
      <c r="J5201" s="12" t="s">
        <v>360</v>
      </c>
      <c r="K5201" s="12" t="s">
        <v>133</v>
      </c>
      <c r="L5201" s="12" t="s">
        <v>82</v>
      </c>
      <c r="M5201">
        <v>12.65</v>
      </c>
      <c r="N5201" s="12" t="s">
        <v>107</v>
      </c>
      <c r="O5201" s="12" t="s">
        <v>108</v>
      </c>
      <c r="P5201" s="12" t="s">
        <v>109</v>
      </c>
      <c r="Q5201" s="13">
        <v>45834</v>
      </c>
      <c r="R5201" s="13">
        <v>45853</v>
      </c>
      <c r="S5201">
        <v>2025</v>
      </c>
      <c r="T5201" s="12" t="s">
        <v>6113</v>
      </c>
      <c r="U5201">
        <v>68</v>
      </c>
      <c r="V5201">
        <v>222.79490000000001</v>
      </c>
      <c r="W5201">
        <v>186.19</v>
      </c>
      <c r="X5201">
        <v>0</v>
      </c>
      <c r="Y5201">
        <v>0</v>
      </c>
      <c r="Z5201">
        <v>15150.05</v>
      </c>
      <c r="AA5201">
        <v>15336.24</v>
      </c>
      <c r="AB5201" s="12" t="s">
        <v>5244</v>
      </c>
      <c r="AC5201">
        <v>216.9588</v>
      </c>
      <c r="AD5201">
        <v>1</v>
      </c>
      <c r="AE5201">
        <v>1</v>
      </c>
      <c r="AF5201">
        <v>396.85</v>
      </c>
      <c r="AG5201">
        <v>14753.2</v>
      </c>
      <c r="AH5201">
        <v>68</v>
      </c>
      <c r="AI5201">
        <v>68</v>
      </c>
      <c r="AJ5201">
        <v>0</v>
      </c>
      <c r="AK5201">
        <v>1</v>
      </c>
      <c r="AL5201">
        <v>1</v>
      </c>
      <c r="AM5201">
        <v>100</v>
      </c>
      <c r="AN5201">
        <v>225.53299999999999</v>
      </c>
      <c r="AO5201">
        <v>0</v>
      </c>
      <c r="AP5201" s="13">
        <v>45858</v>
      </c>
      <c r="AQ5201">
        <v>5</v>
      </c>
      <c r="AR5201">
        <v>0</v>
      </c>
    </row>
    <row r="5202" spans="1:44" x14ac:dyDescent="0.35">
      <c r="A5202" s="12" t="s">
        <v>6292</v>
      </c>
      <c r="B5202" s="12" t="s">
        <v>661</v>
      </c>
      <c r="C5202" s="12" t="s">
        <v>662</v>
      </c>
      <c r="D5202" s="12" t="s">
        <v>175</v>
      </c>
      <c r="E5202" s="12" t="s">
        <v>104</v>
      </c>
      <c r="F5202">
        <v>1</v>
      </c>
      <c r="G5202">
        <v>0</v>
      </c>
      <c r="H5202">
        <v>1</v>
      </c>
      <c r="I5202" s="12" t="s">
        <v>183</v>
      </c>
      <c r="J5202" s="12" t="s">
        <v>184</v>
      </c>
      <c r="K5202" s="12" t="s">
        <v>133</v>
      </c>
      <c r="L5202" s="12" t="s">
        <v>82</v>
      </c>
      <c r="M5202">
        <v>8.6199999999999992</v>
      </c>
      <c r="N5202" s="12" t="s">
        <v>107</v>
      </c>
      <c r="O5202" s="12" t="s">
        <v>108</v>
      </c>
      <c r="P5202" s="12" t="s">
        <v>109</v>
      </c>
      <c r="Q5202" s="13">
        <v>45834</v>
      </c>
      <c r="R5202" s="13">
        <v>45848</v>
      </c>
      <c r="S5202">
        <v>2025</v>
      </c>
      <c r="T5202" s="12" t="s">
        <v>6113</v>
      </c>
      <c r="U5202">
        <v>25</v>
      </c>
      <c r="V5202">
        <v>171.50450000000001</v>
      </c>
      <c r="W5202">
        <v>101.7</v>
      </c>
      <c r="X5202">
        <v>0</v>
      </c>
      <c r="Y5202">
        <v>0</v>
      </c>
      <c r="Z5202">
        <v>4287.6099999999997</v>
      </c>
      <c r="AA5202">
        <v>4389.3100000000004</v>
      </c>
      <c r="AB5202" s="12" t="s">
        <v>5336</v>
      </c>
      <c r="AC5202">
        <v>166.30070000000001</v>
      </c>
      <c r="AD5202">
        <v>1</v>
      </c>
      <c r="AE5202">
        <v>1</v>
      </c>
      <c r="AF5202">
        <v>130.1</v>
      </c>
      <c r="AG5202">
        <v>4157.5200000000004</v>
      </c>
      <c r="AH5202">
        <v>25</v>
      </c>
      <c r="AI5202">
        <v>25</v>
      </c>
      <c r="AJ5202">
        <v>0</v>
      </c>
      <c r="AK5202">
        <v>1</v>
      </c>
      <c r="AL5202">
        <v>1</v>
      </c>
      <c r="AM5202">
        <v>100</v>
      </c>
      <c r="AN5202">
        <v>175.57249999999999</v>
      </c>
      <c r="AO5202">
        <v>0</v>
      </c>
      <c r="AP5202" s="13">
        <v>45845</v>
      </c>
      <c r="AQ5202">
        <v>-3</v>
      </c>
      <c r="AR5202">
        <v>1</v>
      </c>
    </row>
    <row r="5203" spans="1:44" x14ac:dyDescent="0.35">
      <c r="A5203" s="12" t="s">
        <v>6293</v>
      </c>
      <c r="B5203" s="12" t="s">
        <v>193</v>
      </c>
      <c r="C5203" s="12" t="s">
        <v>194</v>
      </c>
      <c r="D5203" s="12" t="s">
        <v>114</v>
      </c>
      <c r="E5203" s="12" t="s">
        <v>65</v>
      </c>
      <c r="F5203">
        <v>3</v>
      </c>
      <c r="G5203">
        <v>4</v>
      </c>
      <c r="H5203">
        <v>0</v>
      </c>
      <c r="I5203" s="12" t="s">
        <v>195</v>
      </c>
      <c r="J5203" s="12" t="s">
        <v>196</v>
      </c>
      <c r="K5203" s="12" t="s">
        <v>117</v>
      </c>
      <c r="L5203" s="12" t="s">
        <v>134</v>
      </c>
      <c r="M5203">
        <v>4.7699999999999996</v>
      </c>
      <c r="N5203" s="12" t="s">
        <v>70</v>
      </c>
      <c r="O5203" s="12" t="s">
        <v>71</v>
      </c>
      <c r="P5203" s="12" t="s">
        <v>72</v>
      </c>
      <c r="Q5203" s="13">
        <v>45834</v>
      </c>
      <c r="R5203" s="13">
        <v>45870</v>
      </c>
      <c r="S5203">
        <v>2025</v>
      </c>
      <c r="T5203" s="12" t="s">
        <v>6113</v>
      </c>
      <c r="U5203">
        <v>128</v>
      </c>
      <c r="V5203">
        <v>104.5202</v>
      </c>
      <c r="W5203">
        <v>339.12</v>
      </c>
      <c r="X5203">
        <v>0</v>
      </c>
      <c r="Y5203">
        <v>0</v>
      </c>
      <c r="Z5203">
        <v>13378.59</v>
      </c>
      <c r="AA5203">
        <v>13717.71</v>
      </c>
      <c r="AB5203" s="12" t="s">
        <v>5258</v>
      </c>
      <c r="AC5203">
        <v>104.5202</v>
      </c>
      <c r="AD5203">
        <v>1</v>
      </c>
      <c r="AE5203">
        <v>1</v>
      </c>
      <c r="AF5203">
        <v>0</v>
      </c>
      <c r="AG5203">
        <v>13378.59</v>
      </c>
      <c r="AH5203">
        <v>128</v>
      </c>
      <c r="AI5203">
        <v>126</v>
      </c>
      <c r="AJ5203">
        <v>2</v>
      </c>
      <c r="AK5203">
        <v>1</v>
      </c>
      <c r="AL5203">
        <v>1</v>
      </c>
      <c r="AM5203">
        <v>98.44</v>
      </c>
      <c r="AN5203">
        <v>108.8707</v>
      </c>
      <c r="AO5203">
        <v>209.04</v>
      </c>
      <c r="AP5203" s="13">
        <v>45878</v>
      </c>
      <c r="AQ5203">
        <v>8</v>
      </c>
      <c r="AR5203">
        <v>0</v>
      </c>
    </row>
    <row r="5204" spans="1:44" x14ac:dyDescent="0.35">
      <c r="A5204" s="12" t="s">
        <v>6294</v>
      </c>
      <c r="B5204" s="12" t="s">
        <v>869</v>
      </c>
      <c r="C5204" s="12" t="s">
        <v>870</v>
      </c>
      <c r="D5204" s="12" t="s">
        <v>130</v>
      </c>
      <c r="E5204" s="12" t="s">
        <v>104</v>
      </c>
      <c r="F5204">
        <v>2</v>
      </c>
      <c r="G5204">
        <v>0</v>
      </c>
      <c r="H5204">
        <v>0</v>
      </c>
      <c r="I5204" s="12" t="s">
        <v>515</v>
      </c>
      <c r="J5204" s="12" t="s">
        <v>516</v>
      </c>
      <c r="K5204" s="12" t="s">
        <v>68</v>
      </c>
      <c r="L5204" s="12" t="s">
        <v>134</v>
      </c>
      <c r="M5204">
        <v>3.69</v>
      </c>
      <c r="N5204" s="12" t="s">
        <v>135</v>
      </c>
      <c r="O5204" s="12" t="s">
        <v>136</v>
      </c>
      <c r="P5204" s="12" t="s">
        <v>137</v>
      </c>
      <c r="Q5204" s="13">
        <v>45834</v>
      </c>
      <c r="R5204" s="13">
        <v>45859</v>
      </c>
      <c r="S5204">
        <v>2025</v>
      </c>
      <c r="T5204" s="12" t="s">
        <v>6113</v>
      </c>
      <c r="U5204">
        <v>118</v>
      </c>
      <c r="V5204">
        <v>651.96420000000001</v>
      </c>
      <c r="W5204">
        <v>1224.77</v>
      </c>
      <c r="X5204">
        <v>0</v>
      </c>
      <c r="Y5204">
        <v>0</v>
      </c>
      <c r="Z5204">
        <v>76931.78</v>
      </c>
      <c r="AA5204">
        <v>78156.55</v>
      </c>
      <c r="AB5204" s="12" t="s">
        <v>201</v>
      </c>
      <c r="AD5204">
        <v>0</v>
      </c>
      <c r="AE5204">
        <v>0</v>
      </c>
      <c r="AH5204">
        <v>118</v>
      </c>
      <c r="AI5204">
        <v>117</v>
      </c>
      <c r="AJ5204">
        <v>1</v>
      </c>
      <c r="AK5204">
        <v>1</v>
      </c>
      <c r="AL5204">
        <v>1</v>
      </c>
      <c r="AM5204">
        <v>99.15</v>
      </c>
      <c r="AN5204">
        <v>668.00469999999996</v>
      </c>
      <c r="AO5204">
        <v>651.96</v>
      </c>
      <c r="AP5204" s="13">
        <v>45856</v>
      </c>
      <c r="AQ5204">
        <v>-3</v>
      </c>
      <c r="AR5204">
        <v>1</v>
      </c>
    </row>
    <row r="5205" spans="1:44" x14ac:dyDescent="0.35">
      <c r="A5205" s="12" t="s">
        <v>6295</v>
      </c>
      <c r="B5205" s="12" t="s">
        <v>140</v>
      </c>
      <c r="C5205" s="12" t="s">
        <v>141</v>
      </c>
      <c r="D5205" s="12" t="s">
        <v>103</v>
      </c>
      <c r="E5205" s="12" t="s">
        <v>142</v>
      </c>
      <c r="F5205">
        <v>1</v>
      </c>
      <c r="G5205">
        <v>7</v>
      </c>
      <c r="H5205">
        <v>1</v>
      </c>
      <c r="I5205" s="12" t="s">
        <v>143</v>
      </c>
      <c r="J5205" s="12" t="s">
        <v>144</v>
      </c>
      <c r="K5205" s="12" t="s">
        <v>133</v>
      </c>
      <c r="L5205" s="12" t="s">
        <v>96</v>
      </c>
      <c r="M5205">
        <v>5.43</v>
      </c>
      <c r="N5205" s="12" t="s">
        <v>145</v>
      </c>
      <c r="O5205" s="12" t="s">
        <v>146</v>
      </c>
      <c r="P5205" s="12" t="s">
        <v>109</v>
      </c>
      <c r="Q5205" s="13">
        <v>45834</v>
      </c>
      <c r="R5205" s="13">
        <v>45881</v>
      </c>
      <c r="S5205">
        <v>2025</v>
      </c>
      <c r="T5205" s="12" t="s">
        <v>6113</v>
      </c>
      <c r="U5205">
        <v>106</v>
      </c>
      <c r="V5205">
        <v>210.93029999999999</v>
      </c>
      <c r="W5205">
        <v>164.54</v>
      </c>
      <c r="X5205">
        <v>0</v>
      </c>
      <c r="Y5205">
        <v>0</v>
      </c>
      <c r="Z5205">
        <v>22358.61</v>
      </c>
      <c r="AA5205">
        <v>22523.15</v>
      </c>
      <c r="AB5205" s="12" t="s">
        <v>5126</v>
      </c>
      <c r="AC5205">
        <v>210.93029999999999</v>
      </c>
      <c r="AD5205">
        <v>1</v>
      </c>
      <c r="AE5205">
        <v>1</v>
      </c>
      <c r="AF5205">
        <v>0</v>
      </c>
      <c r="AG5205">
        <v>22358.61</v>
      </c>
      <c r="AH5205">
        <v>106</v>
      </c>
      <c r="AI5205">
        <v>105</v>
      </c>
      <c r="AJ5205">
        <v>1</v>
      </c>
      <c r="AK5205">
        <v>1</v>
      </c>
      <c r="AL5205">
        <v>1</v>
      </c>
      <c r="AM5205">
        <v>99.06</v>
      </c>
      <c r="AN5205">
        <v>214.50620000000001</v>
      </c>
      <c r="AO5205">
        <v>210.93</v>
      </c>
      <c r="AP5205" s="13">
        <v>45881</v>
      </c>
      <c r="AQ5205">
        <v>0</v>
      </c>
      <c r="AR5205">
        <v>1</v>
      </c>
    </row>
    <row r="5206" spans="1:44" x14ac:dyDescent="0.35">
      <c r="A5206" s="12" t="s">
        <v>6296</v>
      </c>
      <c r="B5206" s="12" t="s">
        <v>640</v>
      </c>
      <c r="C5206" s="12" t="s">
        <v>641</v>
      </c>
      <c r="D5206" s="12" t="s">
        <v>130</v>
      </c>
      <c r="E5206" s="12" t="s">
        <v>104</v>
      </c>
      <c r="F5206">
        <v>3</v>
      </c>
      <c r="G5206">
        <v>0</v>
      </c>
      <c r="H5206">
        <v>0</v>
      </c>
      <c r="I5206" s="12" t="s">
        <v>209</v>
      </c>
      <c r="J5206" s="12" t="s">
        <v>210</v>
      </c>
      <c r="K5206" s="12" t="s">
        <v>133</v>
      </c>
      <c r="L5206" s="12" t="s">
        <v>96</v>
      </c>
      <c r="M5206">
        <v>7.82</v>
      </c>
      <c r="N5206" s="12" t="s">
        <v>135</v>
      </c>
      <c r="O5206" s="12" t="s">
        <v>136</v>
      </c>
      <c r="P5206" s="12" t="s">
        <v>137</v>
      </c>
      <c r="Q5206" s="13">
        <v>45834</v>
      </c>
      <c r="R5206" s="13">
        <v>45847</v>
      </c>
      <c r="S5206">
        <v>2025</v>
      </c>
      <c r="T5206" s="12" t="s">
        <v>6113</v>
      </c>
      <c r="U5206">
        <v>18</v>
      </c>
      <c r="V5206">
        <v>947.05309999999997</v>
      </c>
      <c r="W5206">
        <v>293.70999999999998</v>
      </c>
      <c r="X5206">
        <v>0</v>
      </c>
      <c r="Y5206">
        <v>0</v>
      </c>
      <c r="Z5206">
        <v>17046.96</v>
      </c>
      <c r="AA5206">
        <v>17340.669999999998</v>
      </c>
      <c r="AB5206" s="12" t="s">
        <v>5727</v>
      </c>
      <c r="AC5206">
        <v>947.05309999999997</v>
      </c>
      <c r="AD5206">
        <v>1</v>
      </c>
      <c r="AE5206">
        <v>1</v>
      </c>
      <c r="AF5206">
        <v>0</v>
      </c>
      <c r="AG5206">
        <v>17046.96</v>
      </c>
      <c r="AH5206">
        <v>18</v>
      </c>
      <c r="AI5206">
        <v>18</v>
      </c>
      <c r="AJ5206">
        <v>0</v>
      </c>
      <c r="AK5206">
        <v>1</v>
      </c>
      <c r="AL5206">
        <v>1</v>
      </c>
      <c r="AM5206">
        <v>100</v>
      </c>
      <c r="AN5206">
        <v>963.37030000000004</v>
      </c>
      <c r="AO5206">
        <v>0</v>
      </c>
      <c r="AP5206" s="13">
        <v>45847</v>
      </c>
      <c r="AQ5206">
        <v>0</v>
      </c>
      <c r="AR5206">
        <v>1</v>
      </c>
    </row>
    <row r="5207" spans="1:44" x14ac:dyDescent="0.35">
      <c r="A5207" s="12" t="s">
        <v>6297</v>
      </c>
      <c r="B5207" s="12" t="s">
        <v>221</v>
      </c>
      <c r="C5207" s="12" t="s">
        <v>222</v>
      </c>
      <c r="D5207" s="12" t="s">
        <v>114</v>
      </c>
      <c r="E5207" s="12" t="s">
        <v>142</v>
      </c>
      <c r="F5207">
        <v>3</v>
      </c>
      <c r="G5207">
        <v>11</v>
      </c>
      <c r="H5207">
        <v>0</v>
      </c>
      <c r="I5207" s="12" t="s">
        <v>105</v>
      </c>
      <c r="J5207" s="12" t="s">
        <v>106</v>
      </c>
      <c r="K5207" s="12" t="s">
        <v>81</v>
      </c>
      <c r="L5207" s="12" t="s">
        <v>96</v>
      </c>
      <c r="M5207">
        <v>5.01</v>
      </c>
      <c r="N5207" s="12" t="s">
        <v>97</v>
      </c>
      <c r="O5207" s="12" t="s">
        <v>98</v>
      </c>
      <c r="P5207" s="12" t="s">
        <v>72</v>
      </c>
      <c r="Q5207" s="13">
        <v>45834</v>
      </c>
      <c r="R5207" s="13">
        <v>45885</v>
      </c>
      <c r="S5207">
        <v>2025</v>
      </c>
      <c r="T5207" s="12" t="s">
        <v>6113</v>
      </c>
      <c r="U5207">
        <v>138</v>
      </c>
      <c r="V5207">
        <v>267.23239999999998</v>
      </c>
      <c r="W5207">
        <v>494.94</v>
      </c>
      <c r="X5207">
        <v>0</v>
      </c>
      <c r="Y5207">
        <v>0</v>
      </c>
      <c r="Z5207">
        <v>36878.07</v>
      </c>
      <c r="AA5207">
        <v>37373.01</v>
      </c>
      <c r="AB5207" s="12" t="s">
        <v>201</v>
      </c>
      <c r="AD5207">
        <v>0</v>
      </c>
      <c r="AE5207">
        <v>0</v>
      </c>
      <c r="AH5207">
        <v>138</v>
      </c>
      <c r="AI5207">
        <v>135</v>
      </c>
      <c r="AJ5207">
        <v>3</v>
      </c>
      <c r="AK5207">
        <v>1</v>
      </c>
      <c r="AL5207">
        <v>1</v>
      </c>
      <c r="AM5207">
        <v>97.83</v>
      </c>
      <c r="AN5207">
        <v>276.83710000000002</v>
      </c>
      <c r="AO5207">
        <v>801.7</v>
      </c>
      <c r="AP5207" s="13">
        <v>45895</v>
      </c>
      <c r="AQ5207">
        <v>10</v>
      </c>
      <c r="AR5207">
        <v>0</v>
      </c>
    </row>
    <row r="5208" spans="1:44" x14ac:dyDescent="0.35">
      <c r="A5208" s="12" t="s">
        <v>6298</v>
      </c>
      <c r="B5208" s="12" t="s">
        <v>972</v>
      </c>
      <c r="C5208" s="12" t="s">
        <v>973</v>
      </c>
      <c r="D5208" s="12" t="s">
        <v>130</v>
      </c>
      <c r="E5208" s="12" t="s">
        <v>142</v>
      </c>
      <c r="F5208">
        <v>2</v>
      </c>
      <c r="G5208">
        <v>9</v>
      </c>
      <c r="H5208">
        <v>0</v>
      </c>
      <c r="I5208" s="12" t="s">
        <v>66</v>
      </c>
      <c r="J5208" s="12" t="s">
        <v>67</v>
      </c>
      <c r="K5208" s="12" t="s">
        <v>68</v>
      </c>
      <c r="L5208" s="12" t="s">
        <v>69</v>
      </c>
      <c r="M5208">
        <v>17.66</v>
      </c>
      <c r="N5208" s="12" t="s">
        <v>159</v>
      </c>
      <c r="O5208" s="12" t="s">
        <v>160</v>
      </c>
      <c r="P5208" s="12" t="s">
        <v>137</v>
      </c>
      <c r="Q5208" s="13">
        <v>45834</v>
      </c>
      <c r="R5208" s="13">
        <v>45875</v>
      </c>
      <c r="S5208">
        <v>2025</v>
      </c>
      <c r="T5208" s="12" t="s">
        <v>6113</v>
      </c>
      <c r="U5208">
        <v>61</v>
      </c>
      <c r="V5208">
        <v>784.53480000000002</v>
      </c>
      <c r="W5208">
        <v>683.69</v>
      </c>
      <c r="X5208">
        <v>0</v>
      </c>
      <c r="Y5208">
        <v>0</v>
      </c>
      <c r="Z5208">
        <v>47856.62</v>
      </c>
      <c r="AA5208">
        <v>48540.31</v>
      </c>
      <c r="AB5208" s="12" t="s">
        <v>5915</v>
      </c>
      <c r="AC5208">
        <v>784.53480000000002</v>
      </c>
      <c r="AD5208">
        <v>1</v>
      </c>
      <c r="AE5208">
        <v>1</v>
      </c>
      <c r="AF5208">
        <v>0</v>
      </c>
      <c r="AG5208">
        <v>47856.62</v>
      </c>
      <c r="AH5208">
        <v>61</v>
      </c>
      <c r="AI5208">
        <v>61</v>
      </c>
      <c r="AJ5208">
        <v>0</v>
      </c>
      <c r="AK5208">
        <v>1</v>
      </c>
      <c r="AL5208">
        <v>1</v>
      </c>
      <c r="AM5208">
        <v>100</v>
      </c>
      <c r="AN5208">
        <v>795.74279999999999</v>
      </c>
      <c r="AO5208">
        <v>0</v>
      </c>
      <c r="AP5208" s="13">
        <v>45882</v>
      </c>
      <c r="AQ5208">
        <v>7</v>
      </c>
      <c r="AR5208">
        <v>0</v>
      </c>
    </row>
    <row r="5209" spans="1:44" x14ac:dyDescent="0.35">
      <c r="A5209" s="12" t="s">
        <v>6299</v>
      </c>
      <c r="B5209" s="12" t="s">
        <v>404</v>
      </c>
      <c r="C5209" s="12" t="s">
        <v>405</v>
      </c>
      <c r="D5209" s="12" t="s">
        <v>269</v>
      </c>
      <c r="E5209" s="12" t="s">
        <v>65</v>
      </c>
      <c r="F5209">
        <v>3</v>
      </c>
      <c r="G5209">
        <v>5</v>
      </c>
      <c r="H5209">
        <v>0</v>
      </c>
      <c r="I5209" s="12" t="s">
        <v>209</v>
      </c>
      <c r="J5209" s="12" t="s">
        <v>210</v>
      </c>
      <c r="K5209" s="12" t="s">
        <v>133</v>
      </c>
      <c r="L5209" s="12" t="s">
        <v>96</v>
      </c>
      <c r="M5209">
        <v>7.82</v>
      </c>
      <c r="N5209" s="12" t="s">
        <v>159</v>
      </c>
      <c r="O5209" s="12" t="s">
        <v>160</v>
      </c>
      <c r="P5209" s="12" t="s">
        <v>137</v>
      </c>
      <c r="Q5209" s="13">
        <v>45835</v>
      </c>
      <c r="R5209" s="13">
        <v>45873</v>
      </c>
      <c r="S5209">
        <v>2025</v>
      </c>
      <c r="T5209" s="12" t="s">
        <v>6113</v>
      </c>
      <c r="U5209">
        <v>143</v>
      </c>
      <c r="V5209">
        <v>444.7432</v>
      </c>
      <c r="W5209">
        <v>606.72</v>
      </c>
      <c r="X5209">
        <v>0</v>
      </c>
      <c r="Y5209">
        <v>0</v>
      </c>
      <c r="Z5209">
        <v>63598.28</v>
      </c>
      <c r="AA5209">
        <v>64205</v>
      </c>
      <c r="AB5209" s="12" t="s">
        <v>6300</v>
      </c>
      <c r="AC5209">
        <v>429.82510000000002</v>
      </c>
      <c r="AD5209">
        <v>1</v>
      </c>
      <c r="AE5209">
        <v>1</v>
      </c>
      <c r="AF5209">
        <v>2133.29</v>
      </c>
      <c r="AG5209">
        <v>61464.99</v>
      </c>
      <c r="AH5209">
        <v>143</v>
      </c>
      <c r="AI5209">
        <v>142</v>
      </c>
      <c r="AJ5209">
        <v>1</v>
      </c>
      <c r="AK5209">
        <v>1</v>
      </c>
      <c r="AL5209">
        <v>1</v>
      </c>
      <c r="AM5209">
        <v>99.3</v>
      </c>
      <c r="AN5209">
        <v>452.14789999999999</v>
      </c>
      <c r="AO5209">
        <v>444.74</v>
      </c>
      <c r="AP5209" s="13">
        <v>45873</v>
      </c>
      <c r="AQ5209">
        <v>0</v>
      </c>
      <c r="AR5209">
        <v>1</v>
      </c>
    </row>
    <row r="5210" spans="1:44" x14ac:dyDescent="0.35">
      <c r="A5210" s="12" t="s">
        <v>6301</v>
      </c>
      <c r="B5210" s="12" t="s">
        <v>755</v>
      </c>
      <c r="C5210" s="12" t="s">
        <v>756</v>
      </c>
      <c r="D5210" s="12" t="s">
        <v>78</v>
      </c>
      <c r="E5210" s="12" t="s">
        <v>65</v>
      </c>
      <c r="F5210">
        <v>2</v>
      </c>
      <c r="G5210">
        <v>2</v>
      </c>
      <c r="H5210">
        <v>0</v>
      </c>
      <c r="I5210" s="12" t="s">
        <v>359</v>
      </c>
      <c r="J5210" s="12" t="s">
        <v>360</v>
      </c>
      <c r="K5210" s="12" t="s">
        <v>133</v>
      </c>
      <c r="L5210" s="12" t="s">
        <v>82</v>
      </c>
      <c r="M5210">
        <v>12.65</v>
      </c>
      <c r="N5210" s="12" t="s">
        <v>97</v>
      </c>
      <c r="O5210" s="12" t="s">
        <v>98</v>
      </c>
      <c r="P5210" s="12" t="s">
        <v>72</v>
      </c>
      <c r="Q5210" s="13">
        <v>45835</v>
      </c>
      <c r="R5210" s="13">
        <v>45860</v>
      </c>
      <c r="S5210">
        <v>2025</v>
      </c>
      <c r="T5210" s="12" t="s">
        <v>6113</v>
      </c>
      <c r="U5210">
        <v>108</v>
      </c>
      <c r="V5210">
        <v>40.900399999999998</v>
      </c>
      <c r="W5210">
        <v>49.88</v>
      </c>
      <c r="X5210">
        <v>0</v>
      </c>
      <c r="Y5210">
        <v>0</v>
      </c>
      <c r="Z5210">
        <v>4417.24</v>
      </c>
      <c r="AA5210">
        <v>4467.12</v>
      </c>
      <c r="AB5210" s="12" t="s">
        <v>6215</v>
      </c>
      <c r="AC5210">
        <v>40.900399999999998</v>
      </c>
      <c r="AD5210">
        <v>1</v>
      </c>
      <c r="AE5210">
        <v>1</v>
      </c>
      <c r="AF5210">
        <v>0</v>
      </c>
      <c r="AG5210">
        <v>4417.24</v>
      </c>
      <c r="AH5210">
        <v>108</v>
      </c>
      <c r="AI5210">
        <v>106</v>
      </c>
      <c r="AJ5210">
        <v>2</v>
      </c>
      <c r="AK5210">
        <v>1</v>
      </c>
      <c r="AL5210">
        <v>1</v>
      </c>
      <c r="AM5210">
        <v>98.15</v>
      </c>
      <c r="AN5210">
        <v>42.142699999999998</v>
      </c>
      <c r="AO5210">
        <v>81.8</v>
      </c>
      <c r="AP5210" s="13">
        <v>45857</v>
      </c>
      <c r="AQ5210">
        <v>-3</v>
      </c>
      <c r="AR5210">
        <v>1</v>
      </c>
    </row>
    <row r="5211" spans="1:44" x14ac:dyDescent="0.35">
      <c r="A5211" s="12" t="s">
        <v>6302</v>
      </c>
      <c r="B5211" s="12" t="s">
        <v>728</v>
      </c>
      <c r="C5211" s="12" t="s">
        <v>729</v>
      </c>
      <c r="D5211" s="12" t="s">
        <v>269</v>
      </c>
      <c r="E5211" s="12" t="s">
        <v>65</v>
      </c>
      <c r="F5211">
        <v>2</v>
      </c>
      <c r="G5211">
        <v>3</v>
      </c>
      <c r="H5211">
        <v>0</v>
      </c>
      <c r="I5211" s="12" t="s">
        <v>310</v>
      </c>
      <c r="J5211" s="12" t="s">
        <v>311</v>
      </c>
      <c r="K5211" s="12" t="s">
        <v>81</v>
      </c>
      <c r="L5211" s="12" t="s">
        <v>69</v>
      </c>
      <c r="M5211">
        <v>28.3</v>
      </c>
      <c r="N5211" s="12" t="s">
        <v>135</v>
      </c>
      <c r="O5211" s="12" t="s">
        <v>136</v>
      </c>
      <c r="P5211" s="12" t="s">
        <v>137</v>
      </c>
      <c r="Q5211" s="13">
        <v>45835</v>
      </c>
      <c r="R5211" s="13">
        <v>45862</v>
      </c>
      <c r="S5211">
        <v>2025</v>
      </c>
      <c r="T5211" s="12" t="s">
        <v>6113</v>
      </c>
      <c r="U5211">
        <v>57</v>
      </c>
      <c r="V5211">
        <v>354.43099999999998</v>
      </c>
      <c r="W5211">
        <v>418.75</v>
      </c>
      <c r="X5211">
        <v>0</v>
      </c>
      <c r="Y5211">
        <v>0</v>
      </c>
      <c r="Z5211">
        <v>20202.57</v>
      </c>
      <c r="AA5211">
        <v>20621.32</v>
      </c>
      <c r="AB5211" s="12" t="s">
        <v>5820</v>
      </c>
      <c r="AC5211">
        <v>354.43099999999998</v>
      </c>
      <c r="AD5211">
        <v>1</v>
      </c>
      <c r="AE5211">
        <v>1</v>
      </c>
      <c r="AF5211">
        <v>0</v>
      </c>
      <c r="AG5211">
        <v>20202.57</v>
      </c>
      <c r="AH5211">
        <v>57</v>
      </c>
      <c r="AI5211">
        <v>56</v>
      </c>
      <c r="AJ5211">
        <v>1</v>
      </c>
      <c r="AK5211">
        <v>1</v>
      </c>
      <c r="AL5211">
        <v>1</v>
      </c>
      <c r="AM5211">
        <v>98.25</v>
      </c>
      <c r="AN5211">
        <v>368.23779999999999</v>
      </c>
      <c r="AO5211">
        <v>354.43</v>
      </c>
      <c r="AP5211" s="13">
        <v>45861</v>
      </c>
      <c r="AQ5211">
        <v>-1</v>
      </c>
      <c r="AR5211">
        <v>1</v>
      </c>
    </row>
    <row r="5212" spans="1:44" x14ac:dyDescent="0.35">
      <c r="A5212" s="12" t="s">
        <v>6303</v>
      </c>
      <c r="B5212" s="12" t="s">
        <v>1042</v>
      </c>
      <c r="C5212" s="12" t="s">
        <v>1043</v>
      </c>
      <c r="D5212" s="12" t="s">
        <v>269</v>
      </c>
      <c r="E5212" s="12" t="s">
        <v>104</v>
      </c>
      <c r="F5212">
        <v>2</v>
      </c>
      <c r="G5212">
        <v>0</v>
      </c>
      <c r="H5212">
        <v>0</v>
      </c>
      <c r="I5212" s="12" t="s">
        <v>143</v>
      </c>
      <c r="J5212" s="12" t="s">
        <v>144</v>
      </c>
      <c r="K5212" s="12" t="s">
        <v>133</v>
      </c>
      <c r="L5212" s="12" t="s">
        <v>96</v>
      </c>
      <c r="M5212">
        <v>5.43</v>
      </c>
      <c r="N5212" s="12" t="s">
        <v>135</v>
      </c>
      <c r="O5212" s="12" t="s">
        <v>136</v>
      </c>
      <c r="P5212" s="12" t="s">
        <v>137</v>
      </c>
      <c r="Q5212" s="13">
        <v>45835</v>
      </c>
      <c r="R5212" s="13">
        <v>45848</v>
      </c>
      <c r="S5212">
        <v>2025</v>
      </c>
      <c r="T5212" s="12" t="s">
        <v>6113</v>
      </c>
      <c r="U5212">
        <v>21</v>
      </c>
      <c r="V5212">
        <v>312.48419999999999</v>
      </c>
      <c r="W5212">
        <v>92.27</v>
      </c>
      <c r="X5212">
        <v>0</v>
      </c>
      <c r="Y5212">
        <v>0</v>
      </c>
      <c r="Z5212">
        <v>6562.17</v>
      </c>
      <c r="AA5212">
        <v>6654.44</v>
      </c>
      <c r="AB5212" s="12" t="s">
        <v>201</v>
      </c>
      <c r="AD5212">
        <v>0</v>
      </c>
      <c r="AE5212">
        <v>0</v>
      </c>
      <c r="AH5212">
        <v>21</v>
      </c>
      <c r="AI5212">
        <v>21</v>
      </c>
      <c r="AJ5212">
        <v>0</v>
      </c>
      <c r="AK5212">
        <v>1</v>
      </c>
      <c r="AL5212">
        <v>1</v>
      </c>
      <c r="AM5212">
        <v>100</v>
      </c>
      <c r="AN5212">
        <v>316.87799999999999</v>
      </c>
      <c r="AO5212">
        <v>0</v>
      </c>
      <c r="AP5212" s="13">
        <v>45846</v>
      </c>
      <c r="AQ5212">
        <v>-2</v>
      </c>
      <c r="AR5212">
        <v>1</v>
      </c>
    </row>
    <row r="5213" spans="1:44" x14ac:dyDescent="0.35">
      <c r="A5213" s="12" t="s">
        <v>6304</v>
      </c>
      <c r="B5213" s="12" t="s">
        <v>221</v>
      </c>
      <c r="C5213" s="12" t="s">
        <v>222</v>
      </c>
      <c r="D5213" s="12" t="s">
        <v>114</v>
      </c>
      <c r="E5213" s="12" t="s">
        <v>142</v>
      </c>
      <c r="F5213">
        <v>3</v>
      </c>
      <c r="G5213">
        <v>11</v>
      </c>
      <c r="H5213">
        <v>0</v>
      </c>
      <c r="I5213" s="12" t="s">
        <v>223</v>
      </c>
      <c r="J5213" s="12" t="s">
        <v>224</v>
      </c>
      <c r="K5213" s="12" t="s">
        <v>81</v>
      </c>
      <c r="L5213" s="12" t="s">
        <v>134</v>
      </c>
      <c r="M5213">
        <v>2.4900000000000002</v>
      </c>
      <c r="N5213" s="12" t="s">
        <v>97</v>
      </c>
      <c r="O5213" s="12" t="s">
        <v>98</v>
      </c>
      <c r="P5213" s="12" t="s">
        <v>72</v>
      </c>
      <c r="Q5213" s="13">
        <v>45835</v>
      </c>
      <c r="R5213" s="13">
        <v>45884</v>
      </c>
      <c r="S5213">
        <v>2025</v>
      </c>
      <c r="T5213" s="12" t="s">
        <v>6113</v>
      </c>
      <c r="U5213">
        <v>119</v>
      </c>
      <c r="V5213">
        <v>251.06110000000001</v>
      </c>
      <c r="W5213">
        <v>587.45000000000005</v>
      </c>
      <c r="X5213">
        <v>0</v>
      </c>
      <c r="Y5213">
        <v>0</v>
      </c>
      <c r="Z5213">
        <v>29876.27</v>
      </c>
      <c r="AA5213">
        <v>30463.72</v>
      </c>
      <c r="AB5213" s="12" t="s">
        <v>201</v>
      </c>
      <c r="AD5213">
        <v>0</v>
      </c>
      <c r="AE5213">
        <v>0</v>
      </c>
      <c r="AH5213">
        <v>119</v>
      </c>
      <c r="AI5213">
        <v>118</v>
      </c>
      <c r="AJ5213">
        <v>1</v>
      </c>
      <c r="AK5213">
        <v>1</v>
      </c>
      <c r="AL5213">
        <v>1</v>
      </c>
      <c r="AM5213">
        <v>99.16</v>
      </c>
      <c r="AN5213">
        <v>258.1671</v>
      </c>
      <c r="AO5213">
        <v>251.06</v>
      </c>
      <c r="AP5213" s="13">
        <v>45884</v>
      </c>
      <c r="AQ5213">
        <v>0</v>
      </c>
      <c r="AR5213">
        <v>1</v>
      </c>
    </row>
    <row r="5214" spans="1:44" x14ac:dyDescent="0.35">
      <c r="A5214" s="12" t="s">
        <v>6305</v>
      </c>
      <c r="B5214" s="12" t="s">
        <v>972</v>
      </c>
      <c r="C5214" s="12" t="s">
        <v>973</v>
      </c>
      <c r="D5214" s="12" t="s">
        <v>130</v>
      </c>
      <c r="E5214" s="12" t="s">
        <v>142</v>
      </c>
      <c r="F5214">
        <v>2</v>
      </c>
      <c r="G5214">
        <v>9</v>
      </c>
      <c r="H5214">
        <v>0</v>
      </c>
      <c r="I5214" s="12" t="s">
        <v>66</v>
      </c>
      <c r="J5214" s="12" t="s">
        <v>67</v>
      </c>
      <c r="K5214" s="12" t="s">
        <v>68</v>
      </c>
      <c r="L5214" s="12" t="s">
        <v>69</v>
      </c>
      <c r="M5214">
        <v>17.66</v>
      </c>
      <c r="N5214" s="12" t="s">
        <v>159</v>
      </c>
      <c r="O5214" s="12" t="s">
        <v>160</v>
      </c>
      <c r="P5214" s="12" t="s">
        <v>137</v>
      </c>
      <c r="Q5214" s="13">
        <v>45835</v>
      </c>
      <c r="R5214" s="13">
        <v>45882</v>
      </c>
      <c r="S5214">
        <v>2025</v>
      </c>
      <c r="T5214" s="12" t="s">
        <v>6113</v>
      </c>
      <c r="U5214">
        <v>110</v>
      </c>
      <c r="V5214">
        <v>784.53480000000002</v>
      </c>
      <c r="W5214">
        <v>887.36</v>
      </c>
      <c r="X5214">
        <v>0</v>
      </c>
      <c r="Y5214">
        <v>0</v>
      </c>
      <c r="Z5214">
        <v>86298.83</v>
      </c>
      <c r="AA5214">
        <v>87186.19</v>
      </c>
      <c r="AB5214" s="12" t="s">
        <v>5915</v>
      </c>
      <c r="AC5214">
        <v>784.53480000000002</v>
      </c>
      <c r="AD5214">
        <v>1</v>
      </c>
      <c r="AE5214">
        <v>1</v>
      </c>
      <c r="AF5214">
        <v>0</v>
      </c>
      <c r="AG5214">
        <v>86298.83</v>
      </c>
      <c r="AH5214">
        <v>110</v>
      </c>
      <c r="AI5214">
        <v>109</v>
      </c>
      <c r="AJ5214">
        <v>1</v>
      </c>
      <c r="AK5214">
        <v>1</v>
      </c>
      <c r="AL5214">
        <v>1</v>
      </c>
      <c r="AM5214">
        <v>99.09</v>
      </c>
      <c r="AN5214">
        <v>799.87329999999997</v>
      </c>
      <c r="AO5214">
        <v>784.53</v>
      </c>
      <c r="AP5214" s="13">
        <v>45879</v>
      </c>
      <c r="AQ5214">
        <v>-3</v>
      </c>
      <c r="AR5214">
        <v>1</v>
      </c>
    </row>
    <row r="5215" spans="1:44" x14ac:dyDescent="0.35">
      <c r="A5215" s="12" t="s">
        <v>6306</v>
      </c>
      <c r="B5215" s="12" t="s">
        <v>101</v>
      </c>
      <c r="C5215" s="12" t="s">
        <v>102</v>
      </c>
      <c r="D5215" s="12" t="s">
        <v>103</v>
      </c>
      <c r="E5215" s="12" t="s">
        <v>104</v>
      </c>
      <c r="F5215">
        <v>1</v>
      </c>
      <c r="G5215">
        <v>0</v>
      </c>
      <c r="H5215">
        <v>1</v>
      </c>
      <c r="I5215" s="12" t="s">
        <v>105</v>
      </c>
      <c r="J5215" s="12" t="s">
        <v>106</v>
      </c>
      <c r="K5215" s="12" t="s">
        <v>81</v>
      </c>
      <c r="L5215" s="12" t="s">
        <v>96</v>
      </c>
      <c r="M5215">
        <v>5.01</v>
      </c>
      <c r="N5215" s="12" t="s">
        <v>145</v>
      </c>
      <c r="O5215" s="12" t="s">
        <v>146</v>
      </c>
      <c r="P5215" s="12" t="s">
        <v>109</v>
      </c>
      <c r="Q5215" s="13">
        <v>45838</v>
      </c>
      <c r="R5215" s="13">
        <v>45855</v>
      </c>
      <c r="S5215">
        <v>2025</v>
      </c>
      <c r="T5215" s="12" t="s">
        <v>6113</v>
      </c>
      <c r="U5215">
        <v>54</v>
      </c>
      <c r="V5215">
        <v>203.18520000000001</v>
      </c>
      <c r="W5215">
        <v>201.28</v>
      </c>
      <c r="X5215">
        <v>0</v>
      </c>
      <c r="Y5215">
        <v>0</v>
      </c>
      <c r="Z5215">
        <v>10972</v>
      </c>
      <c r="AA5215">
        <v>11173.28</v>
      </c>
      <c r="AB5215" s="12" t="s">
        <v>5173</v>
      </c>
      <c r="AC5215">
        <v>203.18520000000001</v>
      </c>
      <c r="AD5215">
        <v>1</v>
      </c>
      <c r="AE5215">
        <v>1</v>
      </c>
      <c r="AF5215">
        <v>0</v>
      </c>
      <c r="AG5215">
        <v>10972</v>
      </c>
      <c r="AH5215">
        <v>54</v>
      </c>
      <c r="AI5215">
        <v>54</v>
      </c>
      <c r="AJ5215">
        <v>0</v>
      </c>
      <c r="AK5215">
        <v>1</v>
      </c>
      <c r="AL5215">
        <v>1</v>
      </c>
      <c r="AM5215">
        <v>100</v>
      </c>
      <c r="AN5215">
        <v>206.9126</v>
      </c>
      <c r="AO5215">
        <v>0</v>
      </c>
      <c r="AP5215" s="13">
        <v>45852</v>
      </c>
      <c r="AQ5215">
        <v>-3</v>
      </c>
      <c r="AR5215">
        <v>1</v>
      </c>
    </row>
    <row r="5216" spans="1:44" x14ac:dyDescent="0.35">
      <c r="A5216" s="12" t="s">
        <v>6307</v>
      </c>
      <c r="B5216" s="12" t="s">
        <v>565</v>
      </c>
      <c r="C5216" s="12" t="s">
        <v>566</v>
      </c>
      <c r="D5216" s="12" t="s">
        <v>122</v>
      </c>
      <c r="E5216" s="12" t="s">
        <v>104</v>
      </c>
      <c r="F5216">
        <v>3</v>
      </c>
      <c r="G5216">
        <v>1</v>
      </c>
      <c r="H5216">
        <v>0</v>
      </c>
      <c r="I5216" s="12" t="s">
        <v>131</v>
      </c>
      <c r="J5216" s="12" t="s">
        <v>132</v>
      </c>
      <c r="K5216" s="12" t="s">
        <v>133</v>
      </c>
      <c r="L5216" s="12" t="s">
        <v>134</v>
      </c>
      <c r="M5216">
        <v>1.51</v>
      </c>
      <c r="N5216" s="12" t="s">
        <v>97</v>
      </c>
      <c r="O5216" s="12" t="s">
        <v>98</v>
      </c>
      <c r="P5216" s="12" t="s">
        <v>72</v>
      </c>
      <c r="Q5216" s="13">
        <v>45838</v>
      </c>
      <c r="R5216" s="13">
        <v>45853</v>
      </c>
      <c r="S5216">
        <v>2025</v>
      </c>
      <c r="T5216" s="12" t="s">
        <v>6113</v>
      </c>
      <c r="U5216">
        <v>534</v>
      </c>
      <c r="V5216">
        <v>35.119900000000001</v>
      </c>
      <c r="W5216">
        <v>448.87</v>
      </c>
      <c r="X5216">
        <v>0</v>
      </c>
      <c r="Y5216">
        <v>0</v>
      </c>
      <c r="Z5216">
        <v>18754.03</v>
      </c>
      <c r="AA5216">
        <v>19202.900000000001</v>
      </c>
      <c r="AB5216" s="12" t="s">
        <v>5571</v>
      </c>
      <c r="AC5216">
        <v>35.119900000000001</v>
      </c>
      <c r="AD5216">
        <v>1</v>
      </c>
      <c r="AE5216">
        <v>1</v>
      </c>
      <c r="AF5216">
        <v>0</v>
      </c>
      <c r="AG5216">
        <v>18754.03</v>
      </c>
      <c r="AH5216">
        <v>534</v>
      </c>
      <c r="AI5216">
        <v>531</v>
      </c>
      <c r="AJ5216">
        <v>3</v>
      </c>
      <c r="AK5216">
        <v>1</v>
      </c>
      <c r="AL5216">
        <v>1</v>
      </c>
      <c r="AM5216">
        <v>99.44</v>
      </c>
      <c r="AN5216">
        <v>36.163600000000002</v>
      </c>
      <c r="AO5216">
        <v>105.36</v>
      </c>
      <c r="AP5216" s="13">
        <v>45850</v>
      </c>
      <c r="AQ5216">
        <v>-3</v>
      </c>
      <c r="AR5216">
        <v>1</v>
      </c>
    </row>
    <row r="5217" spans="1:44" x14ac:dyDescent="0.35">
      <c r="A5217" s="12" t="s">
        <v>6308</v>
      </c>
      <c r="B5217" s="12" t="s">
        <v>630</v>
      </c>
      <c r="C5217" s="12" t="s">
        <v>631</v>
      </c>
      <c r="D5217" s="12" t="s">
        <v>130</v>
      </c>
      <c r="E5217" s="12" t="s">
        <v>65</v>
      </c>
      <c r="F5217">
        <v>1</v>
      </c>
      <c r="G5217">
        <v>2</v>
      </c>
      <c r="H5217">
        <v>1</v>
      </c>
      <c r="I5217" s="12" t="s">
        <v>335</v>
      </c>
      <c r="J5217" s="12" t="s">
        <v>336</v>
      </c>
      <c r="K5217" s="12" t="s">
        <v>89</v>
      </c>
      <c r="L5217" s="12" t="s">
        <v>82</v>
      </c>
      <c r="M5217">
        <v>16</v>
      </c>
      <c r="N5217" s="12" t="s">
        <v>159</v>
      </c>
      <c r="O5217" s="12" t="s">
        <v>160</v>
      </c>
      <c r="P5217" s="12" t="s">
        <v>137</v>
      </c>
      <c r="Q5217" s="13">
        <v>45838</v>
      </c>
      <c r="R5217" s="13">
        <v>45872</v>
      </c>
      <c r="S5217">
        <v>2025</v>
      </c>
      <c r="T5217" s="12" t="s">
        <v>6113</v>
      </c>
      <c r="U5217">
        <v>111</v>
      </c>
      <c r="V5217">
        <v>444.29629999999997</v>
      </c>
      <c r="W5217">
        <v>677.58</v>
      </c>
      <c r="X5217">
        <v>0</v>
      </c>
      <c r="Y5217">
        <v>0</v>
      </c>
      <c r="Z5217">
        <v>49316.89</v>
      </c>
      <c r="AA5217">
        <v>49994.47</v>
      </c>
      <c r="AB5217" s="12" t="s">
        <v>5553</v>
      </c>
      <c r="AC5217">
        <v>444.29629999999997</v>
      </c>
      <c r="AD5217">
        <v>1</v>
      </c>
      <c r="AE5217">
        <v>1</v>
      </c>
      <c r="AF5217">
        <v>0</v>
      </c>
      <c r="AG5217">
        <v>49316.89</v>
      </c>
      <c r="AH5217">
        <v>111</v>
      </c>
      <c r="AI5217">
        <v>110</v>
      </c>
      <c r="AJ5217">
        <v>1</v>
      </c>
      <c r="AK5217">
        <v>1</v>
      </c>
      <c r="AL5217">
        <v>1</v>
      </c>
      <c r="AM5217">
        <v>99.1</v>
      </c>
      <c r="AN5217">
        <v>454.49520000000001</v>
      </c>
      <c r="AO5217">
        <v>444.3</v>
      </c>
      <c r="AP5217" s="13">
        <v>45869</v>
      </c>
      <c r="AQ5217">
        <v>-3</v>
      </c>
      <c r="AR5217">
        <v>1</v>
      </c>
    </row>
    <row r="5218" spans="1:44" x14ac:dyDescent="0.35">
      <c r="A5218" s="12" t="s">
        <v>6309</v>
      </c>
      <c r="B5218" s="12" t="s">
        <v>112</v>
      </c>
      <c r="C5218" s="12" t="s">
        <v>113</v>
      </c>
      <c r="D5218" s="12" t="s">
        <v>114</v>
      </c>
      <c r="E5218" s="12" t="s">
        <v>104</v>
      </c>
      <c r="F5218">
        <v>3</v>
      </c>
      <c r="G5218">
        <v>1</v>
      </c>
      <c r="H5218">
        <v>0</v>
      </c>
      <c r="I5218" s="12" t="s">
        <v>233</v>
      </c>
      <c r="J5218" s="12" t="s">
        <v>234</v>
      </c>
      <c r="K5218" s="12" t="s">
        <v>125</v>
      </c>
      <c r="L5218" s="12" t="s">
        <v>96</v>
      </c>
      <c r="M5218">
        <v>3.73</v>
      </c>
      <c r="N5218" s="12" t="s">
        <v>97</v>
      </c>
      <c r="O5218" s="12" t="s">
        <v>98</v>
      </c>
      <c r="P5218" s="12" t="s">
        <v>72</v>
      </c>
      <c r="Q5218" s="13">
        <v>45838</v>
      </c>
      <c r="R5218" s="13">
        <v>45859</v>
      </c>
      <c r="S5218">
        <v>2025</v>
      </c>
      <c r="T5218" s="12" t="s">
        <v>6113</v>
      </c>
      <c r="U5218">
        <v>82</v>
      </c>
      <c r="V5218">
        <v>295.10500000000002</v>
      </c>
      <c r="W5218">
        <v>225.35</v>
      </c>
      <c r="X5218">
        <v>0</v>
      </c>
      <c r="Y5218">
        <v>0</v>
      </c>
      <c r="Z5218">
        <v>24198.61</v>
      </c>
      <c r="AA5218">
        <v>24423.96</v>
      </c>
      <c r="AB5218" s="12" t="s">
        <v>201</v>
      </c>
      <c r="AD5218">
        <v>0</v>
      </c>
      <c r="AE5218">
        <v>0</v>
      </c>
      <c r="AH5218">
        <v>82</v>
      </c>
      <c r="AI5218">
        <v>80</v>
      </c>
      <c r="AJ5218">
        <v>2</v>
      </c>
      <c r="AK5218">
        <v>1</v>
      </c>
      <c r="AL5218">
        <v>1</v>
      </c>
      <c r="AM5218">
        <v>97.56</v>
      </c>
      <c r="AN5218">
        <v>305.29950000000002</v>
      </c>
      <c r="AO5218">
        <v>590.21</v>
      </c>
      <c r="AP5218" s="13">
        <v>45858</v>
      </c>
      <c r="AQ5218">
        <v>-1</v>
      </c>
      <c r="AR5218">
        <v>1</v>
      </c>
    </row>
    <row r="5219" spans="1:44" x14ac:dyDescent="0.35">
      <c r="A5219" s="12" t="s">
        <v>6310</v>
      </c>
      <c r="B5219" s="12" t="s">
        <v>646</v>
      </c>
      <c r="C5219" s="12" t="s">
        <v>647</v>
      </c>
      <c r="D5219" s="12" t="s">
        <v>175</v>
      </c>
      <c r="E5219" s="12" t="s">
        <v>104</v>
      </c>
      <c r="F5219">
        <v>3</v>
      </c>
      <c r="G5219">
        <v>1</v>
      </c>
      <c r="H5219">
        <v>0</v>
      </c>
      <c r="I5219" s="12" t="s">
        <v>209</v>
      </c>
      <c r="J5219" s="12" t="s">
        <v>210</v>
      </c>
      <c r="K5219" s="12" t="s">
        <v>133</v>
      </c>
      <c r="L5219" s="12" t="s">
        <v>96</v>
      </c>
      <c r="M5219">
        <v>7.82</v>
      </c>
      <c r="N5219" s="12" t="s">
        <v>145</v>
      </c>
      <c r="O5219" s="12" t="s">
        <v>146</v>
      </c>
      <c r="P5219" s="12" t="s">
        <v>109</v>
      </c>
      <c r="Q5219" s="13">
        <v>45838</v>
      </c>
      <c r="R5219" s="13">
        <v>45855</v>
      </c>
      <c r="S5219">
        <v>2025</v>
      </c>
      <c r="T5219" s="12" t="s">
        <v>6113</v>
      </c>
      <c r="U5219">
        <v>49</v>
      </c>
      <c r="V5219">
        <v>240.654</v>
      </c>
      <c r="W5219">
        <v>85.38</v>
      </c>
      <c r="X5219">
        <v>0</v>
      </c>
      <c r="Y5219">
        <v>0</v>
      </c>
      <c r="Z5219">
        <v>11792.05</v>
      </c>
      <c r="AA5219">
        <v>11877.43</v>
      </c>
      <c r="AB5219" s="12" t="s">
        <v>201</v>
      </c>
      <c r="AD5219">
        <v>0</v>
      </c>
      <c r="AE5219">
        <v>0</v>
      </c>
      <c r="AH5219">
        <v>49</v>
      </c>
      <c r="AI5219">
        <v>49</v>
      </c>
      <c r="AJ5219">
        <v>0</v>
      </c>
      <c r="AK5219">
        <v>1</v>
      </c>
      <c r="AL5219">
        <v>1</v>
      </c>
      <c r="AM5219">
        <v>100</v>
      </c>
      <c r="AN5219">
        <v>242.3964</v>
      </c>
      <c r="AO5219">
        <v>0</v>
      </c>
      <c r="AP5219" s="13">
        <v>45856</v>
      </c>
      <c r="AQ5219">
        <v>1</v>
      </c>
      <c r="AR5219">
        <v>0</v>
      </c>
    </row>
    <row r="5220" spans="1:44" x14ac:dyDescent="0.35">
      <c r="A5220" s="12" t="s">
        <v>6311</v>
      </c>
      <c r="B5220" s="12" t="s">
        <v>747</v>
      </c>
      <c r="C5220" s="12" t="s">
        <v>748</v>
      </c>
      <c r="D5220" s="12" t="s">
        <v>114</v>
      </c>
      <c r="E5220" s="12" t="s">
        <v>104</v>
      </c>
      <c r="F5220">
        <v>2</v>
      </c>
      <c r="G5220">
        <v>0</v>
      </c>
      <c r="H5220">
        <v>0</v>
      </c>
      <c r="I5220" s="12" t="s">
        <v>380</v>
      </c>
      <c r="J5220" s="12" t="s">
        <v>381</v>
      </c>
      <c r="K5220" s="12" t="s">
        <v>89</v>
      </c>
      <c r="L5220" s="12" t="s">
        <v>96</v>
      </c>
      <c r="M5220">
        <v>10.210000000000001</v>
      </c>
      <c r="N5220" s="12" t="s">
        <v>70</v>
      </c>
      <c r="O5220" s="12" t="s">
        <v>71</v>
      </c>
      <c r="P5220" s="12" t="s">
        <v>72</v>
      </c>
      <c r="Q5220" s="13">
        <v>45838</v>
      </c>
      <c r="R5220" s="13">
        <v>45858</v>
      </c>
      <c r="S5220">
        <v>2025</v>
      </c>
      <c r="T5220" s="12" t="s">
        <v>6113</v>
      </c>
      <c r="U5220">
        <v>75</v>
      </c>
      <c r="V5220">
        <v>248.483</v>
      </c>
      <c r="W5220">
        <v>293.24</v>
      </c>
      <c r="X5220">
        <v>0</v>
      </c>
      <c r="Y5220">
        <v>0</v>
      </c>
      <c r="Z5220">
        <v>18636.23</v>
      </c>
      <c r="AA5220">
        <v>18929.47</v>
      </c>
      <c r="AB5220" s="12" t="s">
        <v>201</v>
      </c>
      <c r="AD5220">
        <v>0</v>
      </c>
      <c r="AE5220">
        <v>0</v>
      </c>
      <c r="AH5220">
        <v>75</v>
      </c>
      <c r="AI5220">
        <v>74</v>
      </c>
      <c r="AJ5220">
        <v>1</v>
      </c>
      <c r="AK5220">
        <v>1</v>
      </c>
      <c r="AL5220">
        <v>1</v>
      </c>
      <c r="AM5220">
        <v>98.67</v>
      </c>
      <c r="AN5220">
        <v>255.80359999999999</v>
      </c>
      <c r="AO5220">
        <v>248.48</v>
      </c>
      <c r="AP5220" s="13">
        <v>45865</v>
      </c>
      <c r="AQ5220">
        <v>7</v>
      </c>
      <c r="AR5220">
        <v>0</v>
      </c>
    </row>
    <row r="5221" spans="1:44" x14ac:dyDescent="0.35">
      <c r="A5221" s="12" t="s">
        <v>6312</v>
      </c>
      <c r="B5221" s="12" t="s">
        <v>755</v>
      </c>
      <c r="C5221" s="12" t="s">
        <v>756</v>
      </c>
      <c r="D5221" s="12" t="s">
        <v>78</v>
      </c>
      <c r="E5221" s="12" t="s">
        <v>65</v>
      </c>
      <c r="F5221">
        <v>2</v>
      </c>
      <c r="G5221">
        <v>2</v>
      </c>
      <c r="H5221">
        <v>0</v>
      </c>
      <c r="I5221" s="12" t="s">
        <v>359</v>
      </c>
      <c r="J5221" s="12" t="s">
        <v>360</v>
      </c>
      <c r="K5221" s="12" t="s">
        <v>133</v>
      </c>
      <c r="L5221" s="12" t="s">
        <v>82</v>
      </c>
      <c r="M5221">
        <v>12.65</v>
      </c>
      <c r="N5221" s="12" t="s">
        <v>97</v>
      </c>
      <c r="O5221" s="12" t="s">
        <v>98</v>
      </c>
      <c r="P5221" s="12" t="s">
        <v>72</v>
      </c>
      <c r="Q5221" s="13">
        <v>45838</v>
      </c>
      <c r="R5221" s="13">
        <v>45864</v>
      </c>
      <c r="S5221">
        <v>2025</v>
      </c>
      <c r="T5221" s="12" t="s">
        <v>6113</v>
      </c>
      <c r="U5221">
        <v>116</v>
      </c>
      <c r="V5221">
        <v>41.7821</v>
      </c>
      <c r="W5221">
        <v>106.13</v>
      </c>
      <c r="X5221">
        <v>0</v>
      </c>
      <c r="Y5221">
        <v>0</v>
      </c>
      <c r="Z5221">
        <v>4846.72</v>
      </c>
      <c r="AA5221">
        <v>4952.8500000000004</v>
      </c>
      <c r="AB5221" s="12" t="s">
        <v>6215</v>
      </c>
      <c r="AC5221">
        <v>40.900399999999998</v>
      </c>
      <c r="AD5221">
        <v>1</v>
      </c>
      <c r="AE5221">
        <v>1</v>
      </c>
      <c r="AF5221">
        <v>102.28</v>
      </c>
      <c r="AG5221">
        <v>4744.45</v>
      </c>
      <c r="AH5221">
        <v>116</v>
      </c>
      <c r="AI5221">
        <v>113</v>
      </c>
      <c r="AJ5221">
        <v>3</v>
      </c>
      <c r="AK5221">
        <v>1</v>
      </c>
      <c r="AL5221">
        <v>1</v>
      </c>
      <c r="AM5221">
        <v>97.41</v>
      </c>
      <c r="AN5221">
        <v>43.830599999999997</v>
      </c>
      <c r="AO5221">
        <v>125.35</v>
      </c>
      <c r="AP5221" s="13">
        <v>45861</v>
      </c>
      <c r="AQ5221">
        <v>-3</v>
      </c>
      <c r="AR5221">
        <v>1</v>
      </c>
    </row>
    <row r="5222" spans="1:44" x14ac:dyDescent="0.35">
      <c r="A5222" s="12" t="s">
        <v>6313</v>
      </c>
      <c r="B5222" s="12" t="s">
        <v>128</v>
      </c>
      <c r="C5222" s="12" t="s">
        <v>129</v>
      </c>
      <c r="D5222" s="12" t="s">
        <v>130</v>
      </c>
      <c r="E5222" s="12" t="s">
        <v>65</v>
      </c>
      <c r="F5222">
        <v>3</v>
      </c>
      <c r="G5222">
        <v>5</v>
      </c>
      <c r="H5222">
        <v>0</v>
      </c>
      <c r="I5222" s="12" t="s">
        <v>131</v>
      </c>
      <c r="J5222" s="12" t="s">
        <v>132</v>
      </c>
      <c r="K5222" s="12" t="s">
        <v>133</v>
      </c>
      <c r="L5222" s="12" t="s">
        <v>134</v>
      </c>
      <c r="M5222">
        <v>1.51</v>
      </c>
      <c r="N5222" s="12" t="s">
        <v>135</v>
      </c>
      <c r="O5222" s="12" t="s">
        <v>136</v>
      </c>
      <c r="P5222" s="12" t="s">
        <v>137</v>
      </c>
      <c r="Q5222" s="13">
        <v>45838</v>
      </c>
      <c r="R5222" s="13">
        <v>45874</v>
      </c>
      <c r="S5222">
        <v>2025</v>
      </c>
      <c r="T5222" s="12" t="s">
        <v>6113</v>
      </c>
      <c r="U5222">
        <v>130</v>
      </c>
      <c r="V5222">
        <v>376.19409999999999</v>
      </c>
      <c r="W5222">
        <v>1257.42</v>
      </c>
      <c r="X5222">
        <v>0</v>
      </c>
      <c r="Y5222">
        <v>0</v>
      </c>
      <c r="Z5222">
        <v>48905.23</v>
      </c>
      <c r="AA5222">
        <v>50162.65</v>
      </c>
      <c r="AB5222" s="12" t="s">
        <v>201</v>
      </c>
      <c r="AD5222">
        <v>0</v>
      </c>
      <c r="AE5222">
        <v>0</v>
      </c>
      <c r="AH5222">
        <v>130</v>
      </c>
      <c r="AI5222">
        <v>119</v>
      </c>
      <c r="AJ5222">
        <v>11</v>
      </c>
      <c r="AK5222">
        <v>1</v>
      </c>
      <c r="AL5222">
        <v>1</v>
      </c>
      <c r="AM5222">
        <v>91.54</v>
      </c>
      <c r="AN5222">
        <v>421.53489999999999</v>
      </c>
      <c r="AO5222">
        <v>4138.1400000000003</v>
      </c>
      <c r="AP5222" s="13">
        <v>45876</v>
      </c>
      <c r="AQ5222">
        <v>2</v>
      </c>
      <c r="AR5222">
        <v>0</v>
      </c>
    </row>
    <row r="5223" spans="1:44" x14ac:dyDescent="0.35">
      <c r="A5223" s="12" t="s">
        <v>6314</v>
      </c>
      <c r="B5223" s="12" t="s">
        <v>490</v>
      </c>
      <c r="C5223" s="12" t="s">
        <v>491</v>
      </c>
      <c r="D5223" s="12" t="s">
        <v>130</v>
      </c>
      <c r="E5223" s="12" t="s">
        <v>104</v>
      </c>
      <c r="F5223">
        <v>3</v>
      </c>
      <c r="G5223">
        <v>1</v>
      </c>
      <c r="H5223">
        <v>0</v>
      </c>
      <c r="I5223" s="12" t="s">
        <v>176</v>
      </c>
      <c r="J5223" s="12" t="s">
        <v>177</v>
      </c>
      <c r="K5223" s="12" t="s">
        <v>125</v>
      </c>
      <c r="L5223" s="12" t="s">
        <v>134</v>
      </c>
      <c r="M5223">
        <v>1.75</v>
      </c>
      <c r="N5223" s="12" t="s">
        <v>135</v>
      </c>
      <c r="O5223" s="12" t="s">
        <v>136</v>
      </c>
      <c r="P5223" s="12" t="s">
        <v>137</v>
      </c>
      <c r="Q5223" s="13">
        <v>45838</v>
      </c>
      <c r="R5223" s="13">
        <v>45859</v>
      </c>
      <c r="S5223">
        <v>2025</v>
      </c>
      <c r="T5223" s="12" t="s">
        <v>6113</v>
      </c>
      <c r="U5223">
        <v>85</v>
      </c>
      <c r="V5223">
        <v>234.9982</v>
      </c>
      <c r="W5223">
        <v>227.37</v>
      </c>
      <c r="X5223">
        <v>0</v>
      </c>
      <c r="Y5223">
        <v>0</v>
      </c>
      <c r="Z5223">
        <v>19974.849999999999</v>
      </c>
      <c r="AA5223">
        <v>20202.22</v>
      </c>
      <c r="AB5223" s="12" t="s">
        <v>5760</v>
      </c>
      <c r="AC5223">
        <v>234.9982</v>
      </c>
      <c r="AD5223">
        <v>1</v>
      </c>
      <c r="AE5223">
        <v>1</v>
      </c>
      <c r="AF5223">
        <v>0</v>
      </c>
      <c r="AG5223">
        <v>19974.849999999999</v>
      </c>
      <c r="AH5223">
        <v>85</v>
      </c>
      <c r="AI5223">
        <v>85</v>
      </c>
      <c r="AJ5223">
        <v>0</v>
      </c>
      <c r="AK5223">
        <v>1</v>
      </c>
      <c r="AL5223">
        <v>1</v>
      </c>
      <c r="AM5223">
        <v>100</v>
      </c>
      <c r="AN5223">
        <v>237.67310000000001</v>
      </c>
      <c r="AO5223">
        <v>0</v>
      </c>
      <c r="AP5223" s="13">
        <v>45857</v>
      </c>
      <c r="AQ5223">
        <v>-2</v>
      </c>
      <c r="AR5223">
        <v>1</v>
      </c>
    </row>
    <row r="5224" spans="1:44" x14ac:dyDescent="0.35">
      <c r="A5224" s="12" t="s">
        <v>6315</v>
      </c>
      <c r="B5224" s="12" t="s">
        <v>532</v>
      </c>
      <c r="C5224" s="12" t="s">
        <v>533</v>
      </c>
      <c r="D5224" s="12" t="s">
        <v>114</v>
      </c>
      <c r="E5224" s="12" t="s">
        <v>65</v>
      </c>
      <c r="F5224">
        <v>2</v>
      </c>
      <c r="G5224">
        <v>3</v>
      </c>
      <c r="H5224">
        <v>0</v>
      </c>
      <c r="I5224" s="12" t="s">
        <v>115</v>
      </c>
      <c r="J5224" s="12" t="s">
        <v>116</v>
      </c>
      <c r="K5224" s="12" t="s">
        <v>117</v>
      </c>
      <c r="L5224" s="12" t="s">
        <v>82</v>
      </c>
      <c r="M5224">
        <v>17.170000000000002</v>
      </c>
      <c r="N5224" s="12" t="s">
        <v>97</v>
      </c>
      <c r="O5224" s="12" t="s">
        <v>98</v>
      </c>
      <c r="P5224" s="12" t="s">
        <v>72</v>
      </c>
      <c r="Q5224" s="13">
        <v>45838</v>
      </c>
      <c r="R5224" s="13">
        <v>45874</v>
      </c>
      <c r="S5224">
        <v>2025</v>
      </c>
      <c r="T5224" s="12" t="s">
        <v>6113</v>
      </c>
      <c r="U5224">
        <v>130</v>
      </c>
      <c r="V5224">
        <v>234.55500000000001</v>
      </c>
      <c r="W5224">
        <v>496.89</v>
      </c>
      <c r="X5224">
        <v>0</v>
      </c>
      <c r="Y5224">
        <v>0</v>
      </c>
      <c r="Z5224">
        <v>30492.15</v>
      </c>
      <c r="AA5224">
        <v>30989.040000000001</v>
      </c>
      <c r="AB5224" s="12" t="s">
        <v>5930</v>
      </c>
      <c r="AC5224">
        <v>234.55500000000001</v>
      </c>
      <c r="AD5224">
        <v>1</v>
      </c>
      <c r="AE5224">
        <v>1</v>
      </c>
      <c r="AF5224">
        <v>0</v>
      </c>
      <c r="AG5224">
        <v>30492.15</v>
      </c>
      <c r="AH5224">
        <v>130</v>
      </c>
      <c r="AI5224">
        <v>128</v>
      </c>
      <c r="AJ5224">
        <v>2</v>
      </c>
      <c r="AK5224">
        <v>1</v>
      </c>
      <c r="AL5224">
        <v>1</v>
      </c>
      <c r="AM5224">
        <v>98.46</v>
      </c>
      <c r="AN5224">
        <v>242.1019</v>
      </c>
      <c r="AO5224">
        <v>469.11</v>
      </c>
      <c r="AP5224" s="13">
        <v>45872</v>
      </c>
      <c r="AQ5224">
        <v>-2</v>
      </c>
      <c r="AR5224">
        <v>1</v>
      </c>
    </row>
    <row r="5225" spans="1:44" x14ac:dyDescent="0.35">
      <c r="A5225" s="12" t="s">
        <v>6316</v>
      </c>
      <c r="B5225" s="12" t="s">
        <v>972</v>
      </c>
      <c r="C5225" s="12" t="s">
        <v>973</v>
      </c>
      <c r="D5225" s="12" t="s">
        <v>130</v>
      </c>
      <c r="E5225" s="12" t="s">
        <v>142</v>
      </c>
      <c r="F5225">
        <v>2</v>
      </c>
      <c r="G5225">
        <v>9</v>
      </c>
      <c r="H5225">
        <v>0</v>
      </c>
      <c r="I5225" s="12" t="s">
        <v>676</v>
      </c>
      <c r="J5225" s="12" t="s">
        <v>677</v>
      </c>
      <c r="K5225" s="12" t="s">
        <v>68</v>
      </c>
      <c r="L5225" s="12" t="s">
        <v>96</v>
      </c>
      <c r="M5225">
        <v>3.57</v>
      </c>
      <c r="N5225" s="12" t="s">
        <v>135</v>
      </c>
      <c r="O5225" s="12" t="s">
        <v>136</v>
      </c>
      <c r="P5225" s="12" t="s">
        <v>137</v>
      </c>
      <c r="Q5225" s="13">
        <v>45838</v>
      </c>
      <c r="R5225" s="13">
        <v>45876</v>
      </c>
      <c r="S5225">
        <v>2025</v>
      </c>
      <c r="T5225" s="12" t="s">
        <v>6113</v>
      </c>
      <c r="U5225">
        <v>36</v>
      </c>
      <c r="V5225">
        <v>887.59410000000003</v>
      </c>
      <c r="W5225">
        <v>606.45000000000005</v>
      </c>
      <c r="X5225">
        <v>0</v>
      </c>
      <c r="Y5225">
        <v>0</v>
      </c>
      <c r="Z5225">
        <v>31953.39</v>
      </c>
      <c r="AA5225">
        <v>32559.84</v>
      </c>
      <c r="AB5225" s="12" t="s">
        <v>6005</v>
      </c>
      <c r="AC5225">
        <v>839.82719999999995</v>
      </c>
      <c r="AD5225">
        <v>1</v>
      </c>
      <c r="AE5225">
        <v>1</v>
      </c>
      <c r="AF5225">
        <v>1719.61</v>
      </c>
      <c r="AG5225">
        <v>30233.78</v>
      </c>
      <c r="AH5225">
        <v>36</v>
      </c>
      <c r="AI5225">
        <v>36</v>
      </c>
      <c r="AJ5225">
        <v>0</v>
      </c>
      <c r="AK5225">
        <v>1</v>
      </c>
      <c r="AL5225">
        <v>1</v>
      </c>
      <c r="AM5225">
        <v>100</v>
      </c>
      <c r="AN5225">
        <v>904.43989999999997</v>
      </c>
      <c r="AO5225">
        <v>0</v>
      </c>
      <c r="AP5225" s="13">
        <v>45885</v>
      </c>
      <c r="AQ5225">
        <v>9</v>
      </c>
      <c r="AR5225">
        <v>0</v>
      </c>
    </row>
    <row r="5226" spans="1:44" x14ac:dyDescent="0.35">
      <c r="A5226" s="12" t="s">
        <v>6317</v>
      </c>
      <c r="B5226" s="12" t="s">
        <v>238</v>
      </c>
      <c r="C5226" s="12" t="s">
        <v>239</v>
      </c>
      <c r="D5226" s="12" t="s">
        <v>122</v>
      </c>
      <c r="E5226" s="12" t="s">
        <v>65</v>
      </c>
      <c r="F5226">
        <v>3</v>
      </c>
      <c r="G5226">
        <v>4</v>
      </c>
      <c r="H5226">
        <v>0</v>
      </c>
      <c r="I5226" s="12" t="s">
        <v>79</v>
      </c>
      <c r="J5226" s="12" t="s">
        <v>80</v>
      </c>
      <c r="K5226" s="12" t="s">
        <v>81</v>
      </c>
      <c r="L5226" s="12" t="s">
        <v>82</v>
      </c>
      <c r="M5226">
        <v>12.07</v>
      </c>
      <c r="N5226" s="12" t="s">
        <v>97</v>
      </c>
      <c r="O5226" s="12" t="s">
        <v>98</v>
      </c>
      <c r="P5226" s="12" t="s">
        <v>72</v>
      </c>
      <c r="Q5226" s="13">
        <v>45838</v>
      </c>
      <c r="R5226" s="13">
        <v>45866</v>
      </c>
      <c r="S5226">
        <v>2025</v>
      </c>
      <c r="T5226" s="12" t="s">
        <v>6113</v>
      </c>
      <c r="U5226">
        <v>985</v>
      </c>
      <c r="V5226">
        <v>34.205399999999997</v>
      </c>
      <c r="W5226">
        <v>868.41</v>
      </c>
      <c r="X5226">
        <v>0</v>
      </c>
      <c r="Y5226">
        <v>0</v>
      </c>
      <c r="Z5226">
        <v>33692.32</v>
      </c>
      <c r="AA5226">
        <v>34560.730000000003</v>
      </c>
      <c r="AB5226" s="12" t="s">
        <v>5214</v>
      </c>
      <c r="AC5226">
        <v>34.205399999999997</v>
      </c>
      <c r="AD5226">
        <v>1</v>
      </c>
      <c r="AE5226">
        <v>1</v>
      </c>
      <c r="AF5226">
        <v>0</v>
      </c>
      <c r="AG5226">
        <v>33692.32</v>
      </c>
      <c r="AH5226">
        <v>985</v>
      </c>
      <c r="AI5226">
        <v>983</v>
      </c>
      <c r="AJ5226">
        <v>2</v>
      </c>
      <c r="AK5226">
        <v>1</v>
      </c>
      <c r="AL5226">
        <v>1</v>
      </c>
      <c r="AM5226">
        <v>99.8</v>
      </c>
      <c r="AN5226">
        <v>35.1584</v>
      </c>
      <c r="AO5226">
        <v>68.41</v>
      </c>
      <c r="AP5226" s="13">
        <v>45866</v>
      </c>
      <c r="AQ5226">
        <v>0</v>
      </c>
      <c r="AR5226">
        <v>1</v>
      </c>
    </row>
    <row r="5227" spans="1:44" x14ac:dyDescent="0.35">
      <c r="A5227" s="12" t="s">
        <v>6318</v>
      </c>
      <c r="B5227" s="12" t="s">
        <v>1054</v>
      </c>
      <c r="C5227" s="12" t="s">
        <v>1055</v>
      </c>
      <c r="D5227" s="12" t="s">
        <v>122</v>
      </c>
      <c r="E5227" s="12" t="s">
        <v>65</v>
      </c>
      <c r="F5227">
        <v>1</v>
      </c>
      <c r="G5227">
        <v>2</v>
      </c>
      <c r="H5227">
        <v>1</v>
      </c>
      <c r="I5227" s="12" t="s">
        <v>176</v>
      </c>
      <c r="J5227" s="12" t="s">
        <v>177</v>
      </c>
      <c r="K5227" s="12" t="s">
        <v>125</v>
      </c>
      <c r="L5227" s="12" t="s">
        <v>134</v>
      </c>
      <c r="M5227">
        <v>1.75</v>
      </c>
      <c r="N5227" s="12" t="s">
        <v>97</v>
      </c>
      <c r="O5227" s="12" t="s">
        <v>98</v>
      </c>
      <c r="P5227" s="12" t="s">
        <v>72</v>
      </c>
      <c r="Q5227" s="13">
        <v>45839</v>
      </c>
      <c r="R5227" s="13">
        <v>45874</v>
      </c>
      <c r="S5227">
        <v>2025</v>
      </c>
      <c r="T5227" s="12" t="s">
        <v>6319</v>
      </c>
      <c r="U5227">
        <v>1689</v>
      </c>
      <c r="V5227">
        <v>44.811300000000003</v>
      </c>
      <c r="W5227">
        <v>825.02</v>
      </c>
      <c r="X5227">
        <v>0</v>
      </c>
      <c r="Y5227">
        <v>0</v>
      </c>
      <c r="Z5227">
        <v>75686.289999999994</v>
      </c>
      <c r="AA5227">
        <v>76511.31</v>
      </c>
      <c r="AB5227" s="12" t="s">
        <v>5608</v>
      </c>
      <c r="AC5227">
        <v>44.811300000000003</v>
      </c>
      <c r="AD5227">
        <v>1</v>
      </c>
      <c r="AE5227">
        <v>1</v>
      </c>
      <c r="AF5227">
        <v>0</v>
      </c>
      <c r="AG5227">
        <v>75686.289999999994</v>
      </c>
      <c r="AH5227">
        <v>1689</v>
      </c>
      <c r="AI5227">
        <v>1670</v>
      </c>
      <c r="AJ5227">
        <v>19</v>
      </c>
      <c r="AK5227">
        <v>1</v>
      </c>
      <c r="AL5227">
        <v>1</v>
      </c>
      <c r="AM5227">
        <v>98.88</v>
      </c>
      <c r="AN5227">
        <v>45.815199999999997</v>
      </c>
      <c r="AO5227">
        <v>851.41</v>
      </c>
      <c r="AP5227" s="13">
        <v>45873</v>
      </c>
      <c r="AQ5227">
        <v>-1</v>
      </c>
      <c r="AR5227">
        <v>1</v>
      </c>
    </row>
    <row r="5228" spans="1:44" x14ac:dyDescent="0.35">
      <c r="A5228" s="12" t="s">
        <v>6320</v>
      </c>
      <c r="B5228" s="12" t="s">
        <v>331</v>
      </c>
      <c r="C5228" s="12" t="s">
        <v>332</v>
      </c>
      <c r="D5228" s="12" t="s">
        <v>122</v>
      </c>
      <c r="E5228" s="12" t="s">
        <v>142</v>
      </c>
      <c r="F5228">
        <v>3</v>
      </c>
      <c r="G5228">
        <v>11</v>
      </c>
      <c r="H5228">
        <v>0</v>
      </c>
      <c r="I5228" s="12" t="s">
        <v>263</v>
      </c>
      <c r="J5228" s="12" t="s">
        <v>264</v>
      </c>
      <c r="K5228" s="12" t="s">
        <v>125</v>
      </c>
      <c r="L5228" s="12" t="s">
        <v>82</v>
      </c>
      <c r="M5228">
        <v>10.210000000000001</v>
      </c>
      <c r="N5228" s="12" t="s">
        <v>70</v>
      </c>
      <c r="O5228" s="12" t="s">
        <v>71</v>
      </c>
      <c r="P5228" s="12" t="s">
        <v>72</v>
      </c>
      <c r="Q5228" s="13">
        <v>45839</v>
      </c>
      <c r="R5228" s="13">
        <v>45886</v>
      </c>
      <c r="S5228">
        <v>2025</v>
      </c>
      <c r="T5228" s="12" t="s">
        <v>6319</v>
      </c>
      <c r="U5228">
        <v>1478</v>
      </c>
      <c r="V5228">
        <v>23.006</v>
      </c>
      <c r="W5228">
        <v>431.08</v>
      </c>
      <c r="X5228">
        <v>0</v>
      </c>
      <c r="Y5228">
        <v>0</v>
      </c>
      <c r="Z5228">
        <v>34002.870000000003</v>
      </c>
      <c r="AA5228">
        <v>34433.949999999997</v>
      </c>
      <c r="AB5228" s="12" t="s">
        <v>5234</v>
      </c>
      <c r="AC5228">
        <v>23.006</v>
      </c>
      <c r="AD5228">
        <v>1</v>
      </c>
      <c r="AE5228">
        <v>1</v>
      </c>
      <c r="AF5228">
        <v>0</v>
      </c>
      <c r="AG5228">
        <v>34002.870000000003</v>
      </c>
      <c r="AH5228">
        <v>1478</v>
      </c>
      <c r="AI5228">
        <v>1473</v>
      </c>
      <c r="AJ5228">
        <v>5</v>
      </c>
      <c r="AK5228">
        <v>1</v>
      </c>
      <c r="AL5228">
        <v>1</v>
      </c>
      <c r="AM5228">
        <v>99.66</v>
      </c>
      <c r="AN5228">
        <v>23.3767</v>
      </c>
      <c r="AO5228">
        <v>115.03</v>
      </c>
      <c r="AP5228" s="13">
        <v>45893</v>
      </c>
      <c r="AQ5228">
        <v>7</v>
      </c>
      <c r="AR5228">
        <v>0</v>
      </c>
    </row>
    <row r="5229" spans="1:44" x14ac:dyDescent="0.35">
      <c r="A5229" s="12" t="s">
        <v>6321</v>
      </c>
      <c r="B5229" s="12" t="s">
        <v>823</v>
      </c>
      <c r="C5229" s="12" t="s">
        <v>824</v>
      </c>
      <c r="D5229" s="12" t="s">
        <v>114</v>
      </c>
      <c r="E5229" s="12" t="s">
        <v>142</v>
      </c>
      <c r="F5229">
        <v>1</v>
      </c>
      <c r="G5229">
        <v>8</v>
      </c>
      <c r="H5229">
        <v>1</v>
      </c>
      <c r="I5229" s="12" t="s">
        <v>515</v>
      </c>
      <c r="J5229" s="12" t="s">
        <v>516</v>
      </c>
      <c r="K5229" s="12" t="s">
        <v>68</v>
      </c>
      <c r="L5229" s="12" t="s">
        <v>134</v>
      </c>
      <c r="M5229">
        <v>3.69</v>
      </c>
      <c r="N5229" s="12" t="s">
        <v>97</v>
      </c>
      <c r="O5229" s="12" t="s">
        <v>98</v>
      </c>
      <c r="P5229" s="12" t="s">
        <v>72</v>
      </c>
      <c r="Q5229" s="13">
        <v>45839</v>
      </c>
      <c r="R5229" s="13">
        <v>45887</v>
      </c>
      <c r="S5229">
        <v>2025</v>
      </c>
      <c r="T5229" s="12" t="s">
        <v>6319</v>
      </c>
      <c r="U5229">
        <v>114</v>
      </c>
      <c r="V5229">
        <v>361.69060000000002</v>
      </c>
      <c r="W5229">
        <v>757.62</v>
      </c>
      <c r="X5229">
        <v>0</v>
      </c>
      <c r="Y5229">
        <v>0</v>
      </c>
      <c r="Z5229">
        <v>41232.730000000003</v>
      </c>
      <c r="AA5229">
        <v>41990.35</v>
      </c>
      <c r="AB5229" s="12" t="s">
        <v>5883</v>
      </c>
      <c r="AC5229">
        <v>361.69060000000002</v>
      </c>
      <c r="AD5229">
        <v>1</v>
      </c>
      <c r="AE5229">
        <v>1</v>
      </c>
      <c r="AF5229">
        <v>0</v>
      </c>
      <c r="AG5229">
        <v>41232.730000000003</v>
      </c>
      <c r="AH5229">
        <v>114</v>
      </c>
      <c r="AI5229">
        <v>112</v>
      </c>
      <c r="AJ5229">
        <v>2</v>
      </c>
      <c r="AK5229">
        <v>1</v>
      </c>
      <c r="AL5229">
        <v>1</v>
      </c>
      <c r="AM5229">
        <v>98.25</v>
      </c>
      <c r="AN5229">
        <v>374.91379999999998</v>
      </c>
      <c r="AO5229">
        <v>723.38</v>
      </c>
      <c r="AP5229" s="13">
        <v>45886</v>
      </c>
      <c r="AQ5229">
        <v>-1</v>
      </c>
      <c r="AR5229">
        <v>1</v>
      </c>
    </row>
    <row r="5230" spans="1:44" x14ac:dyDescent="0.35">
      <c r="A5230" s="12" t="s">
        <v>6322</v>
      </c>
      <c r="B5230" s="12" t="s">
        <v>399</v>
      </c>
      <c r="C5230" s="12" t="s">
        <v>400</v>
      </c>
      <c r="D5230" s="12" t="s">
        <v>114</v>
      </c>
      <c r="E5230" s="12" t="s">
        <v>65</v>
      </c>
      <c r="F5230">
        <v>1</v>
      </c>
      <c r="G5230">
        <v>2</v>
      </c>
      <c r="H5230">
        <v>1</v>
      </c>
      <c r="I5230" s="12" t="s">
        <v>151</v>
      </c>
      <c r="J5230" s="12" t="s">
        <v>152</v>
      </c>
      <c r="K5230" s="12" t="s">
        <v>125</v>
      </c>
      <c r="L5230" s="12" t="s">
        <v>69</v>
      </c>
      <c r="M5230">
        <v>36.479999999999997</v>
      </c>
      <c r="N5230" s="12" t="s">
        <v>70</v>
      </c>
      <c r="O5230" s="12" t="s">
        <v>71</v>
      </c>
      <c r="P5230" s="12" t="s">
        <v>72</v>
      </c>
      <c r="Q5230" s="13">
        <v>45840</v>
      </c>
      <c r="R5230" s="13">
        <v>45878</v>
      </c>
      <c r="S5230">
        <v>2025</v>
      </c>
      <c r="T5230" s="12" t="s">
        <v>6319</v>
      </c>
      <c r="U5230">
        <v>142</v>
      </c>
      <c r="V5230">
        <v>300.69260000000003</v>
      </c>
      <c r="W5230">
        <v>625.14</v>
      </c>
      <c r="X5230">
        <v>0</v>
      </c>
      <c r="Y5230">
        <v>0</v>
      </c>
      <c r="Z5230">
        <v>42698.35</v>
      </c>
      <c r="AA5230">
        <v>43323.49</v>
      </c>
      <c r="AB5230" s="12" t="s">
        <v>201</v>
      </c>
      <c r="AD5230">
        <v>0</v>
      </c>
      <c r="AE5230">
        <v>0</v>
      </c>
      <c r="AH5230">
        <v>142</v>
      </c>
      <c r="AI5230">
        <v>139</v>
      </c>
      <c r="AJ5230">
        <v>3</v>
      </c>
      <c r="AK5230">
        <v>1</v>
      </c>
      <c r="AL5230">
        <v>1</v>
      </c>
      <c r="AM5230">
        <v>97.89</v>
      </c>
      <c r="AN5230">
        <v>311.6798</v>
      </c>
      <c r="AO5230">
        <v>902.08</v>
      </c>
      <c r="AP5230" s="13">
        <v>45875</v>
      </c>
      <c r="AQ5230">
        <v>-3</v>
      </c>
      <c r="AR5230">
        <v>1</v>
      </c>
    </row>
    <row r="5231" spans="1:44" x14ac:dyDescent="0.35">
      <c r="A5231" s="12" t="s">
        <v>6323</v>
      </c>
      <c r="B5231" s="12" t="s">
        <v>241</v>
      </c>
      <c r="C5231" s="12" t="s">
        <v>242</v>
      </c>
      <c r="D5231" s="12" t="s">
        <v>103</v>
      </c>
      <c r="E5231" s="12" t="s">
        <v>142</v>
      </c>
      <c r="F5231">
        <v>3</v>
      </c>
      <c r="G5231">
        <v>11</v>
      </c>
      <c r="H5231">
        <v>0</v>
      </c>
      <c r="I5231" s="12" t="s">
        <v>243</v>
      </c>
      <c r="J5231" s="12" t="s">
        <v>244</v>
      </c>
      <c r="K5231" s="12" t="s">
        <v>81</v>
      </c>
      <c r="L5231" s="12" t="s">
        <v>82</v>
      </c>
      <c r="M5231">
        <v>9.2200000000000006</v>
      </c>
      <c r="N5231" s="12" t="s">
        <v>107</v>
      </c>
      <c r="O5231" s="12" t="s">
        <v>108</v>
      </c>
      <c r="P5231" s="12" t="s">
        <v>109</v>
      </c>
      <c r="Q5231" s="13">
        <v>45840</v>
      </c>
      <c r="R5231" s="13">
        <v>45876</v>
      </c>
      <c r="S5231">
        <v>2025</v>
      </c>
      <c r="T5231" s="12" t="s">
        <v>6319</v>
      </c>
      <c r="U5231">
        <v>21</v>
      </c>
      <c r="V5231">
        <v>192.08199999999999</v>
      </c>
      <c r="W5231">
        <v>92.09</v>
      </c>
      <c r="X5231">
        <v>0</v>
      </c>
      <c r="Y5231">
        <v>0</v>
      </c>
      <c r="Z5231">
        <v>4033.72</v>
      </c>
      <c r="AA5231">
        <v>4125.8100000000004</v>
      </c>
      <c r="AB5231" s="12" t="s">
        <v>201</v>
      </c>
      <c r="AD5231">
        <v>0</v>
      </c>
      <c r="AE5231">
        <v>0</v>
      </c>
      <c r="AH5231">
        <v>21</v>
      </c>
      <c r="AI5231">
        <v>21</v>
      </c>
      <c r="AJ5231">
        <v>0</v>
      </c>
      <c r="AK5231">
        <v>1</v>
      </c>
      <c r="AL5231">
        <v>1</v>
      </c>
      <c r="AM5231">
        <v>100</v>
      </c>
      <c r="AN5231">
        <v>196.46719999999999</v>
      </c>
      <c r="AO5231">
        <v>0</v>
      </c>
      <c r="AP5231" s="13">
        <v>45881</v>
      </c>
      <c r="AQ5231">
        <v>5</v>
      </c>
      <c r="AR5231">
        <v>0</v>
      </c>
    </row>
    <row r="5232" spans="1:44" x14ac:dyDescent="0.35">
      <c r="A5232" s="12" t="s">
        <v>6324</v>
      </c>
      <c r="B5232" s="12" t="s">
        <v>167</v>
      </c>
      <c r="C5232" s="12" t="s">
        <v>168</v>
      </c>
      <c r="D5232" s="12" t="s">
        <v>64</v>
      </c>
      <c r="E5232" s="12" t="s">
        <v>104</v>
      </c>
      <c r="F5232">
        <v>3</v>
      </c>
      <c r="G5232">
        <v>1</v>
      </c>
      <c r="H5232">
        <v>0</v>
      </c>
      <c r="I5232" s="12" t="s">
        <v>169</v>
      </c>
      <c r="J5232" s="12" t="s">
        <v>170</v>
      </c>
      <c r="K5232" s="12" t="s">
        <v>89</v>
      </c>
      <c r="L5232" s="12" t="s">
        <v>134</v>
      </c>
      <c r="M5232">
        <v>1.37</v>
      </c>
      <c r="N5232" s="12" t="s">
        <v>70</v>
      </c>
      <c r="O5232" s="12" t="s">
        <v>71</v>
      </c>
      <c r="P5232" s="12" t="s">
        <v>72</v>
      </c>
      <c r="Q5232" s="13">
        <v>45840</v>
      </c>
      <c r="R5232" s="13">
        <v>45862</v>
      </c>
      <c r="S5232">
        <v>2025</v>
      </c>
      <c r="T5232" s="12" t="s">
        <v>6319</v>
      </c>
      <c r="U5232">
        <v>621</v>
      </c>
      <c r="V5232">
        <v>24.557099999999998</v>
      </c>
      <c r="W5232">
        <v>368.97</v>
      </c>
      <c r="X5232">
        <v>0</v>
      </c>
      <c r="Y5232">
        <v>0</v>
      </c>
      <c r="Z5232">
        <v>15249.96</v>
      </c>
      <c r="AA5232">
        <v>15618.93</v>
      </c>
      <c r="AB5232" s="12" t="s">
        <v>5232</v>
      </c>
      <c r="AC5232">
        <v>24.557099999999998</v>
      </c>
      <c r="AD5232">
        <v>1</v>
      </c>
      <c r="AE5232">
        <v>1</v>
      </c>
      <c r="AF5232">
        <v>0</v>
      </c>
      <c r="AG5232">
        <v>15249.96</v>
      </c>
      <c r="AH5232">
        <v>621</v>
      </c>
      <c r="AI5232">
        <v>613</v>
      </c>
      <c r="AJ5232">
        <v>8</v>
      </c>
      <c r="AK5232">
        <v>1</v>
      </c>
      <c r="AL5232">
        <v>1</v>
      </c>
      <c r="AM5232">
        <v>98.71</v>
      </c>
      <c r="AN5232">
        <v>25.479500000000002</v>
      </c>
      <c r="AO5232">
        <v>196.46</v>
      </c>
      <c r="AP5232" s="13">
        <v>45862</v>
      </c>
      <c r="AQ5232">
        <v>0</v>
      </c>
      <c r="AR5232">
        <v>1</v>
      </c>
    </row>
    <row r="5233" spans="1:44" x14ac:dyDescent="0.35">
      <c r="A5233" s="12" t="s">
        <v>6325</v>
      </c>
      <c r="B5233" s="12" t="s">
        <v>362</v>
      </c>
      <c r="C5233" s="12" t="s">
        <v>363</v>
      </c>
      <c r="D5233" s="12" t="s">
        <v>78</v>
      </c>
      <c r="E5233" s="12" t="s">
        <v>104</v>
      </c>
      <c r="F5233">
        <v>3</v>
      </c>
      <c r="G5233">
        <v>0</v>
      </c>
      <c r="H5233">
        <v>0</v>
      </c>
      <c r="I5233" s="12" t="s">
        <v>157</v>
      </c>
      <c r="J5233" s="12" t="s">
        <v>158</v>
      </c>
      <c r="K5233" s="12" t="s">
        <v>117</v>
      </c>
      <c r="L5233" s="12" t="s">
        <v>96</v>
      </c>
      <c r="M5233">
        <v>4.72</v>
      </c>
      <c r="N5233" s="12" t="s">
        <v>70</v>
      </c>
      <c r="O5233" s="12" t="s">
        <v>71</v>
      </c>
      <c r="P5233" s="12" t="s">
        <v>72</v>
      </c>
      <c r="Q5233" s="13">
        <v>45840</v>
      </c>
      <c r="R5233" s="13">
        <v>45866</v>
      </c>
      <c r="S5233">
        <v>2025</v>
      </c>
      <c r="T5233" s="12" t="s">
        <v>6319</v>
      </c>
      <c r="U5233">
        <v>243</v>
      </c>
      <c r="V5233">
        <v>58.3917</v>
      </c>
      <c r="W5233">
        <v>129.76</v>
      </c>
      <c r="X5233">
        <v>0</v>
      </c>
      <c r="Y5233">
        <v>0</v>
      </c>
      <c r="Z5233">
        <v>14189.18</v>
      </c>
      <c r="AA5233">
        <v>14318.94</v>
      </c>
      <c r="AB5233" s="12" t="s">
        <v>201</v>
      </c>
      <c r="AD5233">
        <v>0</v>
      </c>
      <c r="AE5233">
        <v>0</v>
      </c>
      <c r="AH5233">
        <v>243</v>
      </c>
      <c r="AI5233">
        <v>238</v>
      </c>
      <c r="AJ5233">
        <v>5</v>
      </c>
      <c r="AK5233">
        <v>1</v>
      </c>
      <c r="AL5233">
        <v>1</v>
      </c>
      <c r="AM5233">
        <v>97.94</v>
      </c>
      <c r="AN5233">
        <v>60.163600000000002</v>
      </c>
      <c r="AO5233">
        <v>291.95999999999998</v>
      </c>
      <c r="AP5233" s="13">
        <v>45864</v>
      </c>
      <c r="AQ5233">
        <v>-2</v>
      </c>
      <c r="AR5233">
        <v>1</v>
      </c>
    </row>
    <row r="5234" spans="1:44" x14ac:dyDescent="0.35">
      <c r="A5234" s="12" t="s">
        <v>6326</v>
      </c>
      <c r="B5234" s="12" t="s">
        <v>302</v>
      </c>
      <c r="C5234" s="12" t="s">
        <v>303</v>
      </c>
      <c r="D5234" s="12" t="s">
        <v>78</v>
      </c>
      <c r="E5234" s="12" t="s">
        <v>65</v>
      </c>
      <c r="F5234">
        <v>2</v>
      </c>
      <c r="G5234">
        <v>3</v>
      </c>
      <c r="H5234">
        <v>0</v>
      </c>
      <c r="I5234" s="12" t="s">
        <v>335</v>
      </c>
      <c r="J5234" s="12" t="s">
        <v>336</v>
      </c>
      <c r="K5234" s="12" t="s">
        <v>89</v>
      </c>
      <c r="L5234" s="12" t="s">
        <v>82</v>
      </c>
      <c r="M5234">
        <v>16</v>
      </c>
      <c r="N5234" s="12" t="s">
        <v>70</v>
      </c>
      <c r="O5234" s="12" t="s">
        <v>71</v>
      </c>
      <c r="P5234" s="12" t="s">
        <v>72</v>
      </c>
      <c r="Q5234" s="13">
        <v>45840</v>
      </c>
      <c r="R5234" s="13">
        <v>45861</v>
      </c>
      <c r="S5234">
        <v>2025</v>
      </c>
      <c r="T5234" s="12" t="s">
        <v>6319</v>
      </c>
      <c r="U5234">
        <v>48</v>
      </c>
      <c r="V5234">
        <v>137.82220000000001</v>
      </c>
      <c r="W5234">
        <v>41.66</v>
      </c>
      <c r="X5234">
        <v>203.24</v>
      </c>
      <c r="Y5234">
        <v>1</v>
      </c>
      <c r="Z5234">
        <v>6615.47</v>
      </c>
      <c r="AA5234">
        <v>6860.37</v>
      </c>
      <c r="AB5234" s="12" t="s">
        <v>5763</v>
      </c>
      <c r="AC5234">
        <v>137.82220000000001</v>
      </c>
      <c r="AD5234">
        <v>1</v>
      </c>
      <c r="AE5234">
        <v>1</v>
      </c>
      <c r="AF5234">
        <v>0</v>
      </c>
      <c r="AG5234">
        <v>6615.47</v>
      </c>
      <c r="AH5234">
        <v>48</v>
      </c>
      <c r="AI5234">
        <v>48</v>
      </c>
      <c r="AJ5234">
        <v>0</v>
      </c>
      <c r="AK5234">
        <v>1</v>
      </c>
      <c r="AL5234">
        <v>1</v>
      </c>
      <c r="AM5234">
        <v>100</v>
      </c>
      <c r="AN5234">
        <v>142.92429999999999</v>
      </c>
      <c r="AO5234">
        <v>0</v>
      </c>
      <c r="AP5234" s="13">
        <v>45858</v>
      </c>
      <c r="AQ5234">
        <v>-3</v>
      </c>
      <c r="AR5234">
        <v>1</v>
      </c>
    </row>
    <row r="5235" spans="1:44" x14ac:dyDescent="0.35">
      <c r="A5235" s="12" t="s">
        <v>6327</v>
      </c>
      <c r="B5235" s="12" t="s">
        <v>458</v>
      </c>
      <c r="C5235" s="12" t="s">
        <v>459</v>
      </c>
      <c r="D5235" s="12" t="s">
        <v>64</v>
      </c>
      <c r="E5235" s="12" t="s">
        <v>104</v>
      </c>
      <c r="F5235">
        <v>2</v>
      </c>
      <c r="G5235">
        <v>0</v>
      </c>
      <c r="H5235">
        <v>0</v>
      </c>
      <c r="I5235" s="12" t="s">
        <v>199</v>
      </c>
      <c r="J5235" s="12" t="s">
        <v>200</v>
      </c>
      <c r="K5235" s="12" t="s">
        <v>68</v>
      </c>
      <c r="L5235" s="12" t="s">
        <v>96</v>
      </c>
      <c r="M5235">
        <v>9.4700000000000006</v>
      </c>
      <c r="N5235" s="12" t="s">
        <v>70</v>
      </c>
      <c r="O5235" s="12" t="s">
        <v>71</v>
      </c>
      <c r="P5235" s="12" t="s">
        <v>72</v>
      </c>
      <c r="Q5235" s="13">
        <v>45840</v>
      </c>
      <c r="R5235" s="13">
        <v>45856</v>
      </c>
      <c r="S5235">
        <v>2025</v>
      </c>
      <c r="T5235" s="12" t="s">
        <v>6319</v>
      </c>
      <c r="U5235">
        <v>321</v>
      </c>
      <c r="V5235">
        <v>21.352799999999998</v>
      </c>
      <c r="W5235">
        <v>167.66</v>
      </c>
      <c r="X5235">
        <v>0</v>
      </c>
      <c r="Y5235">
        <v>0</v>
      </c>
      <c r="Z5235">
        <v>6854.25</v>
      </c>
      <c r="AA5235">
        <v>7021.91</v>
      </c>
      <c r="AB5235" s="12" t="s">
        <v>5527</v>
      </c>
      <c r="AC5235">
        <v>21.352799999999998</v>
      </c>
      <c r="AD5235">
        <v>1</v>
      </c>
      <c r="AE5235">
        <v>1</v>
      </c>
      <c r="AF5235">
        <v>0</v>
      </c>
      <c r="AG5235">
        <v>6854.25</v>
      </c>
      <c r="AH5235">
        <v>321</v>
      </c>
      <c r="AI5235">
        <v>320</v>
      </c>
      <c r="AJ5235">
        <v>1</v>
      </c>
      <c r="AK5235">
        <v>1</v>
      </c>
      <c r="AL5235">
        <v>1</v>
      </c>
      <c r="AM5235">
        <v>99.69</v>
      </c>
      <c r="AN5235">
        <v>21.9435</v>
      </c>
      <c r="AO5235">
        <v>21.35</v>
      </c>
      <c r="AP5235" s="13">
        <v>45861</v>
      </c>
      <c r="AQ5235">
        <v>5</v>
      </c>
      <c r="AR5235">
        <v>0</v>
      </c>
    </row>
    <row r="5236" spans="1:44" x14ac:dyDescent="0.35">
      <c r="A5236" s="12" t="s">
        <v>6328</v>
      </c>
      <c r="B5236" s="12" t="s">
        <v>712</v>
      </c>
      <c r="C5236" s="12" t="s">
        <v>713</v>
      </c>
      <c r="D5236" s="12" t="s">
        <v>103</v>
      </c>
      <c r="E5236" s="12" t="s">
        <v>104</v>
      </c>
      <c r="F5236">
        <v>2</v>
      </c>
      <c r="G5236">
        <v>0</v>
      </c>
      <c r="H5236">
        <v>0</v>
      </c>
      <c r="I5236" s="12" t="s">
        <v>105</v>
      </c>
      <c r="J5236" s="12" t="s">
        <v>106</v>
      </c>
      <c r="K5236" s="12" t="s">
        <v>81</v>
      </c>
      <c r="L5236" s="12" t="s">
        <v>96</v>
      </c>
      <c r="M5236">
        <v>5.01</v>
      </c>
      <c r="N5236" s="12" t="s">
        <v>145</v>
      </c>
      <c r="O5236" s="12" t="s">
        <v>146</v>
      </c>
      <c r="P5236" s="12" t="s">
        <v>109</v>
      </c>
      <c r="Q5236" s="13">
        <v>45840</v>
      </c>
      <c r="R5236" s="13">
        <v>45855</v>
      </c>
      <c r="S5236">
        <v>2025</v>
      </c>
      <c r="T5236" s="12" t="s">
        <v>6319</v>
      </c>
      <c r="U5236">
        <v>40</v>
      </c>
      <c r="V5236">
        <v>191.297</v>
      </c>
      <c r="W5236">
        <v>188.91</v>
      </c>
      <c r="X5236">
        <v>0</v>
      </c>
      <c r="Y5236">
        <v>0</v>
      </c>
      <c r="Z5236">
        <v>7651.88</v>
      </c>
      <c r="AA5236">
        <v>7840.79</v>
      </c>
      <c r="AB5236" s="12" t="s">
        <v>6329</v>
      </c>
      <c r="AC5236">
        <v>191.297</v>
      </c>
      <c r="AD5236">
        <v>1</v>
      </c>
      <c r="AE5236">
        <v>1</v>
      </c>
      <c r="AF5236">
        <v>0</v>
      </c>
      <c r="AG5236">
        <v>7651.88</v>
      </c>
      <c r="AH5236">
        <v>40</v>
      </c>
      <c r="AI5236">
        <v>40</v>
      </c>
      <c r="AJ5236">
        <v>0</v>
      </c>
      <c r="AK5236">
        <v>1</v>
      </c>
      <c r="AL5236">
        <v>1</v>
      </c>
      <c r="AM5236">
        <v>100</v>
      </c>
      <c r="AN5236">
        <v>196.0198</v>
      </c>
      <c r="AO5236">
        <v>0</v>
      </c>
      <c r="AP5236" s="13">
        <v>45854</v>
      </c>
      <c r="AQ5236">
        <v>-1</v>
      </c>
      <c r="AR5236">
        <v>1</v>
      </c>
    </row>
    <row r="5237" spans="1:44" x14ac:dyDescent="0.35">
      <c r="A5237" s="12" t="s">
        <v>6330</v>
      </c>
      <c r="B5237" s="12" t="s">
        <v>972</v>
      </c>
      <c r="C5237" s="12" t="s">
        <v>973</v>
      </c>
      <c r="D5237" s="12" t="s">
        <v>130</v>
      </c>
      <c r="E5237" s="12" t="s">
        <v>142</v>
      </c>
      <c r="F5237">
        <v>2</v>
      </c>
      <c r="G5237">
        <v>9</v>
      </c>
      <c r="H5237">
        <v>0</v>
      </c>
      <c r="I5237" s="12" t="s">
        <v>676</v>
      </c>
      <c r="J5237" s="12" t="s">
        <v>677</v>
      </c>
      <c r="K5237" s="12" t="s">
        <v>68</v>
      </c>
      <c r="L5237" s="12" t="s">
        <v>96</v>
      </c>
      <c r="M5237">
        <v>3.57</v>
      </c>
      <c r="N5237" s="12" t="s">
        <v>159</v>
      </c>
      <c r="O5237" s="12" t="s">
        <v>160</v>
      </c>
      <c r="P5237" s="12" t="s">
        <v>137</v>
      </c>
      <c r="Q5237" s="13">
        <v>45840</v>
      </c>
      <c r="R5237" s="13">
        <v>45886</v>
      </c>
      <c r="S5237">
        <v>2025</v>
      </c>
      <c r="T5237" s="12" t="s">
        <v>6319</v>
      </c>
      <c r="U5237">
        <v>100</v>
      </c>
      <c r="V5237">
        <v>839.82719999999995</v>
      </c>
      <c r="W5237">
        <v>715.14</v>
      </c>
      <c r="X5237">
        <v>2566.23</v>
      </c>
      <c r="Y5237">
        <v>1</v>
      </c>
      <c r="Z5237">
        <v>83982.720000000001</v>
      </c>
      <c r="AA5237">
        <v>87264.09</v>
      </c>
      <c r="AB5237" s="12" t="s">
        <v>6005</v>
      </c>
      <c r="AC5237">
        <v>839.82719999999995</v>
      </c>
      <c r="AD5237">
        <v>1</v>
      </c>
      <c r="AE5237">
        <v>1</v>
      </c>
      <c r="AF5237">
        <v>0</v>
      </c>
      <c r="AG5237">
        <v>83982.720000000001</v>
      </c>
      <c r="AH5237">
        <v>100</v>
      </c>
      <c r="AI5237">
        <v>99</v>
      </c>
      <c r="AJ5237">
        <v>1</v>
      </c>
      <c r="AK5237">
        <v>1</v>
      </c>
      <c r="AL5237">
        <v>1</v>
      </c>
      <c r="AM5237">
        <v>99</v>
      </c>
      <c r="AN5237">
        <v>881.45550000000003</v>
      </c>
      <c r="AO5237">
        <v>839.83</v>
      </c>
      <c r="AP5237" s="13">
        <v>45886</v>
      </c>
      <c r="AQ5237">
        <v>0</v>
      </c>
      <c r="AR5237">
        <v>1</v>
      </c>
    </row>
    <row r="5238" spans="1:44" x14ac:dyDescent="0.35">
      <c r="A5238" s="12" t="s">
        <v>6331</v>
      </c>
      <c r="B5238" s="12" t="s">
        <v>646</v>
      </c>
      <c r="C5238" s="12" t="s">
        <v>647</v>
      </c>
      <c r="D5238" s="12" t="s">
        <v>175</v>
      </c>
      <c r="E5238" s="12" t="s">
        <v>104</v>
      </c>
      <c r="F5238">
        <v>3</v>
      </c>
      <c r="G5238">
        <v>1</v>
      </c>
      <c r="H5238">
        <v>0</v>
      </c>
      <c r="I5238" s="12" t="s">
        <v>227</v>
      </c>
      <c r="J5238" s="12" t="s">
        <v>228</v>
      </c>
      <c r="K5238" s="12" t="s">
        <v>89</v>
      </c>
      <c r="L5238" s="12" t="s">
        <v>96</v>
      </c>
      <c r="M5238">
        <v>9.15</v>
      </c>
      <c r="N5238" s="12" t="s">
        <v>107</v>
      </c>
      <c r="O5238" s="12" t="s">
        <v>108</v>
      </c>
      <c r="P5238" s="12" t="s">
        <v>109</v>
      </c>
      <c r="Q5238" s="13">
        <v>45841</v>
      </c>
      <c r="R5238" s="13">
        <v>45865</v>
      </c>
      <c r="S5238">
        <v>2025</v>
      </c>
      <c r="T5238" s="12" t="s">
        <v>6319</v>
      </c>
      <c r="U5238">
        <v>108</v>
      </c>
      <c r="V5238">
        <v>191.95849999999999</v>
      </c>
      <c r="W5238">
        <v>224.11</v>
      </c>
      <c r="X5238">
        <v>0</v>
      </c>
      <c r="Y5238">
        <v>0</v>
      </c>
      <c r="Z5238">
        <v>20731.52</v>
      </c>
      <c r="AA5238">
        <v>20955.63</v>
      </c>
      <c r="AB5238" s="12" t="s">
        <v>5935</v>
      </c>
      <c r="AC5238">
        <v>191.95849999999999</v>
      </c>
      <c r="AD5238">
        <v>1</v>
      </c>
      <c r="AE5238">
        <v>1</v>
      </c>
      <c r="AF5238">
        <v>0</v>
      </c>
      <c r="AG5238">
        <v>20731.52</v>
      </c>
      <c r="AH5238">
        <v>108</v>
      </c>
      <c r="AI5238">
        <v>107</v>
      </c>
      <c r="AJ5238">
        <v>1</v>
      </c>
      <c r="AK5238">
        <v>1</v>
      </c>
      <c r="AL5238">
        <v>1</v>
      </c>
      <c r="AM5238">
        <v>99.07</v>
      </c>
      <c r="AN5238">
        <v>195.84700000000001</v>
      </c>
      <c r="AO5238">
        <v>191.96</v>
      </c>
      <c r="AP5238" s="13">
        <v>45865</v>
      </c>
      <c r="AQ5238">
        <v>0</v>
      </c>
      <c r="AR5238">
        <v>1</v>
      </c>
    </row>
    <row r="5239" spans="1:44" x14ac:dyDescent="0.35">
      <c r="A5239" s="12" t="s">
        <v>6332</v>
      </c>
      <c r="B5239" s="12" t="s">
        <v>519</v>
      </c>
      <c r="C5239" s="12" t="s">
        <v>520</v>
      </c>
      <c r="D5239" s="12" t="s">
        <v>78</v>
      </c>
      <c r="E5239" s="12" t="s">
        <v>65</v>
      </c>
      <c r="F5239">
        <v>2</v>
      </c>
      <c r="G5239">
        <v>3</v>
      </c>
      <c r="H5239">
        <v>0</v>
      </c>
      <c r="I5239" s="12" t="s">
        <v>143</v>
      </c>
      <c r="J5239" s="12" t="s">
        <v>144</v>
      </c>
      <c r="K5239" s="12" t="s">
        <v>133</v>
      </c>
      <c r="L5239" s="12" t="s">
        <v>96</v>
      </c>
      <c r="M5239">
        <v>5.43</v>
      </c>
      <c r="N5239" s="12" t="s">
        <v>70</v>
      </c>
      <c r="O5239" s="12" t="s">
        <v>71</v>
      </c>
      <c r="P5239" s="12" t="s">
        <v>72</v>
      </c>
      <c r="Q5239" s="13">
        <v>45841</v>
      </c>
      <c r="R5239" s="13">
        <v>45871</v>
      </c>
      <c r="S5239">
        <v>2025</v>
      </c>
      <c r="T5239" s="12" t="s">
        <v>6319</v>
      </c>
      <c r="U5239">
        <v>176</v>
      </c>
      <c r="V5239">
        <v>28.570399999999999</v>
      </c>
      <c r="W5239">
        <v>85.9</v>
      </c>
      <c r="X5239">
        <v>0</v>
      </c>
      <c r="Y5239">
        <v>0</v>
      </c>
      <c r="Z5239">
        <v>5028.3900000000003</v>
      </c>
      <c r="AA5239">
        <v>5114.29</v>
      </c>
      <c r="AB5239" s="12" t="s">
        <v>5619</v>
      </c>
      <c r="AC5239">
        <v>28.570399999999999</v>
      </c>
      <c r="AD5239">
        <v>1</v>
      </c>
      <c r="AE5239">
        <v>1</v>
      </c>
      <c r="AF5239">
        <v>0</v>
      </c>
      <c r="AG5239">
        <v>5028.3900000000003</v>
      </c>
      <c r="AH5239">
        <v>176</v>
      </c>
      <c r="AI5239">
        <v>174</v>
      </c>
      <c r="AJ5239">
        <v>2</v>
      </c>
      <c r="AK5239">
        <v>1</v>
      </c>
      <c r="AL5239">
        <v>1</v>
      </c>
      <c r="AM5239">
        <v>98.86</v>
      </c>
      <c r="AN5239">
        <v>29.392499999999998</v>
      </c>
      <c r="AO5239">
        <v>57.14</v>
      </c>
      <c r="AP5239" s="13">
        <v>45871</v>
      </c>
      <c r="AQ5239">
        <v>0</v>
      </c>
      <c r="AR5239">
        <v>1</v>
      </c>
    </row>
    <row r="5240" spans="1:44" x14ac:dyDescent="0.35">
      <c r="A5240" s="12" t="s">
        <v>6333</v>
      </c>
      <c r="B5240" s="12" t="s">
        <v>458</v>
      </c>
      <c r="C5240" s="12" t="s">
        <v>459</v>
      </c>
      <c r="D5240" s="12" t="s">
        <v>64</v>
      </c>
      <c r="E5240" s="12" t="s">
        <v>104</v>
      </c>
      <c r="F5240">
        <v>2</v>
      </c>
      <c r="G5240">
        <v>0</v>
      </c>
      <c r="H5240">
        <v>0</v>
      </c>
      <c r="I5240" s="12" t="s">
        <v>143</v>
      </c>
      <c r="J5240" s="12" t="s">
        <v>144</v>
      </c>
      <c r="K5240" s="12" t="s">
        <v>133</v>
      </c>
      <c r="L5240" s="12" t="s">
        <v>96</v>
      </c>
      <c r="M5240">
        <v>5.43</v>
      </c>
      <c r="N5240" s="12" t="s">
        <v>97</v>
      </c>
      <c r="O5240" s="12" t="s">
        <v>98</v>
      </c>
      <c r="P5240" s="12" t="s">
        <v>72</v>
      </c>
      <c r="Q5240" s="13">
        <v>45841</v>
      </c>
      <c r="R5240" s="13">
        <v>45855</v>
      </c>
      <c r="S5240">
        <v>2025</v>
      </c>
      <c r="T5240" s="12" t="s">
        <v>6319</v>
      </c>
      <c r="U5240">
        <v>234</v>
      </c>
      <c r="V5240">
        <v>23.3566</v>
      </c>
      <c r="W5240">
        <v>118.22</v>
      </c>
      <c r="X5240">
        <v>0</v>
      </c>
      <c r="Y5240">
        <v>0</v>
      </c>
      <c r="Z5240">
        <v>5465.44</v>
      </c>
      <c r="AA5240">
        <v>5583.66</v>
      </c>
      <c r="AB5240" s="12" t="s">
        <v>5547</v>
      </c>
      <c r="AC5240">
        <v>23.3566</v>
      </c>
      <c r="AD5240">
        <v>1</v>
      </c>
      <c r="AE5240">
        <v>1</v>
      </c>
      <c r="AF5240">
        <v>0</v>
      </c>
      <c r="AG5240">
        <v>5465.44</v>
      </c>
      <c r="AH5240">
        <v>234</v>
      </c>
      <c r="AI5240">
        <v>232</v>
      </c>
      <c r="AJ5240">
        <v>2</v>
      </c>
      <c r="AK5240">
        <v>1</v>
      </c>
      <c r="AL5240">
        <v>1</v>
      </c>
      <c r="AM5240">
        <v>99.15</v>
      </c>
      <c r="AN5240">
        <v>24.067499999999999</v>
      </c>
      <c r="AO5240">
        <v>46.71</v>
      </c>
      <c r="AP5240" s="13">
        <v>45855</v>
      </c>
      <c r="AQ5240">
        <v>0</v>
      </c>
      <c r="AR5240">
        <v>1</v>
      </c>
    </row>
    <row r="5241" spans="1:44" x14ac:dyDescent="0.35">
      <c r="A5241" s="12" t="s">
        <v>6334</v>
      </c>
      <c r="B5241" s="12" t="s">
        <v>869</v>
      </c>
      <c r="C5241" s="12" t="s">
        <v>870</v>
      </c>
      <c r="D5241" s="12" t="s">
        <v>130</v>
      </c>
      <c r="E5241" s="12" t="s">
        <v>104</v>
      </c>
      <c r="F5241">
        <v>2</v>
      </c>
      <c r="G5241">
        <v>0</v>
      </c>
      <c r="H5241">
        <v>0</v>
      </c>
      <c r="I5241" s="12" t="s">
        <v>515</v>
      </c>
      <c r="J5241" s="12" t="s">
        <v>516</v>
      </c>
      <c r="K5241" s="12" t="s">
        <v>68</v>
      </c>
      <c r="L5241" s="12" t="s">
        <v>134</v>
      </c>
      <c r="M5241">
        <v>3.69</v>
      </c>
      <c r="N5241" s="12" t="s">
        <v>135</v>
      </c>
      <c r="O5241" s="12" t="s">
        <v>136</v>
      </c>
      <c r="P5241" s="12" t="s">
        <v>137</v>
      </c>
      <c r="Q5241" s="13">
        <v>45841</v>
      </c>
      <c r="R5241" s="13">
        <v>45862</v>
      </c>
      <c r="S5241">
        <v>2025</v>
      </c>
      <c r="T5241" s="12" t="s">
        <v>6319</v>
      </c>
      <c r="U5241">
        <v>86</v>
      </c>
      <c r="V5241">
        <v>642.55039999999997</v>
      </c>
      <c r="W5241">
        <v>370.16</v>
      </c>
      <c r="X5241">
        <v>0</v>
      </c>
      <c r="Y5241">
        <v>0</v>
      </c>
      <c r="Z5241">
        <v>55259.33</v>
      </c>
      <c r="AA5241">
        <v>55629.49</v>
      </c>
      <c r="AB5241" s="12" t="s">
        <v>201</v>
      </c>
      <c r="AD5241">
        <v>0</v>
      </c>
      <c r="AE5241">
        <v>0</v>
      </c>
      <c r="AH5241">
        <v>86</v>
      </c>
      <c r="AI5241">
        <v>85</v>
      </c>
      <c r="AJ5241">
        <v>1</v>
      </c>
      <c r="AK5241">
        <v>1</v>
      </c>
      <c r="AL5241">
        <v>1</v>
      </c>
      <c r="AM5241">
        <v>98.84</v>
      </c>
      <c r="AN5241">
        <v>654.46460000000002</v>
      </c>
      <c r="AO5241">
        <v>642.54999999999995</v>
      </c>
      <c r="AP5241" s="13">
        <v>45860</v>
      </c>
      <c r="AQ5241">
        <v>-2</v>
      </c>
      <c r="AR5241">
        <v>1</v>
      </c>
    </row>
    <row r="5242" spans="1:44" x14ac:dyDescent="0.35">
      <c r="A5242" s="12" t="s">
        <v>6335</v>
      </c>
      <c r="B5242" s="12" t="s">
        <v>712</v>
      </c>
      <c r="C5242" s="12" t="s">
        <v>713</v>
      </c>
      <c r="D5242" s="12" t="s">
        <v>103</v>
      </c>
      <c r="E5242" s="12" t="s">
        <v>104</v>
      </c>
      <c r="F5242">
        <v>2</v>
      </c>
      <c r="G5242">
        <v>0</v>
      </c>
      <c r="H5242">
        <v>0</v>
      </c>
      <c r="I5242" s="12" t="s">
        <v>199</v>
      </c>
      <c r="J5242" s="12" t="s">
        <v>200</v>
      </c>
      <c r="K5242" s="12" t="s">
        <v>68</v>
      </c>
      <c r="L5242" s="12" t="s">
        <v>96</v>
      </c>
      <c r="M5242">
        <v>9.4700000000000006</v>
      </c>
      <c r="N5242" s="12" t="s">
        <v>107</v>
      </c>
      <c r="O5242" s="12" t="s">
        <v>108</v>
      </c>
      <c r="P5242" s="12" t="s">
        <v>109</v>
      </c>
      <c r="Q5242" s="13">
        <v>45841</v>
      </c>
      <c r="R5242" s="13">
        <v>45860</v>
      </c>
      <c r="S5242">
        <v>2025</v>
      </c>
      <c r="T5242" s="12" t="s">
        <v>6319</v>
      </c>
      <c r="U5242">
        <v>72</v>
      </c>
      <c r="V5242">
        <v>220.71440000000001</v>
      </c>
      <c r="W5242">
        <v>353.75</v>
      </c>
      <c r="X5242">
        <v>0</v>
      </c>
      <c r="Y5242">
        <v>0</v>
      </c>
      <c r="Z5242">
        <v>15891.44</v>
      </c>
      <c r="AA5242">
        <v>16245.19</v>
      </c>
      <c r="AB5242" s="12" t="s">
        <v>201</v>
      </c>
      <c r="AD5242">
        <v>0</v>
      </c>
      <c r="AE5242">
        <v>0</v>
      </c>
      <c r="AH5242">
        <v>72</v>
      </c>
      <c r="AI5242">
        <v>72</v>
      </c>
      <c r="AJ5242">
        <v>0</v>
      </c>
      <c r="AK5242">
        <v>1</v>
      </c>
      <c r="AL5242">
        <v>1</v>
      </c>
      <c r="AM5242">
        <v>100</v>
      </c>
      <c r="AN5242">
        <v>225.6276</v>
      </c>
      <c r="AO5242">
        <v>0</v>
      </c>
      <c r="AP5242" s="13">
        <v>45863</v>
      </c>
      <c r="AQ5242">
        <v>3</v>
      </c>
      <c r="AR5242">
        <v>0</v>
      </c>
    </row>
    <row r="5243" spans="1:44" x14ac:dyDescent="0.35">
      <c r="A5243" s="12" t="s">
        <v>6336</v>
      </c>
      <c r="B5243" s="12" t="s">
        <v>561</v>
      </c>
      <c r="C5243" s="12" t="s">
        <v>562</v>
      </c>
      <c r="D5243" s="12" t="s">
        <v>130</v>
      </c>
      <c r="E5243" s="12" t="s">
        <v>142</v>
      </c>
      <c r="F5243">
        <v>1</v>
      </c>
      <c r="G5243">
        <v>9</v>
      </c>
      <c r="H5243">
        <v>1</v>
      </c>
      <c r="I5243" s="12" t="s">
        <v>223</v>
      </c>
      <c r="J5243" s="12" t="s">
        <v>224</v>
      </c>
      <c r="K5243" s="12" t="s">
        <v>81</v>
      </c>
      <c r="L5243" s="12" t="s">
        <v>134</v>
      </c>
      <c r="M5243">
        <v>2.4900000000000002</v>
      </c>
      <c r="N5243" s="12" t="s">
        <v>135</v>
      </c>
      <c r="O5243" s="12" t="s">
        <v>136</v>
      </c>
      <c r="P5243" s="12" t="s">
        <v>137</v>
      </c>
      <c r="Q5243" s="13">
        <v>45841</v>
      </c>
      <c r="R5243" s="13">
        <v>45876</v>
      </c>
      <c r="S5243">
        <v>2025</v>
      </c>
      <c r="T5243" s="12" t="s">
        <v>6319</v>
      </c>
      <c r="U5243">
        <v>10</v>
      </c>
      <c r="V5243">
        <v>501.5018</v>
      </c>
      <c r="W5243">
        <v>53.76</v>
      </c>
      <c r="X5243">
        <v>0</v>
      </c>
      <c r="Y5243">
        <v>0</v>
      </c>
      <c r="Z5243">
        <v>5015.0200000000004</v>
      </c>
      <c r="AA5243">
        <v>5068.78</v>
      </c>
      <c r="AB5243" s="12" t="s">
        <v>201</v>
      </c>
      <c r="AD5243">
        <v>0</v>
      </c>
      <c r="AE5243">
        <v>0</v>
      </c>
      <c r="AH5243">
        <v>10</v>
      </c>
      <c r="AI5243">
        <v>10</v>
      </c>
      <c r="AJ5243">
        <v>0</v>
      </c>
      <c r="AK5243">
        <v>1</v>
      </c>
      <c r="AL5243">
        <v>1</v>
      </c>
      <c r="AM5243">
        <v>100</v>
      </c>
      <c r="AN5243">
        <v>506.87779999999998</v>
      </c>
      <c r="AO5243">
        <v>0</v>
      </c>
      <c r="AP5243" s="13">
        <v>45876</v>
      </c>
      <c r="AQ5243">
        <v>0</v>
      </c>
      <c r="AR5243">
        <v>1</v>
      </c>
    </row>
    <row r="5244" spans="1:44" x14ac:dyDescent="0.35">
      <c r="A5244" s="12" t="s">
        <v>6337</v>
      </c>
      <c r="B5244" s="12" t="s">
        <v>680</v>
      </c>
      <c r="C5244" s="12" t="s">
        <v>681</v>
      </c>
      <c r="D5244" s="12" t="s">
        <v>122</v>
      </c>
      <c r="E5244" s="12" t="s">
        <v>104</v>
      </c>
      <c r="F5244">
        <v>3</v>
      </c>
      <c r="G5244">
        <v>1</v>
      </c>
      <c r="H5244">
        <v>0</v>
      </c>
      <c r="I5244" s="12" t="s">
        <v>227</v>
      </c>
      <c r="J5244" s="12" t="s">
        <v>228</v>
      </c>
      <c r="K5244" s="12" t="s">
        <v>89</v>
      </c>
      <c r="L5244" s="12" t="s">
        <v>96</v>
      </c>
      <c r="M5244">
        <v>9.15</v>
      </c>
      <c r="N5244" s="12" t="s">
        <v>70</v>
      </c>
      <c r="O5244" s="12" t="s">
        <v>71</v>
      </c>
      <c r="P5244" s="12" t="s">
        <v>72</v>
      </c>
      <c r="Q5244" s="13">
        <v>45842</v>
      </c>
      <c r="R5244" s="13">
        <v>45856</v>
      </c>
      <c r="S5244">
        <v>2025</v>
      </c>
      <c r="T5244" s="12" t="s">
        <v>6319</v>
      </c>
      <c r="U5244">
        <v>470</v>
      </c>
      <c r="V5244">
        <v>23.979500000000002</v>
      </c>
      <c r="W5244">
        <v>153.74</v>
      </c>
      <c r="X5244">
        <v>0</v>
      </c>
      <c r="Y5244">
        <v>0</v>
      </c>
      <c r="Z5244">
        <v>11270.37</v>
      </c>
      <c r="AA5244">
        <v>11424.11</v>
      </c>
      <c r="AB5244" s="12" t="s">
        <v>201</v>
      </c>
      <c r="AD5244">
        <v>0</v>
      </c>
      <c r="AE5244">
        <v>0</v>
      </c>
      <c r="AH5244">
        <v>470</v>
      </c>
      <c r="AI5244">
        <v>468</v>
      </c>
      <c r="AJ5244">
        <v>2</v>
      </c>
      <c r="AK5244">
        <v>1</v>
      </c>
      <c r="AL5244">
        <v>1</v>
      </c>
      <c r="AM5244">
        <v>99.57</v>
      </c>
      <c r="AN5244">
        <v>24.410499999999999</v>
      </c>
      <c r="AO5244">
        <v>47.96</v>
      </c>
      <c r="AP5244" s="13">
        <v>45853</v>
      </c>
      <c r="AQ5244">
        <v>-3</v>
      </c>
      <c r="AR5244">
        <v>1</v>
      </c>
    </row>
    <row r="5245" spans="1:44" x14ac:dyDescent="0.35">
      <c r="A5245" s="12" t="s">
        <v>6338</v>
      </c>
      <c r="B5245" s="12" t="s">
        <v>76</v>
      </c>
      <c r="C5245" s="12" t="s">
        <v>77</v>
      </c>
      <c r="D5245" s="12" t="s">
        <v>78</v>
      </c>
      <c r="E5245" s="12" t="s">
        <v>65</v>
      </c>
      <c r="F5245">
        <v>2</v>
      </c>
      <c r="G5245">
        <v>4</v>
      </c>
      <c r="H5245">
        <v>0</v>
      </c>
      <c r="I5245" s="12" t="s">
        <v>151</v>
      </c>
      <c r="J5245" s="12" t="s">
        <v>152</v>
      </c>
      <c r="K5245" s="12" t="s">
        <v>125</v>
      </c>
      <c r="L5245" s="12" t="s">
        <v>69</v>
      </c>
      <c r="M5245">
        <v>36.479999999999997</v>
      </c>
      <c r="N5245" s="12" t="s">
        <v>97</v>
      </c>
      <c r="O5245" s="12" t="s">
        <v>98</v>
      </c>
      <c r="P5245" s="12" t="s">
        <v>72</v>
      </c>
      <c r="Q5245" s="13">
        <v>45842</v>
      </c>
      <c r="R5245" s="13">
        <v>45871</v>
      </c>
      <c r="S5245">
        <v>2025</v>
      </c>
      <c r="T5245" s="12" t="s">
        <v>6319</v>
      </c>
      <c r="U5245">
        <v>162</v>
      </c>
      <c r="V5245">
        <v>45.928400000000003</v>
      </c>
      <c r="W5245">
        <v>82.92</v>
      </c>
      <c r="X5245">
        <v>0</v>
      </c>
      <c r="Y5245">
        <v>0</v>
      </c>
      <c r="Z5245">
        <v>7440.4</v>
      </c>
      <c r="AA5245">
        <v>7523.32</v>
      </c>
      <c r="AB5245" s="12" t="s">
        <v>6339</v>
      </c>
      <c r="AC5245">
        <v>45.928400000000003</v>
      </c>
      <c r="AD5245">
        <v>1</v>
      </c>
      <c r="AE5245">
        <v>1</v>
      </c>
      <c r="AF5245">
        <v>0</v>
      </c>
      <c r="AG5245">
        <v>7440.4</v>
      </c>
      <c r="AH5245">
        <v>162</v>
      </c>
      <c r="AI5245">
        <v>159</v>
      </c>
      <c r="AJ5245">
        <v>3</v>
      </c>
      <c r="AK5245">
        <v>1</v>
      </c>
      <c r="AL5245">
        <v>1</v>
      </c>
      <c r="AM5245">
        <v>98.15</v>
      </c>
      <c r="AN5245">
        <v>47.316499999999998</v>
      </c>
      <c r="AO5245">
        <v>137.79</v>
      </c>
      <c r="AP5245" s="13">
        <v>45870</v>
      </c>
      <c r="AQ5245">
        <v>-1</v>
      </c>
      <c r="AR5245">
        <v>1</v>
      </c>
    </row>
    <row r="5246" spans="1:44" x14ac:dyDescent="0.35">
      <c r="A5246" s="12" t="s">
        <v>6340</v>
      </c>
      <c r="B5246" s="12" t="s">
        <v>62</v>
      </c>
      <c r="C5246" s="12" t="s">
        <v>63</v>
      </c>
      <c r="D5246" s="12" t="s">
        <v>64</v>
      </c>
      <c r="E5246" s="12" t="s">
        <v>65</v>
      </c>
      <c r="F5246">
        <v>1</v>
      </c>
      <c r="G5246">
        <v>2</v>
      </c>
      <c r="H5246">
        <v>1</v>
      </c>
      <c r="I5246" s="12" t="s">
        <v>66</v>
      </c>
      <c r="J5246" s="12" t="s">
        <v>67</v>
      </c>
      <c r="K5246" s="12" t="s">
        <v>68</v>
      </c>
      <c r="L5246" s="12" t="s">
        <v>69</v>
      </c>
      <c r="M5246">
        <v>17.66</v>
      </c>
      <c r="N5246" s="12" t="s">
        <v>97</v>
      </c>
      <c r="O5246" s="12" t="s">
        <v>98</v>
      </c>
      <c r="P5246" s="12" t="s">
        <v>72</v>
      </c>
      <c r="Q5246" s="13">
        <v>45842</v>
      </c>
      <c r="R5246" s="13">
        <v>45863</v>
      </c>
      <c r="S5246">
        <v>2025</v>
      </c>
      <c r="T5246" s="12" t="s">
        <v>6319</v>
      </c>
      <c r="U5246">
        <v>144</v>
      </c>
      <c r="V5246">
        <v>25.13</v>
      </c>
      <c r="W5246">
        <v>35.75</v>
      </c>
      <c r="X5246">
        <v>0</v>
      </c>
      <c r="Y5246">
        <v>0</v>
      </c>
      <c r="Z5246">
        <v>3618.72</v>
      </c>
      <c r="AA5246">
        <v>3654.47</v>
      </c>
      <c r="AB5246" s="12" t="s">
        <v>201</v>
      </c>
      <c r="AD5246">
        <v>0</v>
      </c>
      <c r="AE5246">
        <v>0</v>
      </c>
      <c r="AH5246">
        <v>144</v>
      </c>
      <c r="AI5246">
        <v>143</v>
      </c>
      <c r="AJ5246">
        <v>1</v>
      </c>
      <c r="AK5246">
        <v>1</v>
      </c>
      <c r="AL5246">
        <v>1</v>
      </c>
      <c r="AM5246">
        <v>99.31</v>
      </c>
      <c r="AN5246">
        <v>25.555700000000002</v>
      </c>
      <c r="AO5246">
        <v>25.13</v>
      </c>
      <c r="AP5246" s="13">
        <v>45861</v>
      </c>
      <c r="AQ5246">
        <v>-2</v>
      </c>
      <c r="AR5246">
        <v>1</v>
      </c>
    </row>
    <row r="5247" spans="1:44" x14ac:dyDescent="0.35">
      <c r="A5247" s="12" t="s">
        <v>6341</v>
      </c>
      <c r="B5247" s="12" t="s">
        <v>442</v>
      </c>
      <c r="C5247" s="12" t="s">
        <v>443</v>
      </c>
      <c r="D5247" s="12" t="s">
        <v>130</v>
      </c>
      <c r="E5247" s="12" t="s">
        <v>65</v>
      </c>
      <c r="F5247">
        <v>3</v>
      </c>
      <c r="G5247">
        <v>4</v>
      </c>
      <c r="H5247">
        <v>0</v>
      </c>
      <c r="I5247" s="12" t="s">
        <v>251</v>
      </c>
      <c r="J5247" s="12" t="s">
        <v>252</v>
      </c>
      <c r="K5247" s="12" t="s">
        <v>133</v>
      </c>
      <c r="L5247" s="12" t="s">
        <v>69</v>
      </c>
      <c r="M5247">
        <v>34.49</v>
      </c>
      <c r="N5247" s="12" t="s">
        <v>159</v>
      </c>
      <c r="O5247" s="12" t="s">
        <v>160</v>
      </c>
      <c r="P5247" s="12" t="s">
        <v>137</v>
      </c>
      <c r="Q5247" s="13">
        <v>45842</v>
      </c>
      <c r="R5247" s="13">
        <v>45876</v>
      </c>
      <c r="S5247">
        <v>2025</v>
      </c>
      <c r="T5247" s="12" t="s">
        <v>6319</v>
      </c>
      <c r="U5247">
        <v>114</v>
      </c>
      <c r="V5247">
        <v>514.42409999999995</v>
      </c>
      <c r="W5247">
        <v>857.44</v>
      </c>
      <c r="X5247">
        <v>0</v>
      </c>
      <c r="Y5247">
        <v>0</v>
      </c>
      <c r="Z5247">
        <v>58644.35</v>
      </c>
      <c r="AA5247">
        <v>59501.79</v>
      </c>
      <c r="AB5247" s="12" t="s">
        <v>5218</v>
      </c>
      <c r="AC5247">
        <v>514.42409999999995</v>
      </c>
      <c r="AD5247">
        <v>1</v>
      </c>
      <c r="AE5247">
        <v>1</v>
      </c>
      <c r="AF5247">
        <v>0</v>
      </c>
      <c r="AG5247">
        <v>58644.35</v>
      </c>
      <c r="AH5247">
        <v>114</v>
      </c>
      <c r="AI5247">
        <v>112</v>
      </c>
      <c r="AJ5247">
        <v>2</v>
      </c>
      <c r="AK5247">
        <v>1</v>
      </c>
      <c r="AL5247">
        <v>1</v>
      </c>
      <c r="AM5247">
        <v>98.25</v>
      </c>
      <c r="AN5247">
        <v>531.26599999999996</v>
      </c>
      <c r="AO5247">
        <v>1028.8499999999999</v>
      </c>
      <c r="AP5247" s="13">
        <v>45876</v>
      </c>
      <c r="AQ5247">
        <v>0</v>
      </c>
      <c r="AR5247">
        <v>1</v>
      </c>
    </row>
    <row r="5248" spans="1:44" x14ac:dyDescent="0.35">
      <c r="A5248" s="12" t="s">
        <v>6342</v>
      </c>
      <c r="B5248" s="12" t="s">
        <v>876</v>
      </c>
      <c r="C5248" s="12" t="s">
        <v>877</v>
      </c>
      <c r="D5248" s="12" t="s">
        <v>269</v>
      </c>
      <c r="E5248" s="12" t="s">
        <v>142</v>
      </c>
      <c r="F5248">
        <v>3</v>
      </c>
      <c r="G5248">
        <v>11</v>
      </c>
      <c r="H5248">
        <v>0</v>
      </c>
      <c r="I5248" s="12" t="s">
        <v>515</v>
      </c>
      <c r="J5248" s="12" t="s">
        <v>516</v>
      </c>
      <c r="K5248" s="12" t="s">
        <v>68</v>
      </c>
      <c r="L5248" s="12" t="s">
        <v>134</v>
      </c>
      <c r="M5248">
        <v>3.69</v>
      </c>
      <c r="N5248" s="12" t="s">
        <v>135</v>
      </c>
      <c r="O5248" s="12" t="s">
        <v>136</v>
      </c>
      <c r="P5248" s="12" t="s">
        <v>137</v>
      </c>
      <c r="Q5248" s="13">
        <v>45842</v>
      </c>
      <c r="R5248" s="13">
        <v>45881</v>
      </c>
      <c r="S5248">
        <v>2025</v>
      </c>
      <c r="T5248" s="12" t="s">
        <v>6319</v>
      </c>
      <c r="U5248">
        <v>46</v>
      </c>
      <c r="V5248">
        <v>168.7397</v>
      </c>
      <c r="W5248">
        <v>124.64</v>
      </c>
      <c r="X5248">
        <v>0</v>
      </c>
      <c r="Y5248">
        <v>0</v>
      </c>
      <c r="Z5248">
        <v>7762.03</v>
      </c>
      <c r="AA5248">
        <v>7886.67</v>
      </c>
      <c r="AB5248" s="12" t="s">
        <v>5961</v>
      </c>
      <c r="AC5248">
        <v>179.24969999999999</v>
      </c>
      <c r="AD5248">
        <v>1</v>
      </c>
      <c r="AE5248">
        <v>1</v>
      </c>
      <c r="AF5248">
        <v>-483.46</v>
      </c>
      <c r="AG5248">
        <v>8245.49</v>
      </c>
      <c r="AH5248">
        <v>46</v>
      </c>
      <c r="AI5248">
        <v>45</v>
      </c>
      <c r="AJ5248">
        <v>1</v>
      </c>
      <c r="AK5248">
        <v>1</v>
      </c>
      <c r="AL5248">
        <v>1</v>
      </c>
      <c r="AM5248">
        <v>97.83</v>
      </c>
      <c r="AN5248">
        <v>175.25919999999999</v>
      </c>
      <c r="AO5248">
        <v>168.74</v>
      </c>
      <c r="AP5248" s="13">
        <v>45881</v>
      </c>
      <c r="AQ5248">
        <v>0</v>
      </c>
      <c r="AR5248">
        <v>1</v>
      </c>
    </row>
    <row r="5249" spans="1:44" x14ac:dyDescent="0.35">
      <c r="A5249" s="12" t="s">
        <v>6343</v>
      </c>
      <c r="B5249" s="12" t="s">
        <v>509</v>
      </c>
      <c r="C5249" s="12" t="s">
        <v>510</v>
      </c>
      <c r="D5249" s="12" t="s">
        <v>78</v>
      </c>
      <c r="E5249" s="12" t="s">
        <v>142</v>
      </c>
      <c r="F5249">
        <v>3</v>
      </c>
      <c r="G5249">
        <v>11</v>
      </c>
      <c r="H5249">
        <v>0</v>
      </c>
      <c r="I5249" s="12" t="s">
        <v>251</v>
      </c>
      <c r="J5249" s="12" t="s">
        <v>252</v>
      </c>
      <c r="K5249" s="12" t="s">
        <v>133</v>
      </c>
      <c r="L5249" s="12" t="s">
        <v>69</v>
      </c>
      <c r="M5249">
        <v>34.49</v>
      </c>
      <c r="N5249" s="12" t="s">
        <v>97</v>
      </c>
      <c r="O5249" s="12" t="s">
        <v>98</v>
      </c>
      <c r="P5249" s="12" t="s">
        <v>72</v>
      </c>
      <c r="Q5249" s="13">
        <v>45842</v>
      </c>
      <c r="R5249" s="13">
        <v>45878</v>
      </c>
      <c r="S5249">
        <v>2025</v>
      </c>
      <c r="T5249" s="12" t="s">
        <v>6319</v>
      </c>
      <c r="U5249">
        <v>56</v>
      </c>
      <c r="V5249">
        <v>148.95820000000001</v>
      </c>
      <c r="W5249">
        <v>122.52</v>
      </c>
      <c r="X5249">
        <v>278.58999999999997</v>
      </c>
      <c r="Y5249">
        <v>1</v>
      </c>
      <c r="Z5249">
        <v>8341.66</v>
      </c>
      <c r="AA5249">
        <v>8742.77</v>
      </c>
      <c r="AB5249" s="12" t="s">
        <v>201</v>
      </c>
      <c r="AD5249">
        <v>0</v>
      </c>
      <c r="AE5249">
        <v>0</v>
      </c>
      <c r="AH5249">
        <v>56</v>
      </c>
      <c r="AI5249">
        <v>55</v>
      </c>
      <c r="AJ5249">
        <v>1</v>
      </c>
      <c r="AK5249">
        <v>1</v>
      </c>
      <c r="AL5249">
        <v>1</v>
      </c>
      <c r="AM5249">
        <v>98.21</v>
      </c>
      <c r="AN5249">
        <v>158.95939999999999</v>
      </c>
      <c r="AO5249">
        <v>148.96</v>
      </c>
      <c r="AP5249" s="13">
        <v>45877</v>
      </c>
      <c r="AQ5249">
        <v>-1</v>
      </c>
      <c r="AR5249">
        <v>1</v>
      </c>
    </row>
    <row r="5250" spans="1:44" x14ac:dyDescent="0.35">
      <c r="A5250" s="12" t="s">
        <v>6344</v>
      </c>
      <c r="B5250" s="12" t="s">
        <v>561</v>
      </c>
      <c r="C5250" s="12" t="s">
        <v>562</v>
      </c>
      <c r="D5250" s="12" t="s">
        <v>130</v>
      </c>
      <c r="E5250" s="12" t="s">
        <v>142</v>
      </c>
      <c r="F5250">
        <v>1</v>
      </c>
      <c r="G5250">
        <v>9</v>
      </c>
      <c r="H5250">
        <v>1</v>
      </c>
      <c r="I5250" s="12" t="s">
        <v>223</v>
      </c>
      <c r="J5250" s="12" t="s">
        <v>224</v>
      </c>
      <c r="K5250" s="12" t="s">
        <v>81</v>
      </c>
      <c r="L5250" s="12" t="s">
        <v>134</v>
      </c>
      <c r="M5250">
        <v>2.4900000000000002</v>
      </c>
      <c r="N5250" s="12" t="s">
        <v>135</v>
      </c>
      <c r="O5250" s="12" t="s">
        <v>136</v>
      </c>
      <c r="P5250" s="12" t="s">
        <v>137</v>
      </c>
      <c r="Q5250" s="13">
        <v>45842</v>
      </c>
      <c r="R5250" s="13">
        <v>45888</v>
      </c>
      <c r="S5250">
        <v>2025</v>
      </c>
      <c r="T5250" s="12" t="s">
        <v>6319</v>
      </c>
      <c r="U5250">
        <v>101</v>
      </c>
      <c r="V5250">
        <v>525.05730000000005</v>
      </c>
      <c r="W5250">
        <v>350.89</v>
      </c>
      <c r="X5250">
        <v>0</v>
      </c>
      <c r="Y5250">
        <v>0</v>
      </c>
      <c r="Z5250">
        <v>53030.79</v>
      </c>
      <c r="AA5250">
        <v>53381.68</v>
      </c>
      <c r="AB5250" s="12" t="s">
        <v>201</v>
      </c>
      <c r="AD5250">
        <v>0</v>
      </c>
      <c r="AE5250">
        <v>0</v>
      </c>
      <c r="AH5250">
        <v>101</v>
      </c>
      <c r="AI5250">
        <v>100</v>
      </c>
      <c r="AJ5250">
        <v>1</v>
      </c>
      <c r="AK5250">
        <v>1</v>
      </c>
      <c r="AL5250">
        <v>1</v>
      </c>
      <c r="AM5250">
        <v>99.01</v>
      </c>
      <c r="AN5250">
        <v>533.81679999999994</v>
      </c>
      <c r="AO5250">
        <v>525.05999999999995</v>
      </c>
      <c r="AP5250" s="13">
        <v>45897</v>
      </c>
      <c r="AQ5250">
        <v>9</v>
      </c>
      <c r="AR5250">
        <v>0</v>
      </c>
    </row>
    <row r="5251" spans="1:44" x14ac:dyDescent="0.35">
      <c r="A5251" s="12" t="s">
        <v>6345</v>
      </c>
      <c r="B5251" s="12" t="s">
        <v>433</v>
      </c>
      <c r="C5251" s="12" t="s">
        <v>434</v>
      </c>
      <c r="D5251" s="12" t="s">
        <v>78</v>
      </c>
      <c r="E5251" s="12" t="s">
        <v>65</v>
      </c>
      <c r="F5251">
        <v>2</v>
      </c>
      <c r="G5251">
        <v>4</v>
      </c>
      <c r="H5251">
        <v>0</v>
      </c>
      <c r="I5251" s="12" t="s">
        <v>105</v>
      </c>
      <c r="J5251" s="12" t="s">
        <v>106</v>
      </c>
      <c r="K5251" s="12" t="s">
        <v>81</v>
      </c>
      <c r="L5251" s="12" t="s">
        <v>96</v>
      </c>
      <c r="M5251">
        <v>5.01</v>
      </c>
      <c r="N5251" s="12" t="s">
        <v>70</v>
      </c>
      <c r="O5251" s="12" t="s">
        <v>71</v>
      </c>
      <c r="P5251" s="12" t="s">
        <v>72</v>
      </c>
      <c r="Q5251" s="13">
        <v>45842</v>
      </c>
      <c r="R5251" s="13">
        <v>45864</v>
      </c>
      <c r="S5251">
        <v>2025</v>
      </c>
      <c r="T5251" s="12" t="s">
        <v>6319</v>
      </c>
      <c r="U5251">
        <v>60</v>
      </c>
      <c r="V5251">
        <v>68.594099999999997</v>
      </c>
      <c r="W5251">
        <v>55.81</v>
      </c>
      <c r="X5251">
        <v>0</v>
      </c>
      <c r="Y5251">
        <v>0</v>
      </c>
      <c r="Z5251">
        <v>4115.6499999999996</v>
      </c>
      <c r="AA5251">
        <v>4171.46</v>
      </c>
      <c r="AB5251" s="12" t="s">
        <v>5436</v>
      </c>
      <c r="AC5251">
        <v>68.594099999999997</v>
      </c>
      <c r="AD5251">
        <v>1</v>
      </c>
      <c r="AE5251">
        <v>1</v>
      </c>
      <c r="AF5251">
        <v>0</v>
      </c>
      <c r="AG5251">
        <v>4115.6499999999996</v>
      </c>
      <c r="AH5251">
        <v>60</v>
      </c>
      <c r="AI5251">
        <v>59</v>
      </c>
      <c r="AJ5251">
        <v>1</v>
      </c>
      <c r="AK5251">
        <v>1</v>
      </c>
      <c r="AL5251">
        <v>1</v>
      </c>
      <c r="AM5251">
        <v>98.33</v>
      </c>
      <c r="AN5251">
        <v>70.702600000000004</v>
      </c>
      <c r="AO5251">
        <v>68.59</v>
      </c>
      <c r="AP5251" s="13">
        <v>45864</v>
      </c>
      <c r="AQ5251">
        <v>0</v>
      </c>
      <c r="AR5251">
        <v>1</v>
      </c>
    </row>
    <row r="5252" spans="1:44" x14ac:dyDescent="0.35">
      <c r="A5252" s="12" t="s">
        <v>6346</v>
      </c>
      <c r="B5252" s="12" t="s">
        <v>261</v>
      </c>
      <c r="C5252" s="12" t="s">
        <v>262</v>
      </c>
      <c r="D5252" s="12" t="s">
        <v>114</v>
      </c>
      <c r="E5252" s="12" t="s">
        <v>142</v>
      </c>
      <c r="F5252">
        <v>1</v>
      </c>
      <c r="G5252">
        <v>8</v>
      </c>
      <c r="H5252">
        <v>1</v>
      </c>
      <c r="I5252" s="12" t="s">
        <v>263</v>
      </c>
      <c r="J5252" s="12" t="s">
        <v>264</v>
      </c>
      <c r="K5252" s="12" t="s">
        <v>125</v>
      </c>
      <c r="L5252" s="12" t="s">
        <v>82</v>
      </c>
      <c r="M5252">
        <v>10.210000000000001</v>
      </c>
      <c r="N5252" s="12" t="s">
        <v>97</v>
      </c>
      <c r="O5252" s="12" t="s">
        <v>98</v>
      </c>
      <c r="P5252" s="12" t="s">
        <v>72</v>
      </c>
      <c r="Q5252" s="13">
        <v>45845</v>
      </c>
      <c r="R5252" s="13">
        <v>45888</v>
      </c>
      <c r="S5252">
        <v>2025</v>
      </c>
      <c r="T5252" s="12" t="s">
        <v>6319</v>
      </c>
      <c r="U5252">
        <v>77</v>
      </c>
      <c r="V5252">
        <v>152.88579999999999</v>
      </c>
      <c r="W5252">
        <v>164.04</v>
      </c>
      <c r="X5252">
        <v>0</v>
      </c>
      <c r="Y5252">
        <v>0</v>
      </c>
      <c r="Z5252">
        <v>11772.21</v>
      </c>
      <c r="AA5252">
        <v>11936.25</v>
      </c>
      <c r="AB5252" s="12" t="s">
        <v>201</v>
      </c>
      <c r="AD5252">
        <v>0</v>
      </c>
      <c r="AE5252">
        <v>0</v>
      </c>
      <c r="AH5252">
        <v>77</v>
      </c>
      <c r="AI5252">
        <v>75</v>
      </c>
      <c r="AJ5252">
        <v>2</v>
      </c>
      <c r="AK5252">
        <v>1</v>
      </c>
      <c r="AL5252">
        <v>1</v>
      </c>
      <c r="AM5252">
        <v>97.4</v>
      </c>
      <c r="AN5252">
        <v>159.15</v>
      </c>
      <c r="AO5252">
        <v>305.77</v>
      </c>
      <c r="AP5252" s="13">
        <v>45888</v>
      </c>
      <c r="AQ5252">
        <v>0</v>
      </c>
      <c r="AR5252">
        <v>1</v>
      </c>
    </row>
    <row r="5253" spans="1:44" x14ac:dyDescent="0.35">
      <c r="A5253" s="12" t="s">
        <v>6347</v>
      </c>
      <c r="B5253" s="12" t="s">
        <v>876</v>
      </c>
      <c r="C5253" s="12" t="s">
        <v>877</v>
      </c>
      <c r="D5253" s="12" t="s">
        <v>269</v>
      </c>
      <c r="E5253" s="12" t="s">
        <v>142</v>
      </c>
      <c r="F5253">
        <v>3</v>
      </c>
      <c r="G5253">
        <v>11</v>
      </c>
      <c r="H5253">
        <v>0</v>
      </c>
      <c r="I5253" s="12" t="s">
        <v>515</v>
      </c>
      <c r="J5253" s="12" t="s">
        <v>516</v>
      </c>
      <c r="K5253" s="12" t="s">
        <v>68</v>
      </c>
      <c r="L5253" s="12" t="s">
        <v>134</v>
      </c>
      <c r="M5253">
        <v>3.69</v>
      </c>
      <c r="N5253" s="12" t="s">
        <v>135</v>
      </c>
      <c r="O5253" s="12" t="s">
        <v>136</v>
      </c>
      <c r="P5253" s="12" t="s">
        <v>137</v>
      </c>
      <c r="Q5253" s="13">
        <v>45845</v>
      </c>
      <c r="R5253" s="13">
        <v>45884</v>
      </c>
      <c r="S5253">
        <v>2025</v>
      </c>
      <c r="T5253" s="12" t="s">
        <v>6319</v>
      </c>
      <c r="U5253">
        <v>42</v>
      </c>
      <c r="V5253">
        <v>179.24969999999999</v>
      </c>
      <c r="W5253">
        <v>119.09</v>
      </c>
      <c r="X5253">
        <v>0</v>
      </c>
      <c r="Y5253">
        <v>0</v>
      </c>
      <c r="Z5253">
        <v>7528.49</v>
      </c>
      <c r="AA5253">
        <v>7647.58</v>
      </c>
      <c r="AB5253" s="12" t="s">
        <v>5961</v>
      </c>
      <c r="AC5253">
        <v>179.24969999999999</v>
      </c>
      <c r="AD5253">
        <v>1</v>
      </c>
      <c r="AE5253">
        <v>1</v>
      </c>
      <c r="AF5253">
        <v>0</v>
      </c>
      <c r="AG5253">
        <v>7528.49</v>
      </c>
      <c r="AH5253">
        <v>42</v>
      </c>
      <c r="AI5253">
        <v>42</v>
      </c>
      <c r="AJ5253">
        <v>0</v>
      </c>
      <c r="AK5253">
        <v>1</v>
      </c>
      <c r="AL5253">
        <v>1</v>
      </c>
      <c r="AM5253">
        <v>100</v>
      </c>
      <c r="AN5253">
        <v>182.08519999999999</v>
      </c>
      <c r="AO5253">
        <v>0</v>
      </c>
      <c r="AP5253" s="13">
        <v>45883</v>
      </c>
      <c r="AQ5253">
        <v>-1</v>
      </c>
      <c r="AR5253">
        <v>1</v>
      </c>
    </row>
    <row r="5254" spans="1:44" x14ac:dyDescent="0.35">
      <c r="A5254" s="12" t="s">
        <v>6348</v>
      </c>
      <c r="B5254" s="12" t="s">
        <v>339</v>
      </c>
      <c r="C5254" s="12" t="s">
        <v>340</v>
      </c>
      <c r="D5254" s="12" t="s">
        <v>103</v>
      </c>
      <c r="E5254" s="12" t="s">
        <v>142</v>
      </c>
      <c r="F5254">
        <v>2</v>
      </c>
      <c r="G5254">
        <v>9</v>
      </c>
      <c r="H5254">
        <v>0</v>
      </c>
      <c r="I5254" s="12" t="s">
        <v>169</v>
      </c>
      <c r="J5254" s="12" t="s">
        <v>170</v>
      </c>
      <c r="K5254" s="12" t="s">
        <v>89</v>
      </c>
      <c r="L5254" s="12" t="s">
        <v>134</v>
      </c>
      <c r="M5254">
        <v>1.37</v>
      </c>
      <c r="N5254" s="12" t="s">
        <v>145</v>
      </c>
      <c r="O5254" s="12" t="s">
        <v>146</v>
      </c>
      <c r="P5254" s="12" t="s">
        <v>109</v>
      </c>
      <c r="Q5254" s="13">
        <v>45845</v>
      </c>
      <c r="R5254" s="13">
        <v>45888</v>
      </c>
      <c r="S5254">
        <v>2025</v>
      </c>
      <c r="T5254" s="12" t="s">
        <v>6319</v>
      </c>
      <c r="U5254">
        <v>74</v>
      </c>
      <c r="V5254">
        <v>236.3116</v>
      </c>
      <c r="W5254">
        <v>148.62</v>
      </c>
      <c r="X5254">
        <v>0</v>
      </c>
      <c r="Y5254">
        <v>0</v>
      </c>
      <c r="Z5254">
        <v>17487.060000000001</v>
      </c>
      <c r="AA5254">
        <v>17635.68</v>
      </c>
      <c r="AB5254" s="12" t="s">
        <v>5394</v>
      </c>
      <c r="AC5254">
        <v>236.3116</v>
      </c>
      <c r="AD5254">
        <v>1</v>
      </c>
      <c r="AE5254">
        <v>1</v>
      </c>
      <c r="AF5254">
        <v>0</v>
      </c>
      <c r="AG5254">
        <v>17487.060000000001</v>
      </c>
      <c r="AH5254">
        <v>74</v>
      </c>
      <c r="AI5254">
        <v>73</v>
      </c>
      <c r="AJ5254">
        <v>1</v>
      </c>
      <c r="AK5254">
        <v>1</v>
      </c>
      <c r="AL5254">
        <v>1</v>
      </c>
      <c r="AM5254">
        <v>98.65</v>
      </c>
      <c r="AN5254">
        <v>241.58459999999999</v>
      </c>
      <c r="AO5254">
        <v>236.31</v>
      </c>
      <c r="AP5254" s="13">
        <v>45888</v>
      </c>
      <c r="AQ5254">
        <v>0</v>
      </c>
      <c r="AR5254">
        <v>1</v>
      </c>
    </row>
    <row r="5255" spans="1:44" x14ac:dyDescent="0.35">
      <c r="A5255" s="12" t="s">
        <v>6349</v>
      </c>
      <c r="B5255" s="12" t="s">
        <v>1013</v>
      </c>
      <c r="C5255" s="12" t="s">
        <v>1014</v>
      </c>
      <c r="D5255" s="12" t="s">
        <v>78</v>
      </c>
      <c r="E5255" s="12" t="s">
        <v>65</v>
      </c>
      <c r="F5255">
        <v>2</v>
      </c>
      <c r="G5255">
        <v>3</v>
      </c>
      <c r="H5255">
        <v>0</v>
      </c>
      <c r="I5255" s="12" t="s">
        <v>123</v>
      </c>
      <c r="J5255" s="12" t="s">
        <v>124</v>
      </c>
      <c r="K5255" s="12" t="s">
        <v>125</v>
      </c>
      <c r="L5255" s="12" t="s">
        <v>82</v>
      </c>
      <c r="M5255">
        <v>6.75</v>
      </c>
      <c r="N5255" s="12" t="s">
        <v>70</v>
      </c>
      <c r="O5255" s="12" t="s">
        <v>71</v>
      </c>
      <c r="P5255" s="12" t="s">
        <v>72</v>
      </c>
      <c r="Q5255" s="13">
        <v>45845</v>
      </c>
      <c r="R5255" s="13">
        <v>45876</v>
      </c>
      <c r="S5255">
        <v>2025</v>
      </c>
      <c r="T5255" s="12" t="s">
        <v>6319</v>
      </c>
      <c r="U5255">
        <v>189</v>
      </c>
      <c r="V5255">
        <v>130.74449999999999</v>
      </c>
      <c r="W5255">
        <v>320.54000000000002</v>
      </c>
      <c r="X5255">
        <v>0</v>
      </c>
      <c r="Y5255">
        <v>0</v>
      </c>
      <c r="Z5255">
        <v>24710.71</v>
      </c>
      <c r="AA5255">
        <v>25031.25</v>
      </c>
      <c r="AB5255" s="12" t="s">
        <v>6350</v>
      </c>
      <c r="AC5255">
        <v>124.94710000000001</v>
      </c>
      <c r="AD5255">
        <v>1</v>
      </c>
      <c r="AE5255">
        <v>1</v>
      </c>
      <c r="AF5255">
        <v>1095.71</v>
      </c>
      <c r="AG5255">
        <v>23615</v>
      </c>
      <c r="AH5255">
        <v>189</v>
      </c>
      <c r="AI5255">
        <v>186</v>
      </c>
      <c r="AJ5255">
        <v>3</v>
      </c>
      <c r="AK5255">
        <v>1</v>
      </c>
      <c r="AL5255">
        <v>1</v>
      </c>
      <c r="AM5255">
        <v>98.41</v>
      </c>
      <c r="AN5255">
        <v>134.57660000000001</v>
      </c>
      <c r="AO5255">
        <v>392.23</v>
      </c>
      <c r="AP5255" s="13">
        <v>45876</v>
      </c>
      <c r="AQ5255">
        <v>0</v>
      </c>
      <c r="AR5255">
        <v>1</v>
      </c>
    </row>
    <row r="5256" spans="1:44" x14ac:dyDescent="0.35">
      <c r="A5256" s="12" t="s">
        <v>6351</v>
      </c>
      <c r="B5256" s="12" t="s">
        <v>163</v>
      </c>
      <c r="C5256" s="12" t="s">
        <v>164</v>
      </c>
      <c r="D5256" s="12" t="s">
        <v>64</v>
      </c>
      <c r="E5256" s="12" t="s">
        <v>104</v>
      </c>
      <c r="F5256">
        <v>2</v>
      </c>
      <c r="G5256">
        <v>0</v>
      </c>
      <c r="H5256">
        <v>0</v>
      </c>
      <c r="I5256" s="12" t="s">
        <v>79</v>
      </c>
      <c r="J5256" s="12" t="s">
        <v>80</v>
      </c>
      <c r="K5256" s="12" t="s">
        <v>81</v>
      </c>
      <c r="L5256" s="12" t="s">
        <v>82</v>
      </c>
      <c r="M5256">
        <v>12.07</v>
      </c>
      <c r="N5256" s="12" t="s">
        <v>97</v>
      </c>
      <c r="O5256" s="12" t="s">
        <v>98</v>
      </c>
      <c r="P5256" s="12" t="s">
        <v>72</v>
      </c>
      <c r="Q5256" s="13">
        <v>45846</v>
      </c>
      <c r="R5256" s="13">
        <v>45867</v>
      </c>
      <c r="S5256">
        <v>2025</v>
      </c>
      <c r="T5256" s="12" t="s">
        <v>6319</v>
      </c>
      <c r="U5256">
        <v>581</v>
      </c>
      <c r="V5256">
        <v>9.8763000000000005</v>
      </c>
      <c r="W5256">
        <v>129.63</v>
      </c>
      <c r="X5256">
        <v>0</v>
      </c>
      <c r="Y5256">
        <v>0</v>
      </c>
      <c r="Z5256">
        <v>5738.13</v>
      </c>
      <c r="AA5256">
        <v>5867.76</v>
      </c>
      <c r="AB5256" s="12" t="s">
        <v>5303</v>
      </c>
      <c r="AC5256">
        <v>10.482900000000001</v>
      </c>
      <c r="AD5256">
        <v>1</v>
      </c>
      <c r="AE5256">
        <v>1</v>
      </c>
      <c r="AF5256">
        <v>-352.43</v>
      </c>
      <c r="AG5256">
        <v>6090.56</v>
      </c>
      <c r="AH5256">
        <v>581</v>
      </c>
      <c r="AI5256">
        <v>576</v>
      </c>
      <c r="AJ5256">
        <v>5</v>
      </c>
      <c r="AK5256">
        <v>1</v>
      </c>
      <c r="AL5256">
        <v>1</v>
      </c>
      <c r="AM5256">
        <v>99.14</v>
      </c>
      <c r="AN5256">
        <v>10.187099999999999</v>
      </c>
      <c r="AO5256">
        <v>49.38</v>
      </c>
      <c r="AP5256" s="13">
        <v>45864</v>
      </c>
      <c r="AQ5256">
        <v>-3</v>
      </c>
      <c r="AR5256">
        <v>1</v>
      </c>
    </row>
    <row r="5257" spans="1:44" x14ac:dyDescent="0.35">
      <c r="A5257" s="12" t="s">
        <v>6352</v>
      </c>
      <c r="B5257" s="12" t="s">
        <v>548</v>
      </c>
      <c r="C5257" s="12" t="s">
        <v>549</v>
      </c>
      <c r="D5257" s="12" t="s">
        <v>78</v>
      </c>
      <c r="E5257" s="12" t="s">
        <v>104</v>
      </c>
      <c r="F5257">
        <v>3</v>
      </c>
      <c r="G5257">
        <v>1</v>
      </c>
      <c r="H5257">
        <v>0</v>
      </c>
      <c r="I5257" s="12" t="s">
        <v>223</v>
      </c>
      <c r="J5257" s="12" t="s">
        <v>224</v>
      </c>
      <c r="K5257" s="12" t="s">
        <v>81</v>
      </c>
      <c r="L5257" s="12" t="s">
        <v>134</v>
      </c>
      <c r="M5257">
        <v>2.4900000000000002</v>
      </c>
      <c r="N5257" s="12" t="s">
        <v>70</v>
      </c>
      <c r="O5257" s="12" t="s">
        <v>71</v>
      </c>
      <c r="P5257" s="12" t="s">
        <v>72</v>
      </c>
      <c r="Q5257" s="13">
        <v>45846</v>
      </c>
      <c r="R5257" s="13">
        <v>45871</v>
      </c>
      <c r="S5257">
        <v>2025</v>
      </c>
      <c r="T5257" s="12" t="s">
        <v>6319</v>
      </c>
      <c r="U5257">
        <v>240</v>
      </c>
      <c r="V5257">
        <v>59.529499999999999</v>
      </c>
      <c r="W5257">
        <v>349.96</v>
      </c>
      <c r="X5257">
        <v>0</v>
      </c>
      <c r="Y5257">
        <v>0</v>
      </c>
      <c r="Z5257">
        <v>14287.08</v>
      </c>
      <c r="AA5257">
        <v>14637.04</v>
      </c>
      <c r="AB5257" s="12" t="s">
        <v>6116</v>
      </c>
      <c r="AC5257">
        <v>56.384999999999998</v>
      </c>
      <c r="AD5257">
        <v>1</v>
      </c>
      <c r="AE5257">
        <v>1</v>
      </c>
      <c r="AF5257">
        <v>754.68</v>
      </c>
      <c r="AG5257">
        <v>13532.4</v>
      </c>
      <c r="AH5257">
        <v>240</v>
      </c>
      <c r="AI5257">
        <v>237</v>
      </c>
      <c r="AJ5257">
        <v>3</v>
      </c>
      <c r="AK5257">
        <v>1</v>
      </c>
      <c r="AL5257">
        <v>1</v>
      </c>
      <c r="AM5257">
        <v>98.75</v>
      </c>
      <c r="AN5257">
        <v>61.759700000000002</v>
      </c>
      <c r="AO5257">
        <v>178.59</v>
      </c>
      <c r="AP5257" s="13">
        <v>45870</v>
      </c>
      <c r="AQ5257">
        <v>-1</v>
      </c>
      <c r="AR5257">
        <v>1</v>
      </c>
    </row>
    <row r="5258" spans="1:44" x14ac:dyDescent="0.35">
      <c r="A5258" s="12" t="s">
        <v>6353</v>
      </c>
      <c r="B5258" s="12" t="s">
        <v>350</v>
      </c>
      <c r="C5258" s="12" t="s">
        <v>351</v>
      </c>
      <c r="D5258" s="12" t="s">
        <v>64</v>
      </c>
      <c r="E5258" s="12" t="s">
        <v>104</v>
      </c>
      <c r="F5258">
        <v>3</v>
      </c>
      <c r="G5258">
        <v>1</v>
      </c>
      <c r="H5258">
        <v>0</v>
      </c>
      <c r="I5258" s="12" t="s">
        <v>486</v>
      </c>
      <c r="J5258" s="12" t="s">
        <v>487</v>
      </c>
      <c r="K5258" s="12" t="s">
        <v>125</v>
      </c>
      <c r="L5258" s="12" t="s">
        <v>69</v>
      </c>
      <c r="M5258">
        <v>36.86</v>
      </c>
      <c r="N5258" s="12" t="s">
        <v>70</v>
      </c>
      <c r="O5258" s="12" t="s">
        <v>71</v>
      </c>
      <c r="P5258" s="12" t="s">
        <v>72</v>
      </c>
      <c r="Q5258" s="13">
        <v>45846</v>
      </c>
      <c r="R5258" s="13">
        <v>45869</v>
      </c>
      <c r="S5258">
        <v>2025</v>
      </c>
      <c r="T5258" s="12" t="s">
        <v>6319</v>
      </c>
      <c r="U5258">
        <v>677</v>
      </c>
      <c r="V5258">
        <v>8.2452000000000005</v>
      </c>
      <c r="W5258">
        <v>63.6</v>
      </c>
      <c r="X5258">
        <v>0</v>
      </c>
      <c r="Y5258">
        <v>0</v>
      </c>
      <c r="Z5258">
        <v>5582</v>
      </c>
      <c r="AA5258">
        <v>5645.6</v>
      </c>
      <c r="AB5258" s="12" t="s">
        <v>5628</v>
      </c>
      <c r="AC5258">
        <v>8.2452000000000005</v>
      </c>
      <c r="AD5258">
        <v>1</v>
      </c>
      <c r="AE5258">
        <v>1</v>
      </c>
      <c r="AF5258">
        <v>0</v>
      </c>
      <c r="AG5258">
        <v>5582</v>
      </c>
      <c r="AH5258">
        <v>677</v>
      </c>
      <c r="AI5258">
        <v>674</v>
      </c>
      <c r="AJ5258">
        <v>3</v>
      </c>
      <c r="AK5258">
        <v>1</v>
      </c>
      <c r="AL5258">
        <v>1</v>
      </c>
      <c r="AM5258">
        <v>99.56</v>
      </c>
      <c r="AN5258">
        <v>8.3763000000000005</v>
      </c>
      <c r="AO5258">
        <v>24.74</v>
      </c>
      <c r="AP5258" s="13">
        <v>45869</v>
      </c>
      <c r="AQ5258">
        <v>0</v>
      </c>
      <c r="AR5258">
        <v>1</v>
      </c>
    </row>
    <row r="5259" spans="1:44" x14ac:dyDescent="0.35">
      <c r="A5259" s="12" t="s">
        <v>6354</v>
      </c>
      <c r="B5259" s="12" t="s">
        <v>876</v>
      </c>
      <c r="C5259" s="12" t="s">
        <v>877</v>
      </c>
      <c r="D5259" s="12" t="s">
        <v>269</v>
      </c>
      <c r="E5259" s="12" t="s">
        <v>142</v>
      </c>
      <c r="F5259">
        <v>3</v>
      </c>
      <c r="G5259">
        <v>11</v>
      </c>
      <c r="H5259">
        <v>0</v>
      </c>
      <c r="I5259" s="12" t="s">
        <v>515</v>
      </c>
      <c r="J5259" s="12" t="s">
        <v>516</v>
      </c>
      <c r="K5259" s="12" t="s">
        <v>68</v>
      </c>
      <c r="L5259" s="12" t="s">
        <v>134</v>
      </c>
      <c r="M5259">
        <v>3.69</v>
      </c>
      <c r="N5259" s="12" t="s">
        <v>159</v>
      </c>
      <c r="O5259" s="12" t="s">
        <v>160</v>
      </c>
      <c r="P5259" s="12" t="s">
        <v>137</v>
      </c>
      <c r="Q5259" s="13">
        <v>45846</v>
      </c>
      <c r="R5259" s="13">
        <v>45887</v>
      </c>
      <c r="S5259">
        <v>2025</v>
      </c>
      <c r="T5259" s="12" t="s">
        <v>6319</v>
      </c>
      <c r="U5259">
        <v>59</v>
      </c>
      <c r="V5259">
        <v>179.24969999999999</v>
      </c>
      <c r="W5259">
        <v>241.41</v>
      </c>
      <c r="X5259">
        <v>0</v>
      </c>
      <c r="Y5259">
        <v>0</v>
      </c>
      <c r="Z5259">
        <v>10575.73</v>
      </c>
      <c r="AA5259">
        <v>10817.14</v>
      </c>
      <c r="AB5259" s="12" t="s">
        <v>5961</v>
      </c>
      <c r="AC5259">
        <v>179.24969999999999</v>
      </c>
      <c r="AD5259">
        <v>1</v>
      </c>
      <c r="AE5259">
        <v>1</v>
      </c>
      <c r="AF5259">
        <v>0</v>
      </c>
      <c r="AG5259">
        <v>10575.73</v>
      </c>
      <c r="AH5259">
        <v>59</v>
      </c>
      <c r="AI5259">
        <v>59</v>
      </c>
      <c r="AJ5259">
        <v>0</v>
      </c>
      <c r="AK5259">
        <v>1</v>
      </c>
      <c r="AL5259">
        <v>1</v>
      </c>
      <c r="AM5259">
        <v>100</v>
      </c>
      <c r="AN5259">
        <v>183.34139999999999</v>
      </c>
      <c r="AO5259">
        <v>0</v>
      </c>
      <c r="AP5259" s="13">
        <v>45887</v>
      </c>
      <c r="AQ5259">
        <v>0</v>
      </c>
      <c r="AR5259">
        <v>1</v>
      </c>
    </row>
    <row r="5260" spans="1:44" x14ac:dyDescent="0.35">
      <c r="A5260" s="12" t="s">
        <v>6355</v>
      </c>
      <c r="B5260" s="12" t="s">
        <v>128</v>
      </c>
      <c r="C5260" s="12" t="s">
        <v>129</v>
      </c>
      <c r="D5260" s="12" t="s">
        <v>130</v>
      </c>
      <c r="E5260" s="12" t="s">
        <v>65</v>
      </c>
      <c r="F5260">
        <v>3</v>
      </c>
      <c r="G5260">
        <v>5</v>
      </c>
      <c r="H5260">
        <v>0</v>
      </c>
      <c r="I5260" s="12" t="s">
        <v>131</v>
      </c>
      <c r="J5260" s="12" t="s">
        <v>132</v>
      </c>
      <c r="K5260" s="12" t="s">
        <v>133</v>
      </c>
      <c r="L5260" s="12" t="s">
        <v>134</v>
      </c>
      <c r="M5260">
        <v>1.51</v>
      </c>
      <c r="N5260" s="12" t="s">
        <v>135</v>
      </c>
      <c r="O5260" s="12" t="s">
        <v>136</v>
      </c>
      <c r="P5260" s="12" t="s">
        <v>137</v>
      </c>
      <c r="Q5260" s="13">
        <v>45846</v>
      </c>
      <c r="R5260" s="13">
        <v>45872</v>
      </c>
      <c r="S5260">
        <v>2025</v>
      </c>
      <c r="T5260" s="12" t="s">
        <v>6319</v>
      </c>
      <c r="U5260">
        <v>54</v>
      </c>
      <c r="V5260">
        <v>383.05619999999999</v>
      </c>
      <c r="W5260">
        <v>132.36000000000001</v>
      </c>
      <c r="X5260">
        <v>630.79</v>
      </c>
      <c r="Y5260">
        <v>1</v>
      </c>
      <c r="Z5260">
        <v>20685.03</v>
      </c>
      <c r="AA5260">
        <v>21448.18</v>
      </c>
      <c r="AB5260" s="12" t="s">
        <v>201</v>
      </c>
      <c r="AD5260">
        <v>0</v>
      </c>
      <c r="AE5260">
        <v>0</v>
      </c>
      <c r="AH5260">
        <v>54</v>
      </c>
      <c r="AI5260">
        <v>49</v>
      </c>
      <c r="AJ5260">
        <v>5</v>
      </c>
      <c r="AK5260">
        <v>1</v>
      </c>
      <c r="AL5260">
        <v>1</v>
      </c>
      <c r="AM5260">
        <v>90.74</v>
      </c>
      <c r="AN5260">
        <v>437.71809999999999</v>
      </c>
      <c r="AO5260">
        <v>1915.28</v>
      </c>
      <c r="AP5260" s="13">
        <v>45869</v>
      </c>
      <c r="AQ5260">
        <v>-3</v>
      </c>
      <c r="AR5260">
        <v>1</v>
      </c>
    </row>
    <row r="5261" spans="1:44" x14ac:dyDescent="0.35">
      <c r="A5261" s="12" t="s">
        <v>6356</v>
      </c>
      <c r="B5261" s="12" t="s">
        <v>289</v>
      </c>
      <c r="C5261" s="12" t="s">
        <v>290</v>
      </c>
      <c r="D5261" s="12" t="s">
        <v>175</v>
      </c>
      <c r="E5261" s="12" t="s">
        <v>104</v>
      </c>
      <c r="F5261">
        <v>3</v>
      </c>
      <c r="G5261">
        <v>1</v>
      </c>
      <c r="H5261">
        <v>0</v>
      </c>
      <c r="I5261" s="12" t="s">
        <v>157</v>
      </c>
      <c r="J5261" s="12" t="s">
        <v>158</v>
      </c>
      <c r="K5261" s="12" t="s">
        <v>117</v>
      </c>
      <c r="L5261" s="12" t="s">
        <v>96</v>
      </c>
      <c r="M5261">
        <v>4.72</v>
      </c>
      <c r="N5261" s="12" t="s">
        <v>107</v>
      </c>
      <c r="O5261" s="12" t="s">
        <v>108</v>
      </c>
      <c r="P5261" s="12" t="s">
        <v>109</v>
      </c>
      <c r="Q5261" s="13">
        <v>45846</v>
      </c>
      <c r="R5261" s="13">
        <v>45871</v>
      </c>
      <c r="S5261">
        <v>2025</v>
      </c>
      <c r="T5261" s="12" t="s">
        <v>6319</v>
      </c>
      <c r="U5261">
        <v>118</v>
      </c>
      <c r="V5261">
        <v>181.42670000000001</v>
      </c>
      <c r="W5261">
        <v>308.29000000000002</v>
      </c>
      <c r="X5261">
        <v>0</v>
      </c>
      <c r="Y5261">
        <v>0</v>
      </c>
      <c r="Z5261">
        <v>21408.35</v>
      </c>
      <c r="AA5261">
        <v>21716.639999999999</v>
      </c>
      <c r="AB5261" s="12" t="s">
        <v>201</v>
      </c>
      <c r="AD5261">
        <v>0</v>
      </c>
      <c r="AE5261">
        <v>0</v>
      </c>
      <c r="AH5261">
        <v>118</v>
      </c>
      <c r="AI5261">
        <v>116</v>
      </c>
      <c r="AJ5261">
        <v>2</v>
      </c>
      <c r="AK5261">
        <v>1</v>
      </c>
      <c r="AL5261">
        <v>1</v>
      </c>
      <c r="AM5261">
        <v>98.31</v>
      </c>
      <c r="AN5261">
        <v>187.2124</v>
      </c>
      <c r="AO5261">
        <v>362.85</v>
      </c>
      <c r="AP5261" s="13">
        <v>45869</v>
      </c>
      <c r="AQ5261">
        <v>-2</v>
      </c>
      <c r="AR5261">
        <v>1</v>
      </c>
    </row>
    <row r="5262" spans="1:44" x14ac:dyDescent="0.35">
      <c r="A5262" s="12" t="s">
        <v>6357</v>
      </c>
      <c r="B5262" s="12" t="s">
        <v>740</v>
      </c>
      <c r="C5262" s="12" t="s">
        <v>741</v>
      </c>
      <c r="D5262" s="12" t="s">
        <v>64</v>
      </c>
      <c r="E5262" s="12" t="s">
        <v>104</v>
      </c>
      <c r="F5262">
        <v>2</v>
      </c>
      <c r="G5262">
        <v>0</v>
      </c>
      <c r="H5262">
        <v>0</v>
      </c>
      <c r="I5262" s="12" t="s">
        <v>183</v>
      </c>
      <c r="J5262" s="12" t="s">
        <v>184</v>
      </c>
      <c r="K5262" s="12" t="s">
        <v>133</v>
      </c>
      <c r="L5262" s="12" t="s">
        <v>82</v>
      </c>
      <c r="M5262">
        <v>8.6199999999999992</v>
      </c>
      <c r="N5262" s="12" t="s">
        <v>70</v>
      </c>
      <c r="O5262" s="12" t="s">
        <v>71</v>
      </c>
      <c r="P5262" s="12" t="s">
        <v>72</v>
      </c>
      <c r="Q5262" s="13">
        <v>45846</v>
      </c>
      <c r="R5262" s="13">
        <v>45868</v>
      </c>
      <c r="S5262">
        <v>2025</v>
      </c>
      <c r="T5262" s="12" t="s">
        <v>6319</v>
      </c>
      <c r="U5262">
        <v>624</v>
      </c>
      <c r="V5262">
        <v>41.1374</v>
      </c>
      <c r="W5262">
        <v>207.67</v>
      </c>
      <c r="X5262">
        <v>0</v>
      </c>
      <c r="Y5262">
        <v>0</v>
      </c>
      <c r="Z5262">
        <v>25669.74</v>
      </c>
      <c r="AA5262">
        <v>25877.41</v>
      </c>
      <c r="AB5262" s="12" t="s">
        <v>5789</v>
      </c>
      <c r="AC5262">
        <v>41.1374</v>
      </c>
      <c r="AD5262">
        <v>1</v>
      </c>
      <c r="AE5262">
        <v>1</v>
      </c>
      <c r="AF5262">
        <v>0</v>
      </c>
      <c r="AG5262">
        <v>25669.74</v>
      </c>
      <c r="AH5262">
        <v>624</v>
      </c>
      <c r="AI5262">
        <v>615</v>
      </c>
      <c r="AJ5262">
        <v>9</v>
      </c>
      <c r="AK5262">
        <v>1</v>
      </c>
      <c r="AL5262">
        <v>1</v>
      </c>
      <c r="AM5262">
        <v>98.56</v>
      </c>
      <c r="AN5262">
        <v>42.077100000000002</v>
      </c>
      <c r="AO5262">
        <v>370.24</v>
      </c>
      <c r="AP5262" s="13">
        <v>45867</v>
      </c>
      <c r="AQ5262">
        <v>-1</v>
      </c>
      <c r="AR5262">
        <v>1</v>
      </c>
    </row>
    <row r="5263" spans="1:44" x14ac:dyDescent="0.35">
      <c r="A5263" s="12" t="s">
        <v>6358</v>
      </c>
      <c r="B5263" s="12" t="s">
        <v>972</v>
      </c>
      <c r="C5263" s="12" t="s">
        <v>973</v>
      </c>
      <c r="D5263" s="12" t="s">
        <v>130</v>
      </c>
      <c r="E5263" s="12" t="s">
        <v>142</v>
      </c>
      <c r="F5263">
        <v>2</v>
      </c>
      <c r="G5263">
        <v>9</v>
      </c>
      <c r="H5263">
        <v>0</v>
      </c>
      <c r="I5263" s="12" t="s">
        <v>66</v>
      </c>
      <c r="J5263" s="12" t="s">
        <v>67</v>
      </c>
      <c r="K5263" s="12" t="s">
        <v>68</v>
      </c>
      <c r="L5263" s="12" t="s">
        <v>69</v>
      </c>
      <c r="M5263">
        <v>17.66</v>
      </c>
      <c r="N5263" s="12" t="s">
        <v>159</v>
      </c>
      <c r="O5263" s="12" t="s">
        <v>160</v>
      </c>
      <c r="P5263" s="12" t="s">
        <v>137</v>
      </c>
      <c r="Q5263" s="13">
        <v>45846</v>
      </c>
      <c r="R5263" s="13">
        <v>45891</v>
      </c>
      <c r="S5263">
        <v>2025</v>
      </c>
      <c r="T5263" s="12" t="s">
        <v>6319</v>
      </c>
      <c r="U5263">
        <v>91</v>
      </c>
      <c r="V5263">
        <v>784.53480000000002</v>
      </c>
      <c r="W5263">
        <v>1249.81</v>
      </c>
      <c r="X5263">
        <v>0</v>
      </c>
      <c r="Y5263">
        <v>0</v>
      </c>
      <c r="Z5263">
        <v>71392.67</v>
      </c>
      <c r="AA5263">
        <v>72642.48</v>
      </c>
      <c r="AB5263" s="12" t="s">
        <v>5915</v>
      </c>
      <c r="AC5263">
        <v>784.53480000000002</v>
      </c>
      <c r="AD5263">
        <v>1</v>
      </c>
      <c r="AE5263">
        <v>1</v>
      </c>
      <c r="AF5263">
        <v>0</v>
      </c>
      <c r="AG5263">
        <v>71392.67</v>
      </c>
      <c r="AH5263">
        <v>91</v>
      </c>
      <c r="AI5263">
        <v>91</v>
      </c>
      <c r="AJ5263">
        <v>0</v>
      </c>
      <c r="AK5263">
        <v>1</v>
      </c>
      <c r="AL5263">
        <v>1</v>
      </c>
      <c r="AM5263">
        <v>100</v>
      </c>
      <c r="AN5263">
        <v>798.26900000000001</v>
      </c>
      <c r="AO5263">
        <v>0</v>
      </c>
      <c r="AP5263" s="13">
        <v>45890</v>
      </c>
      <c r="AQ5263">
        <v>-1</v>
      </c>
      <c r="AR5263">
        <v>1</v>
      </c>
    </row>
    <row r="5264" spans="1:44" x14ac:dyDescent="0.35">
      <c r="A5264" s="12" t="s">
        <v>6359</v>
      </c>
      <c r="B5264" s="12" t="s">
        <v>498</v>
      </c>
      <c r="C5264" s="12" t="s">
        <v>499</v>
      </c>
      <c r="D5264" s="12" t="s">
        <v>175</v>
      </c>
      <c r="E5264" s="12" t="s">
        <v>104</v>
      </c>
      <c r="F5264">
        <v>3</v>
      </c>
      <c r="G5264">
        <v>1</v>
      </c>
      <c r="H5264">
        <v>0</v>
      </c>
      <c r="I5264" s="12" t="s">
        <v>233</v>
      </c>
      <c r="J5264" s="12" t="s">
        <v>234</v>
      </c>
      <c r="K5264" s="12" t="s">
        <v>125</v>
      </c>
      <c r="L5264" s="12" t="s">
        <v>96</v>
      </c>
      <c r="M5264">
        <v>3.73</v>
      </c>
      <c r="N5264" s="12" t="s">
        <v>145</v>
      </c>
      <c r="O5264" s="12" t="s">
        <v>146</v>
      </c>
      <c r="P5264" s="12" t="s">
        <v>109</v>
      </c>
      <c r="Q5264" s="13">
        <v>45846</v>
      </c>
      <c r="R5264" s="13">
        <v>45872</v>
      </c>
      <c r="S5264">
        <v>2025</v>
      </c>
      <c r="T5264" s="12" t="s">
        <v>6319</v>
      </c>
      <c r="U5264">
        <v>123</v>
      </c>
      <c r="V5264">
        <v>262.52229999999997</v>
      </c>
      <c r="W5264">
        <v>344.64</v>
      </c>
      <c r="X5264">
        <v>0</v>
      </c>
      <c r="Y5264">
        <v>0</v>
      </c>
      <c r="Z5264">
        <v>32290.240000000002</v>
      </c>
      <c r="AA5264">
        <v>32634.880000000001</v>
      </c>
      <c r="AB5264" s="12" t="s">
        <v>5729</v>
      </c>
      <c r="AC5264">
        <v>262.52229999999997</v>
      </c>
      <c r="AD5264">
        <v>1</v>
      </c>
      <c r="AE5264">
        <v>1</v>
      </c>
      <c r="AF5264">
        <v>0</v>
      </c>
      <c r="AG5264">
        <v>32290.240000000002</v>
      </c>
      <c r="AH5264">
        <v>123</v>
      </c>
      <c r="AI5264">
        <v>122</v>
      </c>
      <c r="AJ5264">
        <v>1</v>
      </c>
      <c r="AK5264">
        <v>1</v>
      </c>
      <c r="AL5264">
        <v>1</v>
      </c>
      <c r="AM5264">
        <v>99.19</v>
      </c>
      <c r="AN5264">
        <v>267.49900000000002</v>
      </c>
      <c r="AO5264">
        <v>262.52</v>
      </c>
      <c r="AP5264" s="13">
        <v>45872</v>
      </c>
      <c r="AQ5264">
        <v>0</v>
      </c>
      <c r="AR5264">
        <v>1</v>
      </c>
    </row>
    <row r="5265" spans="1:44" x14ac:dyDescent="0.35">
      <c r="A5265" s="12" t="s">
        <v>6360</v>
      </c>
      <c r="B5265" s="12" t="s">
        <v>1054</v>
      </c>
      <c r="C5265" s="12" t="s">
        <v>1055</v>
      </c>
      <c r="D5265" s="12" t="s">
        <v>122</v>
      </c>
      <c r="E5265" s="12" t="s">
        <v>65</v>
      </c>
      <c r="F5265">
        <v>1</v>
      </c>
      <c r="G5265">
        <v>2</v>
      </c>
      <c r="H5265">
        <v>1</v>
      </c>
      <c r="I5265" s="12" t="s">
        <v>176</v>
      </c>
      <c r="J5265" s="12" t="s">
        <v>177</v>
      </c>
      <c r="K5265" s="12" t="s">
        <v>125</v>
      </c>
      <c r="L5265" s="12" t="s">
        <v>134</v>
      </c>
      <c r="M5265">
        <v>1.75</v>
      </c>
      <c r="N5265" s="12" t="s">
        <v>97</v>
      </c>
      <c r="O5265" s="12" t="s">
        <v>98</v>
      </c>
      <c r="P5265" s="12" t="s">
        <v>72</v>
      </c>
      <c r="Q5265" s="13">
        <v>45847</v>
      </c>
      <c r="R5265" s="13">
        <v>45875</v>
      </c>
      <c r="S5265">
        <v>2025</v>
      </c>
      <c r="T5265" s="12" t="s">
        <v>6319</v>
      </c>
      <c r="U5265">
        <v>913</v>
      </c>
      <c r="V5265">
        <v>44.811300000000003</v>
      </c>
      <c r="W5265">
        <v>769.38</v>
      </c>
      <c r="X5265">
        <v>0</v>
      </c>
      <c r="Y5265">
        <v>0</v>
      </c>
      <c r="Z5265">
        <v>40912.720000000001</v>
      </c>
      <c r="AA5265">
        <v>41682.1</v>
      </c>
      <c r="AB5265" s="12" t="s">
        <v>5608</v>
      </c>
      <c r="AC5265">
        <v>44.811300000000003</v>
      </c>
      <c r="AD5265">
        <v>1</v>
      </c>
      <c r="AE5265">
        <v>1</v>
      </c>
      <c r="AF5265">
        <v>0</v>
      </c>
      <c r="AG5265">
        <v>40912.720000000001</v>
      </c>
      <c r="AH5265">
        <v>913</v>
      </c>
      <c r="AI5265">
        <v>906</v>
      </c>
      <c r="AJ5265">
        <v>7</v>
      </c>
      <c r="AK5265">
        <v>1</v>
      </c>
      <c r="AL5265">
        <v>1</v>
      </c>
      <c r="AM5265">
        <v>99.23</v>
      </c>
      <c r="AN5265">
        <v>46.006700000000002</v>
      </c>
      <c r="AO5265">
        <v>313.68</v>
      </c>
      <c r="AP5265" s="13">
        <v>45874</v>
      </c>
      <c r="AQ5265">
        <v>-1</v>
      </c>
      <c r="AR5265">
        <v>1</v>
      </c>
    </row>
    <row r="5266" spans="1:44" x14ac:dyDescent="0.35">
      <c r="A5266" s="12" t="s">
        <v>6361</v>
      </c>
      <c r="B5266" s="12" t="s">
        <v>555</v>
      </c>
      <c r="C5266" s="12" t="s">
        <v>556</v>
      </c>
      <c r="D5266" s="12" t="s">
        <v>114</v>
      </c>
      <c r="E5266" s="12" t="s">
        <v>142</v>
      </c>
      <c r="F5266">
        <v>1</v>
      </c>
      <c r="G5266">
        <v>6</v>
      </c>
      <c r="H5266">
        <v>1</v>
      </c>
      <c r="I5266" s="12" t="s">
        <v>151</v>
      </c>
      <c r="J5266" s="12" t="s">
        <v>152</v>
      </c>
      <c r="K5266" s="12" t="s">
        <v>125</v>
      </c>
      <c r="L5266" s="12" t="s">
        <v>69</v>
      </c>
      <c r="M5266">
        <v>36.479999999999997</v>
      </c>
      <c r="N5266" s="12" t="s">
        <v>97</v>
      </c>
      <c r="O5266" s="12" t="s">
        <v>98</v>
      </c>
      <c r="P5266" s="12" t="s">
        <v>72</v>
      </c>
      <c r="Q5266" s="13">
        <v>45847</v>
      </c>
      <c r="R5266" s="13">
        <v>45896</v>
      </c>
      <c r="S5266">
        <v>2025</v>
      </c>
      <c r="T5266" s="12" t="s">
        <v>6319</v>
      </c>
      <c r="U5266">
        <v>126</v>
      </c>
      <c r="V5266">
        <v>266.68439999999998</v>
      </c>
      <c r="W5266">
        <v>765.22</v>
      </c>
      <c r="X5266">
        <v>0</v>
      </c>
      <c r="Y5266">
        <v>0</v>
      </c>
      <c r="Z5266">
        <v>33602.230000000003</v>
      </c>
      <c r="AA5266">
        <v>34367.449999999997</v>
      </c>
      <c r="AB5266" s="12" t="s">
        <v>6121</v>
      </c>
      <c r="AC5266">
        <v>266.68439999999998</v>
      </c>
      <c r="AD5266">
        <v>1</v>
      </c>
      <c r="AE5266">
        <v>1</v>
      </c>
      <c r="AF5266">
        <v>0</v>
      </c>
      <c r="AG5266">
        <v>33602.230000000003</v>
      </c>
      <c r="AH5266">
        <v>126</v>
      </c>
      <c r="AI5266">
        <v>124</v>
      </c>
      <c r="AJ5266">
        <v>2</v>
      </c>
      <c r="AK5266">
        <v>1</v>
      </c>
      <c r="AL5266">
        <v>1</v>
      </c>
      <c r="AM5266">
        <v>98.41</v>
      </c>
      <c r="AN5266">
        <v>277.15690000000001</v>
      </c>
      <c r="AO5266">
        <v>533.37</v>
      </c>
      <c r="AP5266" s="13">
        <v>45894</v>
      </c>
      <c r="AQ5266">
        <v>-2</v>
      </c>
      <c r="AR5266">
        <v>1</v>
      </c>
    </row>
    <row r="5267" spans="1:44" x14ac:dyDescent="0.35">
      <c r="A5267" s="12" t="s">
        <v>6362</v>
      </c>
      <c r="B5267" s="12" t="s">
        <v>990</v>
      </c>
      <c r="C5267" s="12" t="s">
        <v>991</v>
      </c>
      <c r="D5267" s="12" t="s">
        <v>122</v>
      </c>
      <c r="E5267" s="12" t="s">
        <v>142</v>
      </c>
      <c r="F5267">
        <v>1</v>
      </c>
      <c r="G5267">
        <v>6</v>
      </c>
      <c r="H5267">
        <v>1</v>
      </c>
      <c r="I5267" s="12" t="s">
        <v>217</v>
      </c>
      <c r="J5267" s="12" t="s">
        <v>218</v>
      </c>
      <c r="K5267" s="12" t="s">
        <v>68</v>
      </c>
      <c r="L5267" s="12" t="s">
        <v>82</v>
      </c>
      <c r="M5267">
        <v>14.24</v>
      </c>
      <c r="N5267" s="12" t="s">
        <v>70</v>
      </c>
      <c r="O5267" s="12" t="s">
        <v>71</v>
      </c>
      <c r="P5267" s="12" t="s">
        <v>72</v>
      </c>
      <c r="Q5267" s="13">
        <v>45847</v>
      </c>
      <c r="R5267" s="13">
        <v>45894</v>
      </c>
      <c r="S5267">
        <v>2025</v>
      </c>
      <c r="T5267" s="12" t="s">
        <v>6319</v>
      </c>
      <c r="U5267">
        <v>1450</v>
      </c>
      <c r="V5267">
        <v>33.5533</v>
      </c>
      <c r="W5267">
        <v>1093.8</v>
      </c>
      <c r="X5267">
        <v>0</v>
      </c>
      <c r="Y5267">
        <v>0</v>
      </c>
      <c r="Z5267">
        <v>48652.29</v>
      </c>
      <c r="AA5267">
        <v>49746.09</v>
      </c>
      <c r="AB5267" s="12" t="s">
        <v>5831</v>
      </c>
      <c r="AC5267">
        <v>33.5533</v>
      </c>
      <c r="AD5267">
        <v>1</v>
      </c>
      <c r="AE5267">
        <v>1</v>
      </c>
      <c r="AF5267">
        <v>0</v>
      </c>
      <c r="AG5267">
        <v>48652.29</v>
      </c>
      <c r="AH5267">
        <v>1450</v>
      </c>
      <c r="AI5267">
        <v>1437</v>
      </c>
      <c r="AJ5267">
        <v>13</v>
      </c>
      <c r="AK5267">
        <v>1</v>
      </c>
      <c r="AL5267">
        <v>1</v>
      </c>
      <c r="AM5267">
        <v>99.1</v>
      </c>
      <c r="AN5267">
        <v>34.618000000000002</v>
      </c>
      <c r="AO5267">
        <v>436.19</v>
      </c>
      <c r="AP5267" s="13">
        <v>45894</v>
      </c>
      <c r="AQ5267">
        <v>0</v>
      </c>
      <c r="AR5267">
        <v>1</v>
      </c>
    </row>
    <row r="5268" spans="1:44" x14ac:dyDescent="0.35">
      <c r="A5268" s="12" t="s">
        <v>6363</v>
      </c>
      <c r="B5268" s="12" t="s">
        <v>454</v>
      </c>
      <c r="C5268" s="12" t="s">
        <v>455</v>
      </c>
      <c r="D5268" s="12" t="s">
        <v>122</v>
      </c>
      <c r="E5268" s="12" t="s">
        <v>104</v>
      </c>
      <c r="F5268">
        <v>3</v>
      </c>
      <c r="G5268">
        <v>1</v>
      </c>
      <c r="H5268">
        <v>0</v>
      </c>
      <c r="I5268" s="12" t="s">
        <v>243</v>
      </c>
      <c r="J5268" s="12" t="s">
        <v>244</v>
      </c>
      <c r="K5268" s="12" t="s">
        <v>81</v>
      </c>
      <c r="L5268" s="12" t="s">
        <v>82</v>
      </c>
      <c r="M5268">
        <v>9.2200000000000006</v>
      </c>
      <c r="N5268" s="12" t="s">
        <v>97</v>
      </c>
      <c r="O5268" s="12" t="s">
        <v>98</v>
      </c>
      <c r="P5268" s="12" t="s">
        <v>72</v>
      </c>
      <c r="Q5268" s="13">
        <v>45847</v>
      </c>
      <c r="R5268" s="13">
        <v>45870</v>
      </c>
      <c r="S5268">
        <v>2025</v>
      </c>
      <c r="T5268" s="12" t="s">
        <v>6319</v>
      </c>
      <c r="U5268">
        <v>1301</v>
      </c>
      <c r="V5268">
        <v>20.7331</v>
      </c>
      <c r="W5268">
        <v>619.82000000000005</v>
      </c>
      <c r="X5268">
        <v>0</v>
      </c>
      <c r="Y5268">
        <v>0</v>
      </c>
      <c r="Z5268">
        <v>26973.759999999998</v>
      </c>
      <c r="AA5268">
        <v>27593.58</v>
      </c>
      <c r="AB5268" s="12" t="s">
        <v>201</v>
      </c>
      <c r="AD5268">
        <v>0</v>
      </c>
      <c r="AE5268">
        <v>0</v>
      </c>
      <c r="AH5268">
        <v>1301</v>
      </c>
      <c r="AI5268">
        <v>1292</v>
      </c>
      <c r="AJ5268">
        <v>9</v>
      </c>
      <c r="AK5268">
        <v>1</v>
      </c>
      <c r="AL5268">
        <v>1</v>
      </c>
      <c r="AM5268">
        <v>99.31</v>
      </c>
      <c r="AN5268">
        <v>21.357299999999999</v>
      </c>
      <c r="AO5268">
        <v>186.6</v>
      </c>
      <c r="AP5268" s="13">
        <v>45870</v>
      </c>
      <c r="AQ5268">
        <v>0</v>
      </c>
      <c r="AR5268">
        <v>1</v>
      </c>
    </row>
    <row r="5269" spans="1:44" x14ac:dyDescent="0.35">
      <c r="A5269" s="12" t="s">
        <v>6364</v>
      </c>
      <c r="B5269" s="12" t="s">
        <v>231</v>
      </c>
      <c r="C5269" s="12" t="s">
        <v>232</v>
      </c>
      <c r="D5269" s="12" t="s">
        <v>130</v>
      </c>
      <c r="E5269" s="12" t="s">
        <v>65</v>
      </c>
      <c r="F5269">
        <v>1</v>
      </c>
      <c r="G5269">
        <v>2</v>
      </c>
      <c r="H5269">
        <v>1</v>
      </c>
      <c r="I5269" s="12" t="s">
        <v>233</v>
      </c>
      <c r="J5269" s="12" t="s">
        <v>234</v>
      </c>
      <c r="K5269" s="12" t="s">
        <v>125</v>
      </c>
      <c r="L5269" s="12" t="s">
        <v>96</v>
      </c>
      <c r="M5269">
        <v>3.73</v>
      </c>
      <c r="N5269" s="12" t="s">
        <v>135</v>
      </c>
      <c r="O5269" s="12" t="s">
        <v>136</v>
      </c>
      <c r="P5269" s="12" t="s">
        <v>137</v>
      </c>
      <c r="Q5269" s="13">
        <v>45847</v>
      </c>
      <c r="R5269" s="13">
        <v>45881</v>
      </c>
      <c r="S5269">
        <v>2025</v>
      </c>
      <c r="T5269" s="12" t="s">
        <v>6319</v>
      </c>
      <c r="U5269">
        <v>117</v>
      </c>
      <c r="V5269">
        <v>459.57139999999998</v>
      </c>
      <c r="W5269">
        <v>1329.99</v>
      </c>
      <c r="X5269">
        <v>0</v>
      </c>
      <c r="Y5269">
        <v>0</v>
      </c>
      <c r="Z5269">
        <v>53769.85</v>
      </c>
      <c r="AA5269">
        <v>55099.839999999997</v>
      </c>
      <c r="AB5269" s="12" t="s">
        <v>201</v>
      </c>
      <c r="AD5269">
        <v>0</v>
      </c>
      <c r="AE5269">
        <v>0</v>
      </c>
      <c r="AH5269">
        <v>117</v>
      </c>
      <c r="AI5269">
        <v>116</v>
      </c>
      <c r="AJ5269">
        <v>1</v>
      </c>
      <c r="AK5269">
        <v>1</v>
      </c>
      <c r="AL5269">
        <v>1</v>
      </c>
      <c r="AM5269">
        <v>99.15</v>
      </c>
      <c r="AN5269">
        <v>474.99869999999999</v>
      </c>
      <c r="AO5269">
        <v>459.57</v>
      </c>
      <c r="AP5269" s="13">
        <v>45881</v>
      </c>
      <c r="AQ5269">
        <v>0</v>
      </c>
      <c r="AR5269">
        <v>1</v>
      </c>
    </row>
    <row r="5270" spans="1:44" x14ac:dyDescent="0.35">
      <c r="A5270" s="12" t="s">
        <v>6365</v>
      </c>
      <c r="B5270" s="12" t="s">
        <v>957</v>
      </c>
      <c r="C5270" s="12" t="s">
        <v>958</v>
      </c>
      <c r="D5270" s="12" t="s">
        <v>103</v>
      </c>
      <c r="E5270" s="12" t="s">
        <v>142</v>
      </c>
      <c r="F5270">
        <v>1</v>
      </c>
      <c r="G5270">
        <v>7</v>
      </c>
      <c r="H5270">
        <v>1</v>
      </c>
      <c r="I5270" s="12" t="s">
        <v>183</v>
      </c>
      <c r="J5270" s="12" t="s">
        <v>184</v>
      </c>
      <c r="K5270" s="12" t="s">
        <v>133</v>
      </c>
      <c r="L5270" s="12" t="s">
        <v>82</v>
      </c>
      <c r="M5270">
        <v>8.6199999999999992</v>
      </c>
      <c r="N5270" s="12" t="s">
        <v>145</v>
      </c>
      <c r="O5270" s="12" t="s">
        <v>146</v>
      </c>
      <c r="P5270" s="12" t="s">
        <v>109</v>
      </c>
      <c r="Q5270" s="13">
        <v>45847</v>
      </c>
      <c r="R5270" s="13">
        <v>45897</v>
      </c>
      <c r="S5270">
        <v>2025</v>
      </c>
      <c r="T5270" s="12" t="s">
        <v>6319</v>
      </c>
      <c r="U5270">
        <v>131</v>
      </c>
      <c r="V5270">
        <v>188.30439999999999</v>
      </c>
      <c r="W5270">
        <v>434.07</v>
      </c>
      <c r="X5270">
        <v>0</v>
      </c>
      <c r="Y5270">
        <v>0</v>
      </c>
      <c r="Z5270">
        <v>24667.88</v>
      </c>
      <c r="AA5270">
        <v>25101.95</v>
      </c>
      <c r="AB5270" s="12" t="s">
        <v>5622</v>
      </c>
      <c r="AC5270">
        <v>188.30439999999999</v>
      </c>
      <c r="AD5270">
        <v>1</v>
      </c>
      <c r="AE5270">
        <v>1</v>
      </c>
      <c r="AF5270">
        <v>0</v>
      </c>
      <c r="AG5270">
        <v>24667.88</v>
      </c>
      <c r="AH5270">
        <v>131</v>
      </c>
      <c r="AI5270">
        <v>129</v>
      </c>
      <c r="AJ5270">
        <v>2</v>
      </c>
      <c r="AK5270">
        <v>1</v>
      </c>
      <c r="AL5270">
        <v>1</v>
      </c>
      <c r="AM5270">
        <v>98.47</v>
      </c>
      <c r="AN5270">
        <v>194.58869999999999</v>
      </c>
      <c r="AO5270">
        <v>376.61</v>
      </c>
      <c r="AP5270" s="13">
        <v>45895</v>
      </c>
      <c r="AQ5270">
        <v>-2</v>
      </c>
      <c r="AR5270">
        <v>1</v>
      </c>
    </row>
    <row r="5271" spans="1:44" x14ac:dyDescent="0.35">
      <c r="A5271" s="12" t="s">
        <v>6366</v>
      </c>
      <c r="B5271" s="12" t="s">
        <v>674</v>
      </c>
      <c r="C5271" s="12" t="s">
        <v>675</v>
      </c>
      <c r="D5271" s="12" t="s">
        <v>269</v>
      </c>
      <c r="E5271" s="12" t="s">
        <v>142</v>
      </c>
      <c r="F5271">
        <v>1</v>
      </c>
      <c r="G5271">
        <v>7</v>
      </c>
      <c r="H5271">
        <v>1</v>
      </c>
      <c r="I5271" s="12" t="s">
        <v>676</v>
      </c>
      <c r="J5271" s="12" t="s">
        <v>677</v>
      </c>
      <c r="K5271" s="12" t="s">
        <v>68</v>
      </c>
      <c r="L5271" s="12" t="s">
        <v>96</v>
      </c>
      <c r="M5271">
        <v>3.57</v>
      </c>
      <c r="N5271" s="12" t="s">
        <v>159</v>
      </c>
      <c r="O5271" s="12" t="s">
        <v>160</v>
      </c>
      <c r="P5271" s="12" t="s">
        <v>137</v>
      </c>
      <c r="Q5271" s="13">
        <v>45848</v>
      </c>
      <c r="R5271" s="13">
        <v>45886</v>
      </c>
      <c r="S5271">
        <v>2025</v>
      </c>
      <c r="T5271" s="12" t="s">
        <v>6319</v>
      </c>
      <c r="U5271">
        <v>36</v>
      </c>
      <c r="V5271">
        <v>375.05430000000001</v>
      </c>
      <c r="W5271">
        <v>228.66</v>
      </c>
      <c r="X5271">
        <v>0</v>
      </c>
      <c r="Y5271">
        <v>0</v>
      </c>
      <c r="Z5271">
        <v>13501.95</v>
      </c>
      <c r="AA5271">
        <v>13730.61</v>
      </c>
      <c r="AB5271" s="12" t="s">
        <v>201</v>
      </c>
      <c r="AD5271">
        <v>0</v>
      </c>
      <c r="AE5271">
        <v>0</v>
      </c>
      <c r="AH5271">
        <v>36</v>
      </c>
      <c r="AI5271">
        <v>35</v>
      </c>
      <c r="AJ5271">
        <v>1</v>
      </c>
      <c r="AK5271">
        <v>1</v>
      </c>
      <c r="AL5271">
        <v>1</v>
      </c>
      <c r="AM5271">
        <v>97.22</v>
      </c>
      <c r="AN5271">
        <v>392.30329999999998</v>
      </c>
      <c r="AO5271">
        <v>375.05</v>
      </c>
      <c r="AP5271" s="13">
        <v>45887</v>
      </c>
      <c r="AQ5271">
        <v>1</v>
      </c>
      <c r="AR5271">
        <v>0</v>
      </c>
    </row>
    <row r="5272" spans="1:44" x14ac:dyDescent="0.35">
      <c r="A5272" s="12" t="s">
        <v>6367</v>
      </c>
      <c r="B5272" s="12" t="s">
        <v>404</v>
      </c>
      <c r="C5272" s="12" t="s">
        <v>405</v>
      </c>
      <c r="D5272" s="12" t="s">
        <v>269</v>
      </c>
      <c r="E5272" s="12" t="s">
        <v>65</v>
      </c>
      <c r="F5272">
        <v>3</v>
      </c>
      <c r="G5272">
        <v>5</v>
      </c>
      <c r="H5272">
        <v>0</v>
      </c>
      <c r="I5272" s="12" t="s">
        <v>79</v>
      </c>
      <c r="J5272" s="12" t="s">
        <v>80</v>
      </c>
      <c r="K5272" s="12" t="s">
        <v>81</v>
      </c>
      <c r="L5272" s="12" t="s">
        <v>82</v>
      </c>
      <c r="M5272">
        <v>12.07</v>
      </c>
      <c r="N5272" s="12" t="s">
        <v>159</v>
      </c>
      <c r="O5272" s="12" t="s">
        <v>160</v>
      </c>
      <c r="P5272" s="12" t="s">
        <v>137</v>
      </c>
      <c r="Q5272" s="13">
        <v>45848</v>
      </c>
      <c r="R5272" s="13">
        <v>45884</v>
      </c>
      <c r="S5272">
        <v>2025</v>
      </c>
      <c r="T5272" s="12" t="s">
        <v>6319</v>
      </c>
      <c r="U5272">
        <v>132</v>
      </c>
      <c r="V5272">
        <v>430.10059999999999</v>
      </c>
      <c r="W5272">
        <v>1295.1099999999999</v>
      </c>
      <c r="X5272">
        <v>1927.64</v>
      </c>
      <c r="Y5272">
        <v>1</v>
      </c>
      <c r="Z5272">
        <v>56773.279999999999</v>
      </c>
      <c r="AA5272">
        <v>59996.03</v>
      </c>
      <c r="AB5272" s="12" t="s">
        <v>5503</v>
      </c>
      <c r="AC5272">
        <v>430.10059999999999</v>
      </c>
      <c r="AD5272">
        <v>1</v>
      </c>
      <c r="AE5272">
        <v>1</v>
      </c>
      <c r="AF5272">
        <v>0</v>
      </c>
      <c r="AG5272">
        <v>56773.279999999999</v>
      </c>
      <c r="AH5272">
        <v>132</v>
      </c>
      <c r="AI5272">
        <v>131</v>
      </c>
      <c r="AJ5272">
        <v>1</v>
      </c>
      <c r="AK5272">
        <v>1</v>
      </c>
      <c r="AL5272">
        <v>1</v>
      </c>
      <c r="AM5272">
        <v>99.24</v>
      </c>
      <c r="AN5272">
        <v>457.98500000000001</v>
      </c>
      <c r="AO5272">
        <v>430.1</v>
      </c>
      <c r="AP5272" s="13">
        <v>45883</v>
      </c>
      <c r="AQ5272">
        <v>-1</v>
      </c>
      <c r="AR5272">
        <v>1</v>
      </c>
    </row>
    <row r="5273" spans="1:44" x14ac:dyDescent="0.35">
      <c r="A5273" s="12" t="s">
        <v>6368</v>
      </c>
      <c r="B5273" s="12" t="s">
        <v>843</v>
      </c>
      <c r="C5273" s="12" t="s">
        <v>844</v>
      </c>
      <c r="D5273" s="12" t="s">
        <v>175</v>
      </c>
      <c r="E5273" s="12" t="s">
        <v>65</v>
      </c>
      <c r="F5273">
        <v>3</v>
      </c>
      <c r="G5273">
        <v>5</v>
      </c>
      <c r="H5273">
        <v>0</v>
      </c>
      <c r="I5273" s="12" t="s">
        <v>359</v>
      </c>
      <c r="J5273" s="12" t="s">
        <v>360</v>
      </c>
      <c r="K5273" s="12" t="s">
        <v>133</v>
      </c>
      <c r="L5273" s="12" t="s">
        <v>82</v>
      </c>
      <c r="M5273">
        <v>12.65</v>
      </c>
      <c r="N5273" s="12" t="s">
        <v>107</v>
      </c>
      <c r="O5273" s="12" t="s">
        <v>108</v>
      </c>
      <c r="P5273" s="12" t="s">
        <v>109</v>
      </c>
      <c r="Q5273" s="13">
        <v>45848</v>
      </c>
      <c r="R5273" s="13">
        <v>45874</v>
      </c>
      <c r="S5273">
        <v>2025</v>
      </c>
      <c r="T5273" s="12" t="s">
        <v>6319</v>
      </c>
      <c r="U5273">
        <v>55</v>
      </c>
      <c r="V5273">
        <v>237.4212</v>
      </c>
      <c r="W5273">
        <v>154.53</v>
      </c>
      <c r="X5273">
        <v>0</v>
      </c>
      <c r="Y5273">
        <v>0</v>
      </c>
      <c r="Z5273">
        <v>13058.17</v>
      </c>
      <c r="AA5273">
        <v>13212.7</v>
      </c>
      <c r="AB5273" s="12" t="s">
        <v>6075</v>
      </c>
      <c r="AC5273">
        <v>237.4212</v>
      </c>
      <c r="AD5273">
        <v>1</v>
      </c>
      <c r="AE5273">
        <v>1</v>
      </c>
      <c r="AF5273">
        <v>0</v>
      </c>
      <c r="AG5273">
        <v>13058.17</v>
      </c>
      <c r="AH5273">
        <v>55</v>
      </c>
      <c r="AI5273">
        <v>55</v>
      </c>
      <c r="AJ5273">
        <v>0</v>
      </c>
      <c r="AK5273">
        <v>1</v>
      </c>
      <c r="AL5273">
        <v>1</v>
      </c>
      <c r="AM5273">
        <v>100</v>
      </c>
      <c r="AN5273">
        <v>240.23079999999999</v>
      </c>
      <c r="AO5273">
        <v>0</v>
      </c>
      <c r="AP5273" s="13">
        <v>45871</v>
      </c>
      <c r="AQ5273">
        <v>-3</v>
      </c>
      <c r="AR5273">
        <v>1</v>
      </c>
    </row>
    <row r="5274" spans="1:44" x14ac:dyDescent="0.35">
      <c r="A5274" s="12" t="s">
        <v>6369</v>
      </c>
      <c r="B5274" s="12" t="s">
        <v>513</v>
      </c>
      <c r="C5274" s="12" t="s">
        <v>514</v>
      </c>
      <c r="D5274" s="12" t="s">
        <v>269</v>
      </c>
      <c r="E5274" s="12" t="s">
        <v>65</v>
      </c>
      <c r="F5274">
        <v>1</v>
      </c>
      <c r="G5274">
        <v>2</v>
      </c>
      <c r="H5274">
        <v>1</v>
      </c>
      <c r="I5274" s="12" t="s">
        <v>515</v>
      </c>
      <c r="J5274" s="12" t="s">
        <v>516</v>
      </c>
      <c r="K5274" s="12" t="s">
        <v>68</v>
      </c>
      <c r="L5274" s="12" t="s">
        <v>134</v>
      </c>
      <c r="M5274">
        <v>3.69</v>
      </c>
      <c r="N5274" s="12" t="s">
        <v>159</v>
      </c>
      <c r="O5274" s="12" t="s">
        <v>160</v>
      </c>
      <c r="P5274" s="12" t="s">
        <v>137</v>
      </c>
      <c r="Q5274" s="13">
        <v>45848</v>
      </c>
      <c r="R5274" s="13">
        <v>45873</v>
      </c>
      <c r="S5274">
        <v>2025</v>
      </c>
      <c r="T5274" s="12" t="s">
        <v>6319</v>
      </c>
      <c r="U5274">
        <v>46</v>
      </c>
      <c r="V5274">
        <v>209.63659999999999</v>
      </c>
      <c r="W5274">
        <v>199.45</v>
      </c>
      <c r="X5274">
        <v>0</v>
      </c>
      <c r="Y5274">
        <v>0</v>
      </c>
      <c r="Z5274">
        <v>9643.2800000000007</v>
      </c>
      <c r="AA5274">
        <v>9842.73</v>
      </c>
      <c r="AB5274" s="12" t="s">
        <v>201</v>
      </c>
      <c r="AD5274">
        <v>0</v>
      </c>
      <c r="AE5274">
        <v>0</v>
      </c>
      <c r="AH5274">
        <v>46</v>
      </c>
      <c r="AI5274">
        <v>45</v>
      </c>
      <c r="AJ5274">
        <v>1</v>
      </c>
      <c r="AK5274">
        <v>1</v>
      </c>
      <c r="AL5274">
        <v>1</v>
      </c>
      <c r="AM5274">
        <v>97.83</v>
      </c>
      <c r="AN5274">
        <v>218.72739999999999</v>
      </c>
      <c r="AO5274">
        <v>209.64</v>
      </c>
      <c r="AP5274" s="13">
        <v>45871</v>
      </c>
      <c r="AQ5274">
        <v>-2</v>
      </c>
      <c r="AR5274">
        <v>1</v>
      </c>
    </row>
    <row r="5275" spans="1:44" x14ac:dyDescent="0.35">
      <c r="A5275" s="12" t="s">
        <v>6370</v>
      </c>
      <c r="B5275" s="12" t="s">
        <v>399</v>
      </c>
      <c r="C5275" s="12" t="s">
        <v>400</v>
      </c>
      <c r="D5275" s="12" t="s">
        <v>114</v>
      </c>
      <c r="E5275" s="12" t="s">
        <v>65</v>
      </c>
      <c r="F5275">
        <v>1</v>
      </c>
      <c r="G5275">
        <v>2</v>
      </c>
      <c r="H5275">
        <v>1</v>
      </c>
      <c r="I5275" s="12" t="s">
        <v>151</v>
      </c>
      <c r="J5275" s="12" t="s">
        <v>152</v>
      </c>
      <c r="K5275" s="12" t="s">
        <v>125</v>
      </c>
      <c r="L5275" s="12" t="s">
        <v>69</v>
      </c>
      <c r="M5275">
        <v>36.479999999999997</v>
      </c>
      <c r="N5275" s="12" t="s">
        <v>97</v>
      </c>
      <c r="O5275" s="12" t="s">
        <v>98</v>
      </c>
      <c r="P5275" s="12" t="s">
        <v>72</v>
      </c>
      <c r="Q5275" s="13">
        <v>45848</v>
      </c>
      <c r="R5275" s="13">
        <v>45883</v>
      </c>
      <c r="S5275">
        <v>2025</v>
      </c>
      <c r="T5275" s="12" t="s">
        <v>6319</v>
      </c>
      <c r="U5275">
        <v>122</v>
      </c>
      <c r="V5275">
        <v>317.7704</v>
      </c>
      <c r="W5275">
        <v>752.88</v>
      </c>
      <c r="X5275">
        <v>0</v>
      </c>
      <c r="Y5275">
        <v>0</v>
      </c>
      <c r="Z5275">
        <v>38767.99</v>
      </c>
      <c r="AA5275">
        <v>39520.870000000003</v>
      </c>
      <c r="AB5275" s="12" t="s">
        <v>201</v>
      </c>
      <c r="AD5275">
        <v>0</v>
      </c>
      <c r="AE5275">
        <v>0</v>
      </c>
      <c r="AH5275">
        <v>122</v>
      </c>
      <c r="AI5275">
        <v>120</v>
      </c>
      <c r="AJ5275">
        <v>2</v>
      </c>
      <c r="AK5275">
        <v>1</v>
      </c>
      <c r="AL5275">
        <v>1</v>
      </c>
      <c r="AM5275">
        <v>98.36</v>
      </c>
      <c r="AN5275">
        <v>329.34059999999999</v>
      </c>
      <c r="AO5275">
        <v>635.54</v>
      </c>
      <c r="AP5275" s="13">
        <v>45882</v>
      </c>
      <c r="AQ5275">
        <v>-1</v>
      </c>
      <c r="AR5275">
        <v>1</v>
      </c>
    </row>
    <row r="5276" spans="1:44" x14ac:dyDescent="0.35">
      <c r="A5276" s="12" t="s">
        <v>6371</v>
      </c>
      <c r="B5276" s="12" t="s">
        <v>442</v>
      </c>
      <c r="C5276" s="12" t="s">
        <v>443</v>
      </c>
      <c r="D5276" s="12" t="s">
        <v>130</v>
      </c>
      <c r="E5276" s="12" t="s">
        <v>65</v>
      </c>
      <c r="F5276">
        <v>3</v>
      </c>
      <c r="G5276">
        <v>4</v>
      </c>
      <c r="H5276">
        <v>0</v>
      </c>
      <c r="I5276" s="12" t="s">
        <v>115</v>
      </c>
      <c r="J5276" s="12" t="s">
        <v>116</v>
      </c>
      <c r="K5276" s="12" t="s">
        <v>117</v>
      </c>
      <c r="L5276" s="12" t="s">
        <v>82</v>
      </c>
      <c r="M5276">
        <v>17.170000000000002</v>
      </c>
      <c r="N5276" s="12" t="s">
        <v>159</v>
      </c>
      <c r="O5276" s="12" t="s">
        <v>160</v>
      </c>
      <c r="P5276" s="12" t="s">
        <v>137</v>
      </c>
      <c r="Q5276" s="13">
        <v>45848</v>
      </c>
      <c r="R5276" s="13">
        <v>45876</v>
      </c>
      <c r="S5276">
        <v>2025</v>
      </c>
      <c r="T5276" s="12" t="s">
        <v>6319</v>
      </c>
      <c r="U5276">
        <v>68</v>
      </c>
      <c r="V5276">
        <v>568.07240000000002</v>
      </c>
      <c r="W5276">
        <v>457.71</v>
      </c>
      <c r="X5276">
        <v>0</v>
      </c>
      <c r="Y5276">
        <v>0</v>
      </c>
      <c r="Z5276">
        <v>38628.92</v>
      </c>
      <c r="AA5276">
        <v>39086.629999999997</v>
      </c>
      <c r="AB5276" s="12" t="s">
        <v>5800</v>
      </c>
      <c r="AC5276">
        <v>568.07240000000002</v>
      </c>
      <c r="AD5276">
        <v>1</v>
      </c>
      <c r="AE5276">
        <v>1</v>
      </c>
      <c r="AF5276">
        <v>0</v>
      </c>
      <c r="AG5276">
        <v>38628.92</v>
      </c>
      <c r="AH5276">
        <v>68</v>
      </c>
      <c r="AI5276">
        <v>67</v>
      </c>
      <c r="AJ5276">
        <v>1</v>
      </c>
      <c r="AK5276">
        <v>1</v>
      </c>
      <c r="AL5276">
        <v>1</v>
      </c>
      <c r="AM5276">
        <v>98.53</v>
      </c>
      <c r="AN5276">
        <v>583.38260000000002</v>
      </c>
      <c r="AO5276">
        <v>568.07000000000005</v>
      </c>
      <c r="AP5276" s="13">
        <v>45874</v>
      </c>
      <c r="AQ5276">
        <v>-2</v>
      </c>
      <c r="AR5276">
        <v>1</v>
      </c>
    </row>
    <row r="5277" spans="1:44" x14ac:dyDescent="0.35">
      <c r="A5277" s="12" t="s">
        <v>6372</v>
      </c>
      <c r="B5277" s="12" t="s">
        <v>173</v>
      </c>
      <c r="C5277" s="12" t="s">
        <v>174</v>
      </c>
      <c r="D5277" s="12" t="s">
        <v>175</v>
      </c>
      <c r="E5277" s="12" t="s">
        <v>104</v>
      </c>
      <c r="F5277">
        <v>3</v>
      </c>
      <c r="G5277">
        <v>1</v>
      </c>
      <c r="H5277">
        <v>0</v>
      </c>
      <c r="I5277" s="12" t="s">
        <v>176</v>
      </c>
      <c r="J5277" s="12" t="s">
        <v>177</v>
      </c>
      <c r="K5277" s="12" t="s">
        <v>125</v>
      </c>
      <c r="L5277" s="12" t="s">
        <v>134</v>
      </c>
      <c r="M5277">
        <v>1.75</v>
      </c>
      <c r="N5277" s="12" t="s">
        <v>145</v>
      </c>
      <c r="O5277" s="12" t="s">
        <v>146</v>
      </c>
      <c r="P5277" s="12" t="s">
        <v>109</v>
      </c>
      <c r="Q5277" s="13">
        <v>45848</v>
      </c>
      <c r="R5277" s="13">
        <v>45872</v>
      </c>
      <c r="S5277">
        <v>2025</v>
      </c>
      <c r="T5277" s="12" t="s">
        <v>6319</v>
      </c>
      <c r="U5277">
        <v>106</v>
      </c>
      <c r="V5277">
        <v>73.503200000000007</v>
      </c>
      <c r="W5277">
        <v>118.65</v>
      </c>
      <c r="X5277">
        <v>0</v>
      </c>
      <c r="Y5277">
        <v>0</v>
      </c>
      <c r="Z5277">
        <v>7791.34</v>
      </c>
      <c r="AA5277">
        <v>7909.99</v>
      </c>
      <c r="AB5277" s="12" t="s">
        <v>5221</v>
      </c>
      <c r="AC5277">
        <v>71.519599999999997</v>
      </c>
      <c r="AD5277">
        <v>1</v>
      </c>
      <c r="AE5277">
        <v>1</v>
      </c>
      <c r="AF5277">
        <v>210.26</v>
      </c>
      <c r="AG5277">
        <v>7581.08</v>
      </c>
      <c r="AH5277">
        <v>106</v>
      </c>
      <c r="AI5277">
        <v>105</v>
      </c>
      <c r="AJ5277">
        <v>1</v>
      </c>
      <c r="AK5277">
        <v>1</v>
      </c>
      <c r="AL5277">
        <v>1</v>
      </c>
      <c r="AM5277">
        <v>99.06</v>
      </c>
      <c r="AN5277">
        <v>75.333200000000005</v>
      </c>
      <c r="AO5277">
        <v>73.5</v>
      </c>
      <c r="AP5277" s="13">
        <v>45871</v>
      </c>
      <c r="AQ5277">
        <v>-1</v>
      </c>
      <c r="AR5277">
        <v>1</v>
      </c>
    </row>
    <row r="5278" spans="1:44" x14ac:dyDescent="0.35">
      <c r="A5278" s="12" t="s">
        <v>6373</v>
      </c>
      <c r="B5278" s="12" t="s">
        <v>193</v>
      </c>
      <c r="C5278" s="12" t="s">
        <v>194</v>
      </c>
      <c r="D5278" s="12" t="s">
        <v>114</v>
      </c>
      <c r="E5278" s="12" t="s">
        <v>65</v>
      </c>
      <c r="F5278">
        <v>3</v>
      </c>
      <c r="G5278">
        <v>4</v>
      </c>
      <c r="H5278">
        <v>0</v>
      </c>
      <c r="I5278" s="12" t="s">
        <v>143</v>
      </c>
      <c r="J5278" s="12" t="s">
        <v>144</v>
      </c>
      <c r="K5278" s="12" t="s">
        <v>133</v>
      </c>
      <c r="L5278" s="12" t="s">
        <v>96</v>
      </c>
      <c r="M5278">
        <v>5.43</v>
      </c>
      <c r="N5278" s="12" t="s">
        <v>97</v>
      </c>
      <c r="O5278" s="12" t="s">
        <v>98</v>
      </c>
      <c r="P5278" s="12" t="s">
        <v>72</v>
      </c>
      <c r="Q5278" s="13">
        <v>45848</v>
      </c>
      <c r="R5278" s="13">
        <v>45869</v>
      </c>
      <c r="S5278">
        <v>2025</v>
      </c>
      <c r="T5278" s="12" t="s">
        <v>6319</v>
      </c>
      <c r="U5278">
        <v>16</v>
      </c>
      <c r="V5278">
        <v>104.46510000000001</v>
      </c>
      <c r="W5278">
        <v>37.99</v>
      </c>
      <c r="X5278">
        <v>0</v>
      </c>
      <c r="Y5278">
        <v>0</v>
      </c>
      <c r="Z5278">
        <v>1671.44</v>
      </c>
      <c r="AA5278">
        <v>1709.43</v>
      </c>
      <c r="AB5278" s="12" t="s">
        <v>6191</v>
      </c>
      <c r="AC5278">
        <v>104.46510000000001</v>
      </c>
      <c r="AD5278">
        <v>1</v>
      </c>
      <c r="AE5278">
        <v>1</v>
      </c>
      <c r="AF5278">
        <v>0</v>
      </c>
      <c r="AG5278">
        <v>1671.44</v>
      </c>
      <c r="AH5278">
        <v>16</v>
      </c>
      <c r="AI5278">
        <v>16</v>
      </c>
      <c r="AJ5278">
        <v>0</v>
      </c>
      <c r="AK5278">
        <v>1</v>
      </c>
      <c r="AL5278">
        <v>1</v>
      </c>
      <c r="AM5278">
        <v>100</v>
      </c>
      <c r="AN5278">
        <v>106.8395</v>
      </c>
      <c r="AO5278">
        <v>0</v>
      </c>
      <c r="AP5278" s="13">
        <v>45869</v>
      </c>
      <c r="AQ5278">
        <v>0</v>
      </c>
      <c r="AR5278">
        <v>1</v>
      </c>
    </row>
    <row r="5279" spans="1:44" x14ac:dyDescent="0.35">
      <c r="A5279" s="12" t="s">
        <v>6374</v>
      </c>
      <c r="B5279" s="12" t="s">
        <v>532</v>
      </c>
      <c r="C5279" s="12" t="s">
        <v>533</v>
      </c>
      <c r="D5279" s="12" t="s">
        <v>114</v>
      </c>
      <c r="E5279" s="12" t="s">
        <v>65</v>
      </c>
      <c r="F5279">
        <v>2</v>
      </c>
      <c r="G5279">
        <v>3</v>
      </c>
      <c r="H5279">
        <v>0</v>
      </c>
      <c r="I5279" s="12" t="s">
        <v>115</v>
      </c>
      <c r="J5279" s="12" t="s">
        <v>116</v>
      </c>
      <c r="K5279" s="12" t="s">
        <v>117</v>
      </c>
      <c r="L5279" s="12" t="s">
        <v>82</v>
      </c>
      <c r="M5279">
        <v>17.170000000000002</v>
      </c>
      <c r="N5279" s="12" t="s">
        <v>97</v>
      </c>
      <c r="O5279" s="12" t="s">
        <v>98</v>
      </c>
      <c r="P5279" s="12" t="s">
        <v>72</v>
      </c>
      <c r="Q5279" s="13">
        <v>45848</v>
      </c>
      <c r="R5279" s="13">
        <v>45870</v>
      </c>
      <c r="S5279">
        <v>2025</v>
      </c>
      <c r="T5279" s="12" t="s">
        <v>6319</v>
      </c>
      <c r="U5279">
        <v>20</v>
      </c>
      <c r="V5279">
        <v>234.55500000000001</v>
      </c>
      <c r="W5279">
        <v>83.88</v>
      </c>
      <c r="X5279">
        <v>0</v>
      </c>
      <c r="Y5279">
        <v>0</v>
      </c>
      <c r="Z5279">
        <v>4691.1000000000004</v>
      </c>
      <c r="AA5279">
        <v>4774.9799999999996</v>
      </c>
      <c r="AB5279" s="12" t="s">
        <v>5930</v>
      </c>
      <c r="AC5279">
        <v>234.55500000000001</v>
      </c>
      <c r="AD5279">
        <v>1</v>
      </c>
      <c r="AE5279">
        <v>1</v>
      </c>
      <c r="AF5279">
        <v>0</v>
      </c>
      <c r="AG5279">
        <v>4691.1000000000004</v>
      </c>
      <c r="AH5279">
        <v>20</v>
      </c>
      <c r="AI5279">
        <v>20</v>
      </c>
      <c r="AJ5279">
        <v>0</v>
      </c>
      <c r="AK5279">
        <v>1</v>
      </c>
      <c r="AL5279">
        <v>1</v>
      </c>
      <c r="AM5279">
        <v>100</v>
      </c>
      <c r="AN5279">
        <v>238.749</v>
      </c>
      <c r="AO5279">
        <v>0</v>
      </c>
      <c r="AP5279" s="13">
        <v>45870</v>
      </c>
      <c r="AQ5279">
        <v>0</v>
      </c>
      <c r="AR5279">
        <v>1</v>
      </c>
    </row>
    <row r="5280" spans="1:44" x14ac:dyDescent="0.35">
      <c r="A5280" s="12" t="s">
        <v>6375</v>
      </c>
      <c r="B5280" s="12" t="s">
        <v>674</v>
      </c>
      <c r="C5280" s="12" t="s">
        <v>675</v>
      </c>
      <c r="D5280" s="12" t="s">
        <v>269</v>
      </c>
      <c r="E5280" s="12" t="s">
        <v>142</v>
      </c>
      <c r="F5280">
        <v>1</v>
      </c>
      <c r="G5280">
        <v>7</v>
      </c>
      <c r="H5280">
        <v>1</v>
      </c>
      <c r="I5280" s="12" t="s">
        <v>676</v>
      </c>
      <c r="J5280" s="12" t="s">
        <v>677</v>
      </c>
      <c r="K5280" s="12" t="s">
        <v>68</v>
      </c>
      <c r="L5280" s="12" t="s">
        <v>96</v>
      </c>
      <c r="M5280">
        <v>3.57</v>
      </c>
      <c r="N5280" s="12" t="s">
        <v>135</v>
      </c>
      <c r="O5280" s="12" t="s">
        <v>136</v>
      </c>
      <c r="P5280" s="12" t="s">
        <v>137</v>
      </c>
      <c r="Q5280" s="13">
        <v>45849</v>
      </c>
      <c r="R5280" s="13">
        <v>45897</v>
      </c>
      <c r="S5280">
        <v>2025</v>
      </c>
      <c r="T5280" s="12" t="s">
        <v>6319</v>
      </c>
      <c r="U5280">
        <v>117</v>
      </c>
      <c r="V5280">
        <v>386.36759999999998</v>
      </c>
      <c r="W5280">
        <v>867.1</v>
      </c>
      <c r="X5280">
        <v>0</v>
      </c>
      <c r="Y5280">
        <v>0</v>
      </c>
      <c r="Z5280">
        <v>45205.01</v>
      </c>
      <c r="AA5280">
        <v>46072.11</v>
      </c>
      <c r="AB5280" s="12" t="s">
        <v>201</v>
      </c>
      <c r="AD5280">
        <v>0</v>
      </c>
      <c r="AE5280">
        <v>0</v>
      </c>
      <c r="AH5280">
        <v>117</v>
      </c>
      <c r="AI5280">
        <v>117</v>
      </c>
      <c r="AJ5280">
        <v>0</v>
      </c>
      <c r="AK5280">
        <v>1</v>
      </c>
      <c r="AL5280">
        <v>1</v>
      </c>
      <c r="AM5280">
        <v>100</v>
      </c>
      <c r="AN5280">
        <v>393.77870000000001</v>
      </c>
      <c r="AO5280">
        <v>0</v>
      </c>
      <c r="AP5280" s="13">
        <v>45897</v>
      </c>
      <c r="AQ5280">
        <v>0</v>
      </c>
      <c r="AR5280">
        <v>1</v>
      </c>
    </row>
    <row r="5281" spans="1:44" x14ac:dyDescent="0.35">
      <c r="A5281" s="12" t="s">
        <v>6376</v>
      </c>
      <c r="B5281" s="12" t="s">
        <v>317</v>
      </c>
      <c r="C5281" s="12" t="s">
        <v>318</v>
      </c>
      <c r="D5281" s="12" t="s">
        <v>64</v>
      </c>
      <c r="E5281" s="12" t="s">
        <v>104</v>
      </c>
      <c r="F5281">
        <v>2</v>
      </c>
      <c r="G5281">
        <v>0</v>
      </c>
      <c r="H5281">
        <v>0</v>
      </c>
      <c r="I5281" s="12" t="s">
        <v>169</v>
      </c>
      <c r="J5281" s="12" t="s">
        <v>170</v>
      </c>
      <c r="K5281" s="12" t="s">
        <v>89</v>
      </c>
      <c r="L5281" s="12" t="s">
        <v>134</v>
      </c>
      <c r="M5281">
        <v>1.37</v>
      </c>
      <c r="N5281" s="12" t="s">
        <v>70</v>
      </c>
      <c r="O5281" s="12" t="s">
        <v>71</v>
      </c>
      <c r="P5281" s="12" t="s">
        <v>72</v>
      </c>
      <c r="Q5281" s="13">
        <v>45849</v>
      </c>
      <c r="R5281" s="13">
        <v>45863</v>
      </c>
      <c r="S5281">
        <v>2025</v>
      </c>
      <c r="T5281" s="12" t="s">
        <v>6319</v>
      </c>
      <c r="U5281">
        <v>201</v>
      </c>
      <c r="V5281">
        <v>15.823399999999999</v>
      </c>
      <c r="W5281">
        <v>75.98</v>
      </c>
      <c r="X5281">
        <v>108.48</v>
      </c>
      <c r="Y5281">
        <v>1</v>
      </c>
      <c r="Z5281">
        <v>3180.5</v>
      </c>
      <c r="AA5281">
        <v>3364.96</v>
      </c>
      <c r="AB5281" s="12" t="s">
        <v>5518</v>
      </c>
      <c r="AC5281">
        <v>15.823399999999999</v>
      </c>
      <c r="AD5281">
        <v>1</v>
      </c>
      <c r="AE5281">
        <v>1</v>
      </c>
      <c r="AF5281">
        <v>0</v>
      </c>
      <c r="AG5281">
        <v>3180.5</v>
      </c>
      <c r="AH5281">
        <v>201</v>
      </c>
      <c r="AI5281">
        <v>200</v>
      </c>
      <c r="AJ5281">
        <v>1</v>
      </c>
      <c r="AK5281">
        <v>1</v>
      </c>
      <c r="AL5281">
        <v>1</v>
      </c>
      <c r="AM5281">
        <v>99.5</v>
      </c>
      <c r="AN5281">
        <v>16.8248</v>
      </c>
      <c r="AO5281">
        <v>15.82</v>
      </c>
      <c r="AP5281" s="13">
        <v>45860</v>
      </c>
      <c r="AQ5281">
        <v>-3</v>
      </c>
      <c r="AR5281">
        <v>1</v>
      </c>
    </row>
    <row r="5282" spans="1:44" x14ac:dyDescent="0.35">
      <c r="A5282" s="12" t="s">
        <v>6377</v>
      </c>
      <c r="B5282" s="12" t="s">
        <v>412</v>
      </c>
      <c r="C5282" s="12" t="s">
        <v>413</v>
      </c>
      <c r="D5282" s="12" t="s">
        <v>269</v>
      </c>
      <c r="E5282" s="12" t="s">
        <v>65</v>
      </c>
      <c r="F5282">
        <v>1</v>
      </c>
      <c r="G5282">
        <v>2</v>
      </c>
      <c r="H5282">
        <v>1</v>
      </c>
      <c r="I5282" s="12" t="s">
        <v>233</v>
      </c>
      <c r="J5282" s="12" t="s">
        <v>234</v>
      </c>
      <c r="K5282" s="12" t="s">
        <v>125</v>
      </c>
      <c r="L5282" s="12" t="s">
        <v>96</v>
      </c>
      <c r="M5282">
        <v>3.73</v>
      </c>
      <c r="N5282" s="12" t="s">
        <v>135</v>
      </c>
      <c r="O5282" s="12" t="s">
        <v>136</v>
      </c>
      <c r="P5282" s="12" t="s">
        <v>137</v>
      </c>
      <c r="Q5282" s="13">
        <v>45849</v>
      </c>
      <c r="R5282" s="13">
        <v>45881</v>
      </c>
      <c r="S5282">
        <v>2025</v>
      </c>
      <c r="T5282" s="12" t="s">
        <v>6319</v>
      </c>
      <c r="U5282">
        <v>102</v>
      </c>
      <c r="V5282">
        <v>103.87350000000001</v>
      </c>
      <c r="W5282">
        <v>257.3</v>
      </c>
      <c r="X5282">
        <v>0</v>
      </c>
      <c r="Y5282">
        <v>0</v>
      </c>
      <c r="Z5282">
        <v>10595.1</v>
      </c>
      <c r="AA5282">
        <v>10852.4</v>
      </c>
      <c r="AB5282" s="12" t="s">
        <v>5424</v>
      </c>
      <c r="AC5282">
        <v>103.87350000000001</v>
      </c>
      <c r="AD5282">
        <v>1</v>
      </c>
      <c r="AE5282">
        <v>1</v>
      </c>
      <c r="AF5282">
        <v>0</v>
      </c>
      <c r="AG5282">
        <v>10595.1</v>
      </c>
      <c r="AH5282">
        <v>102</v>
      </c>
      <c r="AI5282">
        <v>101</v>
      </c>
      <c r="AJ5282">
        <v>1</v>
      </c>
      <c r="AK5282">
        <v>1</v>
      </c>
      <c r="AL5282">
        <v>1</v>
      </c>
      <c r="AM5282">
        <v>99.02</v>
      </c>
      <c r="AN5282">
        <v>107.4495</v>
      </c>
      <c r="AO5282">
        <v>103.87</v>
      </c>
      <c r="AP5282" s="13">
        <v>45881</v>
      </c>
      <c r="AQ5282">
        <v>0</v>
      </c>
      <c r="AR5282">
        <v>1</v>
      </c>
    </row>
    <row r="5283" spans="1:44" x14ac:dyDescent="0.35">
      <c r="A5283" s="12" t="s">
        <v>6378</v>
      </c>
      <c r="B5283" s="12" t="s">
        <v>395</v>
      </c>
      <c r="C5283" s="12" t="s">
        <v>396</v>
      </c>
      <c r="D5283" s="12" t="s">
        <v>130</v>
      </c>
      <c r="E5283" s="12" t="s">
        <v>104</v>
      </c>
      <c r="F5283">
        <v>3</v>
      </c>
      <c r="G5283">
        <v>1</v>
      </c>
      <c r="H5283">
        <v>0</v>
      </c>
      <c r="I5283" s="12" t="s">
        <v>123</v>
      </c>
      <c r="J5283" s="12" t="s">
        <v>124</v>
      </c>
      <c r="K5283" s="12" t="s">
        <v>125</v>
      </c>
      <c r="L5283" s="12" t="s">
        <v>82</v>
      </c>
      <c r="M5283">
        <v>6.75</v>
      </c>
      <c r="N5283" s="12" t="s">
        <v>159</v>
      </c>
      <c r="O5283" s="12" t="s">
        <v>160</v>
      </c>
      <c r="P5283" s="12" t="s">
        <v>137</v>
      </c>
      <c r="Q5283" s="13">
        <v>45849</v>
      </c>
      <c r="R5283" s="13">
        <v>45871</v>
      </c>
      <c r="S5283">
        <v>2025</v>
      </c>
      <c r="T5283" s="12" t="s">
        <v>6319</v>
      </c>
      <c r="U5283">
        <v>88</v>
      </c>
      <c r="V5283">
        <v>178.464</v>
      </c>
      <c r="W5283">
        <v>225.63</v>
      </c>
      <c r="X5283">
        <v>0</v>
      </c>
      <c r="Y5283">
        <v>0</v>
      </c>
      <c r="Z5283">
        <v>15704.83</v>
      </c>
      <c r="AA5283">
        <v>15930.46</v>
      </c>
      <c r="AB5283" s="12" t="s">
        <v>201</v>
      </c>
      <c r="AD5283">
        <v>0</v>
      </c>
      <c r="AE5283">
        <v>0</v>
      </c>
      <c r="AH5283">
        <v>88</v>
      </c>
      <c r="AI5283">
        <v>88</v>
      </c>
      <c r="AJ5283">
        <v>0</v>
      </c>
      <c r="AK5283">
        <v>1</v>
      </c>
      <c r="AL5283">
        <v>1</v>
      </c>
      <c r="AM5283">
        <v>100</v>
      </c>
      <c r="AN5283">
        <v>181.02799999999999</v>
      </c>
      <c r="AO5283">
        <v>0</v>
      </c>
      <c r="AP5283" s="13">
        <v>45872</v>
      </c>
      <c r="AQ5283">
        <v>1</v>
      </c>
      <c r="AR5283">
        <v>0</v>
      </c>
    </row>
    <row r="5284" spans="1:44" x14ac:dyDescent="0.35">
      <c r="A5284" s="12" t="s">
        <v>6379</v>
      </c>
      <c r="B5284" s="12" t="s">
        <v>261</v>
      </c>
      <c r="C5284" s="12" t="s">
        <v>262</v>
      </c>
      <c r="D5284" s="12" t="s">
        <v>114</v>
      </c>
      <c r="E5284" s="12" t="s">
        <v>142</v>
      </c>
      <c r="F5284">
        <v>1</v>
      </c>
      <c r="G5284">
        <v>8</v>
      </c>
      <c r="H5284">
        <v>1</v>
      </c>
      <c r="I5284" s="12" t="s">
        <v>263</v>
      </c>
      <c r="J5284" s="12" t="s">
        <v>264</v>
      </c>
      <c r="K5284" s="12" t="s">
        <v>125</v>
      </c>
      <c r="L5284" s="12" t="s">
        <v>82</v>
      </c>
      <c r="M5284">
        <v>10.210000000000001</v>
      </c>
      <c r="N5284" s="12" t="s">
        <v>97</v>
      </c>
      <c r="O5284" s="12" t="s">
        <v>98</v>
      </c>
      <c r="P5284" s="12" t="s">
        <v>72</v>
      </c>
      <c r="Q5284" s="13">
        <v>45849</v>
      </c>
      <c r="R5284" s="13">
        <v>45889</v>
      </c>
      <c r="S5284">
        <v>2025</v>
      </c>
      <c r="T5284" s="12" t="s">
        <v>6319</v>
      </c>
      <c r="U5284">
        <v>49</v>
      </c>
      <c r="V5284">
        <v>159.11930000000001</v>
      </c>
      <c r="W5284">
        <v>157.80000000000001</v>
      </c>
      <c r="X5284">
        <v>0</v>
      </c>
      <c r="Y5284">
        <v>0</v>
      </c>
      <c r="Z5284">
        <v>7796.85</v>
      </c>
      <c r="AA5284">
        <v>7954.65</v>
      </c>
      <c r="AB5284" s="12" t="s">
        <v>201</v>
      </c>
      <c r="AD5284">
        <v>0</v>
      </c>
      <c r="AE5284">
        <v>0</v>
      </c>
      <c r="AH5284">
        <v>49</v>
      </c>
      <c r="AI5284">
        <v>48</v>
      </c>
      <c r="AJ5284">
        <v>1</v>
      </c>
      <c r="AK5284">
        <v>1</v>
      </c>
      <c r="AL5284">
        <v>1</v>
      </c>
      <c r="AM5284">
        <v>97.96</v>
      </c>
      <c r="AN5284">
        <v>165.7218</v>
      </c>
      <c r="AO5284">
        <v>159.12</v>
      </c>
      <c r="AP5284" s="13">
        <v>45887</v>
      </c>
      <c r="AQ5284">
        <v>-2</v>
      </c>
      <c r="AR5284">
        <v>1</v>
      </c>
    </row>
    <row r="5285" spans="1:44" x14ac:dyDescent="0.35">
      <c r="A5285" s="12" t="s">
        <v>6380</v>
      </c>
      <c r="B5285" s="12" t="s">
        <v>555</v>
      </c>
      <c r="C5285" s="12" t="s">
        <v>556</v>
      </c>
      <c r="D5285" s="12" t="s">
        <v>114</v>
      </c>
      <c r="E5285" s="12" t="s">
        <v>142</v>
      </c>
      <c r="F5285">
        <v>1</v>
      </c>
      <c r="G5285">
        <v>6</v>
      </c>
      <c r="H5285">
        <v>1</v>
      </c>
      <c r="I5285" s="12" t="s">
        <v>151</v>
      </c>
      <c r="J5285" s="12" t="s">
        <v>152</v>
      </c>
      <c r="K5285" s="12" t="s">
        <v>125</v>
      </c>
      <c r="L5285" s="12" t="s">
        <v>69</v>
      </c>
      <c r="M5285">
        <v>36.479999999999997</v>
      </c>
      <c r="N5285" s="12" t="s">
        <v>97</v>
      </c>
      <c r="O5285" s="12" t="s">
        <v>98</v>
      </c>
      <c r="P5285" s="12" t="s">
        <v>72</v>
      </c>
      <c r="Q5285" s="13">
        <v>45849</v>
      </c>
      <c r="R5285" s="13">
        <v>45899</v>
      </c>
      <c r="S5285">
        <v>2025</v>
      </c>
      <c r="T5285" s="12" t="s">
        <v>6319</v>
      </c>
      <c r="U5285">
        <v>127</v>
      </c>
      <c r="V5285">
        <v>266.68439999999998</v>
      </c>
      <c r="W5285">
        <v>264.82</v>
      </c>
      <c r="X5285">
        <v>0</v>
      </c>
      <c r="Y5285">
        <v>0</v>
      </c>
      <c r="Z5285">
        <v>33868.92</v>
      </c>
      <c r="AA5285">
        <v>34133.74</v>
      </c>
      <c r="AB5285" s="12" t="s">
        <v>6121</v>
      </c>
      <c r="AC5285">
        <v>266.68439999999998</v>
      </c>
      <c r="AD5285">
        <v>1</v>
      </c>
      <c r="AE5285">
        <v>1</v>
      </c>
      <c r="AF5285">
        <v>0</v>
      </c>
      <c r="AG5285">
        <v>33868.92</v>
      </c>
      <c r="AH5285">
        <v>127</v>
      </c>
      <c r="AI5285">
        <v>124</v>
      </c>
      <c r="AJ5285">
        <v>3</v>
      </c>
      <c r="AK5285">
        <v>1</v>
      </c>
      <c r="AL5285">
        <v>1</v>
      </c>
      <c r="AM5285">
        <v>97.64</v>
      </c>
      <c r="AN5285">
        <v>275.27210000000002</v>
      </c>
      <c r="AO5285">
        <v>800.05</v>
      </c>
      <c r="AP5285" s="13">
        <v>45898</v>
      </c>
      <c r="AQ5285">
        <v>-1</v>
      </c>
      <c r="AR5285">
        <v>1</v>
      </c>
    </row>
    <row r="5286" spans="1:44" x14ac:dyDescent="0.35">
      <c r="A5286" s="12" t="s">
        <v>6381</v>
      </c>
      <c r="B5286" s="12" t="s">
        <v>273</v>
      </c>
      <c r="C5286" s="12" t="s">
        <v>274</v>
      </c>
      <c r="D5286" s="12" t="s">
        <v>175</v>
      </c>
      <c r="E5286" s="12" t="s">
        <v>104</v>
      </c>
      <c r="F5286">
        <v>3</v>
      </c>
      <c r="G5286">
        <v>1</v>
      </c>
      <c r="H5286">
        <v>0</v>
      </c>
      <c r="I5286" s="12" t="s">
        <v>275</v>
      </c>
      <c r="J5286" s="12" t="s">
        <v>276</v>
      </c>
      <c r="K5286" s="12" t="s">
        <v>89</v>
      </c>
      <c r="L5286" s="12" t="s">
        <v>82</v>
      </c>
      <c r="M5286">
        <v>14.26</v>
      </c>
      <c r="N5286" s="12" t="s">
        <v>107</v>
      </c>
      <c r="O5286" s="12" t="s">
        <v>108</v>
      </c>
      <c r="P5286" s="12" t="s">
        <v>109</v>
      </c>
      <c r="Q5286" s="13">
        <v>45849</v>
      </c>
      <c r="R5286" s="13">
        <v>45867</v>
      </c>
      <c r="S5286">
        <v>2025</v>
      </c>
      <c r="T5286" s="12" t="s">
        <v>6319</v>
      </c>
      <c r="U5286">
        <v>57</v>
      </c>
      <c r="V5286">
        <v>108.56229999999999</v>
      </c>
      <c r="W5286">
        <v>44.89</v>
      </c>
      <c r="X5286">
        <v>0</v>
      </c>
      <c r="Y5286">
        <v>0</v>
      </c>
      <c r="Z5286">
        <v>6188.05</v>
      </c>
      <c r="AA5286">
        <v>6232.94</v>
      </c>
      <c r="AB5286" s="12" t="s">
        <v>5782</v>
      </c>
      <c r="AC5286">
        <v>108.56229999999999</v>
      </c>
      <c r="AD5286">
        <v>1</v>
      </c>
      <c r="AE5286">
        <v>1</v>
      </c>
      <c r="AF5286">
        <v>0</v>
      </c>
      <c r="AG5286">
        <v>6188.05</v>
      </c>
      <c r="AH5286">
        <v>57</v>
      </c>
      <c r="AI5286">
        <v>56</v>
      </c>
      <c r="AJ5286">
        <v>1</v>
      </c>
      <c r="AK5286">
        <v>1</v>
      </c>
      <c r="AL5286">
        <v>1</v>
      </c>
      <c r="AM5286">
        <v>98.25</v>
      </c>
      <c r="AN5286">
        <v>111.30249999999999</v>
      </c>
      <c r="AO5286">
        <v>108.56</v>
      </c>
      <c r="AP5286" s="13">
        <v>45867</v>
      </c>
      <c r="AQ5286">
        <v>0</v>
      </c>
      <c r="AR5286">
        <v>1</v>
      </c>
    </row>
    <row r="5287" spans="1:44" x14ac:dyDescent="0.35">
      <c r="A5287" s="12" t="s">
        <v>6382</v>
      </c>
      <c r="B5287" s="12" t="s">
        <v>128</v>
      </c>
      <c r="C5287" s="12" t="s">
        <v>129</v>
      </c>
      <c r="D5287" s="12" t="s">
        <v>130</v>
      </c>
      <c r="E5287" s="12" t="s">
        <v>65</v>
      </c>
      <c r="F5287">
        <v>3</v>
      </c>
      <c r="G5287">
        <v>5</v>
      </c>
      <c r="H5287">
        <v>0</v>
      </c>
      <c r="I5287" s="12" t="s">
        <v>131</v>
      </c>
      <c r="J5287" s="12" t="s">
        <v>132</v>
      </c>
      <c r="K5287" s="12" t="s">
        <v>133</v>
      </c>
      <c r="L5287" s="12" t="s">
        <v>134</v>
      </c>
      <c r="M5287">
        <v>1.51</v>
      </c>
      <c r="N5287" s="12" t="s">
        <v>135</v>
      </c>
      <c r="O5287" s="12" t="s">
        <v>136</v>
      </c>
      <c r="P5287" s="12" t="s">
        <v>137</v>
      </c>
      <c r="Q5287" s="13">
        <v>45849</v>
      </c>
      <c r="R5287" s="13">
        <v>45882</v>
      </c>
      <c r="S5287">
        <v>2025</v>
      </c>
      <c r="T5287" s="12" t="s">
        <v>6319</v>
      </c>
      <c r="U5287">
        <v>104</v>
      </c>
      <c r="V5287">
        <v>361.0804</v>
      </c>
      <c r="W5287">
        <v>771.45</v>
      </c>
      <c r="X5287">
        <v>0</v>
      </c>
      <c r="Y5287">
        <v>0</v>
      </c>
      <c r="Z5287">
        <v>37552.36</v>
      </c>
      <c r="AA5287">
        <v>38323.81</v>
      </c>
      <c r="AB5287" s="12" t="s">
        <v>201</v>
      </c>
      <c r="AD5287">
        <v>0</v>
      </c>
      <c r="AE5287">
        <v>0</v>
      </c>
      <c r="AH5287">
        <v>104</v>
      </c>
      <c r="AI5287">
        <v>98</v>
      </c>
      <c r="AJ5287">
        <v>6</v>
      </c>
      <c r="AK5287">
        <v>1</v>
      </c>
      <c r="AL5287">
        <v>1</v>
      </c>
      <c r="AM5287">
        <v>94.23</v>
      </c>
      <c r="AN5287">
        <v>391.05930000000001</v>
      </c>
      <c r="AO5287">
        <v>2166.48</v>
      </c>
      <c r="AP5287" s="13">
        <v>45881</v>
      </c>
      <c r="AQ5287">
        <v>-1</v>
      </c>
      <c r="AR5287">
        <v>1</v>
      </c>
    </row>
    <row r="5288" spans="1:44" x14ac:dyDescent="0.35">
      <c r="A5288" s="12" t="s">
        <v>6383</v>
      </c>
      <c r="B5288" s="12" t="s">
        <v>267</v>
      </c>
      <c r="C5288" s="12" t="s">
        <v>268</v>
      </c>
      <c r="D5288" s="12" t="s">
        <v>269</v>
      </c>
      <c r="E5288" s="12" t="s">
        <v>142</v>
      </c>
      <c r="F5288">
        <v>1</v>
      </c>
      <c r="G5288">
        <v>8</v>
      </c>
      <c r="H5288">
        <v>1</v>
      </c>
      <c r="I5288" s="12" t="s">
        <v>94</v>
      </c>
      <c r="J5288" s="12" t="s">
        <v>95</v>
      </c>
      <c r="K5288" s="12" t="s">
        <v>81</v>
      </c>
      <c r="L5288" s="12" t="s">
        <v>96</v>
      </c>
      <c r="M5288">
        <v>4.8099999999999996</v>
      </c>
      <c r="N5288" s="12" t="s">
        <v>135</v>
      </c>
      <c r="O5288" s="12" t="s">
        <v>136</v>
      </c>
      <c r="P5288" s="12" t="s">
        <v>137</v>
      </c>
      <c r="Q5288" s="13">
        <v>45849</v>
      </c>
      <c r="R5288" s="13">
        <v>45898</v>
      </c>
      <c r="S5288">
        <v>2025</v>
      </c>
      <c r="T5288" s="12" t="s">
        <v>6319</v>
      </c>
      <c r="U5288">
        <v>125</v>
      </c>
      <c r="V5288">
        <v>229.11330000000001</v>
      </c>
      <c r="W5288">
        <v>365.32</v>
      </c>
      <c r="X5288">
        <v>0</v>
      </c>
      <c r="Y5288">
        <v>0</v>
      </c>
      <c r="Z5288">
        <v>28639.16</v>
      </c>
      <c r="AA5288">
        <v>29004.48</v>
      </c>
      <c r="AB5288" s="12" t="s">
        <v>201</v>
      </c>
      <c r="AD5288">
        <v>0</v>
      </c>
      <c r="AE5288">
        <v>0</v>
      </c>
      <c r="AH5288">
        <v>125</v>
      </c>
      <c r="AI5288">
        <v>123</v>
      </c>
      <c r="AJ5288">
        <v>2</v>
      </c>
      <c r="AK5288">
        <v>1</v>
      </c>
      <c r="AL5288">
        <v>1</v>
      </c>
      <c r="AM5288">
        <v>98.4</v>
      </c>
      <c r="AN5288">
        <v>235.80879999999999</v>
      </c>
      <c r="AO5288">
        <v>458.23</v>
      </c>
      <c r="AP5288" s="13">
        <v>45894</v>
      </c>
      <c r="AQ5288">
        <v>-4</v>
      </c>
      <c r="AR5288">
        <v>1</v>
      </c>
    </row>
    <row r="5289" spans="1:44" x14ac:dyDescent="0.35">
      <c r="A5289" s="12" t="s">
        <v>6384</v>
      </c>
      <c r="B5289" s="12" t="s">
        <v>855</v>
      </c>
      <c r="C5289" s="12" t="s">
        <v>856</v>
      </c>
      <c r="D5289" s="12" t="s">
        <v>269</v>
      </c>
      <c r="E5289" s="12" t="s">
        <v>65</v>
      </c>
      <c r="F5289">
        <v>3</v>
      </c>
      <c r="G5289">
        <v>5</v>
      </c>
      <c r="H5289">
        <v>0</v>
      </c>
      <c r="I5289" s="12" t="s">
        <v>94</v>
      </c>
      <c r="J5289" s="12" t="s">
        <v>95</v>
      </c>
      <c r="K5289" s="12" t="s">
        <v>81</v>
      </c>
      <c r="L5289" s="12" t="s">
        <v>96</v>
      </c>
      <c r="M5289">
        <v>4.8099999999999996</v>
      </c>
      <c r="N5289" s="12" t="s">
        <v>135</v>
      </c>
      <c r="O5289" s="12" t="s">
        <v>136</v>
      </c>
      <c r="P5289" s="12" t="s">
        <v>137</v>
      </c>
      <c r="Q5289" s="13">
        <v>45849</v>
      </c>
      <c r="R5289" s="13">
        <v>45883</v>
      </c>
      <c r="S5289">
        <v>2025</v>
      </c>
      <c r="T5289" s="12" t="s">
        <v>6319</v>
      </c>
      <c r="U5289">
        <v>114</v>
      </c>
      <c r="V5289">
        <v>466.4701</v>
      </c>
      <c r="W5289">
        <v>1111.8800000000001</v>
      </c>
      <c r="X5289">
        <v>0</v>
      </c>
      <c r="Y5289">
        <v>0</v>
      </c>
      <c r="Z5289">
        <v>53177.59</v>
      </c>
      <c r="AA5289">
        <v>54289.47</v>
      </c>
      <c r="AB5289" s="12" t="s">
        <v>5774</v>
      </c>
      <c r="AC5289">
        <v>466.4701</v>
      </c>
      <c r="AD5289">
        <v>1</v>
      </c>
      <c r="AE5289">
        <v>1</v>
      </c>
      <c r="AF5289">
        <v>0</v>
      </c>
      <c r="AG5289">
        <v>53177.59</v>
      </c>
      <c r="AH5289">
        <v>114</v>
      </c>
      <c r="AI5289">
        <v>112</v>
      </c>
      <c r="AJ5289">
        <v>2</v>
      </c>
      <c r="AK5289">
        <v>1</v>
      </c>
      <c r="AL5289">
        <v>1</v>
      </c>
      <c r="AM5289">
        <v>98.25</v>
      </c>
      <c r="AN5289">
        <v>484.72739999999999</v>
      </c>
      <c r="AO5289">
        <v>932.94</v>
      </c>
      <c r="AP5289" s="13">
        <v>45880</v>
      </c>
      <c r="AQ5289">
        <v>-3</v>
      </c>
      <c r="AR5289">
        <v>1</v>
      </c>
    </row>
    <row r="5290" spans="1:44" x14ac:dyDescent="0.35">
      <c r="A5290" s="12" t="s">
        <v>6385</v>
      </c>
      <c r="B5290" s="12" t="s">
        <v>458</v>
      </c>
      <c r="C5290" s="12" t="s">
        <v>459</v>
      </c>
      <c r="D5290" s="12" t="s">
        <v>64</v>
      </c>
      <c r="E5290" s="12" t="s">
        <v>104</v>
      </c>
      <c r="F5290">
        <v>2</v>
      </c>
      <c r="G5290">
        <v>0</v>
      </c>
      <c r="H5290">
        <v>0</v>
      </c>
      <c r="I5290" s="12" t="s">
        <v>143</v>
      </c>
      <c r="J5290" s="12" t="s">
        <v>144</v>
      </c>
      <c r="K5290" s="12" t="s">
        <v>133</v>
      </c>
      <c r="L5290" s="12" t="s">
        <v>96</v>
      </c>
      <c r="M5290">
        <v>5.43</v>
      </c>
      <c r="N5290" s="12" t="s">
        <v>97</v>
      </c>
      <c r="O5290" s="12" t="s">
        <v>98</v>
      </c>
      <c r="P5290" s="12" t="s">
        <v>72</v>
      </c>
      <c r="Q5290" s="13">
        <v>45849</v>
      </c>
      <c r="R5290" s="13">
        <v>45870</v>
      </c>
      <c r="S5290">
        <v>2025</v>
      </c>
      <c r="T5290" s="12" t="s">
        <v>6319</v>
      </c>
      <c r="U5290">
        <v>567</v>
      </c>
      <c r="V5290">
        <v>23.3566</v>
      </c>
      <c r="W5290">
        <v>208.05</v>
      </c>
      <c r="X5290">
        <v>0</v>
      </c>
      <c r="Y5290">
        <v>0</v>
      </c>
      <c r="Z5290">
        <v>13243.19</v>
      </c>
      <c r="AA5290">
        <v>13451.24</v>
      </c>
      <c r="AB5290" s="12" t="s">
        <v>5547</v>
      </c>
      <c r="AC5290">
        <v>23.3566</v>
      </c>
      <c r="AD5290">
        <v>1</v>
      </c>
      <c r="AE5290">
        <v>1</v>
      </c>
      <c r="AF5290">
        <v>0</v>
      </c>
      <c r="AG5290">
        <v>13243.19</v>
      </c>
      <c r="AH5290">
        <v>567</v>
      </c>
      <c r="AI5290">
        <v>561</v>
      </c>
      <c r="AJ5290">
        <v>6</v>
      </c>
      <c r="AK5290">
        <v>1</v>
      </c>
      <c r="AL5290">
        <v>1</v>
      </c>
      <c r="AM5290">
        <v>98.94</v>
      </c>
      <c r="AN5290">
        <v>23.9773</v>
      </c>
      <c r="AO5290">
        <v>140.13999999999999</v>
      </c>
      <c r="AP5290" s="13">
        <v>45879</v>
      </c>
      <c r="AQ5290">
        <v>9</v>
      </c>
      <c r="AR5290">
        <v>0</v>
      </c>
    </row>
    <row r="5291" spans="1:44" x14ac:dyDescent="0.35">
      <c r="A5291" s="12" t="s">
        <v>6386</v>
      </c>
      <c r="B5291" s="12" t="s">
        <v>869</v>
      </c>
      <c r="C5291" s="12" t="s">
        <v>870</v>
      </c>
      <c r="D5291" s="12" t="s">
        <v>130</v>
      </c>
      <c r="E5291" s="12" t="s">
        <v>104</v>
      </c>
      <c r="F5291">
        <v>2</v>
      </c>
      <c r="G5291">
        <v>0</v>
      </c>
      <c r="H5291">
        <v>0</v>
      </c>
      <c r="I5291" s="12" t="s">
        <v>515</v>
      </c>
      <c r="J5291" s="12" t="s">
        <v>516</v>
      </c>
      <c r="K5291" s="12" t="s">
        <v>68</v>
      </c>
      <c r="L5291" s="12" t="s">
        <v>134</v>
      </c>
      <c r="M5291">
        <v>3.69</v>
      </c>
      <c r="N5291" s="12" t="s">
        <v>135</v>
      </c>
      <c r="O5291" s="12" t="s">
        <v>136</v>
      </c>
      <c r="P5291" s="12" t="s">
        <v>137</v>
      </c>
      <c r="Q5291" s="13">
        <v>45849</v>
      </c>
      <c r="R5291" s="13">
        <v>45871</v>
      </c>
      <c r="S5291">
        <v>2025</v>
      </c>
      <c r="T5291" s="12" t="s">
        <v>6319</v>
      </c>
      <c r="U5291">
        <v>90</v>
      </c>
      <c r="V5291">
        <v>636.52549999999997</v>
      </c>
      <c r="W5291">
        <v>702.36</v>
      </c>
      <c r="X5291">
        <v>0</v>
      </c>
      <c r="Y5291">
        <v>0</v>
      </c>
      <c r="Z5291">
        <v>57287.3</v>
      </c>
      <c r="AA5291">
        <v>57989.66</v>
      </c>
      <c r="AB5291" s="12" t="s">
        <v>201</v>
      </c>
      <c r="AD5291">
        <v>0</v>
      </c>
      <c r="AE5291">
        <v>0</v>
      </c>
      <c r="AH5291">
        <v>90</v>
      </c>
      <c r="AI5291">
        <v>89</v>
      </c>
      <c r="AJ5291">
        <v>1</v>
      </c>
      <c r="AK5291">
        <v>1</v>
      </c>
      <c r="AL5291">
        <v>1</v>
      </c>
      <c r="AM5291">
        <v>98.89</v>
      </c>
      <c r="AN5291">
        <v>651.56920000000002</v>
      </c>
      <c r="AO5291">
        <v>636.53</v>
      </c>
      <c r="AP5291" s="13">
        <v>45869</v>
      </c>
      <c r="AQ5291">
        <v>-2</v>
      </c>
      <c r="AR5291">
        <v>1</v>
      </c>
    </row>
    <row r="5292" spans="1:44" x14ac:dyDescent="0.35">
      <c r="A5292" s="12" t="s">
        <v>6387</v>
      </c>
      <c r="B5292" s="12" t="s">
        <v>869</v>
      </c>
      <c r="C5292" s="12" t="s">
        <v>870</v>
      </c>
      <c r="D5292" s="12" t="s">
        <v>130</v>
      </c>
      <c r="E5292" s="12" t="s">
        <v>104</v>
      </c>
      <c r="F5292">
        <v>2</v>
      </c>
      <c r="G5292">
        <v>0</v>
      </c>
      <c r="H5292">
        <v>0</v>
      </c>
      <c r="I5292" s="12" t="s">
        <v>515</v>
      </c>
      <c r="J5292" s="12" t="s">
        <v>516</v>
      </c>
      <c r="K5292" s="12" t="s">
        <v>68</v>
      </c>
      <c r="L5292" s="12" t="s">
        <v>134</v>
      </c>
      <c r="M5292">
        <v>3.69</v>
      </c>
      <c r="N5292" s="12" t="s">
        <v>159</v>
      </c>
      <c r="O5292" s="12" t="s">
        <v>160</v>
      </c>
      <c r="P5292" s="12" t="s">
        <v>137</v>
      </c>
      <c r="Q5292" s="13">
        <v>45849</v>
      </c>
      <c r="R5292" s="13">
        <v>45872</v>
      </c>
      <c r="S5292">
        <v>2025</v>
      </c>
      <c r="T5292" s="12" t="s">
        <v>6319</v>
      </c>
      <c r="U5292">
        <v>97</v>
      </c>
      <c r="V5292">
        <v>628.94569999999999</v>
      </c>
      <c r="W5292">
        <v>814.66</v>
      </c>
      <c r="X5292">
        <v>0</v>
      </c>
      <c r="Y5292">
        <v>0</v>
      </c>
      <c r="Z5292">
        <v>61007.73</v>
      </c>
      <c r="AA5292">
        <v>61822.39</v>
      </c>
      <c r="AB5292" s="12" t="s">
        <v>201</v>
      </c>
      <c r="AD5292">
        <v>0</v>
      </c>
      <c r="AE5292">
        <v>0</v>
      </c>
      <c r="AH5292">
        <v>97</v>
      </c>
      <c r="AI5292">
        <v>96</v>
      </c>
      <c r="AJ5292">
        <v>1</v>
      </c>
      <c r="AK5292">
        <v>1</v>
      </c>
      <c r="AL5292">
        <v>1</v>
      </c>
      <c r="AM5292">
        <v>98.97</v>
      </c>
      <c r="AN5292">
        <v>643.98329999999999</v>
      </c>
      <c r="AO5292">
        <v>628.95000000000005</v>
      </c>
      <c r="AP5292" s="13">
        <v>45870</v>
      </c>
      <c r="AQ5292">
        <v>-2</v>
      </c>
      <c r="AR5292">
        <v>1</v>
      </c>
    </row>
    <row r="5293" spans="1:44" x14ac:dyDescent="0.35">
      <c r="A5293" s="12" t="s">
        <v>6388</v>
      </c>
      <c r="B5293" s="12" t="s">
        <v>140</v>
      </c>
      <c r="C5293" s="12" t="s">
        <v>141</v>
      </c>
      <c r="D5293" s="12" t="s">
        <v>103</v>
      </c>
      <c r="E5293" s="12" t="s">
        <v>142</v>
      </c>
      <c r="F5293">
        <v>1</v>
      </c>
      <c r="G5293">
        <v>7</v>
      </c>
      <c r="H5293">
        <v>1</v>
      </c>
      <c r="I5293" s="12" t="s">
        <v>143</v>
      </c>
      <c r="J5293" s="12" t="s">
        <v>144</v>
      </c>
      <c r="K5293" s="12" t="s">
        <v>133</v>
      </c>
      <c r="L5293" s="12" t="s">
        <v>96</v>
      </c>
      <c r="M5293">
        <v>5.43</v>
      </c>
      <c r="N5293" s="12" t="s">
        <v>145</v>
      </c>
      <c r="O5293" s="12" t="s">
        <v>146</v>
      </c>
      <c r="P5293" s="12" t="s">
        <v>109</v>
      </c>
      <c r="Q5293" s="13">
        <v>45849</v>
      </c>
      <c r="R5293" s="13">
        <v>45897</v>
      </c>
      <c r="S5293">
        <v>2025</v>
      </c>
      <c r="T5293" s="12" t="s">
        <v>6319</v>
      </c>
      <c r="U5293">
        <v>113</v>
      </c>
      <c r="V5293">
        <v>210.93029999999999</v>
      </c>
      <c r="W5293">
        <v>293.54000000000002</v>
      </c>
      <c r="X5293">
        <v>0</v>
      </c>
      <c r="Y5293">
        <v>0</v>
      </c>
      <c r="Z5293">
        <v>23835.119999999999</v>
      </c>
      <c r="AA5293">
        <v>24128.66</v>
      </c>
      <c r="AB5293" s="12" t="s">
        <v>5126</v>
      </c>
      <c r="AC5293">
        <v>210.93029999999999</v>
      </c>
      <c r="AD5293">
        <v>1</v>
      </c>
      <c r="AE5293">
        <v>1</v>
      </c>
      <c r="AF5293">
        <v>0</v>
      </c>
      <c r="AG5293">
        <v>23835.119999999999</v>
      </c>
      <c r="AH5293">
        <v>113</v>
      </c>
      <c r="AI5293">
        <v>111</v>
      </c>
      <c r="AJ5293">
        <v>2</v>
      </c>
      <c r="AK5293">
        <v>1</v>
      </c>
      <c r="AL5293">
        <v>1</v>
      </c>
      <c r="AM5293">
        <v>98.23</v>
      </c>
      <c r="AN5293">
        <v>217.37540000000001</v>
      </c>
      <c r="AO5293">
        <v>421.86</v>
      </c>
      <c r="AP5293" s="13">
        <v>45901</v>
      </c>
      <c r="AQ5293">
        <v>4</v>
      </c>
      <c r="AR5293">
        <v>0</v>
      </c>
    </row>
    <row r="5294" spans="1:44" x14ac:dyDescent="0.35">
      <c r="A5294" s="12" t="s">
        <v>6389</v>
      </c>
      <c r="B5294" s="12" t="s">
        <v>494</v>
      </c>
      <c r="C5294" s="12" t="s">
        <v>495</v>
      </c>
      <c r="D5294" s="12" t="s">
        <v>175</v>
      </c>
      <c r="E5294" s="12" t="s">
        <v>65</v>
      </c>
      <c r="F5294">
        <v>2</v>
      </c>
      <c r="G5294">
        <v>3</v>
      </c>
      <c r="H5294">
        <v>0</v>
      </c>
      <c r="I5294" s="12" t="s">
        <v>515</v>
      </c>
      <c r="J5294" s="12" t="s">
        <v>516</v>
      </c>
      <c r="K5294" s="12" t="s">
        <v>68</v>
      </c>
      <c r="L5294" s="12" t="s">
        <v>134</v>
      </c>
      <c r="M5294">
        <v>3.69</v>
      </c>
      <c r="N5294" s="12" t="s">
        <v>145</v>
      </c>
      <c r="O5294" s="12" t="s">
        <v>146</v>
      </c>
      <c r="P5294" s="12" t="s">
        <v>109</v>
      </c>
      <c r="Q5294" s="13">
        <v>45849</v>
      </c>
      <c r="R5294" s="13">
        <v>45886</v>
      </c>
      <c r="S5294">
        <v>2025</v>
      </c>
      <c r="T5294" s="12" t="s">
        <v>6319</v>
      </c>
      <c r="U5294">
        <v>136</v>
      </c>
      <c r="V5294">
        <v>144.18809999999999</v>
      </c>
      <c r="W5294">
        <v>301.74</v>
      </c>
      <c r="X5294">
        <v>0</v>
      </c>
      <c r="Y5294">
        <v>0</v>
      </c>
      <c r="Z5294">
        <v>19609.580000000002</v>
      </c>
      <c r="AA5294">
        <v>19911.32</v>
      </c>
      <c r="AB5294" s="12" t="s">
        <v>5442</v>
      </c>
      <c r="AC5294">
        <v>153.36940000000001</v>
      </c>
      <c r="AD5294">
        <v>1</v>
      </c>
      <c r="AE5294">
        <v>1</v>
      </c>
      <c r="AF5294">
        <v>-1248.6600000000001</v>
      </c>
      <c r="AG5294">
        <v>20858.240000000002</v>
      </c>
      <c r="AH5294">
        <v>136</v>
      </c>
      <c r="AI5294">
        <v>134</v>
      </c>
      <c r="AJ5294">
        <v>2</v>
      </c>
      <c r="AK5294">
        <v>1</v>
      </c>
      <c r="AL5294">
        <v>1</v>
      </c>
      <c r="AM5294">
        <v>98.53</v>
      </c>
      <c r="AN5294">
        <v>148.59200000000001</v>
      </c>
      <c r="AO5294">
        <v>288.38</v>
      </c>
      <c r="AP5294" s="13">
        <v>45885</v>
      </c>
      <c r="AQ5294">
        <v>-1</v>
      </c>
      <c r="AR5294">
        <v>1</v>
      </c>
    </row>
    <row r="5295" spans="1:44" x14ac:dyDescent="0.35">
      <c r="A5295" s="12" t="s">
        <v>6390</v>
      </c>
      <c r="B5295" s="12" t="s">
        <v>712</v>
      </c>
      <c r="C5295" s="12" t="s">
        <v>713</v>
      </c>
      <c r="D5295" s="12" t="s">
        <v>103</v>
      </c>
      <c r="E5295" s="12" t="s">
        <v>104</v>
      </c>
      <c r="F5295">
        <v>2</v>
      </c>
      <c r="G5295">
        <v>0</v>
      </c>
      <c r="H5295">
        <v>0</v>
      </c>
      <c r="I5295" s="12" t="s">
        <v>199</v>
      </c>
      <c r="J5295" s="12" t="s">
        <v>200</v>
      </c>
      <c r="K5295" s="12" t="s">
        <v>68</v>
      </c>
      <c r="L5295" s="12" t="s">
        <v>96</v>
      </c>
      <c r="M5295">
        <v>9.4700000000000006</v>
      </c>
      <c r="N5295" s="12" t="s">
        <v>107</v>
      </c>
      <c r="O5295" s="12" t="s">
        <v>108</v>
      </c>
      <c r="P5295" s="12" t="s">
        <v>109</v>
      </c>
      <c r="Q5295" s="13">
        <v>45849</v>
      </c>
      <c r="R5295" s="13">
        <v>45868</v>
      </c>
      <c r="S5295">
        <v>2025</v>
      </c>
      <c r="T5295" s="12" t="s">
        <v>6319</v>
      </c>
      <c r="U5295">
        <v>65</v>
      </c>
      <c r="V5295">
        <v>215.83680000000001</v>
      </c>
      <c r="W5295">
        <v>263.08</v>
      </c>
      <c r="X5295">
        <v>0</v>
      </c>
      <c r="Y5295">
        <v>0</v>
      </c>
      <c r="Z5295">
        <v>14029.39</v>
      </c>
      <c r="AA5295">
        <v>14292.47</v>
      </c>
      <c r="AB5295" s="12" t="s">
        <v>201</v>
      </c>
      <c r="AD5295">
        <v>0</v>
      </c>
      <c r="AE5295">
        <v>0</v>
      </c>
      <c r="AH5295">
        <v>65</v>
      </c>
      <c r="AI5295">
        <v>64</v>
      </c>
      <c r="AJ5295">
        <v>1</v>
      </c>
      <c r="AK5295">
        <v>1</v>
      </c>
      <c r="AL5295">
        <v>1</v>
      </c>
      <c r="AM5295">
        <v>98.46</v>
      </c>
      <c r="AN5295">
        <v>223.31989999999999</v>
      </c>
      <c r="AO5295">
        <v>215.84</v>
      </c>
      <c r="AP5295" s="13">
        <v>45873</v>
      </c>
      <c r="AQ5295">
        <v>5</v>
      </c>
      <c r="AR5295">
        <v>0</v>
      </c>
    </row>
    <row r="5296" spans="1:44" x14ac:dyDescent="0.35">
      <c r="A5296" s="12" t="s">
        <v>6391</v>
      </c>
      <c r="B5296" s="12" t="s">
        <v>902</v>
      </c>
      <c r="C5296" s="12" t="s">
        <v>903</v>
      </c>
      <c r="D5296" s="12" t="s">
        <v>122</v>
      </c>
      <c r="E5296" s="12" t="s">
        <v>142</v>
      </c>
      <c r="F5296">
        <v>1</v>
      </c>
      <c r="G5296">
        <v>6</v>
      </c>
      <c r="H5296">
        <v>1</v>
      </c>
      <c r="I5296" s="12" t="s">
        <v>105</v>
      </c>
      <c r="J5296" s="12" t="s">
        <v>106</v>
      </c>
      <c r="K5296" s="12" t="s">
        <v>81</v>
      </c>
      <c r="L5296" s="12" t="s">
        <v>96</v>
      </c>
      <c r="M5296">
        <v>5.01</v>
      </c>
      <c r="N5296" s="12" t="s">
        <v>70</v>
      </c>
      <c r="O5296" s="12" t="s">
        <v>71</v>
      </c>
      <c r="P5296" s="12" t="s">
        <v>72</v>
      </c>
      <c r="Q5296" s="13">
        <v>45849</v>
      </c>
      <c r="R5296" s="13">
        <v>45899</v>
      </c>
      <c r="S5296">
        <v>2025</v>
      </c>
      <c r="T5296" s="12" t="s">
        <v>6319</v>
      </c>
      <c r="U5296">
        <v>1774</v>
      </c>
      <c r="V5296">
        <v>41.5184</v>
      </c>
      <c r="W5296">
        <v>1208.26</v>
      </c>
      <c r="X5296">
        <v>0</v>
      </c>
      <c r="Y5296">
        <v>0</v>
      </c>
      <c r="Z5296">
        <v>73653.64</v>
      </c>
      <c r="AA5296">
        <v>74861.899999999994</v>
      </c>
      <c r="AB5296" s="12" t="s">
        <v>5824</v>
      </c>
      <c r="AC5296">
        <v>41.5184</v>
      </c>
      <c r="AD5296">
        <v>1</v>
      </c>
      <c r="AE5296">
        <v>1</v>
      </c>
      <c r="AF5296">
        <v>0</v>
      </c>
      <c r="AG5296">
        <v>73653.64</v>
      </c>
      <c r="AH5296">
        <v>1774</v>
      </c>
      <c r="AI5296">
        <v>1764</v>
      </c>
      <c r="AJ5296">
        <v>10</v>
      </c>
      <c r="AK5296">
        <v>1</v>
      </c>
      <c r="AL5296">
        <v>1</v>
      </c>
      <c r="AM5296">
        <v>99.44</v>
      </c>
      <c r="AN5296">
        <v>42.438699999999997</v>
      </c>
      <c r="AO5296">
        <v>415.18</v>
      </c>
      <c r="AP5296" s="13">
        <v>45901</v>
      </c>
      <c r="AQ5296">
        <v>2</v>
      </c>
      <c r="AR5296">
        <v>0</v>
      </c>
    </row>
    <row r="5297" spans="1:44" x14ac:dyDescent="0.35">
      <c r="A5297" s="12" t="s">
        <v>6392</v>
      </c>
      <c r="B5297" s="12" t="s">
        <v>766</v>
      </c>
      <c r="C5297" s="12" t="s">
        <v>767</v>
      </c>
      <c r="D5297" s="12" t="s">
        <v>175</v>
      </c>
      <c r="E5297" s="12" t="s">
        <v>65</v>
      </c>
      <c r="F5297">
        <v>3</v>
      </c>
      <c r="G5297">
        <v>5</v>
      </c>
      <c r="H5297">
        <v>0</v>
      </c>
      <c r="I5297" s="12" t="s">
        <v>87</v>
      </c>
      <c r="J5297" s="12" t="s">
        <v>88</v>
      </c>
      <c r="K5297" s="12" t="s">
        <v>89</v>
      </c>
      <c r="L5297" s="12" t="s">
        <v>69</v>
      </c>
      <c r="M5297">
        <v>14.93</v>
      </c>
      <c r="N5297" s="12" t="s">
        <v>145</v>
      </c>
      <c r="O5297" s="12" t="s">
        <v>146</v>
      </c>
      <c r="P5297" s="12" t="s">
        <v>109</v>
      </c>
      <c r="Q5297" s="13">
        <v>45852</v>
      </c>
      <c r="R5297" s="13">
        <v>45877</v>
      </c>
      <c r="S5297">
        <v>2025</v>
      </c>
      <c r="T5297" s="12" t="s">
        <v>6319</v>
      </c>
      <c r="U5297">
        <v>44</v>
      </c>
      <c r="V5297">
        <v>76.991200000000006</v>
      </c>
      <c r="W5297">
        <v>84.09</v>
      </c>
      <c r="X5297">
        <v>0</v>
      </c>
      <c r="Y5297">
        <v>0</v>
      </c>
      <c r="Z5297">
        <v>3387.61</v>
      </c>
      <c r="AA5297">
        <v>3471.7</v>
      </c>
      <c r="AB5297" s="12" t="s">
        <v>5662</v>
      </c>
      <c r="AC5297">
        <v>76.991200000000006</v>
      </c>
      <c r="AD5297">
        <v>1</v>
      </c>
      <c r="AE5297">
        <v>1</v>
      </c>
      <c r="AF5297">
        <v>0</v>
      </c>
      <c r="AG5297">
        <v>3387.61</v>
      </c>
      <c r="AH5297">
        <v>44</v>
      </c>
      <c r="AI5297">
        <v>44</v>
      </c>
      <c r="AJ5297">
        <v>0</v>
      </c>
      <c r="AK5297">
        <v>1</v>
      </c>
      <c r="AL5297">
        <v>1</v>
      </c>
      <c r="AM5297">
        <v>100</v>
      </c>
      <c r="AN5297">
        <v>78.902299999999997</v>
      </c>
      <c r="AO5297">
        <v>0</v>
      </c>
      <c r="AP5297" s="13">
        <v>45876</v>
      </c>
      <c r="AQ5297">
        <v>-1</v>
      </c>
      <c r="AR5297">
        <v>1</v>
      </c>
    </row>
    <row r="5298" spans="1:44" x14ac:dyDescent="0.35">
      <c r="A5298" s="12" t="s">
        <v>6393</v>
      </c>
      <c r="B5298" s="12" t="s">
        <v>706</v>
      </c>
      <c r="C5298" s="12" t="s">
        <v>707</v>
      </c>
      <c r="D5298" s="12" t="s">
        <v>130</v>
      </c>
      <c r="E5298" s="12" t="s">
        <v>142</v>
      </c>
      <c r="F5298">
        <v>1</v>
      </c>
      <c r="G5298">
        <v>8</v>
      </c>
      <c r="H5298">
        <v>1</v>
      </c>
      <c r="I5298" s="12" t="s">
        <v>263</v>
      </c>
      <c r="J5298" s="12" t="s">
        <v>264</v>
      </c>
      <c r="K5298" s="12" t="s">
        <v>125</v>
      </c>
      <c r="L5298" s="12" t="s">
        <v>82</v>
      </c>
      <c r="M5298">
        <v>10.210000000000001</v>
      </c>
      <c r="N5298" s="12" t="s">
        <v>135</v>
      </c>
      <c r="O5298" s="12" t="s">
        <v>136</v>
      </c>
      <c r="P5298" s="12" t="s">
        <v>137</v>
      </c>
      <c r="Q5298" s="13">
        <v>45852</v>
      </c>
      <c r="R5298" s="13">
        <v>45899</v>
      </c>
      <c r="S5298">
        <v>2025</v>
      </c>
      <c r="T5298" s="12" t="s">
        <v>6319</v>
      </c>
      <c r="U5298">
        <v>105</v>
      </c>
      <c r="V5298">
        <v>286.04610000000002</v>
      </c>
      <c r="W5298">
        <v>434.62</v>
      </c>
      <c r="X5298">
        <v>0</v>
      </c>
      <c r="Y5298">
        <v>0</v>
      </c>
      <c r="Z5298">
        <v>30034.84</v>
      </c>
      <c r="AA5298">
        <v>30469.46</v>
      </c>
      <c r="AB5298" s="12" t="s">
        <v>5735</v>
      </c>
      <c r="AC5298">
        <v>276.71809999999999</v>
      </c>
      <c r="AD5298">
        <v>1</v>
      </c>
      <c r="AE5298">
        <v>1</v>
      </c>
      <c r="AF5298">
        <v>979.44</v>
      </c>
      <c r="AG5298">
        <v>29055.4</v>
      </c>
      <c r="AH5298">
        <v>105</v>
      </c>
      <c r="AI5298">
        <v>105</v>
      </c>
      <c r="AJ5298">
        <v>0</v>
      </c>
      <c r="AK5298">
        <v>1</v>
      </c>
      <c r="AL5298">
        <v>1</v>
      </c>
      <c r="AM5298">
        <v>100</v>
      </c>
      <c r="AN5298">
        <v>290.18529999999998</v>
      </c>
      <c r="AO5298">
        <v>0</v>
      </c>
      <c r="AP5298" s="13">
        <v>45902</v>
      </c>
      <c r="AQ5298">
        <v>3</v>
      </c>
      <c r="AR5298">
        <v>0</v>
      </c>
    </row>
    <row r="5299" spans="1:44" x14ac:dyDescent="0.35">
      <c r="A5299" s="12" t="s">
        <v>6394</v>
      </c>
      <c r="B5299" s="12" t="s">
        <v>1108</v>
      </c>
      <c r="C5299" s="12" t="s">
        <v>1109</v>
      </c>
      <c r="D5299" s="12" t="s">
        <v>103</v>
      </c>
      <c r="E5299" s="12" t="s">
        <v>65</v>
      </c>
      <c r="F5299">
        <v>3</v>
      </c>
      <c r="G5299">
        <v>4</v>
      </c>
      <c r="H5299">
        <v>0</v>
      </c>
      <c r="I5299" s="12" t="s">
        <v>79</v>
      </c>
      <c r="J5299" s="12" t="s">
        <v>80</v>
      </c>
      <c r="K5299" s="12" t="s">
        <v>81</v>
      </c>
      <c r="L5299" s="12" t="s">
        <v>82</v>
      </c>
      <c r="M5299">
        <v>12.07</v>
      </c>
      <c r="N5299" s="12" t="s">
        <v>107</v>
      </c>
      <c r="O5299" s="12" t="s">
        <v>108</v>
      </c>
      <c r="P5299" s="12" t="s">
        <v>109</v>
      </c>
      <c r="Q5299" s="13">
        <v>45852</v>
      </c>
      <c r="R5299" s="13">
        <v>45886</v>
      </c>
      <c r="S5299">
        <v>2025</v>
      </c>
      <c r="T5299" s="12" t="s">
        <v>6319</v>
      </c>
      <c r="U5299">
        <v>111</v>
      </c>
      <c r="V5299">
        <v>85.1721</v>
      </c>
      <c r="W5299">
        <v>150.13</v>
      </c>
      <c r="X5299">
        <v>0</v>
      </c>
      <c r="Y5299">
        <v>0</v>
      </c>
      <c r="Z5299">
        <v>9454.1</v>
      </c>
      <c r="AA5299">
        <v>9604.23</v>
      </c>
      <c r="AB5299" s="12" t="s">
        <v>6252</v>
      </c>
      <c r="AC5299">
        <v>85.1721</v>
      </c>
      <c r="AD5299">
        <v>1</v>
      </c>
      <c r="AE5299">
        <v>1</v>
      </c>
      <c r="AF5299">
        <v>0</v>
      </c>
      <c r="AG5299">
        <v>9454.1</v>
      </c>
      <c r="AH5299">
        <v>111</v>
      </c>
      <c r="AI5299">
        <v>110</v>
      </c>
      <c r="AJ5299">
        <v>1</v>
      </c>
      <c r="AK5299">
        <v>1</v>
      </c>
      <c r="AL5299">
        <v>1</v>
      </c>
      <c r="AM5299">
        <v>99.1</v>
      </c>
      <c r="AN5299">
        <v>87.311199999999999</v>
      </c>
      <c r="AO5299">
        <v>85.17</v>
      </c>
      <c r="AP5299" s="13">
        <v>45883</v>
      </c>
      <c r="AQ5299">
        <v>-3</v>
      </c>
      <c r="AR5299">
        <v>1</v>
      </c>
    </row>
    <row r="5300" spans="1:44" x14ac:dyDescent="0.35">
      <c r="A5300" s="12" t="s">
        <v>6395</v>
      </c>
      <c r="B5300" s="12" t="s">
        <v>1034</v>
      </c>
      <c r="C5300" s="12" t="s">
        <v>1035</v>
      </c>
      <c r="D5300" s="12" t="s">
        <v>64</v>
      </c>
      <c r="E5300" s="12" t="s">
        <v>104</v>
      </c>
      <c r="F5300">
        <v>2</v>
      </c>
      <c r="G5300">
        <v>0</v>
      </c>
      <c r="H5300">
        <v>0</v>
      </c>
      <c r="I5300" s="12" t="s">
        <v>157</v>
      </c>
      <c r="J5300" s="12" t="s">
        <v>158</v>
      </c>
      <c r="K5300" s="12" t="s">
        <v>117</v>
      </c>
      <c r="L5300" s="12" t="s">
        <v>96</v>
      </c>
      <c r="M5300">
        <v>4.72</v>
      </c>
      <c r="N5300" s="12" t="s">
        <v>70</v>
      </c>
      <c r="O5300" s="12" t="s">
        <v>71</v>
      </c>
      <c r="P5300" s="12" t="s">
        <v>72</v>
      </c>
      <c r="Q5300" s="13">
        <v>45852</v>
      </c>
      <c r="R5300" s="13">
        <v>45873</v>
      </c>
      <c r="S5300">
        <v>2025</v>
      </c>
      <c r="T5300" s="12" t="s">
        <v>6319</v>
      </c>
      <c r="U5300">
        <v>563</v>
      </c>
      <c r="V5300">
        <v>8.5963999999999992</v>
      </c>
      <c r="W5300">
        <v>34.590000000000003</v>
      </c>
      <c r="X5300">
        <v>0</v>
      </c>
      <c r="Y5300">
        <v>0</v>
      </c>
      <c r="Z5300">
        <v>4839.7700000000004</v>
      </c>
      <c r="AA5300">
        <v>4874.3599999999997</v>
      </c>
      <c r="AB5300" s="12" t="s">
        <v>5798</v>
      </c>
      <c r="AC5300">
        <v>8.5963999999999992</v>
      </c>
      <c r="AD5300">
        <v>1</v>
      </c>
      <c r="AE5300">
        <v>1</v>
      </c>
      <c r="AF5300">
        <v>0</v>
      </c>
      <c r="AG5300">
        <v>4839.7700000000004</v>
      </c>
      <c r="AH5300">
        <v>563</v>
      </c>
      <c r="AI5300">
        <v>556</v>
      </c>
      <c r="AJ5300">
        <v>7</v>
      </c>
      <c r="AK5300">
        <v>1</v>
      </c>
      <c r="AL5300">
        <v>1</v>
      </c>
      <c r="AM5300">
        <v>98.76</v>
      </c>
      <c r="AN5300">
        <v>8.7667999999999999</v>
      </c>
      <c r="AO5300">
        <v>60.17</v>
      </c>
      <c r="AP5300" s="13">
        <v>45871</v>
      </c>
      <c r="AQ5300">
        <v>-2</v>
      </c>
      <c r="AR5300">
        <v>1</v>
      </c>
    </row>
    <row r="5301" spans="1:44" x14ac:dyDescent="0.35">
      <c r="A5301" s="12" t="s">
        <v>6396</v>
      </c>
      <c r="B5301" s="12" t="s">
        <v>416</v>
      </c>
      <c r="C5301" s="12" t="s">
        <v>417</v>
      </c>
      <c r="D5301" s="12" t="s">
        <v>78</v>
      </c>
      <c r="E5301" s="12" t="s">
        <v>65</v>
      </c>
      <c r="F5301">
        <v>3</v>
      </c>
      <c r="G5301">
        <v>5</v>
      </c>
      <c r="H5301">
        <v>0</v>
      </c>
      <c r="I5301" s="12" t="s">
        <v>169</v>
      </c>
      <c r="J5301" s="12" t="s">
        <v>170</v>
      </c>
      <c r="K5301" s="12" t="s">
        <v>89</v>
      </c>
      <c r="L5301" s="12" t="s">
        <v>134</v>
      </c>
      <c r="M5301">
        <v>1.37</v>
      </c>
      <c r="N5301" s="12" t="s">
        <v>70</v>
      </c>
      <c r="O5301" s="12" t="s">
        <v>71</v>
      </c>
      <c r="P5301" s="12" t="s">
        <v>72</v>
      </c>
      <c r="Q5301" s="13">
        <v>45852</v>
      </c>
      <c r="R5301" s="13">
        <v>45890</v>
      </c>
      <c r="S5301">
        <v>2025</v>
      </c>
      <c r="T5301" s="12" t="s">
        <v>6319</v>
      </c>
      <c r="U5301">
        <v>285</v>
      </c>
      <c r="V5301">
        <v>129.0615</v>
      </c>
      <c r="W5301">
        <v>707.17</v>
      </c>
      <c r="X5301">
        <v>0</v>
      </c>
      <c r="Y5301">
        <v>0</v>
      </c>
      <c r="Z5301">
        <v>36782.53</v>
      </c>
      <c r="AA5301">
        <v>37489.699999999997</v>
      </c>
      <c r="AB5301" s="12" t="s">
        <v>5522</v>
      </c>
      <c r="AC5301">
        <v>129.0615</v>
      </c>
      <c r="AD5301">
        <v>1</v>
      </c>
      <c r="AE5301">
        <v>1</v>
      </c>
      <c r="AF5301">
        <v>0</v>
      </c>
      <c r="AG5301">
        <v>36782.53</v>
      </c>
      <c r="AH5301">
        <v>285</v>
      </c>
      <c r="AI5301">
        <v>279</v>
      </c>
      <c r="AJ5301">
        <v>6</v>
      </c>
      <c r="AK5301">
        <v>1</v>
      </c>
      <c r="AL5301">
        <v>1</v>
      </c>
      <c r="AM5301">
        <v>97.89</v>
      </c>
      <c r="AN5301">
        <v>134.3717</v>
      </c>
      <c r="AO5301">
        <v>774.37</v>
      </c>
      <c r="AP5301" s="13">
        <v>45899</v>
      </c>
      <c r="AQ5301">
        <v>9</v>
      </c>
      <c r="AR5301">
        <v>0</v>
      </c>
    </row>
    <row r="5302" spans="1:44" x14ac:dyDescent="0.35">
      <c r="A5302" s="12" t="s">
        <v>6397</v>
      </c>
      <c r="B5302" s="12" t="s">
        <v>613</v>
      </c>
      <c r="C5302" s="12" t="s">
        <v>614</v>
      </c>
      <c r="D5302" s="12" t="s">
        <v>130</v>
      </c>
      <c r="E5302" s="12" t="s">
        <v>104</v>
      </c>
      <c r="F5302">
        <v>3</v>
      </c>
      <c r="G5302">
        <v>1</v>
      </c>
      <c r="H5302">
        <v>0</v>
      </c>
      <c r="I5302" s="12" t="s">
        <v>676</v>
      </c>
      <c r="J5302" s="12" t="s">
        <v>677</v>
      </c>
      <c r="K5302" s="12" t="s">
        <v>68</v>
      </c>
      <c r="L5302" s="12" t="s">
        <v>96</v>
      </c>
      <c r="M5302">
        <v>3.57</v>
      </c>
      <c r="N5302" s="12" t="s">
        <v>159</v>
      </c>
      <c r="O5302" s="12" t="s">
        <v>160</v>
      </c>
      <c r="P5302" s="12" t="s">
        <v>137</v>
      </c>
      <c r="Q5302" s="13">
        <v>45852</v>
      </c>
      <c r="R5302" s="13">
        <v>45869</v>
      </c>
      <c r="S5302">
        <v>2025</v>
      </c>
      <c r="T5302" s="12" t="s">
        <v>6319</v>
      </c>
      <c r="U5302">
        <v>51</v>
      </c>
      <c r="V5302">
        <v>175.429</v>
      </c>
      <c r="W5302">
        <v>191.93</v>
      </c>
      <c r="X5302">
        <v>0</v>
      </c>
      <c r="Y5302">
        <v>0</v>
      </c>
      <c r="Z5302">
        <v>8946.8799999999992</v>
      </c>
      <c r="AA5302">
        <v>9138.81</v>
      </c>
      <c r="AB5302" s="12" t="s">
        <v>201</v>
      </c>
      <c r="AD5302">
        <v>0</v>
      </c>
      <c r="AE5302">
        <v>0</v>
      </c>
      <c r="AH5302">
        <v>51</v>
      </c>
      <c r="AI5302">
        <v>51</v>
      </c>
      <c r="AJ5302">
        <v>0</v>
      </c>
      <c r="AK5302">
        <v>1</v>
      </c>
      <c r="AL5302">
        <v>1</v>
      </c>
      <c r="AM5302">
        <v>100</v>
      </c>
      <c r="AN5302">
        <v>179.19229999999999</v>
      </c>
      <c r="AO5302">
        <v>0</v>
      </c>
      <c r="AP5302" s="13">
        <v>45866</v>
      </c>
      <c r="AQ5302">
        <v>-3</v>
      </c>
      <c r="AR5302">
        <v>1</v>
      </c>
    </row>
    <row r="5303" spans="1:44" x14ac:dyDescent="0.35">
      <c r="A5303" s="12" t="s">
        <v>6398</v>
      </c>
      <c r="B5303" s="12" t="s">
        <v>399</v>
      </c>
      <c r="C5303" s="12" t="s">
        <v>400</v>
      </c>
      <c r="D5303" s="12" t="s">
        <v>114</v>
      </c>
      <c r="E5303" s="12" t="s">
        <v>65</v>
      </c>
      <c r="F5303">
        <v>1</v>
      </c>
      <c r="G5303">
        <v>2</v>
      </c>
      <c r="H5303">
        <v>1</v>
      </c>
      <c r="I5303" s="12" t="s">
        <v>151</v>
      </c>
      <c r="J5303" s="12" t="s">
        <v>152</v>
      </c>
      <c r="K5303" s="12" t="s">
        <v>125</v>
      </c>
      <c r="L5303" s="12" t="s">
        <v>69</v>
      </c>
      <c r="M5303">
        <v>36.479999999999997</v>
      </c>
      <c r="N5303" s="12" t="s">
        <v>97</v>
      </c>
      <c r="O5303" s="12" t="s">
        <v>98</v>
      </c>
      <c r="P5303" s="12" t="s">
        <v>72</v>
      </c>
      <c r="Q5303" s="13">
        <v>45852</v>
      </c>
      <c r="R5303" s="13">
        <v>45885</v>
      </c>
      <c r="S5303">
        <v>2025</v>
      </c>
      <c r="T5303" s="12" t="s">
        <v>6319</v>
      </c>
      <c r="U5303">
        <v>105</v>
      </c>
      <c r="V5303">
        <v>298.1019</v>
      </c>
      <c r="W5303">
        <v>354.6</v>
      </c>
      <c r="X5303">
        <v>0</v>
      </c>
      <c r="Y5303">
        <v>0</v>
      </c>
      <c r="Z5303">
        <v>31300.7</v>
      </c>
      <c r="AA5303">
        <v>31655.3</v>
      </c>
      <c r="AB5303" s="12" t="s">
        <v>201</v>
      </c>
      <c r="AD5303">
        <v>0</v>
      </c>
      <c r="AE5303">
        <v>0</v>
      </c>
      <c r="AH5303">
        <v>105</v>
      </c>
      <c r="AI5303">
        <v>103</v>
      </c>
      <c r="AJ5303">
        <v>2</v>
      </c>
      <c r="AK5303">
        <v>1</v>
      </c>
      <c r="AL5303">
        <v>1</v>
      </c>
      <c r="AM5303">
        <v>98.1</v>
      </c>
      <c r="AN5303">
        <v>307.33300000000003</v>
      </c>
      <c r="AO5303">
        <v>596.20000000000005</v>
      </c>
      <c r="AP5303" s="13">
        <v>45884</v>
      </c>
      <c r="AQ5303">
        <v>-1</v>
      </c>
      <c r="AR5303">
        <v>1</v>
      </c>
    </row>
    <row r="5304" spans="1:44" x14ac:dyDescent="0.35">
      <c r="A5304" s="12" t="s">
        <v>6399</v>
      </c>
      <c r="B5304" s="12" t="s">
        <v>569</v>
      </c>
      <c r="C5304" s="12" t="s">
        <v>570</v>
      </c>
      <c r="D5304" s="12" t="s">
        <v>114</v>
      </c>
      <c r="E5304" s="12" t="s">
        <v>142</v>
      </c>
      <c r="F5304">
        <v>1</v>
      </c>
      <c r="G5304">
        <v>6</v>
      </c>
      <c r="H5304">
        <v>1</v>
      </c>
      <c r="I5304" s="12" t="s">
        <v>123</v>
      </c>
      <c r="J5304" s="12" t="s">
        <v>124</v>
      </c>
      <c r="K5304" s="12" t="s">
        <v>125</v>
      </c>
      <c r="L5304" s="12" t="s">
        <v>82</v>
      </c>
      <c r="M5304">
        <v>6.75</v>
      </c>
      <c r="N5304" s="12" t="s">
        <v>97</v>
      </c>
      <c r="O5304" s="12" t="s">
        <v>98</v>
      </c>
      <c r="P5304" s="12" t="s">
        <v>72</v>
      </c>
      <c r="Q5304" s="13">
        <v>45852</v>
      </c>
      <c r="R5304" s="13">
        <v>45899</v>
      </c>
      <c r="S5304">
        <v>2025</v>
      </c>
      <c r="T5304" s="12" t="s">
        <v>6319</v>
      </c>
      <c r="U5304">
        <v>107</v>
      </c>
      <c r="V5304">
        <v>348.21159999999998</v>
      </c>
      <c r="W5304">
        <v>498.03</v>
      </c>
      <c r="X5304">
        <v>0</v>
      </c>
      <c r="Y5304">
        <v>0</v>
      </c>
      <c r="Z5304">
        <v>37258.639999999999</v>
      </c>
      <c r="AA5304">
        <v>37756.67</v>
      </c>
      <c r="AB5304" s="12" t="s">
        <v>5817</v>
      </c>
      <c r="AC5304">
        <v>348.21159999999998</v>
      </c>
      <c r="AD5304">
        <v>1</v>
      </c>
      <c r="AE5304">
        <v>1</v>
      </c>
      <c r="AF5304">
        <v>0</v>
      </c>
      <c r="AG5304">
        <v>37258.639999999999</v>
      </c>
      <c r="AH5304">
        <v>107</v>
      </c>
      <c r="AI5304">
        <v>106</v>
      </c>
      <c r="AJ5304">
        <v>1</v>
      </c>
      <c r="AK5304">
        <v>1</v>
      </c>
      <c r="AL5304">
        <v>1</v>
      </c>
      <c r="AM5304">
        <v>99.07</v>
      </c>
      <c r="AN5304">
        <v>356.19499999999999</v>
      </c>
      <c r="AO5304">
        <v>348.21</v>
      </c>
      <c r="AP5304" s="13">
        <v>45908</v>
      </c>
      <c r="AQ5304">
        <v>9</v>
      </c>
      <c r="AR5304">
        <v>0</v>
      </c>
    </row>
    <row r="5305" spans="1:44" x14ac:dyDescent="0.35">
      <c r="A5305" s="12" t="s">
        <v>6400</v>
      </c>
      <c r="B5305" s="12" t="s">
        <v>155</v>
      </c>
      <c r="C5305" s="12" t="s">
        <v>156</v>
      </c>
      <c r="D5305" s="12" t="s">
        <v>130</v>
      </c>
      <c r="E5305" s="12" t="s">
        <v>104</v>
      </c>
      <c r="F5305">
        <v>3</v>
      </c>
      <c r="G5305">
        <v>1</v>
      </c>
      <c r="H5305">
        <v>0</v>
      </c>
      <c r="I5305" s="12" t="s">
        <v>157</v>
      </c>
      <c r="J5305" s="12" t="s">
        <v>158</v>
      </c>
      <c r="K5305" s="12" t="s">
        <v>117</v>
      </c>
      <c r="L5305" s="12" t="s">
        <v>96</v>
      </c>
      <c r="M5305">
        <v>4.72</v>
      </c>
      <c r="N5305" s="12" t="s">
        <v>135</v>
      </c>
      <c r="O5305" s="12" t="s">
        <v>136</v>
      </c>
      <c r="P5305" s="12" t="s">
        <v>137</v>
      </c>
      <c r="Q5305" s="13">
        <v>45852</v>
      </c>
      <c r="R5305" s="13">
        <v>45865</v>
      </c>
      <c r="S5305">
        <v>2025</v>
      </c>
      <c r="T5305" s="12" t="s">
        <v>6319</v>
      </c>
      <c r="U5305">
        <v>23</v>
      </c>
      <c r="V5305">
        <v>189.37790000000001</v>
      </c>
      <c r="W5305">
        <v>75.959999999999994</v>
      </c>
      <c r="X5305">
        <v>0</v>
      </c>
      <c r="Y5305">
        <v>0</v>
      </c>
      <c r="Z5305">
        <v>4355.6899999999996</v>
      </c>
      <c r="AA5305">
        <v>4431.6499999999996</v>
      </c>
      <c r="AB5305" s="12" t="s">
        <v>201</v>
      </c>
      <c r="AD5305">
        <v>0</v>
      </c>
      <c r="AE5305">
        <v>0</v>
      </c>
      <c r="AH5305">
        <v>23</v>
      </c>
      <c r="AI5305">
        <v>23</v>
      </c>
      <c r="AJ5305">
        <v>0</v>
      </c>
      <c r="AK5305">
        <v>1</v>
      </c>
      <c r="AL5305">
        <v>1</v>
      </c>
      <c r="AM5305">
        <v>100</v>
      </c>
      <c r="AN5305">
        <v>192.68049999999999</v>
      </c>
      <c r="AO5305">
        <v>0</v>
      </c>
      <c r="AP5305" s="13">
        <v>45863</v>
      </c>
      <c r="AQ5305">
        <v>-2</v>
      </c>
      <c r="AR5305">
        <v>1</v>
      </c>
    </row>
    <row r="5306" spans="1:44" x14ac:dyDescent="0.35">
      <c r="A5306" s="12" t="s">
        <v>6401</v>
      </c>
      <c r="B5306" s="12" t="s">
        <v>657</v>
      </c>
      <c r="C5306" s="12" t="s">
        <v>658</v>
      </c>
      <c r="D5306" s="12" t="s">
        <v>175</v>
      </c>
      <c r="E5306" s="12" t="s">
        <v>65</v>
      </c>
      <c r="F5306">
        <v>1</v>
      </c>
      <c r="G5306">
        <v>2</v>
      </c>
      <c r="H5306">
        <v>1</v>
      </c>
      <c r="I5306" s="12" t="s">
        <v>183</v>
      </c>
      <c r="J5306" s="12" t="s">
        <v>184</v>
      </c>
      <c r="K5306" s="12" t="s">
        <v>133</v>
      </c>
      <c r="L5306" s="12" t="s">
        <v>82</v>
      </c>
      <c r="M5306">
        <v>8.6199999999999992</v>
      </c>
      <c r="N5306" s="12" t="s">
        <v>107</v>
      </c>
      <c r="O5306" s="12" t="s">
        <v>108</v>
      </c>
      <c r="P5306" s="12" t="s">
        <v>109</v>
      </c>
      <c r="Q5306" s="13">
        <v>45852</v>
      </c>
      <c r="R5306" s="13">
        <v>45885</v>
      </c>
      <c r="S5306">
        <v>2025</v>
      </c>
      <c r="T5306" s="12" t="s">
        <v>6319</v>
      </c>
      <c r="U5306">
        <v>103</v>
      </c>
      <c r="V5306">
        <v>144.5094</v>
      </c>
      <c r="W5306">
        <v>129.38999999999999</v>
      </c>
      <c r="X5306">
        <v>0</v>
      </c>
      <c r="Y5306">
        <v>0</v>
      </c>
      <c r="Z5306">
        <v>14884.47</v>
      </c>
      <c r="AA5306">
        <v>15013.86</v>
      </c>
      <c r="AB5306" s="12" t="s">
        <v>5771</v>
      </c>
      <c r="AC5306">
        <v>144.5094</v>
      </c>
      <c r="AD5306">
        <v>1</v>
      </c>
      <c r="AE5306">
        <v>1</v>
      </c>
      <c r="AF5306">
        <v>0</v>
      </c>
      <c r="AG5306">
        <v>14884.47</v>
      </c>
      <c r="AH5306">
        <v>103</v>
      </c>
      <c r="AI5306">
        <v>103</v>
      </c>
      <c r="AJ5306">
        <v>0</v>
      </c>
      <c r="AK5306">
        <v>1</v>
      </c>
      <c r="AL5306">
        <v>1</v>
      </c>
      <c r="AM5306">
        <v>100</v>
      </c>
      <c r="AN5306">
        <v>145.76560000000001</v>
      </c>
      <c r="AO5306">
        <v>0</v>
      </c>
      <c r="AP5306" s="13">
        <v>45883</v>
      </c>
      <c r="AQ5306">
        <v>-2</v>
      </c>
      <c r="AR5306">
        <v>1</v>
      </c>
    </row>
    <row r="5307" spans="1:44" x14ac:dyDescent="0.35">
      <c r="A5307" s="12" t="s">
        <v>6402</v>
      </c>
      <c r="B5307" s="12" t="s">
        <v>128</v>
      </c>
      <c r="C5307" s="12" t="s">
        <v>129</v>
      </c>
      <c r="D5307" s="12" t="s">
        <v>130</v>
      </c>
      <c r="E5307" s="12" t="s">
        <v>65</v>
      </c>
      <c r="F5307">
        <v>3</v>
      </c>
      <c r="G5307">
        <v>5</v>
      </c>
      <c r="H5307">
        <v>0</v>
      </c>
      <c r="I5307" s="12" t="s">
        <v>380</v>
      </c>
      <c r="J5307" s="12" t="s">
        <v>381</v>
      </c>
      <c r="K5307" s="12" t="s">
        <v>89</v>
      </c>
      <c r="L5307" s="12" t="s">
        <v>96</v>
      </c>
      <c r="M5307">
        <v>10.210000000000001</v>
      </c>
      <c r="N5307" s="12" t="s">
        <v>159</v>
      </c>
      <c r="O5307" s="12" t="s">
        <v>160</v>
      </c>
      <c r="P5307" s="12" t="s">
        <v>137</v>
      </c>
      <c r="Q5307" s="13">
        <v>45852</v>
      </c>
      <c r="R5307" s="13">
        <v>45884</v>
      </c>
      <c r="S5307">
        <v>2025</v>
      </c>
      <c r="T5307" s="12" t="s">
        <v>6319</v>
      </c>
      <c r="U5307">
        <v>102</v>
      </c>
      <c r="V5307">
        <v>468.52519999999998</v>
      </c>
      <c r="W5307">
        <v>1040.48</v>
      </c>
      <c r="X5307">
        <v>0</v>
      </c>
      <c r="Y5307">
        <v>0</v>
      </c>
      <c r="Z5307">
        <v>47789.57</v>
      </c>
      <c r="AA5307">
        <v>48830.05</v>
      </c>
      <c r="AB5307" s="12" t="s">
        <v>5396</v>
      </c>
      <c r="AC5307">
        <v>468.52519999999998</v>
      </c>
      <c r="AD5307">
        <v>1</v>
      </c>
      <c r="AE5307">
        <v>1</v>
      </c>
      <c r="AF5307">
        <v>0</v>
      </c>
      <c r="AG5307">
        <v>47789.57</v>
      </c>
      <c r="AH5307">
        <v>102</v>
      </c>
      <c r="AI5307">
        <v>101</v>
      </c>
      <c r="AJ5307">
        <v>1</v>
      </c>
      <c r="AK5307">
        <v>1</v>
      </c>
      <c r="AL5307">
        <v>1</v>
      </c>
      <c r="AM5307">
        <v>99.02</v>
      </c>
      <c r="AN5307">
        <v>483.4658</v>
      </c>
      <c r="AO5307">
        <v>468.53</v>
      </c>
      <c r="AP5307" s="13">
        <v>45883</v>
      </c>
      <c r="AQ5307">
        <v>-1</v>
      </c>
      <c r="AR5307">
        <v>1</v>
      </c>
    </row>
    <row r="5308" spans="1:44" x14ac:dyDescent="0.35">
      <c r="A5308" s="12" t="s">
        <v>6403</v>
      </c>
      <c r="B5308" s="12" t="s">
        <v>391</v>
      </c>
      <c r="C5308" s="12" t="s">
        <v>392</v>
      </c>
      <c r="D5308" s="12" t="s">
        <v>114</v>
      </c>
      <c r="E5308" s="12" t="s">
        <v>65</v>
      </c>
      <c r="F5308">
        <v>2</v>
      </c>
      <c r="G5308">
        <v>2</v>
      </c>
      <c r="H5308">
        <v>0</v>
      </c>
      <c r="I5308" s="12" t="s">
        <v>195</v>
      </c>
      <c r="J5308" s="12" t="s">
        <v>196</v>
      </c>
      <c r="K5308" s="12" t="s">
        <v>117</v>
      </c>
      <c r="L5308" s="12" t="s">
        <v>134</v>
      </c>
      <c r="M5308">
        <v>4.7699999999999996</v>
      </c>
      <c r="N5308" s="12" t="s">
        <v>97</v>
      </c>
      <c r="O5308" s="12" t="s">
        <v>98</v>
      </c>
      <c r="P5308" s="12" t="s">
        <v>72</v>
      </c>
      <c r="Q5308" s="13">
        <v>45852</v>
      </c>
      <c r="R5308" s="13">
        <v>45877</v>
      </c>
      <c r="S5308">
        <v>2025</v>
      </c>
      <c r="T5308" s="12" t="s">
        <v>6319</v>
      </c>
      <c r="U5308">
        <v>41</v>
      </c>
      <c r="V5308">
        <v>241.29230000000001</v>
      </c>
      <c r="W5308">
        <v>239.93</v>
      </c>
      <c r="X5308">
        <v>0</v>
      </c>
      <c r="Y5308">
        <v>0</v>
      </c>
      <c r="Z5308">
        <v>9892.98</v>
      </c>
      <c r="AA5308">
        <v>10132.91</v>
      </c>
      <c r="AB5308" s="12" t="s">
        <v>201</v>
      </c>
      <c r="AD5308">
        <v>0</v>
      </c>
      <c r="AE5308">
        <v>0</v>
      </c>
      <c r="AH5308">
        <v>41</v>
      </c>
      <c r="AI5308">
        <v>40</v>
      </c>
      <c r="AJ5308">
        <v>1</v>
      </c>
      <c r="AK5308">
        <v>1</v>
      </c>
      <c r="AL5308">
        <v>1</v>
      </c>
      <c r="AM5308">
        <v>97.56</v>
      </c>
      <c r="AN5308">
        <v>253.3229</v>
      </c>
      <c r="AO5308">
        <v>241.29</v>
      </c>
      <c r="AP5308" s="13">
        <v>45874</v>
      </c>
      <c r="AQ5308">
        <v>-3</v>
      </c>
      <c r="AR5308">
        <v>1</v>
      </c>
    </row>
    <row r="5309" spans="1:44" x14ac:dyDescent="0.35">
      <c r="A5309" s="12" t="s">
        <v>6404</v>
      </c>
      <c r="B5309" s="12" t="s">
        <v>891</v>
      </c>
      <c r="C5309" s="12" t="s">
        <v>892</v>
      </c>
      <c r="D5309" s="12" t="s">
        <v>122</v>
      </c>
      <c r="E5309" s="12" t="s">
        <v>65</v>
      </c>
      <c r="F5309">
        <v>3</v>
      </c>
      <c r="G5309">
        <v>5</v>
      </c>
      <c r="H5309">
        <v>0</v>
      </c>
      <c r="I5309" s="12" t="s">
        <v>195</v>
      </c>
      <c r="J5309" s="12" t="s">
        <v>196</v>
      </c>
      <c r="K5309" s="12" t="s">
        <v>117</v>
      </c>
      <c r="L5309" s="12" t="s">
        <v>134</v>
      </c>
      <c r="M5309">
        <v>4.7699999999999996</v>
      </c>
      <c r="N5309" s="12" t="s">
        <v>70</v>
      </c>
      <c r="O5309" s="12" t="s">
        <v>71</v>
      </c>
      <c r="P5309" s="12" t="s">
        <v>72</v>
      </c>
      <c r="Q5309" s="13">
        <v>45853</v>
      </c>
      <c r="R5309" s="13">
        <v>45882</v>
      </c>
      <c r="S5309">
        <v>2025</v>
      </c>
      <c r="T5309" s="12" t="s">
        <v>6319</v>
      </c>
      <c r="U5309">
        <v>1026</v>
      </c>
      <c r="V5309">
        <v>36.331099999999999</v>
      </c>
      <c r="W5309">
        <v>676.88</v>
      </c>
      <c r="X5309">
        <v>0</v>
      </c>
      <c r="Y5309">
        <v>0</v>
      </c>
      <c r="Z5309">
        <v>37275.71</v>
      </c>
      <c r="AA5309">
        <v>37952.589999999997</v>
      </c>
      <c r="AB5309" s="12" t="s">
        <v>5810</v>
      </c>
      <c r="AC5309">
        <v>36.331099999999999</v>
      </c>
      <c r="AD5309">
        <v>1</v>
      </c>
      <c r="AE5309">
        <v>1</v>
      </c>
      <c r="AF5309">
        <v>0</v>
      </c>
      <c r="AG5309">
        <v>37275.71</v>
      </c>
      <c r="AH5309">
        <v>1026</v>
      </c>
      <c r="AI5309">
        <v>1023</v>
      </c>
      <c r="AJ5309">
        <v>3</v>
      </c>
      <c r="AK5309">
        <v>1</v>
      </c>
      <c r="AL5309">
        <v>1</v>
      </c>
      <c r="AM5309">
        <v>99.71</v>
      </c>
      <c r="AN5309">
        <v>37.099299999999999</v>
      </c>
      <c r="AO5309">
        <v>108.99</v>
      </c>
      <c r="AP5309" s="13">
        <v>45881</v>
      </c>
      <c r="AQ5309">
        <v>-1</v>
      </c>
      <c r="AR5309">
        <v>1</v>
      </c>
    </row>
    <row r="5310" spans="1:44" x14ac:dyDescent="0.35">
      <c r="A5310" s="12" t="s">
        <v>6405</v>
      </c>
      <c r="B5310" s="12" t="s">
        <v>350</v>
      </c>
      <c r="C5310" s="12" t="s">
        <v>351</v>
      </c>
      <c r="D5310" s="12" t="s">
        <v>64</v>
      </c>
      <c r="E5310" s="12" t="s">
        <v>104</v>
      </c>
      <c r="F5310">
        <v>3</v>
      </c>
      <c r="G5310">
        <v>1</v>
      </c>
      <c r="H5310">
        <v>0</v>
      </c>
      <c r="I5310" s="12" t="s">
        <v>486</v>
      </c>
      <c r="J5310" s="12" t="s">
        <v>487</v>
      </c>
      <c r="K5310" s="12" t="s">
        <v>125</v>
      </c>
      <c r="L5310" s="12" t="s">
        <v>69</v>
      </c>
      <c r="M5310">
        <v>36.86</v>
      </c>
      <c r="N5310" s="12" t="s">
        <v>97</v>
      </c>
      <c r="O5310" s="12" t="s">
        <v>98</v>
      </c>
      <c r="P5310" s="12" t="s">
        <v>72</v>
      </c>
      <c r="Q5310" s="13">
        <v>45853</v>
      </c>
      <c r="R5310" s="13">
        <v>45880</v>
      </c>
      <c r="S5310">
        <v>2025</v>
      </c>
      <c r="T5310" s="12" t="s">
        <v>6319</v>
      </c>
      <c r="U5310">
        <v>874</v>
      </c>
      <c r="V5310">
        <v>8.2452000000000005</v>
      </c>
      <c r="W5310">
        <v>84.9</v>
      </c>
      <c r="X5310">
        <v>0</v>
      </c>
      <c r="Y5310">
        <v>0</v>
      </c>
      <c r="Z5310">
        <v>7206.3</v>
      </c>
      <c r="AA5310">
        <v>7291.2</v>
      </c>
      <c r="AB5310" s="12" t="s">
        <v>5628</v>
      </c>
      <c r="AC5310">
        <v>8.2452000000000005</v>
      </c>
      <c r="AD5310">
        <v>1</v>
      </c>
      <c r="AE5310">
        <v>1</v>
      </c>
      <c r="AF5310">
        <v>0</v>
      </c>
      <c r="AG5310">
        <v>7206.3</v>
      </c>
      <c r="AH5310">
        <v>874</v>
      </c>
      <c r="AI5310">
        <v>868</v>
      </c>
      <c r="AJ5310">
        <v>6</v>
      </c>
      <c r="AK5310">
        <v>1</v>
      </c>
      <c r="AL5310">
        <v>1</v>
      </c>
      <c r="AM5310">
        <v>99.31</v>
      </c>
      <c r="AN5310">
        <v>8.4</v>
      </c>
      <c r="AO5310">
        <v>49.47</v>
      </c>
      <c r="AP5310" s="13">
        <v>45878</v>
      </c>
      <c r="AQ5310">
        <v>-2</v>
      </c>
      <c r="AR5310">
        <v>1</v>
      </c>
    </row>
    <row r="5311" spans="1:44" x14ac:dyDescent="0.35">
      <c r="A5311" s="12" t="s">
        <v>6406</v>
      </c>
      <c r="B5311" s="12" t="s">
        <v>747</v>
      </c>
      <c r="C5311" s="12" t="s">
        <v>748</v>
      </c>
      <c r="D5311" s="12" t="s">
        <v>114</v>
      </c>
      <c r="E5311" s="12" t="s">
        <v>104</v>
      </c>
      <c r="F5311">
        <v>2</v>
      </c>
      <c r="G5311">
        <v>0</v>
      </c>
      <c r="H5311">
        <v>0</v>
      </c>
      <c r="I5311" s="12" t="s">
        <v>380</v>
      </c>
      <c r="J5311" s="12" t="s">
        <v>381</v>
      </c>
      <c r="K5311" s="12" t="s">
        <v>89</v>
      </c>
      <c r="L5311" s="12" t="s">
        <v>96</v>
      </c>
      <c r="M5311">
        <v>10.210000000000001</v>
      </c>
      <c r="N5311" s="12" t="s">
        <v>97</v>
      </c>
      <c r="O5311" s="12" t="s">
        <v>98</v>
      </c>
      <c r="P5311" s="12" t="s">
        <v>72</v>
      </c>
      <c r="Q5311" s="13">
        <v>45853</v>
      </c>
      <c r="R5311" s="13">
        <v>45865</v>
      </c>
      <c r="S5311">
        <v>2025</v>
      </c>
      <c r="T5311" s="12" t="s">
        <v>6319</v>
      </c>
      <c r="U5311">
        <v>13</v>
      </c>
      <c r="V5311">
        <v>250.98410000000001</v>
      </c>
      <c r="W5311">
        <v>67.05</v>
      </c>
      <c r="X5311">
        <v>0</v>
      </c>
      <c r="Y5311">
        <v>0</v>
      </c>
      <c r="Z5311">
        <v>3262.79</v>
      </c>
      <c r="AA5311">
        <v>3329.84</v>
      </c>
      <c r="AB5311" s="12" t="s">
        <v>201</v>
      </c>
      <c r="AD5311">
        <v>0</v>
      </c>
      <c r="AE5311">
        <v>0</v>
      </c>
      <c r="AH5311">
        <v>13</v>
      </c>
      <c r="AI5311">
        <v>13</v>
      </c>
      <c r="AJ5311">
        <v>0</v>
      </c>
      <c r="AK5311">
        <v>1</v>
      </c>
      <c r="AL5311">
        <v>1</v>
      </c>
      <c r="AM5311">
        <v>100</v>
      </c>
      <c r="AN5311">
        <v>256.14179999999999</v>
      </c>
      <c r="AO5311">
        <v>0</v>
      </c>
      <c r="AP5311" s="13">
        <v>45865</v>
      </c>
      <c r="AQ5311">
        <v>0</v>
      </c>
      <c r="AR5311">
        <v>1</v>
      </c>
    </row>
    <row r="5312" spans="1:44" x14ac:dyDescent="0.35">
      <c r="A5312" s="12" t="s">
        <v>6407</v>
      </c>
      <c r="B5312" s="12" t="s">
        <v>454</v>
      </c>
      <c r="C5312" s="12" t="s">
        <v>455</v>
      </c>
      <c r="D5312" s="12" t="s">
        <v>122</v>
      </c>
      <c r="E5312" s="12" t="s">
        <v>104</v>
      </c>
      <c r="F5312">
        <v>3</v>
      </c>
      <c r="G5312">
        <v>1</v>
      </c>
      <c r="H5312">
        <v>0</v>
      </c>
      <c r="I5312" s="12" t="s">
        <v>243</v>
      </c>
      <c r="J5312" s="12" t="s">
        <v>244</v>
      </c>
      <c r="K5312" s="12" t="s">
        <v>81</v>
      </c>
      <c r="L5312" s="12" t="s">
        <v>82</v>
      </c>
      <c r="M5312">
        <v>9.2200000000000006</v>
      </c>
      <c r="N5312" s="12" t="s">
        <v>97</v>
      </c>
      <c r="O5312" s="12" t="s">
        <v>98</v>
      </c>
      <c r="P5312" s="12" t="s">
        <v>72</v>
      </c>
      <c r="Q5312" s="13">
        <v>45853</v>
      </c>
      <c r="R5312" s="13">
        <v>45879</v>
      </c>
      <c r="S5312">
        <v>2025</v>
      </c>
      <c r="T5312" s="12" t="s">
        <v>6319</v>
      </c>
      <c r="U5312">
        <v>1605</v>
      </c>
      <c r="V5312">
        <v>22.1739</v>
      </c>
      <c r="W5312">
        <v>898.14</v>
      </c>
      <c r="X5312">
        <v>0</v>
      </c>
      <c r="Y5312">
        <v>0</v>
      </c>
      <c r="Z5312">
        <v>35589.11</v>
      </c>
      <c r="AA5312">
        <v>36487.25</v>
      </c>
      <c r="AB5312" s="12" t="s">
        <v>201</v>
      </c>
      <c r="AD5312">
        <v>0</v>
      </c>
      <c r="AE5312">
        <v>0</v>
      </c>
      <c r="AH5312">
        <v>1605</v>
      </c>
      <c r="AI5312">
        <v>1591</v>
      </c>
      <c r="AJ5312">
        <v>14</v>
      </c>
      <c r="AK5312">
        <v>1</v>
      </c>
      <c r="AL5312">
        <v>1</v>
      </c>
      <c r="AM5312">
        <v>99.13</v>
      </c>
      <c r="AN5312">
        <v>22.933499999999999</v>
      </c>
      <c r="AO5312">
        <v>310.43</v>
      </c>
      <c r="AP5312" s="13">
        <v>45876</v>
      </c>
      <c r="AQ5312">
        <v>-3</v>
      </c>
      <c r="AR5312">
        <v>1</v>
      </c>
    </row>
    <row r="5313" spans="1:44" x14ac:dyDescent="0.35">
      <c r="A5313" s="12" t="s">
        <v>6408</v>
      </c>
      <c r="B5313" s="12" t="s">
        <v>458</v>
      </c>
      <c r="C5313" s="12" t="s">
        <v>459</v>
      </c>
      <c r="D5313" s="12" t="s">
        <v>64</v>
      </c>
      <c r="E5313" s="12" t="s">
        <v>104</v>
      </c>
      <c r="F5313">
        <v>2</v>
      </c>
      <c r="G5313">
        <v>0</v>
      </c>
      <c r="H5313">
        <v>0</v>
      </c>
      <c r="I5313" s="12" t="s">
        <v>143</v>
      </c>
      <c r="J5313" s="12" t="s">
        <v>144</v>
      </c>
      <c r="K5313" s="12" t="s">
        <v>133</v>
      </c>
      <c r="L5313" s="12" t="s">
        <v>96</v>
      </c>
      <c r="M5313">
        <v>5.43</v>
      </c>
      <c r="N5313" s="12" t="s">
        <v>97</v>
      </c>
      <c r="O5313" s="12" t="s">
        <v>98</v>
      </c>
      <c r="P5313" s="12" t="s">
        <v>72</v>
      </c>
      <c r="Q5313" s="13">
        <v>45853</v>
      </c>
      <c r="R5313" s="13">
        <v>45881</v>
      </c>
      <c r="S5313">
        <v>2025</v>
      </c>
      <c r="T5313" s="12" t="s">
        <v>6319</v>
      </c>
      <c r="U5313">
        <v>913</v>
      </c>
      <c r="V5313">
        <v>23.3566</v>
      </c>
      <c r="W5313">
        <v>294.89999999999998</v>
      </c>
      <c r="X5313">
        <v>0</v>
      </c>
      <c r="Y5313">
        <v>0</v>
      </c>
      <c r="Z5313">
        <v>21324.58</v>
      </c>
      <c r="AA5313">
        <v>21619.48</v>
      </c>
      <c r="AB5313" s="12" t="s">
        <v>5547</v>
      </c>
      <c r="AC5313">
        <v>23.3566</v>
      </c>
      <c r="AD5313">
        <v>1</v>
      </c>
      <c r="AE5313">
        <v>1</v>
      </c>
      <c r="AF5313">
        <v>0</v>
      </c>
      <c r="AG5313">
        <v>21324.58</v>
      </c>
      <c r="AH5313">
        <v>913</v>
      </c>
      <c r="AI5313">
        <v>910</v>
      </c>
      <c r="AJ5313">
        <v>3</v>
      </c>
      <c r="AK5313">
        <v>1</v>
      </c>
      <c r="AL5313">
        <v>1</v>
      </c>
      <c r="AM5313">
        <v>99.67</v>
      </c>
      <c r="AN5313">
        <v>23.7577</v>
      </c>
      <c r="AO5313">
        <v>70.069999999999993</v>
      </c>
      <c r="AP5313" s="13">
        <v>45878</v>
      </c>
      <c r="AQ5313">
        <v>-3</v>
      </c>
      <c r="AR5313">
        <v>1</v>
      </c>
    </row>
    <row r="5314" spans="1:44" x14ac:dyDescent="0.35">
      <c r="A5314" s="12" t="s">
        <v>6409</v>
      </c>
      <c r="B5314" s="12" t="s">
        <v>837</v>
      </c>
      <c r="C5314" s="12" t="s">
        <v>838</v>
      </c>
      <c r="D5314" s="12" t="s">
        <v>114</v>
      </c>
      <c r="E5314" s="12" t="s">
        <v>104</v>
      </c>
      <c r="F5314">
        <v>2</v>
      </c>
      <c r="G5314">
        <v>0</v>
      </c>
      <c r="H5314">
        <v>0</v>
      </c>
      <c r="I5314" s="12" t="s">
        <v>199</v>
      </c>
      <c r="J5314" s="12" t="s">
        <v>200</v>
      </c>
      <c r="K5314" s="12" t="s">
        <v>68</v>
      </c>
      <c r="L5314" s="12" t="s">
        <v>96</v>
      </c>
      <c r="M5314">
        <v>9.4700000000000006</v>
      </c>
      <c r="N5314" s="12" t="s">
        <v>70</v>
      </c>
      <c r="O5314" s="12" t="s">
        <v>71</v>
      </c>
      <c r="P5314" s="12" t="s">
        <v>72</v>
      </c>
      <c r="Q5314" s="13">
        <v>45854</v>
      </c>
      <c r="R5314" s="13">
        <v>45866</v>
      </c>
      <c r="S5314">
        <v>2025</v>
      </c>
      <c r="T5314" s="12" t="s">
        <v>6319</v>
      </c>
      <c r="U5314">
        <v>13</v>
      </c>
      <c r="V5314">
        <v>66.785399999999996</v>
      </c>
      <c r="W5314">
        <v>9.9499999999999993</v>
      </c>
      <c r="X5314">
        <v>0</v>
      </c>
      <c r="Y5314">
        <v>0</v>
      </c>
      <c r="Z5314">
        <v>868.21</v>
      </c>
      <c r="AA5314">
        <v>878.16</v>
      </c>
      <c r="AB5314" s="12" t="s">
        <v>5895</v>
      </c>
      <c r="AC5314">
        <v>66.785399999999996</v>
      </c>
      <c r="AD5314">
        <v>1</v>
      </c>
      <c r="AE5314">
        <v>1</v>
      </c>
      <c r="AF5314">
        <v>0</v>
      </c>
      <c r="AG5314">
        <v>868.21</v>
      </c>
      <c r="AH5314">
        <v>13</v>
      </c>
      <c r="AI5314">
        <v>13</v>
      </c>
      <c r="AJ5314">
        <v>0</v>
      </c>
      <c r="AK5314">
        <v>1</v>
      </c>
      <c r="AL5314">
        <v>1</v>
      </c>
      <c r="AM5314">
        <v>100</v>
      </c>
      <c r="AN5314">
        <v>67.550799999999995</v>
      </c>
      <c r="AO5314">
        <v>0</v>
      </c>
      <c r="AP5314" s="13">
        <v>45870</v>
      </c>
      <c r="AQ5314">
        <v>4</v>
      </c>
      <c r="AR5314">
        <v>0</v>
      </c>
    </row>
    <row r="5315" spans="1:44" x14ac:dyDescent="0.35">
      <c r="A5315" s="12" t="s">
        <v>6410</v>
      </c>
      <c r="B5315" s="12" t="s">
        <v>347</v>
      </c>
      <c r="C5315" s="12" t="s">
        <v>348</v>
      </c>
      <c r="D5315" s="12" t="s">
        <v>78</v>
      </c>
      <c r="E5315" s="12" t="s">
        <v>104</v>
      </c>
      <c r="F5315">
        <v>3</v>
      </c>
      <c r="G5315">
        <v>1</v>
      </c>
      <c r="H5315">
        <v>0</v>
      </c>
      <c r="I5315" s="12" t="s">
        <v>105</v>
      </c>
      <c r="J5315" s="12" t="s">
        <v>106</v>
      </c>
      <c r="K5315" s="12" t="s">
        <v>81</v>
      </c>
      <c r="L5315" s="12" t="s">
        <v>96</v>
      </c>
      <c r="M5315">
        <v>5.01</v>
      </c>
      <c r="N5315" s="12" t="s">
        <v>70</v>
      </c>
      <c r="O5315" s="12" t="s">
        <v>71</v>
      </c>
      <c r="P5315" s="12" t="s">
        <v>72</v>
      </c>
      <c r="Q5315" s="13">
        <v>45854</v>
      </c>
      <c r="R5315" s="13">
        <v>45873</v>
      </c>
      <c r="S5315">
        <v>2025</v>
      </c>
      <c r="T5315" s="12" t="s">
        <v>6319</v>
      </c>
      <c r="U5315">
        <v>154</v>
      </c>
      <c r="V5315">
        <v>110.4106</v>
      </c>
      <c r="W5315">
        <v>353.84</v>
      </c>
      <c r="X5315">
        <v>0</v>
      </c>
      <c r="Y5315">
        <v>0</v>
      </c>
      <c r="Z5315">
        <v>17003.23</v>
      </c>
      <c r="AA5315">
        <v>17357.07</v>
      </c>
      <c r="AB5315" s="12" t="s">
        <v>201</v>
      </c>
      <c r="AD5315">
        <v>0</v>
      </c>
      <c r="AE5315">
        <v>0</v>
      </c>
      <c r="AH5315">
        <v>154</v>
      </c>
      <c r="AI5315">
        <v>152</v>
      </c>
      <c r="AJ5315">
        <v>2</v>
      </c>
      <c r="AK5315">
        <v>1</v>
      </c>
      <c r="AL5315">
        <v>1</v>
      </c>
      <c r="AM5315">
        <v>98.7</v>
      </c>
      <c r="AN5315">
        <v>114.1913</v>
      </c>
      <c r="AO5315">
        <v>220.82</v>
      </c>
      <c r="AP5315" s="13">
        <v>45870</v>
      </c>
      <c r="AQ5315">
        <v>-3</v>
      </c>
      <c r="AR5315">
        <v>1</v>
      </c>
    </row>
    <row r="5316" spans="1:44" x14ac:dyDescent="0.35">
      <c r="A5316" s="12" t="s">
        <v>6411</v>
      </c>
      <c r="B5316" s="12" t="s">
        <v>548</v>
      </c>
      <c r="C5316" s="12" t="s">
        <v>549</v>
      </c>
      <c r="D5316" s="12" t="s">
        <v>78</v>
      </c>
      <c r="E5316" s="12" t="s">
        <v>104</v>
      </c>
      <c r="F5316">
        <v>3</v>
      </c>
      <c r="G5316">
        <v>1</v>
      </c>
      <c r="H5316">
        <v>0</v>
      </c>
      <c r="I5316" s="12" t="s">
        <v>87</v>
      </c>
      <c r="J5316" s="12" t="s">
        <v>88</v>
      </c>
      <c r="K5316" s="12" t="s">
        <v>89</v>
      </c>
      <c r="L5316" s="12" t="s">
        <v>69</v>
      </c>
      <c r="M5316">
        <v>14.93</v>
      </c>
      <c r="N5316" s="12" t="s">
        <v>97</v>
      </c>
      <c r="O5316" s="12" t="s">
        <v>98</v>
      </c>
      <c r="P5316" s="12" t="s">
        <v>72</v>
      </c>
      <c r="Q5316" s="13">
        <v>45854</v>
      </c>
      <c r="R5316" s="13">
        <v>45872</v>
      </c>
      <c r="S5316">
        <v>2025</v>
      </c>
      <c r="T5316" s="12" t="s">
        <v>6319</v>
      </c>
      <c r="U5316">
        <v>136</v>
      </c>
      <c r="V5316">
        <v>59.394100000000002</v>
      </c>
      <c r="W5316">
        <v>128.07</v>
      </c>
      <c r="X5316">
        <v>0</v>
      </c>
      <c r="Y5316">
        <v>0</v>
      </c>
      <c r="Z5316">
        <v>8077.6</v>
      </c>
      <c r="AA5316">
        <v>8205.67</v>
      </c>
      <c r="AB5316" s="12" t="s">
        <v>201</v>
      </c>
      <c r="AD5316">
        <v>0</v>
      </c>
      <c r="AE5316">
        <v>0</v>
      </c>
      <c r="AH5316">
        <v>136</v>
      </c>
      <c r="AI5316">
        <v>134</v>
      </c>
      <c r="AJ5316">
        <v>2</v>
      </c>
      <c r="AK5316">
        <v>1</v>
      </c>
      <c r="AL5316">
        <v>1</v>
      </c>
      <c r="AM5316">
        <v>98.53</v>
      </c>
      <c r="AN5316">
        <v>61.2363</v>
      </c>
      <c r="AO5316">
        <v>118.79</v>
      </c>
      <c r="AP5316" s="13">
        <v>45869</v>
      </c>
      <c r="AQ5316">
        <v>-3</v>
      </c>
      <c r="AR5316">
        <v>1</v>
      </c>
    </row>
    <row r="5317" spans="1:44" x14ac:dyDescent="0.35">
      <c r="A5317" s="12" t="s">
        <v>6412</v>
      </c>
      <c r="B5317" s="12" t="s">
        <v>350</v>
      </c>
      <c r="C5317" s="12" t="s">
        <v>351</v>
      </c>
      <c r="D5317" s="12" t="s">
        <v>64</v>
      </c>
      <c r="E5317" s="12" t="s">
        <v>104</v>
      </c>
      <c r="F5317">
        <v>3</v>
      </c>
      <c r="G5317">
        <v>1</v>
      </c>
      <c r="H5317">
        <v>0</v>
      </c>
      <c r="I5317" s="12" t="s">
        <v>486</v>
      </c>
      <c r="J5317" s="12" t="s">
        <v>487</v>
      </c>
      <c r="K5317" s="12" t="s">
        <v>125</v>
      </c>
      <c r="L5317" s="12" t="s">
        <v>69</v>
      </c>
      <c r="M5317">
        <v>36.86</v>
      </c>
      <c r="N5317" s="12" t="s">
        <v>70</v>
      </c>
      <c r="O5317" s="12" t="s">
        <v>71</v>
      </c>
      <c r="P5317" s="12" t="s">
        <v>72</v>
      </c>
      <c r="Q5317" s="13">
        <v>45854</v>
      </c>
      <c r="R5317" s="13">
        <v>45875</v>
      </c>
      <c r="S5317">
        <v>2025</v>
      </c>
      <c r="T5317" s="12" t="s">
        <v>6319</v>
      </c>
      <c r="U5317">
        <v>593</v>
      </c>
      <c r="V5317">
        <v>8.2452000000000005</v>
      </c>
      <c r="W5317">
        <v>42.45</v>
      </c>
      <c r="X5317">
        <v>0</v>
      </c>
      <c r="Y5317">
        <v>0</v>
      </c>
      <c r="Z5317">
        <v>4889.3999999999996</v>
      </c>
      <c r="AA5317">
        <v>4931.8500000000004</v>
      </c>
      <c r="AB5317" s="12" t="s">
        <v>5628</v>
      </c>
      <c r="AC5317">
        <v>8.2452000000000005</v>
      </c>
      <c r="AD5317">
        <v>1</v>
      </c>
      <c r="AE5317">
        <v>1</v>
      </c>
      <c r="AF5317">
        <v>0</v>
      </c>
      <c r="AG5317">
        <v>4889.3999999999996</v>
      </c>
      <c r="AH5317">
        <v>593</v>
      </c>
      <c r="AI5317">
        <v>591</v>
      </c>
      <c r="AJ5317">
        <v>2</v>
      </c>
      <c r="AK5317">
        <v>1</v>
      </c>
      <c r="AL5317">
        <v>1</v>
      </c>
      <c r="AM5317">
        <v>99.66</v>
      </c>
      <c r="AN5317">
        <v>8.3449000000000009</v>
      </c>
      <c r="AO5317">
        <v>16.489999999999998</v>
      </c>
      <c r="AP5317" s="13">
        <v>45873</v>
      </c>
      <c r="AQ5317">
        <v>-2</v>
      </c>
      <c r="AR5317">
        <v>1</v>
      </c>
    </row>
    <row r="5318" spans="1:44" x14ac:dyDescent="0.35">
      <c r="A5318" s="12" t="s">
        <v>6413</v>
      </c>
      <c r="B5318" s="12" t="s">
        <v>308</v>
      </c>
      <c r="C5318" s="12" t="s">
        <v>309</v>
      </c>
      <c r="D5318" s="12" t="s">
        <v>122</v>
      </c>
      <c r="E5318" s="12" t="s">
        <v>142</v>
      </c>
      <c r="F5318">
        <v>1</v>
      </c>
      <c r="G5318">
        <v>6</v>
      </c>
      <c r="H5318">
        <v>1</v>
      </c>
      <c r="I5318" s="12" t="s">
        <v>310</v>
      </c>
      <c r="J5318" s="12" t="s">
        <v>311</v>
      </c>
      <c r="K5318" s="12" t="s">
        <v>81</v>
      </c>
      <c r="L5318" s="12" t="s">
        <v>69</v>
      </c>
      <c r="M5318">
        <v>28.3</v>
      </c>
      <c r="N5318" s="12" t="s">
        <v>97</v>
      </c>
      <c r="O5318" s="12" t="s">
        <v>98</v>
      </c>
      <c r="P5318" s="12" t="s">
        <v>72</v>
      </c>
      <c r="Q5318" s="13">
        <v>45854</v>
      </c>
      <c r="R5318" s="13">
        <v>45892</v>
      </c>
      <c r="S5318">
        <v>2025</v>
      </c>
      <c r="T5318" s="12" t="s">
        <v>6319</v>
      </c>
      <c r="U5318">
        <v>516</v>
      </c>
      <c r="V5318">
        <v>56.789000000000001</v>
      </c>
      <c r="W5318">
        <v>479.36</v>
      </c>
      <c r="X5318">
        <v>0</v>
      </c>
      <c r="Y5318">
        <v>0</v>
      </c>
      <c r="Z5318">
        <v>29303.119999999999</v>
      </c>
      <c r="AA5318">
        <v>29782.48</v>
      </c>
      <c r="AB5318" s="12" t="s">
        <v>5357</v>
      </c>
      <c r="AC5318">
        <v>56.789000000000001</v>
      </c>
      <c r="AD5318">
        <v>1</v>
      </c>
      <c r="AE5318">
        <v>1</v>
      </c>
      <c r="AF5318">
        <v>0</v>
      </c>
      <c r="AG5318">
        <v>29303.119999999999</v>
      </c>
      <c r="AH5318">
        <v>516</v>
      </c>
      <c r="AI5318">
        <v>510</v>
      </c>
      <c r="AJ5318">
        <v>6</v>
      </c>
      <c r="AK5318">
        <v>1</v>
      </c>
      <c r="AL5318">
        <v>1</v>
      </c>
      <c r="AM5318">
        <v>98.84</v>
      </c>
      <c r="AN5318">
        <v>58.396999999999998</v>
      </c>
      <c r="AO5318">
        <v>340.73</v>
      </c>
      <c r="AP5318" s="13">
        <v>45892</v>
      </c>
      <c r="AQ5318">
        <v>0</v>
      </c>
      <c r="AR5318">
        <v>1</v>
      </c>
    </row>
    <row r="5319" spans="1:44" x14ac:dyDescent="0.35">
      <c r="A5319" s="12" t="s">
        <v>6414</v>
      </c>
      <c r="B5319" s="12" t="s">
        <v>399</v>
      </c>
      <c r="C5319" s="12" t="s">
        <v>400</v>
      </c>
      <c r="D5319" s="12" t="s">
        <v>114</v>
      </c>
      <c r="E5319" s="12" t="s">
        <v>65</v>
      </c>
      <c r="F5319">
        <v>1</v>
      </c>
      <c r="G5319">
        <v>2</v>
      </c>
      <c r="H5319">
        <v>1</v>
      </c>
      <c r="I5319" s="12" t="s">
        <v>151</v>
      </c>
      <c r="J5319" s="12" t="s">
        <v>152</v>
      </c>
      <c r="K5319" s="12" t="s">
        <v>125</v>
      </c>
      <c r="L5319" s="12" t="s">
        <v>69</v>
      </c>
      <c r="M5319">
        <v>36.479999999999997</v>
      </c>
      <c r="N5319" s="12" t="s">
        <v>70</v>
      </c>
      <c r="O5319" s="12" t="s">
        <v>71</v>
      </c>
      <c r="P5319" s="12" t="s">
        <v>72</v>
      </c>
      <c r="Q5319" s="13">
        <v>45854</v>
      </c>
      <c r="R5319" s="13">
        <v>45881</v>
      </c>
      <c r="S5319">
        <v>2025</v>
      </c>
      <c r="T5319" s="12" t="s">
        <v>6319</v>
      </c>
      <c r="U5319">
        <v>61</v>
      </c>
      <c r="V5319">
        <v>331.33359999999999</v>
      </c>
      <c r="W5319">
        <v>204.96</v>
      </c>
      <c r="X5319">
        <v>0</v>
      </c>
      <c r="Y5319">
        <v>0</v>
      </c>
      <c r="Z5319">
        <v>20211.349999999999</v>
      </c>
      <c r="AA5319">
        <v>20416.310000000001</v>
      </c>
      <c r="AB5319" s="12" t="s">
        <v>201</v>
      </c>
      <c r="AD5319">
        <v>0</v>
      </c>
      <c r="AE5319">
        <v>0</v>
      </c>
      <c r="AH5319">
        <v>61</v>
      </c>
      <c r="AI5319">
        <v>60</v>
      </c>
      <c r="AJ5319">
        <v>1</v>
      </c>
      <c r="AK5319">
        <v>1</v>
      </c>
      <c r="AL5319">
        <v>1</v>
      </c>
      <c r="AM5319">
        <v>98.36</v>
      </c>
      <c r="AN5319">
        <v>340.27179999999998</v>
      </c>
      <c r="AO5319">
        <v>331.33</v>
      </c>
      <c r="AP5319" s="13">
        <v>45880</v>
      </c>
      <c r="AQ5319">
        <v>-1</v>
      </c>
      <c r="AR5319">
        <v>1</v>
      </c>
    </row>
    <row r="5320" spans="1:44" x14ac:dyDescent="0.35">
      <c r="A5320" s="12" t="s">
        <v>6415</v>
      </c>
      <c r="B5320" s="12" t="s">
        <v>1075</v>
      </c>
      <c r="C5320" s="12" t="s">
        <v>1076</v>
      </c>
      <c r="D5320" s="12" t="s">
        <v>103</v>
      </c>
      <c r="E5320" s="12" t="s">
        <v>65</v>
      </c>
      <c r="F5320">
        <v>2</v>
      </c>
      <c r="G5320">
        <v>4</v>
      </c>
      <c r="H5320">
        <v>0</v>
      </c>
      <c r="I5320" s="12" t="s">
        <v>183</v>
      </c>
      <c r="J5320" s="12" t="s">
        <v>184</v>
      </c>
      <c r="K5320" s="12" t="s">
        <v>133</v>
      </c>
      <c r="L5320" s="12" t="s">
        <v>82</v>
      </c>
      <c r="M5320">
        <v>8.6199999999999992</v>
      </c>
      <c r="N5320" s="12" t="s">
        <v>107</v>
      </c>
      <c r="O5320" s="12" t="s">
        <v>108</v>
      </c>
      <c r="P5320" s="12" t="s">
        <v>109</v>
      </c>
      <c r="Q5320" s="13">
        <v>45854</v>
      </c>
      <c r="R5320" s="13">
        <v>45889</v>
      </c>
      <c r="S5320">
        <v>2025</v>
      </c>
      <c r="T5320" s="12" t="s">
        <v>6319</v>
      </c>
      <c r="U5320">
        <v>120</v>
      </c>
      <c r="V5320">
        <v>74.911199999999994</v>
      </c>
      <c r="W5320">
        <v>111.16</v>
      </c>
      <c r="X5320">
        <v>0</v>
      </c>
      <c r="Y5320">
        <v>0</v>
      </c>
      <c r="Z5320">
        <v>8989.34</v>
      </c>
      <c r="AA5320">
        <v>9100.5</v>
      </c>
      <c r="AB5320" s="12" t="s">
        <v>201</v>
      </c>
      <c r="AD5320">
        <v>0</v>
      </c>
      <c r="AE5320">
        <v>0</v>
      </c>
      <c r="AH5320">
        <v>120</v>
      </c>
      <c r="AI5320">
        <v>119</v>
      </c>
      <c r="AJ5320">
        <v>1</v>
      </c>
      <c r="AK5320">
        <v>1</v>
      </c>
      <c r="AL5320">
        <v>1</v>
      </c>
      <c r="AM5320">
        <v>99.17</v>
      </c>
      <c r="AN5320">
        <v>76.474800000000002</v>
      </c>
      <c r="AO5320">
        <v>74.91</v>
      </c>
      <c r="AP5320" s="13">
        <v>45887</v>
      </c>
      <c r="AQ5320">
        <v>-2</v>
      </c>
      <c r="AR5320">
        <v>1</v>
      </c>
    </row>
    <row r="5321" spans="1:44" x14ac:dyDescent="0.35">
      <c r="A5321" s="12" t="s">
        <v>6416</v>
      </c>
      <c r="B5321" s="12" t="s">
        <v>537</v>
      </c>
      <c r="C5321" s="12" t="s">
        <v>538</v>
      </c>
      <c r="D5321" s="12" t="s">
        <v>103</v>
      </c>
      <c r="E5321" s="12" t="s">
        <v>104</v>
      </c>
      <c r="F5321">
        <v>3</v>
      </c>
      <c r="G5321">
        <v>0</v>
      </c>
      <c r="H5321">
        <v>0</v>
      </c>
      <c r="I5321" s="12" t="s">
        <v>105</v>
      </c>
      <c r="J5321" s="12" t="s">
        <v>106</v>
      </c>
      <c r="K5321" s="12" t="s">
        <v>81</v>
      </c>
      <c r="L5321" s="12" t="s">
        <v>96</v>
      </c>
      <c r="M5321">
        <v>5.01</v>
      </c>
      <c r="N5321" s="12" t="s">
        <v>145</v>
      </c>
      <c r="O5321" s="12" t="s">
        <v>146</v>
      </c>
      <c r="P5321" s="12" t="s">
        <v>109</v>
      </c>
      <c r="Q5321" s="13">
        <v>45855</v>
      </c>
      <c r="R5321" s="13">
        <v>45871</v>
      </c>
      <c r="S5321">
        <v>2025</v>
      </c>
      <c r="T5321" s="12" t="s">
        <v>6319</v>
      </c>
      <c r="U5321">
        <v>45</v>
      </c>
      <c r="V5321">
        <v>247.38130000000001</v>
      </c>
      <c r="W5321">
        <v>270.54000000000002</v>
      </c>
      <c r="X5321">
        <v>0</v>
      </c>
      <c r="Y5321">
        <v>0</v>
      </c>
      <c r="Z5321">
        <v>11132.16</v>
      </c>
      <c r="AA5321">
        <v>11402.7</v>
      </c>
      <c r="AB5321" s="12" t="s">
        <v>201</v>
      </c>
      <c r="AD5321">
        <v>0</v>
      </c>
      <c r="AE5321">
        <v>0</v>
      </c>
      <c r="AH5321">
        <v>45</v>
      </c>
      <c r="AI5321">
        <v>44</v>
      </c>
      <c r="AJ5321">
        <v>1</v>
      </c>
      <c r="AK5321">
        <v>1</v>
      </c>
      <c r="AL5321">
        <v>1</v>
      </c>
      <c r="AM5321">
        <v>97.78</v>
      </c>
      <c r="AN5321">
        <v>259.15219999999999</v>
      </c>
      <c r="AO5321">
        <v>247.38</v>
      </c>
      <c r="AP5321" s="13">
        <v>45870</v>
      </c>
      <c r="AQ5321">
        <v>-1</v>
      </c>
      <c r="AR5321">
        <v>1</v>
      </c>
    </row>
    <row r="5322" spans="1:44" x14ac:dyDescent="0.35">
      <c r="A5322" s="12" t="s">
        <v>6417</v>
      </c>
      <c r="B5322" s="12" t="s">
        <v>163</v>
      </c>
      <c r="C5322" s="12" t="s">
        <v>164</v>
      </c>
      <c r="D5322" s="12" t="s">
        <v>64</v>
      </c>
      <c r="E5322" s="12" t="s">
        <v>104</v>
      </c>
      <c r="F5322">
        <v>2</v>
      </c>
      <c r="G5322">
        <v>0</v>
      </c>
      <c r="H5322">
        <v>0</v>
      </c>
      <c r="I5322" s="12" t="s">
        <v>79</v>
      </c>
      <c r="J5322" s="12" t="s">
        <v>80</v>
      </c>
      <c r="K5322" s="12" t="s">
        <v>81</v>
      </c>
      <c r="L5322" s="12" t="s">
        <v>82</v>
      </c>
      <c r="M5322">
        <v>12.07</v>
      </c>
      <c r="N5322" s="12" t="s">
        <v>70</v>
      </c>
      <c r="O5322" s="12" t="s">
        <v>71</v>
      </c>
      <c r="P5322" s="12" t="s">
        <v>72</v>
      </c>
      <c r="Q5322" s="13">
        <v>45855</v>
      </c>
      <c r="R5322" s="13">
        <v>45884</v>
      </c>
      <c r="S5322">
        <v>2025</v>
      </c>
      <c r="T5322" s="12" t="s">
        <v>6319</v>
      </c>
      <c r="U5322">
        <v>950</v>
      </c>
      <c r="V5322">
        <v>10.482900000000001</v>
      </c>
      <c r="W5322">
        <v>66.209999999999994</v>
      </c>
      <c r="X5322">
        <v>0</v>
      </c>
      <c r="Y5322">
        <v>0</v>
      </c>
      <c r="Z5322">
        <v>9958.76</v>
      </c>
      <c r="AA5322">
        <v>10024.969999999999</v>
      </c>
      <c r="AB5322" s="12" t="s">
        <v>5303</v>
      </c>
      <c r="AC5322">
        <v>10.482900000000001</v>
      </c>
      <c r="AD5322">
        <v>1</v>
      </c>
      <c r="AE5322">
        <v>1</v>
      </c>
      <c r="AF5322">
        <v>0</v>
      </c>
      <c r="AG5322">
        <v>9958.76</v>
      </c>
      <c r="AH5322">
        <v>950</v>
      </c>
      <c r="AI5322">
        <v>944</v>
      </c>
      <c r="AJ5322">
        <v>6</v>
      </c>
      <c r="AK5322">
        <v>1</v>
      </c>
      <c r="AL5322">
        <v>1</v>
      </c>
      <c r="AM5322">
        <v>99.37</v>
      </c>
      <c r="AN5322">
        <v>10.6197</v>
      </c>
      <c r="AO5322">
        <v>62.9</v>
      </c>
      <c r="AP5322" s="13">
        <v>45883</v>
      </c>
      <c r="AQ5322">
        <v>-1</v>
      </c>
      <c r="AR5322">
        <v>1</v>
      </c>
    </row>
    <row r="5323" spans="1:44" x14ac:dyDescent="0.35">
      <c r="A5323" s="12" t="s">
        <v>6418</v>
      </c>
      <c r="B5323" s="12" t="s">
        <v>437</v>
      </c>
      <c r="C5323" s="12" t="s">
        <v>438</v>
      </c>
      <c r="D5323" s="12" t="s">
        <v>269</v>
      </c>
      <c r="E5323" s="12" t="s">
        <v>65</v>
      </c>
      <c r="F5323">
        <v>2</v>
      </c>
      <c r="G5323">
        <v>4</v>
      </c>
      <c r="H5323">
        <v>0</v>
      </c>
      <c r="I5323" s="12" t="s">
        <v>115</v>
      </c>
      <c r="J5323" s="12" t="s">
        <v>116</v>
      </c>
      <c r="K5323" s="12" t="s">
        <v>117</v>
      </c>
      <c r="L5323" s="12" t="s">
        <v>82</v>
      </c>
      <c r="M5323">
        <v>17.170000000000002</v>
      </c>
      <c r="N5323" s="12" t="s">
        <v>135</v>
      </c>
      <c r="O5323" s="12" t="s">
        <v>136</v>
      </c>
      <c r="P5323" s="12" t="s">
        <v>137</v>
      </c>
      <c r="Q5323" s="13">
        <v>45855</v>
      </c>
      <c r="R5323" s="13">
        <v>45892</v>
      </c>
      <c r="S5323">
        <v>2025</v>
      </c>
      <c r="T5323" s="12" t="s">
        <v>6319</v>
      </c>
      <c r="U5323">
        <v>134</v>
      </c>
      <c r="V5323">
        <v>409.1377</v>
      </c>
      <c r="W5323">
        <v>633.21</v>
      </c>
      <c r="X5323">
        <v>0</v>
      </c>
      <c r="Y5323">
        <v>0</v>
      </c>
      <c r="Z5323">
        <v>54824.45</v>
      </c>
      <c r="AA5323">
        <v>55457.66</v>
      </c>
      <c r="AB5323" s="12" t="s">
        <v>5505</v>
      </c>
      <c r="AC5323">
        <v>409.1377</v>
      </c>
      <c r="AD5323">
        <v>1</v>
      </c>
      <c r="AE5323">
        <v>1</v>
      </c>
      <c r="AF5323">
        <v>0</v>
      </c>
      <c r="AG5323">
        <v>54824.45</v>
      </c>
      <c r="AH5323">
        <v>134</v>
      </c>
      <c r="AI5323">
        <v>133</v>
      </c>
      <c r="AJ5323">
        <v>1</v>
      </c>
      <c r="AK5323">
        <v>1</v>
      </c>
      <c r="AL5323">
        <v>1</v>
      </c>
      <c r="AM5323">
        <v>99.25</v>
      </c>
      <c r="AN5323">
        <v>416.97489999999999</v>
      </c>
      <c r="AO5323">
        <v>409.14</v>
      </c>
      <c r="AP5323" s="13">
        <v>45892</v>
      </c>
      <c r="AQ5323">
        <v>0</v>
      </c>
      <c r="AR5323">
        <v>1</v>
      </c>
    </row>
    <row r="5324" spans="1:44" x14ac:dyDescent="0.35">
      <c r="A5324" s="12" t="s">
        <v>6419</v>
      </c>
      <c r="B5324" s="12" t="s">
        <v>1220</v>
      </c>
      <c r="C5324" s="12" t="s">
        <v>1221</v>
      </c>
      <c r="D5324" s="12" t="s">
        <v>175</v>
      </c>
      <c r="E5324" s="12" t="s">
        <v>104</v>
      </c>
      <c r="F5324">
        <v>3</v>
      </c>
      <c r="G5324">
        <v>1</v>
      </c>
      <c r="H5324">
        <v>0</v>
      </c>
      <c r="I5324" s="12" t="s">
        <v>515</v>
      </c>
      <c r="J5324" s="12" t="s">
        <v>516</v>
      </c>
      <c r="K5324" s="12" t="s">
        <v>68</v>
      </c>
      <c r="L5324" s="12" t="s">
        <v>134</v>
      </c>
      <c r="M5324">
        <v>3.69</v>
      </c>
      <c r="N5324" s="12" t="s">
        <v>145</v>
      </c>
      <c r="O5324" s="12" t="s">
        <v>146</v>
      </c>
      <c r="P5324" s="12" t="s">
        <v>109</v>
      </c>
      <c r="Q5324" s="13">
        <v>45855</v>
      </c>
      <c r="R5324" s="13">
        <v>45871</v>
      </c>
      <c r="S5324">
        <v>2025</v>
      </c>
      <c r="T5324" s="12" t="s">
        <v>6319</v>
      </c>
      <c r="U5324">
        <v>43</v>
      </c>
      <c r="V5324">
        <v>133.24299999999999</v>
      </c>
      <c r="W5324">
        <v>138.85</v>
      </c>
      <c r="X5324">
        <v>0</v>
      </c>
      <c r="Y5324">
        <v>0</v>
      </c>
      <c r="Z5324">
        <v>5729.45</v>
      </c>
      <c r="AA5324">
        <v>5868.3</v>
      </c>
      <c r="AB5324" s="12" t="s">
        <v>6420</v>
      </c>
      <c r="AC5324">
        <v>133.24299999999999</v>
      </c>
      <c r="AD5324">
        <v>1</v>
      </c>
      <c r="AE5324">
        <v>1</v>
      </c>
      <c r="AF5324">
        <v>0</v>
      </c>
      <c r="AG5324">
        <v>5729.45</v>
      </c>
      <c r="AH5324">
        <v>43</v>
      </c>
      <c r="AI5324">
        <v>43</v>
      </c>
      <c r="AJ5324">
        <v>0</v>
      </c>
      <c r="AK5324">
        <v>1</v>
      </c>
      <c r="AL5324">
        <v>1</v>
      </c>
      <c r="AM5324">
        <v>100</v>
      </c>
      <c r="AN5324">
        <v>136.47210000000001</v>
      </c>
      <c r="AO5324">
        <v>0</v>
      </c>
      <c r="AP5324" s="13">
        <v>45871</v>
      </c>
      <c r="AQ5324">
        <v>0</v>
      </c>
      <c r="AR5324">
        <v>1</v>
      </c>
    </row>
    <row r="5325" spans="1:44" x14ac:dyDescent="0.35">
      <c r="A5325" s="12" t="s">
        <v>6421</v>
      </c>
      <c r="B5325" s="12" t="s">
        <v>477</v>
      </c>
      <c r="C5325" s="12" t="s">
        <v>478</v>
      </c>
      <c r="D5325" s="12" t="s">
        <v>130</v>
      </c>
      <c r="E5325" s="12" t="s">
        <v>104</v>
      </c>
      <c r="F5325">
        <v>3</v>
      </c>
      <c r="G5325">
        <v>1</v>
      </c>
      <c r="H5325">
        <v>0</v>
      </c>
      <c r="I5325" s="12" t="s">
        <v>380</v>
      </c>
      <c r="J5325" s="12" t="s">
        <v>381</v>
      </c>
      <c r="K5325" s="12" t="s">
        <v>89</v>
      </c>
      <c r="L5325" s="12" t="s">
        <v>96</v>
      </c>
      <c r="M5325">
        <v>10.210000000000001</v>
      </c>
      <c r="N5325" s="12" t="s">
        <v>159</v>
      </c>
      <c r="O5325" s="12" t="s">
        <v>160</v>
      </c>
      <c r="P5325" s="12" t="s">
        <v>137</v>
      </c>
      <c r="Q5325" s="13">
        <v>45855</v>
      </c>
      <c r="R5325" s="13">
        <v>45883</v>
      </c>
      <c r="S5325">
        <v>2025</v>
      </c>
      <c r="T5325" s="12" t="s">
        <v>6319</v>
      </c>
      <c r="U5325">
        <v>140</v>
      </c>
      <c r="V5325">
        <v>656.68050000000005</v>
      </c>
      <c r="W5325">
        <v>685.19</v>
      </c>
      <c r="X5325">
        <v>0</v>
      </c>
      <c r="Y5325">
        <v>0</v>
      </c>
      <c r="Z5325">
        <v>91935.27</v>
      </c>
      <c r="AA5325">
        <v>92620.46</v>
      </c>
      <c r="AB5325" s="12" t="s">
        <v>5872</v>
      </c>
      <c r="AC5325">
        <v>656.68050000000005</v>
      </c>
      <c r="AD5325">
        <v>1</v>
      </c>
      <c r="AE5325">
        <v>1</v>
      </c>
      <c r="AF5325">
        <v>0</v>
      </c>
      <c r="AG5325">
        <v>91935.27</v>
      </c>
      <c r="AH5325">
        <v>140</v>
      </c>
      <c r="AI5325">
        <v>139</v>
      </c>
      <c r="AJ5325">
        <v>1</v>
      </c>
      <c r="AK5325">
        <v>1</v>
      </c>
      <c r="AL5325">
        <v>1</v>
      </c>
      <c r="AM5325">
        <v>99.29</v>
      </c>
      <c r="AN5325">
        <v>666.33420000000001</v>
      </c>
      <c r="AO5325">
        <v>656.68</v>
      </c>
      <c r="AP5325" s="13">
        <v>45888</v>
      </c>
      <c r="AQ5325">
        <v>5</v>
      </c>
      <c r="AR5325">
        <v>0</v>
      </c>
    </row>
    <row r="5326" spans="1:44" x14ac:dyDescent="0.35">
      <c r="A5326" s="12" t="s">
        <v>6422</v>
      </c>
      <c r="B5326" s="12" t="s">
        <v>809</v>
      </c>
      <c r="C5326" s="12" t="s">
        <v>810</v>
      </c>
      <c r="D5326" s="12" t="s">
        <v>114</v>
      </c>
      <c r="E5326" s="12" t="s">
        <v>65</v>
      </c>
      <c r="F5326">
        <v>3</v>
      </c>
      <c r="G5326">
        <v>5</v>
      </c>
      <c r="H5326">
        <v>0</v>
      </c>
      <c r="I5326" s="12" t="s">
        <v>811</v>
      </c>
      <c r="J5326" s="12" t="s">
        <v>812</v>
      </c>
      <c r="K5326" s="12" t="s">
        <v>117</v>
      </c>
      <c r="L5326" s="12" t="s">
        <v>69</v>
      </c>
      <c r="M5326">
        <v>26.4</v>
      </c>
      <c r="N5326" s="12" t="s">
        <v>97</v>
      </c>
      <c r="O5326" s="12" t="s">
        <v>98</v>
      </c>
      <c r="P5326" s="12" t="s">
        <v>72</v>
      </c>
      <c r="Q5326" s="13">
        <v>45855</v>
      </c>
      <c r="R5326" s="13">
        <v>45889</v>
      </c>
      <c r="S5326">
        <v>2025</v>
      </c>
      <c r="T5326" s="12" t="s">
        <v>6319</v>
      </c>
      <c r="U5326">
        <v>111</v>
      </c>
      <c r="V5326">
        <v>315.6524</v>
      </c>
      <c r="W5326">
        <v>873.78</v>
      </c>
      <c r="X5326">
        <v>0</v>
      </c>
      <c r="Y5326">
        <v>0</v>
      </c>
      <c r="Z5326">
        <v>35037.42</v>
      </c>
      <c r="AA5326">
        <v>35911.199999999997</v>
      </c>
      <c r="AB5326" s="12" t="s">
        <v>5977</v>
      </c>
      <c r="AC5326">
        <v>315.6524</v>
      </c>
      <c r="AD5326">
        <v>1</v>
      </c>
      <c r="AE5326">
        <v>1</v>
      </c>
      <c r="AF5326">
        <v>0</v>
      </c>
      <c r="AG5326">
        <v>35037.42</v>
      </c>
      <c r="AH5326">
        <v>111</v>
      </c>
      <c r="AI5326">
        <v>108</v>
      </c>
      <c r="AJ5326">
        <v>3</v>
      </c>
      <c r="AK5326">
        <v>1</v>
      </c>
      <c r="AL5326">
        <v>1</v>
      </c>
      <c r="AM5326">
        <v>97.3</v>
      </c>
      <c r="AN5326">
        <v>332.5111</v>
      </c>
      <c r="AO5326">
        <v>946.96</v>
      </c>
      <c r="AP5326" s="13">
        <v>45898</v>
      </c>
      <c r="AQ5326">
        <v>9</v>
      </c>
      <c r="AR5326">
        <v>0</v>
      </c>
    </row>
    <row r="5327" spans="1:44" x14ac:dyDescent="0.35">
      <c r="A5327" s="12" t="s">
        <v>6423</v>
      </c>
      <c r="B5327" s="12" t="s">
        <v>255</v>
      </c>
      <c r="C5327" s="12" t="s">
        <v>256</v>
      </c>
      <c r="D5327" s="12" t="s">
        <v>103</v>
      </c>
      <c r="E5327" s="12" t="s">
        <v>65</v>
      </c>
      <c r="F5327">
        <v>2</v>
      </c>
      <c r="G5327">
        <v>4</v>
      </c>
      <c r="H5327">
        <v>0</v>
      </c>
      <c r="I5327" s="12" t="s">
        <v>143</v>
      </c>
      <c r="J5327" s="12" t="s">
        <v>144</v>
      </c>
      <c r="K5327" s="12" t="s">
        <v>133</v>
      </c>
      <c r="L5327" s="12" t="s">
        <v>96</v>
      </c>
      <c r="M5327">
        <v>5.43</v>
      </c>
      <c r="N5327" s="12" t="s">
        <v>145</v>
      </c>
      <c r="O5327" s="12" t="s">
        <v>146</v>
      </c>
      <c r="P5327" s="12" t="s">
        <v>109</v>
      </c>
      <c r="Q5327" s="13">
        <v>45855</v>
      </c>
      <c r="R5327" s="13">
        <v>45879</v>
      </c>
      <c r="S5327">
        <v>2025</v>
      </c>
      <c r="T5327" s="12" t="s">
        <v>6319</v>
      </c>
      <c r="U5327">
        <v>39</v>
      </c>
      <c r="V5327">
        <v>95.061000000000007</v>
      </c>
      <c r="W5327">
        <v>51.11</v>
      </c>
      <c r="X5327">
        <v>116.59</v>
      </c>
      <c r="Y5327">
        <v>1</v>
      </c>
      <c r="Z5327">
        <v>3707.38</v>
      </c>
      <c r="AA5327">
        <v>3875.08</v>
      </c>
      <c r="AB5327" s="12" t="s">
        <v>5188</v>
      </c>
      <c r="AC5327">
        <v>95.061000000000007</v>
      </c>
      <c r="AD5327">
        <v>1</v>
      </c>
      <c r="AE5327">
        <v>1</v>
      </c>
      <c r="AF5327">
        <v>0</v>
      </c>
      <c r="AG5327">
        <v>3707.38</v>
      </c>
      <c r="AH5327">
        <v>39</v>
      </c>
      <c r="AI5327">
        <v>39</v>
      </c>
      <c r="AJ5327">
        <v>0</v>
      </c>
      <c r="AK5327">
        <v>1</v>
      </c>
      <c r="AL5327">
        <v>1</v>
      </c>
      <c r="AM5327">
        <v>100</v>
      </c>
      <c r="AN5327">
        <v>99.361000000000004</v>
      </c>
      <c r="AO5327">
        <v>0</v>
      </c>
      <c r="AP5327" s="13">
        <v>45879</v>
      </c>
      <c r="AQ5327">
        <v>0</v>
      </c>
      <c r="AR5327">
        <v>1</v>
      </c>
    </row>
    <row r="5328" spans="1:44" x14ac:dyDescent="0.35">
      <c r="A5328" s="12" t="s">
        <v>6424</v>
      </c>
      <c r="B5328" s="12" t="s">
        <v>661</v>
      </c>
      <c r="C5328" s="12" t="s">
        <v>662</v>
      </c>
      <c r="D5328" s="12" t="s">
        <v>175</v>
      </c>
      <c r="E5328" s="12" t="s">
        <v>104</v>
      </c>
      <c r="F5328">
        <v>1</v>
      </c>
      <c r="G5328">
        <v>0</v>
      </c>
      <c r="H5328">
        <v>1</v>
      </c>
      <c r="I5328" s="12" t="s">
        <v>183</v>
      </c>
      <c r="J5328" s="12" t="s">
        <v>184</v>
      </c>
      <c r="K5328" s="12" t="s">
        <v>133</v>
      </c>
      <c r="L5328" s="12" t="s">
        <v>82</v>
      </c>
      <c r="M5328">
        <v>8.6199999999999992</v>
      </c>
      <c r="N5328" s="12" t="s">
        <v>107</v>
      </c>
      <c r="O5328" s="12" t="s">
        <v>108</v>
      </c>
      <c r="P5328" s="12" t="s">
        <v>109</v>
      </c>
      <c r="Q5328" s="13">
        <v>45855</v>
      </c>
      <c r="R5328" s="13">
        <v>45879</v>
      </c>
      <c r="S5328">
        <v>2025</v>
      </c>
      <c r="T5328" s="12" t="s">
        <v>6319</v>
      </c>
      <c r="U5328">
        <v>110</v>
      </c>
      <c r="V5328">
        <v>166.30070000000001</v>
      </c>
      <c r="W5328">
        <v>272.5</v>
      </c>
      <c r="X5328">
        <v>0</v>
      </c>
      <c r="Y5328">
        <v>0</v>
      </c>
      <c r="Z5328">
        <v>18293.080000000002</v>
      </c>
      <c r="AA5328">
        <v>18565.580000000002</v>
      </c>
      <c r="AB5328" s="12" t="s">
        <v>5336</v>
      </c>
      <c r="AC5328">
        <v>166.30070000000001</v>
      </c>
      <c r="AD5328">
        <v>1</v>
      </c>
      <c r="AE5328">
        <v>1</v>
      </c>
      <c r="AF5328">
        <v>0</v>
      </c>
      <c r="AG5328">
        <v>18293.080000000002</v>
      </c>
      <c r="AH5328">
        <v>110</v>
      </c>
      <c r="AI5328">
        <v>108</v>
      </c>
      <c r="AJ5328">
        <v>2</v>
      </c>
      <c r="AK5328">
        <v>1</v>
      </c>
      <c r="AL5328">
        <v>1</v>
      </c>
      <c r="AM5328">
        <v>98.18</v>
      </c>
      <c r="AN5328">
        <v>171.90350000000001</v>
      </c>
      <c r="AO5328">
        <v>332.6</v>
      </c>
      <c r="AP5328" s="13">
        <v>45876</v>
      </c>
      <c r="AQ5328">
        <v>-3</v>
      </c>
      <c r="AR5328">
        <v>1</v>
      </c>
    </row>
    <row r="5329" spans="1:44" x14ac:dyDescent="0.35">
      <c r="A5329" s="12" t="s">
        <v>6425</v>
      </c>
      <c r="B5329" s="12" t="s">
        <v>869</v>
      </c>
      <c r="C5329" s="12" t="s">
        <v>870</v>
      </c>
      <c r="D5329" s="12" t="s">
        <v>130</v>
      </c>
      <c r="E5329" s="12" t="s">
        <v>104</v>
      </c>
      <c r="F5329">
        <v>2</v>
      </c>
      <c r="G5329">
        <v>0</v>
      </c>
      <c r="H5329">
        <v>0</v>
      </c>
      <c r="I5329" s="12" t="s">
        <v>359</v>
      </c>
      <c r="J5329" s="12" t="s">
        <v>360</v>
      </c>
      <c r="K5329" s="12" t="s">
        <v>133</v>
      </c>
      <c r="L5329" s="12" t="s">
        <v>82</v>
      </c>
      <c r="M5329">
        <v>12.65</v>
      </c>
      <c r="N5329" s="12" t="s">
        <v>159</v>
      </c>
      <c r="O5329" s="12" t="s">
        <v>160</v>
      </c>
      <c r="P5329" s="12" t="s">
        <v>137</v>
      </c>
      <c r="Q5329" s="13">
        <v>45855</v>
      </c>
      <c r="R5329" s="13">
        <v>45877</v>
      </c>
      <c r="S5329">
        <v>2025</v>
      </c>
      <c r="T5329" s="12" t="s">
        <v>6319</v>
      </c>
      <c r="U5329">
        <v>88</v>
      </c>
      <c r="V5329">
        <v>583.10879999999997</v>
      </c>
      <c r="W5329">
        <v>630.41</v>
      </c>
      <c r="X5329">
        <v>0</v>
      </c>
      <c r="Y5329">
        <v>0</v>
      </c>
      <c r="Z5329">
        <v>51313.57</v>
      </c>
      <c r="AA5329">
        <v>51943.98</v>
      </c>
      <c r="AB5329" s="12" t="s">
        <v>6426</v>
      </c>
      <c r="AC5329">
        <v>583.10879999999997</v>
      </c>
      <c r="AD5329">
        <v>1</v>
      </c>
      <c r="AE5329">
        <v>1</v>
      </c>
      <c r="AF5329">
        <v>0</v>
      </c>
      <c r="AG5329">
        <v>51313.57</v>
      </c>
      <c r="AH5329">
        <v>88</v>
      </c>
      <c r="AI5329">
        <v>87</v>
      </c>
      <c r="AJ5329">
        <v>1</v>
      </c>
      <c r="AK5329">
        <v>1</v>
      </c>
      <c r="AL5329">
        <v>1</v>
      </c>
      <c r="AM5329">
        <v>98.86</v>
      </c>
      <c r="AN5329">
        <v>597.05730000000005</v>
      </c>
      <c r="AO5329">
        <v>583.11</v>
      </c>
      <c r="AP5329" s="13">
        <v>45876</v>
      </c>
      <c r="AQ5329">
        <v>-1</v>
      </c>
      <c r="AR5329">
        <v>1</v>
      </c>
    </row>
    <row r="5330" spans="1:44" x14ac:dyDescent="0.35">
      <c r="A5330" s="12" t="s">
        <v>6427</v>
      </c>
      <c r="B5330" s="12" t="s">
        <v>1042</v>
      </c>
      <c r="C5330" s="12" t="s">
        <v>1043</v>
      </c>
      <c r="D5330" s="12" t="s">
        <v>269</v>
      </c>
      <c r="E5330" s="12" t="s">
        <v>104</v>
      </c>
      <c r="F5330">
        <v>2</v>
      </c>
      <c r="G5330">
        <v>0</v>
      </c>
      <c r="H5330">
        <v>0</v>
      </c>
      <c r="I5330" s="12" t="s">
        <v>143</v>
      </c>
      <c r="J5330" s="12" t="s">
        <v>144</v>
      </c>
      <c r="K5330" s="12" t="s">
        <v>133</v>
      </c>
      <c r="L5330" s="12" t="s">
        <v>96</v>
      </c>
      <c r="M5330">
        <v>5.43</v>
      </c>
      <c r="N5330" s="12" t="s">
        <v>159</v>
      </c>
      <c r="O5330" s="12" t="s">
        <v>160</v>
      </c>
      <c r="P5330" s="12" t="s">
        <v>137</v>
      </c>
      <c r="Q5330" s="13">
        <v>45855</v>
      </c>
      <c r="R5330" s="13">
        <v>45880</v>
      </c>
      <c r="S5330">
        <v>2025</v>
      </c>
      <c r="T5330" s="12" t="s">
        <v>6319</v>
      </c>
      <c r="U5330">
        <v>115</v>
      </c>
      <c r="V5330">
        <v>311.57409999999999</v>
      </c>
      <c r="W5330">
        <v>795.7</v>
      </c>
      <c r="X5330">
        <v>0</v>
      </c>
      <c r="Y5330">
        <v>0</v>
      </c>
      <c r="Z5330">
        <v>35831.019999999997</v>
      </c>
      <c r="AA5330">
        <v>36626.720000000001</v>
      </c>
      <c r="AB5330" s="12" t="s">
        <v>201</v>
      </c>
      <c r="AD5330">
        <v>0</v>
      </c>
      <c r="AE5330">
        <v>0</v>
      </c>
      <c r="AH5330">
        <v>115</v>
      </c>
      <c r="AI5330">
        <v>113</v>
      </c>
      <c r="AJ5330">
        <v>2</v>
      </c>
      <c r="AK5330">
        <v>1</v>
      </c>
      <c r="AL5330">
        <v>1</v>
      </c>
      <c r="AM5330">
        <v>98.26</v>
      </c>
      <c r="AN5330">
        <v>324.13029999999998</v>
      </c>
      <c r="AO5330">
        <v>623.15</v>
      </c>
      <c r="AP5330" s="13">
        <v>45879</v>
      </c>
      <c r="AQ5330">
        <v>-1</v>
      </c>
      <c r="AR5330">
        <v>1</v>
      </c>
    </row>
    <row r="5331" spans="1:44" x14ac:dyDescent="0.35">
      <c r="A5331" s="12" t="s">
        <v>6428</v>
      </c>
      <c r="B5331" s="12" t="s">
        <v>437</v>
      </c>
      <c r="C5331" s="12" t="s">
        <v>438</v>
      </c>
      <c r="D5331" s="12" t="s">
        <v>269</v>
      </c>
      <c r="E5331" s="12" t="s">
        <v>65</v>
      </c>
      <c r="F5331">
        <v>2</v>
      </c>
      <c r="G5331">
        <v>4</v>
      </c>
      <c r="H5331">
        <v>0</v>
      </c>
      <c r="I5331" s="12" t="s">
        <v>115</v>
      </c>
      <c r="J5331" s="12" t="s">
        <v>116</v>
      </c>
      <c r="K5331" s="12" t="s">
        <v>117</v>
      </c>
      <c r="L5331" s="12" t="s">
        <v>82</v>
      </c>
      <c r="M5331">
        <v>17.170000000000002</v>
      </c>
      <c r="N5331" s="12" t="s">
        <v>135</v>
      </c>
      <c r="O5331" s="12" t="s">
        <v>136</v>
      </c>
      <c r="P5331" s="12" t="s">
        <v>137</v>
      </c>
      <c r="Q5331" s="13">
        <v>45856</v>
      </c>
      <c r="R5331" s="13">
        <v>45877</v>
      </c>
      <c r="S5331">
        <v>2025</v>
      </c>
      <c r="T5331" s="12" t="s">
        <v>6319</v>
      </c>
      <c r="U5331">
        <v>15</v>
      </c>
      <c r="V5331">
        <v>409.1377</v>
      </c>
      <c r="W5331">
        <v>68.66</v>
      </c>
      <c r="X5331">
        <v>0</v>
      </c>
      <c r="Y5331">
        <v>0</v>
      </c>
      <c r="Z5331">
        <v>6137.07</v>
      </c>
      <c r="AA5331">
        <v>6205.73</v>
      </c>
      <c r="AB5331" s="12" t="s">
        <v>5505</v>
      </c>
      <c r="AC5331">
        <v>409.1377</v>
      </c>
      <c r="AD5331">
        <v>1</v>
      </c>
      <c r="AE5331">
        <v>1</v>
      </c>
      <c r="AF5331">
        <v>0</v>
      </c>
      <c r="AG5331">
        <v>6137.07</v>
      </c>
      <c r="AH5331">
        <v>15</v>
      </c>
      <c r="AI5331">
        <v>15</v>
      </c>
      <c r="AJ5331">
        <v>0</v>
      </c>
      <c r="AK5331">
        <v>1</v>
      </c>
      <c r="AL5331">
        <v>1</v>
      </c>
      <c r="AM5331">
        <v>100</v>
      </c>
      <c r="AN5331">
        <v>413.71499999999997</v>
      </c>
      <c r="AO5331">
        <v>0</v>
      </c>
      <c r="AP5331" s="13">
        <v>45874</v>
      </c>
      <c r="AQ5331">
        <v>-3</v>
      </c>
      <c r="AR5331">
        <v>1</v>
      </c>
    </row>
    <row r="5332" spans="1:44" x14ac:dyDescent="0.35">
      <c r="A5332" s="12" t="s">
        <v>6429</v>
      </c>
      <c r="B5332" s="12" t="s">
        <v>630</v>
      </c>
      <c r="C5332" s="12" t="s">
        <v>631</v>
      </c>
      <c r="D5332" s="12" t="s">
        <v>130</v>
      </c>
      <c r="E5332" s="12" t="s">
        <v>65</v>
      </c>
      <c r="F5332">
        <v>1</v>
      </c>
      <c r="G5332">
        <v>2</v>
      </c>
      <c r="H5332">
        <v>1</v>
      </c>
      <c r="I5332" s="12" t="s">
        <v>335</v>
      </c>
      <c r="J5332" s="12" t="s">
        <v>336</v>
      </c>
      <c r="K5332" s="12" t="s">
        <v>89</v>
      </c>
      <c r="L5332" s="12" t="s">
        <v>82</v>
      </c>
      <c r="M5332">
        <v>16</v>
      </c>
      <c r="N5332" s="12" t="s">
        <v>135</v>
      </c>
      <c r="O5332" s="12" t="s">
        <v>136</v>
      </c>
      <c r="P5332" s="12" t="s">
        <v>137</v>
      </c>
      <c r="Q5332" s="13">
        <v>45856</v>
      </c>
      <c r="R5332" s="13">
        <v>45882</v>
      </c>
      <c r="S5332">
        <v>2025</v>
      </c>
      <c r="T5332" s="12" t="s">
        <v>6319</v>
      </c>
      <c r="U5332">
        <v>49</v>
      </c>
      <c r="V5332">
        <v>418.37639999999999</v>
      </c>
      <c r="W5332">
        <v>513.45000000000005</v>
      </c>
      <c r="X5332">
        <v>0</v>
      </c>
      <c r="Y5332">
        <v>0</v>
      </c>
      <c r="Z5332">
        <v>20500.439999999999</v>
      </c>
      <c r="AA5332">
        <v>21013.89</v>
      </c>
      <c r="AB5332" s="12" t="s">
        <v>5553</v>
      </c>
      <c r="AC5332">
        <v>444.29629999999997</v>
      </c>
      <c r="AD5332">
        <v>1</v>
      </c>
      <c r="AE5332">
        <v>1</v>
      </c>
      <c r="AF5332">
        <v>-1270.08</v>
      </c>
      <c r="AG5332">
        <v>21770.52</v>
      </c>
      <c r="AH5332">
        <v>49</v>
      </c>
      <c r="AI5332">
        <v>48</v>
      </c>
      <c r="AJ5332">
        <v>1</v>
      </c>
      <c r="AK5332">
        <v>1</v>
      </c>
      <c r="AL5332">
        <v>1</v>
      </c>
      <c r="AM5332">
        <v>97.96</v>
      </c>
      <c r="AN5332">
        <v>437.78949999999998</v>
      </c>
      <c r="AO5332">
        <v>418.38</v>
      </c>
      <c r="AP5332" s="13">
        <v>45882</v>
      </c>
      <c r="AQ5332">
        <v>0</v>
      </c>
      <c r="AR5332">
        <v>1</v>
      </c>
    </row>
    <row r="5333" spans="1:44" x14ac:dyDescent="0.35">
      <c r="A5333" s="12" t="s">
        <v>6430</v>
      </c>
      <c r="B5333" s="12" t="s">
        <v>747</v>
      </c>
      <c r="C5333" s="12" t="s">
        <v>748</v>
      </c>
      <c r="D5333" s="12" t="s">
        <v>114</v>
      </c>
      <c r="E5333" s="12" t="s">
        <v>104</v>
      </c>
      <c r="F5333">
        <v>2</v>
      </c>
      <c r="G5333">
        <v>0</v>
      </c>
      <c r="H5333">
        <v>0</v>
      </c>
      <c r="I5333" s="12" t="s">
        <v>251</v>
      </c>
      <c r="J5333" s="12" t="s">
        <v>252</v>
      </c>
      <c r="K5333" s="12" t="s">
        <v>133</v>
      </c>
      <c r="L5333" s="12" t="s">
        <v>69</v>
      </c>
      <c r="M5333">
        <v>34.49</v>
      </c>
      <c r="N5333" s="12" t="s">
        <v>97</v>
      </c>
      <c r="O5333" s="12" t="s">
        <v>98</v>
      </c>
      <c r="P5333" s="12" t="s">
        <v>72</v>
      </c>
      <c r="Q5333" s="13">
        <v>45856</v>
      </c>
      <c r="R5333" s="13">
        <v>45878</v>
      </c>
      <c r="S5333">
        <v>2025</v>
      </c>
      <c r="T5333" s="12" t="s">
        <v>6319</v>
      </c>
      <c r="U5333">
        <v>92</v>
      </c>
      <c r="V5333">
        <v>238.95949999999999</v>
      </c>
      <c r="W5333">
        <v>134.76</v>
      </c>
      <c r="X5333">
        <v>0</v>
      </c>
      <c r="Y5333">
        <v>0</v>
      </c>
      <c r="Z5333">
        <v>21984.27</v>
      </c>
      <c r="AA5333">
        <v>22119.03</v>
      </c>
      <c r="AB5333" s="12" t="s">
        <v>6431</v>
      </c>
      <c r="AC5333">
        <v>238.95949999999999</v>
      </c>
      <c r="AD5333">
        <v>1</v>
      </c>
      <c r="AE5333">
        <v>1</v>
      </c>
      <c r="AF5333">
        <v>0</v>
      </c>
      <c r="AG5333">
        <v>21984.27</v>
      </c>
      <c r="AH5333">
        <v>92</v>
      </c>
      <c r="AI5333">
        <v>90</v>
      </c>
      <c r="AJ5333">
        <v>2</v>
      </c>
      <c r="AK5333">
        <v>1</v>
      </c>
      <c r="AL5333">
        <v>1</v>
      </c>
      <c r="AM5333">
        <v>97.83</v>
      </c>
      <c r="AN5333">
        <v>245.767</v>
      </c>
      <c r="AO5333">
        <v>477.92</v>
      </c>
      <c r="AP5333" s="13">
        <v>45875</v>
      </c>
      <c r="AQ5333">
        <v>-3</v>
      </c>
      <c r="AR5333">
        <v>1</v>
      </c>
    </row>
    <row r="5334" spans="1:44" x14ac:dyDescent="0.35">
      <c r="A5334" s="12" t="s">
        <v>6432</v>
      </c>
      <c r="B5334" s="12" t="s">
        <v>362</v>
      </c>
      <c r="C5334" s="12" t="s">
        <v>363</v>
      </c>
      <c r="D5334" s="12" t="s">
        <v>78</v>
      </c>
      <c r="E5334" s="12" t="s">
        <v>104</v>
      </c>
      <c r="F5334">
        <v>3</v>
      </c>
      <c r="G5334">
        <v>0</v>
      </c>
      <c r="H5334">
        <v>0</v>
      </c>
      <c r="I5334" s="12" t="s">
        <v>335</v>
      </c>
      <c r="J5334" s="12" t="s">
        <v>336</v>
      </c>
      <c r="K5334" s="12" t="s">
        <v>89</v>
      </c>
      <c r="L5334" s="12" t="s">
        <v>82</v>
      </c>
      <c r="M5334">
        <v>16</v>
      </c>
      <c r="N5334" s="12" t="s">
        <v>97</v>
      </c>
      <c r="O5334" s="12" t="s">
        <v>98</v>
      </c>
      <c r="P5334" s="12" t="s">
        <v>72</v>
      </c>
      <c r="Q5334" s="13">
        <v>45856</v>
      </c>
      <c r="R5334" s="13">
        <v>45875</v>
      </c>
      <c r="S5334">
        <v>2025</v>
      </c>
      <c r="T5334" s="12" t="s">
        <v>6319</v>
      </c>
      <c r="U5334">
        <v>153</v>
      </c>
      <c r="V5334">
        <v>63.994999999999997</v>
      </c>
      <c r="W5334">
        <v>123.31</v>
      </c>
      <c r="X5334">
        <v>0</v>
      </c>
      <c r="Y5334">
        <v>0</v>
      </c>
      <c r="Z5334">
        <v>9791.24</v>
      </c>
      <c r="AA5334">
        <v>9914.5499999999993</v>
      </c>
      <c r="AB5334" s="12" t="s">
        <v>201</v>
      </c>
      <c r="AD5334">
        <v>0</v>
      </c>
      <c r="AE5334">
        <v>0</v>
      </c>
      <c r="AH5334">
        <v>153</v>
      </c>
      <c r="AI5334">
        <v>151</v>
      </c>
      <c r="AJ5334">
        <v>2</v>
      </c>
      <c r="AK5334">
        <v>1</v>
      </c>
      <c r="AL5334">
        <v>1</v>
      </c>
      <c r="AM5334">
        <v>98.69</v>
      </c>
      <c r="AN5334">
        <v>65.659199999999998</v>
      </c>
      <c r="AO5334">
        <v>127.99</v>
      </c>
      <c r="AP5334" s="13">
        <v>45873</v>
      </c>
      <c r="AQ5334">
        <v>-2</v>
      </c>
      <c r="AR5334">
        <v>1</v>
      </c>
    </row>
    <row r="5335" spans="1:44" x14ac:dyDescent="0.35">
      <c r="A5335" s="12" t="s">
        <v>6433</v>
      </c>
      <c r="B5335" s="12" t="s">
        <v>231</v>
      </c>
      <c r="C5335" s="12" t="s">
        <v>232</v>
      </c>
      <c r="D5335" s="12" t="s">
        <v>130</v>
      </c>
      <c r="E5335" s="12" t="s">
        <v>65</v>
      </c>
      <c r="F5335">
        <v>1</v>
      </c>
      <c r="G5335">
        <v>2</v>
      </c>
      <c r="H5335">
        <v>1</v>
      </c>
      <c r="I5335" s="12" t="s">
        <v>233</v>
      </c>
      <c r="J5335" s="12" t="s">
        <v>234</v>
      </c>
      <c r="K5335" s="12" t="s">
        <v>125</v>
      </c>
      <c r="L5335" s="12" t="s">
        <v>96</v>
      </c>
      <c r="M5335">
        <v>3.73</v>
      </c>
      <c r="N5335" s="12" t="s">
        <v>135</v>
      </c>
      <c r="O5335" s="12" t="s">
        <v>136</v>
      </c>
      <c r="P5335" s="12" t="s">
        <v>137</v>
      </c>
      <c r="Q5335" s="13">
        <v>45856</v>
      </c>
      <c r="R5335" s="13">
        <v>45882</v>
      </c>
      <c r="S5335">
        <v>2025</v>
      </c>
      <c r="T5335" s="12" t="s">
        <v>6319</v>
      </c>
      <c r="U5335">
        <v>51</v>
      </c>
      <c r="V5335">
        <v>465.51209999999998</v>
      </c>
      <c r="W5335">
        <v>616.85</v>
      </c>
      <c r="X5335">
        <v>0</v>
      </c>
      <c r="Y5335">
        <v>0</v>
      </c>
      <c r="Z5335">
        <v>23741.119999999999</v>
      </c>
      <c r="AA5335">
        <v>24357.97</v>
      </c>
      <c r="AB5335" s="12" t="s">
        <v>201</v>
      </c>
      <c r="AD5335">
        <v>0</v>
      </c>
      <c r="AE5335">
        <v>0</v>
      </c>
      <c r="AH5335">
        <v>51</v>
      </c>
      <c r="AI5335">
        <v>50</v>
      </c>
      <c r="AJ5335">
        <v>1</v>
      </c>
      <c r="AK5335">
        <v>1</v>
      </c>
      <c r="AL5335">
        <v>1</v>
      </c>
      <c r="AM5335">
        <v>98.04</v>
      </c>
      <c r="AN5335">
        <v>487.15929999999997</v>
      </c>
      <c r="AO5335">
        <v>465.51</v>
      </c>
      <c r="AP5335" s="13">
        <v>45882</v>
      </c>
      <c r="AQ5335">
        <v>0</v>
      </c>
      <c r="AR5335">
        <v>1</v>
      </c>
    </row>
    <row r="5336" spans="1:44" x14ac:dyDescent="0.35">
      <c r="A5336" s="12" t="s">
        <v>6434</v>
      </c>
      <c r="B5336" s="12" t="s">
        <v>193</v>
      </c>
      <c r="C5336" s="12" t="s">
        <v>194</v>
      </c>
      <c r="D5336" s="12" t="s">
        <v>114</v>
      </c>
      <c r="E5336" s="12" t="s">
        <v>65</v>
      </c>
      <c r="F5336">
        <v>3</v>
      </c>
      <c r="G5336">
        <v>4</v>
      </c>
      <c r="H5336">
        <v>0</v>
      </c>
      <c r="I5336" s="12" t="s">
        <v>143</v>
      </c>
      <c r="J5336" s="12" t="s">
        <v>144</v>
      </c>
      <c r="K5336" s="12" t="s">
        <v>133</v>
      </c>
      <c r="L5336" s="12" t="s">
        <v>96</v>
      </c>
      <c r="M5336">
        <v>5.43</v>
      </c>
      <c r="N5336" s="12" t="s">
        <v>97</v>
      </c>
      <c r="O5336" s="12" t="s">
        <v>98</v>
      </c>
      <c r="P5336" s="12" t="s">
        <v>72</v>
      </c>
      <c r="Q5336" s="13">
        <v>45856</v>
      </c>
      <c r="R5336" s="13">
        <v>45878</v>
      </c>
      <c r="S5336">
        <v>2025</v>
      </c>
      <c r="T5336" s="12" t="s">
        <v>6319</v>
      </c>
      <c r="U5336">
        <v>18</v>
      </c>
      <c r="V5336">
        <v>104.46510000000001</v>
      </c>
      <c r="W5336">
        <v>42.93</v>
      </c>
      <c r="X5336">
        <v>0</v>
      </c>
      <c r="Y5336">
        <v>0</v>
      </c>
      <c r="Z5336">
        <v>1880.37</v>
      </c>
      <c r="AA5336">
        <v>1923.3</v>
      </c>
      <c r="AB5336" s="12" t="s">
        <v>6191</v>
      </c>
      <c r="AC5336">
        <v>104.46510000000001</v>
      </c>
      <c r="AD5336">
        <v>1</v>
      </c>
      <c r="AE5336">
        <v>1</v>
      </c>
      <c r="AF5336">
        <v>0</v>
      </c>
      <c r="AG5336">
        <v>1880.37</v>
      </c>
      <c r="AH5336">
        <v>18</v>
      </c>
      <c r="AI5336">
        <v>18</v>
      </c>
      <c r="AJ5336">
        <v>0</v>
      </c>
      <c r="AK5336">
        <v>1</v>
      </c>
      <c r="AL5336">
        <v>1</v>
      </c>
      <c r="AM5336">
        <v>100</v>
      </c>
      <c r="AN5336">
        <v>106.8501</v>
      </c>
      <c r="AO5336">
        <v>0</v>
      </c>
      <c r="AP5336" s="13">
        <v>45876</v>
      </c>
      <c r="AQ5336">
        <v>-2</v>
      </c>
      <c r="AR5336">
        <v>1</v>
      </c>
    </row>
    <row r="5337" spans="1:44" x14ac:dyDescent="0.35">
      <c r="A5337" s="12" t="s">
        <v>6435</v>
      </c>
      <c r="B5337" s="12" t="s">
        <v>289</v>
      </c>
      <c r="C5337" s="12" t="s">
        <v>290</v>
      </c>
      <c r="D5337" s="12" t="s">
        <v>175</v>
      </c>
      <c r="E5337" s="12" t="s">
        <v>104</v>
      </c>
      <c r="F5337">
        <v>3</v>
      </c>
      <c r="G5337">
        <v>1</v>
      </c>
      <c r="H5337">
        <v>0</v>
      </c>
      <c r="I5337" s="12" t="s">
        <v>359</v>
      </c>
      <c r="J5337" s="12" t="s">
        <v>360</v>
      </c>
      <c r="K5337" s="12" t="s">
        <v>133</v>
      </c>
      <c r="L5337" s="12" t="s">
        <v>82</v>
      </c>
      <c r="M5337">
        <v>12.65</v>
      </c>
      <c r="N5337" s="12" t="s">
        <v>145</v>
      </c>
      <c r="O5337" s="12" t="s">
        <v>146</v>
      </c>
      <c r="P5337" s="12" t="s">
        <v>109</v>
      </c>
      <c r="Q5337" s="13">
        <v>45856</v>
      </c>
      <c r="R5337" s="13">
        <v>45884</v>
      </c>
      <c r="S5337">
        <v>2025</v>
      </c>
      <c r="T5337" s="12" t="s">
        <v>6319</v>
      </c>
      <c r="U5337">
        <v>141</v>
      </c>
      <c r="V5337">
        <v>186.04859999999999</v>
      </c>
      <c r="W5337">
        <v>327</v>
      </c>
      <c r="X5337">
        <v>0</v>
      </c>
      <c r="Y5337">
        <v>0</v>
      </c>
      <c r="Z5337">
        <v>26232.85</v>
      </c>
      <c r="AA5337">
        <v>26559.85</v>
      </c>
      <c r="AB5337" s="12" t="s">
        <v>6261</v>
      </c>
      <c r="AC5337">
        <v>186.04859999999999</v>
      </c>
      <c r="AD5337">
        <v>1</v>
      </c>
      <c r="AE5337">
        <v>1</v>
      </c>
      <c r="AF5337">
        <v>0</v>
      </c>
      <c r="AG5337">
        <v>26232.85</v>
      </c>
      <c r="AH5337">
        <v>141</v>
      </c>
      <c r="AI5337">
        <v>140</v>
      </c>
      <c r="AJ5337">
        <v>1</v>
      </c>
      <c r="AK5337">
        <v>1</v>
      </c>
      <c r="AL5337">
        <v>1</v>
      </c>
      <c r="AM5337">
        <v>99.29</v>
      </c>
      <c r="AN5337">
        <v>189.7132</v>
      </c>
      <c r="AO5337">
        <v>186.05</v>
      </c>
      <c r="AP5337" s="13">
        <v>45884</v>
      </c>
      <c r="AQ5337">
        <v>0</v>
      </c>
      <c r="AR5337">
        <v>1</v>
      </c>
    </row>
    <row r="5338" spans="1:44" x14ac:dyDescent="0.35">
      <c r="A5338" s="12" t="s">
        <v>6436</v>
      </c>
      <c r="B5338" s="12" t="s">
        <v>428</v>
      </c>
      <c r="C5338" s="12" t="s">
        <v>429</v>
      </c>
      <c r="D5338" s="12" t="s">
        <v>64</v>
      </c>
      <c r="E5338" s="12" t="s">
        <v>65</v>
      </c>
      <c r="F5338">
        <v>3</v>
      </c>
      <c r="G5338">
        <v>4</v>
      </c>
      <c r="H5338">
        <v>0</v>
      </c>
      <c r="I5338" s="12" t="s">
        <v>380</v>
      </c>
      <c r="J5338" s="12" t="s">
        <v>381</v>
      </c>
      <c r="K5338" s="12" t="s">
        <v>89</v>
      </c>
      <c r="L5338" s="12" t="s">
        <v>96</v>
      </c>
      <c r="M5338">
        <v>10.210000000000001</v>
      </c>
      <c r="N5338" s="12" t="s">
        <v>97</v>
      </c>
      <c r="O5338" s="12" t="s">
        <v>98</v>
      </c>
      <c r="P5338" s="12" t="s">
        <v>72</v>
      </c>
      <c r="Q5338" s="13">
        <v>45856</v>
      </c>
      <c r="R5338" s="13">
        <v>45893</v>
      </c>
      <c r="S5338">
        <v>2025</v>
      </c>
      <c r="T5338" s="12" t="s">
        <v>6319</v>
      </c>
      <c r="U5338">
        <v>923</v>
      </c>
      <c r="V5338">
        <v>12.879099999999999</v>
      </c>
      <c r="W5338">
        <v>304.37</v>
      </c>
      <c r="X5338">
        <v>0</v>
      </c>
      <c r="Y5338">
        <v>0</v>
      </c>
      <c r="Z5338">
        <v>11887.41</v>
      </c>
      <c r="AA5338">
        <v>12191.78</v>
      </c>
      <c r="AB5338" s="12" t="s">
        <v>5501</v>
      </c>
      <c r="AC5338">
        <v>12.879099999999999</v>
      </c>
      <c r="AD5338">
        <v>1</v>
      </c>
      <c r="AE5338">
        <v>1</v>
      </c>
      <c r="AF5338">
        <v>0</v>
      </c>
      <c r="AG5338">
        <v>11887.41</v>
      </c>
      <c r="AH5338">
        <v>923</v>
      </c>
      <c r="AI5338">
        <v>916</v>
      </c>
      <c r="AJ5338">
        <v>7</v>
      </c>
      <c r="AK5338">
        <v>1</v>
      </c>
      <c r="AL5338">
        <v>1</v>
      </c>
      <c r="AM5338">
        <v>99.24</v>
      </c>
      <c r="AN5338">
        <v>13.309799999999999</v>
      </c>
      <c r="AO5338">
        <v>90.15</v>
      </c>
      <c r="AP5338" s="13">
        <v>45893</v>
      </c>
      <c r="AQ5338">
        <v>0</v>
      </c>
      <c r="AR5338">
        <v>1</v>
      </c>
    </row>
    <row r="5339" spans="1:44" x14ac:dyDescent="0.35">
      <c r="A5339" s="12" t="s">
        <v>6437</v>
      </c>
      <c r="B5339" s="12" t="s">
        <v>498</v>
      </c>
      <c r="C5339" s="12" t="s">
        <v>499</v>
      </c>
      <c r="D5339" s="12" t="s">
        <v>175</v>
      </c>
      <c r="E5339" s="12" t="s">
        <v>104</v>
      </c>
      <c r="F5339">
        <v>3</v>
      </c>
      <c r="G5339">
        <v>1</v>
      </c>
      <c r="H5339">
        <v>0</v>
      </c>
      <c r="I5339" s="12" t="s">
        <v>233</v>
      </c>
      <c r="J5339" s="12" t="s">
        <v>234</v>
      </c>
      <c r="K5339" s="12" t="s">
        <v>125</v>
      </c>
      <c r="L5339" s="12" t="s">
        <v>96</v>
      </c>
      <c r="M5339">
        <v>3.73</v>
      </c>
      <c r="N5339" s="12" t="s">
        <v>107</v>
      </c>
      <c r="O5339" s="12" t="s">
        <v>108</v>
      </c>
      <c r="P5339" s="12" t="s">
        <v>109</v>
      </c>
      <c r="Q5339" s="13">
        <v>45856</v>
      </c>
      <c r="R5339" s="13">
        <v>45878</v>
      </c>
      <c r="S5339">
        <v>2025</v>
      </c>
      <c r="T5339" s="12" t="s">
        <v>6319</v>
      </c>
      <c r="U5339">
        <v>94</v>
      </c>
      <c r="V5339">
        <v>262.52229999999997</v>
      </c>
      <c r="W5339">
        <v>480.55</v>
      </c>
      <c r="X5339">
        <v>0</v>
      </c>
      <c r="Y5339">
        <v>0</v>
      </c>
      <c r="Z5339">
        <v>24677.1</v>
      </c>
      <c r="AA5339">
        <v>25157.65</v>
      </c>
      <c r="AB5339" s="12" t="s">
        <v>5729</v>
      </c>
      <c r="AC5339">
        <v>262.52229999999997</v>
      </c>
      <c r="AD5339">
        <v>1</v>
      </c>
      <c r="AE5339">
        <v>1</v>
      </c>
      <c r="AF5339">
        <v>0</v>
      </c>
      <c r="AG5339">
        <v>24677.1</v>
      </c>
      <c r="AH5339">
        <v>94</v>
      </c>
      <c r="AI5339">
        <v>94</v>
      </c>
      <c r="AJ5339">
        <v>0</v>
      </c>
      <c r="AK5339">
        <v>1</v>
      </c>
      <c r="AL5339">
        <v>1</v>
      </c>
      <c r="AM5339">
        <v>100</v>
      </c>
      <c r="AN5339">
        <v>267.6345</v>
      </c>
      <c r="AO5339">
        <v>0</v>
      </c>
      <c r="AP5339" s="13">
        <v>45878</v>
      </c>
      <c r="AQ5339">
        <v>0</v>
      </c>
      <c r="AR5339">
        <v>1</v>
      </c>
    </row>
    <row r="5340" spans="1:44" x14ac:dyDescent="0.35">
      <c r="A5340" s="12" t="s">
        <v>6438</v>
      </c>
      <c r="B5340" s="12" t="s">
        <v>680</v>
      </c>
      <c r="C5340" s="12" t="s">
        <v>681</v>
      </c>
      <c r="D5340" s="12" t="s">
        <v>122</v>
      </c>
      <c r="E5340" s="12" t="s">
        <v>104</v>
      </c>
      <c r="F5340">
        <v>3</v>
      </c>
      <c r="G5340">
        <v>1</v>
      </c>
      <c r="H5340">
        <v>0</v>
      </c>
      <c r="I5340" s="12" t="s">
        <v>227</v>
      </c>
      <c r="J5340" s="12" t="s">
        <v>228</v>
      </c>
      <c r="K5340" s="12" t="s">
        <v>89</v>
      </c>
      <c r="L5340" s="12" t="s">
        <v>96</v>
      </c>
      <c r="M5340">
        <v>9.15</v>
      </c>
      <c r="N5340" s="12" t="s">
        <v>97</v>
      </c>
      <c r="O5340" s="12" t="s">
        <v>98</v>
      </c>
      <c r="P5340" s="12" t="s">
        <v>72</v>
      </c>
      <c r="Q5340" s="13">
        <v>45859</v>
      </c>
      <c r="R5340" s="13">
        <v>45887</v>
      </c>
      <c r="S5340">
        <v>2025</v>
      </c>
      <c r="T5340" s="12" t="s">
        <v>6319</v>
      </c>
      <c r="U5340">
        <v>1801</v>
      </c>
      <c r="V5340">
        <v>22.456900000000001</v>
      </c>
      <c r="W5340">
        <v>626.89</v>
      </c>
      <c r="X5340">
        <v>0</v>
      </c>
      <c r="Y5340">
        <v>0</v>
      </c>
      <c r="Z5340">
        <v>40444.879999999997</v>
      </c>
      <c r="AA5340">
        <v>41071.769999999997</v>
      </c>
      <c r="AB5340" s="12" t="s">
        <v>201</v>
      </c>
      <c r="AD5340">
        <v>0</v>
      </c>
      <c r="AE5340">
        <v>0</v>
      </c>
      <c r="AH5340">
        <v>1801</v>
      </c>
      <c r="AI5340">
        <v>1782</v>
      </c>
      <c r="AJ5340">
        <v>19</v>
      </c>
      <c r="AK5340">
        <v>1</v>
      </c>
      <c r="AL5340">
        <v>1</v>
      </c>
      <c r="AM5340">
        <v>98.95</v>
      </c>
      <c r="AN5340">
        <v>23.048100000000002</v>
      </c>
      <c r="AO5340">
        <v>426.68</v>
      </c>
      <c r="AP5340" s="13">
        <v>45886</v>
      </c>
      <c r="AQ5340">
        <v>-1</v>
      </c>
      <c r="AR5340">
        <v>1</v>
      </c>
    </row>
    <row r="5341" spans="1:44" x14ac:dyDescent="0.35">
      <c r="A5341" s="12" t="s">
        <v>6439</v>
      </c>
      <c r="B5341" s="12" t="s">
        <v>694</v>
      </c>
      <c r="C5341" s="12" t="s">
        <v>695</v>
      </c>
      <c r="D5341" s="12" t="s">
        <v>103</v>
      </c>
      <c r="E5341" s="12" t="s">
        <v>65</v>
      </c>
      <c r="F5341">
        <v>2</v>
      </c>
      <c r="G5341">
        <v>3</v>
      </c>
      <c r="H5341">
        <v>0</v>
      </c>
      <c r="I5341" s="12" t="s">
        <v>263</v>
      </c>
      <c r="J5341" s="12" t="s">
        <v>264</v>
      </c>
      <c r="K5341" s="12" t="s">
        <v>125</v>
      </c>
      <c r="L5341" s="12" t="s">
        <v>82</v>
      </c>
      <c r="M5341">
        <v>10.210000000000001</v>
      </c>
      <c r="N5341" s="12" t="s">
        <v>107</v>
      </c>
      <c r="O5341" s="12" t="s">
        <v>108</v>
      </c>
      <c r="P5341" s="12" t="s">
        <v>109</v>
      </c>
      <c r="Q5341" s="13">
        <v>45859</v>
      </c>
      <c r="R5341" s="13">
        <v>45896</v>
      </c>
      <c r="S5341">
        <v>2025</v>
      </c>
      <c r="T5341" s="12" t="s">
        <v>6319</v>
      </c>
      <c r="U5341">
        <v>136</v>
      </c>
      <c r="V5341">
        <v>206.7869</v>
      </c>
      <c r="W5341">
        <v>302.73</v>
      </c>
      <c r="X5341">
        <v>0</v>
      </c>
      <c r="Y5341">
        <v>0</v>
      </c>
      <c r="Z5341">
        <v>28123.02</v>
      </c>
      <c r="AA5341">
        <v>28425.75</v>
      </c>
      <c r="AB5341" s="12" t="s">
        <v>5721</v>
      </c>
      <c r="AC5341">
        <v>206.7869</v>
      </c>
      <c r="AD5341">
        <v>1</v>
      </c>
      <c r="AE5341">
        <v>1</v>
      </c>
      <c r="AF5341">
        <v>0</v>
      </c>
      <c r="AG5341">
        <v>28123.02</v>
      </c>
      <c r="AH5341">
        <v>136</v>
      </c>
      <c r="AI5341">
        <v>135</v>
      </c>
      <c r="AJ5341">
        <v>1</v>
      </c>
      <c r="AK5341">
        <v>1</v>
      </c>
      <c r="AL5341">
        <v>1</v>
      </c>
      <c r="AM5341">
        <v>99.26</v>
      </c>
      <c r="AN5341">
        <v>210.56110000000001</v>
      </c>
      <c r="AO5341">
        <v>206.79</v>
      </c>
      <c r="AP5341" s="13">
        <v>45896</v>
      </c>
      <c r="AQ5341">
        <v>0</v>
      </c>
      <c r="AR5341">
        <v>1</v>
      </c>
    </row>
    <row r="5342" spans="1:44" x14ac:dyDescent="0.35">
      <c r="A5342" s="12" t="s">
        <v>6440</v>
      </c>
      <c r="B5342" s="12" t="s">
        <v>1068</v>
      </c>
      <c r="C5342" s="12" t="s">
        <v>1069</v>
      </c>
      <c r="D5342" s="12" t="s">
        <v>122</v>
      </c>
      <c r="E5342" s="12" t="s">
        <v>65</v>
      </c>
      <c r="F5342">
        <v>2</v>
      </c>
      <c r="G5342">
        <v>2</v>
      </c>
      <c r="H5342">
        <v>0</v>
      </c>
      <c r="I5342" s="12" t="s">
        <v>79</v>
      </c>
      <c r="J5342" s="12" t="s">
        <v>80</v>
      </c>
      <c r="K5342" s="12" t="s">
        <v>81</v>
      </c>
      <c r="L5342" s="12" t="s">
        <v>82</v>
      </c>
      <c r="M5342">
        <v>12.07</v>
      </c>
      <c r="N5342" s="12" t="s">
        <v>70</v>
      </c>
      <c r="O5342" s="12" t="s">
        <v>71</v>
      </c>
      <c r="P5342" s="12" t="s">
        <v>72</v>
      </c>
      <c r="Q5342" s="13">
        <v>45859</v>
      </c>
      <c r="R5342" s="13">
        <v>45890</v>
      </c>
      <c r="S5342">
        <v>2025</v>
      </c>
      <c r="T5342" s="12" t="s">
        <v>6319</v>
      </c>
      <c r="U5342">
        <v>1251</v>
      </c>
      <c r="V5342">
        <v>20.8949</v>
      </c>
      <c r="W5342">
        <v>237.8</v>
      </c>
      <c r="X5342">
        <v>0</v>
      </c>
      <c r="Y5342">
        <v>0</v>
      </c>
      <c r="Z5342">
        <v>26139.52</v>
      </c>
      <c r="AA5342">
        <v>26377.32</v>
      </c>
      <c r="AB5342" s="12" t="s">
        <v>5478</v>
      </c>
      <c r="AC5342">
        <v>20.8949</v>
      </c>
      <c r="AD5342">
        <v>1</v>
      </c>
      <c r="AE5342">
        <v>1</v>
      </c>
      <c r="AF5342">
        <v>0</v>
      </c>
      <c r="AG5342">
        <v>26139.52</v>
      </c>
      <c r="AH5342">
        <v>1251</v>
      </c>
      <c r="AI5342">
        <v>1242</v>
      </c>
      <c r="AJ5342">
        <v>9</v>
      </c>
      <c r="AK5342">
        <v>1</v>
      </c>
      <c r="AL5342">
        <v>1</v>
      </c>
      <c r="AM5342">
        <v>99.28</v>
      </c>
      <c r="AN5342">
        <v>21.2378</v>
      </c>
      <c r="AO5342">
        <v>188.05</v>
      </c>
      <c r="AP5342" s="13">
        <v>45889</v>
      </c>
      <c r="AQ5342">
        <v>-1</v>
      </c>
      <c r="AR5342">
        <v>1</v>
      </c>
    </row>
    <row r="5343" spans="1:44" x14ac:dyDescent="0.35">
      <c r="A5343" s="12" t="s">
        <v>6441</v>
      </c>
      <c r="B5343" s="12" t="s">
        <v>420</v>
      </c>
      <c r="C5343" s="12" t="s">
        <v>421</v>
      </c>
      <c r="D5343" s="12" t="s">
        <v>269</v>
      </c>
      <c r="E5343" s="12" t="s">
        <v>104</v>
      </c>
      <c r="F5343">
        <v>2</v>
      </c>
      <c r="G5343">
        <v>0</v>
      </c>
      <c r="H5343">
        <v>0</v>
      </c>
      <c r="I5343" s="12" t="s">
        <v>380</v>
      </c>
      <c r="J5343" s="12" t="s">
        <v>381</v>
      </c>
      <c r="K5343" s="12" t="s">
        <v>89</v>
      </c>
      <c r="L5343" s="12" t="s">
        <v>96</v>
      </c>
      <c r="M5343">
        <v>10.210000000000001</v>
      </c>
      <c r="N5343" s="12" t="s">
        <v>135</v>
      </c>
      <c r="O5343" s="12" t="s">
        <v>136</v>
      </c>
      <c r="P5343" s="12" t="s">
        <v>137</v>
      </c>
      <c r="Q5343" s="13">
        <v>45859</v>
      </c>
      <c r="R5343" s="13">
        <v>45871</v>
      </c>
      <c r="S5343">
        <v>2025</v>
      </c>
      <c r="T5343" s="12" t="s">
        <v>6319</v>
      </c>
      <c r="U5343">
        <v>11</v>
      </c>
      <c r="V5343">
        <v>137.98429999999999</v>
      </c>
      <c r="W5343">
        <v>27.3</v>
      </c>
      <c r="X5343">
        <v>49.84</v>
      </c>
      <c r="Y5343">
        <v>1</v>
      </c>
      <c r="Z5343">
        <v>1517.83</v>
      </c>
      <c r="AA5343">
        <v>1594.97</v>
      </c>
      <c r="AB5343" s="12" t="s">
        <v>5648</v>
      </c>
      <c r="AC5343">
        <v>137.98429999999999</v>
      </c>
      <c r="AD5343">
        <v>1</v>
      </c>
      <c r="AE5343">
        <v>1</v>
      </c>
      <c r="AF5343">
        <v>0</v>
      </c>
      <c r="AG5343">
        <v>1517.83</v>
      </c>
      <c r="AH5343">
        <v>11</v>
      </c>
      <c r="AI5343">
        <v>11</v>
      </c>
      <c r="AJ5343">
        <v>0</v>
      </c>
      <c r="AK5343">
        <v>1</v>
      </c>
      <c r="AL5343">
        <v>1</v>
      </c>
      <c r="AM5343">
        <v>100</v>
      </c>
      <c r="AN5343">
        <v>144.99700000000001</v>
      </c>
      <c r="AO5343">
        <v>0</v>
      </c>
      <c r="AP5343" s="13">
        <v>45870</v>
      </c>
      <c r="AQ5343">
        <v>-1</v>
      </c>
      <c r="AR5343">
        <v>1</v>
      </c>
    </row>
    <row r="5344" spans="1:44" x14ac:dyDescent="0.35">
      <c r="A5344" s="12" t="s">
        <v>6442</v>
      </c>
      <c r="B5344" s="12" t="s">
        <v>267</v>
      </c>
      <c r="C5344" s="12" t="s">
        <v>268</v>
      </c>
      <c r="D5344" s="12" t="s">
        <v>269</v>
      </c>
      <c r="E5344" s="12" t="s">
        <v>142</v>
      </c>
      <c r="F5344">
        <v>1</v>
      </c>
      <c r="G5344">
        <v>8</v>
      </c>
      <c r="H5344">
        <v>1</v>
      </c>
      <c r="I5344" s="12" t="s">
        <v>94</v>
      </c>
      <c r="J5344" s="12" t="s">
        <v>95</v>
      </c>
      <c r="K5344" s="12" t="s">
        <v>81</v>
      </c>
      <c r="L5344" s="12" t="s">
        <v>96</v>
      </c>
      <c r="M5344">
        <v>4.8099999999999996</v>
      </c>
      <c r="N5344" s="12" t="s">
        <v>159</v>
      </c>
      <c r="O5344" s="12" t="s">
        <v>160</v>
      </c>
      <c r="P5344" s="12" t="s">
        <v>137</v>
      </c>
      <c r="Q5344" s="13">
        <v>45859</v>
      </c>
      <c r="R5344" s="13">
        <v>45907</v>
      </c>
      <c r="S5344">
        <v>2025</v>
      </c>
      <c r="T5344" s="12" t="s">
        <v>6319</v>
      </c>
      <c r="U5344">
        <v>115</v>
      </c>
      <c r="V5344">
        <v>227.3939</v>
      </c>
      <c r="W5344">
        <v>673.6</v>
      </c>
      <c r="X5344">
        <v>0</v>
      </c>
      <c r="Y5344">
        <v>0</v>
      </c>
      <c r="Z5344">
        <v>26150.3</v>
      </c>
      <c r="AA5344">
        <v>26823.9</v>
      </c>
      <c r="AB5344" s="12" t="s">
        <v>201</v>
      </c>
      <c r="AD5344">
        <v>0</v>
      </c>
      <c r="AE5344">
        <v>0</v>
      </c>
      <c r="AH5344">
        <v>115</v>
      </c>
      <c r="AI5344">
        <v>114</v>
      </c>
      <c r="AJ5344">
        <v>1</v>
      </c>
      <c r="AK5344">
        <v>1</v>
      </c>
      <c r="AL5344">
        <v>1</v>
      </c>
      <c r="AM5344">
        <v>99.13</v>
      </c>
      <c r="AN5344">
        <v>235.29740000000001</v>
      </c>
      <c r="AO5344">
        <v>227.39</v>
      </c>
      <c r="AP5344" s="13">
        <v>45912</v>
      </c>
      <c r="AQ5344">
        <v>5</v>
      </c>
      <c r="AR5344">
        <v>0</v>
      </c>
    </row>
    <row r="5345" spans="1:44" x14ac:dyDescent="0.35">
      <c r="A5345" s="12" t="s">
        <v>6443</v>
      </c>
      <c r="B5345" s="12" t="s">
        <v>231</v>
      </c>
      <c r="C5345" s="12" t="s">
        <v>232</v>
      </c>
      <c r="D5345" s="12" t="s">
        <v>130</v>
      </c>
      <c r="E5345" s="12" t="s">
        <v>65</v>
      </c>
      <c r="F5345">
        <v>1</v>
      </c>
      <c r="G5345">
        <v>2</v>
      </c>
      <c r="H5345">
        <v>1</v>
      </c>
      <c r="I5345" s="12" t="s">
        <v>233</v>
      </c>
      <c r="J5345" s="12" t="s">
        <v>234</v>
      </c>
      <c r="K5345" s="12" t="s">
        <v>125</v>
      </c>
      <c r="L5345" s="12" t="s">
        <v>96</v>
      </c>
      <c r="M5345">
        <v>3.73</v>
      </c>
      <c r="N5345" s="12" t="s">
        <v>159</v>
      </c>
      <c r="O5345" s="12" t="s">
        <v>160</v>
      </c>
      <c r="P5345" s="12" t="s">
        <v>137</v>
      </c>
      <c r="Q5345" s="13">
        <v>45859</v>
      </c>
      <c r="R5345" s="13">
        <v>45881</v>
      </c>
      <c r="S5345">
        <v>2025</v>
      </c>
      <c r="T5345" s="12" t="s">
        <v>6319</v>
      </c>
      <c r="U5345">
        <v>18</v>
      </c>
      <c r="V5345">
        <v>469.22480000000002</v>
      </c>
      <c r="W5345">
        <v>150.41</v>
      </c>
      <c r="X5345">
        <v>0</v>
      </c>
      <c r="Y5345">
        <v>0</v>
      </c>
      <c r="Z5345">
        <v>8446.0499999999993</v>
      </c>
      <c r="AA5345">
        <v>8596.4599999999991</v>
      </c>
      <c r="AB5345" s="12" t="s">
        <v>201</v>
      </c>
      <c r="AD5345">
        <v>0</v>
      </c>
      <c r="AE5345">
        <v>0</v>
      </c>
      <c r="AH5345">
        <v>18</v>
      </c>
      <c r="AI5345">
        <v>18</v>
      </c>
      <c r="AJ5345">
        <v>0</v>
      </c>
      <c r="AK5345">
        <v>1</v>
      </c>
      <c r="AL5345">
        <v>1</v>
      </c>
      <c r="AM5345">
        <v>100</v>
      </c>
      <c r="AN5345">
        <v>477.58089999999999</v>
      </c>
      <c r="AO5345">
        <v>0</v>
      </c>
      <c r="AP5345" s="13">
        <v>45881</v>
      </c>
      <c r="AQ5345">
        <v>0</v>
      </c>
      <c r="AR5345">
        <v>1</v>
      </c>
    </row>
    <row r="5346" spans="1:44" x14ac:dyDescent="0.35">
      <c r="A5346" s="12" t="s">
        <v>6444</v>
      </c>
      <c r="B5346" s="12" t="s">
        <v>792</v>
      </c>
      <c r="C5346" s="12" t="s">
        <v>793</v>
      </c>
      <c r="D5346" s="12" t="s">
        <v>103</v>
      </c>
      <c r="E5346" s="12" t="s">
        <v>65</v>
      </c>
      <c r="F5346">
        <v>2</v>
      </c>
      <c r="G5346">
        <v>3</v>
      </c>
      <c r="H5346">
        <v>0</v>
      </c>
      <c r="I5346" s="12" t="s">
        <v>359</v>
      </c>
      <c r="J5346" s="12" t="s">
        <v>360</v>
      </c>
      <c r="K5346" s="12" t="s">
        <v>133</v>
      </c>
      <c r="L5346" s="12" t="s">
        <v>82</v>
      </c>
      <c r="M5346">
        <v>12.65</v>
      </c>
      <c r="N5346" s="12" t="s">
        <v>145</v>
      </c>
      <c r="O5346" s="12" t="s">
        <v>146</v>
      </c>
      <c r="P5346" s="12" t="s">
        <v>109</v>
      </c>
      <c r="Q5346" s="13">
        <v>45859</v>
      </c>
      <c r="R5346" s="13">
        <v>45884</v>
      </c>
      <c r="S5346">
        <v>2025</v>
      </c>
      <c r="T5346" s="12" t="s">
        <v>6319</v>
      </c>
      <c r="U5346">
        <v>45</v>
      </c>
      <c r="V5346">
        <v>101.62569999999999</v>
      </c>
      <c r="W5346">
        <v>37.979999999999997</v>
      </c>
      <c r="X5346">
        <v>0</v>
      </c>
      <c r="Y5346">
        <v>0</v>
      </c>
      <c r="Z5346">
        <v>4573.16</v>
      </c>
      <c r="AA5346">
        <v>4611.1400000000003</v>
      </c>
      <c r="AB5346" s="12" t="s">
        <v>6085</v>
      </c>
      <c r="AC5346">
        <v>97.418599999999998</v>
      </c>
      <c r="AD5346">
        <v>1</v>
      </c>
      <c r="AE5346">
        <v>1</v>
      </c>
      <c r="AF5346">
        <v>189.32</v>
      </c>
      <c r="AG5346">
        <v>4383.84</v>
      </c>
      <c r="AH5346">
        <v>45</v>
      </c>
      <c r="AI5346">
        <v>44</v>
      </c>
      <c r="AJ5346">
        <v>1</v>
      </c>
      <c r="AK5346">
        <v>1</v>
      </c>
      <c r="AL5346">
        <v>1</v>
      </c>
      <c r="AM5346">
        <v>97.78</v>
      </c>
      <c r="AN5346">
        <v>104.79859999999999</v>
      </c>
      <c r="AO5346">
        <v>101.63</v>
      </c>
      <c r="AP5346" s="13">
        <v>45882</v>
      </c>
      <c r="AQ5346">
        <v>-2</v>
      </c>
      <c r="AR5346">
        <v>1</v>
      </c>
    </row>
    <row r="5347" spans="1:44" x14ac:dyDescent="0.35">
      <c r="A5347" s="12" t="s">
        <v>6445</v>
      </c>
      <c r="B5347" s="12" t="s">
        <v>317</v>
      </c>
      <c r="C5347" s="12" t="s">
        <v>318</v>
      </c>
      <c r="D5347" s="12" t="s">
        <v>64</v>
      </c>
      <c r="E5347" s="12" t="s">
        <v>104</v>
      </c>
      <c r="F5347">
        <v>2</v>
      </c>
      <c r="G5347">
        <v>0</v>
      </c>
      <c r="H5347">
        <v>0</v>
      </c>
      <c r="I5347" s="12" t="s">
        <v>183</v>
      </c>
      <c r="J5347" s="12" t="s">
        <v>184</v>
      </c>
      <c r="K5347" s="12" t="s">
        <v>133</v>
      </c>
      <c r="L5347" s="12" t="s">
        <v>82</v>
      </c>
      <c r="M5347">
        <v>8.6199999999999992</v>
      </c>
      <c r="N5347" s="12" t="s">
        <v>97</v>
      </c>
      <c r="O5347" s="12" t="s">
        <v>98</v>
      </c>
      <c r="P5347" s="12" t="s">
        <v>72</v>
      </c>
      <c r="Q5347" s="13">
        <v>45860</v>
      </c>
      <c r="R5347" s="13">
        <v>45889</v>
      </c>
      <c r="S5347">
        <v>2025</v>
      </c>
      <c r="T5347" s="12" t="s">
        <v>6319</v>
      </c>
      <c r="U5347">
        <v>982</v>
      </c>
      <c r="V5347">
        <v>15.7446</v>
      </c>
      <c r="W5347">
        <v>154.86000000000001</v>
      </c>
      <c r="X5347">
        <v>0</v>
      </c>
      <c r="Y5347">
        <v>0</v>
      </c>
      <c r="Z5347">
        <v>15461.2</v>
      </c>
      <c r="AA5347">
        <v>15616.06</v>
      </c>
      <c r="AB5347" s="12" t="s">
        <v>5733</v>
      </c>
      <c r="AC5347">
        <v>15.7446</v>
      </c>
      <c r="AD5347">
        <v>1</v>
      </c>
      <c r="AE5347">
        <v>1</v>
      </c>
      <c r="AF5347">
        <v>0</v>
      </c>
      <c r="AG5347">
        <v>15461.2</v>
      </c>
      <c r="AH5347">
        <v>982</v>
      </c>
      <c r="AI5347">
        <v>968</v>
      </c>
      <c r="AJ5347">
        <v>14</v>
      </c>
      <c r="AK5347">
        <v>1</v>
      </c>
      <c r="AL5347">
        <v>1</v>
      </c>
      <c r="AM5347">
        <v>98.57</v>
      </c>
      <c r="AN5347">
        <v>16.132300000000001</v>
      </c>
      <c r="AO5347">
        <v>220.42</v>
      </c>
      <c r="AP5347" s="13">
        <v>45886</v>
      </c>
      <c r="AQ5347">
        <v>-3</v>
      </c>
      <c r="AR5347">
        <v>1</v>
      </c>
    </row>
    <row r="5348" spans="1:44" x14ac:dyDescent="0.35">
      <c r="A5348" s="12" t="s">
        <v>6446</v>
      </c>
      <c r="B5348" s="12" t="s">
        <v>766</v>
      </c>
      <c r="C5348" s="12" t="s">
        <v>767</v>
      </c>
      <c r="D5348" s="12" t="s">
        <v>175</v>
      </c>
      <c r="E5348" s="12" t="s">
        <v>65</v>
      </c>
      <c r="F5348">
        <v>3</v>
      </c>
      <c r="G5348">
        <v>5</v>
      </c>
      <c r="H5348">
        <v>0</v>
      </c>
      <c r="I5348" s="12" t="s">
        <v>87</v>
      </c>
      <c r="J5348" s="12" t="s">
        <v>88</v>
      </c>
      <c r="K5348" s="12" t="s">
        <v>89</v>
      </c>
      <c r="L5348" s="12" t="s">
        <v>69</v>
      </c>
      <c r="M5348">
        <v>14.93</v>
      </c>
      <c r="N5348" s="12" t="s">
        <v>107</v>
      </c>
      <c r="O5348" s="12" t="s">
        <v>108</v>
      </c>
      <c r="P5348" s="12" t="s">
        <v>109</v>
      </c>
      <c r="Q5348" s="13">
        <v>45860</v>
      </c>
      <c r="R5348" s="13">
        <v>45888</v>
      </c>
      <c r="S5348">
        <v>2025</v>
      </c>
      <c r="T5348" s="12" t="s">
        <v>6319</v>
      </c>
      <c r="U5348">
        <v>70</v>
      </c>
      <c r="V5348">
        <v>76.991200000000006</v>
      </c>
      <c r="W5348">
        <v>57.61</v>
      </c>
      <c r="X5348">
        <v>0</v>
      </c>
      <c r="Y5348">
        <v>0</v>
      </c>
      <c r="Z5348">
        <v>5389.38</v>
      </c>
      <c r="AA5348">
        <v>5446.99</v>
      </c>
      <c r="AB5348" s="12" t="s">
        <v>5662</v>
      </c>
      <c r="AC5348">
        <v>76.991200000000006</v>
      </c>
      <c r="AD5348">
        <v>1</v>
      </c>
      <c r="AE5348">
        <v>1</v>
      </c>
      <c r="AF5348">
        <v>0</v>
      </c>
      <c r="AG5348">
        <v>5389.38</v>
      </c>
      <c r="AH5348">
        <v>70</v>
      </c>
      <c r="AI5348">
        <v>70</v>
      </c>
      <c r="AJ5348">
        <v>0</v>
      </c>
      <c r="AK5348">
        <v>1</v>
      </c>
      <c r="AL5348">
        <v>1</v>
      </c>
      <c r="AM5348">
        <v>100</v>
      </c>
      <c r="AN5348">
        <v>77.8142</v>
      </c>
      <c r="AO5348">
        <v>0</v>
      </c>
      <c r="AP5348" s="13">
        <v>45885</v>
      </c>
      <c r="AQ5348">
        <v>-3</v>
      </c>
      <c r="AR5348">
        <v>1</v>
      </c>
    </row>
    <row r="5349" spans="1:44" x14ac:dyDescent="0.35">
      <c r="A5349" s="12" t="s">
        <v>6447</v>
      </c>
      <c r="B5349" s="12" t="s">
        <v>630</v>
      </c>
      <c r="C5349" s="12" t="s">
        <v>631</v>
      </c>
      <c r="D5349" s="12" t="s">
        <v>130</v>
      </c>
      <c r="E5349" s="12" t="s">
        <v>65</v>
      </c>
      <c r="F5349">
        <v>1</v>
      </c>
      <c r="G5349">
        <v>2</v>
      </c>
      <c r="H5349">
        <v>1</v>
      </c>
      <c r="I5349" s="12" t="s">
        <v>335</v>
      </c>
      <c r="J5349" s="12" t="s">
        <v>336</v>
      </c>
      <c r="K5349" s="12" t="s">
        <v>89</v>
      </c>
      <c r="L5349" s="12" t="s">
        <v>82</v>
      </c>
      <c r="M5349">
        <v>16</v>
      </c>
      <c r="N5349" s="12" t="s">
        <v>159</v>
      </c>
      <c r="O5349" s="12" t="s">
        <v>160</v>
      </c>
      <c r="P5349" s="12" t="s">
        <v>137</v>
      </c>
      <c r="Q5349" s="13">
        <v>45860</v>
      </c>
      <c r="R5349" s="13">
        <v>45896</v>
      </c>
      <c r="S5349">
        <v>2025</v>
      </c>
      <c r="T5349" s="12" t="s">
        <v>6319</v>
      </c>
      <c r="U5349">
        <v>126</v>
      </c>
      <c r="V5349">
        <v>444.29629999999997</v>
      </c>
      <c r="W5349">
        <v>818.82</v>
      </c>
      <c r="X5349">
        <v>0</v>
      </c>
      <c r="Y5349">
        <v>0</v>
      </c>
      <c r="Z5349">
        <v>55981.33</v>
      </c>
      <c r="AA5349">
        <v>56800.15</v>
      </c>
      <c r="AB5349" s="12" t="s">
        <v>5553</v>
      </c>
      <c r="AC5349">
        <v>444.29629999999997</v>
      </c>
      <c r="AD5349">
        <v>1</v>
      </c>
      <c r="AE5349">
        <v>1</v>
      </c>
      <c r="AF5349">
        <v>0</v>
      </c>
      <c r="AG5349">
        <v>55981.33</v>
      </c>
      <c r="AH5349">
        <v>126</v>
      </c>
      <c r="AI5349">
        <v>125</v>
      </c>
      <c r="AJ5349">
        <v>1</v>
      </c>
      <c r="AK5349">
        <v>1</v>
      </c>
      <c r="AL5349">
        <v>1</v>
      </c>
      <c r="AM5349">
        <v>99.21</v>
      </c>
      <c r="AN5349">
        <v>454.40120000000002</v>
      </c>
      <c r="AO5349">
        <v>444.3</v>
      </c>
      <c r="AP5349" s="13">
        <v>45893</v>
      </c>
      <c r="AQ5349">
        <v>-3</v>
      </c>
      <c r="AR5349">
        <v>1</v>
      </c>
    </row>
    <row r="5350" spans="1:44" x14ac:dyDescent="0.35">
      <c r="A5350" s="12" t="s">
        <v>6448</v>
      </c>
      <c r="B5350" s="12" t="s">
        <v>978</v>
      </c>
      <c r="C5350" s="12" t="s">
        <v>979</v>
      </c>
      <c r="D5350" s="12" t="s">
        <v>122</v>
      </c>
      <c r="E5350" s="12" t="s">
        <v>65</v>
      </c>
      <c r="F5350">
        <v>1</v>
      </c>
      <c r="G5350">
        <v>2</v>
      </c>
      <c r="H5350">
        <v>1</v>
      </c>
      <c r="I5350" s="12" t="s">
        <v>310</v>
      </c>
      <c r="J5350" s="12" t="s">
        <v>311</v>
      </c>
      <c r="K5350" s="12" t="s">
        <v>81</v>
      </c>
      <c r="L5350" s="12" t="s">
        <v>69</v>
      </c>
      <c r="M5350">
        <v>28.3</v>
      </c>
      <c r="N5350" s="12" t="s">
        <v>70</v>
      </c>
      <c r="O5350" s="12" t="s">
        <v>71</v>
      </c>
      <c r="P5350" s="12" t="s">
        <v>72</v>
      </c>
      <c r="Q5350" s="13">
        <v>45860</v>
      </c>
      <c r="R5350" s="13">
        <v>45882</v>
      </c>
      <c r="S5350">
        <v>2025</v>
      </c>
      <c r="T5350" s="12" t="s">
        <v>6319</v>
      </c>
      <c r="U5350">
        <v>329</v>
      </c>
      <c r="V5350">
        <v>43.4407</v>
      </c>
      <c r="W5350">
        <v>191.31</v>
      </c>
      <c r="X5350">
        <v>0</v>
      </c>
      <c r="Y5350">
        <v>0</v>
      </c>
      <c r="Z5350">
        <v>14291.99</v>
      </c>
      <c r="AA5350">
        <v>14483.3</v>
      </c>
      <c r="AB5350" s="12" t="s">
        <v>6061</v>
      </c>
      <c r="AC5350">
        <v>43.4407</v>
      </c>
      <c r="AD5350">
        <v>1</v>
      </c>
      <c r="AE5350">
        <v>1</v>
      </c>
      <c r="AF5350">
        <v>0</v>
      </c>
      <c r="AG5350">
        <v>14291.99</v>
      </c>
      <c r="AH5350">
        <v>329</v>
      </c>
      <c r="AI5350">
        <v>328</v>
      </c>
      <c r="AJ5350">
        <v>1</v>
      </c>
      <c r="AK5350">
        <v>1</v>
      </c>
      <c r="AL5350">
        <v>1</v>
      </c>
      <c r="AM5350">
        <v>99.7</v>
      </c>
      <c r="AN5350">
        <v>44.156399999999998</v>
      </c>
      <c r="AO5350">
        <v>43.44</v>
      </c>
      <c r="AP5350" s="13">
        <v>45880</v>
      </c>
      <c r="AQ5350">
        <v>-2</v>
      </c>
      <c r="AR5350">
        <v>1</v>
      </c>
    </row>
    <row r="5351" spans="1:44" x14ac:dyDescent="0.35">
      <c r="A5351" s="12" t="s">
        <v>6449</v>
      </c>
      <c r="B5351" s="12" t="s">
        <v>1013</v>
      </c>
      <c r="C5351" s="12" t="s">
        <v>1014</v>
      </c>
      <c r="D5351" s="12" t="s">
        <v>78</v>
      </c>
      <c r="E5351" s="12" t="s">
        <v>65</v>
      </c>
      <c r="F5351">
        <v>2</v>
      </c>
      <c r="G5351">
        <v>3</v>
      </c>
      <c r="H5351">
        <v>0</v>
      </c>
      <c r="I5351" s="12" t="s">
        <v>123</v>
      </c>
      <c r="J5351" s="12" t="s">
        <v>124</v>
      </c>
      <c r="K5351" s="12" t="s">
        <v>125</v>
      </c>
      <c r="L5351" s="12" t="s">
        <v>82</v>
      </c>
      <c r="M5351">
        <v>6.75</v>
      </c>
      <c r="N5351" s="12" t="s">
        <v>70</v>
      </c>
      <c r="O5351" s="12" t="s">
        <v>71</v>
      </c>
      <c r="P5351" s="12" t="s">
        <v>72</v>
      </c>
      <c r="Q5351" s="13">
        <v>45860</v>
      </c>
      <c r="R5351" s="13">
        <v>45897</v>
      </c>
      <c r="S5351">
        <v>2025</v>
      </c>
      <c r="T5351" s="12" t="s">
        <v>6319</v>
      </c>
      <c r="U5351">
        <v>281</v>
      </c>
      <c r="V5351">
        <v>117.6818</v>
      </c>
      <c r="W5351">
        <v>281.69</v>
      </c>
      <c r="X5351">
        <v>0</v>
      </c>
      <c r="Y5351">
        <v>0</v>
      </c>
      <c r="Z5351">
        <v>33068.589999999997</v>
      </c>
      <c r="AA5351">
        <v>33350.28</v>
      </c>
      <c r="AB5351" s="12" t="s">
        <v>6350</v>
      </c>
      <c r="AC5351">
        <v>124.94710000000001</v>
      </c>
      <c r="AD5351">
        <v>1</v>
      </c>
      <c r="AE5351">
        <v>1</v>
      </c>
      <c r="AF5351">
        <v>-2041.55</v>
      </c>
      <c r="AG5351">
        <v>35110.14</v>
      </c>
      <c r="AH5351">
        <v>281</v>
      </c>
      <c r="AI5351">
        <v>278</v>
      </c>
      <c r="AJ5351">
        <v>3</v>
      </c>
      <c r="AK5351">
        <v>1</v>
      </c>
      <c r="AL5351">
        <v>1</v>
      </c>
      <c r="AM5351">
        <v>98.93</v>
      </c>
      <c r="AN5351">
        <v>119.965</v>
      </c>
      <c r="AO5351">
        <v>353.05</v>
      </c>
      <c r="AP5351" s="13">
        <v>45906</v>
      </c>
      <c r="AQ5351">
        <v>9</v>
      </c>
      <c r="AR5351">
        <v>0</v>
      </c>
    </row>
    <row r="5352" spans="1:44" x14ac:dyDescent="0.35">
      <c r="A5352" s="12" t="s">
        <v>6450</v>
      </c>
      <c r="B5352" s="12" t="s">
        <v>494</v>
      </c>
      <c r="C5352" s="12" t="s">
        <v>495</v>
      </c>
      <c r="D5352" s="12" t="s">
        <v>175</v>
      </c>
      <c r="E5352" s="12" t="s">
        <v>65</v>
      </c>
      <c r="F5352">
        <v>2</v>
      </c>
      <c r="G5352">
        <v>3</v>
      </c>
      <c r="H5352">
        <v>0</v>
      </c>
      <c r="I5352" s="12" t="s">
        <v>515</v>
      </c>
      <c r="J5352" s="12" t="s">
        <v>516</v>
      </c>
      <c r="K5352" s="12" t="s">
        <v>68</v>
      </c>
      <c r="L5352" s="12" t="s">
        <v>134</v>
      </c>
      <c r="M5352">
        <v>3.69</v>
      </c>
      <c r="N5352" s="12" t="s">
        <v>145</v>
      </c>
      <c r="O5352" s="12" t="s">
        <v>146</v>
      </c>
      <c r="P5352" s="12" t="s">
        <v>109</v>
      </c>
      <c r="Q5352" s="13">
        <v>45860</v>
      </c>
      <c r="R5352" s="13">
        <v>45893</v>
      </c>
      <c r="S5352">
        <v>2025</v>
      </c>
      <c r="T5352" s="12" t="s">
        <v>6319</v>
      </c>
      <c r="U5352">
        <v>108</v>
      </c>
      <c r="V5352">
        <v>144.4879</v>
      </c>
      <c r="W5352">
        <v>302.27999999999997</v>
      </c>
      <c r="X5352">
        <v>0</v>
      </c>
      <c r="Y5352">
        <v>0</v>
      </c>
      <c r="Z5352">
        <v>15604.69</v>
      </c>
      <c r="AA5352">
        <v>15906.97</v>
      </c>
      <c r="AB5352" s="12" t="s">
        <v>5442</v>
      </c>
      <c r="AC5352">
        <v>153.36940000000001</v>
      </c>
      <c r="AD5352">
        <v>1</v>
      </c>
      <c r="AE5352">
        <v>1</v>
      </c>
      <c r="AF5352">
        <v>-959.2</v>
      </c>
      <c r="AG5352">
        <v>16563.900000000001</v>
      </c>
      <c r="AH5352">
        <v>108</v>
      </c>
      <c r="AI5352">
        <v>107</v>
      </c>
      <c r="AJ5352">
        <v>1</v>
      </c>
      <c r="AK5352">
        <v>1</v>
      </c>
      <c r="AL5352">
        <v>1</v>
      </c>
      <c r="AM5352">
        <v>99.07</v>
      </c>
      <c r="AN5352">
        <v>148.66329999999999</v>
      </c>
      <c r="AO5352">
        <v>144.49</v>
      </c>
      <c r="AP5352" s="13">
        <v>45890</v>
      </c>
      <c r="AQ5352">
        <v>-3</v>
      </c>
      <c r="AR5352">
        <v>1</v>
      </c>
    </row>
    <row r="5353" spans="1:44" x14ac:dyDescent="0.35">
      <c r="A5353" s="12" t="s">
        <v>6451</v>
      </c>
      <c r="B5353" s="12" t="s">
        <v>587</v>
      </c>
      <c r="C5353" s="12" t="s">
        <v>588</v>
      </c>
      <c r="D5353" s="12" t="s">
        <v>122</v>
      </c>
      <c r="E5353" s="12" t="s">
        <v>104</v>
      </c>
      <c r="F5353">
        <v>2</v>
      </c>
      <c r="G5353">
        <v>0</v>
      </c>
      <c r="H5353">
        <v>0</v>
      </c>
      <c r="I5353" s="12" t="s">
        <v>94</v>
      </c>
      <c r="J5353" s="12" t="s">
        <v>95</v>
      </c>
      <c r="K5353" s="12" t="s">
        <v>81</v>
      </c>
      <c r="L5353" s="12" t="s">
        <v>96</v>
      </c>
      <c r="M5353">
        <v>4.8099999999999996</v>
      </c>
      <c r="N5353" s="12" t="s">
        <v>97</v>
      </c>
      <c r="O5353" s="12" t="s">
        <v>98</v>
      </c>
      <c r="P5353" s="12" t="s">
        <v>72</v>
      </c>
      <c r="Q5353" s="13">
        <v>45860</v>
      </c>
      <c r="R5353" s="13">
        <v>45879</v>
      </c>
      <c r="S5353">
        <v>2025</v>
      </c>
      <c r="T5353" s="12" t="s">
        <v>6319</v>
      </c>
      <c r="U5353">
        <v>918</v>
      </c>
      <c r="V5353">
        <v>14.134499999999999</v>
      </c>
      <c r="W5353">
        <v>194.17</v>
      </c>
      <c r="X5353">
        <v>0</v>
      </c>
      <c r="Y5353">
        <v>0</v>
      </c>
      <c r="Z5353">
        <v>12975.47</v>
      </c>
      <c r="AA5353">
        <v>13169.64</v>
      </c>
      <c r="AB5353" s="12" t="s">
        <v>201</v>
      </c>
      <c r="AD5353">
        <v>0</v>
      </c>
      <c r="AE5353">
        <v>0</v>
      </c>
      <c r="AH5353">
        <v>918</v>
      </c>
      <c r="AI5353">
        <v>912</v>
      </c>
      <c r="AJ5353">
        <v>6</v>
      </c>
      <c r="AK5353">
        <v>1</v>
      </c>
      <c r="AL5353">
        <v>1</v>
      </c>
      <c r="AM5353">
        <v>99.35</v>
      </c>
      <c r="AN5353">
        <v>14.4404</v>
      </c>
      <c r="AO5353">
        <v>84.81</v>
      </c>
      <c r="AP5353" s="13">
        <v>45876</v>
      </c>
      <c r="AQ5353">
        <v>-3</v>
      </c>
      <c r="AR5353">
        <v>1</v>
      </c>
    </row>
    <row r="5354" spans="1:44" x14ac:dyDescent="0.35">
      <c r="A5354" s="12" t="s">
        <v>6452</v>
      </c>
      <c r="B5354" s="12" t="s">
        <v>972</v>
      </c>
      <c r="C5354" s="12" t="s">
        <v>973</v>
      </c>
      <c r="D5354" s="12" t="s">
        <v>130</v>
      </c>
      <c r="E5354" s="12" t="s">
        <v>142</v>
      </c>
      <c r="F5354">
        <v>2</v>
      </c>
      <c r="G5354">
        <v>9</v>
      </c>
      <c r="H5354">
        <v>0</v>
      </c>
      <c r="I5354" s="12" t="s">
        <v>676</v>
      </c>
      <c r="J5354" s="12" t="s">
        <v>677</v>
      </c>
      <c r="K5354" s="12" t="s">
        <v>68</v>
      </c>
      <c r="L5354" s="12" t="s">
        <v>96</v>
      </c>
      <c r="M5354">
        <v>3.57</v>
      </c>
      <c r="N5354" s="12" t="s">
        <v>135</v>
      </c>
      <c r="O5354" s="12" t="s">
        <v>136</v>
      </c>
      <c r="P5354" s="12" t="s">
        <v>137</v>
      </c>
      <c r="Q5354" s="13">
        <v>45860</v>
      </c>
      <c r="R5354" s="13">
        <v>45911</v>
      </c>
      <c r="S5354">
        <v>2025</v>
      </c>
      <c r="T5354" s="12" t="s">
        <v>6319</v>
      </c>
      <c r="U5354">
        <v>140</v>
      </c>
      <c r="V5354">
        <v>839.82719999999995</v>
      </c>
      <c r="W5354">
        <v>1383.2</v>
      </c>
      <c r="X5354">
        <v>0</v>
      </c>
      <c r="Y5354">
        <v>0</v>
      </c>
      <c r="Z5354">
        <v>117575.81</v>
      </c>
      <c r="AA5354">
        <v>118959.01</v>
      </c>
      <c r="AB5354" s="12" t="s">
        <v>6005</v>
      </c>
      <c r="AC5354">
        <v>839.82719999999995</v>
      </c>
      <c r="AD5354">
        <v>1</v>
      </c>
      <c r="AE5354">
        <v>1</v>
      </c>
      <c r="AF5354">
        <v>0</v>
      </c>
      <c r="AG5354">
        <v>117575.81</v>
      </c>
      <c r="AH5354">
        <v>140</v>
      </c>
      <c r="AI5354">
        <v>138</v>
      </c>
      <c r="AJ5354">
        <v>2</v>
      </c>
      <c r="AK5354">
        <v>1</v>
      </c>
      <c r="AL5354">
        <v>1</v>
      </c>
      <c r="AM5354">
        <v>98.57</v>
      </c>
      <c r="AN5354">
        <v>862.02179999999998</v>
      </c>
      <c r="AO5354">
        <v>1679.65</v>
      </c>
      <c r="AP5354" s="13">
        <v>45908</v>
      </c>
      <c r="AQ5354">
        <v>-3</v>
      </c>
      <c r="AR5354">
        <v>1</v>
      </c>
    </row>
    <row r="5355" spans="1:44" x14ac:dyDescent="0.35">
      <c r="A5355" s="12" t="s">
        <v>6453</v>
      </c>
      <c r="B5355" s="12" t="s">
        <v>447</v>
      </c>
      <c r="C5355" s="12" t="s">
        <v>448</v>
      </c>
      <c r="D5355" s="12" t="s">
        <v>269</v>
      </c>
      <c r="E5355" s="12" t="s">
        <v>65</v>
      </c>
      <c r="F5355">
        <v>2</v>
      </c>
      <c r="G5355">
        <v>2</v>
      </c>
      <c r="H5355">
        <v>0</v>
      </c>
      <c r="I5355" s="12" t="s">
        <v>94</v>
      </c>
      <c r="J5355" s="12" t="s">
        <v>95</v>
      </c>
      <c r="K5355" s="12" t="s">
        <v>81</v>
      </c>
      <c r="L5355" s="12" t="s">
        <v>96</v>
      </c>
      <c r="M5355">
        <v>4.8099999999999996</v>
      </c>
      <c r="N5355" s="12" t="s">
        <v>135</v>
      </c>
      <c r="O5355" s="12" t="s">
        <v>136</v>
      </c>
      <c r="P5355" s="12" t="s">
        <v>137</v>
      </c>
      <c r="Q5355" s="13">
        <v>45860</v>
      </c>
      <c r="R5355" s="13">
        <v>45896</v>
      </c>
      <c r="S5355">
        <v>2025</v>
      </c>
      <c r="T5355" s="12" t="s">
        <v>6319</v>
      </c>
      <c r="U5355">
        <v>130</v>
      </c>
      <c r="V5355">
        <v>367.30009999999999</v>
      </c>
      <c r="W5355">
        <v>1054</v>
      </c>
      <c r="X5355">
        <v>0</v>
      </c>
      <c r="Y5355">
        <v>0</v>
      </c>
      <c r="Z5355">
        <v>47749.01</v>
      </c>
      <c r="AA5355">
        <v>48803.01</v>
      </c>
      <c r="AB5355" s="12" t="s">
        <v>5685</v>
      </c>
      <c r="AC5355">
        <v>367.30009999999999</v>
      </c>
      <c r="AD5355">
        <v>1</v>
      </c>
      <c r="AE5355">
        <v>1</v>
      </c>
      <c r="AF5355">
        <v>0</v>
      </c>
      <c r="AG5355">
        <v>47749.01</v>
      </c>
      <c r="AH5355">
        <v>130</v>
      </c>
      <c r="AI5355">
        <v>129</v>
      </c>
      <c r="AJ5355">
        <v>1</v>
      </c>
      <c r="AK5355">
        <v>1</v>
      </c>
      <c r="AL5355">
        <v>1</v>
      </c>
      <c r="AM5355">
        <v>99.23</v>
      </c>
      <c r="AN5355">
        <v>378.31790000000001</v>
      </c>
      <c r="AO5355">
        <v>367.3</v>
      </c>
      <c r="AP5355" s="13">
        <v>45893</v>
      </c>
      <c r="AQ5355">
        <v>-3</v>
      </c>
      <c r="AR5355">
        <v>1</v>
      </c>
    </row>
    <row r="5356" spans="1:44" x14ac:dyDescent="0.35">
      <c r="A5356" s="12" t="s">
        <v>6454</v>
      </c>
      <c r="B5356" s="12" t="s">
        <v>317</v>
      </c>
      <c r="C5356" s="12" t="s">
        <v>318</v>
      </c>
      <c r="D5356" s="12" t="s">
        <v>64</v>
      </c>
      <c r="E5356" s="12" t="s">
        <v>104</v>
      </c>
      <c r="F5356">
        <v>2</v>
      </c>
      <c r="G5356">
        <v>0</v>
      </c>
      <c r="H5356">
        <v>0</v>
      </c>
      <c r="I5356" s="12" t="s">
        <v>169</v>
      </c>
      <c r="J5356" s="12" t="s">
        <v>170</v>
      </c>
      <c r="K5356" s="12" t="s">
        <v>89</v>
      </c>
      <c r="L5356" s="12" t="s">
        <v>134</v>
      </c>
      <c r="M5356">
        <v>1.37</v>
      </c>
      <c r="N5356" s="12" t="s">
        <v>97</v>
      </c>
      <c r="O5356" s="12" t="s">
        <v>98</v>
      </c>
      <c r="P5356" s="12" t="s">
        <v>72</v>
      </c>
      <c r="Q5356" s="13">
        <v>45861</v>
      </c>
      <c r="R5356" s="13">
        <v>45888</v>
      </c>
      <c r="S5356">
        <v>2025</v>
      </c>
      <c r="T5356" s="12" t="s">
        <v>6319</v>
      </c>
      <c r="U5356">
        <v>862</v>
      </c>
      <c r="V5356">
        <v>15.823399999999999</v>
      </c>
      <c r="W5356">
        <v>239.89</v>
      </c>
      <c r="X5356">
        <v>0</v>
      </c>
      <c r="Y5356">
        <v>0</v>
      </c>
      <c r="Z5356">
        <v>13639.77</v>
      </c>
      <c r="AA5356">
        <v>13879.66</v>
      </c>
      <c r="AB5356" s="12" t="s">
        <v>5518</v>
      </c>
      <c r="AC5356">
        <v>15.823399999999999</v>
      </c>
      <c r="AD5356">
        <v>1</v>
      </c>
      <c r="AE5356">
        <v>1</v>
      </c>
      <c r="AF5356">
        <v>0</v>
      </c>
      <c r="AG5356">
        <v>13639.77</v>
      </c>
      <c r="AH5356">
        <v>862</v>
      </c>
      <c r="AI5356">
        <v>857</v>
      </c>
      <c r="AJ5356">
        <v>5</v>
      </c>
      <c r="AK5356">
        <v>1</v>
      </c>
      <c r="AL5356">
        <v>1</v>
      </c>
      <c r="AM5356">
        <v>99.42</v>
      </c>
      <c r="AN5356">
        <v>16.195599999999999</v>
      </c>
      <c r="AO5356">
        <v>79.12</v>
      </c>
      <c r="AP5356" s="13">
        <v>45886</v>
      </c>
      <c r="AQ5356">
        <v>-2</v>
      </c>
      <c r="AR5356">
        <v>1</v>
      </c>
    </row>
    <row r="5357" spans="1:44" x14ac:dyDescent="0.35">
      <c r="A5357" s="12" t="s">
        <v>6455</v>
      </c>
      <c r="B5357" s="12" t="s">
        <v>909</v>
      </c>
      <c r="C5357" s="12" t="s">
        <v>910</v>
      </c>
      <c r="D5357" s="12" t="s">
        <v>269</v>
      </c>
      <c r="E5357" s="12" t="s">
        <v>65</v>
      </c>
      <c r="F5357">
        <v>3</v>
      </c>
      <c r="G5357">
        <v>4</v>
      </c>
      <c r="H5357">
        <v>0</v>
      </c>
      <c r="I5357" s="12" t="s">
        <v>199</v>
      </c>
      <c r="J5357" s="12" t="s">
        <v>200</v>
      </c>
      <c r="K5357" s="12" t="s">
        <v>68</v>
      </c>
      <c r="L5357" s="12" t="s">
        <v>96</v>
      </c>
      <c r="M5357">
        <v>9.4700000000000006</v>
      </c>
      <c r="N5357" s="12" t="s">
        <v>135</v>
      </c>
      <c r="O5357" s="12" t="s">
        <v>136</v>
      </c>
      <c r="P5357" s="12" t="s">
        <v>137</v>
      </c>
      <c r="Q5357" s="13">
        <v>45861</v>
      </c>
      <c r="R5357" s="13">
        <v>45895</v>
      </c>
      <c r="S5357">
        <v>2025</v>
      </c>
      <c r="T5357" s="12" t="s">
        <v>6319</v>
      </c>
      <c r="U5357">
        <v>115</v>
      </c>
      <c r="V5357">
        <v>103.0488</v>
      </c>
      <c r="W5357">
        <v>99.65</v>
      </c>
      <c r="X5357">
        <v>392.38</v>
      </c>
      <c r="Y5357">
        <v>1</v>
      </c>
      <c r="Z5357">
        <v>11850.61</v>
      </c>
      <c r="AA5357">
        <v>12342.64</v>
      </c>
      <c r="AB5357" s="12" t="s">
        <v>5939</v>
      </c>
      <c r="AC5357">
        <v>103.0488</v>
      </c>
      <c r="AD5357">
        <v>1</v>
      </c>
      <c r="AE5357">
        <v>1</v>
      </c>
      <c r="AF5357">
        <v>0</v>
      </c>
      <c r="AG5357">
        <v>11850.61</v>
      </c>
      <c r="AH5357">
        <v>115</v>
      </c>
      <c r="AI5357">
        <v>114</v>
      </c>
      <c r="AJ5357">
        <v>1</v>
      </c>
      <c r="AK5357">
        <v>1</v>
      </c>
      <c r="AL5357">
        <v>1</v>
      </c>
      <c r="AM5357">
        <v>99.13</v>
      </c>
      <c r="AN5357">
        <v>108.2688</v>
      </c>
      <c r="AO5357">
        <v>103.05</v>
      </c>
      <c r="AP5357" s="13">
        <v>45900</v>
      </c>
      <c r="AQ5357">
        <v>5</v>
      </c>
      <c r="AR5357">
        <v>0</v>
      </c>
    </row>
    <row r="5358" spans="1:44" x14ac:dyDescent="0.35">
      <c r="A5358" s="12" t="s">
        <v>6456</v>
      </c>
      <c r="B5358" s="12" t="s">
        <v>617</v>
      </c>
      <c r="C5358" s="12" t="s">
        <v>618</v>
      </c>
      <c r="D5358" s="12" t="s">
        <v>78</v>
      </c>
      <c r="E5358" s="12" t="s">
        <v>65</v>
      </c>
      <c r="F5358">
        <v>2</v>
      </c>
      <c r="G5358">
        <v>4</v>
      </c>
      <c r="H5358">
        <v>0</v>
      </c>
      <c r="I5358" s="12" t="s">
        <v>341</v>
      </c>
      <c r="J5358" s="12" t="s">
        <v>342</v>
      </c>
      <c r="K5358" s="12" t="s">
        <v>117</v>
      </c>
      <c r="L5358" s="12" t="s">
        <v>82</v>
      </c>
      <c r="M5358">
        <v>18.36</v>
      </c>
      <c r="N5358" s="12" t="s">
        <v>70</v>
      </c>
      <c r="O5358" s="12" t="s">
        <v>71</v>
      </c>
      <c r="P5358" s="12" t="s">
        <v>72</v>
      </c>
      <c r="Q5358" s="13">
        <v>45861</v>
      </c>
      <c r="R5358" s="13">
        <v>45883</v>
      </c>
      <c r="S5358">
        <v>2025</v>
      </c>
      <c r="T5358" s="12" t="s">
        <v>6319</v>
      </c>
      <c r="U5358">
        <v>57</v>
      </c>
      <c r="V5358">
        <v>97.033799999999999</v>
      </c>
      <c r="W5358">
        <v>138.34</v>
      </c>
      <c r="X5358">
        <v>0</v>
      </c>
      <c r="Y5358">
        <v>0</v>
      </c>
      <c r="Z5358">
        <v>5530.93</v>
      </c>
      <c r="AA5358">
        <v>5669.27</v>
      </c>
      <c r="AB5358" s="12" t="s">
        <v>5541</v>
      </c>
      <c r="AC5358">
        <v>97.033799999999999</v>
      </c>
      <c r="AD5358">
        <v>1</v>
      </c>
      <c r="AE5358">
        <v>1</v>
      </c>
      <c r="AF5358">
        <v>0</v>
      </c>
      <c r="AG5358">
        <v>5530.93</v>
      </c>
      <c r="AH5358">
        <v>57</v>
      </c>
      <c r="AI5358">
        <v>56</v>
      </c>
      <c r="AJ5358">
        <v>1</v>
      </c>
      <c r="AK5358">
        <v>1</v>
      </c>
      <c r="AL5358">
        <v>1</v>
      </c>
      <c r="AM5358">
        <v>98.25</v>
      </c>
      <c r="AN5358">
        <v>101.23690000000001</v>
      </c>
      <c r="AO5358">
        <v>97.03</v>
      </c>
      <c r="AP5358" s="13">
        <v>45880</v>
      </c>
      <c r="AQ5358">
        <v>-3</v>
      </c>
      <c r="AR5358">
        <v>1</v>
      </c>
    </row>
    <row r="5359" spans="1:44" x14ac:dyDescent="0.35">
      <c r="A5359" s="12" t="s">
        <v>6457</v>
      </c>
      <c r="B5359" s="12" t="s">
        <v>494</v>
      </c>
      <c r="C5359" s="12" t="s">
        <v>495</v>
      </c>
      <c r="D5359" s="12" t="s">
        <v>175</v>
      </c>
      <c r="E5359" s="12" t="s">
        <v>65</v>
      </c>
      <c r="F5359">
        <v>2</v>
      </c>
      <c r="G5359">
        <v>3</v>
      </c>
      <c r="H5359">
        <v>0</v>
      </c>
      <c r="I5359" s="12" t="s">
        <v>515</v>
      </c>
      <c r="J5359" s="12" t="s">
        <v>516</v>
      </c>
      <c r="K5359" s="12" t="s">
        <v>68</v>
      </c>
      <c r="L5359" s="12" t="s">
        <v>134</v>
      </c>
      <c r="M5359">
        <v>3.69</v>
      </c>
      <c r="N5359" s="12" t="s">
        <v>145</v>
      </c>
      <c r="O5359" s="12" t="s">
        <v>146</v>
      </c>
      <c r="P5359" s="12" t="s">
        <v>109</v>
      </c>
      <c r="Q5359" s="13">
        <v>45861</v>
      </c>
      <c r="R5359" s="13">
        <v>45883</v>
      </c>
      <c r="S5359">
        <v>2025</v>
      </c>
      <c r="T5359" s="12" t="s">
        <v>6319</v>
      </c>
      <c r="U5359">
        <v>22</v>
      </c>
      <c r="V5359">
        <v>153.36940000000001</v>
      </c>
      <c r="W5359">
        <v>68.67</v>
      </c>
      <c r="X5359">
        <v>0</v>
      </c>
      <c r="Y5359">
        <v>0</v>
      </c>
      <c r="Z5359">
        <v>3374.13</v>
      </c>
      <c r="AA5359">
        <v>3442.8</v>
      </c>
      <c r="AB5359" s="12" t="s">
        <v>5442</v>
      </c>
      <c r="AC5359">
        <v>153.36940000000001</v>
      </c>
      <c r="AD5359">
        <v>1</v>
      </c>
      <c r="AE5359">
        <v>1</v>
      </c>
      <c r="AF5359">
        <v>0</v>
      </c>
      <c r="AG5359">
        <v>3374.13</v>
      </c>
      <c r="AH5359">
        <v>22</v>
      </c>
      <c r="AI5359">
        <v>22</v>
      </c>
      <c r="AJ5359">
        <v>0</v>
      </c>
      <c r="AK5359">
        <v>1</v>
      </c>
      <c r="AL5359">
        <v>1</v>
      </c>
      <c r="AM5359">
        <v>100</v>
      </c>
      <c r="AN5359">
        <v>156.49080000000001</v>
      </c>
      <c r="AO5359">
        <v>0</v>
      </c>
      <c r="AP5359" s="13">
        <v>45881</v>
      </c>
      <c r="AQ5359">
        <v>-2</v>
      </c>
      <c r="AR5359">
        <v>1</v>
      </c>
    </row>
    <row r="5360" spans="1:44" x14ac:dyDescent="0.35">
      <c r="A5360" s="12" t="s">
        <v>6458</v>
      </c>
      <c r="B5360" s="12" t="s">
        <v>640</v>
      </c>
      <c r="C5360" s="12" t="s">
        <v>641</v>
      </c>
      <c r="D5360" s="12" t="s">
        <v>130</v>
      </c>
      <c r="E5360" s="12" t="s">
        <v>104</v>
      </c>
      <c r="F5360">
        <v>3</v>
      </c>
      <c r="G5360">
        <v>0</v>
      </c>
      <c r="H5360">
        <v>0</v>
      </c>
      <c r="I5360" s="12" t="s">
        <v>123</v>
      </c>
      <c r="J5360" s="12" t="s">
        <v>124</v>
      </c>
      <c r="K5360" s="12" t="s">
        <v>125</v>
      </c>
      <c r="L5360" s="12" t="s">
        <v>82</v>
      </c>
      <c r="M5360">
        <v>6.75</v>
      </c>
      <c r="N5360" s="12" t="s">
        <v>159</v>
      </c>
      <c r="O5360" s="12" t="s">
        <v>160</v>
      </c>
      <c r="P5360" s="12" t="s">
        <v>137</v>
      </c>
      <c r="Q5360" s="13">
        <v>45861</v>
      </c>
      <c r="R5360" s="13">
        <v>45886</v>
      </c>
      <c r="S5360">
        <v>2025</v>
      </c>
      <c r="T5360" s="12" t="s">
        <v>6319</v>
      </c>
      <c r="U5360">
        <v>116</v>
      </c>
      <c r="V5360">
        <v>844.25710000000004</v>
      </c>
      <c r="W5360">
        <v>1867.03</v>
      </c>
      <c r="X5360">
        <v>0</v>
      </c>
      <c r="Y5360">
        <v>0</v>
      </c>
      <c r="Z5360">
        <v>97933.82</v>
      </c>
      <c r="AA5360">
        <v>99800.85</v>
      </c>
      <c r="AB5360" s="12" t="s">
        <v>6157</v>
      </c>
      <c r="AC5360">
        <v>844.25710000000004</v>
      </c>
      <c r="AD5360">
        <v>1</v>
      </c>
      <c r="AE5360">
        <v>1</v>
      </c>
      <c r="AF5360">
        <v>0</v>
      </c>
      <c r="AG5360">
        <v>97933.82</v>
      </c>
      <c r="AH5360">
        <v>116</v>
      </c>
      <c r="AI5360">
        <v>114</v>
      </c>
      <c r="AJ5360">
        <v>2</v>
      </c>
      <c r="AK5360">
        <v>1</v>
      </c>
      <c r="AL5360">
        <v>1</v>
      </c>
      <c r="AM5360">
        <v>98.28</v>
      </c>
      <c r="AN5360">
        <v>875.4461</v>
      </c>
      <c r="AO5360">
        <v>1688.51</v>
      </c>
      <c r="AP5360" s="13">
        <v>45885</v>
      </c>
      <c r="AQ5360">
        <v>-1</v>
      </c>
      <c r="AR5360">
        <v>1</v>
      </c>
    </row>
    <row r="5361" spans="1:44" x14ac:dyDescent="0.35">
      <c r="A5361" s="12" t="s">
        <v>6459</v>
      </c>
      <c r="B5361" s="12" t="s">
        <v>972</v>
      </c>
      <c r="C5361" s="12" t="s">
        <v>973</v>
      </c>
      <c r="D5361" s="12" t="s">
        <v>130</v>
      </c>
      <c r="E5361" s="12" t="s">
        <v>142</v>
      </c>
      <c r="F5361">
        <v>2</v>
      </c>
      <c r="G5361">
        <v>9</v>
      </c>
      <c r="H5361">
        <v>0</v>
      </c>
      <c r="I5361" s="12" t="s">
        <v>66</v>
      </c>
      <c r="J5361" s="12" t="s">
        <v>67</v>
      </c>
      <c r="K5361" s="12" t="s">
        <v>68</v>
      </c>
      <c r="L5361" s="12" t="s">
        <v>69</v>
      </c>
      <c r="M5361">
        <v>17.66</v>
      </c>
      <c r="N5361" s="12" t="s">
        <v>159</v>
      </c>
      <c r="O5361" s="12" t="s">
        <v>160</v>
      </c>
      <c r="P5361" s="12" t="s">
        <v>137</v>
      </c>
      <c r="Q5361" s="13">
        <v>45861</v>
      </c>
      <c r="R5361" s="13">
        <v>45902</v>
      </c>
      <c r="S5361">
        <v>2025</v>
      </c>
      <c r="T5361" s="12" t="s">
        <v>6319</v>
      </c>
      <c r="U5361">
        <v>58</v>
      </c>
      <c r="V5361">
        <v>784.53480000000002</v>
      </c>
      <c r="W5361">
        <v>1132.71</v>
      </c>
      <c r="X5361">
        <v>0</v>
      </c>
      <c r="Y5361">
        <v>0</v>
      </c>
      <c r="Z5361">
        <v>45503.02</v>
      </c>
      <c r="AA5361">
        <v>46635.73</v>
      </c>
      <c r="AB5361" s="12" t="s">
        <v>5915</v>
      </c>
      <c r="AC5361">
        <v>784.53480000000002</v>
      </c>
      <c r="AD5361">
        <v>1</v>
      </c>
      <c r="AE5361">
        <v>1</v>
      </c>
      <c r="AF5361">
        <v>0</v>
      </c>
      <c r="AG5361">
        <v>45503.02</v>
      </c>
      <c r="AH5361">
        <v>58</v>
      </c>
      <c r="AI5361">
        <v>57</v>
      </c>
      <c r="AJ5361">
        <v>1</v>
      </c>
      <c r="AK5361">
        <v>1</v>
      </c>
      <c r="AL5361">
        <v>1</v>
      </c>
      <c r="AM5361">
        <v>98.28</v>
      </c>
      <c r="AN5361">
        <v>818.17070000000001</v>
      </c>
      <c r="AO5361">
        <v>784.53</v>
      </c>
      <c r="AP5361" s="13">
        <v>45905</v>
      </c>
      <c r="AQ5361">
        <v>3</v>
      </c>
      <c r="AR5361">
        <v>0</v>
      </c>
    </row>
    <row r="5362" spans="1:44" x14ac:dyDescent="0.35">
      <c r="A5362" s="12" t="s">
        <v>6460</v>
      </c>
      <c r="B5362" s="12" t="s">
        <v>792</v>
      </c>
      <c r="C5362" s="12" t="s">
        <v>793</v>
      </c>
      <c r="D5362" s="12" t="s">
        <v>103</v>
      </c>
      <c r="E5362" s="12" t="s">
        <v>65</v>
      </c>
      <c r="F5362">
        <v>2</v>
      </c>
      <c r="G5362">
        <v>3</v>
      </c>
      <c r="H5362">
        <v>0</v>
      </c>
      <c r="I5362" s="12" t="s">
        <v>115</v>
      </c>
      <c r="J5362" s="12" t="s">
        <v>116</v>
      </c>
      <c r="K5362" s="12" t="s">
        <v>117</v>
      </c>
      <c r="L5362" s="12" t="s">
        <v>82</v>
      </c>
      <c r="M5362">
        <v>17.170000000000002</v>
      </c>
      <c r="N5362" s="12" t="s">
        <v>107</v>
      </c>
      <c r="O5362" s="12" t="s">
        <v>108</v>
      </c>
      <c r="P5362" s="12" t="s">
        <v>109</v>
      </c>
      <c r="Q5362" s="13">
        <v>45861</v>
      </c>
      <c r="R5362" s="13">
        <v>45885</v>
      </c>
      <c r="S5362">
        <v>2025</v>
      </c>
      <c r="T5362" s="12" t="s">
        <v>6319</v>
      </c>
      <c r="U5362">
        <v>37</v>
      </c>
      <c r="V5362">
        <v>97.497299999999996</v>
      </c>
      <c r="W5362">
        <v>83.29</v>
      </c>
      <c r="X5362">
        <v>0</v>
      </c>
      <c r="Y5362">
        <v>0</v>
      </c>
      <c r="Z5362">
        <v>3607.4</v>
      </c>
      <c r="AA5362">
        <v>3690.69</v>
      </c>
      <c r="AB5362" s="12" t="s">
        <v>6160</v>
      </c>
      <c r="AC5362">
        <v>97.497299999999996</v>
      </c>
      <c r="AD5362">
        <v>1</v>
      </c>
      <c r="AE5362">
        <v>1</v>
      </c>
      <c r="AF5362">
        <v>0</v>
      </c>
      <c r="AG5362">
        <v>3607.4</v>
      </c>
      <c r="AH5362">
        <v>37</v>
      </c>
      <c r="AI5362">
        <v>36</v>
      </c>
      <c r="AJ5362">
        <v>1</v>
      </c>
      <c r="AK5362">
        <v>1</v>
      </c>
      <c r="AL5362">
        <v>1</v>
      </c>
      <c r="AM5362">
        <v>97.3</v>
      </c>
      <c r="AN5362">
        <v>102.5192</v>
      </c>
      <c r="AO5362">
        <v>97.5</v>
      </c>
      <c r="AP5362" s="13">
        <v>45885</v>
      </c>
      <c r="AQ5362">
        <v>0</v>
      </c>
      <c r="AR5362">
        <v>1</v>
      </c>
    </row>
    <row r="5363" spans="1:44" x14ac:dyDescent="0.35">
      <c r="A5363" s="12" t="s">
        <v>6461</v>
      </c>
      <c r="B5363" s="12" t="s">
        <v>76</v>
      </c>
      <c r="C5363" s="12" t="s">
        <v>77</v>
      </c>
      <c r="D5363" s="12" t="s">
        <v>78</v>
      </c>
      <c r="E5363" s="12" t="s">
        <v>65</v>
      </c>
      <c r="F5363">
        <v>2</v>
      </c>
      <c r="G5363">
        <v>4</v>
      </c>
      <c r="H5363">
        <v>0</v>
      </c>
      <c r="I5363" s="12" t="s">
        <v>151</v>
      </c>
      <c r="J5363" s="12" t="s">
        <v>152</v>
      </c>
      <c r="K5363" s="12" t="s">
        <v>125</v>
      </c>
      <c r="L5363" s="12" t="s">
        <v>69</v>
      </c>
      <c r="M5363">
        <v>36.479999999999997</v>
      </c>
      <c r="N5363" s="12" t="s">
        <v>97</v>
      </c>
      <c r="O5363" s="12" t="s">
        <v>98</v>
      </c>
      <c r="P5363" s="12" t="s">
        <v>72</v>
      </c>
      <c r="Q5363" s="13">
        <v>45862</v>
      </c>
      <c r="R5363" s="13">
        <v>45889</v>
      </c>
      <c r="S5363">
        <v>2025</v>
      </c>
      <c r="T5363" s="12" t="s">
        <v>6319</v>
      </c>
      <c r="U5363">
        <v>132</v>
      </c>
      <c r="V5363">
        <v>45.928400000000003</v>
      </c>
      <c r="W5363">
        <v>57.19</v>
      </c>
      <c r="X5363">
        <v>0</v>
      </c>
      <c r="Y5363">
        <v>0</v>
      </c>
      <c r="Z5363">
        <v>6062.55</v>
      </c>
      <c r="AA5363">
        <v>6119.74</v>
      </c>
      <c r="AB5363" s="12" t="s">
        <v>6339</v>
      </c>
      <c r="AC5363">
        <v>45.928400000000003</v>
      </c>
      <c r="AD5363">
        <v>1</v>
      </c>
      <c r="AE5363">
        <v>1</v>
      </c>
      <c r="AF5363">
        <v>0</v>
      </c>
      <c r="AG5363">
        <v>6062.55</v>
      </c>
      <c r="AH5363">
        <v>132</v>
      </c>
      <c r="AI5363">
        <v>130</v>
      </c>
      <c r="AJ5363">
        <v>2</v>
      </c>
      <c r="AK5363">
        <v>1</v>
      </c>
      <c r="AL5363">
        <v>1</v>
      </c>
      <c r="AM5363">
        <v>98.48</v>
      </c>
      <c r="AN5363">
        <v>47.0749</v>
      </c>
      <c r="AO5363">
        <v>91.86</v>
      </c>
      <c r="AP5363" s="13">
        <v>45887</v>
      </c>
      <c r="AQ5363">
        <v>-2</v>
      </c>
      <c r="AR5363">
        <v>1</v>
      </c>
    </row>
    <row r="5364" spans="1:44" x14ac:dyDescent="0.35">
      <c r="A5364" s="12" t="s">
        <v>6462</v>
      </c>
      <c r="B5364" s="12" t="s">
        <v>617</v>
      </c>
      <c r="C5364" s="12" t="s">
        <v>618</v>
      </c>
      <c r="D5364" s="12" t="s">
        <v>78</v>
      </c>
      <c r="E5364" s="12" t="s">
        <v>65</v>
      </c>
      <c r="F5364">
        <v>2</v>
      </c>
      <c r="G5364">
        <v>4</v>
      </c>
      <c r="H5364">
        <v>0</v>
      </c>
      <c r="I5364" s="12" t="s">
        <v>341</v>
      </c>
      <c r="J5364" s="12" t="s">
        <v>342</v>
      </c>
      <c r="K5364" s="12" t="s">
        <v>117</v>
      </c>
      <c r="L5364" s="12" t="s">
        <v>82</v>
      </c>
      <c r="M5364">
        <v>18.36</v>
      </c>
      <c r="N5364" s="12" t="s">
        <v>97</v>
      </c>
      <c r="O5364" s="12" t="s">
        <v>98</v>
      </c>
      <c r="P5364" s="12" t="s">
        <v>72</v>
      </c>
      <c r="Q5364" s="13">
        <v>45862</v>
      </c>
      <c r="R5364" s="13">
        <v>45892</v>
      </c>
      <c r="S5364">
        <v>2025</v>
      </c>
      <c r="T5364" s="12" t="s">
        <v>6319</v>
      </c>
      <c r="U5364">
        <v>171</v>
      </c>
      <c r="V5364">
        <v>97.033799999999999</v>
      </c>
      <c r="W5364">
        <v>207.54</v>
      </c>
      <c r="X5364">
        <v>505.55</v>
      </c>
      <c r="Y5364">
        <v>1</v>
      </c>
      <c r="Z5364">
        <v>16592.78</v>
      </c>
      <c r="AA5364">
        <v>17305.87</v>
      </c>
      <c r="AB5364" s="12" t="s">
        <v>5541</v>
      </c>
      <c r="AC5364">
        <v>97.033799999999999</v>
      </c>
      <c r="AD5364">
        <v>1</v>
      </c>
      <c r="AE5364">
        <v>1</v>
      </c>
      <c r="AF5364">
        <v>0</v>
      </c>
      <c r="AG5364">
        <v>16592.78</v>
      </c>
      <c r="AH5364">
        <v>171</v>
      </c>
      <c r="AI5364">
        <v>168</v>
      </c>
      <c r="AJ5364">
        <v>3</v>
      </c>
      <c r="AK5364">
        <v>1</v>
      </c>
      <c r="AL5364">
        <v>1</v>
      </c>
      <c r="AM5364">
        <v>98.25</v>
      </c>
      <c r="AN5364">
        <v>103.0111</v>
      </c>
      <c r="AO5364">
        <v>291.10000000000002</v>
      </c>
      <c r="AP5364" s="13">
        <v>45892</v>
      </c>
      <c r="AQ5364">
        <v>0</v>
      </c>
      <c r="AR5364">
        <v>1</v>
      </c>
    </row>
    <row r="5365" spans="1:44" x14ac:dyDescent="0.35">
      <c r="A5365" s="12" t="s">
        <v>6463</v>
      </c>
      <c r="B5365" s="12" t="s">
        <v>92</v>
      </c>
      <c r="C5365" s="12" t="s">
        <v>93</v>
      </c>
      <c r="D5365" s="12" t="s">
        <v>64</v>
      </c>
      <c r="E5365" s="12" t="s">
        <v>65</v>
      </c>
      <c r="F5365">
        <v>3</v>
      </c>
      <c r="G5365">
        <v>5</v>
      </c>
      <c r="H5365">
        <v>0</v>
      </c>
      <c r="I5365" s="12" t="s">
        <v>94</v>
      </c>
      <c r="J5365" s="12" t="s">
        <v>95</v>
      </c>
      <c r="K5365" s="12" t="s">
        <v>81</v>
      </c>
      <c r="L5365" s="12" t="s">
        <v>96</v>
      </c>
      <c r="M5365">
        <v>4.8099999999999996</v>
      </c>
      <c r="N5365" s="12" t="s">
        <v>70</v>
      </c>
      <c r="O5365" s="12" t="s">
        <v>71</v>
      </c>
      <c r="P5365" s="12" t="s">
        <v>72</v>
      </c>
      <c r="Q5365" s="13">
        <v>45862</v>
      </c>
      <c r="R5365" s="13">
        <v>45887</v>
      </c>
      <c r="S5365">
        <v>2025</v>
      </c>
      <c r="T5365" s="12" t="s">
        <v>6319</v>
      </c>
      <c r="U5365">
        <v>340</v>
      </c>
      <c r="V5365">
        <v>23.1553</v>
      </c>
      <c r="W5365">
        <v>119.98</v>
      </c>
      <c r="X5365">
        <v>0</v>
      </c>
      <c r="Y5365">
        <v>0</v>
      </c>
      <c r="Z5365">
        <v>7872.8</v>
      </c>
      <c r="AA5365">
        <v>7992.78</v>
      </c>
      <c r="AB5365" s="12" t="s">
        <v>5110</v>
      </c>
      <c r="AC5365">
        <v>23.1553</v>
      </c>
      <c r="AD5365">
        <v>1</v>
      </c>
      <c r="AE5365">
        <v>1</v>
      </c>
      <c r="AF5365">
        <v>0</v>
      </c>
      <c r="AG5365">
        <v>7872.8</v>
      </c>
      <c r="AH5365">
        <v>340</v>
      </c>
      <c r="AI5365">
        <v>339</v>
      </c>
      <c r="AJ5365">
        <v>1</v>
      </c>
      <c r="AK5365">
        <v>1</v>
      </c>
      <c r="AL5365">
        <v>1</v>
      </c>
      <c r="AM5365">
        <v>99.71</v>
      </c>
      <c r="AN5365">
        <v>23.577500000000001</v>
      </c>
      <c r="AO5365">
        <v>23.16</v>
      </c>
      <c r="AP5365" s="13">
        <v>45887</v>
      </c>
      <c r="AQ5365">
        <v>0</v>
      </c>
      <c r="AR5365">
        <v>1</v>
      </c>
    </row>
    <row r="5366" spans="1:44" x14ac:dyDescent="0.35">
      <c r="A5366" s="12" t="s">
        <v>6464</v>
      </c>
      <c r="B5366" s="12" t="s">
        <v>231</v>
      </c>
      <c r="C5366" s="12" t="s">
        <v>232</v>
      </c>
      <c r="D5366" s="12" t="s">
        <v>130</v>
      </c>
      <c r="E5366" s="12" t="s">
        <v>65</v>
      </c>
      <c r="F5366">
        <v>1</v>
      </c>
      <c r="G5366">
        <v>2</v>
      </c>
      <c r="H5366">
        <v>1</v>
      </c>
      <c r="I5366" s="12" t="s">
        <v>233</v>
      </c>
      <c r="J5366" s="12" t="s">
        <v>234</v>
      </c>
      <c r="K5366" s="12" t="s">
        <v>125</v>
      </c>
      <c r="L5366" s="12" t="s">
        <v>96</v>
      </c>
      <c r="M5366">
        <v>3.73</v>
      </c>
      <c r="N5366" s="12" t="s">
        <v>159</v>
      </c>
      <c r="O5366" s="12" t="s">
        <v>160</v>
      </c>
      <c r="P5366" s="12" t="s">
        <v>137</v>
      </c>
      <c r="Q5366" s="13">
        <v>45862</v>
      </c>
      <c r="R5366" s="13">
        <v>45883</v>
      </c>
      <c r="S5366">
        <v>2025</v>
      </c>
      <c r="T5366" s="12" t="s">
        <v>6319</v>
      </c>
      <c r="U5366">
        <v>17</v>
      </c>
      <c r="V5366">
        <v>435.28120000000001</v>
      </c>
      <c r="W5366">
        <v>65.819999999999993</v>
      </c>
      <c r="X5366">
        <v>0</v>
      </c>
      <c r="Y5366">
        <v>0</v>
      </c>
      <c r="Z5366">
        <v>7399.78</v>
      </c>
      <c r="AA5366">
        <v>7465.6</v>
      </c>
      <c r="AB5366" s="12" t="s">
        <v>201</v>
      </c>
      <c r="AD5366">
        <v>0</v>
      </c>
      <c r="AE5366">
        <v>0</v>
      </c>
      <c r="AH5366">
        <v>17</v>
      </c>
      <c r="AI5366">
        <v>17</v>
      </c>
      <c r="AJ5366">
        <v>0</v>
      </c>
      <c r="AK5366">
        <v>1</v>
      </c>
      <c r="AL5366">
        <v>1</v>
      </c>
      <c r="AM5366">
        <v>100</v>
      </c>
      <c r="AN5366">
        <v>439.15300000000002</v>
      </c>
      <c r="AO5366">
        <v>0</v>
      </c>
      <c r="AP5366" s="13">
        <v>45882</v>
      </c>
      <c r="AQ5366">
        <v>-1</v>
      </c>
      <c r="AR5366">
        <v>1</v>
      </c>
    </row>
    <row r="5367" spans="1:44" x14ac:dyDescent="0.35">
      <c r="A5367" s="12" t="s">
        <v>6465</v>
      </c>
      <c r="B5367" s="12" t="s">
        <v>1013</v>
      </c>
      <c r="C5367" s="12" t="s">
        <v>1014</v>
      </c>
      <c r="D5367" s="12" t="s">
        <v>78</v>
      </c>
      <c r="E5367" s="12" t="s">
        <v>65</v>
      </c>
      <c r="F5367">
        <v>2</v>
      </c>
      <c r="G5367">
        <v>3</v>
      </c>
      <c r="H5367">
        <v>0</v>
      </c>
      <c r="I5367" s="12" t="s">
        <v>359</v>
      </c>
      <c r="J5367" s="12" t="s">
        <v>360</v>
      </c>
      <c r="K5367" s="12" t="s">
        <v>133</v>
      </c>
      <c r="L5367" s="12" t="s">
        <v>82</v>
      </c>
      <c r="M5367">
        <v>12.65</v>
      </c>
      <c r="N5367" s="12" t="s">
        <v>97</v>
      </c>
      <c r="O5367" s="12" t="s">
        <v>98</v>
      </c>
      <c r="P5367" s="12" t="s">
        <v>72</v>
      </c>
      <c r="Q5367" s="13">
        <v>45862</v>
      </c>
      <c r="R5367" s="13">
        <v>45892</v>
      </c>
      <c r="S5367">
        <v>2025</v>
      </c>
      <c r="T5367" s="12" t="s">
        <v>6319</v>
      </c>
      <c r="U5367">
        <v>181</v>
      </c>
      <c r="V5367">
        <v>112.5136</v>
      </c>
      <c r="W5367">
        <v>350.11</v>
      </c>
      <c r="X5367">
        <v>0</v>
      </c>
      <c r="Y5367">
        <v>0</v>
      </c>
      <c r="Z5367">
        <v>20364.96</v>
      </c>
      <c r="AA5367">
        <v>20715.07</v>
      </c>
      <c r="AB5367" s="12" t="s">
        <v>6466</v>
      </c>
      <c r="AC5367">
        <v>112.5136</v>
      </c>
      <c r="AD5367">
        <v>1</v>
      </c>
      <c r="AE5367">
        <v>1</v>
      </c>
      <c r="AF5367">
        <v>0</v>
      </c>
      <c r="AG5367">
        <v>20364.96</v>
      </c>
      <c r="AH5367">
        <v>181</v>
      </c>
      <c r="AI5367">
        <v>177</v>
      </c>
      <c r="AJ5367">
        <v>4</v>
      </c>
      <c r="AK5367">
        <v>1</v>
      </c>
      <c r="AL5367">
        <v>1</v>
      </c>
      <c r="AM5367">
        <v>97.79</v>
      </c>
      <c r="AN5367">
        <v>117.0343</v>
      </c>
      <c r="AO5367">
        <v>450.05</v>
      </c>
      <c r="AP5367" s="13">
        <v>45891</v>
      </c>
      <c r="AQ5367">
        <v>-1</v>
      </c>
      <c r="AR5367">
        <v>1</v>
      </c>
    </row>
    <row r="5368" spans="1:44" x14ac:dyDescent="0.35">
      <c r="A5368" s="12" t="s">
        <v>6467</v>
      </c>
      <c r="B5368" s="12" t="s">
        <v>740</v>
      </c>
      <c r="C5368" s="12" t="s">
        <v>741</v>
      </c>
      <c r="D5368" s="12" t="s">
        <v>64</v>
      </c>
      <c r="E5368" s="12" t="s">
        <v>104</v>
      </c>
      <c r="F5368">
        <v>2</v>
      </c>
      <c r="G5368">
        <v>0</v>
      </c>
      <c r="H5368">
        <v>0</v>
      </c>
      <c r="I5368" s="12" t="s">
        <v>183</v>
      </c>
      <c r="J5368" s="12" t="s">
        <v>184</v>
      </c>
      <c r="K5368" s="12" t="s">
        <v>133</v>
      </c>
      <c r="L5368" s="12" t="s">
        <v>82</v>
      </c>
      <c r="M5368">
        <v>8.6199999999999992</v>
      </c>
      <c r="N5368" s="12" t="s">
        <v>97</v>
      </c>
      <c r="O5368" s="12" t="s">
        <v>98</v>
      </c>
      <c r="P5368" s="12" t="s">
        <v>72</v>
      </c>
      <c r="Q5368" s="13">
        <v>45862</v>
      </c>
      <c r="R5368" s="13">
        <v>45885</v>
      </c>
      <c r="S5368">
        <v>2025</v>
      </c>
      <c r="T5368" s="12" t="s">
        <v>6319</v>
      </c>
      <c r="U5368">
        <v>654</v>
      </c>
      <c r="V5368">
        <v>41.1374</v>
      </c>
      <c r="W5368">
        <v>285.08999999999997</v>
      </c>
      <c r="X5368">
        <v>0</v>
      </c>
      <c r="Y5368">
        <v>0</v>
      </c>
      <c r="Z5368">
        <v>26903.86</v>
      </c>
      <c r="AA5368">
        <v>27188.95</v>
      </c>
      <c r="AB5368" s="12" t="s">
        <v>5789</v>
      </c>
      <c r="AC5368">
        <v>41.1374</v>
      </c>
      <c r="AD5368">
        <v>1</v>
      </c>
      <c r="AE5368">
        <v>1</v>
      </c>
      <c r="AF5368">
        <v>0</v>
      </c>
      <c r="AG5368">
        <v>26903.86</v>
      </c>
      <c r="AH5368">
        <v>654</v>
      </c>
      <c r="AI5368">
        <v>651</v>
      </c>
      <c r="AJ5368">
        <v>3</v>
      </c>
      <c r="AK5368">
        <v>1</v>
      </c>
      <c r="AL5368">
        <v>1</v>
      </c>
      <c r="AM5368">
        <v>99.54</v>
      </c>
      <c r="AN5368">
        <v>41.764899999999997</v>
      </c>
      <c r="AO5368">
        <v>123.41</v>
      </c>
      <c r="AP5368" s="13">
        <v>45891</v>
      </c>
      <c r="AQ5368">
        <v>6</v>
      </c>
      <c r="AR5368">
        <v>0</v>
      </c>
    </row>
    <row r="5369" spans="1:44" x14ac:dyDescent="0.35">
      <c r="A5369" s="12" t="s">
        <v>6468</v>
      </c>
      <c r="B5369" s="12" t="s">
        <v>1042</v>
      </c>
      <c r="C5369" s="12" t="s">
        <v>1043</v>
      </c>
      <c r="D5369" s="12" t="s">
        <v>269</v>
      </c>
      <c r="E5369" s="12" t="s">
        <v>104</v>
      </c>
      <c r="F5369">
        <v>2</v>
      </c>
      <c r="G5369">
        <v>0</v>
      </c>
      <c r="H5369">
        <v>0</v>
      </c>
      <c r="I5369" s="12" t="s">
        <v>143</v>
      </c>
      <c r="J5369" s="12" t="s">
        <v>144</v>
      </c>
      <c r="K5369" s="12" t="s">
        <v>133</v>
      </c>
      <c r="L5369" s="12" t="s">
        <v>96</v>
      </c>
      <c r="M5369">
        <v>5.43</v>
      </c>
      <c r="N5369" s="12" t="s">
        <v>135</v>
      </c>
      <c r="O5369" s="12" t="s">
        <v>136</v>
      </c>
      <c r="P5369" s="12" t="s">
        <v>137</v>
      </c>
      <c r="Q5369" s="13">
        <v>45862</v>
      </c>
      <c r="R5369" s="13">
        <v>45885</v>
      </c>
      <c r="S5369">
        <v>2025</v>
      </c>
      <c r="T5369" s="12" t="s">
        <v>6319</v>
      </c>
      <c r="U5369">
        <v>101</v>
      </c>
      <c r="V5369">
        <v>306.85000000000002</v>
      </c>
      <c r="W5369">
        <v>535.04999999999995</v>
      </c>
      <c r="X5369">
        <v>0</v>
      </c>
      <c r="Y5369">
        <v>0</v>
      </c>
      <c r="Z5369">
        <v>30991.85</v>
      </c>
      <c r="AA5369">
        <v>31526.9</v>
      </c>
      <c r="AB5369" s="12" t="s">
        <v>201</v>
      </c>
      <c r="AD5369">
        <v>0</v>
      </c>
      <c r="AE5369">
        <v>0</v>
      </c>
      <c r="AH5369">
        <v>101</v>
      </c>
      <c r="AI5369">
        <v>100</v>
      </c>
      <c r="AJ5369">
        <v>1</v>
      </c>
      <c r="AK5369">
        <v>1</v>
      </c>
      <c r="AL5369">
        <v>1</v>
      </c>
      <c r="AM5369">
        <v>99.01</v>
      </c>
      <c r="AN5369">
        <v>315.26900000000001</v>
      </c>
      <c r="AO5369">
        <v>306.85000000000002</v>
      </c>
      <c r="AP5369" s="13">
        <v>45889</v>
      </c>
      <c r="AQ5369">
        <v>4</v>
      </c>
      <c r="AR5369">
        <v>0</v>
      </c>
    </row>
    <row r="5370" spans="1:44" x14ac:dyDescent="0.35">
      <c r="A5370" s="12" t="s">
        <v>6469</v>
      </c>
      <c r="B5370" s="12" t="s">
        <v>293</v>
      </c>
      <c r="C5370" s="12" t="s">
        <v>294</v>
      </c>
      <c r="D5370" s="12" t="s">
        <v>114</v>
      </c>
      <c r="E5370" s="12" t="s">
        <v>142</v>
      </c>
      <c r="F5370">
        <v>1</v>
      </c>
      <c r="G5370">
        <v>6</v>
      </c>
      <c r="H5370">
        <v>1</v>
      </c>
      <c r="I5370" s="12" t="s">
        <v>195</v>
      </c>
      <c r="J5370" s="12" t="s">
        <v>196</v>
      </c>
      <c r="K5370" s="12" t="s">
        <v>117</v>
      </c>
      <c r="L5370" s="12" t="s">
        <v>134</v>
      </c>
      <c r="M5370">
        <v>4.7699999999999996</v>
      </c>
      <c r="N5370" s="12" t="s">
        <v>70</v>
      </c>
      <c r="O5370" s="12" t="s">
        <v>71</v>
      </c>
      <c r="P5370" s="12" t="s">
        <v>72</v>
      </c>
      <c r="Q5370" s="13">
        <v>45862</v>
      </c>
      <c r="R5370" s="13">
        <v>45913</v>
      </c>
      <c r="S5370">
        <v>2025</v>
      </c>
      <c r="T5370" s="12" t="s">
        <v>6319</v>
      </c>
      <c r="U5370">
        <v>136</v>
      </c>
      <c r="V5370">
        <v>199.8203</v>
      </c>
      <c r="W5370">
        <v>271.45999999999998</v>
      </c>
      <c r="X5370">
        <v>858.73</v>
      </c>
      <c r="Y5370">
        <v>1</v>
      </c>
      <c r="Z5370">
        <v>27175.56</v>
      </c>
      <c r="AA5370">
        <v>28305.75</v>
      </c>
      <c r="AB5370" s="12" t="s">
        <v>5190</v>
      </c>
      <c r="AC5370">
        <v>199.8203</v>
      </c>
      <c r="AD5370">
        <v>1</v>
      </c>
      <c r="AE5370">
        <v>1</v>
      </c>
      <c r="AF5370">
        <v>0</v>
      </c>
      <c r="AG5370">
        <v>27175.56</v>
      </c>
      <c r="AH5370">
        <v>136</v>
      </c>
      <c r="AI5370">
        <v>134</v>
      </c>
      <c r="AJ5370">
        <v>2</v>
      </c>
      <c r="AK5370">
        <v>1</v>
      </c>
      <c r="AL5370">
        <v>1</v>
      </c>
      <c r="AM5370">
        <v>98.53</v>
      </c>
      <c r="AN5370">
        <v>211.23689999999999</v>
      </c>
      <c r="AO5370">
        <v>399.64</v>
      </c>
      <c r="AP5370" s="13">
        <v>45923</v>
      </c>
      <c r="AQ5370">
        <v>10</v>
      </c>
      <c r="AR5370">
        <v>0</v>
      </c>
    </row>
    <row r="5371" spans="1:44" x14ac:dyDescent="0.35">
      <c r="A5371" s="12" t="s">
        <v>6470</v>
      </c>
      <c r="B5371" s="12" t="s">
        <v>238</v>
      </c>
      <c r="C5371" s="12" t="s">
        <v>239</v>
      </c>
      <c r="D5371" s="12" t="s">
        <v>122</v>
      </c>
      <c r="E5371" s="12" t="s">
        <v>65</v>
      </c>
      <c r="F5371">
        <v>3</v>
      </c>
      <c r="G5371">
        <v>4</v>
      </c>
      <c r="H5371">
        <v>0</v>
      </c>
      <c r="I5371" s="12" t="s">
        <v>79</v>
      </c>
      <c r="J5371" s="12" t="s">
        <v>80</v>
      </c>
      <c r="K5371" s="12" t="s">
        <v>81</v>
      </c>
      <c r="L5371" s="12" t="s">
        <v>82</v>
      </c>
      <c r="M5371">
        <v>12.07</v>
      </c>
      <c r="N5371" s="12" t="s">
        <v>97</v>
      </c>
      <c r="O5371" s="12" t="s">
        <v>98</v>
      </c>
      <c r="P5371" s="12" t="s">
        <v>72</v>
      </c>
      <c r="Q5371" s="13">
        <v>45862</v>
      </c>
      <c r="R5371" s="13">
        <v>45899</v>
      </c>
      <c r="S5371">
        <v>2025</v>
      </c>
      <c r="T5371" s="12" t="s">
        <v>6319</v>
      </c>
      <c r="U5371">
        <v>1856</v>
      </c>
      <c r="V5371">
        <v>34.205399999999997</v>
      </c>
      <c r="W5371">
        <v>1455.29</v>
      </c>
      <c r="X5371">
        <v>0</v>
      </c>
      <c r="Y5371">
        <v>0</v>
      </c>
      <c r="Z5371">
        <v>63485.22</v>
      </c>
      <c r="AA5371">
        <v>64940.51</v>
      </c>
      <c r="AB5371" s="12" t="s">
        <v>5214</v>
      </c>
      <c r="AC5371">
        <v>34.205399999999997</v>
      </c>
      <c r="AD5371">
        <v>1</v>
      </c>
      <c r="AE5371">
        <v>1</v>
      </c>
      <c r="AF5371">
        <v>0</v>
      </c>
      <c r="AG5371">
        <v>63485.22</v>
      </c>
      <c r="AH5371">
        <v>1856</v>
      </c>
      <c r="AI5371">
        <v>1838</v>
      </c>
      <c r="AJ5371">
        <v>18</v>
      </c>
      <c r="AK5371">
        <v>1</v>
      </c>
      <c r="AL5371">
        <v>1</v>
      </c>
      <c r="AM5371">
        <v>99.03</v>
      </c>
      <c r="AN5371">
        <v>35.3322</v>
      </c>
      <c r="AO5371">
        <v>615.70000000000005</v>
      </c>
      <c r="AP5371" s="13">
        <v>45903</v>
      </c>
      <c r="AQ5371">
        <v>4</v>
      </c>
      <c r="AR5371">
        <v>0</v>
      </c>
    </row>
    <row r="5372" spans="1:44" x14ac:dyDescent="0.35">
      <c r="A5372" s="12" t="s">
        <v>6471</v>
      </c>
      <c r="B5372" s="12" t="s">
        <v>284</v>
      </c>
      <c r="C5372" s="12" t="s">
        <v>285</v>
      </c>
      <c r="D5372" s="12" t="s">
        <v>269</v>
      </c>
      <c r="E5372" s="12" t="s">
        <v>104</v>
      </c>
      <c r="F5372">
        <v>3</v>
      </c>
      <c r="G5372">
        <v>1</v>
      </c>
      <c r="H5372">
        <v>0</v>
      </c>
      <c r="I5372" s="12" t="s">
        <v>199</v>
      </c>
      <c r="J5372" s="12" t="s">
        <v>200</v>
      </c>
      <c r="K5372" s="12" t="s">
        <v>68</v>
      </c>
      <c r="L5372" s="12" t="s">
        <v>96</v>
      </c>
      <c r="M5372">
        <v>9.4700000000000006</v>
      </c>
      <c r="N5372" s="12" t="s">
        <v>135</v>
      </c>
      <c r="O5372" s="12" t="s">
        <v>136</v>
      </c>
      <c r="P5372" s="12" t="s">
        <v>137</v>
      </c>
      <c r="Q5372" s="13">
        <v>45863</v>
      </c>
      <c r="R5372" s="13">
        <v>45890</v>
      </c>
      <c r="S5372">
        <v>2025</v>
      </c>
      <c r="T5372" s="12" t="s">
        <v>6319</v>
      </c>
      <c r="U5372">
        <v>129</v>
      </c>
      <c r="V5372">
        <v>373.8107</v>
      </c>
      <c r="W5372">
        <v>690.56</v>
      </c>
      <c r="X5372">
        <v>0</v>
      </c>
      <c r="Y5372">
        <v>0</v>
      </c>
      <c r="Z5372">
        <v>48221.58</v>
      </c>
      <c r="AA5372">
        <v>48912.14</v>
      </c>
      <c r="AB5372" s="12" t="s">
        <v>201</v>
      </c>
      <c r="AD5372">
        <v>0</v>
      </c>
      <c r="AE5372">
        <v>0</v>
      </c>
      <c r="AH5372">
        <v>129</v>
      </c>
      <c r="AI5372">
        <v>127</v>
      </c>
      <c r="AJ5372">
        <v>2</v>
      </c>
      <c r="AK5372">
        <v>1</v>
      </c>
      <c r="AL5372">
        <v>1</v>
      </c>
      <c r="AM5372">
        <v>98.45</v>
      </c>
      <c r="AN5372">
        <v>385.13499999999999</v>
      </c>
      <c r="AO5372">
        <v>747.62</v>
      </c>
      <c r="AP5372" s="13">
        <v>45895</v>
      </c>
      <c r="AQ5372">
        <v>5</v>
      </c>
      <c r="AR5372">
        <v>0</v>
      </c>
    </row>
    <row r="5373" spans="1:44" x14ac:dyDescent="0.35">
      <c r="A5373" s="12" t="s">
        <v>6472</v>
      </c>
      <c r="B5373" s="12" t="s">
        <v>273</v>
      </c>
      <c r="C5373" s="12" t="s">
        <v>274</v>
      </c>
      <c r="D5373" s="12" t="s">
        <v>175</v>
      </c>
      <c r="E5373" s="12" t="s">
        <v>104</v>
      </c>
      <c r="F5373">
        <v>3</v>
      </c>
      <c r="G5373">
        <v>1</v>
      </c>
      <c r="H5373">
        <v>0</v>
      </c>
      <c r="I5373" s="12" t="s">
        <v>275</v>
      </c>
      <c r="J5373" s="12" t="s">
        <v>276</v>
      </c>
      <c r="K5373" s="12" t="s">
        <v>89</v>
      </c>
      <c r="L5373" s="12" t="s">
        <v>82</v>
      </c>
      <c r="M5373">
        <v>14.26</v>
      </c>
      <c r="N5373" s="12" t="s">
        <v>107</v>
      </c>
      <c r="O5373" s="12" t="s">
        <v>108</v>
      </c>
      <c r="P5373" s="12" t="s">
        <v>109</v>
      </c>
      <c r="Q5373" s="13">
        <v>45863</v>
      </c>
      <c r="R5373" s="13">
        <v>45884</v>
      </c>
      <c r="S5373">
        <v>2025</v>
      </c>
      <c r="T5373" s="12" t="s">
        <v>6319</v>
      </c>
      <c r="U5373">
        <v>85</v>
      </c>
      <c r="V5373">
        <v>108.56229999999999</v>
      </c>
      <c r="W5373">
        <v>192.62</v>
      </c>
      <c r="X5373">
        <v>0</v>
      </c>
      <c r="Y5373">
        <v>0</v>
      </c>
      <c r="Z5373">
        <v>9227.7999999999993</v>
      </c>
      <c r="AA5373">
        <v>9420.42</v>
      </c>
      <c r="AB5373" s="12" t="s">
        <v>5782</v>
      </c>
      <c r="AC5373">
        <v>108.56229999999999</v>
      </c>
      <c r="AD5373">
        <v>1</v>
      </c>
      <c r="AE5373">
        <v>1</v>
      </c>
      <c r="AF5373">
        <v>0</v>
      </c>
      <c r="AG5373">
        <v>9227.7999999999993</v>
      </c>
      <c r="AH5373">
        <v>85</v>
      </c>
      <c r="AI5373">
        <v>85</v>
      </c>
      <c r="AJ5373">
        <v>0</v>
      </c>
      <c r="AK5373">
        <v>1</v>
      </c>
      <c r="AL5373">
        <v>1</v>
      </c>
      <c r="AM5373">
        <v>100</v>
      </c>
      <c r="AN5373">
        <v>110.8284</v>
      </c>
      <c r="AO5373">
        <v>0</v>
      </c>
      <c r="AP5373" s="13">
        <v>45881</v>
      </c>
      <c r="AQ5373">
        <v>-3</v>
      </c>
      <c r="AR5373">
        <v>1</v>
      </c>
    </row>
    <row r="5374" spans="1:44" x14ac:dyDescent="0.35">
      <c r="A5374" s="12" t="s">
        <v>6473</v>
      </c>
      <c r="B5374" s="12" t="s">
        <v>598</v>
      </c>
      <c r="C5374" s="12" t="s">
        <v>599</v>
      </c>
      <c r="D5374" s="12" t="s">
        <v>269</v>
      </c>
      <c r="E5374" s="12" t="s">
        <v>65</v>
      </c>
      <c r="F5374">
        <v>1</v>
      </c>
      <c r="G5374">
        <v>2</v>
      </c>
      <c r="H5374">
        <v>1</v>
      </c>
      <c r="I5374" s="12" t="s">
        <v>176</v>
      </c>
      <c r="J5374" s="12" t="s">
        <v>177</v>
      </c>
      <c r="K5374" s="12" t="s">
        <v>125</v>
      </c>
      <c r="L5374" s="12" t="s">
        <v>134</v>
      </c>
      <c r="M5374">
        <v>1.75</v>
      </c>
      <c r="N5374" s="12" t="s">
        <v>135</v>
      </c>
      <c r="O5374" s="12" t="s">
        <v>136</v>
      </c>
      <c r="P5374" s="12" t="s">
        <v>137</v>
      </c>
      <c r="Q5374" s="13">
        <v>45863</v>
      </c>
      <c r="R5374" s="13">
        <v>45897</v>
      </c>
      <c r="S5374">
        <v>2025</v>
      </c>
      <c r="T5374" s="12" t="s">
        <v>6319</v>
      </c>
      <c r="U5374">
        <v>115</v>
      </c>
      <c r="V5374">
        <v>513.04459999999995</v>
      </c>
      <c r="W5374">
        <v>453.85</v>
      </c>
      <c r="X5374">
        <v>1872.16</v>
      </c>
      <c r="Y5374">
        <v>1</v>
      </c>
      <c r="Z5374">
        <v>59000.13</v>
      </c>
      <c r="AA5374">
        <v>61326.14</v>
      </c>
      <c r="AB5374" s="12" t="s">
        <v>201</v>
      </c>
      <c r="AD5374">
        <v>0</v>
      </c>
      <c r="AE5374">
        <v>0</v>
      </c>
      <c r="AH5374">
        <v>115</v>
      </c>
      <c r="AI5374">
        <v>114</v>
      </c>
      <c r="AJ5374">
        <v>1</v>
      </c>
      <c r="AK5374">
        <v>1</v>
      </c>
      <c r="AL5374">
        <v>1</v>
      </c>
      <c r="AM5374">
        <v>99.13</v>
      </c>
      <c r="AN5374">
        <v>537.94860000000006</v>
      </c>
      <c r="AO5374">
        <v>513.04</v>
      </c>
      <c r="AP5374" s="13">
        <v>45897</v>
      </c>
      <c r="AQ5374">
        <v>0</v>
      </c>
      <c r="AR5374">
        <v>1</v>
      </c>
    </row>
    <row r="5375" spans="1:44" x14ac:dyDescent="0.35">
      <c r="A5375" s="12" t="s">
        <v>6474</v>
      </c>
      <c r="B5375" s="12" t="s">
        <v>302</v>
      </c>
      <c r="C5375" s="12" t="s">
        <v>303</v>
      </c>
      <c r="D5375" s="12" t="s">
        <v>78</v>
      </c>
      <c r="E5375" s="12" t="s">
        <v>65</v>
      </c>
      <c r="F5375">
        <v>2</v>
      </c>
      <c r="G5375">
        <v>3</v>
      </c>
      <c r="H5375">
        <v>0</v>
      </c>
      <c r="I5375" s="12" t="s">
        <v>335</v>
      </c>
      <c r="J5375" s="12" t="s">
        <v>336</v>
      </c>
      <c r="K5375" s="12" t="s">
        <v>89</v>
      </c>
      <c r="L5375" s="12" t="s">
        <v>82</v>
      </c>
      <c r="M5375">
        <v>16</v>
      </c>
      <c r="N5375" s="12" t="s">
        <v>70</v>
      </c>
      <c r="O5375" s="12" t="s">
        <v>71</v>
      </c>
      <c r="P5375" s="12" t="s">
        <v>72</v>
      </c>
      <c r="Q5375" s="13">
        <v>45863</v>
      </c>
      <c r="R5375" s="13">
        <v>45900</v>
      </c>
      <c r="S5375">
        <v>2025</v>
      </c>
      <c r="T5375" s="12" t="s">
        <v>6319</v>
      </c>
      <c r="U5375">
        <v>282</v>
      </c>
      <c r="V5375">
        <v>137.82220000000001</v>
      </c>
      <c r="W5375">
        <v>346.12</v>
      </c>
      <c r="X5375">
        <v>0</v>
      </c>
      <c r="Y5375">
        <v>0</v>
      </c>
      <c r="Z5375">
        <v>38865.86</v>
      </c>
      <c r="AA5375">
        <v>39211.980000000003</v>
      </c>
      <c r="AB5375" s="12" t="s">
        <v>5763</v>
      </c>
      <c r="AC5375">
        <v>137.82220000000001</v>
      </c>
      <c r="AD5375">
        <v>1</v>
      </c>
      <c r="AE5375">
        <v>1</v>
      </c>
      <c r="AF5375">
        <v>0</v>
      </c>
      <c r="AG5375">
        <v>38865.86</v>
      </c>
      <c r="AH5375">
        <v>282</v>
      </c>
      <c r="AI5375">
        <v>276</v>
      </c>
      <c r="AJ5375">
        <v>6</v>
      </c>
      <c r="AK5375">
        <v>1</v>
      </c>
      <c r="AL5375">
        <v>1</v>
      </c>
      <c r="AM5375">
        <v>97.87</v>
      </c>
      <c r="AN5375">
        <v>142.07239999999999</v>
      </c>
      <c r="AO5375">
        <v>826.93</v>
      </c>
      <c r="AP5375" s="13">
        <v>45898</v>
      </c>
      <c r="AQ5375">
        <v>-2</v>
      </c>
      <c r="AR5375">
        <v>1</v>
      </c>
    </row>
    <row r="5376" spans="1:44" x14ac:dyDescent="0.35">
      <c r="A5376" s="12" t="s">
        <v>6475</v>
      </c>
      <c r="B5376" s="12" t="s">
        <v>532</v>
      </c>
      <c r="C5376" s="12" t="s">
        <v>533</v>
      </c>
      <c r="D5376" s="12" t="s">
        <v>114</v>
      </c>
      <c r="E5376" s="12" t="s">
        <v>65</v>
      </c>
      <c r="F5376">
        <v>2</v>
      </c>
      <c r="G5376">
        <v>3</v>
      </c>
      <c r="H5376">
        <v>0</v>
      </c>
      <c r="I5376" s="12" t="s">
        <v>105</v>
      </c>
      <c r="J5376" s="12" t="s">
        <v>106</v>
      </c>
      <c r="K5376" s="12" t="s">
        <v>81</v>
      </c>
      <c r="L5376" s="12" t="s">
        <v>96</v>
      </c>
      <c r="M5376">
        <v>5.01</v>
      </c>
      <c r="N5376" s="12" t="s">
        <v>70</v>
      </c>
      <c r="O5376" s="12" t="s">
        <v>71</v>
      </c>
      <c r="P5376" s="12" t="s">
        <v>72</v>
      </c>
      <c r="Q5376" s="13">
        <v>45863</v>
      </c>
      <c r="R5376" s="13">
        <v>45894</v>
      </c>
      <c r="S5376">
        <v>2025</v>
      </c>
      <c r="T5376" s="12" t="s">
        <v>6319</v>
      </c>
      <c r="U5376">
        <v>90</v>
      </c>
      <c r="V5376">
        <v>235.3699</v>
      </c>
      <c r="W5376">
        <v>505.12</v>
      </c>
      <c r="X5376">
        <v>0</v>
      </c>
      <c r="Y5376">
        <v>0</v>
      </c>
      <c r="Z5376">
        <v>21183.29</v>
      </c>
      <c r="AA5376">
        <v>21688.41</v>
      </c>
      <c r="AB5376" s="12" t="s">
        <v>5676</v>
      </c>
      <c r="AC5376">
        <v>249.89959999999999</v>
      </c>
      <c r="AD5376">
        <v>1</v>
      </c>
      <c r="AE5376">
        <v>1</v>
      </c>
      <c r="AF5376">
        <v>-1307.67</v>
      </c>
      <c r="AG5376">
        <v>22490.959999999999</v>
      </c>
      <c r="AH5376">
        <v>90</v>
      </c>
      <c r="AI5376">
        <v>89</v>
      </c>
      <c r="AJ5376">
        <v>1</v>
      </c>
      <c r="AK5376">
        <v>1</v>
      </c>
      <c r="AL5376">
        <v>1</v>
      </c>
      <c r="AM5376">
        <v>98.89</v>
      </c>
      <c r="AN5376">
        <v>243.69</v>
      </c>
      <c r="AO5376">
        <v>235.37</v>
      </c>
      <c r="AP5376" s="13">
        <v>45894</v>
      </c>
      <c r="AQ5376">
        <v>0</v>
      </c>
      <c r="AR5376">
        <v>1</v>
      </c>
    </row>
    <row r="5377" spans="1:44" x14ac:dyDescent="0.35">
      <c r="A5377" s="12" t="s">
        <v>6476</v>
      </c>
      <c r="B5377" s="12" t="s">
        <v>140</v>
      </c>
      <c r="C5377" s="12" t="s">
        <v>141</v>
      </c>
      <c r="D5377" s="12" t="s">
        <v>103</v>
      </c>
      <c r="E5377" s="12" t="s">
        <v>142</v>
      </c>
      <c r="F5377">
        <v>1</v>
      </c>
      <c r="G5377">
        <v>7</v>
      </c>
      <c r="H5377">
        <v>1</v>
      </c>
      <c r="I5377" s="12" t="s">
        <v>143</v>
      </c>
      <c r="J5377" s="12" t="s">
        <v>144</v>
      </c>
      <c r="K5377" s="12" t="s">
        <v>133</v>
      </c>
      <c r="L5377" s="12" t="s">
        <v>96</v>
      </c>
      <c r="M5377">
        <v>5.43</v>
      </c>
      <c r="N5377" s="12" t="s">
        <v>145</v>
      </c>
      <c r="O5377" s="12" t="s">
        <v>146</v>
      </c>
      <c r="P5377" s="12" t="s">
        <v>109</v>
      </c>
      <c r="Q5377" s="13">
        <v>45863</v>
      </c>
      <c r="R5377" s="13">
        <v>45910</v>
      </c>
      <c r="S5377">
        <v>2025</v>
      </c>
      <c r="T5377" s="12" t="s">
        <v>6319</v>
      </c>
      <c r="U5377">
        <v>107</v>
      </c>
      <c r="V5377">
        <v>210.93029999999999</v>
      </c>
      <c r="W5377">
        <v>574.46</v>
      </c>
      <c r="X5377">
        <v>0</v>
      </c>
      <c r="Y5377">
        <v>0</v>
      </c>
      <c r="Z5377">
        <v>22569.54</v>
      </c>
      <c r="AA5377">
        <v>23144</v>
      </c>
      <c r="AB5377" s="12" t="s">
        <v>5126</v>
      </c>
      <c r="AC5377">
        <v>210.93029999999999</v>
      </c>
      <c r="AD5377">
        <v>1</v>
      </c>
      <c r="AE5377">
        <v>1</v>
      </c>
      <c r="AF5377">
        <v>0</v>
      </c>
      <c r="AG5377">
        <v>22569.54</v>
      </c>
      <c r="AH5377">
        <v>107</v>
      </c>
      <c r="AI5377">
        <v>106</v>
      </c>
      <c r="AJ5377">
        <v>1</v>
      </c>
      <c r="AK5377">
        <v>1</v>
      </c>
      <c r="AL5377">
        <v>1</v>
      </c>
      <c r="AM5377">
        <v>99.07</v>
      </c>
      <c r="AN5377">
        <v>218.33959999999999</v>
      </c>
      <c r="AO5377">
        <v>210.93</v>
      </c>
      <c r="AP5377" s="13">
        <v>45908</v>
      </c>
      <c r="AQ5377">
        <v>-2</v>
      </c>
      <c r="AR5377">
        <v>1</v>
      </c>
    </row>
    <row r="5378" spans="1:44" x14ac:dyDescent="0.35">
      <c r="A5378" s="12" t="s">
        <v>6477</v>
      </c>
      <c r="B5378" s="12" t="s">
        <v>640</v>
      </c>
      <c r="C5378" s="12" t="s">
        <v>641</v>
      </c>
      <c r="D5378" s="12" t="s">
        <v>130</v>
      </c>
      <c r="E5378" s="12" t="s">
        <v>104</v>
      </c>
      <c r="F5378">
        <v>3</v>
      </c>
      <c r="G5378">
        <v>0</v>
      </c>
      <c r="H5378">
        <v>0</v>
      </c>
      <c r="I5378" s="12" t="s">
        <v>209</v>
      </c>
      <c r="J5378" s="12" t="s">
        <v>210</v>
      </c>
      <c r="K5378" s="12" t="s">
        <v>133</v>
      </c>
      <c r="L5378" s="12" t="s">
        <v>96</v>
      </c>
      <c r="M5378">
        <v>7.82</v>
      </c>
      <c r="N5378" s="12" t="s">
        <v>135</v>
      </c>
      <c r="O5378" s="12" t="s">
        <v>136</v>
      </c>
      <c r="P5378" s="12" t="s">
        <v>137</v>
      </c>
      <c r="Q5378" s="13">
        <v>45863</v>
      </c>
      <c r="R5378" s="13">
        <v>45881</v>
      </c>
      <c r="S5378">
        <v>2025</v>
      </c>
      <c r="T5378" s="12" t="s">
        <v>6319</v>
      </c>
      <c r="U5378">
        <v>57</v>
      </c>
      <c r="V5378">
        <v>947.05309999999997</v>
      </c>
      <c r="W5378">
        <v>934.21</v>
      </c>
      <c r="X5378">
        <v>0</v>
      </c>
      <c r="Y5378">
        <v>0</v>
      </c>
      <c r="Z5378">
        <v>53982.03</v>
      </c>
      <c r="AA5378">
        <v>54916.24</v>
      </c>
      <c r="AB5378" s="12" t="s">
        <v>5727</v>
      </c>
      <c r="AC5378">
        <v>947.05309999999997</v>
      </c>
      <c r="AD5378">
        <v>1</v>
      </c>
      <c r="AE5378">
        <v>1</v>
      </c>
      <c r="AF5378">
        <v>0</v>
      </c>
      <c r="AG5378">
        <v>53982.03</v>
      </c>
      <c r="AH5378">
        <v>57</v>
      </c>
      <c r="AI5378">
        <v>56</v>
      </c>
      <c r="AJ5378">
        <v>1</v>
      </c>
      <c r="AK5378">
        <v>1</v>
      </c>
      <c r="AL5378">
        <v>1</v>
      </c>
      <c r="AM5378">
        <v>98.25</v>
      </c>
      <c r="AN5378">
        <v>980.64710000000002</v>
      </c>
      <c r="AO5378">
        <v>947.05</v>
      </c>
      <c r="AP5378" s="13">
        <v>45879</v>
      </c>
      <c r="AQ5378">
        <v>-2</v>
      </c>
      <c r="AR5378">
        <v>1</v>
      </c>
    </row>
    <row r="5379" spans="1:44" x14ac:dyDescent="0.35">
      <c r="A5379" s="12" t="s">
        <v>6478</v>
      </c>
      <c r="B5379" s="12" t="s">
        <v>532</v>
      </c>
      <c r="C5379" s="12" t="s">
        <v>533</v>
      </c>
      <c r="D5379" s="12" t="s">
        <v>114</v>
      </c>
      <c r="E5379" s="12" t="s">
        <v>65</v>
      </c>
      <c r="F5379">
        <v>2</v>
      </c>
      <c r="G5379">
        <v>3</v>
      </c>
      <c r="H5379">
        <v>0</v>
      </c>
      <c r="I5379" s="12" t="s">
        <v>105</v>
      </c>
      <c r="J5379" s="12" t="s">
        <v>106</v>
      </c>
      <c r="K5379" s="12" t="s">
        <v>81</v>
      </c>
      <c r="L5379" s="12" t="s">
        <v>96</v>
      </c>
      <c r="M5379">
        <v>5.01</v>
      </c>
      <c r="N5379" s="12" t="s">
        <v>70</v>
      </c>
      <c r="O5379" s="12" t="s">
        <v>71</v>
      </c>
      <c r="P5379" s="12" t="s">
        <v>72</v>
      </c>
      <c r="Q5379" s="13">
        <v>45863</v>
      </c>
      <c r="R5379" s="13">
        <v>45894</v>
      </c>
      <c r="S5379">
        <v>2025</v>
      </c>
      <c r="T5379" s="12" t="s">
        <v>6319</v>
      </c>
      <c r="U5379">
        <v>90</v>
      </c>
      <c r="V5379">
        <v>235.3699</v>
      </c>
      <c r="W5379">
        <v>505.12</v>
      </c>
      <c r="X5379">
        <v>0</v>
      </c>
      <c r="Y5379">
        <v>0</v>
      </c>
      <c r="Z5379">
        <v>21183.29</v>
      </c>
      <c r="AA5379">
        <v>21688.41</v>
      </c>
      <c r="AB5379" s="12" t="s">
        <v>5676</v>
      </c>
      <c r="AC5379">
        <v>249.89959999999999</v>
      </c>
      <c r="AD5379">
        <v>1</v>
      </c>
      <c r="AE5379">
        <v>1</v>
      </c>
      <c r="AF5379">
        <v>-1307.67</v>
      </c>
      <c r="AG5379">
        <v>22490.959999999999</v>
      </c>
      <c r="AK5379">
        <v>0</v>
      </c>
      <c r="AL5379">
        <v>0</v>
      </c>
      <c r="AO5379">
        <v>0</v>
      </c>
      <c r="AP5379" s="13"/>
    </row>
    <row r="5380" spans="1:44" x14ac:dyDescent="0.35">
      <c r="A5380" s="12" t="s">
        <v>6479</v>
      </c>
      <c r="B5380" s="12" t="s">
        <v>101</v>
      </c>
      <c r="C5380" s="12" t="s">
        <v>102</v>
      </c>
      <c r="D5380" s="12" t="s">
        <v>103</v>
      </c>
      <c r="E5380" s="12" t="s">
        <v>104</v>
      </c>
      <c r="F5380">
        <v>1</v>
      </c>
      <c r="G5380">
        <v>0</v>
      </c>
      <c r="H5380">
        <v>1</v>
      </c>
      <c r="I5380" s="12" t="s">
        <v>105</v>
      </c>
      <c r="J5380" s="12" t="s">
        <v>106</v>
      </c>
      <c r="K5380" s="12" t="s">
        <v>81</v>
      </c>
      <c r="L5380" s="12" t="s">
        <v>96</v>
      </c>
      <c r="M5380">
        <v>5.01</v>
      </c>
      <c r="N5380" s="12" t="s">
        <v>107</v>
      </c>
      <c r="O5380" s="12" t="s">
        <v>108</v>
      </c>
      <c r="P5380" s="12" t="s">
        <v>109</v>
      </c>
      <c r="Q5380" s="13">
        <v>45866</v>
      </c>
      <c r="R5380" s="13">
        <v>45887</v>
      </c>
      <c r="S5380">
        <v>2025</v>
      </c>
      <c r="T5380" s="12" t="s">
        <v>6319</v>
      </c>
      <c r="U5380">
        <v>85</v>
      </c>
      <c r="V5380">
        <v>203.18520000000001</v>
      </c>
      <c r="W5380">
        <v>194.33</v>
      </c>
      <c r="X5380">
        <v>0</v>
      </c>
      <c r="Y5380">
        <v>0</v>
      </c>
      <c r="Z5380">
        <v>17270.740000000002</v>
      </c>
      <c r="AA5380">
        <v>17465.07</v>
      </c>
      <c r="AB5380" s="12" t="s">
        <v>5173</v>
      </c>
      <c r="AC5380">
        <v>203.18520000000001</v>
      </c>
      <c r="AD5380">
        <v>1</v>
      </c>
      <c r="AE5380">
        <v>1</v>
      </c>
      <c r="AF5380">
        <v>0</v>
      </c>
      <c r="AG5380">
        <v>17270.740000000002</v>
      </c>
      <c r="AH5380">
        <v>85</v>
      </c>
      <c r="AI5380">
        <v>85</v>
      </c>
      <c r="AJ5380">
        <v>0</v>
      </c>
      <c r="AK5380">
        <v>1</v>
      </c>
      <c r="AL5380">
        <v>1</v>
      </c>
      <c r="AM5380">
        <v>100</v>
      </c>
      <c r="AN5380">
        <v>205.47139999999999</v>
      </c>
      <c r="AO5380">
        <v>0</v>
      </c>
      <c r="AP5380" s="13">
        <v>45887</v>
      </c>
      <c r="AQ5380">
        <v>0</v>
      </c>
      <c r="AR5380">
        <v>1</v>
      </c>
    </row>
    <row r="5381" spans="1:44" x14ac:dyDescent="0.35">
      <c r="A5381" s="12" t="s">
        <v>6480</v>
      </c>
      <c r="B5381" s="12" t="s">
        <v>101</v>
      </c>
      <c r="C5381" s="12" t="s">
        <v>102</v>
      </c>
      <c r="D5381" s="12" t="s">
        <v>103</v>
      </c>
      <c r="E5381" s="12" t="s">
        <v>104</v>
      </c>
      <c r="F5381">
        <v>1</v>
      </c>
      <c r="G5381">
        <v>0</v>
      </c>
      <c r="H5381">
        <v>1</v>
      </c>
      <c r="I5381" s="12" t="s">
        <v>105</v>
      </c>
      <c r="J5381" s="12" t="s">
        <v>106</v>
      </c>
      <c r="K5381" s="12" t="s">
        <v>81</v>
      </c>
      <c r="L5381" s="12" t="s">
        <v>96</v>
      </c>
      <c r="M5381">
        <v>5.01</v>
      </c>
      <c r="N5381" s="12" t="s">
        <v>145</v>
      </c>
      <c r="O5381" s="12" t="s">
        <v>146</v>
      </c>
      <c r="P5381" s="12" t="s">
        <v>109</v>
      </c>
      <c r="Q5381" s="13">
        <v>45866</v>
      </c>
      <c r="R5381" s="13">
        <v>45883</v>
      </c>
      <c r="S5381">
        <v>2025</v>
      </c>
      <c r="T5381" s="12" t="s">
        <v>6319</v>
      </c>
      <c r="U5381">
        <v>50</v>
      </c>
      <c r="V5381">
        <v>203.18520000000001</v>
      </c>
      <c r="W5381">
        <v>187.88</v>
      </c>
      <c r="X5381">
        <v>0</v>
      </c>
      <c r="Y5381">
        <v>0</v>
      </c>
      <c r="Z5381">
        <v>10159.26</v>
      </c>
      <c r="AA5381">
        <v>10347.14</v>
      </c>
      <c r="AB5381" s="12" t="s">
        <v>5173</v>
      </c>
      <c r="AC5381">
        <v>203.18520000000001</v>
      </c>
      <c r="AD5381">
        <v>1</v>
      </c>
      <c r="AE5381">
        <v>1</v>
      </c>
      <c r="AF5381">
        <v>0</v>
      </c>
      <c r="AG5381">
        <v>10159.26</v>
      </c>
      <c r="AH5381">
        <v>50</v>
      </c>
      <c r="AI5381">
        <v>50</v>
      </c>
      <c r="AJ5381">
        <v>0</v>
      </c>
      <c r="AK5381">
        <v>1</v>
      </c>
      <c r="AL5381">
        <v>1</v>
      </c>
      <c r="AM5381">
        <v>100</v>
      </c>
      <c r="AN5381">
        <v>206.94280000000001</v>
      </c>
      <c r="AO5381">
        <v>0</v>
      </c>
      <c r="AP5381" s="13">
        <v>45880</v>
      </c>
      <c r="AQ5381">
        <v>-3</v>
      </c>
      <c r="AR5381">
        <v>1</v>
      </c>
    </row>
    <row r="5382" spans="1:44" x14ac:dyDescent="0.35">
      <c r="A5382" s="12" t="s">
        <v>6481</v>
      </c>
      <c r="B5382" s="12" t="s">
        <v>555</v>
      </c>
      <c r="C5382" s="12" t="s">
        <v>556</v>
      </c>
      <c r="D5382" s="12" t="s">
        <v>114</v>
      </c>
      <c r="E5382" s="12" t="s">
        <v>142</v>
      </c>
      <c r="F5382">
        <v>1</v>
      </c>
      <c r="G5382">
        <v>6</v>
      </c>
      <c r="H5382">
        <v>1</v>
      </c>
      <c r="I5382" s="12" t="s">
        <v>151</v>
      </c>
      <c r="J5382" s="12" t="s">
        <v>152</v>
      </c>
      <c r="K5382" s="12" t="s">
        <v>125</v>
      </c>
      <c r="L5382" s="12" t="s">
        <v>69</v>
      </c>
      <c r="M5382">
        <v>36.479999999999997</v>
      </c>
      <c r="N5382" s="12" t="s">
        <v>97</v>
      </c>
      <c r="O5382" s="12" t="s">
        <v>98</v>
      </c>
      <c r="P5382" s="12" t="s">
        <v>72</v>
      </c>
      <c r="Q5382" s="13">
        <v>45866</v>
      </c>
      <c r="R5382" s="13">
        <v>45907</v>
      </c>
      <c r="S5382">
        <v>2025</v>
      </c>
      <c r="T5382" s="12" t="s">
        <v>6319</v>
      </c>
      <c r="U5382">
        <v>63</v>
      </c>
      <c r="V5382">
        <v>266.68439999999998</v>
      </c>
      <c r="W5382">
        <v>196.06</v>
      </c>
      <c r="X5382">
        <v>553.14</v>
      </c>
      <c r="Y5382">
        <v>1</v>
      </c>
      <c r="Z5382">
        <v>16801.12</v>
      </c>
      <c r="AA5382">
        <v>17550.32</v>
      </c>
      <c r="AB5382" s="12" t="s">
        <v>6121</v>
      </c>
      <c r="AC5382">
        <v>266.68439999999998</v>
      </c>
      <c r="AD5382">
        <v>1</v>
      </c>
      <c r="AE5382">
        <v>1</v>
      </c>
      <c r="AF5382">
        <v>0</v>
      </c>
      <c r="AG5382">
        <v>16801.12</v>
      </c>
      <c r="AH5382">
        <v>63</v>
      </c>
      <c r="AI5382">
        <v>62</v>
      </c>
      <c r="AJ5382">
        <v>1</v>
      </c>
      <c r="AK5382">
        <v>1</v>
      </c>
      <c r="AL5382">
        <v>1</v>
      </c>
      <c r="AM5382">
        <v>98.41</v>
      </c>
      <c r="AN5382">
        <v>283.06959999999998</v>
      </c>
      <c r="AO5382">
        <v>266.68</v>
      </c>
      <c r="AP5382" s="13">
        <v>45904</v>
      </c>
      <c r="AQ5382">
        <v>-3</v>
      </c>
      <c r="AR5382">
        <v>1</v>
      </c>
    </row>
    <row r="5383" spans="1:44" x14ac:dyDescent="0.35">
      <c r="A5383" s="12" t="s">
        <v>6482</v>
      </c>
      <c r="B5383" s="12" t="s">
        <v>120</v>
      </c>
      <c r="C5383" s="12" t="s">
        <v>121</v>
      </c>
      <c r="D5383" s="12" t="s">
        <v>122</v>
      </c>
      <c r="E5383" s="12" t="s">
        <v>65</v>
      </c>
      <c r="F5383">
        <v>3</v>
      </c>
      <c r="G5383">
        <v>4</v>
      </c>
      <c r="H5383">
        <v>0</v>
      </c>
      <c r="I5383" s="12" t="s">
        <v>123</v>
      </c>
      <c r="J5383" s="12" t="s">
        <v>124</v>
      </c>
      <c r="K5383" s="12" t="s">
        <v>125</v>
      </c>
      <c r="L5383" s="12" t="s">
        <v>82</v>
      </c>
      <c r="M5383">
        <v>6.75</v>
      </c>
      <c r="N5383" s="12" t="s">
        <v>70</v>
      </c>
      <c r="O5383" s="12" t="s">
        <v>71</v>
      </c>
      <c r="P5383" s="12" t="s">
        <v>72</v>
      </c>
      <c r="Q5383" s="13">
        <v>45866</v>
      </c>
      <c r="R5383" s="13">
        <v>45904</v>
      </c>
      <c r="S5383">
        <v>2025</v>
      </c>
      <c r="T5383" s="12" t="s">
        <v>6319</v>
      </c>
      <c r="U5383">
        <v>1907</v>
      </c>
      <c r="V5383">
        <v>50.976100000000002</v>
      </c>
      <c r="W5383">
        <v>2121.7800000000002</v>
      </c>
      <c r="X5383">
        <v>0</v>
      </c>
      <c r="Y5383">
        <v>0</v>
      </c>
      <c r="Z5383">
        <v>97211.42</v>
      </c>
      <c r="AA5383">
        <v>99333.2</v>
      </c>
      <c r="AB5383" s="12" t="s">
        <v>5139</v>
      </c>
      <c r="AC5383">
        <v>50.976100000000002</v>
      </c>
      <c r="AD5383">
        <v>1</v>
      </c>
      <c r="AE5383">
        <v>1</v>
      </c>
      <c r="AF5383">
        <v>0</v>
      </c>
      <c r="AG5383">
        <v>97211.42</v>
      </c>
      <c r="AH5383">
        <v>1907</v>
      </c>
      <c r="AI5383">
        <v>1903</v>
      </c>
      <c r="AJ5383">
        <v>4</v>
      </c>
      <c r="AK5383">
        <v>1</v>
      </c>
      <c r="AL5383">
        <v>1</v>
      </c>
      <c r="AM5383">
        <v>99.79</v>
      </c>
      <c r="AN5383">
        <v>52.1982</v>
      </c>
      <c r="AO5383">
        <v>203.9</v>
      </c>
      <c r="AP5383" s="13">
        <v>45912</v>
      </c>
      <c r="AQ5383">
        <v>8</v>
      </c>
      <c r="AR5383">
        <v>0</v>
      </c>
    </row>
    <row r="5384" spans="1:44" x14ac:dyDescent="0.35">
      <c r="A5384" s="12" t="s">
        <v>6483</v>
      </c>
      <c r="B5384" s="12" t="s">
        <v>728</v>
      </c>
      <c r="C5384" s="12" t="s">
        <v>729</v>
      </c>
      <c r="D5384" s="12" t="s">
        <v>269</v>
      </c>
      <c r="E5384" s="12" t="s">
        <v>65</v>
      </c>
      <c r="F5384">
        <v>2</v>
      </c>
      <c r="G5384">
        <v>3</v>
      </c>
      <c r="H5384">
        <v>0</v>
      </c>
      <c r="I5384" s="12" t="s">
        <v>310</v>
      </c>
      <c r="J5384" s="12" t="s">
        <v>311</v>
      </c>
      <c r="K5384" s="12" t="s">
        <v>81</v>
      </c>
      <c r="L5384" s="12" t="s">
        <v>69</v>
      </c>
      <c r="M5384">
        <v>28.3</v>
      </c>
      <c r="N5384" s="12" t="s">
        <v>159</v>
      </c>
      <c r="O5384" s="12" t="s">
        <v>160</v>
      </c>
      <c r="P5384" s="12" t="s">
        <v>137</v>
      </c>
      <c r="Q5384" s="13">
        <v>45866</v>
      </c>
      <c r="R5384" s="13">
        <v>45894</v>
      </c>
      <c r="S5384">
        <v>2025</v>
      </c>
      <c r="T5384" s="12" t="s">
        <v>6319</v>
      </c>
      <c r="U5384">
        <v>69</v>
      </c>
      <c r="V5384">
        <v>354.43099999999998</v>
      </c>
      <c r="W5384">
        <v>547.49</v>
      </c>
      <c r="X5384">
        <v>0</v>
      </c>
      <c r="Y5384">
        <v>0</v>
      </c>
      <c r="Z5384">
        <v>24455.74</v>
      </c>
      <c r="AA5384">
        <v>25003.23</v>
      </c>
      <c r="AB5384" s="12" t="s">
        <v>5820</v>
      </c>
      <c r="AC5384">
        <v>354.43099999999998</v>
      </c>
      <c r="AD5384">
        <v>1</v>
      </c>
      <c r="AE5384">
        <v>1</v>
      </c>
      <c r="AF5384">
        <v>0</v>
      </c>
      <c r="AG5384">
        <v>24455.74</v>
      </c>
      <c r="AH5384">
        <v>69</v>
      </c>
      <c r="AI5384">
        <v>68</v>
      </c>
      <c r="AJ5384">
        <v>1</v>
      </c>
      <c r="AK5384">
        <v>1</v>
      </c>
      <c r="AL5384">
        <v>1</v>
      </c>
      <c r="AM5384">
        <v>98.55</v>
      </c>
      <c r="AN5384">
        <v>367.69450000000001</v>
      </c>
      <c r="AO5384">
        <v>354.43</v>
      </c>
      <c r="AP5384" s="13">
        <v>45895</v>
      </c>
      <c r="AQ5384">
        <v>1</v>
      </c>
      <c r="AR5384">
        <v>0</v>
      </c>
    </row>
    <row r="5385" spans="1:44" x14ac:dyDescent="0.35">
      <c r="A5385" s="12" t="s">
        <v>6484</v>
      </c>
      <c r="B5385" s="12" t="s">
        <v>823</v>
      </c>
      <c r="C5385" s="12" t="s">
        <v>824</v>
      </c>
      <c r="D5385" s="12" t="s">
        <v>114</v>
      </c>
      <c r="E5385" s="12" t="s">
        <v>142</v>
      </c>
      <c r="F5385">
        <v>1</v>
      </c>
      <c r="G5385">
        <v>8</v>
      </c>
      <c r="H5385">
        <v>1</v>
      </c>
      <c r="I5385" s="12" t="s">
        <v>515</v>
      </c>
      <c r="J5385" s="12" t="s">
        <v>516</v>
      </c>
      <c r="K5385" s="12" t="s">
        <v>68</v>
      </c>
      <c r="L5385" s="12" t="s">
        <v>134</v>
      </c>
      <c r="M5385">
        <v>3.69</v>
      </c>
      <c r="N5385" s="12" t="s">
        <v>97</v>
      </c>
      <c r="O5385" s="12" t="s">
        <v>98</v>
      </c>
      <c r="P5385" s="12" t="s">
        <v>72</v>
      </c>
      <c r="Q5385" s="13">
        <v>45866</v>
      </c>
      <c r="R5385" s="13">
        <v>45917</v>
      </c>
      <c r="S5385">
        <v>2025</v>
      </c>
      <c r="T5385" s="12" t="s">
        <v>6319</v>
      </c>
      <c r="U5385">
        <v>135</v>
      </c>
      <c r="V5385">
        <v>361.69060000000002</v>
      </c>
      <c r="W5385">
        <v>1038.6500000000001</v>
      </c>
      <c r="X5385">
        <v>0</v>
      </c>
      <c r="Y5385">
        <v>0</v>
      </c>
      <c r="Z5385">
        <v>48828.23</v>
      </c>
      <c r="AA5385">
        <v>49866.879999999997</v>
      </c>
      <c r="AB5385" s="12" t="s">
        <v>5883</v>
      </c>
      <c r="AC5385">
        <v>361.69060000000002</v>
      </c>
      <c r="AD5385">
        <v>1</v>
      </c>
      <c r="AE5385">
        <v>1</v>
      </c>
      <c r="AF5385">
        <v>0</v>
      </c>
      <c r="AG5385">
        <v>48828.23</v>
      </c>
      <c r="AH5385">
        <v>135</v>
      </c>
      <c r="AI5385">
        <v>132</v>
      </c>
      <c r="AJ5385">
        <v>3</v>
      </c>
      <c r="AK5385">
        <v>1</v>
      </c>
      <c r="AL5385">
        <v>1</v>
      </c>
      <c r="AM5385">
        <v>97.78</v>
      </c>
      <c r="AN5385">
        <v>377.77940000000001</v>
      </c>
      <c r="AO5385">
        <v>1085.07</v>
      </c>
      <c r="AP5385" s="13">
        <v>45914</v>
      </c>
      <c r="AQ5385">
        <v>-3</v>
      </c>
      <c r="AR5385">
        <v>1</v>
      </c>
    </row>
    <row r="5386" spans="1:44" x14ac:dyDescent="0.35">
      <c r="A5386" s="12" t="s">
        <v>6485</v>
      </c>
      <c r="B5386" s="12" t="s">
        <v>362</v>
      </c>
      <c r="C5386" s="12" t="s">
        <v>363</v>
      </c>
      <c r="D5386" s="12" t="s">
        <v>78</v>
      </c>
      <c r="E5386" s="12" t="s">
        <v>104</v>
      </c>
      <c r="F5386">
        <v>3</v>
      </c>
      <c r="G5386">
        <v>0</v>
      </c>
      <c r="H5386">
        <v>0</v>
      </c>
      <c r="I5386" s="12" t="s">
        <v>157</v>
      </c>
      <c r="J5386" s="12" t="s">
        <v>158</v>
      </c>
      <c r="K5386" s="12" t="s">
        <v>117</v>
      </c>
      <c r="L5386" s="12" t="s">
        <v>96</v>
      </c>
      <c r="M5386">
        <v>4.72</v>
      </c>
      <c r="N5386" s="12" t="s">
        <v>70</v>
      </c>
      <c r="O5386" s="12" t="s">
        <v>71</v>
      </c>
      <c r="P5386" s="12" t="s">
        <v>72</v>
      </c>
      <c r="Q5386" s="13">
        <v>45866</v>
      </c>
      <c r="R5386" s="13">
        <v>45894</v>
      </c>
      <c r="S5386">
        <v>2025</v>
      </c>
      <c r="T5386" s="12" t="s">
        <v>6319</v>
      </c>
      <c r="U5386">
        <v>280</v>
      </c>
      <c r="V5386">
        <v>63.176499999999997</v>
      </c>
      <c r="W5386">
        <v>218.64</v>
      </c>
      <c r="X5386">
        <v>613.27</v>
      </c>
      <c r="Y5386">
        <v>1</v>
      </c>
      <c r="Z5386">
        <v>17689.419999999998</v>
      </c>
      <c r="AA5386">
        <v>18521.330000000002</v>
      </c>
      <c r="AB5386" s="12" t="s">
        <v>201</v>
      </c>
      <c r="AD5386">
        <v>0</v>
      </c>
      <c r="AE5386">
        <v>0</v>
      </c>
      <c r="AH5386">
        <v>280</v>
      </c>
      <c r="AI5386">
        <v>277</v>
      </c>
      <c r="AJ5386">
        <v>3</v>
      </c>
      <c r="AK5386">
        <v>1</v>
      </c>
      <c r="AL5386">
        <v>1</v>
      </c>
      <c r="AM5386">
        <v>98.93</v>
      </c>
      <c r="AN5386">
        <v>66.864000000000004</v>
      </c>
      <c r="AO5386">
        <v>189.53</v>
      </c>
      <c r="AP5386" s="13">
        <v>45891</v>
      </c>
      <c r="AQ5386">
        <v>-3</v>
      </c>
      <c r="AR5386">
        <v>1</v>
      </c>
    </row>
    <row r="5387" spans="1:44" x14ac:dyDescent="0.35">
      <c r="A5387" s="12" t="s">
        <v>6486</v>
      </c>
      <c r="B5387" s="12" t="s">
        <v>289</v>
      </c>
      <c r="C5387" s="12" t="s">
        <v>290</v>
      </c>
      <c r="D5387" s="12" t="s">
        <v>175</v>
      </c>
      <c r="E5387" s="12" t="s">
        <v>104</v>
      </c>
      <c r="F5387">
        <v>3</v>
      </c>
      <c r="G5387">
        <v>1</v>
      </c>
      <c r="H5387">
        <v>0</v>
      </c>
      <c r="I5387" s="12" t="s">
        <v>157</v>
      </c>
      <c r="J5387" s="12" t="s">
        <v>158</v>
      </c>
      <c r="K5387" s="12" t="s">
        <v>117</v>
      </c>
      <c r="L5387" s="12" t="s">
        <v>96</v>
      </c>
      <c r="M5387">
        <v>4.72</v>
      </c>
      <c r="N5387" s="12" t="s">
        <v>107</v>
      </c>
      <c r="O5387" s="12" t="s">
        <v>108</v>
      </c>
      <c r="P5387" s="12" t="s">
        <v>109</v>
      </c>
      <c r="Q5387" s="13">
        <v>45866</v>
      </c>
      <c r="R5387" s="13">
        <v>45879</v>
      </c>
      <c r="S5387">
        <v>2025</v>
      </c>
      <c r="T5387" s="12" t="s">
        <v>6319</v>
      </c>
      <c r="U5387">
        <v>18</v>
      </c>
      <c r="V5387">
        <v>194.47810000000001</v>
      </c>
      <c r="W5387">
        <v>27.72</v>
      </c>
      <c r="X5387">
        <v>0</v>
      </c>
      <c r="Y5387">
        <v>0</v>
      </c>
      <c r="Z5387">
        <v>3500.61</v>
      </c>
      <c r="AA5387">
        <v>3528.33</v>
      </c>
      <c r="AB5387" s="12" t="s">
        <v>201</v>
      </c>
      <c r="AD5387">
        <v>0</v>
      </c>
      <c r="AE5387">
        <v>0</v>
      </c>
      <c r="AH5387">
        <v>18</v>
      </c>
      <c r="AI5387">
        <v>18</v>
      </c>
      <c r="AJ5387">
        <v>0</v>
      </c>
      <c r="AK5387">
        <v>1</v>
      </c>
      <c r="AL5387">
        <v>1</v>
      </c>
      <c r="AM5387">
        <v>100</v>
      </c>
      <c r="AN5387">
        <v>196.0181</v>
      </c>
      <c r="AO5387">
        <v>0</v>
      </c>
      <c r="AP5387" s="13">
        <v>45878</v>
      </c>
      <c r="AQ5387">
        <v>-1</v>
      </c>
      <c r="AR5387">
        <v>1</v>
      </c>
    </row>
    <row r="5388" spans="1:44" x14ac:dyDescent="0.35">
      <c r="A5388" s="12" t="s">
        <v>6487</v>
      </c>
      <c r="B5388" s="12" t="s">
        <v>537</v>
      </c>
      <c r="C5388" s="12" t="s">
        <v>538</v>
      </c>
      <c r="D5388" s="12" t="s">
        <v>103</v>
      </c>
      <c r="E5388" s="12" t="s">
        <v>104</v>
      </c>
      <c r="F5388">
        <v>3</v>
      </c>
      <c r="G5388">
        <v>0</v>
      </c>
      <c r="H5388">
        <v>0</v>
      </c>
      <c r="I5388" s="12" t="s">
        <v>143</v>
      </c>
      <c r="J5388" s="12" t="s">
        <v>144</v>
      </c>
      <c r="K5388" s="12" t="s">
        <v>133</v>
      </c>
      <c r="L5388" s="12" t="s">
        <v>96</v>
      </c>
      <c r="M5388">
        <v>5.43</v>
      </c>
      <c r="N5388" s="12" t="s">
        <v>145</v>
      </c>
      <c r="O5388" s="12" t="s">
        <v>146</v>
      </c>
      <c r="P5388" s="12" t="s">
        <v>109</v>
      </c>
      <c r="Q5388" s="13">
        <v>45867</v>
      </c>
      <c r="R5388" s="13">
        <v>45886</v>
      </c>
      <c r="S5388">
        <v>2025</v>
      </c>
      <c r="T5388" s="12" t="s">
        <v>6319</v>
      </c>
      <c r="U5388">
        <v>69</v>
      </c>
      <c r="V5388">
        <v>238.64240000000001</v>
      </c>
      <c r="W5388">
        <v>265.14999999999998</v>
      </c>
      <c r="X5388">
        <v>0</v>
      </c>
      <c r="Y5388">
        <v>0</v>
      </c>
      <c r="Z5388">
        <v>16466.330000000002</v>
      </c>
      <c r="AA5388">
        <v>16731.48</v>
      </c>
      <c r="AB5388" s="12" t="s">
        <v>5652</v>
      </c>
      <c r="AC5388">
        <v>238.64240000000001</v>
      </c>
      <c r="AD5388">
        <v>1</v>
      </c>
      <c r="AE5388">
        <v>1</v>
      </c>
      <c r="AF5388">
        <v>0</v>
      </c>
      <c r="AG5388">
        <v>16466.330000000002</v>
      </c>
      <c r="AH5388">
        <v>69</v>
      </c>
      <c r="AI5388">
        <v>68</v>
      </c>
      <c r="AJ5388">
        <v>1</v>
      </c>
      <c r="AK5388">
        <v>1</v>
      </c>
      <c r="AL5388">
        <v>1</v>
      </c>
      <c r="AM5388">
        <v>98.55</v>
      </c>
      <c r="AN5388">
        <v>246.05109999999999</v>
      </c>
      <c r="AO5388">
        <v>238.64</v>
      </c>
      <c r="AP5388" s="13">
        <v>45884</v>
      </c>
      <c r="AQ5388">
        <v>-2</v>
      </c>
      <c r="AR5388">
        <v>1</v>
      </c>
    </row>
    <row r="5389" spans="1:44" x14ac:dyDescent="0.35">
      <c r="A5389" s="12" t="s">
        <v>6488</v>
      </c>
      <c r="B5389" s="12" t="s">
        <v>555</v>
      </c>
      <c r="C5389" s="12" t="s">
        <v>556</v>
      </c>
      <c r="D5389" s="12" t="s">
        <v>114</v>
      </c>
      <c r="E5389" s="12" t="s">
        <v>142</v>
      </c>
      <c r="F5389">
        <v>1</v>
      </c>
      <c r="G5389">
        <v>6</v>
      </c>
      <c r="H5389">
        <v>1</v>
      </c>
      <c r="I5389" s="12" t="s">
        <v>151</v>
      </c>
      <c r="J5389" s="12" t="s">
        <v>152</v>
      </c>
      <c r="K5389" s="12" t="s">
        <v>125</v>
      </c>
      <c r="L5389" s="12" t="s">
        <v>69</v>
      </c>
      <c r="M5389">
        <v>36.479999999999997</v>
      </c>
      <c r="N5389" s="12" t="s">
        <v>97</v>
      </c>
      <c r="O5389" s="12" t="s">
        <v>98</v>
      </c>
      <c r="P5389" s="12" t="s">
        <v>72</v>
      </c>
      <c r="Q5389" s="13">
        <v>45867</v>
      </c>
      <c r="R5389" s="13">
        <v>45919</v>
      </c>
      <c r="S5389">
        <v>2025</v>
      </c>
      <c r="T5389" s="12" t="s">
        <v>6319</v>
      </c>
      <c r="U5389">
        <v>149</v>
      </c>
      <c r="V5389">
        <v>266.68439999999998</v>
      </c>
      <c r="W5389">
        <v>848.28</v>
      </c>
      <c r="X5389">
        <v>0</v>
      </c>
      <c r="Y5389">
        <v>0</v>
      </c>
      <c r="Z5389">
        <v>39735.980000000003</v>
      </c>
      <c r="AA5389">
        <v>40584.26</v>
      </c>
      <c r="AB5389" s="12" t="s">
        <v>6121</v>
      </c>
      <c r="AC5389">
        <v>266.68439999999998</v>
      </c>
      <c r="AD5389">
        <v>1</v>
      </c>
      <c r="AE5389">
        <v>1</v>
      </c>
      <c r="AF5389">
        <v>0</v>
      </c>
      <c r="AG5389">
        <v>39735.980000000003</v>
      </c>
      <c r="AH5389">
        <v>149</v>
      </c>
      <c r="AI5389">
        <v>145</v>
      </c>
      <c r="AJ5389">
        <v>4</v>
      </c>
      <c r="AK5389">
        <v>1</v>
      </c>
      <c r="AL5389">
        <v>1</v>
      </c>
      <c r="AM5389">
        <v>97.32</v>
      </c>
      <c r="AN5389">
        <v>279.89139999999998</v>
      </c>
      <c r="AO5389">
        <v>1066.74</v>
      </c>
      <c r="AP5389" s="13">
        <v>45916</v>
      </c>
      <c r="AQ5389">
        <v>-3</v>
      </c>
      <c r="AR5389">
        <v>1</v>
      </c>
    </row>
    <row r="5390" spans="1:44" x14ac:dyDescent="0.35">
      <c r="A5390" s="12" t="s">
        <v>6489</v>
      </c>
      <c r="B5390" s="12" t="s">
        <v>273</v>
      </c>
      <c r="C5390" s="12" t="s">
        <v>274</v>
      </c>
      <c r="D5390" s="12" t="s">
        <v>175</v>
      </c>
      <c r="E5390" s="12" t="s">
        <v>104</v>
      </c>
      <c r="F5390">
        <v>3</v>
      </c>
      <c r="G5390">
        <v>1</v>
      </c>
      <c r="H5390">
        <v>0</v>
      </c>
      <c r="I5390" s="12" t="s">
        <v>275</v>
      </c>
      <c r="J5390" s="12" t="s">
        <v>276</v>
      </c>
      <c r="K5390" s="12" t="s">
        <v>89</v>
      </c>
      <c r="L5390" s="12" t="s">
        <v>82</v>
      </c>
      <c r="M5390">
        <v>14.26</v>
      </c>
      <c r="N5390" s="12" t="s">
        <v>107</v>
      </c>
      <c r="O5390" s="12" t="s">
        <v>108</v>
      </c>
      <c r="P5390" s="12" t="s">
        <v>109</v>
      </c>
      <c r="Q5390" s="13">
        <v>45867</v>
      </c>
      <c r="R5390" s="13">
        <v>45893</v>
      </c>
      <c r="S5390">
        <v>2025</v>
      </c>
      <c r="T5390" s="12" t="s">
        <v>6319</v>
      </c>
      <c r="U5390">
        <v>122</v>
      </c>
      <c r="V5390">
        <v>108.56229999999999</v>
      </c>
      <c r="W5390">
        <v>190.15</v>
      </c>
      <c r="X5390">
        <v>0</v>
      </c>
      <c r="Y5390">
        <v>0</v>
      </c>
      <c r="Z5390">
        <v>13244.6</v>
      </c>
      <c r="AA5390">
        <v>13434.75</v>
      </c>
      <c r="AB5390" s="12" t="s">
        <v>5782</v>
      </c>
      <c r="AC5390">
        <v>108.56229999999999</v>
      </c>
      <c r="AD5390">
        <v>1</v>
      </c>
      <c r="AE5390">
        <v>1</v>
      </c>
      <c r="AF5390">
        <v>0</v>
      </c>
      <c r="AG5390">
        <v>13244.6</v>
      </c>
      <c r="AH5390">
        <v>122</v>
      </c>
      <c r="AI5390">
        <v>122</v>
      </c>
      <c r="AJ5390">
        <v>0</v>
      </c>
      <c r="AK5390">
        <v>1</v>
      </c>
      <c r="AL5390">
        <v>1</v>
      </c>
      <c r="AM5390">
        <v>100</v>
      </c>
      <c r="AN5390">
        <v>110.12090000000001</v>
      </c>
      <c r="AO5390">
        <v>0</v>
      </c>
      <c r="AP5390" s="13">
        <v>45892</v>
      </c>
      <c r="AQ5390">
        <v>-1</v>
      </c>
      <c r="AR5390">
        <v>1</v>
      </c>
    </row>
    <row r="5391" spans="1:44" x14ac:dyDescent="0.35">
      <c r="A5391" s="12" t="s">
        <v>6490</v>
      </c>
      <c r="B5391" s="12" t="s">
        <v>442</v>
      </c>
      <c r="C5391" s="12" t="s">
        <v>443</v>
      </c>
      <c r="D5391" s="12" t="s">
        <v>130</v>
      </c>
      <c r="E5391" s="12" t="s">
        <v>65</v>
      </c>
      <c r="F5391">
        <v>3</v>
      </c>
      <c r="G5391">
        <v>4</v>
      </c>
      <c r="H5391">
        <v>0</v>
      </c>
      <c r="I5391" s="12" t="s">
        <v>251</v>
      </c>
      <c r="J5391" s="12" t="s">
        <v>252</v>
      </c>
      <c r="K5391" s="12" t="s">
        <v>133</v>
      </c>
      <c r="L5391" s="12" t="s">
        <v>69</v>
      </c>
      <c r="M5391">
        <v>34.49</v>
      </c>
      <c r="N5391" s="12" t="s">
        <v>159</v>
      </c>
      <c r="O5391" s="12" t="s">
        <v>160</v>
      </c>
      <c r="P5391" s="12" t="s">
        <v>137</v>
      </c>
      <c r="Q5391" s="13">
        <v>45867</v>
      </c>
      <c r="R5391" s="13">
        <v>45902</v>
      </c>
      <c r="S5391">
        <v>2025</v>
      </c>
      <c r="T5391" s="12" t="s">
        <v>6319</v>
      </c>
      <c r="U5391">
        <v>118</v>
      </c>
      <c r="V5391">
        <v>484.18579999999997</v>
      </c>
      <c r="W5391">
        <v>540</v>
      </c>
      <c r="X5391">
        <v>0</v>
      </c>
      <c r="Y5391">
        <v>0</v>
      </c>
      <c r="Z5391">
        <v>57133.919999999998</v>
      </c>
      <c r="AA5391">
        <v>57673.919999999998</v>
      </c>
      <c r="AB5391" s="12" t="s">
        <v>5218</v>
      </c>
      <c r="AC5391">
        <v>514.42409999999995</v>
      </c>
      <c r="AD5391">
        <v>1</v>
      </c>
      <c r="AE5391">
        <v>1</v>
      </c>
      <c r="AF5391">
        <v>-3568.12</v>
      </c>
      <c r="AG5391">
        <v>60702.04</v>
      </c>
      <c r="AH5391">
        <v>118</v>
      </c>
      <c r="AI5391">
        <v>117</v>
      </c>
      <c r="AJ5391">
        <v>1</v>
      </c>
      <c r="AK5391">
        <v>1</v>
      </c>
      <c r="AL5391">
        <v>1</v>
      </c>
      <c r="AM5391">
        <v>99.15</v>
      </c>
      <c r="AN5391">
        <v>492.93950000000001</v>
      </c>
      <c r="AO5391">
        <v>484.19</v>
      </c>
      <c r="AP5391" s="13">
        <v>45902</v>
      </c>
      <c r="AQ5391">
        <v>0</v>
      </c>
      <c r="AR5391">
        <v>1</v>
      </c>
    </row>
    <row r="5392" spans="1:44" x14ac:dyDescent="0.35">
      <c r="A5392" s="12" t="s">
        <v>6491</v>
      </c>
      <c r="B5392" s="12" t="s">
        <v>747</v>
      </c>
      <c r="C5392" s="12" t="s">
        <v>748</v>
      </c>
      <c r="D5392" s="12" t="s">
        <v>114</v>
      </c>
      <c r="E5392" s="12" t="s">
        <v>104</v>
      </c>
      <c r="F5392">
        <v>2</v>
      </c>
      <c r="G5392">
        <v>0</v>
      </c>
      <c r="H5392">
        <v>0</v>
      </c>
      <c r="I5392" s="12" t="s">
        <v>380</v>
      </c>
      <c r="J5392" s="12" t="s">
        <v>381</v>
      </c>
      <c r="K5392" s="12" t="s">
        <v>89</v>
      </c>
      <c r="L5392" s="12" t="s">
        <v>96</v>
      </c>
      <c r="M5392">
        <v>10.210000000000001</v>
      </c>
      <c r="N5392" s="12" t="s">
        <v>97</v>
      </c>
      <c r="O5392" s="12" t="s">
        <v>98</v>
      </c>
      <c r="P5392" s="12" t="s">
        <v>72</v>
      </c>
      <c r="Q5392" s="13">
        <v>45867</v>
      </c>
      <c r="R5392" s="13">
        <v>45893</v>
      </c>
      <c r="S5392">
        <v>2025</v>
      </c>
      <c r="T5392" s="12" t="s">
        <v>6319</v>
      </c>
      <c r="U5392">
        <v>119</v>
      </c>
      <c r="V5392">
        <v>267.89699999999999</v>
      </c>
      <c r="W5392">
        <v>286.51</v>
      </c>
      <c r="X5392">
        <v>0</v>
      </c>
      <c r="Y5392">
        <v>0</v>
      </c>
      <c r="Z5392">
        <v>31879.74</v>
      </c>
      <c r="AA5392">
        <v>32166.25</v>
      </c>
      <c r="AB5392" s="12" t="s">
        <v>201</v>
      </c>
      <c r="AD5392">
        <v>0</v>
      </c>
      <c r="AE5392">
        <v>0</v>
      </c>
      <c r="AH5392">
        <v>119</v>
      </c>
      <c r="AI5392">
        <v>116</v>
      </c>
      <c r="AJ5392">
        <v>3</v>
      </c>
      <c r="AK5392">
        <v>1</v>
      </c>
      <c r="AL5392">
        <v>1</v>
      </c>
      <c r="AM5392">
        <v>97.48</v>
      </c>
      <c r="AN5392">
        <v>277.2953</v>
      </c>
      <c r="AO5392">
        <v>803.69</v>
      </c>
      <c r="AP5392" s="13">
        <v>45893</v>
      </c>
      <c r="AQ5392">
        <v>0</v>
      </c>
      <c r="AR5392">
        <v>1</v>
      </c>
    </row>
    <row r="5393" spans="1:44" x14ac:dyDescent="0.35">
      <c r="A5393" s="12" t="s">
        <v>6492</v>
      </c>
      <c r="B5393" s="12" t="s">
        <v>809</v>
      </c>
      <c r="C5393" s="12" t="s">
        <v>810</v>
      </c>
      <c r="D5393" s="12" t="s">
        <v>114</v>
      </c>
      <c r="E5393" s="12" t="s">
        <v>65</v>
      </c>
      <c r="F5393">
        <v>3</v>
      </c>
      <c r="G5393">
        <v>5</v>
      </c>
      <c r="H5393">
        <v>0</v>
      </c>
      <c r="I5393" s="12" t="s">
        <v>811</v>
      </c>
      <c r="J5393" s="12" t="s">
        <v>812</v>
      </c>
      <c r="K5393" s="12" t="s">
        <v>117</v>
      </c>
      <c r="L5393" s="12" t="s">
        <v>69</v>
      </c>
      <c r="M5393">
        <v>26.4</v>
      </c>
      <c r="N5393" s="12" t="s">
        <v>97</v>
      </c>
      <c r="O5393" s="12" t="s">
        <v>98</v>
      </c>
      <c r="P5393" s="12" t="s">
        <v>72</v>
      </c>
      <c r="Q5393" s="13">
        <v>45867</v>
      </c>
      <c r="R5393" s="13">
        <v>45891</v>
      </c>
      <c r="S5393">
        <v>2025</v>
      </c>
      <c r="T5393" s="12" t="s">
        <v>6319</v>
      </c>
      <c r="U5393">
        <v>34</v>
      </c>
      <c r="V5393">
        <v>315.6524</v>
      </c>
      <c r="W5393">
        <v>218.59</v>
      </c>
      <c r="X5393">
        <v>0</v>
      </c>
      <c r="Y5393">
        <v>0</v>
      </c>
      <c r="Z5393">
        <v>10732.18</v>
      </c>
      <c r="AA5393">
        <v>10950.77</v>
      </c>
      <c r="AB5393" s="12" t="s">
        <v>5977</v>
      </c>
      <c r="AC5393">
        <v>315.6524</v>
      </c>
      <c r="AD5393">
        <v>1</v>
      </c>
      <c r="AE5393">
        <v>1</v>
      </c>
      <c r="AF5393">
        <v>0</v>
      </c>
      <c r="AG5393">
        <v>10732.18</v>
      </c>
      <c r="AH5393">
        <v>34</v>
      </c>
      <c r="AI5393">
        <v>34</v>
      </c>
      <c r="AJ5393">
        <v>0</v>
      </c>
      <c r="AK5393">
        <v>1</v>
      </c>
      <c r="AL5393">
        <v>1</v>
      </c>
      <c r="AM5393">
        <v>100</v>
      </c>
      <c r="AN5393">
        <v>322.08150000000001</v>
      </c>
      <c r="AO5393">
        <v>0</v>
      </c>
      <c r="AP5393" s="13">
        <v>45901</v>
      </c>
      <c r="AQ5393">
        <v>10</v>
      </c>
      <c r="AR5393">
        <v>0</v>
      </c>
    </row>
    <row r="5394" spans="1:44" x14ac:dyDescent="0.35">
      <c r="A5394" s="12" t="s">
        <v>6493</v>
      </c>
      <c r="B5394" s="12" t="s">
        <v>732</v>
      </c>
      <c r="C5394" s="12" t="s">
        <v>733</v>
      </c>
      <c r="D5394" s="12" t="s">
        <v>114</v>
      </c>
      <c r="E5394" s="12" t="s">
        <v>104</v>
      </c>
      <c r="F5394">
        <v>3</v>
      </c>
      <c r="G5394">
        <v>1</v>
      </c>
      <c r="H5394">
        <v>0</v>
      </c>
      <c r="I5394" s="12" t="s">
        <v>199</v>
      </c>
      <c r="J5394" s="12" t="s">
        <v>200</v>
      </c>
      <c r="K5394" s="12" t="s">
        <v>68</v>
      </c>
      <c r="L5394" s="12" t="s">
        <v>96</v>
      </c>
      <c r="M5394">
        <v>9.4700000000000006</v>
      </c>
      <c r="N5394" s="12" t="s">
        <v>97</v>
      </c>
      <c r="O5394" s="12" t="s">
        <v>98</v>
      </c>
      <c r="P5394" s="12" t="s">
        <v>72</v>
      </c>
      <c r="Q5394" s="13">
        <v>45867</v>
      </c>
      <c r="R5394" s="13">
        <v>45888</v>
      </c>
      <c r="S5394">
        <v>2025</v>
      </c>
      <c r="T5394" s="12" t="s">
        <v>6319</v>
      </c>
      <c r="U5394">
        <v>84</v>
      </c>
      <c r="V5394">
        <v>294.74509999999998</v>
      </c>
      <c r="W5394">
        <v>253.18</v>
      </c>
      <c r="X5394">
        <v>0</v>
      </c>
      <c r="Y5394">
        <v>0</v>
      </c>
      <c r="Z5394">
        <v>24758.59</v>
      </c>
      <c r="AA5394">
        <v>25011.77</v>
      </c>
      <c r="AB5394" s="12" t="s">
        <v>6494</v>
      </c>
      <c r="AC5394">
        <v>294.74509999999998</v>
      </c>
      <c r="AD5394">
        <v>1</v>
      </c>
      <c r="AE5394">
        <v>1</v>
      </c>
      <c r="AF5394">
        <v>0</v>
      </c>
      <c r="AG5394">
        <v>24758.59</v>
      </c>
      <c r="AH5394">
        <v>84</v>
      </c>
      <c r="AI5394">
        <v>83</v>
      </c>
      <c r="AJ5394">
        <v>1</v>
      </c>
      <c r="AK5394">
        <v>1</v>
      </c>
      <c r="AL5394">
        <v>1</v>
      </c>
      <c r="AM5394">
        <v>98.81</v>
      </c>
      <c r="AN5394">
        <v>301.34660000000002</v>
      </c>
      <c r="AO5394">
        <v>294.75</v>
      </c>
      <c r="AP5394" s="13">
        <v>45889</v>
      </c>
      <c r="AQ5394">
        <v>1</v>
      </c>
      <c r="AR5394">
        <v>0</v>
      </c>
    </row>
    <row r="5395" spans="1:44" x14ac:dyDescent="0.35">
      <c r="A5395" s="12" t="s">
        <v>6495</v>
      </c>
      <c r="B5395" s="12" t="s">
        <v>855</v>
      </c>
      <c r="C5395" s="12" t="s">
        <v>856</v>
      </c>
      <c r="D5395" s="12" t="s">
        <v>269</v>
      </c>
      <c r="E5395" s="12" t="s">
        <v>65</v>
      </c>
      <c r="F5395">
        <v>3</v>
      </c>
      <c r="G5395">
        <v>5</v>
      </c>
      <c r="H5395">
        <v>0</v>
      </c>
      <c r="I5395" s="12" t="s">
        <v>94</v>
      </c>
      <c r="J5395" s="12" t="s">
        <v>95</v>
      </c>
      <c r="K5395" s="12" t="s">
        <v>81</v>
      </c>
      <c r="L5395" s="12" t="s">
        <v>96</v>
      </c>
      <c r="M5395">
        <v>4.8099999999999996</v>
      </c>
      <c r="N5395" s="12" t="s">
        <v>159</v>
      </c>
      <c r="O5395" s="12" t="s">
        <v>160</v>
      </c>
      <c r="P5395" s="12" t="s">
        <v>137</v>
      </c>
      <c r="Q5395" s="13">
        <v>45867</v>
      </c>
      <c r="R5395" s="13">
        <v>45896</v>
      </c>
      <c r="S5395">
        <v>2025</v>
      </c>
      <c r="T5395" s="12" t="s">
        <v>6319</v>
      </c>
      <c r="U5395">
        <v>74</v>
      </c>
      <c r="V5395">
        <v>466.4701</v>
      </c>
      <c r="W5395">
        <v>538.01</v>
      </c>
      <c r="X5395">
        <v>0</v>
      </c>
      <c r="Y5395">
        <v>0</v>
      </c>
      <c r="Z5395">
        <v>34518.79</v>
      </c>
      <c r="AA5395">
        <v>35056.800000000003</v>
      </c>
      <c r="AB5395" s="12" t="s">
        <v>5774</v>
      </c>
      <c r="AC5395">
        <v>466.4701</v>
      </c>
      <c r="AD5395">
        <v>1</v>
      </c>
      <c r="AE5395">
        <v>1</v>
      </c>
      <c r="AF5395">
        <v>0</v>
      </c>
      <c r="AG5395">
        <v>34518.79</v>
      </c>
      <c r="AH5395">
        <v>74</v>
      </c>
      <c r="AI5395">
        <v>73</v>
      </c>
      <c r="AJ5395">
        <v>1</v>
      </c>
      <c r="AK5395">
        <v>1</v>
      </c>
      <c r="AL5395">
        <v>1</v>
      </c>
      <c r="AM5395">
        <v>98.65</v>
      </c>
      <c r="AN5395">
        <v>480.23009999999999</v>
      </c>
      <c r="AO5395">
        <v>466.47</v>
      </c>
      <c r="AP5395" s="13">
        <v>45892</v>
      </c>
      <c r="AQ5395">
        <v>-4</v>
      </c>
      <c r="AR5395">
        <v>1</v>
      </c>
    </row>
    <row r="5396" spans="1:44" x14ac:dyDescent="0.35">
      <c r="A5396" s="12" t="s">
        <v>6496</v>
      </c>
      <c r="B5396" s="12" t="s">
        <v>193</v>
      </c>
      <c r="C5396" s="12" t="s">
        <v>194</v>
      </c>
      <c r="D5396" s="12" t="s">
        <v>114</v>
      </c>
      <c r="E5396" s="12" t="s">
        <v>65</v>
      </c>
      <c r="F5396">
        <v>3</v>
      </c>
      <c r="G5396">
        <v>4</v>
      </c>
      <c r="H5396">
        <v>0</v>
      </c>
      <c r="I5396" s="12" t="s">
        <v>195</v>
      </c>
      <c r="J5396" s="12" t="s">
        <v>196</v>
      </c>
      <c r="K5396" s="12" t="s">
        <v>117</v>
      </c>
      <c r="L5396" s="12" t="s">
        <v>134</v>
      </c>
      <c r="M5396">
        <v>4.7699999999999996</v>
      </c>
      <c r="N5396" s="12" t="s">
        <v>70</v>
      </c>
      <c r="O5396" s="12" t="s">
        <v>71</v>
      </c>
      <c r="P5396" s="12" t="s">
        <v>72</v>
      </c>
      <c r="Q5396" s="13">
        <v>45867</v>
      </c>
      <c r="R5396" s="13">
        <v>45888</v>
      </c>
      <c r="S5396">
        <v>2025</v>
      </c>
      <c r="T5396" s="12" t="s">
        <v>6319</v>
      </c>
      <c r="U5396">
        <v>14</v>
      </c>
      <c r="V5396">
        <v>110.8415</v>
      </c>
      <c r="W5396">
        <v>14.94</v>
      </c>
      <c r="X5396">
        <v>0</v>
      </c>
      <c r="Y5396">
        <v>0</v>
      </c>
      <c r="Z5396">
        <v>1551.78</v>
      </c>
      <c r="AA5396">
        <v>1566.72</v>
      </c>
      <c r="AB5396" s="12" t="s">
        <v>5258</v>
      </c>
      <c r="AC5396">
        <v>104.5202</v>
      </c>
      <c r="AD5396">
        <v>1</v>
      </c>
      <c r="AE5396">
        <v>1</v>
      </c>
      <c r="AF5396">
        <v>88.5</v>
      </c>
      <c r="AG5396">
        <v>1463.28</v>
      </c>
      <c r="AH5396">
        <v>14</v>
      </c>
      <c r="AI5396">
        <v>14</v>
      </c>
      <c r="AJ5396">
        <v>0</v>
      </c>
      <c r="AK5396">
        <v>1</v>
      </c>
      <c r="AL5396">
        <v>1</v>
      </c>
      <c r="AM5396">
        <v>100</v>
      </c>
      <c r="AN5396">
        <v>111.90860000000001</v>
      </c>
      <c r="AO5396">
        <v>0</v>
      </c>
      <c r="AP5396" s="13">
        <v>45887</v>
      </c>
      <c r="AQ5396">
        <v>-1</v>
      </c>
      <c r="AR5396">
        <v>1</v>
      </c>
    </row>
    <row r="5397" spans="1:44" x14ac:dyDescent="0.35">
      <c r="A5397" s="12" t="s">
        <v>6497</v>
      </c>
      <c r="B5397" s="12" t="s">
        <v>289</v>
      </c>
      <c r="C5397" s="12" t="s">
        <v>290</v>
      </c>
      <c r="D5397" s="12" t="s">
        <v>175</v>
      </c>
      <c r="E5397" s="12" t="s">
        <v>104</v>
      </c>
      <c r="F5397">
        <v>3</v>
      </c>
      <c r="G5397">
        <v>1</v>
      </c>
      <c r="H5397">
        <v>0</v>
      </c>
      <c r="I5397" s="12" t="s">
        <v>157</v>
      </c>
      <c r="J5397" s="12" t="s">
        <v>158</v>
      </c>
      <c r="K5397" s="12" t="s">
        <v>117</v>
      </c>
      <c r="L5397" s="12" t="s">
        <v>96</v>
      </c>
      <c r="M5397">
        <v>4.72</v>
      </c>
      <c r="N5397" s="12" t="s">
        <v>107</v>
      </c>
      <c r="O5397" s="12" t="s">
        <v>108</v>
      </c>
      <c r="P5397" s="12" t="s">
        <v>109</v>
      </c>
      <c r="Q5397" s="13">
        <v>45867</v>
      </c>
      <c r="R5397" s="13">
        <v>45880</v>
      </c>
      <c r="S5397">
        <v>2025</v>
      </c>
      <c r="T5397" s="12" t="s">
        <v>6319</v>
      </c>
      <c r="U5397">
        <v>22</v>
      </c>
      <c r="V5397">
        <v>197.19110000000001</v>
      </c>
      <c r="W5397">
        <v>42.86</v>
      </c>
      <c r="X5397">
        <v>0</v>
      </c>
      <c r="Y5397">
        <v>0</v>
      </c>
      <c r="Z5397">
        <v>4338.2</v>
      </c>
      <c r="AA5397">
        <v>4381.0600000000004</v>
      </c>
      <c r="AB5397" s="12" t="s">
        <v>201</v>
      </c>
      <c r="AD5397">
        <v>0</v>
      </c>
      <c r="AE5397">
        <v>0</v>
      </c>
      <c r="AH5397">
        <v>22</v>
      </c>
      <c r="AI5397">
        <v>22</v>
      </c>
      <c r="AJ5397">
        <v>0</v>
      </c>
      <c r="AK5397">
        <v>1</v>
      </c>
      <c r="AL5397">
        <v>1</v>
      </c>
      <c r="AM5397">
        <v>100</v>
      </c>
      <c r="AN5397">
        <v>199.13929999999999</v>
      </c>
      <c r="AO5397">
        <v>0</v>
      </c>
      <c r="AP5397" s="13">
        <v>45878</v>
      </c>
      <c r="AQ5397">
        <v>-2</v>
      </c>
      <c r="AR5397">
        <v>1</v>
      </c>
    </row>
    <row r="5398" spans="1:44" x14ac:dyDescent="0.35">
      <c r="A5398" s="12" t="s">
        <v>6498</v>
      </c>
      <c r="B5398" s="12" t="s">
        <v>289</v>
      </c>
      <c r="C5398" s="12" t="s">
        <v>290</v>
      </c>
      <c r="D5398" s="12" t="s">
        <v>175</v>
      </c>
      <c r="E5398" s="12" t="s">
        <v>104</v>
      </c>
      <c r="F5398">
        <v>3</v>
      </c>
      <c r="G5398">
        <v>1</v>
      </c>
      <c r="H5398">
        <v>0</v>
      </c>
      <c r="I5398" s="12" t="s">
        <v>157</v>
      </c>
      <c r="J5398" s="12" t="s">
        <v>158</v>
      </c>
      <c r="K5398" s="12" t="s">
        <v>117</v>
      </c>
      <c r="L5398" s="12" t="s">
        <v>96</v>
      </c>
      <c r="M5398">
        <v>4.72</v>
      </c>
      <c r="N5398" s="12" t="s">
        <v>107</v>
      </c>
      <c r="O5398" s="12" t="s">
        <v>108</v>
      </c>
      <c r="P5398" s="12" t="s">
        <v>109</v>
      </c>
      <c r="Q5398" s="13">
        <v>45867</v>
      </c>
      <c r="R5398" s="13">
        <v>45883</v>
      </c>
      <c r="S5398">
        <v>2025</v>
      </c>
      <c r="T5398" s="12" t="s">
        <v>6319</v>
      </c>
      <c r="U5398">
        <v>47</v>
      </c>
      <c r="V5398">
        <v>197.00389999999999</v>
      </c>
      <c r="W5398">
        <v>176.32</v>
      </c>
      <c r="X5398">
        <v>0</v>
      </c>
      <c r="Y5398">
        <v>0</v>
      </c>
      <c r="Z5398">
        <v>9259.18</v>
      </c>
      <c r="AA5398">
        <v>9435.5</v>
      </c>
      <c r="AB5398" s="12" t="s">
        <v>201</v>
      </c>
      <c r="AD5398">
        <v>0</v>
      </c>
      <c r="AE5398">
        <v>0</v>
      </c>
      <c r="AH5398">
        <v>47</v>
      </c>
      <c r="AI5398">
        <v>46</v>
      </c>
      <c r="AJ5398">
        <v>1</v>
      </c>
      <c r="AK5398">
        <v>1</v>
      </c>
      <c r="AL5398">
        <v>1</v>
      </c>
      <c r="AM5398">
        <v>97.87</v>
      </c>
      <c r="AN5398">
        <v>205.11959999999999</v>
      </c>
      <c r="AO5398">
        <v>197</v>
      </c>
      <c r="AP5398" s="13">
        <v>45883</v>
      </c>
      <c r="AQ5398">
        <v>0</v>
      </c>
      <c r="AR5398">
        <v>1</v>
      </c>
    </row>
    <row r="5399" spans="1:44" x14ac:dyDescent="0.35">
      <c r="A5399" s="12" t="s">
        <v>6499</v>
      </c>
      <c r="B5399" s="12" t="s">
        <v>140</v>
      </c>
      <c r="C5399" s="12" t="s">
        <v>141</v>
      </c>
      <c r="D5399" s="12" t="s">
        <v>103</v>
      </c>
      <c r="E5399" s="12" t="s">
        <v>142</v>
      </c>
      <c r="F5399">
        <v>1</v>
      </c>
      <c r="G5399">
        <v>7</v>
      </c>
      <c r="H5399">
        <v>1</v>
      </c>
      <c r="I5399" s="12" t="s">
        <v>143</v>
      </c>
      <c r="J5399" s="12" t="s">
        <v>144</v>
      </c>
      <c r="K5399" s="12" t="s">
        <v>133</v>
      </c>
      <c r="L5399" s="12" t="s">
        <v>96</v>
      </c>
      <c r="M5399">
        <v>5.43</v>
      </c>
      <c r="N5399" s="12" t="s">
        <v>145</v>
      </c>
      <c r="O5399" s="12" t="s">
        <v>146</v>
      </c>
      <c r="P5399" s="12" t="s">
        <v>109</v>
      </c>
      <c r="Q5399" s="13">
        <v>45867</v>
      </c>
      <c r="R5399" s="13">
        <v>45908</v>
      </c>
      <c r="S5399">
        <v>2025</v>
      </c>
      <c r="T5399" s="12" t="s">
        <v>6319</v>
      </c>
      <c r="U5399">
        <v>60</v>
      </c>
      <c r="V5399">
        <v>210.93029999999999</v>
      </c>
      <c r="W5399">
        <v>276.58</v>
      </c>
      <c r="X5399">
        <v>0</v>
      </c>
      <c r="Y5399">
        <v>0</v>
      </c>
      <c r="Z5399">
        <v>12655.82</v>
      </c>
      <c r="AA5399">
        <v>12932.4</v>
      </c>
      <c r="AB5399" s="12" t="s">
        <v>5126</v>
      </c>
      <c r="AC5399">
        <v>210.93029999999999</v>
      </c>
      <c r="AD5399">
        <v>1</v>
      </c>
      <c r="AE5399">
        <v>1</v>
      </c>
      <c r="AF5399">
        <v>0</v>
      </c>
      <c r="AG5399">
        <v>12655.82</v>
      </c>
      <c r="AH5399">
        <v>60</v>
      </c>
      <c r="AI5399">
        <v>60</v>
      </c>
      <c r="AJ5399">
        <v>0</v>
      </c>
      <c r="AK5399">
        <v>1</v>
      </c>
      <c r="AL5399">
        <v>1</v>
      </c>
      <c r="AM5399">
        <v>100</v>
      </c>
      <c r="AN5399">
        <v>215.54</v>
      </c>
      <c r="AO5399">
        <v>0</v>
      </c>
      <c r="AP5399" s="13">
        <v>45907</v>
      </c>
      <c r="AQ5399">
        <v>-1</v>
      </c>
      <c r="AR5399">
        <v>1</v>
      </c>
    </row>
    <row r="5400" spans="1:44" x14ac:dyDescent="0.35">
      <c r="A5400" s="12" t="s">
        <v>6500</v>
      </c>
      <c r="B5400" s="12" t="s">
        <v>902</v>
      </c>
      <c r="C5400" s="12" t="s">
        <v>903</v>
      </c>
      <c r="D5400" s="12" t="s">
        <v>122</v>
      </c>
      <c r="E5400" s="12" t="s">
        <v>142</v>
      </c>
      <c r="F5400">
        <v>1</v>
      </c>
      <c r="G5400">
        <v>6</v>
      </c>
      <c r="H5400">
        <v>1</v>
      </c>
      <c r="I5400" s="12" t="s">
        <v>105</v>
      </c>
      <c r="J5400" s="12" t="s">
        <v>106</v>
      </c>
      <c r="K5400" s="12" t="s">
        <v>81</v>
      </c>
      <c r="L5400" s="12" t="s">
        <v>96</v>
      </c>
      <c r="M5400">
        <v>5.01</v>
      </c>
      <c r="N5400" s="12" t="s">
        <v>97</v>
      </c>
      <c r="O5400" s="12" t="s">
        <v>98</v>
      </c>
      <c r="P5400" s="12" t="s">
        <v>72</v>
      </c>
      <c r="Q5400" s="13">
        <v>45867</v>
      </c>
      <c r="R5400" s="13">
        <v>45911</v>
      </c>
      <c r="S5400">
        <v>2025</v>
      </c>
      <c r="T5400" s="12" t="s">
        <v>6319</v>
      </c>
      <c r="U5400">
        <v>1145</v>
      </c>
      <c r="V5400">
        <v>41.5184</v>
      </c>
      <c r="W5400">
        <v>863.54</v>
      </c>
      <c r="X5400">
        <v>0</v>
      </c>
      <c r="Y5400">
        <v>0</v>
      </c>
      <c r="Z5400">
        <v>47538.57</v>
      </c>
      <c r="AA5400">
        <v>48402.11</v>
      </c>
      <c r="AB5400" s="12" t="s">
        <v>5824</v>
      </c>
      <c r="AC5400">
        <v>41.5184</v>
      </c>
      <c r="AD5400">
        <v>1</v>
      </c>
      <c r="AE5400">
        <v>1</v>
      </c>
      <c r="AF5400">
        <v>0</v>
      </c>
      <c r="AG5400">
        <v>47538.57</v>
      </c>
      <c r="AH5400">
        <v>1145</v>
      </c>
      <c r="AI5400">
        <v>1137</v>
      </c>
      <c r="AJ5400">
        <v>8</v>
      </c>
      <c r="AK5400">
        <v>1</v>
      </c>
      <c r="AL5400">
        <v>1</v>
      </c>
      <c r="AM5400">
        <v>99.3</v>
      </c>
      <c r="AN5400">
        <v>42.57</v>
      </c>
      <c r="AO5400">
        <v>332.15</v>
      </c>
      <c r="AP5400" s="13">
        <v>45911</v>
      </c>
      <c r="AQ5400">
        <v>0</v>
      </c>
      <c r="AR5400">
        <v>1</v>
      </c>
    </row>
    <row r="5401" spans="1:44" x14ac:dyDescent="0.35">
      <c r="A5401" s="12" t="s">
        <v>6501</v>
      </c>
      <c r="B5401" s="12" t="s">
        <v>1108</v>
      </c>
      <c r="C5401" s="12" t="s">
        <v>1109</v>
      </c>
      <c r="D5401" s="12" t="s">
        <v>103</v>
      </c>
      <c r="E5401" s="12" t="s">
        <v>65</v>
      </c>
      <c r="F5401">
        <v>3</v>
      </c>
      <c r="G5401">
        <v>4</v>
      </c>
      <c r="H5401">
        <v>0</v>
      </c>
      <c r="I5401" s="12" t="s">
        <v>79</v>
      </c>
      <c r="J5401" s="12" t="s">
        <v>80</v>
      </c>
      <c r="K5401" s="12" t="s">
        <v>81</v>
      </c>
      <c r="L5401" s="12" t="s">
        <v>82</v>
      </c>
      <c r="M5401">
        <v>12.07</v>
      </c>
      <c r="N5401" s="12" t="s">
        <v>107</v>
      </c>
      <c r="O5401" s="12" t="s">
        <v>108</v>
      </c>
      <c r="P5401" s="12" t="s">
        <v>109</v>
      </c>
      <c r="Q5401" s="13">
        <v>45868</v>
      </c>
      <c r="R5401" s="13">
        <v>45893</v>
      </c>
      <c r="S5401">
        <v>2025</v>
      </c>
      <c r="T5401" s="12" t="s">
        <v>6319</v>
      </c>
      <c r="U5401">
        <v>43</v>
      </c>
      <c r="V5401">
        <v>85.1721</v>
      </c>
      <c r="W5401">
        <v>63.82</v>
      </c>
      <c r="X5401">
        <v>0</v>
      </c>
      <c r="Y5401">
        <v>0</v>
      </c>
      <c r="Z5401">
        <v>3662.4</v>
      </c>
      <c r="AA5401">
        <v>3726.22</v>
      </c>
      <c r="AB5401" s="12" t="s">
        <v>6252</v>
      </c>
      <c r="AC5401">
        <v>85.1721</v>
      </c>
      <c r="AD5401">
        <v>1</v>
      </c>
      <c r="AE5401">
        <v>1</v>
      </c>
      <c r="AF5401">
        <v>0</v>
      </c>
      <c r="AG5401">
        <v>3662.4</v>
      </c>
      <c r="AH5401">
        <v>43</v>
      </c>
      <c r="AI5401">
        <v>43</v>
      </c>
      <c r="AJ5401">
        <v>0</v>
      </c>
      <c r="AK5401">
        <v>1</v>
      </c>
      <c r="AL5401">
        <v>1</v>
      </c>
      <c r="AM5401">
        <v>100</v>
      </c>
      <c r="AN5401">
        <v>86.656300000000002</v>
      </c>
      <c r="AO5401">
        <v>0</v>
      </c>
      <c r="AP5401" s="13">
        <v>45892</v>
      </c>
      <c r="AQ5401">
        <v>-1</v>
      </c>
      <c r="AR5401">
        <v>1</v>
      </c>
    </row>
    <row r="5402" spans="1:44" x14ac:dyDescent="0.35">
      <c r="A5402" s="12" t="s">
        <v>6502</v>
      </c>
      <c r="B5402" s="12" t="s">
        <v>92</v>
      </c>
      <c r="C5402" s="12" t="s">
        <v>93</v>
      </c>
      <c r="D5402" s="12" t="s">
        <v>64</v>
      </c>
      <c r="E5402" s="12" t="s">
        <v>65</v>
      </c>
      <c r="F5402">
        <v>3</v>
      </c>
      <c r="G5402">
        <v>5</v>
      </c>
      <c r="H5402">
        <v>0</v>
      </c>
      <c r="I5402" s="12" t="s">
        <v>151</v>
      </c>
      <c r="J5402" s="12" t="s">
        <v>152</v>
      </c>
      <c r="K5402" s="12" t="s">
        <v>125</v>
      </c>
      <c r="L5402" s="12" t="s">
        <v>69</v>
      </c>
      <c r="M5402">
        <v>36.479999999999997</v>
      </c>
      <c r="N5402" s="12" t="s">
        <v>97</v>
      </c>
      <c r="O5402" s="12" t="s">
        <v>98</v>
      </c>
      <c r="P5402" s="12" t="s">
        <v>72</v>
      </c>
      <c r="Q5402" s="13">
        <v>45868</v>
      </c>
      <c r="R5402" s="13">
        <v>45889</v>
      </c>
      <c r="S5402">
        <v>2025</v>
      </c>
      <c r="T5402" s="12" t="s">
        <v>6319</v>
      </c>
      <c r="U5402">
        <v>123</v>
      </c>
      <c r="V5402">
        <v>21.7667</v>
      </c>
      <c r="W5402">
        <v>17.579999999999998</v>
      </c>
      <c r="X5402">
        <v>86.9</v>
      </c>
      <c r="Y5402">
        <v>1</v>
      </c>
      <c r="Z5402">
        <v>2677.3</v>
      </c>
      <c r="AA5402">
        <v>2781.78</v>
      </c>
      <c r="AB5402" s="12" t="s">
        <v>201</v>
      </c>
      <c r="AD5402">
        <v>0</v>
      </c>
      <c r="AE5402">
        <v>0</v>
      </c>
      <c r="AH5402">
        <v>123</v>
      </c>
      <c r="AI5402">
        <v>122</v>
      </c>
      <c r="AJ5402">
        <v>1</v>
      </c>
      <c r="AK5402">
        <v>1</v>
      </c>
      <c r="AL5402">
        <v>1</v>
      </c>
      <c r="AM5402">
        <v>99.19</v>
      </c>
      <c r="AN5402">
        <v>22.801500000000001</v>
      </c>
      <c r="AO5402">
        <v>21.77</v>
      </c>
      <c r="AP5402" s="13">
        <v>45887</v>
      </c>
      <c r="AQ5402">
        <v>-2</v>
      </c>
      <c r="AR5402">
        <v>1</v>
      </c>
    </row>
    <row r="5403" spans="1:44" x14ac:dyDescent="0.35">
      <c r="A5403" s="12" t="s">
        <v>6503</v>
      </c>
      <c r="B5403" s="12" t="s">
        <v>957</v>
      </c>
      <c r="C5403" s="12" t="s">
        <v>958</v>
      </c>
      <c r="D5403" s="12" t="s">
        <v>103</v>
      </c>
      <c r="E5403" s="12" t="s">
        <v>142</v>
      </c>
      <c r="F5403">
        <v>1</v>
      </c>
      <c r="G5403">
        <v>7</v>
      </c>
      <c r="H5403">
        <v>1</v>
      </c>
      <c r="I5403" s="12" t="s">
        <v>183</v>
      </c>
      <c r="J5403" s="12" t="s">
        <v>184</v>
      </c>
      <c r="K5403" s="12" t="s">
        <v>133</v>
      </c>
      <c r="L5403" s="12" t="s">
        <v>82</v>
      </c>
      <c r="M5403">
        <v>8.6199999999999992</v>
      </c>
      <c r="N5403" s="12" t="s">
        <v>107</v>
      </c>
      <c r="O5403" s="12" t="s">
        <v>108</v>
      </c>
      <c r="P5403" s="12" t="s">
        <v>109</v>
      </c>
      <c r="Q5403" s="13">
        <v>45868</v>
      </c>
      <c r="R5403" s="13">
        <v>45916</v>
      </c>
      <c r="S5403">
        <v>2025</v>
      </c>
      <c r="T5403" s="12" t="s">
        <v>6319</v>
      </c>
      <c r="U5403">
        <v>114</v>
      </c>
      <c r="V5403">
        <v>188.30439999999999</v>
      </c>
      <c r="W5403">
        <v>269.39999999999998</v>
      </c>
      <c r="X5403">
        <v>0</v>
      </c>
      <c r="Y5403">
        <v>0</v>
      </c>
      <c r="Z5403">
        <v>21466.7</v>
      </c>
      <c r="AA5403">
        <v>21736.1</v>
      </c>
      <c r="AB5403" s="12" t="s">
        <v>5622</v>
      </c>
      <c r="AC5403">
        <v>188.30439999999999</v>
      </c>
      <c r="AD5403">
        <v>1</v>
      </c>
      <c r="AE5403">
        <v>1</v>
      </c>
      <c r="AF5403">
        <v>0</v>
      </c>
      <c r="AG5403">
        <v>21466.7</v>
      </c>
      <c r="AH5403">
        <v>114</v>
      </c>
      <c r="AI5403">
        <v>112</v>
      </c>
      <c r="AJ5403">
        <v>2</v>
      </c>
      <c r="AK5403">
        <v>1</v>
      </c>
      <c r="AL5403">
        <v>1</v>
      </c>
      <c r="AM5403">
        <v>98.25</v>
      </c>
      <c r="AN5403">
        <v>194.07230000000001</v>
      </c>
      <c r="AO5403">
        <v>376.61</v>
      </c>
      <c r="AP5403" s="13">
        <v>45915</v>
      </c>
      <c r="AQ5403">
        <v>-1</v>
      </c>
      <c r="AR5403">
        <v>1</v>
      </c>
    </row>
    <row r="5404" spans="1:44" x14ac:dyDescent="0.35">
      <c r="A5404" s="12" t="s">
        <v>6504</v>
      </c>
      <c r="B5404" s="12" t="s">
        <v>787</v>
      </c>
      <c r="C5404" s="12" t="s">
        <v>788</v>
      </c>
      <c r="D5404" s="12" t="s">
        <v>269</v>
      </c>
      <c r="E5404" s="12" t="s">
        <v>65</v>
      </c>
      <c r="F5404">
        <v>2</v>
      </c>
      <c r="G5404">
        <v>3</v>
      </c>
      <c r="H5404">
        <v>0</v>
      </c>
      <c r="I5404" s="12" t="s">
        <v>143</v>
      </c>
      <c r="J5404" s="12" t="s">
        <v>144</v>
      </c>
      <c r="K5404" s="12" t="s">
        <v>133</v>
      </c>
      <c r="L5404" s="12" t="s">
        <v>96</v>
      </c>
      <c r="M5404">
        <v>5.43</v>
      </c>
      <c r="N5404" s="12" t="s">
        <v>135</v>
      </c>
      <c r="O5404" s="12" t="s">
        <v>136</v>
      </c>
      <c r="P5404" s="12" t="s">
        <v>137</v>
      </c>
      <c r="Q5404" s="13">
        <v>45868</v>
      </c>
      <c r="R5404" s="13">
        <v>45901</v>
      </c>
      <c r="S5404">
        <v>2025</v>
      </c>
      <c r="T5404" s="12" t="s">
        <v>6319</v>
      </c>
      <c r="U5404">
        <v>103</v>
      </c>
      <c r="V5404">
        <v>331.79969999999997</v>
      </c>
      <c r="W5404">
        <v>267.38</v>
      </c>
      <c r="X5404">
        <v>0</v>
      </c>
      <c r="Y5404">
        <v>0</v>
      </c>
      <c r="Z5404">
        <v>34175.370000000003</v>
      </c>
      <c r="AA5404">
        <v>34442.75</v>
      </c>
      <c r="AB5404" s="12" t="s">
        <v>5902</v>
      </c>
      <c r="AC5404">
        <v>331.79969999999997</v>
      </c>
      <c r="AD5404">
        <v>1</v>
      </c>
      <c r="AE5404">
        <v>1</v>
      </c>
      <c r="AF5404">
        <v>0</v>
      </c>
      <c r="AG5404">
        <v>34175.370000000003</v>
      </c>
      <c r="AH5404">
        <v>103</v>
      </c>
      <c r="AI5404">
        <v>102</v>
      </c>
      <c r="AJ5404">
        <v>1</v>
      </c>
      <c r="AK5404">
        <v>1</v>
      </c>
      <c r="AL5404">
        <v>1</v>
      </c>
      <c r="AM5404">
        <v>99.03</v>
      </c>
      <c r="AN5404">
        <v>337.67399999999998</v>
      </c>
      <c r="AO5404">
        <v>331.8</v>
      </c>
      <c r="AP5404" s="13">
        <v>45898</v>
      </c>
      <c r="AQ5404">
        <v>-3</v>
      </c>
      <c r="AR5404">
        <v>1</v>
      </c>
    </row>
    <row r="5405" spans="1:44" x14ac:dyDescent="0.35">
      <c r="A5405" s="12" t="s">
        <v>6505</v>
      </c>
      <c r="B5405" s="12" t="s">
        <v>1042</v>
      </c>
      <c r="C5405" s="12" t="s">
        <v>1043</v>
      </c>
      <c r="D5405" s="12" t="s">
        <v>269</v>
      </c>
      <c r="E5405" s="12" t="s">
        <v>104</v>
      </c>
      <c r="F5405">
        <v>2</v>
      </c>
      <c r="G5405">
        <v>0</v>
      </c>
      <c r="H5405">
        <v>0</v>
      </c>
      <c r="I5405" s="12" t="s">
        <v>143</v>
      </c>
      <c r="J5405" s="12" t="s">
        <v>144</v>
      </c>
      <c r="K5405" s="12" t="s">
        <v>133</v>
      </c>
      <c r="L5405" s="12" t="s">
        <v>96</v>
      </c>
      <c r="M5405">
        <v>5.43</v>
      </c>
      <c r="N5405" s="12" t="s">
        <v>135</v>
      </c>
      <c r="O5405" s="12" t="s">
        <v>136</v>
      </c>
      <c r="P5405" s="12" t="s">
        <v>137</v>
      </c>
      <c r="Q5405" s="13">
        <v>45868</v>
      </c>
      <c r="R5405" s="13">
        <v>45894</v>
      </c>
      <c r="S5405">
        <v>2025</v>
      </c>
      <c r="T5405" s="12" t="s">
        <v>6319</v>
      </c>
      <c r="U5405">
        <v>124</v>
      </c>
      <c r="V5405">
        <v>283.39359999999999</v>
      </c>
      <c r="W5405">
        <v>243.67</v>
      </c>
      <c r="X5405">
        <v>0</v>
      </c>
      <c r="Y5405">
        <v>0</v>
      </c>
      <c r="Z5405">
        <v>35140.81</v>
      </c>
      <c r="AA5405">
        <v>35384.480000000003</v>
      </c>
      <c r="AB5405" s="12" t="s">
        <v>201</v>
      </c>
      <c r="AD5405">
        <v>0</v>
      </c>
      <c r="AE5405">
        <v>0</v>
      </c>
      <c r="AH5405">
        <v>124</v>
      </c>
      <c r="AI5405">
        <v>124</v>
      </c>
      <c r="AJ5405">
        <v>0</v>
      </c>
      <c r="AK5405">
        <v>1</v>
      </c>
      <c r="AL5405">
        <v>1</v>
      </c>
      <c r="AM5405">
        <v>100</v>
      </c>
      <c r="AN5405">
        <v>285.3587</v>
      </c>
      <c r="AO5405">
        <v>0</v>
      </c>
      <c r="AP5405" s="13">
        <v>45894</v>
      </c>
      <c r="AQ5405">
        <v>0</v>
      </c>
      <c r="AR5405">
        <v>1</v>
      </c>
    </row>
    <row r="5406" spans="1:44" x14ac:dyDescent="0.35">
      <c r="A5406" s="12" t="s">
        <v>6506</v>
      </c>
      <c r="B5406" s="12" t="s">
        <v>963</v>
      </c>
      <c r="C5406" s="12" t="s">
        <v>964</v>
      </c>
      <c r="D5406" s="12" t="s">
        <v>114</v>
      </c>
      <c r="E5406" s="12" t="s">
        <v>142</v>
      </c>
      <c r="F5406">
        <v>1</v>
      </c>
      <c r="G5406">
        <v>6</v>
      </c>
      <c r="H5406">
        <v>1</v>
      </c>
      <c r="I5406" s="12" t="s">
        <v>176</v>
      </c>
      <c r="J5406" s="12" t="s">
        <v>177</v>
      </c>
      <c r="K5406" s="12" t="s">
        <v>125</v>
      </c>
      <c r="L5406" s="12" t="s">
        <v>134</v>
      </c>
      <c r="M5406">
        <v>1.75</v>
      </c>
      <c r="N5406" s="12" t="s">
        <v>70</v>
      </c>
      <c r="O5406" s="12" t="s">
        <v>71</v>
      </c>
      <c r="P5406" s="12" t="s">
        <v>72</v>
      </c>
      <c r="Q5406" s="13">
        <v>45869</v>
      </c>
      <c r="R5406" s="13">
        <v>45921</v>
      </c>
      <c r="S5406">
        <v>2025</v>
      </c>
      <c r="T5406" s="12" t="s">
        <v>6319</v>
      </c>
      <c r="U5406">
        <v>148</v>
      </c>
      <c r="V5406">
        <v>208.16470000000001</v>
      </c>
      <c r="W5406">
        <v>710.52</v>
      </c>
      <c r="X5406">
        <v>966.7</v>
      </c>
      <c r="Y5406">
        <v>1</v>
      </c>
      <c r="Z5406">
        <v>30808.38</v>
      </c>
      <c r="AA5406">
        <v>32485.599999999999</v>
      </c>
      <c r="AB5406" s="12" t="s">
        <v>201</v>
      </c>
      <c r="AD5406">
        <v>0</v>
      </c>
      <c r="AE5406">
        <v>0</v>
      </c>
      <c r="AH5406">
        <v>148</v>
      </c>
      <c r="AI5406">
        <v>146</v>
      </c>
      <c r="AJ5406">
        <v>2</v>
      </c>
      <c r="AK5406">
        <v>1</v>
      </c>
      <c r="AL5406">
        <v>1</v>
      </c>
      <c r="AM5406">
        <v>98.65</v>
      </c>
      <c r="AN5406">
        <v>222.50409999999999</v>
      </c>
      <c r="AO5406">
        <v>416.33</v>
      </c>
      <c r="AP5406" s="13">
        <v>45931</v>
      </c>
      <c r="AQ5406">
        <v>10</v>
      </c>
      <c r="AR5406">
        <v>0</v>
      </c>
    </row>
    <row r="5407" spans="1:44" x14ac:dyDescent="0.35">
      <c r="A5407" s="12" t="s">
        <v>6507</v>
      </c>
      <c r="B5407" s="12" t="s">
        <v>350</v>
      </c>
      <c r="C5407" s="12" t="s">
        <v>351</v>
      </c>
      <c r="D5407" s="12" t="s">
        <v>64</v>
      </c>
      <c r="E5407" s="12" t="s">
        <v>104</v>
      </c>
      <c r="F5407">
        <v>3</v>
      </c>
      <c r="G5407">
        <v>1</v>
      </c>
      <c r="H5407">
        <v>0</v>
      </c>
      <c r="I5407" s="12" t="s">
        <v>486</v>
      </c>
      <c r="J5407" s="12" t="s">
        <v>487</v>
      </c>
      <c r="K5407" s="12" t="s">
        <v>125</v>
      </c>
      <c r="L5407" s="12" t="s">
        <v>69</v>
      </c>
      <c r="M5407">
        <v>36.86</v>
      </c>
      <c r="N5407" s="12" t="s">
        <v>97</v>
      </c>
      <c r="O5407" s="12" t="s">
        <v>98</v>
      </c>
      <c r="P5407" s="12" t="s">
        <v>72</v>
      </c>
      <c r="Q5407" s="13">
        <v>45869</v>
      </c>
      <c r="R5407" s="13">
        <v>45891</v>
      </c>
      <c r="S5407">
        <v>2025</v>
      </c>
      <c r="T5407" s="12" t="s">
        <v>6319</v>
      </c>
      <c r="U5407">
        <v>622</v>
      </c>
      <c r="V5407">
        <v>8.2452000000000005</v>
      </c>
      <c r="W5407">
        <v>112.89</v>
      </c>
      <c r="X5407">
        <v>0</v>
      </c>
      <c r="Y5407">
        <v>0</v>
      </c>
      <c r="Z5407">
        <v>5128.51</v>
      </c>
      <c r="AA5407">
        <v>5241.3999999999996</v>
      </c>
      <c r="AB5407" s="12" t="s">
        <v>5628</v>
      </c>
      <c r="AC5407">
        <v>8.2452000000000005</v>
      </c>
      <c r="AD5407">
        <v>1</v>
      </c>
      <c r="AE5407">
        <v>1</v>
      </c>
      <c r="AF5407">
        <v>0</v>
      </c>
      <c r="AG5407">
        <v>5128.51</v>
      </c>
      <c r="AH5407">
        <v>622</v>
      </c>
      <c r="AI5407">
        <v>617</v>
      </c>
      <c r="AJ5407">
        <v>5</v>
      </c>
      <c r="AK5407">
        <v>1</v>
      </c>
      <c r="AL5407">
        <v>1</v>
      </c>
      <c r="AM5407">
        <v>99.2</v>
      </c>
      <c r="AN5407">
        <v>8.4949999999999992</v>
      </c>
      <c r="AO5407">
        <v>41.23</v>
      </c>
      <c r="AP5407" s="13">
        <v>45889</v>
      </c>
      <c r="AQ5407">
        <v>-2</v>
      </c>
      <c r="AR5407">
        <v>1</v>
      </c>
    </row>
    <row r="5408" spans="1:44" x14ac:dyDescent="0.35">
      <c r="A5408" s="12" t="s">
        <v>6508</v>
      </c>
      <c r="B5408" s="12" t="s">
        <v>451</v>
      </c>
      <c r="C5408" s="12" t="s">
        <v>452</v>
      </c>
      <c r="D5408" s="12" t="s">
        <v>175</v>
      </c>
      <c r="E5408" s="12" t="s">
        <v>104</v>
      </c>
      <c r="F5408">
        <v>3</v>
      </c>
      <c r="G5408">
        <v>1</v>
      </c>
      <c r="H5408">
        <v>0</v>
      </c>
      <c r="I5408" s="12" t="s">
        <v>359</v>
      </c>
      <c r="J5408" s="12" t="s">
        <v>360</v>
      </c>
      <c r="K5408" s="12" t="s">
        <v>133</v>
      </c>
      <c r="L5408" s="12" t="s">
        <v>82</v>
      </c>
      <c r="M5408">
        <v>12.65</v>
      </c>
      <c r="N5408" s="12" t="s">
        <v>107</v>
      </c>
      <c r="O5408" s="12" t="s">
        <v>108</v>
      </c>
      <c r="P5408" s="12" t="s">
        <v>109</v>
      </c>
      <c r="Q5408" s="13">
        <v>45869</v>
      </c>
      <c r="R5408" s="13">
        <v>45881</v>
      </c>
      <c r="S5408">
        <v>2025</v>
      </c>
      <c r="T5408" s="12" t="s">
        <v>6319</v>
      </c>
      <c r="U5408">
        <v>12</v>
      </c>
      <c r="V5408">
        <v>216.9588</v>
      </c>
      <c r="W5408">
        <v>21.07</v>
      </c>
      <c r="X5408">
        <v>0</v>
      </c>
      <c r="Y5408">
        <v>0</v>
      </c>
      <c r="Z5408">
        <v>2603.5100000000002</v>
      </c>
      <c r="AA5408">
        <v>2624.58</v>
      </c>
      <c r="AB5408" s="12" t="s">
        <v>5244</v>
      </c>
      <c r="AC5408">
        <v>216.9588</v>
      </c>
      <c r="AD5408">
        <v>1</v>
      </c>
      <c r="AE5408">
        <v>1</v>
      </c>
      <c r="AF5408">
        <v>0</v>
      </c>
      <c r="AG5408">
        <v>2603.5100000000002</v>
      </c>
      <c r="AH5408">
        <v>12</v>
      </c>
      <c r="AI5408">
        <v>12</v>
      </c>
      <c r="AJ5408">
        <v>0</v>
      </c>
      <c r="AK5408">
        <v>1</v>
      </c>
      <c r="AL5408">
        <v>1</v>
      </c>
      <c r="AM5408">
        <v>100</v>
      </c>
      <c r="AN5408">
        <v>218.71459999999999</v>
      </c>
      <c r="AO5408">
        <v>0</v>
      </c>
      <c r="AP5408" s="13">
        <v>45879</v>
      </c>
      <c r="AQ5408">
        <v>-2</v>
      </c>
      <c r="AR5408">
        <v>1</v>
      </c>
    </row>
    <row r="5409" spans="1:44" x14ac:dyDescent="0.35">
      <c r="A5409" s="12" t="s">
        <v>6509</v>
      </c>
      <c r="B5409" s="12" t="s">
        <v>876</v>
      </c>
      <c r="C5409" s="12" t="s">
        <v>877</v>
      </c>
      <c r="D5409" s="12" t="s">
        <v>269</v>
      </c>
      <c r="E5409" s="12" t="s">
        <v>142</v>
      </c>
      <c r="F5409">
        <v>3</v>
      </c>
      <c r="G5409">
        <v>11</v>
      </c>
      <c r="H5409">
        <v>0</v>
      </c>
      <c r="I5409" s="12" t="s">
        <v>515</v>
      </c>
      <c r="J5409" s="12" t="s">
        <v>516</v>
      </c>
      <c r="K5409" s="12" t="s">
        <v>68</v>
      </c>
      <c r="L5409" s="12" t="s">
        <v>134</v>
      </c>
      <c r="M5409">
        <v>3.69</v>
      </c>
      <c r="N5409" s="12" t="s">
        <v>159</v>
      </c>
      <c r="O5409" s="12" t="s">
        <v>160</v>
      </c>
      <c r="P5409" s="12" t="s">
        <v>137</v>
      </c>
      <c r="Q5409" s="13">
        <v>45869</v>
      </c>
      <c r="R5409" s="13">
        <v>45908</v>
      </c>
      <c r="S5409">
        <v>2025</v>
      </c>
      <c r="T5409" s="12" t="s">
        <v>6319</v>
      </c>
      <c r="U5409">
        <v>46</v>
      </c>
      <c r="V5409">
        <v>179.24969999999999</v>
      </c>
      <c r="W5409">
        <v>115.89</v>
      </c>
      <c r="X5409">
        <v>0</v>
      </c>
      <c r="Y5409">
        <v>0</v>
      </c>
      <c r="Z5409">
        <v>8245.49</v>
      </c>
      <c r="AA5409">
        <v>8361.3799999999992</v>
      </c>
      <c r="AB5409" s="12" t="s">
        <v>5961</v>
      </c>
      <c r="AC5409">
        <v>179.24969999999999</v>
      </c>
      <c r="AD5409">
        <v>1</v>
      </c>
      <c r="AE5409">
        <v>1</v>
      </c>
      <c r="AF5409">
        <v>0</v>
      </c>
      <c r="AG5409">
        <v>8245.49</v>
      </c>
      <c r="AH5409">
        <v>46</v>
      </c>
      <c r="AI5409">
        <v>46</v>
      </c>
      <c r="AJ5409">
        <v>0</v>
      </c>
      <c r="AK5409">
        <v>1</v>
      </c>
      <c r="AL5409">
        <v>1</v>
      </c>
      <c r="AM5409">
        <v>100</v>
      </c>
      <c r="AN5409">
        <v>181.76900000000001</v>
      </c>
      <c r="AO5409">
        <v>0</v>
      </c>
      <c r="AP5409" s="13">
        <v>45906</v>
      </c>
      <c r="AQ5409">
        <v>-2</v>
      </c>
      <c r="AR5409">
        <v>1</v>
      </c>
    </row>
    <row r="5410" spans="1:44" x14ac:dyDescent="0.35">
      <c r="A5410" s="12" t="s">
        <v>6510</v>
      </c>
      <c r="B5410" s="12" t="s">
        <v>128</v>
      </c>
      <c r="C5410" s="12" t="s">
        <v>129</v>
      </c>
      <c r="D5410" s="12" t="s">
        <v>130</v>
      </c>
      <c r="E5410" s="12" t="s">
        <v>65</v>
      </c>
      <c r="F5410">
        <v>3</v>
      </c>
      <c r="G5410">
        <v>5</v>
      </c>
      <c r="H5410">
        <v>0</v>
      </c>
      <c r="I5410" s="12" t="s">
        <v>131</v>
      </c>
      <c r="J5410" s="12" t="s">
        <v>132</v>
      </c>
      <c r="K5410" s="12" t="s">
        <v>133</v>
      </c>
      <c r="L5410" s="12" t="s">
        <v>134</v>
      </c>
      <c r="M5410">
        <v>1.51</v>
      </c>
      <c r="N5410" s="12" t="s">
        <v>135</v>
      </c>
      <c r="O5410" s="12" t="s">
        <v>136</v>
      </c>
      <c r="P5410" s="12" t="s">
        <v>137</v>
      </c>
      <c r="Q5410" s="13">
        <v>45869</v>
      </c>
      <c r="R5410" s="13">
        <v>45890</v>
      </c>
      <c r="S5410">
        <v>2025</v>
      </c>
      <c r="T5410" s="12" t="s">
        <v>6319</v>
      </c>
      <c r="U5410">
        <v>11</v>
      </c>
      <c r="V5410">
        <v>341.32580000000002</v>
      </c>
      <c r="W5410">
        <v>33.94</v>
      </c>
      <c r="X5410">
        <v>0</v>
      </c>
      <c r="Y5410">
        <v>0</v>
      </c>
      <c r="Z5410">
        <v>3754.58</v>
      </c>
      <c r="AA5410">
        <v>3788.52</v>
      </c>
      <c r="AB5410" s="12" t="s">
        <v>201</v>
      </c>
      <c r="AD5410">
        <v>0</v>
      </c>
      <c r="AE5410">
        <v>0</v>
      </c>
      <c r="AH5410">
        <v>11</v>
      </c>
      <c r="AI5410">
        <v>10</v>
      </c>
      <c r="AJ5410">
        <v>1</v>
      </c>
      <c r="AK5410">
        <v>1</v>
      </c>
      <c r="AL5410">
        <v>1</v>
      </c>
      <c r="AM5410">
        <v>90.91</v>
      </c>
      <c r="AN5410">
        <v>378.85239999999999</v>
      </c>
      <c r="AO5410">
        <v>341.33</v>
      </c>
      <c r="AP5410" s="13">
        <v>45889</v>
      </c>
      <c r="AQ5410">
        <v>-1</v>
      </c>
      <c r="AR5410">
        <v>1</v>
      </c>
    </row>
    <row r="5411" spans="1:44" x14ac:dyDescent="0.35">
      <c r="A5411" s="12" t="s">
        <v>6511</v>
      </c>
      <c r="B5411" s="12" t="s">
        <v>869</v>
      </c>
      <c r="C5411" s="12" t="s">
        <v>870</v>
      </c>
      <c r="D5411" s="12" t="s">
        <v>130</v>
      </c>
      <c r="E5411" s="12" t="s">
        <v>104</v>
      </c>
      <c r="F5411">
        <v>2</v>
      </c>
      <c r="G5411">
        <v>0</v>
      </c>
      <c r="H5411">
        <v>0</v>
      </c>
      <c r="I5411" s="12" t="s">
        <v>359</v>
      </c>
      <c r="J5411" s="12" t="s">
        <v>360</v>
      </c>
      <c r="K5411" s="12" t="s">
        <v>133</v>
      </c>
      <c r="L5411" s="12" t="s">
        <v>82</v>
      </c>
      <c r="M5411">
        <v>12.65</v>
      </c>
      <c r="N5411" s="12" t="s">
        <v>159</v>
      </c>
      <c r="O5411" s="12" t="s">
        <v>160</v>
      </c>
      <c r="P5411" s="12" t="s">
        <v>137</v>
      </c>
      <c r="Q5411" s="13">
        <v>45869</v>
      </c>
      <c r="R5411" s="13">
        <v>45881</v>
      </c>
      <c r="S5411">
        <v>2025</v>
      </c>
      <c r="T5411" s="12" t="s">
        <v>6319</v>
      </c>
      <c r="U5411">
        <v>14</v>
      </c>
      <c r="V5411">
        <v>583.10879999999997</v>
      </c>
      <c r="W5411">
        <v>98.7</v>
      </c>
      <c r="X5411">
        <v>0</v>
      </c>
      <c r="Y5411">
        <v>0</v>
      </c>
      <c r="Z5411">
        <v>8163.52</v>
      </c>
      <c r="AA5411">
        <v>8262.2199999999993</v>
      </c>
      <c r="AB5411" s="12" t="s">
        <v>6426</v>
      </c>
      <c r="AC5411">
        <v>583.10879999999997</v>
      </c>
      <c r="AD5411">
        <v>1</v>
      </c>
      <c r="AE5411">
        <v>1</v>
      </c>
      <c r="AF5411">
        <v>0</v>
      </c>
      <c r="AG5411">
        <v>8163.52</v>
      </c>
      <c r="AH5411">
        <v>14</v>
      </c>
      <c r="AI5411">
        <v>14</v>
      </c>
      <c r="AJ5411">
        <v>0</v>
      </c>
      <c r="AK5411">
        <v>1</v>
      </c>
      <c r="AL5411">
        <v>1</v>
      </c>
      <c r="AM5411">
        <v>100</v>
      </c>
      <c r="AN5411">
        <v>590.15880000000004</v>
      </c>
      <c r="AO5411">
        <v>0</v>
      </c>
      <c r="AP5411" s="13">
        <v>45881</v>
      </c>
      <c r="AQ5411">
        <v>0</v>
      </c>
      <c r="AR5411">
        <v>1</v>
      </c>
    </row>
    <row r="5412" spans="1:44" x14ac:dyDescent="0.35">
      <c r="A5412" s="12" t="s">
        <v>6512</v>
      </c>
      <c r="B5412" s="12" t="s">
        <v>482</v>
      </c>
      <c r="C5412" s="12" t="s">
        <v>483</v>
      </c>
      <c r="D5412" s="12" t="s">
        <v>78</v>
      </c>
      <c r="E5412" s="12" t="s">
        <v>142</v>
      </c>
      <c r="F5412">
        <v>2</v>
      </c>
      <c r="G5412">
        <v>9</v>
      </c>
      <c r="H5412">
        <v>0</v>
      </c>
      <c r="I5412" s="12" t="s">
        <v>87</v>
      </c>
      <c r="J5412" s="12" t="s">
        <v>88</v>
      </c>
      <c r="K5412" s="12" t="s">
        <v>89</v>
      </c>
      <c r="L5412" s="12" t="s">
        <v>69</v>
      </c>
      <c r="M5412">
        <v>14.93</v>
      </c>
      <c r="N5412" s="12" t="s">
        <v>70</v>
      </c>
      <c r="O5412" s="12" t="s">
        <v>71</v>
      </c>
      <c r="P5412" s="12" t="s">
        <v>72</v>
      </c>
      <c r="Q5412" s="13">
        <v>45869</v>
      </c>
      <c r="R5412" s="13">
        <v>45916</v>
      </c>
      <c r="S5412">
        <v>2025</v>
      </c>
      <c r="T5412" s="12" t="s">
        <v>6319</v>
      </c>
      <c r="U5412">
        <v>217</v>
      </c>
      <c r="V5412">
        <v>44.658099999999997</v>
      </c>
      <c r="W5412">
        <v>94.04</v>
      </c>
      <c r="X5412">
        <v>0</v>
      </c>
      <c r="Y5412">
        <v>0</v>
      </c>
      <c r="Z5412">
        <v>9690.81</v>
      </c>
      <c r="AA5412">
        <v>9784.85</v>
      </c>
      <c r="AB5412" s="12" t="s">
        <v>5658</v>
      </c>
      <c r="AC5412">
        <v>44.658099999999997</v>
      </c>
      <c r="AD5412">
        <v>1</v>
      </c>
      <c r="AE5412">
        <v>1</v>
      </c>
      <c r="AF5412">
        <v>0</v>
      </c>
      <c r="AG5412">
        <v>9690.81</v>
      </c>
      <c r="AH5412">
        <v>217</v>
      </c>
      <c r="AI5412">
        <v>214</v>
      </c>
      <c r="AJ5412">
        <v>3</v>
      </c>
      <c r="AK5412">
        <v>1</v>
      </c>
      <c r="AL5412">
        <v>1</v>
      </c>
      <c r="AM5412">
        <v>98.62</v>
      </c>
      <c r="AN5412">
        <v>45.723599999999998</v>
      </c>
      <c r="AO5412">
        <v>133.97</v>
      </c>
      <c r="AP5412" s="13">
        <v>45914</v>
      </c>
      <c r="AQ5412">
        <v>-2</v>
      </c>
      <c r="AR5412">
        <v>1</v>
      </c>
    </row>
    <row r="5413" spans="1:44" x14ac:dyDescent="0.35">
      <c r="A5413" s="12" t="s">
        <v>6513</v>
      </c>
      <c r="B5413" s="12" t="s">
        <v>924</v>
      </c>
      <c r="C5413" s="12" t="s">
        <v>925</v>
      </c>
      <c r="D5413" s="12" t="s">
        <v>103</v>
      </c>
      <c r="E5413" s="12" t="s">
        <v>104</v>
      </c>
      <c r="F5413">
        <v>2</v>
      </c>
      <c r="G5413">
        <v>0</v>
      </c>
      <c r="H5413">
        <v>0</v>
      </c>
      <c r="I5413" s="12" t="s">
        <v>335</v>
      </c>
      <c r="J5413" s="12" t="s">
        <v>336</v>
      </c>
      <c r="K5413" s="12" t="s">
        <v>89</v>
      </c>
      <c r="L5413" s="12" t="s">
        <v>82</v>
      </c>
      <c r="M5413">
        <v>16</v>
      </c>
      <c r="N5413" s="12" t="s">
        <v>107</v>
      </c>
      <c r="O5413" s="12" t="s">
        <v>108</v>
      </c>
      <c r="P5413" s="12" t="s">
        <v>109</v>
      </c>
      <c r="Q5413" s="13">
        <v>45869</v>
      </c>
      <c r="R5413" s="13">
        <v>45888</v>
      </c>
      <c r="S5413">
        <v>2025</v>
      </c>
      <c r="T5413" s="12" t="s">
        <v>6319</v>
      </c>
      <c r="U5413">
        <v>69</v>
      </c>
      <c r="V5413">
        <v>169.55420000000001</v>
      </c>
      <c r="W5413">
        <v>91.79</v>
      </c>
      <c r="X5413">
        <v>0</v>
      </c>
      <c r="Y5413">
        <v>0</v>
      </c>
      <c r="Z5413">
        <v>11699.24</v>
      </c>
      <c r="AA5413">
        <v>11791.03</v>
      </c>
      <c r="AB5413" s="12" t="s">
        <v>201</v>
      </c>
      <c r="AD5413">
        <v>0</v>
      </c>
      <c r="AE5413">
        <v>0</v>
      </c>
      <c r="AH5413">
        <v>69</v>
      </c>
      <c r="AI5413">
        <v>69</v>
      </c>
      <c r="AJ5413">
        <v>0</v>
      </c>
      <c r="AK5413">
        <v>1</v>
      </c>
      <c r="AL5413">
        <v>1</v>
      </c>
      <c r="AM5413">
        <v>100</v>
      </c>
      <c r="AN5413">
        <v>170.8845</v>
      </c>
      <c r="AO5413">
        <v>0</v>
      </c>
      <c r="AP5413" s="13">
        <v>45885</v>
      </c>
      <c r="AQ5413">
        <v>-3</v>
      </c>
      <c r="AR5413">
        <v>1</v>
      </c>
    </row>
    <row r="5414" spans="1:44" x14ac:dyDescent="0.35">
      <c r="A5414" s="12" t="s">
        <v>6514</v>
      </c>
      <c r="B5414" s="12" t="s">
        <v>891</v>
      </c>
      <c r="C5414" s="12" t="s">
        <v>892</v>
      </c>
      <c r="D5414" s="12" t="s">
        <v>122</v>
      </c>
      <c r="E5414" s="12" t="s">
        <v>65</v>
      </c>
      <c r="F5414">
        <v>3</v>
      </c>
      <c r="G5414">
        <v>5</v>
      </c>
      <c r="H5414">
        <v>0</v>
      </c>
      <c r="I5414" s="12" t="s">
        <v>169</v>
      </c>
      <c r="J5414" s="12" t="s">
        <v>170</v>
      </c>
      <c r="K5414" s="12" t="s">
        <v>89</v>
      </c>
      <c r="L5414" s="12" t="s">
        <v>134</v>
      </c>
      <c r="M5414">
        <v>1.37</v>
      </c>
      <c r="N5414" s="12" t="s">
        <v>97</v>
      </c>
      <c r="O5414" s="12" t="s">
        <v>98</v>
      </c>
      <c r="P5414" s="12" t="s">
        <v>72</v>
      </c>
      <c r="Q5414" s="13">
        <v>45870</v>
      </c>
      <c r="R5414" s="13">
        <v>45903</v>
      </c>
      <c r="S5414">
        <v>2025</v>
      </c>
      <c r="T5414" s="12" t="s">
        <v>6515</v>
      </c>
      <c r="U5414">
        <v>1489</v>
      </c>
      <c r="V5414">
        <v>36.415999999999997</v>
      </c>
      <c r="W5414">
        <v>833.57</v>
      </c>
      <c r="X5414">
        <v>0</v>
      </c>
      <c r="Y5414">
        <v>0</v>
      </c>
      <c r="Z5414">
        <v>54223.42</v>
      </c>
      <c r="AA5414">
        <v>55056.99</v>
      </c>
      <c r="AB5414" s="12" t="s">
        <v>6516</v>
      </c>
      <c r="AC5414">
        <v>36.415999999999997</v>
      </c>
      <c r="AD5414">
        <v>1</v>
      </c>
      <c r="AE5414">
        <v>1</v>
      </c>
      <c r="AF5414">
        <v>0</v>
      </c>
      <c r="AG5414">
        <v>54223.42</v>
      </c>
      <c r="AH5414">
        <v>1489</v>
      </c>
      <c r="AI5414">
        <v>1475</v>
      </c>
      <c r="AJ5414">
        <v>14</v>
      </c>
      <c r="AK5414">
        <v>1</v>
      </c>
      <c r="AL5414">
        <v>1</v>
      </c>
      <c r="AM5414">
        <v>99.06</v>
      </c>
      <c r="AN5414">
        <v>37.326799999999999</v>
      </c>
      <c r="AO5414">
        <v>509.82</v>
      </c>
      <c r="AP5414" s="13">
        <v>45904</v>
      </c>
      <c r="AQ5414">
        <v>1</v>
      </c>
      <c r="AR5414">
        <v>0</v>
      </c>
    </row>
    <row r="5415" spans="1:44" x14ac:dyDescent="0.35">
      <c r="A5415" s="12" t="s">
        <v>6517</v>
      </c>
      <c r="B5415" s="12" t="s">
        <v>412</v>
      </c>
      <c r="C5415" s="12" t="s">
        <v>413</v>
      </c>
      <c r="D5415" s="12" t="s">
        <v>269</v>
      </c>
      <c r="E5415" s="12" t="s">
        <v>65</v>
      </c>
      <c r="F5415">
        <v>1</v>
      </c>
      <c r="G5415">
        <v>2</v>
      </c>
      <c r="H5415">
        <v>1</v>
      </c>
      <c r="I5415" s="12" t="s">
        <v>233</v>
      </c>
      <c r="J5415" s="12" t="s">
        <v>234</v>
      </c>
      <c r="K5415" s="12" t="s">
        <v>125</v>
      </c>
      <c r="L5415" s="12" t="s">
        <v>96</v>
      </c>
      <c r="M5415">
        <v>3.73</v>
      </c>
      <c r="N5415" s="12" t="s">
        <v>159</v>
      </c>
      <c r="O5415" s="12" t="s">
        <v>160</v>
      </c>
      <c r="P5415" s="12" t="s">
        <v>137</v>
      </c>
      <c r="Q5415" s="13">
        <v>45870</v>
      </c>
      <c r="R5415" s="13">
        <v>45894</v>
      </c>
      <c r="S5415">
        <v>2025</v>
      </c>
      <c r="T5415" s="12" t="s">
        <v>6515</v>
      </c>
      <c r="U5415">
        <v>38</v>
      </c>
      <c r="V5415">
        <v>103.87350000000001</v>
      </c>
      <c r="W5415">
        <v>70.22</v>
      </c>
      <c r="X5415">
        <v>0</v>
      </c>
      <c r="Y5415">
        <v>0</v>
      </c>
      <c r="Z5415">
        <v>3947.19</v>
      </c>
      <c r="AA5415">
        <v>4017.41</v>
      </c>
      <c r="AB5415" s="12" t="s">
        <v>5424</v>
      </c>
      <c r="AC5415">
        <v>103.87350000000001</v>
      </c>
      <c r="AD5415">
        <v>1</v>
      </c>
      <c r="AE5415">
        <v>1</v>
      </c>
      <c r="AF5415">
        <v>0</v>
      </c>
      <c r="AG5415">
        <v>3947.19</v>
      </c>
      <c r="AH5415">
        <v>38</v>
      </c>
      <c r="AI5415">
        <v>38</v>
      </c>
      <c r="AJ5415">
        <v>0</v>
      </c>
      <c r="AK5415">
        <v>1</v>
      </c>
      <c r="AL5415">
        <v>1</v>
      </c>
      <c r="AM5415">
        <v>100</v>
      </c>
      <c r="AN5415">
        <v>105.7214</v>
      </c>
      <c r="AO5415">
        <v>0</v>
      </c>
      <c r="AP5415" s="13">
        <v>45891</v>
      </c>
      <c r="AQ5415">
        <v>-3</v>
      </c>
      <c r="AR5415">
        <v>1</v>
      </c>
    </row>
    <row r="5416" spans="1:44" x14ac:dyDescent="0.35">
      <c r="A5416" s="12" t="s">
        <v>6518</v>
      </c>
      <c r="B5416" s="12" t="s">
        <v>613</v>
      </c>
      <c r="C5416" s="12" t="s">
        <v>614</v>
      </c>
      <c r="D5416" s="12" t="s">
        <v>130</v>
      </c>
      <c r="E5416" s="12" t="s">
        <v>104</v>
      </c>
      <c r="F5416">
        <v>3</v>
      </c>
      <c r="G5416">
        <v>1</v>
      </c>
      <c r="H5416">
        <v>0</v>
      </c>
      <c r="I5416" s="12" t="s">
        <v>66</v>
      </c>
      <c r="J5416" s="12" t="s">
        <v>67</v>
      </c>
      <c r="K5416" s="12" t="s">
        <v>68</v>
      </c>
      <c r="L5416" s="12" t="s">
        <v>69</v>
      </c>
      <c r="M5416">
        <v>17.66</v>
      </c>
      <c r="N5416" s="12" t="s">
        <v>135</v>
      </c>
      <c r="O5416" s="12" t="s">
        <v>136</v>
      </c>
      <c r="P5416" s="12" t="s">
        <v>137</v>
      </c>
      <c r="Q5416" s="13">
        <v>45870</v>
      </c>
      <c r="R5416" s="13">
        <v>45897</v>
      </c>
      <c r="S5416">
        <v>2025</v>
      </c>
      <c r="T5416" s="12" t="s">
        <v>6515</v>
      </c>
      <c r="U5416">
        <v>128</v>
      </c>
      <c r="V5416">
        <v>154.3064</v>
      </c>
      <c r="W5416">
        <v>505.45</v>
      </c>
      <c r="X5416">
        <v>0</v>
      </c>
      <c r="Y5416">
        <v>0</v>
      </c>
      <c r="Z5416">
        <v>19751.22</v>
      </c>
      <c r="AA5416">
        <v>20256.669999999998</v>
      </c>
      <c r="AB5416" s="12" t="s">
        <v>5538</v>
      </c>
      <c r="AC5416">
        <v>154.3064</v>
      </c>
      <c r="AD5416">
        <v>1</v>
      </c>
      <c r="AE5416">
        <v>1</v>
      </c>
      <c r="AF5416">
        <v>0</v>
      </c>
      <c r="AG5416">
        <v>19751.22</v>
      </c>
      <c r="AH5416">
        <v>128</v>
      </c>
      <c r="AI5416">
        <v>126</v>
      </c>
      <c r="AJ5416">
        <v>2</v>
      </c>
      <c r="AK5416">
        <v>1</v>
      </c>
      <c r="AL5416">
        <v>1</v>
      </c>
      <c r="AM5416">
        <v>98.44</v>
      </c>
      <c r="AN5416">
        <v>160.7672</v>
      </c>
      <c r="AO5416">
        <v>308.61</v>
      </c>
      <c r="AP5416" s="13">
        <v>45895</v>
      </c>
      <c r="AQ5416">
        <v>-2</v>
      </c>
      <c r="AR5416">
        <v>1</v>
      </c>
    </row>
    <row r="5417" spans="1:44" x14ac:dyDescent="0.35">
      <c r="A5417" s="12" t="s">
        <v>6519</v>
      </c>
      <c r="B5417" s="12" t="s">
        <v>465</v>
      </c>
      <c r="C5417" s="12" t="s">
        <v>466</v>
      </c>
      <c r="D5417" s="12" t="s">
        <v>78</v>
      </c>
      <c r="E5417" s="12" t="s">
        <v>142</v>
      </c>
      <c r="F5417">
        <v>3</v>
      </c>
      <c r="G5417">
        <v>11</v>
      </c>
      <c r="H5417">
        <v>0</v>
      </c>
      <c r="I5417" s="12" t="s">
        <v>195</v>
      </c>
      <c r="J5417" s="12" t="s">
        <v>196</v>
      </c>
      <c r="K5417" s="12" t="s">
        <v>117</v>
      </c>
      <c r="L5417" s="12" t="s">
        <v>134</v>
      </c>
      <c r="M5417">
        <v>4.7699999999999996</v>
      </c>
      <c r="N5417" s="12" t="s">
        <v>70</v>
      </c>
      <c r="O5417" s="12" t="s">
        <v>71</v>
      </c>
      <c r="P5417" s="12" t="s">
        <v>72</v>
      </c>
      <c r="Q5417" s="13">
        <v>45870</v>
      </c>
      <c r="R5417" s="13">
        <v>45919</v>
      </c>
      <c r="S5417">
        <v>2025</v>
      </c>
      <c r="T5417" s="12" t="s">
        <v>6515</v>
      </c>
      <c r="U5417">
        <v>254</v>
      </c>
      <c r="V5417">
        <v>105.56229999999999</v>
      </c>
      <c r="W5417">
        <v>239.22</v>
      </c>
      <c r="X5417">
        <v>0</v>
      </c>
      <c r="Y5417">
        <v>0</v>
      </c>
      <c r="Z5417">
        <v>26812.82</v>
      </c>
      <c r="AA5417">
        <v>27052.04</v>
      </c>
      <c r="AB5417" s="12" t="s">
        <v>5716</v>
      </c>
      <c r="AC5417">
        <v>105.56229999999999</v>
      </c>
      <c r="AD5417">
        <v>1</v>
      </c>
      <c r="AE5417">
        <v>1</v>
      </c>
      <c r="AF5417">
        <v>0</v>
      </c>
      <c r="AG5417">
        <v>26812.82</v>
      </c>
      <c r="AH5417">
        <v>254</v>
      </c>
      <c r="AI5417">
        <v>248</v>
      </c>
      <c r="AJ5417">
        <v>6</v>
      </c>
      <c r="AK5417">
        <v>1</v>
      </c>
      <c r="AL5417">
        <v>1</v>
      </c>
      <c r="AM5417">
        <v>97.64</v>
      </c>
      <c r="AN5417">
        <v>109.0808</v>
      </c>
      <c r="AO5417">
        <v>633.37</v>
      </c>
      <c r="AP5417" s="13">
        <v>45916</v>
      </c>
      <c r="AQ5417">
        <v>-3</v>
      </c>
      <c r="AR5417">
        <v>1</v>
      </c>
    </row>
    <row r="5418" spans="1:44" x14ac:dyDescent="0.35">
      <c r="A5418" s="12" t="s">
        <v>6520</v>
      </c>
      <c r="B5418" s="12" t="s">
        <v>451</v>
      </c>
      <c r="C5418" s="12" t="s">
        <v>452</v>
      </c>
      <c r="D5418" s="12" t="s">
        <v>175</v>
      </c>
      <c r="E5418" s="12" t="s">
        <v>104</v>
      </c>
      <c r="F5418">
        <v>3</v>
      </c>
      <c r="G5418">
        <v>1</v>
      </c>
      <c r="H5418">
        <v>0</v>
      </c>
      <c r="I5418" s="12" t="s">
        <v>359</v>
      </c>
      <c r="J5418" s="12" t="s">
        <v>360</v>
      </c>
      <c r="K5418" s="12" t="s">
        <v>133</v>
      </c>
      <c r="L5418" s="12" t="s">
        <v>82</v>
      </c>
      <c r="M5418">
        <v>12.65</v>
      </c>
      <c r="N5418" s="12" t="s">
        <v>145</v>
      </c>
      <c r="O5418" s="12" t="s">
        <v>146</v>
      </c>
      <c r="P5418" s="12" t="s">
        <v>109</v>
      </c>
      <c r="Q5418" s="13">
        <v>45870</v>
      </c>
      <c r="R5418" s="13">
        <v>45897</v>
      </c>
      <c r="S5418">
        <v>2025</v>
      </c>
      <c r="T5418" s="12" t="s">
        <v>6515</v>
      </c>
      <c r="U5418">
        <v>130</v>
      </c>
      <c r="V5418">
        <v>216.9588</v>
      </c>
      <c r="W5418">
        <v>214.59</v>
      </c>
      <c r="X5418">
        <v>0</v>
      </c>
      <c r="Y5418">
        <v>0</v>
      </c>
      <c r="Z5418">
        <v>28204.639999999999</v>
      </c>
      <c r="AA5418">
        <v>28419.23</v>
      </c>
      <c r="AB5418" s="12" t="s">
        <v>5244</v>
      </c>
      <c r="AC5418">
        <v>216.9588</v>
      </c>
      <c r="AD5418">
        <v>1</v>
      </c>
      <c r="AE5418">
        <v>1</v>
      </c>
      <c r="AF5418">
        <v>0</v>
      </c>
      <c r="AG5418">
        <v>28204.639999999999</v>
      </c>
      <c r="AH5418">
        <v>130</v>
      </c>
      <c r="AI5418">
        <v>128</v>
      </c>
      <c r="AJ5418">
        <v>2</v>
      </c>
      <c r="AK5418">
        <v>1</v>
      </c>
      <c r="AL5418">
        <v>1</v>
      </c>
      <c r="AM5418">
        <v>98.46</v>
      </c>
      <c r="AN5418">
        <v>222.02529999999999</v>
      </c>
      <c r="AO5418">
        <v>433.92</v>
      </c>
      <c r="AP5418" s="13">
        <v>45896</v>
      </c>
      <c r="AQ5418">
        <v>-1</v>
      </c>
      <c r="AR5418">
        <v>1</v>
      </c>
    </row>
    <row r="5419" spans="1:44" x14ac:dyDescent="0.35">
      <c r="A5419" s="12" t="s">
        <v>6521</v>
      </c>
      <c r="B5419" s="12" t="s">
        <v>876</v>
      </c>
      <c r="C5419" s="12" t="s">
        <v>877</v>
      </c>
      <c r="D5419" s="12" t="s">
        <v>269</v>
      </c>
      <c r="E5419" s="12" t="s">
        <v>142</v>
      </c>
      <c r="F5419">
        <v>3</v>
      </c>
      <c r="G5419">
        <v>11</v>
      </c>
      <c r="H5419">
        <v>0</v>
      </c>
      <c r="I5419" s="12" t="s">
        <v>515</v>
      </c>
      <c r="J5419" s="12" t="s">
        <v>516</v>
      </c>
      <c r="K5419" s="12" t="s">
        <v>68</v>
      </c>
      <c r="L5419" s="12" t="s">
        <v>134</v>
      </c>
      <c r="M5419">
        <v>3.69</v>
      </c>
      <c r="N5419" s="12" t="s">
        <v>135</v>
      </c>
      <c r="O5419" s="12" t="s">
        <v>136</v>
      </c>
      <c r="P5419" s="12" t="s">
        <v>137</v>
      </c>
      <c r="Q5419" s="13">
        <v>45870</v>
      </c>
      <c r="R5419" s="13">
        <v>45921</v>
      </c>
      <c r="S5419">
        <v>2025</v>
      </c>
      <c r="T5419" s="12" t="s">
        <v>6515</v>
      </c>
      <c r="U5419">
        <v>134</v>
      </c>
      <c r="V5419">
        <v>168.50210000000001</v>
      </c>
      <c r="W5419">
        <v>491.42</v>
      </c>
      <c r="X5419">
        <v>0</v>
      </c>
      <c r="Y5419">
        <v>0</v>
      </c>
      <c r="Z5419">
        <v>22579.279999999999</v>
      </c>
      <c r="AA5419">
        <v>23070.7</v>
      </c>
      <c r="AB5419" s="12" t="s">
        <v>5961</v>
      </c>
      <c r="AC5419">
        <v>179.24969999999999</v>
      </c>
      <c r="AD5419">
        <v>1</v>
      </c>
      <c r="AE5419">
        <v>1</v>
      </c>
      <c r="AF5419">
        <v>-1440.18</v>
      </c>
      <c r="AG5419">
        <v>24019.46</v>
      </c>
      <c r="AH5419">
        <v>134</v>
      </c>
      <c r="AI5419">
        <v>132</v>
      </c>
      <c r="AJ5419">
        <v>2</v>
      </c>
      <c r="AK5419">
        <v>1</v>
      </c>
      <c r="AL5419">
        <v>1</v>
      </c>
      <c r="AM5419">
        <v>98.51</v>
      </c>
      <c r="AN5419">
        <v>174.77799999999999</v>
      </c>
      <c r="AO5419">
        <v>337</v>
      </c>
      <c r="AP5419" s="13">
        <v>45918</v>
      </c>
      <c r="AQ5419">
        <v>-3</v>
      </c>
      <c r="AR5419">
        <v>1</v>
      </c>
    </row>
    <row r="5420" spans="1:44" x14ac:dyDescent="0.35">
      <c r="A5420" s="12" t="s">
        <v>6522</v>
      </c>
      <c r="B5420" s="12" t="s">
        <v>128</v>
      </c>
      <c r="C5420" s="12" t="s">
        <v>129</v>
      </c>
      <c r="D5420" s="12" t="s">
        <v>130</v>
      </c>
      <c r="E5420" s="12" t="s">
        <v>65</v>
      </c>
      <c r="F5420">
        <v>3</v>
      </c>
      <c r="G5420">
        <v>5</v>
      </c>
      <c r="H5420">
        <v>0</v>
      </c>
      <c r="I5420" s="12" t="s">
        <v>131</v>
      </c>
      <c r="J5420" s="12" t="s">
        <v>132</v>
      </c>
      <c r="K5420" s="12" t="s">
        <v>133</v>
      </c>
      <c r="L5420" s="12" t="s">
        <v>134</v>
      </c>
      <c r="M5420">
        <v>1.51</v>
      </c>
      <c r="N5420" s="12" t="s">
        <v>135</v>
      </c>
      <c r="O5420" s="12" t="s">
        <v>136</v>
      </c>
      <c r="P5420" s="12" t="s">
        <v>137</v>
      </c>
      <c r="Q5420" s="13">
        <v>45870</v>
      </c>
      <c r="R5420" s="13">
        <v>45896</v>
      </c>
      <c r="S5420">
        <v>2025</v>
      </c>
      <c r="T5420" s="12" t="s">
        <v>6515</v>
      </c>
      <c r="U5420">
        <v>56</v>
      </c>
      <c r="V5420">
        <v>365.77229999999997</v>
      </c>
      <c r="W5420">
        <v>457.62</v>
      </c>
      <c r="X5420">
        <v>0</v>
      </c>
      <c r="Y5420">
        <v>0</v>
      </c>
      <c r="Z5420">
        <v>20483.25</v>
      </c>
      <c r="AA5420">
        <v>20940.87</v>
      </c>
      <c r="AB5420" s="12" t="s">
        <v>201</v>
      </c>
      <c r="AD5420">
        <v>0</v>
      </c>
      <c r="AE5420">
        <v>0</v>
      </c>
      <c r="AH5420">
        <v>56</v>
      </c>
      <c r="AI5420">
        <v>52</v>
      </c>
      <c r="AJ5420">
        <v>4</v>
      </c>
      <c r="AK5420">
        <v>1</v>
      </c>
      <c r="AL5420">
        <v>1</v>
      </c>
      <c r="AM5420">
        <v>92.86</v>
      </c>
      <c r="AN5420">
        <v>402.709</v>
      </c>
      <c r="AO5420">
        <v>1463.09</v>
      </c>
      <c r="AP5420" s="13">
        <v>45894</v>
      </c>
      <c r="AQ5420">
        <v>-2</v>
      </c>
      <c r="AR5420">
        <v>1</v>
      </c>
    </row>
    <row r="5421" spans="1:44" x14ac:dyDescent="0.35">
      <c r="A5421" s="12" t="s">
        <v>6523</v>
      </c>
      <c r="B5421" s="12" t="s">
        <v>231</v>
      </c>
      <c r="C5421" s="12" t="s">
        <v>232</v>
      </c>
      <c r="D5421" s="12" t="s">
        <v>130</v>
      </c>
      <c r="E5421" s="12" t="s">
        <v>65</v>
      </c>
      <c r="F5421">
        <v>1</v>
      </c>
      <c r="G5421">
        <v>2</v>
      </c>
      <c r="H5421">
        <v>1</v>
      </c>
      <c r="I5421" s="12" t="s">
        <v>233</v>
      </c>
      <c r="J5421" s="12" t="s">
        <v>234</v>
      </c>
      <c r="K5421" s="12" t="s">
        <v>125</v>
      </c>
      <c r="L5421" s="12" t="s">
        <v>96</v>
      </c>
      <c r="M5421">
        <v>3.73</v>
      </c>
      <c r="N5421" s="12" t="s">
        <v>135</v>
      </c>
      <c r="O5421" s="12" t="s">
        <v>136</v>
      </c>
      <c r="P5421" s="12" t="s">
        <v>137</v>
      </c>
      <c r="Q5421" s="13">
        <v>45870</v>
      </c>
      <c r="R5421" s="13">
        <v>45908</v>
      </c>
      <c r="S5421">
        <v>2025</v>
      </c>
      <c r="T5421" s="12" t="s">
        <v>6515</v>
      </c>
      <c r="U5421">
        <v>144</v>
      </c>
      <c r="V5421">
        <v>433.7758</v>
      </c>
      <c r="W5421">
        <v>1182.8800000000001</v>
      </c>
      <c r="X5421">
        <v>0</v>
      </c>
      <c r="Y5421">
        <v>0</v>
      </c>
      <c r="Z5421">
        <v>62463.72</v>
      </c>
      <c r="AA5421">
        <v>63646.6</v>
      </c>
      <c r="AB5421" s="12" t="s">
        <v>201</v>
      </c>
      <c r="AD5421">
        <v>0</v>
      </c>
      <c r="AE5421">
        <v>0</v>
      </c>
      <c r="AH5421">
        <v>144</v>
      </c>
      <c r="AI5421">
        <v>142</v>
      </c>
      <c r="AJ5421">
        <v>2</v>
      </c>
      <c r="AK5421">
        <v>1</v>
      </c>
      <c r="AL5421">
        <v>1</v>
      </c>
      <c r="AM5421">
        <v>98.61</v>
      </c>
      <c r="AN5421">
        <v>448.21550000000002</v>
      </c>
      <c r="AO5421">
        <v>867.55</v>
      </c>
      <c r="AP5421" s="13">
        <v>45905</v>
      </c>
      <c r="AQ5421">
        <v>-3</v>
      </c>
      <c r="AR5421">
        <v>1</v>
      </c>
    </row>
    <row r="5422" spans="1:44" x14ac:dyDescent="0.35">
      <c r="A5422" s="12" t="s">
        <v>6524</v>
      </c>
      <c r="B5422" s="12" t="s">
        <v>712</v>
      </c>
      <c r="C5422" s="12" t="s">
        <v>713</v>
      </c>
      <c r="D5422" s="12" t="s">
        <v>103</v>
      </c>
      <c r="E5422" s="12" t="s">
        <v>104</v>
      </c>
      <c r="F5422">
        <v>2</v>
      </c>
      <c r="G5422">
        <v>0</v>
      </c>
      <c r="H5422">
        <v>0</v>
      </c>
      <c r="I5422" s="12" t="s">
        <v>199</v>
      </c>
      <c r="J5422" s="12" t="s">
        <v>200</v>
      </c>
      <c r="K5422" s="12" t="s">
        <v>68</v>
      </c>
      <c r="L5422" s="12" t="s">
        <v>96</v>
      </c>
      <c r="M5422">
        <v>9.4700000000000006</v>
      </c>
      <c r="N5422" s="12" t="s">
        <v>145</v>
      </c>
      <c r="O5422" s="12" t="s">
        <v>146</v>
      </c>
      <c r="P5422" s="12" t="s">
        <v>109</v>
      </c>
      <c r="Q5422" s="13">
        <v>45870</v>
      </c>
      <c r="R5422" s="13">
        <v>45898</v>
      </c>
      <c r="S5422">
        <v>2025</v>
      </c>
      <c r="T5422" s="12" t="s">
        <v>6515</v>
      </c>
      <c r="U5422">
        <v>141</v>
      </c>
      <c r="V5422">
        <v>226.41200000000001</v>
      </c>
      <c r="W5422">
        <v>511.1</v>
      </c>
      <c r="X5422">
        <v>0</v>
      </c>
      <c r="Y5422">
        <v>0</v>
      </c>
      <c r="Z5422">
        <v>31924.09</v>
      </c>
      <c r="AA5422">
        <v>32435.19</v>
      </c>
      <c r="AB5422" s="12" t="s">
        <v>201</v>
      </c>
      <c r="AD5422">
        <v>0</v>
      </c>
      <c r="AE5422">
        <v>0</v>
      </c>
      <c r="AH5422">
        <v>141</v>
      </c>
      <c r="AI5422">
        <v>139</v>
      </c>
      <c r="AJ5422">
        <v>2</v>
      </c>
      <c r="AK5422">
        <v>1</v>
      </c>
      <c r="AL5422">
        <v>1</v>
      </c>
      <c r="AM5422">
        <v>98.58</v>
      </c>
      <c r="AN5422">
        <v>233.3467</v>
      </c>
      <c r="AO5422">
        <v>452.82</v>
      </c>
      <c r="AP5422" s="13">
        <v>45909</v>
      </c>
      <c r="AQ5422">
        <v>11</v>
      </c>
      <c r="AR5422">
        <v>0</v>
      </c>
    </row>
    <row r="5423" spans="1:44" x14ac:dyDescent="0.35">
      <c r="A5423" s="12" t="s">
        <v>6525</v>
      </c>
      <c r="B5423" s="12" t="s">
        <v>509</v>
      </c>
      <c r="C5423" s="12" t="s">
        <v>510</v>
      </c>
      <c r="D5423" s="12" t="s">
        <v>78</v>
      </c>
      <c r="E5423" s="12" t="s">
        <v>142</v>
      </c>
      <c r="F5423">
        <v>3</v>
      </c>
      <c r="G5423">
        <v>11</v>
      </c>
      <c r="H5423">
        <v>0</v>
      </c>
      <c r="I5423" s="12" t="s">
        <v>176</v>
      </c>
      <c r="J5423" s="12" t="s">
        <v>177</v>
      </c>
      <c r="K5423" s="12" t="s">
        <v>125</v>
      </c>
      <c r="L5423" s="12" t="s">
        <v>134</v>
      </c>
      <c r="M5423">
        <v>1.75</v>
      </c>
      <c r="N5423" s="12" t="s">
        <v>97</v>
      </c>
      <c r="O5423" s="12" t="s">
        <v>98</v>
      </c>
      <c r="P5423" s="12" t="s">
        <v>72</v>
      </c>
      <c r="Q5423" s="13">
        <v>45870</v>
      </c>
      <c r="R5423" s="13">
        <v>45922</v>
      </c>
      <c r="S5423">
        <v>2025</v>
      </c>
      <c r="T5423" s="12" t="s">
        <v>6515</v>
      </c>
      <c r="U5423">
        <v>289</v>
      </c>
      <c r="V5423">
        <v>131.0394</v>
      </c>
      <c r="W5423">
        <v>423.96</v>
      </c>
      <c r="X5423">
        <v>0</v>
      </c>
      <c r="Y5423">
        <v>0</v>
      </c>
      <c r="Z5423">
        <v>37870.39</v>
      </c>
      <c r="AA5423">
        <v>38294.35</v>
      </c>
      <c r="AB5423" s="12" t="s">
        <v>201</v>
      </c>
      <c r="AD5423">
        <v>0</v>
      </c>
      <c r="AE5423">
        <v>0</v>
      </c>
      <c r="AH5423">
        <v>289</v>
      </c>
      <c r="AI5423">
        <v>285</v>
      </c>
      <c r="AJ5423">
        <v>4</v>
      </c>
      <c r="AK5423">
        <v>1</v>
      </c>
      <c r="AL5423">
        <v>1</v>
      </c>
      <c r="AM5423">
        <v>98.62</v>
      </c>
      <c r="AN5423">
        <v>134.36609999999999</v>
      </c>
      <c r="AO5423">
        <v>524.16</v>
      </c>
      <c r="AP5423" s="13">
        <v>45919</v>
      </c>
      <c r="AQ5423">
        <v>-3</v>
      </c>
      <c r="AR5423">
        <v>1</v>
      </c>
    </row>
    <row r="5424" spans="1:44" x14ac:dyDescent="0.35">
      <c r="A5424" s="12" t="s">
        <v>6526</v>
      </c>
      <c r="B5424" s="12" t="s">
        <v>843</v>
      </c>
      <c r="C5424" s="12" t="s">
        <v>844</v>
      </c>
      <c r="D5424" s="12" t="s">
        <v>175</v>
      </c>
      <c r="E5424" s="12" t="s">
        <v>65</v>
      </c>
      <c r="F5424">
        <v>3</v>
      </c>
      <c r="G5424">
        <v>5</v>
      </c>
      <c r="H5424">
        <v>0</v>
      </c>
      <c r="I5424" s="12" t="s">
        <v>359</v>
      </c>
      <c r="J5424" s="12" t="s">
        <v>360</v>
      </c>
      <c r="K5424" s="12" t="s">
        <v>133</v>
      </c>
      <c r="L5424" s="12" t="s">
        <v>82</v>
      </c>
      <c r="M5424">
        <v>12.65</v>
      </c>
      <c r="N5424" s="12" t="s">
        <v>107</v>
      </c>
      <c r="O5424" s="12" t="s">
        <v>108</v>
      </c>
      <c r="P5424" s="12" t="s">
        <v>109</v>
      </c>
      <c r="Q5424" s="13">
        <v>45873</v>
      </c>
      <c r="R5424" s="13">
        <v>45896</v>
      </c>
      <c r="S5424">
        <v>2025</v>
      </c>
      <c r="T5424" s="12" t="s">
        <v>6515</v>
      </c>
      <c r="U5424">
        <v>30</v>
      </c>
      <c r="V5424">
        <v>237.4212</v>
      </c>
      <c r="W5424">
        <v>176.12</v>
      </c>
      <c r="X5424">
        <v>0</v>
      </c>
      <c r="Y5424">
        <v>0</v>
      </c>
      <c r="Z5424">
        <v>7122.64</v>
      </c>
      <c r="AA5424">
        <v>7298.76</v>
      </c>
      <c r="AB5424" s="12" t="s">
        <v>6075</v>
      </c>
      <c r="AC5424">
        <v>237.4212</v>
      </c>
      <c r="AD5424">
        <v>1</v>
      </c>
      <c r="AE5424">
        <v>1</v>
      </c>
      <c r="AF5424">
        <v>0</v>
      </c>
      <c r="AG5424">
        <v>7122.64</v>
      </c>
      <c r="AH5424">
        <v>30</v>
      </c>
      <c r="AI5424">
        <v>30</v>
      </c>
      <c r="AJ5424">
        <v>0</v>
      </c>
      <c r="AK5424">
        <v>1</v>
      </c>
      <c r="AL5424">
        <v>1</v>
      </c>
      <c r="AM5424">
        <v>100</v>
      </c>
      <c r="AN5424">
        <v>243.2919</v>
      </c>
      <c r="AO5424">
        <v>0</v>
      </c>
      <c r="AP5424" s="13">
        <v>45895</v>
      </c>
      <c r="AQ5424">
        <v>-1</v>
      </c>
      <c r="AR5424">
        <v>1</v>
      </c>
    </row>
    <row r="5425" spans="1:44" x14ac:dyDescent="0.35">
      <c r="A5425" s="12" t="s">
        <v>6527</v>
      </c>
      <c r="B5425" s="12" t="s">
        <v>1220</v>
      </c>
      <c r="C5425" s="12" t="s">
        <v>1221</v>
      </c>
      <c r="D5425" s="12" t="s">
        <v>175</v>
      </c>
      <c r="E5425" s="12" t="s">
        <v>104</v>
      </c>
      <c r="F5425">
        <v>3</v>
      </c>
      <c r="G5425">
        <v>1</v>
      </c>
      <c r="H5425">
        <v>0</v>
      </c>
      <c r="I5425" s="12" t="s">
        <v>251</v>
      </c>
      <c r="J5425" s="12" t="s">
        <v>252</v>
      </c>
      <c r="K5425" s="12" t="s">
        <v>133</v>
      </c>
      <c r="L5425" s="12" t="s">
        <v>69</v>
      </c>
      <c r="M5425">
        <v>34.49</v>
      </c>
      <c r="N5425" s="12" t="s">
        <v>107</v>
      </c>
      <c r="O5425" s="12" t="s">
        <v>108</v>
      </c>
      <c r="P5425" s="12" t="s">
        <v>109</v>
      </c>
      <c r="Q5425" s="13">
        <v>45873</v>
      </c>
      <c r="R5425" s="13">
        <v>45899</v>
      </c>
      <c r="S5425">
        <v>2025</v>
      </c>
      <c r="T5425" s="12" t="s">
        <v>6515</v>
      </c>
      <c r="U5425">
        <v>121</v>
      </c>
      <c r="V5425">
        <v>138.9153</v>
      </c>
      <c r="W5425">
        <v>286.89</v>
      </c>
      <c r="X5425">
        <v>0</v>
      </c>
      <c r="Y5425">
        <v>0</v>
      </c>
      <c r="Z5425">
        <v>16808.75</v>
      </c>
      <c r="AA5425">
        <v>17095.64</v>
      </c>
      <c r="AB5425" s="12" t="s">
        <v>6528</v>
      </c>
      <c r="AC5425">
        <v>138.9153</v>
      </c>
      <c r="AD5425">
        <v>1</v>
      </c>
      <c r="AE5425">
        <v>1</v>
      </c>
      <c r="AF5425">
        <v>0</v>
      </c>
      <c r="AG5425">
        <v>16808.75</v>
      </c>
      <c r="AH5425">
        <v>121</v>
      </c>
      <c r="AI5425">
        <v>120</v>
      </c>
      <c r="AJ5425">
        <v>1</v>
      </c>
      <c r="AK5425">
        <v>1</v>
      </c>
      <c r="AL5425">
        <v>1</v>
      </c>
      <c r="AM5425">
        <v>99.17</v>
      </c>
      <c r="AN5425">
        <v>142.46369999999999</v>
      </c>
      <c r="AO5425">
        <v>138.91999999999999</v>
      </c>
      <c r="AP5425" s="13">
        <v>45897</v>
      </c>
      <c r="AQ5425">
        <v>-2</v>
      </c>
      <c r="AR5425">
        <v>1</v>
      </c>
    </row>
    <row r="5426" spans="1:44" x14ac:dyDescent="0.35">
      <c r="A5426" s="12" t="s">
        <v>6529</v>
      </c>
      <c r="B5426" s="12" t="s">
        <v>1220</v>
      </c>
      <c r="C5426" s="12" t="s">
        <v>1221</v>
      </c>
      <c r="D5426" s="12" t="s">
        <v>175</v>
      </c>
      <c r="E5426" s="12" t="s">
        <v>104</v>
      </c>
      <c r="F5426">
        <v>3</v>
      </c>
      <c r="G5426">
        <v>1</v>
      </c>
      <c r="H5426">
        <v>0</v>
      </c>
      <c r="I5426" s="12" t="s">
        <v>515</v>
      </c>
      <c r="J5426" s="12" t="s">
        <v>516</v>
      </c>
      <c r="K5426" s="12" t="s">
        <v>68</v>
      </c>
      <c r="L5426" s="12" t="s">
        <v>134</v>
      </c>
      <c r="M5426">
        <v>3.69</v>
      </c>
      <c r="N5426" s="12" t="s">
        <v>145</v>
      </c>
      <c r="O5426" s="12" t="s">
        <v>146</v>
      </c>
      <c r="P5426" s="12" t="s">
        <v>109</v>
      </c>
      <c r="Q5426" s="13">
        <v>45873</v>
      </c>
      <c r="R5426" s="13">
        <v>45900</v>
      </c>
      <c r="S5426">
        <v>2025</v>
      </c>
      <c r="T5426" s="12" t="s">
        <v>6515</v>
      </c>
      <c r="U5426">
        <v>129</v>
      </c>
      <c r="V5426">
        <v>133.24299999999999</v>
      </c>
      <c r="W5426">
        <v>235.58</v>
      </c>
      <c r="X5426">
        <v>0</v>
      </c>
      <c r="Y5426">
        <v>0</v>
      </c>
      <c r="Z5426">
        <v>17188.349999999999</v>
      </c>
      <c r="AA5426">
        <v>17423.93</v>
      </c>
      <c r="AB5426" s="12" t="s">
        <v>6420</v>
      </c>
      <c r="AC5426">
        <v>133.24299999999999</v>
      </c>
      <c r="AD5426">
        <v>1</v>
      </c>
      <c r="AE5426">
        <v>1</v>
      </c>
      <c r="AF5426">
        <v>0</v>
      </c>
      <c r="AG5426">
        <v>17188.349999999999</v>
      </c>
      <c r="AH5426">
        <v>129</v>
      </c>
      <c r="AI5426">
        <v>129</v>
      </c>
      <c r="AJ5426">
        <v>0</v>
      </c>
      <c r="AK5426">
        <v>1</v>
      </c>
      <c r="AL5426">
        <v>1</v>
      </c>
      <c r="AM5426">
        <v>100</v>
      </c>
      <c r="AN5426">
        <v>135.0692</v>
      </c>
      <c r="AO5426">
        <v>0</v>
      </c>
      <c r="AP5426" s="13">
        <v>45900</v>
      </c>
      <c r="AQ5426">
        <v>0</v>
      </c>
      <c r="AR5426">
        <v>1</v>
      </c>
    </row>
    <row r="5427" spans="1:44" x14ac:dyDescent="0.35">
      <c r="A5427" s="12" t="s">
        <v>6530</v>
      </c>
      <c r="B5427" s="12" t="s">
        <v>657</v>
      </c>
      <c r="C5427" s="12" t="s">
        <v>658</v>
      </c>
      <c r="D5427" s="12" t="s">
        <v>175</v>
      </c>
      <c r="E5427" s="12" t="s">
        <v>65</v>
      </c>
      <c r="F5427">
        <v>1</v>
      </c>
      <c r="G5427">
        <v>2</v>
      </c>
      <c r="H5427">
        <v>1</v>
      </c>
      <c r="I5427" s="12" t="s">
        <v>183</v>
      </c>
      <c r="J5427" s="12" t="s">
        <v>184</v>
      </c>
      <c r="K5427" s="12" t="s">
        <v>133</v>
      </c>
      <c r="L5427" s="12" t="s">
        <v>82</v>
      </c>
      <c r="M5427">
        <v>8.6199999999999992</v>
      </c>
      <c r="N5427" s="12" t="s">
        <v>107</v>
      </c>
      <c r="O5427" s="12" t="s">
        <v>108</v>
      </c>
      <c r="P5427" s="12" t="s">
        <v>109</v>
      </c>
      <c r="Q5427" s="13">
        <v>45873</v>
      </c>
      <c r="R5427" s="13">
        <v>45897</v>
      </c>
      <c r="S5427">
        <v>2025</v>
      </c>
      <c r="T5427" s="12" t="s">
        <v>6515</v>
      </c>
      <c r="U5427">
        <v>40</v>
      </c>
      <c r="V5427">
        <v>135.90450000000001</v>
      </c>
      <c r="W5427">
        <v>107.56</v>
      </c>
      <c r="X5427">
        <v>0</v>
      </c>
      <c r="Y5427">
        <v>0</v>
      </c>
      <c r="Z5427">
        <v>5436.18</v>
      </c>
      <c r="AA5427">
        <v>5543.74</v>
      </c>
      <c r="AB5427" s="12" t="s">
        <v>5771</v>
      </c>
      <c r="AC5427">
        <v>144.5094</v>
      </c>
      <c r="AD5427">
        <v>1</v>
      </c>
      <c r="AE5427">
        <v>1</v>
      </c>
      <c r="AF5427">
        <v>-344.2</v>
      </c>
      <c r="AG5427">
        <v>5780.38</v>
      </c>
      <c r="AH5427">
        <v>40</v>
      </c>
      <c r="AI5427">
        <v>40</v>
      </c>
      <c r="AJ5427">
        <v>0</v>
      </c>
      <c r="AK5427">
        <v>1</v>
      </c>
      <c r="AL5427">
        <v>1</v>
      </c>
      <c r="AM5427">
        <v>100</v>
      </c>
      <c r="AN5427">
        <v>138.59350000000001</v>
      </c>
      <c r="AO5427">
        <v>0</v>
      </c>
      <c r="AP5427" s="13">
        <v>45896</v>
      </c>
      <c r="AQ5427">
        <v>-1</v>
      </c>
      <c r="AR5427">
        <v>1</v>
      </c>
    </row>
    <row r="5428" spans="1:44" x14ac:dyDescent="0.35">
      <c r="A5428" s="12" t="s">
        <v>6531</v>
      </c>
      <c r="B5428" s="12" t="s">
        <v>317</v>
      </c>
      <c r="C5428" s="12" t="s">
        <v>318</v>
      </c>
      <c r="D5428" s="12" t="s">
        <v>64</v>
      </c>
      <c r="E5428" s="12" t="s">
        <v>104</v>
      </c>
      <c r="F5428">
        <v>2</v>
      </c>
      <c r="G5428">
        <v>0</v>
      </c>
      <c r="H5428">
        <v>0</v>
      </c>
      <c r="I5428" s="12" t="s">
        <v>169</v>
      </c>
      <c r="J5428" s="12" t="s">
        <v>170</v>
      </c>
      <c r="K5428" s="12" t="s">
        <v>89</v>
      </c>
      <c r="L5428" s="12" t="s">
        <v>134</v>
      </c>
      <c r="M5428">
        <v>1.37</v>
      </c>
      <c r="N5428" s="12" t="s">
        <v>70</v>
      </c>
      <c r="O5428" s="12" t="s">
        <v>71</v>
      </c>
      <c r="P5428" s="12" t="s">
        <v>72</v>
      </c>
      <c r="Q5428" s="13">
        <v>45874</v>
      </c>
      <c r="R5428" s="13">
        <v>45889</v>
      </c>
      <c r="S5428">
        <v>2025</v>
      </c>
      <c r="T5428" s="12" t="s">
        <v>6515</v>
      </c>
      <c r="U5428">
        <v>287</v>
      </c>
      <c r="V5428">
        <v>15.823399999999999</v>
      </c>
      <c r="W5428">
        <v>63.36</v>
      </c>
      <c r="X5428">
        <v>0</v>
      </c>
      <c r="Y5428">
        <v>0</v>
      </c>
      <c r="Z5428">
        <v>4541.32</v>
      </c>
      <c r="AA5428">
        <v>4604.68</v>
      </c>
      <c r="AB5428" s="12" t="s">
        <v>5518</v>
      </c>
      <c r="AC5428">
        <v>15.823399999999999</v>
      </c>
      <c r="AD5428">
        <v>1</v>
      </c>
      <c r="AE5428">
        <v>1</v>
      </c>
      <c r="AF5428">
        <v>0</v>
      </c>
      <c r="AG5428">
        <v>4541.32</v>
      </c>
      <c r="AH5428">
        <v>287</v>
      </c>
      <c r="AI5428">
        <v>286</v>
      </c>
      <c r="AJ5428">
        <v>1</v>
      </c>
      <c r="AK5428">
        <v>1</v>
      </c>
      <c r="AL5428">
        <v>1</v>
      </c>
      <c r="AM5428">
        <v>99.65</v>
      </c>
      <c r="AN5428">
        <v>16.100300000000001</v>
      </c>
      <c r="AO5428">
        <v>15.82</v>
      </c>
      <c r="AP5428" s="13">
        <v>45886</v>
      </c>
      <c r="AQ5428">
        <v>-3</v>
      </c>
      <c r="AR5428">
        <v>1</v>
      </c>
    </row>
    <row r="5429" spans="1:44" x14ac:dyDescent="0.35">
      <c r="A5429" s="12" t="s">
        <v>6532</v>
      </c>
      <c r="B5429" s="12" t="s">
        <v>404</v>
      </c>
      <c r="C5429" s="12" t="s">
        <v>405</v>
      </c>
      <c r="D5429" s="12" t="s">
        <v>269</v>
      </c>
      <c r="E5429" s="12" t="s">
        <v>65</v>
      </c>
      <c r="F5429">
        <v>3</v>
      </c>
      <c r="G5429">
        <v>5</v>
      </c>
      <c r="H5429">
        <v>0</v>
      </c>
      <c r="I5429" s="12" t="s">
        <v>79</v>
      </c>
      <c r="J5429" s="12" t="s">
        <v>80</v>
      </c>
      <c r="K5429" s="12" t="s">
        <v>81</v>
      </c>
      <c r="L5429" s="12" t="s">
        <v>82</v>
      </c>
      <c r="M5429">
        <v>12.07</v>
      </c>
      <c r="N5429" s="12" t="s">
        <v>135</v>
      </c>
      <c r="O5429" s="12" t="s">
        <v>136</v>
      </c>
      <c r="P5429" s="12" t="s">
        <v>137</v>
      </c>
      <c r="Q5429" s="13">
        <v>45874</v>
      </c>
      <c r="R5429" s="13">
        <v>45897</v>
      </c>
      <c r="S5429">
        <v>2025</v>
      </c>
      <c r="T5429" s="12" t="s">
        <v>6515</v>
      </c>
      <c r="U5429">
        <v>27</v>
      </c>
      <c r="V5429">
        <v>430.10059999999999</v>
      </c>
      <c r="W5429">
        <v>78.599999999999994</v>
      </c>
      <c r="X5429">
        <v>0</v>
      </c>
      <c r="Y5429">
        <v>0</v>
      </c>
      <c r="Z5429">
        <v>11612.72</v>
      </c>
      <c r="AA5429">
        <v>11691.32</v>
      </c>
      <c r="AB5429" s="12" t="s">
        <v>5503</v>
      </c>
      <c r="AC5429">
        <v>430.10059999999999</v>
      </c>
      <c r="AD5429">
        <v>1</v>
      </c>
      <c r="AE5429">
        <v>1</v>
      </c>
      <c r="AF5429">
        <v>0</v>
      </c>
      <c r="AG5429">
        <v>11612.72</v>
      </c>
      <c r="AH5429">
        <v>27</v>
      </c>
      <c r="AI5429">
        <v>27</v>
      </c>
      <c r="AJ5429">
        <v>0</v>
      </c>
      <c r="AK5429">
        <v>1</v>
      </c>
      <c r="AL5429">
        <v>1</v>
      </c>
      <c r="AM5429">
        <v>100</v>
      </c>
      <c r="AN5429">
        <v>433.01170000000002</v>
      </c>
      <c r="AO5429">
        <v>0</v>
      </c>
      <c r="AP5429" s="13">
        <v>45904</v>
      </c>
      <c r="AQ5429">
        <v>7</v>
      </c>
      <c r="AR5429">
        <v>0</v>
      </c>
    </row>
    <row r="5430" spans="1:44" x14ac:dyDescent="0.35">
      <c r="A5430" s="12" t="s">
        <v>6533</v>
      </c>
      <c r="B5430" s="12" t="s">
        <v>416</v>
      </c>
      <c r="C5430" s="12" t="s">
        <v>417</v>
      </c>
      <c r="D5430" s="12" t="s">
        <v>78</v>
      </c>
      <c r="E5430" s="12" t="s">
        <v>65</v>
      </c>
      <c r="F5430">
        <v>3</v>
      </c>
      <c r="G5430">
        <v>5</v>
      </c>
      <c r="H5430">
        <v>0</v>
      </c>
      <c r="I5430" s="12" t="s">
        <v>169</v>
      </c>
      <c r="J5430" s="12" t="s">
        <v>170</v>
      </c>
      <c r="K5430" s="12" t="s">
        <v>89</v>
      </c>
      <c r="L5430" s="12" t="s">
        <v>134</v>
      </c>
      <c r="M5430">
        <v>1.37</v>
      </c>
      <c r="N5430" s="12" t="s">
        <v>70</v>
      </c>
      <c r="O5430" s="12" t="s">
        <v>71</v>
      </c>
      <c r="P5430" s="12" t="s">
        <v>72</v>
      </c>
      <c r="Q5430" s="13">
        <v>45874</v>
      </c>
      <c r="R5430" s="13">
        <v>45901</v>
      </c>
      <c r="S5430">
        <v>2025</v>
      </c>
      <c r="T5430" s="12" t="s">
        <v>6515</v>
      </c>
      <c r="U5430">
        <v>127</v>
      </c>
      <c r="V5430">
        <v>129.0615</v>
      </c>
      <c r="W5430">
        <v>251.39</v>
      </c>
      <c r="X5430">
        <v>559.47</v>
      </c>
      <c r="Y5430">
        <v>1</v>
      </c>
      <c r="Z5430">
        <v>16390.810000000001</v>
      </c>
      <c r="AA5430">
        <v>17201.669999999998</v>
      </c>
      <c r="AB5430" s="12" t="s">
        <v>5522</v>
      </c>
      <c r="AC5430">
        <v>129.0615</v>
      </c>
      <c r="AD5430">
        <v>1</v>
      </c>
      <c r="AE5430">
        <v>1</v>
      </c>
      <c r="AF5430">
        <v>0</v>
      </c>
      <c r="AG5430">
        <v>16390.810000000001</v>
      </c>
      <c r="AH5430">
        <v>127</v>
      </c>
      <c r="AI5430">
        <v>126</v>
      </c>
      <c r="AJ5430">
        <v>1</v>
      </c>
      <c r="AK5430">
        <v>1</v>
      </c>
      <c r="AL5430">
        <v>1</v>
      </c>
      <c r="AM5430">
        <v>99.21</v>
      </c>
      <c r="AN5430">
        <v>136.52119999999999</v>
      </c>
      <c r="AO5430">
        <v>129.06</v>
      </c>
      <c r="AP5430" s="13">
        <v>45902</v>
      </c>
      <c r="AQ5430">
        <v>1</v>
      </c>
      <c r="AR5430">
        <v>0</v>
      </c>
    </row>
    <row r="5431" spans="1:44" x14ac:dyDescent="0.35">
      <c r="A5431" s="12" t="s">
        <v>6534</v>
      </c>
      <c r="B5431" s="12" t="s">
        <v>261</v>
      </c>
      <c r="C5431" s="12" t="s">
        <v>262</v>
      </c>
      <c r="D5431" s="12" t="s">
        <v>114</v>
      </c>
      <c r="E5431" s="12" t="s">
        <v>142</v>
      </c>
      <c r="F5431">
        <v>1</v>
      </c>
      <c r="G5431">
        <v>8</v>
      </c>
      <c r="H5431">
        <v>1</v>
      </c>
      <c r="I5431" s="12" t="s">
        <v>263</v>
      </c>
      <c r="J5431" s="12" t="s">
        <v>264</v>
      </c>
      <c r="K5431" s="12" t="s">
        <v>125</v>
      </c>
      <c r="L5431" s="12" t="s">
        <v>82</v>
      </c>
      <c r="M5431">
        <v>10.210000000000001</v>
      </c>
      <c r="N5431" s="12" t="s">
        <v>70</v>
      </c>
      <c r="O5431" s="12" t="s">
        <v>71</v>
      </c>
      <c r="P5431" s="12" t="s">
        <v>72</v>
      </c>
      <c r="Q5431" s="13">
        <v>45874</v>
      </c>
      <c r="R5431" s="13">
        <v>45910</v>
      </c>
      <c r="S5431">
        <v>2025</v>
      </c>
      <c r="T5431" s="12" t="s">
        <v>6515</v>
      </c>
      <c r="U5431">
        <v>23</v>
      </c>
      <c r="V5431">
        <v>156.89879999999999</v>
      </c>
      <c r="W5431">
        <v>51.46</v>
      </c>
      <c r="X5431">
        <v>109.27</v>
      </c>
      <c r="Y5431">
        <v>1</v>
      </c>
      <c r="Z5431">
        <v>3608.67</v>
      </c>
      <c r="AA5431">
        <v>3769.4</v>
      </c>
      <c r="AB5431" s="12" t="s">
        <v>201</v>
      </c>
      <c r="AD5431">
        <v>0</v>
      </c>
      <c r="AE5431">
        <v>0</v>
      </c>
      <c r="AH5431">
        <v>23</v>
      </c>
      <c r="AI5431">
        <v>23</v>
      </c>
      <c r="AJ5431">
        <v>0</v>
      </c>
      <c r="AK5431">
        <v>1</v>
      </c>
      <c r="AL5431">
        <v>1</v>
      </c>
      <c r="AM5431">
        <v>100</v>
      </c>
      <c r="AN5431">
        <v>163.8871</v>
      </c>
      <c r="AO5431">
        <v>0</v>
      </c>
      <c r="AP5431" s="13">
        <v>45910</v>
      </c>
      <c r="AQ5431">
        <v>0</v>
      </c>
      <c r="AR5431">
        <v>1</v>
      </c>
    </row>
    <row r="5432" spans="1:44" x14ac:dyDescent="0.35">
      <c r="A5432" s="12" t="s">
        <v>6535</v>
      </c>
      <c r="B5432" s="12" t="s">
        <v>408</v>
      </c>
      <c r="C5432" s="12" t="s">
        <v>409</v>
      </c>
      <c r="D5432" s="12" t="s">
        <v>130</v>
      </c>
      <c r="E5432" s="12" t="s">
        <v>65</v>
      </c>
      <c r="F5432">
        <v>3</v>
      </c>
      <c r="G5432">
        <v>5</v>
      </c>
      <c r="H5432">
        <v>0</v>
      </c>
      <c r="I5432" s="12" t="s">
        <v>94</v>
      </c>
      <c r="J5432" s="12" t="s">
        <v>95</v>
      </c>
      <c r="K5432" s="12" t="s">
        <v>81</v>
      </c>
      <c r="L5432" s="12" t="s">
        <v>96</v>
      </c>
      <c r="M5432">
        <v>4.8099999999999996</v>
      </c>
      <c r="N5432" s="12" t="s">
        <v>159</v>
      </c>
      <c r="O5432" s="12" t="s">
        <v>160</v>
      </c>
      <c r="P5432" s="12" t="s">
        <v>137</v>
      </c>
      <c r="Q5432" s="13">
        <v>45874</v>
      </c>
      <c r="R5432" s="13">
        <v>45895</v>
      </c>
      <c r="S5432">
        <v>2025</v>
      </c>
      <c r="T5432" s="12" t="s">
        <v>6515</v>
      </c>
      <c r="U5432">
        <v>10</v>
      </c>
      <c r="V5432">
        <v>838.04949999999997</v>
      </c>
      <c r="W5432">
        <v>152.91999999999999</v>
      </c>
      <c r="X5432">
        <v>0</v>
      </c>
      <c r="Y5432">
        <v>0</v>
      </c>
      <c r="Z5432">
        <v>8380.5</v>
      </c>
      <c r="AA5432">
        <v>8533.42</v>
      </c>
      <c r="AB5432" s="12" t="s">
        <v>201</v>
      </c>
      <c r="AD5432">
        <v>0</v>
      </c>
      <c r="AE5432">
        <v>0</v>
      </c>
      <c r="AH5432">
        <v>10</v>
      </c>
      <c r="AI5432">
        <v>10</v>
      </c>
      <c r="AJ5432">
        <v>0</v>
      </c>
      <c r="AK5432">
        <v>1</v>
      </c>
      <c r="AL5432">
        <v>1</v>
      </c>
      <c r="AM5432">
        <v>100</v>
      </c>
      <c r="AN5432">
        <v>853.3415</v>
      </c>
      <c r="AO5432">
        <v>0</v>
      </c>
      <c r="AP5432" s="13">
        <v>45892</v>
      </c>
      <c r="AQ5432">
        <v>-3</v>
      </c>
      <c r="AR5432">
        <v>1</v>
      </c>
    </row>
    <row r="5433" spans="1:44" x14ac:dyDescent="0.35">
      <c r="A5433" s="12" t="s">
        <v>6536</v>
      </c>
      <c r="B5433" s="12" t="s">
        <v>428</v>
      </c>
      <c r="C5433" s="12" t="s">
        <v>429</v>
      </c>
      <c r="D5433" s="12" t="s">
        <v>64</v>
      </c>
      <c r="E5433" s="12" t="s">
        <v>65</v>
      </c>
      <c r="F5433">
        <v>3</v>
      </c>
      <c r="G5433">
        <v>4</v>
      </c>
      <c r="H5433">
        <v>0</v>
      </c>
      <c r="I5433" s="12" t="s">
        <v>380</v>
      </c>
      <c r="J5433" s="12" t="s">
        <v>381</v>
      </c>
      <c r="K5433" s="12" t="s">
        <v>89</v>
      </c>
      <c r="L5433" s="12" t="s">
        <v>96</v>
      </c>
      <c r="M5433">
        <v>10.210000000000001</v>
      </c>
      <c r="N5433" s="12" t="s">
        <v>70</v>
      </c>
      <c r="O5433" s="12" t="s">
        <v>71</v>
      </c>
      <c r="P5433" s="12" t="s">
        <v>72</v>
      </c>
      <c r="Q5433" s="13">
        <v>45874</v>
      </c>
      <c r="R5433" s="13">
        <v>45908</v>
      </c>
      <c r="S5433">
        <v>2025</v>
      </c>
      <c r="T5433" s="12" t="s">
        <v>6515</v>
      </c>
      <c r="U5433">
        <v>773</v>
      </c>
      <c r="V5433">
        <v>12.879099999999999</v>
      </c>
      <c r="W5433">
        <v>173.88</v>
      </c>
      <c r="X5433">
        <v>0</v>
      </c>
      <c r="Y5433">
        <v>0</v>
      </c>
      <c r="Z5433">
        <v>9955.5400000000009</v>
      </c>
      <c r="AA5433">
        <v>10129.42</v>
      </c>
      <c r="AB5433" s="12" t="s">
        <v>5501</v>
      </c>
      <c r="AC5433">
        <v>12.879099999999999</v>
      </c>
      <c r="AD5433">
        <v>1</v>
      </c>
      <c r="AE5433">
        <v>1</v>
      </c>
      <c r="AF5433">
        <v>0</v>
      </c>
      <c r="AG5433">
        <v>9955.5400000000009</v>
      </c>
      <c r="AH5433">
        <v>773</v>
      </c>
      <c r="AI5433">
        <v>767</v>
      </c>
      <c r="AJ5433">
        <v>6</v>
      </c>
      <c r="AK5433">
        <v>1</v>
      </c>
      <c r="AL5433">
        <v>1</v>
      </c>
      <c r="AM5433">
        <v>99.22</v>
      </c>
      <c r="AN5433">
        <v>13.2066</v>
      </c>
      <c r="AO5433">
        <v>77.27</v>
      </c>
      <c r="AP5433" s="13">
        <v>45908</v>
      </c>
      <c r="AQ5433">
        <v>0</v>
      </c>
      <c r="AR5433">
        <v>1</v>
      </c>
    </row>
    <row r="5434" spans="1:44" x14ac:dyDescent="0.35">
      <c r="A5434" s="12" t="s">
        <v>6537</v>
      </c>
      <c r="B5434" s="12" t="s">
        <v>447</v>
      </c>
      <c r="C5434" s="12" t="s">
        <v>448</v>
      </c>
      <c r="D5434" s="12" t="s">
        <v>269</v>
      </c>
      <c r="E5434" s="12" t="s">
        <v>65</v>
      </c>
      <c r="F5434">
        <v>2</v>
      </c>
      <c r="G5434">
        <v>2</v>
      </c>
      <c r="H5434">
        <v>0</v>
      </c>
      <c r="I5434" s="12" t="s">
        <v>94</v>
      </c>
      <c r="J5434" s="12" t="s">
        <v>95</v>
      </c>
      <c r="K5434" s="12" t="s">
        <v>81</v>
      </c>
      <c r="L5434" s="12" t="s">
        <v>96</v>
      </c>
      <c r="M5434">
        <v>4.8099999999999996</v>
      </c>
      <c r="N5434" s="12" t="s">
        <v>159</v>
      </c>
      <c r="O5434" s="12" t="s">
        <v>160</v>
      </c>
      <c r="P5434" s="12" t="s">
        <v>137</v>
      </c>
      <c r="Q5434" s="13">
        <v>45874</v>
      </c>
      <c r="R5434" s="13">
        <v>45901</v>
      </c>
      <c r="S5434">
        <v>2025</v>
      </c>
      <c r="T5434" s="12" t="s">
        <v>6515</v>
      </c>
      <c r="U5434">
        <v>60</v>
      </c>
      <c r="V5434">
        <v>367.30009999999999</v>
      </c>
      <c r="W5434">
        <v>232.14</v>
      </c>
      <c r="X5434">
        <v>0</v>
      </c>
      <c r="Y5434">
        <v>0</v>
      </c>
      <c r="Z5434">
        <v>22038.01</v>
      </c>
      <c r="AA5434">
        <v>22270.15</v>
      </c>
      <c r="AB5434" s="12" t="s">
        <v>5685</v>
      </c>
      <c r="AC5434">
        <v>367.30009999999999</v>
      </c>
      <c r="AD5434">
        <v>1</v>
      </c>
      <c r="AE5434">
        <v>1</v>
      </c>
      <c r="AF5434">
        <v>0</v>
      </c>
      <c r="AG5434">
        <v>22038.01</v>
      </c>
      <c r="AH5434">
        <v>60</v>
      </c>
      <c r="AI5434">
        <v>59</v>
      </c>
      <c r="AJ5434">
        <v>1</v>
      </c>
      <c r="AK5434">
        <v>1</v>
      </c>
      <c r="AL5434">
        <v>1</v>
      </c>
      <c r="AM5434">
        <v>98.33</v>
      </c>
      <c r="AN5434">
        <v>377.46010000000001</v>
      </c>
      <c r="AO5434">
        <v>367.3</v>
      </c>
      <c r="AP5434" s="13">
        <v>45898</v>
      </c>
      <c r="AQ5434">
        <v>-3</v>
      </c>
      <c r="AR5434">
        <v>1</v>
      </c>
    </row>
    <row r="5435" spans="1:44" x14ac:dyDescent="0.35">
      <c r="A5435" s="12" t="s">
        <v>6538</v>
      </c>
      <c r="B5435" s="12" t="s">
        <v>1108</v>
      </c>
      <c r="C5435" s="12" t="s">
        <v>1109</v>
      </c>
      <c r="D5435" s="12" t="s">
        <v>103</v>
      </c>
      <c r="E5435" s="12" t="s">
        <v>65</v>
      </c>
      <c r="F5435">
        <v>3</v>
      </c>
      <c r="G5435">
        <v>4</v>
      </c>
      <c r="H5435">
        <v>0</v>
      </c>
      <c r="I5435" s="12" t="s">
        <v>79</v>
      </c>
      <c r="J5435" s="12" t="s">
        <v>80</v>
      </c>
      <c r="K5435" s="12" t="s">
        <v>81</v>
      </c>
      <c r="L5435" s="12" t="s">
        <v>82</v>
      </c>
      <c r="M5435">
        <v>12.07</v>
      </c>
      <c r="N5435" s="12" t="s">
        <v>145</v>
      </c>
      <c r="O5435" s="12" t="s">
        <v>146</v>
      </c>
      <c r="P5435" s="12" t="s">
        <v>109</v>
      </c>
      <c r="Q5435" s="13">
        <v>45875</v>
      </c>
      <c r="R5435" s="13">
        <v>45899</v>
      </c>
      <c r="S5435">
        <v>2025</v>
      </c>
      <c r="T5435" s="12" t="s">
        <v>6515</v>
      </c>
      <c r="U5435">
        <v>36</v>
      </c>
      <c r="V5435">
        <v>85.1721</v>
      </c>
      <c r="W5435">
        <v>71.180000000000007</v>
      </c>
      <c r="X5435">
        <v>0</v>
      </c>
      <c r="Y5435">
        <v>0</v>
      </c>
      <c r="Z5435">
        <v>3066.2</v>
      </c>
      <c r="AA5435">
        <v>3137.38</v>
      </c>
      <c r="AB5435" s="12" t="s">
        <v>6252</v>
      </c>
      <c r="AC5435">
        <v>85.1721</v>
      </c>
      <c r="AD5435">
        <v>1</v>
      </c>
      <c r="AE5435">
        <v>1</v>
      </c>
      <c r="AF5435">
        <v>0</v>
      </c>
      <c r="AG5435">
        <v>3066.2</v>
      </c>
      <c r="AH5435">
        <v>36</v>
      </c>
      <c r="AI5435">
        <v>36</v>
      </c>
      <c r="AJ5435">
        <v>0</v>
      </c>
      <c r="AK5435">
        <v>1</v>
      </c>
      <c r="AL5435">
        <v>1</v>
      </c>
      <c r="AM5435">
        <v>100</v>
      </c>
      <c r="AN5435">
        <v>87.149299999999997</v>
      </c>
      <c r="AO5435">
        <v>0</v>
      </c>
      <c r="AP5435" s="13">
        <v>45899</v>
      </c>
      <c r="AQ5435">
        <v>0</v>
      </c>
      <c r="AR5435">
        <v>1</v>
      </c>
    </row>
    <row r="5436" spans="1:44" x14ac:dyDescent="0.35">
      <c r="A5436" s="12" t="s">
        <v>6539</v>
      </c>
      <c r="B5436" s="12" t="s">
        <v>513</v>
      </c>
      <c r="C5436" s="12" t="s">
        <v>514</v>
      </c>
      <c r="D5436" s="12" t="s">
        <v>269</v>
      </c>
      <c r="E5436" s="12" t="s">
        <v>65</v>
      </c>
      <c r="F5436">
        <v>1</v>
      </c>
      <c r="G5436">
        <v>2</v>
      </c>
      <c r="H5436">
        <v>1</v>
      </c>
      <c r="I5436" s="12" t="s">
        <v>515</v>
      </c>
      <c r="J5436" s="12" t="s">
        <v>516</v>
      </c>
      <c r="K5436" s="12" t="s">
        <v>68</v>
      </c>
      <c r="L5436" s="12" t="s">
        <v>134</v>
      </c>
      <c r="M5436">
        <v>3.69</v>
      </c>
      <c r="N5436" s="12" t="s">
        <v>135</v>
      </c>
      <c r="O5436" s="12" t="s">
        <v>136</v>
      </c>
      <c r="P5436" s="12" t="s">
        <v>137</v>
      </c>
      <c r="Q5436" s="13">
        <v>45875</v>
      </c>
      <c r="R5436" s="13">
        <v>45904</v>
      </c>
      <c r="S5436">
        <v>2025</v>
      </c>
      <c r="T5436" s="12" t="s">
        <v>6515</v>
      </c>
      <c r="U5436">
        <v>78</v>
      </c>
      <c r="V5436">
        <v>212.8897</v>
      </c>
      <c r="W5436">
        <v>312.58</v>
      </c>
      <c r="X5436">
        <v>0</v>
      </c>
      <c r="Y5436">
        <v>0</v>
      </c>
      <c r="Z5436">
        <v>16605.400000000001</v>
      </c>
      <c r="AA5436">
        <v>16917.98</v>
      </c>
      <c r="AB5436" s="12" t="s">
        <v>201</v>
      </c>
      <c r="AD5436">
        <v>0</v>
      </c>
      <c r="AE5436">
        <v>0</v>
      </c>
      <c r="AH5436">
        <v>78</v>
      </c>
      <c r="AI5436">
        <v>77</v>
      </c>
      <c r="AJ5436">
        <v>1</v>
      </c>
      <c r="AK5436">
        <v>1</v>
      </c>
      <c r="AL5436">
        <v>1</v>
      </c>
      <c r="AM5436">
        <v>98.72</v>
      </c>
      <c r="AN5436">
        <v>219.714</v>
      </c>
      <c r="AO5436">
        <v>212.89</v>
      </c>
      <c r="AP5436" s="13">
        <v>45901</v>
      </c>
      <c r="AQ5436">
        <v>-3</v>
      </c>
      <c r="AR5436">
        <v>1</v>
      </c>
    </row>
    <row r="5437" spans="1:44" x14ac:dyDescent="0.35">
      <c r="A5437" s="12" t="s">
        <v>6540</v>
      </c>
      <c r="B5437" s="12" t="s">
        <v>990</v>
      </c>
      <c r="C5437" s="12" t="s">
        <v>991</v>
      </c>
      <c r="D5437" s="12" t="s">
        <v>122</v>
      </c>
      <c r="E5437" s="12" t="s">
        <v>142</v>
      </c>
      <c r="F5437">
        <v>1</v>
      </c>
      <c r="G5437">
        <v>6</v>
      </c>
      <c r="H5437">
        <v>1</v>
      </c>
      <c r="I5437" s="12" t="s">
        <v>217</v>
      </c>
      <c r="J5437" s="12" t="s">
        <v>218</v>
      </c>
      <c r="K5437" s="12" t="s">
        <v>68</v>
      </c>
      <c r="L5437" s="12" t="s">
        <v>82</v>
      </c>
      <c r="M5437">
        <v>14.24</v>
      </c>
      <c r="N5437" s="12" t="s">
        <v>97</v>
      </c>
      <c r="O5437" s="12" t="s">
        <v>98</v>
      </c>
      <c r="P5437" s="12" t="s">
        <v>72</v>
      </c>
      <c r="Q5437" s="13">
        <v>45875</v>
      </c>
      <c r="R5437" s="13">
        <v>45917</v>
      </c>
      <c r="S5437">
        <v>2025</v>
      </c>
      <c r="T5437" s="12" t="s">
        <v>6515</v>
      </c>
      <c r="U5437">
        <v>946</v>
      </c>
      <c r="V5437">
        <v>33.5533</v>
      </c>
      <c r="W5437">
        <v>735.52</v>
      </c>
      <c r="X5437">
        <v>0</v>
      </c>
      <c r="Y5437">
        <v>0</v>
      </c>
      <c r="Z5437">
        <v>31741.42</v>
      </c>
      <c r="AA5437">
        <v>32476.94</v>
      </c>
      <c r="AB5437" s="12" t="s">
        <v>5831</v>
      </c>
      <c r="AC5437">
        <v>33.5533</v>
      </c>
      <c r="AD5437">
        <v>1</v>
      </c>
      <c r="AE5437">
        <v>1</v>
      </c>
      <c r="AF5437">
        <v>0</v>
      </c>
      <c r="AG5437">
        <v>31741.42</v>
      </c>
      <c r="AH5437">
        <v>946</v>
      </c>
      <c r="AI5437">
        <v>942</v>
      </c>
      <c r="AJ5437">
        <v>4</v>
      </c>
      <c r="AK5437">
        <v>1</v>
      </c>
      <c r="AL5437">
        <v>1</v>
      </c>
      <c r="AM5437">
        <v>99.58</v>
      </c>
      <c r="AN5437">
        <v>34.476599999999998</v>
      </c>
      <c r="AO5437">
        <v>134.21</v>
      </c>
      <c r="AP5437" s="13">
        <v>45914</v>
      </c>
      <c r="AQ5437">
        <v>-3</v>
      </c>
      <c r="AR5437">
        <v>1</v>
      </c>
    </row>
    <row r="5438" spans="1:44" x14ac:dyDescent="0.35">
      <c r="A5438" s="12" t="s">
        <v>6541</v>
      </c>
      <c r="B5438" s="12" t="s">
        <v>773</v>
      </c>
      <c r="C5438" s="12" t="s">
        <v>774</v>
      </c>
      <c r="D5438" s="12" t="s">
        <v>64</v>
      </c>
      <c r="E5438" s="12" t="s">
        <v>142</v>
      </c>
      <c r="F5438">
        <v>1</v>
      </c>
      <c r="G5438">
        <v>7</v>
      </c>
      <c r="H5438">
        <v>1</v>
      </c>
      <c r="I5438" s="12" t="s">
        <v>251</v>
      </c>
      <c r="J5438" s="12" t="s">
        <v>252</v>
      </c>
      <c r="K5438" s="12" t="s">
        <v>133</v>
      </c>
      <c r="L5438" s="12" t="s">
        <v>69</v>
      </c>
      <c r="M5438">
        <v>34.49</v>
      </c>
      <c r="N5438" s="12" t="s">
        <v>97</v>
      </c>
      <c r="O5438" s="12" t="s">
        <v>98</v>
      </c>
      <c r="P5438" s="12" t="s">
        <v>72</v>
      </c>
      <c r="Q5438" s="13">
        <v>45875</v>
      </c>
      <c r="R5438" s="13">
        <v>45921</v>
      </c>
      <c r="S5438">
        <v>2025</v>
      </c>
      <c r="T5438" s="12" t="s">
        <v>6515</v>
      </c>
      <c r="U5438">
        <v>686</v>
      </c>
      <c r="V5438">
        <v>9.9849999999999994</v>
      </c>
      <c r="W5438">
        <v>124.54</v>
      </c>
      <c r="X5438">
        <v>235.19</v>
      </c>
      <c r="Y5438">
        <v>1</v>
      </c>
      <c r="Z5438">
        <v>6849.71</v>
      </c>
      <c r="AA5438">
        <v>7209.44</v>
      </c>
      <c r="AB5438" s="12" t="s">
        <v>5613</v>
      </c>
      <c r="AC5438">
        <v>9.9849999999999994</v>
      </c>
      <c r="AD5438">
        <v>1</v>
      </c>
      <c r="AE5438">
        <v>1</v>
      </c>
      <c r="AF5438">
        <v>0</v>
      </c>
      <c r="AG5438">
        <v>6849.71</v>
      </c>
      <c r="AH5438">
        <v>686</v>
      </c>
      <c r="AI5438">
        <v>680</v>
      </c>
      <c r="AJ5438">
        <v>6</v>
      </c>
      <c r="AK5438">
        <v>1</v>
      </c>
      <c r="AL5438">
        <v>1</v>
      </c>
      <c r="AM5438">
        <v>99.13</v>
      </c>
      <c r="AN5438">
        <v>10.6021</v>
      </c>
      <c r="AO5438">
        <v>59.91</v>
      </c>
      <c r="AP5438" s="13">
        <v>45918</v>
      </c>
      <c r="AQ5438">
        <v>-3</v>
      </c>
      <c r="AR5438">
        <v>1</v>
      </c>
    </row>
    <row r="5439" spans="1:44" x14ac:dyDescent="0.35">
      <c r="A5439" s="12" t="s">
        <v>6542</v>
      </c>
      <c r="B5439" s="12" t="s">
        <v>357</v>
      </c>
      <c r="C5439" s="12" t="s">
        <v>358</v>
      </c>
      <c r="D5439" s="12" t="s">
        <v>103</v>
      </c>
      <c r="E5439" s="12" t="s">
        <v>104</v>
      </c>
      <c r="F5439">
        <v>3</v>
      </c>
      <c r="G5439">
        <v>1</v>
      </c>
      <c r="H5439">
        <v>0</v>
      </c>
      <c r="I5439" s="12" t="s">
        <v>105</v>
      </c>
      <c r="J5439" s="12" t="s">
        <v>106</v>
      </c>
      <c r="K5439" s="12" t="s">
        <v>81</v>
      </c>
      <c r="L5439" s="12" t="s">
        <v>96</v>
      </c>
      <c r="M5439">
        <v>5.01</v>
      </c>
      <c r="N5439" s="12" t="s">
        <v>107</v>
      </c>
      <c r="O5439" s="12" t="s">
        <v>108</v>
      </c>
      <c r="P5439" s="12" t="s">
        <v>109</v>
      </c>
      <c r="Q5439" s="13">
        <v>45875</v>
      </c>
      <c r="R5439" s="13">
        <v>45889</v>
      </c>
      <c r="S5439">
        <v>2025</v>
      </c>
      <c r="T5439" s="12" t="s">
        <v>6515</v>
      </c>
      <c r="U5439">
        <v>28</v>
      </c>
      <c r="V5439">
        <v>106.63800000000001</v>
      </c>
      <c r="W5439">
        <v>64.709999999999994</v>
      </c>
      <c r="X5439">
        <v>0</v>
      </c>
      <c r="Y5439">
        <v>0</v>
      </c>
      <c r="Z5439">
        <v>2985.86</v>
      </c>
      <c r="AA5439">
        <v>3050.57</v>
      </c>
      <c r="AB5439" s="12" t="s">
        <v>5265</v>
      </c>
      <c r="AC5439">
        <v>106.63800000000001</v>
      </c>
      <c r="AD5439">
        <v>1</v>
      </c>
      <c r="AE5439">
        <v>1</v>
      </c>
      <c r="AF5439">
        <v>0</v>
      </c>
      <c r="AG5439">
        <v>2985.86</v>
      </c>
      <c r="AH5439">
        <v>28</v>
      </c>
      <c r="AI5439">
        <v>28</v>
      </c>
      <c r="AJ5439">
        <v>0</v>
      </c>
      <c r="AK5439">
        <v>1</v>
      </c>
      <c r="AL5439">
        <v>1</v>
      </c>
      <c r="AM5439">
        <v>100</v>
      </c>
      <c r="AN5439">
        <v>108.9491</v>
      </c>
      <c r="AO5439">
        <v>0</v>
      </c>
      <c r="AP5439" s="13">
        <v>45887</v>
      </c>
      <c r="AQ5439">
        <v>-2</v>
      </c>
      <c r="AR5439">
        <v>1</v>
      </c>
    </row>
    <row r="5440" spans="1:44" x14ac:dyDescent="0.35">
      <c r="A5440" s="12" t="s">
        <v>6543</v>
      </c>
      <c r="B5440" s="12" t="s">
        <v>362</v>
      </c>
      <c r="C5440" s="12" t="s">
        <v>363</v>
      </c>
      <c r="D5440" s="12" t="s">
        <v>78</v>
      </c>
      <c r="E5440" s="12" t="s">
        <v>104</v>
      </c>
      <c r="F5440">
        <v>3</v>
      </c>
      <c r="G5440">
        <v>0</v>
      </c>
      <c r="H5440">
        <v>0</v>
      </c>
      <c r="I5440" s="12" t="s">
        <v>157</v>
      </c>
      <c r="J5440" s="12" t="s">
        <v>158</v>
      </c>
      <c r="K5440" s="12" t="s">
        <v>117</v>
      </c>
      <c r="L5440" s="12" t="s">
        <v>96</v>
      </c>
      <c r="M5440">
        <v>4.72</v>
      </c>
      <c r="N5440" s="12" t="s">
        <v>70</v>
      </c>
      <c r="O5440" s="12" t="s">
        <v>71</v>
      </c>
      <c r="P5440" s="12" t="s">
        <v>72</v>
      </c>
      <c r="Q5440" s="13">
        <v>45875</v>
      </c>
      <c r="R5440" s="13">
        <v>45893</v>
      </c>
      <c r="S5440">
        <v>2025</v>
      </c>
      <c r="T5440" s="12" t="s">
        <v>6515</v>
      </c>
      <c r="U5440">
        <v>140</v>
      </c>
      <c r="V5440">
        <v>61.267099999999999</v>
      </c>
      <c r="W5440">
        <v>95.7</v>
      </c>
      <c r="X5440">
        <v>0</v>
      </c>
      <c r="Y5440">
        <v>0</v>
      </c>
      <c r="Z5440">
        <v>8577.39</v>
      </c>
      <c r="AA5440">
        <v>8673.09</v>
      </c>
      <c r="AB5440" s="12" t="s">
        <v>201</v>
      </c>
      <c r="AD5440">
        <v>0</v>
      </c>
      <c r="AE5440">
        <v>0</v>
      </c>
      <c r="AH5440">
        <v>140</v>
      </c>
      <c r="AI5440">
        <v>138</v>
      </c>
      <c r="AJ5440">
        <v>2</v>
      </c>
      <c r="AK5440">
        <v>1</v>
      </c>
      <c r="AL5440">
        <v>1</v>
      </c>
      <c r="AM5440">
        <v>98.57</v>
      </c>
      <c r="AN5440">
        <v>62.848500000000001</v>
      </c>
      <c r="AO5440">
        <v>122.53</v>
      </c>
      <c r="AP5440" s="13">
        <v>45896</v>
      </c>
      <c r="AQ5440">
        <v>3</v>
      </c>
      <c r="AR5440">
        <v>0</v>
      </c>
    </row>
    <row r="5441" spans="1:44" x14ac:dyDescent="0.35">
      <c r="A5441" s="12" t="s">
        <v>6544</v>
      </c>
      <c r="B5441" s="12" t="s">
        <v>1026</v>
      </c>
      <c r="C5441" s="12" t="s">
        <v>1027</v>
      </c>
      <c r="D5441" s="12" t="s">
        <v>122</v>
      </c>
      <c r="E5441" s="12" t="s">
        <v>104</v>
      </c>
      <c r="F5441">
        <v>3</v>
      </c>
      <c r="G5441">
        <v>1</v>
      </c>
      <c r="H5441">
        <v>0</v>
      </c>
      <c r="I5441" s="12" t="s">
        <v>183</v>
      </c>
      <c r="J5441" s="12" t="s">
        <v>184</v>
      </c>
      <c r="K5441" s="12" t="s">
        <v>133</v>
      </c>
      <c r="L5441" s="12" t="s">
        <v>82</v>
      </c>
      <c r="M5441">
        <v>8.6199999999999992</v>
      </c>
      <c r="N5441" s="12" t="s">
        <v>97</v>
      </c>
      <c r="O5441" s="12" t="s">
        <v>98</v>
      </c>
      <c r="P5441" s="12" t="s">
        <v>72</v>
      </c>
      <c r="Q5441" s="13">
        <v>45875</v>
      </c>
      <c r="R5441" s="13">
        <v>45892</v>
      </c>
      <c r="S5441">
        <v>2025</v>
      </c>
      <c r="T5441" s="12" t="s">
        <v>6515</v>
      </c>
      <c r="U5441">
        <v>748</v>
      </c>
      <c r="V5441">
        <v>44.224800000000002</v>
      </c>
      <c r="W5441">
        <v>520.01</v>
      </c>
      <c r="X5441">
        <v>0</v>
      </c>
      <c r="Y5441">
        <v>0</v>
      </c>
      <c r="Z5441">
        <v>33080.15</v>
      </c>
      <c r="AA5441">
        <v>33600.160000000003</v>
      </c>
      <c r="AB5441" s="12" t="s">
        <v>201</v>
      </c>
      <c r="AD5441">
        <v>0</v>
      </c>
      <c r="AE5441">
        <v>0</v>
      </c>
      <c r="AH5441">
        <v>748</v>
      </c>
      <c r="AI5441">
        <v>740</v>
      </c>
      <c r="AJ5441">
        <v>8</v>
      </c>
      <c r="AK5441">
        <v>1</v>
      </c>
      <c r="AL5441">
        <v>1</v>
      </c>
      <c r="AM5441">
        <v>98.93</v>
      </c>
      <c r="AN5441">
        <v>45.4056</v>
      </c>
      <c r="AO5441">
        <v>353.8</v>
      </c>
      <c r="AP5441" s="13">
        <v>45894</v>
      </c>
      <c r="AQ5441">
        <v>2</v>
      </c>
      <c r="AR5441">
        <v>0</v>
      </c>
    </row>
    <row r="5442" spans="1:44" x14ac:dyDescent="0.35">
      <c r="A5442" s="12" t="s">
        <v>6545</v>
      </c>
      <c r="B5442" s="12" t="s">
        <v>680</v>
      </c>
      <c r="C5442" s="12" t="s">
        <v>681</v>
      </c>
      <c r="D5442" s="12" t="s">
        <v>122</v>
      </c>
      <c r="E5442" s="12" t="s">
        <v>104</v>
      </c>
      <c r="F5442">
        <v>3</v>
      </c>
      <c r="G5442">
        <v>1</v>
      </c>
      <c r="H5442">
        <v>0</v>
      </c>
      <c r="I5442" s="12" t="s">
        <v>227</v>
      </c>
      <c r="J5442" s="12" t="s">
        <v>228</v>
      </c>
      <c r="K5442" s="12" t="s">
        <v>89</v>
      </c>
      <c r="L5442" s="12" t="s">
        <v>96</v>
      </c>
      <c r="M5442">
        <v>9.15</v>
      </c>
      <c r="N5442" s="12" t="s">
        <v>97</v>
      </c>
      <c r="O5442" s="12" t="s">
        <v>98</v>
      </c>
      <c r="P5442" s="12" t="s">
        <v>72</v>
      </c>
      <c r="Q5442" s="13">
        <v>45876</v>
      </c>
      <c r="R5442" s="13">
        <v>45891</v>
      </c>
      <c r="S5442">
        <v>2025</v>
      </c>
      <c r="T5442" s="12" t="s">
        <v>6515</v>
      </c>
      <c r="U5442">
        <v>547</v>
      </c>
      <c r="V5442">
        <v>22.416699999999999</v>
      </c>
      <c r="W5442">
        <v>152.57</v>
      </c>
      <c r="X5442">
        <v>0</v>
      </c>
      <c r="Y5442">
        <v>0</v>
      </c>
      <c r="Z5442">
        <v>12261.93</v>
      </c>
      <c r="AA5442">
        <v>12414.5</v>
      </c>
      <c r="AB5442" s="12" t="s">
        <v>201</v>
      </c>
      <c r="AD5442">
        <v>0</v>
      </c>
      <c r="AE5442">
        <v>0</v>
      </c>
      <c r="AH5442">
        <v>547</v>
      </c>
      <c r="AI5442">
        <v>546</v>
      </c>
      <c r="AJ5442">
        <v>1</v>
      </c>
      <c r="AK5442">
        <v>1</v>
      </c>
      <c r="AL5442">
        <v>1</v>
      </c>
      <c r="AM5442">
        <v>99.82</v>
      </c>
      <c r="AN5442">
        <v>22.737200000000001</v>
      </c>
      <c r="AO5442">
        <v>22.42</v>
      </c>
      <c r="AP5442" s="13">
        <v>45891</v>
      </c>
      <c r="AQ5442">
        <v>0</v>
      </c>
      <c r="AR5442">
        <v>1</v>
      </c>
    </row>
    <row r="5443" spans="1:44" x14ac:dyDescent="0.35">
      <c r="A5443" s="12" t="s">
        <v>6546</v>
      </c>
      <c r="B5443" s="12" t="s">
        <v>327</v>
      </c>
      <c r="C5443" s="12" t="s">
        <v>328</v>
      </c>
      <c r="D5443" s="12" t="s">
        <v>130</v>
      </c>
      <c r="E5443" s="12" t="s">
        <v>104</v>
      </c>
      <c r="F5443">
        <v>2</v>
      </c>
      <c r="G5443">
        <v>0</v>
      </c>
      <c r="H5443">
        <v>0</v>
      </c>
      <c r="I5443" s="12" t="s">
        <v>94</v>
      </c>
      <c r="J5443" s="12" t="s">
        <v>95</v>
      </c>
      <c r="K5443" s="12" t="s">
        <v>81</v>
      </c>
      <c r="L5443" s="12" t="s">
        <v>96</v>
      </c>
      <c r="M5443">
        <v>4.8099999999999996</v>
      </c>
      <c r="N5443" s="12" t="s">
        <v>135</v>
      </c>
      <c r="O5443" s="12" t="s">
        <v>136</v>
      </c>
      <c r="P5443" s="12" t="s">
        <v>137</v>
      </c>
      <c r="Q5443" s="13">
        <v>45876</v>
      </c>
      <c r="R5443" s="13">
        <v>45900</v>
      </c>
      <c r="S5443">
        <v>2025</v>
      </c>
      <c r="T5443" s="12" t="s">
        <v>6515</v>
      </c>
      <c r="U5443">
        <v>110</v>
      </c>
      <c r="V5443">
        <v>637.04729999999995</v>
      </c>
      <c r="W5443">
        <v>1491.09</v>
      </c>
      <c r="X5443">
        <v>0</v>
      </c>
      <c r="Y5443">
        <v>0</v>
      </c>
      <c r="Z5443">
        <v>70075.199999999997</v>
      </c>
      <c r="AA5443">
        <v>71566.289999999994</v>
      </c>
      <c r="AB5443" s="12" t="s">
        <v>5449</v>
      </c>
      <c r="AC5443">
        <v>637.04729999999995</v>
      </c>
      <c r="AD5443">
        <v>1</v>
      </c>
      <c r="AE5443">
        <v>1</v>
      </c>
      <c r="AF5443">
        <v>0</v>
      </c>
      <c r="AG5443">
        <v>70075.199999999997</v>
      </c>
      <c r="AH5443">
        <v>110</v>
      </c>
      <c r="AI5443">
        <v>109</v>
      </c>
      <c r="AJ5443">
        <v>1</v>
      </c>
      <c r="AK5443">
        <v>1</v>
      </c>
      <c r="AL5443">
        <v>1</v>
      </c>
      <c r="AM5443">
        <v>99.09</v>
      </c>
      <c r="AN5443">
        <v>656.57150000000001</v>
      </c>
      <c r="AO5443">
        <v>637.04999999999995</v>
      </c>
      <c r="AP5443" s="13">
        <v>45899</v>
      </c>
      <c r="AQ5443">
        <v>-1</v>
      </c>
      <c r="AR5443">
        <v>1</v>
      </c>
    </row>
    <row r="5444" spans="1:44" x14ac:dyDescent="0.35">
      <c r="A5444" s="12" t="s">
        <v>6547</v>
      </c>
      <c r="B5444" s="12" t="s">
        <v>167</v>
      </c>
      <c r="C5444" s="12" t="s">
        <v>168</v>
      </c>
      <c r="D5444" s="12" t="s">
        <v>64</v>
      </c>
      <c r="E5444" s="12" t="s">
        <v>104</v>
      </c>
      <c r="F5444">
        <v>3</v>
      </c>
      <c r="G5444">
        <v>1</v>
      </c>
      <c r="H5444">
        <v>0</v>
      </c>
      <c r="I5444" s="12" t="s">
        <v>169</v>
      </c>
      <c r="J5444" s="12" t="s">
        <v>170</v>
      </c>
      <c r="K5444" s="12" t="s">
        <v>89</v>
      </c>
      <c r="L5444" s="12" t="s">
        <v>134</v>
      </c>
      <c r="M5444">
        <v>1.37</v>
      </c>
      <c r="N5444" s="12" t="s">
        <v>70</v>
      </c>
      <c r="O5444" s="12" t="s">
        <v>71</v>
      </c>
      <c r="P5444" s="12" t="s">
        <v>72</v>
      </c>
      <c r="Q5444" s="13">
        <v>45876</v>
      </c>
      <c r="R5444" s="13">
        <v>45896</v>
      </c>
      <c r="S5444">
        <v>2025</v>
      </c>
      <c r="T5444" s="12" t="s">
        <v>6515</v>
      </c>
      <c r="U5444">
        <v>539</v>
      </c>
      <c r="V5444">
        <v>23.136700000000001</v>
      </c>
      <c r="W5444">
        <v>221.71</v>
      </c>
      <c r="X5444">
        <v>0</v>
      </c>
      <c r="Y5444">
        <v>0</v>
      </c>
      <c r="Z5444">
        <v>12470.68</v>
      </c>
      <c r="AA5444">
        <v>12692.39</v>
      </c>
      <c r="AB5444" s="12" t="s">
        <v>5232</v>
      </c>
      <c r="AC5444">
        <v>24.557099999999998</v>
      </c>
      <c r="AD5444">
        <v>1</v>
      </c>
      <c r="AE5444">
        <v>1</v>
      </c>
      <c r="AF5444">
        <v>-765.6</v>
      </c>
      <c r="AG5444">
        <v>13236.28</v>
      </c>
      <c r="AH5444">
        <v>539</v>
      </c>
      <c r="AI5444">
        <v>536</v>
      </c>
      <c r="AJ5444">
        <v>3</v>
      </c>
      <c r="AK5444">
        <v>1</v>
      </c>
      <c r="AL5444">
        <v>1</v>
      </c>
      <c r="AM5444">
        <v>99.44</v>
      </c>
      <c r="AN5444">
        <v>23.6798</v>
      </c>
      <c r="AO5444">
        <v>69.41</v>
      </c>
      <c r="AP5444" s="13">
        <v>45894</v>
      </c>
      <c r="AQ5444">
        <v>-2</v>
      </c>
      <c r="AR5444">
        <v>1</v>
      </c>
    </row>
    <row r="5445" spans="1:44" x14ac:dyDescent="0.35">
      <c r="A5445" s="12" t="s">
        <v>6548</v>
      </c>
      <c r="B5445" s="12" t="s">
        <v>273</v>
      </c>
      <c r="C5445" s="12" t="s">
        <v>274</v>
      </c>
      <c r="D5445" s="12" t="s">
        <v>175</v>
      </c>
      <c r="E5445" s="12" t="s">
        <v>104</v>
      </c>
      <c r="F5445">
        <v>3</v>
      </c>
      <c r="G5445">
        <v>1</v>
      </c>
      <c r="H5445">
        <v>0</v>
      </c>
      <c r="I5445" s="12" t="s">
        <v>275</v>
      </c>
      <c r="J5445" s="12" t="s">
        <v>276</v>
      </c>
      <c r="K5445" s="12" t="s">
        <v>89</v>
      </c>
      <c r="L5445" s="12" t="s">
        <v>82</v>
      </c>
      <c r="M5445">
        <v>14.26</v>
      </c>
      <c r="N5445" s="12" t="s">
        <v>107</v>
      </c>
      <c r="O5445" s="12" t="s">
        <v>108</v>
      </c>
      <c r="P5445" s="12" t="s">
        <v>109</v>
      </c>
      <c r="Q5445" s="13">
        <v>45876</v>
      </c>
      <c r="R5445" s="13">
        <v>45888</v>
      </c>
      <c r="S5445">
        <v>2025</v>
      </c>
      <c r="T5445" s="12" t="s">
        <v>6515</v>
      </c>
      <c r="U5445">
        <v>12</v>
      </c>
      <c r="V5445">
        <v>108.56229999999999</v>
      </c>
      <c r="W5445">
        <v>20.420000000000002</v>
      </c>
      <c r="X5445">
        <v>45.53</v>
      </c>
      <c r="Y5445">
        <v>1</v>
      </c>
      <c r="Z5445">
        <v>1302.75</v>
      </c>
      <c r="AA5445">
        <v>1368.7</v>
      </c>
      <c r="AB5445" s="12" t="s">
        <v>5782</v>
      </c>
      <c r="AC5445">
        <v>108.56229999999999</v>
      </c>
      <c r="AD5445">
        <v>1</v>
      </c>
      <c r="AE5445">
        <v>1</v>
      </c>
      <c r="AF5445">
        <v>0</v>
      </c>
      <c r="AG5445">
        <v>1302.75</v>
      </c>
      <c r="AH5445">
        <v>12</v>
      </c>
      <c r="AI5445">
        <v>12</v>
      </c>
      <c r="AJ5445">
        <v>0</v>
      </c>
      <c r="AK5445">
        <v>1</v>
      </c>
      <c r="AL5445">
        <v>1</v>
      </c>
      <c r="AM5445">
        <v>100</v>
      </c>
      <c r="AN5445">
        <v>114.0581</v>
      </c>
      <c r="AO5445">
        <v>0</v>
      </c>
      <c r="AP5445" s="13">
        <v>45888</v>
      </c>
      <c r="AQ5445">
        <v>0</v>
      </c>
      <c r="AR5445">
        <v>1</v>
      </c>
    </row>
    <row r="5446" spans="1:44" x14ac:dyDescent="0.35">
      <c r="A5446" s="12" t="s">
        <v>6549</v>
      </c>
      <c r="B5446" s="12" t="s">
        <v>255</v>
      </c>
      <c r="C5446" s="12" t="s">
        <v>256</v>
      </c>
      <c r="D5446" s="12" t="s">
        <v>103</v>
      </c>
      <c r="E5446" s="12" t="s">
        <v>65</v>
      </c>
      <c r="F5446">
        <v>2</v>
      </c>
      <c r="G5446">
        <v>4</v>
      </c>
      <c r="H5446">
        <v>0</v>
      </c>
      <c r="I5446" s="12" t="s">
        <v>143</v>
      </c>
      <c r="J5446" s="12" t="s">
        <v>144</v>
      </c>
      <c r="K5446" s="12" t="s">
        <v>133</v>
      </c>
      <c r="L5446" s="12" t="s">
        <v>96</v>
      </c>
      <c r="M5446">
        <v>5.43</v>
      </c>
      <c r="N5446" s="12" t="s">
        <v>145</v>
      </c>
      <c r="O5446" s="12" t="s">
        <v>146</v>
      </c>
      <c r="P5446" s="12" t="s">
        <v>109</v>
      </c>
      <c r="Q5446" s="13">
        <v>45876</v>
      </c>
      <c r="R5446" s="13">
        <v>45902</v>
      </c>
      <c r="S5446">
        <v>2025</v>
      </c>
      <c r="T5446" s="12" t="s">
        <v>6515</v>
      </c>
      <c r="U5446">
        <v>49</v>
      </c>
      <c r="V5446">
        <v>89.580600000000004</v>
      </c>
      <c r="W5446">
        <v>27.4</v>
      </c>
      <c r="X5446">
        <v>0</v>
      </c>
      <c r="Y5446">
        <v>0</v>
      </c>
      <c r="Z5446">
        <v>4389.45</v>
      </c>
      <c r="AA5446">
        <v>4416.8500000000004</v>
      </c>
      <c r="AB5446" s="12" t="s">
        <v>5188</v>
      </c>
      <c r="AC5446">
        <v>95.061000000000007</v>
      </c>
      <c r="AD5446">
        <v>1</v>
      </c>
      <c r="AE5446">
        <v>1</v>
      </c>
      <c r="AF5446">
        <v>-268.54000000000002</v>
      </c>
      <c r="AG5446">
        <v>4657.99</v>
      </c>
      <c r="AH5446">
        <v>49</v>
      </c>
      <c r="AI5446">
        <v>48</v>
      </c>
      <c r="AJ5446">
        <v>1</v>
      </c>
      <c r="AK5446">
        <v>1</v>
      </c>
      <c r="AL5446">
        <v>1</v>
      </c>
      <c r="AM5446">
        <v>97.96</v>
      </c>
      <c r="AN5446">
        <v>92.017700000000005</v>
      </c>
      <c r="AO5446">
        <v>89.58</v>
      </c>
      <c r="AP5446" s="13">
        <v>45899</v>
      </c>
      <c r="AQ5446">
        <v>-3</v>
      </c>
      <c r="AR5446">
        <v>1</v>
      </c>
    </row>
    <row r="5447" spans="1:44" x14ac:dyDescent="0.35">
      <c r="A5447" s="12" t="s">
        <v>6550</v>
      </c>
      <c r="B5447" s="12" t="s">
        <v>1026</v>
      </c>
      <c r="C5447" s="12" t="s">
        <v>1027</v>
      </c>
      <c r="D5447" s="12" t="s">
        <v>122</v>
      </c>
      <c r="E5447" s="12" t="s">
        <v>104</v>
      </c>
      <c r="F5447">
        <v>3</v>
      </c>
      <c r="G5447">
        <v>1</v>
      </c>
      <c r="H5447">
        <v>0</v>
      </c>
      <c r="I5447" s="12" t="s">
        <v>183</v>
      </c>
      <c r="J5447" s="12" t="s">
        <v>184</v>
      </c>
      <c r="K5447" s="12" t="s">
        <v>133</v>
      </c>
      <c r="L5447" s="12" t="s">
        <v>82</v>
      </c>
      <c r="M5447">
        <v>8.6199999999999992</v>
      </c>
      <c r="N5447" s="12" t="s">
        <v>97</v>
      </c>
      <c r="O5447" s="12" t="s">
        <v>98</v>
      </c>
      <c r="P5447" s="12" t="s">
        <v>72</v>
      </c>
      <c r="Q5447" s="13">
        <v>45876</v>
      </c>
      <c r="R5447" s="13">
        <v>45891</v>
      </c>
      <c r="S5447">
        <v>2025</v>
      </c>
      <c r="T5447" s="12" t="s">
        <v>6515</v>
      </c>
      <c r="U5447">
        <v>594</v>
      </c>
      <c r="V5447">
        <v>40.642400000000002</v>
      </c>
      <c r="W5447">
        <v>427.95</v>
      </c>
      <c r="X5447">
        <v>0</v>
      </c>
      <c r="Y5447">
        <v>0</v>
      </c>
      <c r="Z5447">
        <v>24141.59</v>
      </c>
      <c r="AA5447">
        <v>24569.54</v>
      </c>
      <c r="AB5447" s="12" t="s">
        <v>201</v>
      </c>
      <c r="AD5447">
        <v>0</v>
      </c>
      <c r="AE5447">
        <v>0</v>
      </c>
      <c r="AH5447">
        <v>594</v>
      </c>
      <c r="AI5447">
        <v>591</v>
      </c>
      <c r="AJ5447">
        <v>3</v>
      </c>
      <c r="AK5447">
        <v>1</v>
      </c>
      <c r="AL5447">
        <v>1</v>
      </c>
      <c r="AM5447">
        <v>99.49</v>
      </c>
      <c r="AN5447">
        <v>41.572800000000001</v>
      </c>
      <c r="AO5447">
        <v>121.93</v>
      </c>
      <c r="AP5447" s="13">
        <v>45890</v>
      </c>
      <c r="AQ5447">
        <v>-1</v>
      </c>
      <c r="AR5447">
        <v>1</v>
      </c>
    </row>
    <row r="5448" spans="1:44" x14ac:dyDescent="0.35">
      <c r="A5448" s="12" t="s">
        <v>6551</v>
      </c>
      <c r="B5448" s="12" t="s">
        <v>140</v>
      </c>
      <c r="C5448" s="12" t="s">
        <v>141</v>
      </c>
      <c r="D5448" s="12" t="s">
        <v>103</v>
      </c>
      <c r="E5448" s="12" t="s">
        <v>142</v>
      </c>
      <c r="F5448">
        <v>1</v>
      </c>
      <c r="G5448">
        <v>7</v>
      </c>
      <c r="H5448">
        <v>1</v>
      </c>
      <c r="I5448" s="12" t="s">
        <v>143</v>
      </c>
      <c r="J5448" s="12" t="s">
        <v>144</v>
      </c>
      <c r="K5448" s="12" t="s">
        <v>133</v>
      </c>
      <c r="L5448" s="12" t="s">
        <v>96</v>
      </c>
      <c r="M5448">
        <v>5.43</v>
      </c>
      <c r="N5448" s="12" t="s">
        <v>107</v>
      </c>
      <c r="O5448" s="12" t="s">
        <v>108</v>
      </c>
      <c r="P5448" s="12" t="s">
        <v>109</v>
      </c>
      <c r="Q5448" s="13">
        <v>45876</v>
      </c>
      <c r="R5448" s="13">
        <v>45924</v>
      </c>
      <c r="S5448">
        <v>2025</v>
      </c>
      <c r="T5448" s="12" t="s">
        <v>6515</v>
      </c>
      <c r="U5448">
        <v>118</v>
      </c>
      <c r="V5448">
        <v>210.93029999999999</v>
      </c>
      <c r="W5448">
        <v>588.67999999999995</v>
      </c>
      <c r="X5448">
        <v>826</v>
      </c>
      <c r="Y5448">
        <v>1</v>
      </c>
      <c r="Z5448">
        <v>24889.78</v>
      </c>
      <c r="AA5448">
        <v>26304.46</v>
      </c>
      <c r="AB5448" s="12" t="s">
        <v>5126</v>
      </c>
      <c r="AC5448">
        <v>210.93029999999999</v>
      </c>
      <c r="AD5448">
        <v>1</v>
      </c>
      <c r="AE5448">
        <v>1</v>
      </c>
      <c r="AF5448">
        <v>0</v>
      </c>
      <c r="AG5448">
        <v>24889.78</v>
      </c>
      <c r="AH5448">
        <v>118</v>
      </c>
      <c r="AI5448">
        <v>117</v>
      </c>
      <c r="AJ5448">
        <v>1</v>
      </c>
      <c r="AK5448">
        <v>1</v>
      </c>
      <c r="AL5448">
        <v>1</v>
      </c>
      <c r="AM5448">
        <v>99.15</v>
      </c>
      <c r="AN5448">
        <v>224.8244</v>
      </c>
      <c r="AO5448">
        <v>210.93</v>
      </c>
      <c r="AP5448" s="13">
        <v>45921</v>
      </c>
      <c r="AQ5448">
        <v>-3</v>
      </c>
      <c r="AR5448">
        <v>1</v>
      </c>
    </row>
    <row r="5449" spans="1:44" x14ac:dyDescent="0.35">
      <c r="A5449" s="12" t="s">
        <v>6552</v>
      </c>
      <c r="B5449" s="12" t="s">
        <v>85</v>
      </c>
      <c r="C5449" s="12" t="s">
        <v>86</v>
      </c>
      <c r="D5449" s="12" t="s">
        <v>78</v>
      </c>
      <c r="E5449" s="12" t="s">
        <v>65</v>
      </c>
      <c r="F5449">
        <v>3</v>
      </c>
      <c r="G5449">
        <v>5</v>
      </c>
      <c r="H5449">
        <v>0</v>
      </c>
      <c r="I5449" s="12" t="s">
        <v>115</v>
      </c>
      <c r="J5449" s="12" t="s">
        <v>116</v>
      </c>
      <c r="K5449" s="12" t="s">
        <v>117</v>
      </c>
      <c r="L5449" s="12" t="s">
        <v>82</v>
      </c>
      <c r="M5449">
        <v>17.170000000000002</v>
      </c>
      <c r="N5449" s="12" t="s">
        <v>97</v>
      </c>
      <c r="O5449" s="12" t="s">
        <v>98</v>
      </c>
      <c r="P5449" s="12" t="s">
        <v>72</v>
      </c>
      <c r="Q5449" s="13">
        <v>45876</v>
      </c>
      <c r="R5449" s="13">
        <v>45898</v>
      </c>
      <c r="S5449">
        <v>2025</v>
      </c>
      <c r="T5449" s="12" t="s">
        <v>6515</v>
      </c>
      <c r="U5449">
        <v>63</v>
      </c>
      <c r="V5449">
        <v>150.1268</v>
      </c>
      <c r="W5449">
        <v>216.15</v>
      </c>
      <c r="X5449">
        <v>0</v>
      </c>
      <c r="Y5449">
        <v>0</v>
      </c>
      <c r="Z5449">
        <v>9457.99</v>
      </c>
      <c r="AA5449">
        <v>9674.14</v>
      </c>
      <c r="AB5449" s="12" t="s">
        <v>201</v>
      </c>
      <c r="AD5449">
        <v>0</v>
      </c>
      <c r="AE5449">
        <v>0</v>
      </c>
      <c r="AH5449">
        <v>63</v>
      </c>
      <c r="AI5449">
        <v>62</v>
      </c>
      <c r="AJ5449">
        <v>1</v>
      </c>
      <c r="AK5449">
        <v>1</v>
      </c>
      <c r="AL5449">
        <v>1</v>
      </c>
      <c r="AM5449">
        <v>98.41</v>
      </c>
      <c r="AN5449">
        <v>156.03450000000001</v>
      </c>
      <c r="AO5449">
        <v>150.13</v>
      </c>
      <c r="AP5449" s="13">
        <v>45898</v>
      </c>
      <c r="AQ5449">
        <v>0</v>
      </c>
      <c r="AR5449">
        <v>1</v>
      </c>
    </row>
    <row r="5450" spans="1:44" x14ac:dyDescent="0.35">
      <c r="A5450" s="12" t="s">
        <v>6553</v>
      </c>
      <c r="B5450" s="12" t="s">
        <v>323</v>
      </c>
      <c r="C5450" s="12" t="s">
        <v>324</v>
      </c>
      <c r="D5450" s="12" t="s">
        <v>64</v>
      </c>
      <c r="E5450" s="12" t="s">
        <v>142</v>
      </c>
      <c r="F5450">
        <v>1</v>
      </c>
      <c r="G5450">
        <v>7</v>
      </c>
      <c r="H5450">
        <v>1</v>
      </c>
      <c r="I5450" s="12" t="s">
        <v>143</v>
      </c>
      <c r="J5450" s="12" t="s">
        <v>144</v>
      </c>
      <c r="K5450" s="12" t="s">
        <v>133</v>
      </c>
      <c r="L5450" s="12" t="s">
        <v>96</v>
      </c>
      <c r="M5450">
        <v>5.43</v>
      </c>
      <c r="N5450" s="12" t="s">
        <v>70</v>
      </c>
      <c r="O5450" s="12" t="s">
        <v>71</v>
      </c>
      <c r="P5450" s="12" t="s">
        <v>72</v>
      </c>
      <c r="Q5450" s="13">
        <v>45876</v>
      </c>
      <c r="R5450" s="13">
        <v>45917</v>
      </c>
      <c r="S5450">
        <v>2025</v>
      </c>
      <c r="T5450" s="12" t="s">
        <v>6515</v>
      </c>
      <c r="U5450">
        <v>425</v>
      </c>
      <c r="V5450">
        <v>39.226399999999998</v>
      </c>
      <c r="W5450">
        <v>123.51</v>
      </c>
      <c r="X5450">
        <v>0</v>
      </c>
      <c r="Y5450">
        <v>0</v>
      </c>
      <c r="Z5450">
        <v>16671.22</v>
      </c>
      <c r="AA5450">
        <v>16794.73</v>
      </c>
      <c r="AB5450" s="12" t="s">
        <v>5324</v>
      </c>
      <c r="AC5450">
        <v>39.226399999999998</v>
      </c>
      <c r="AD5450">
        <v>1</v>
      </c>
      <c r="AE5450">
        <v>1</v>
      </c>
      <c r="AF5450">
        <v>0</v>
      </c>
      <c r="AG5450">
        <v>16671.22</v>
      </c>
      <c r="AH5450">
        <v>425</v>
      </c>
      <c r="AI5450">
        <v>419</v>
      </c>
      <c r="AJ5450">
        <v>6</v>
      </c>
      <c r="AK5450">
        <v>1</v>
      </c>
      <c r="AL5450">
        <v>1</v>
      </c>
      <c r="AM5450">
        <v>98.59</v>
      </c>
      <c r="AN5450">
        <v>40.082900000000002</v>
      </c>
      <c r="AO5450">
        <v>235.36</v>
      </c>
      <c r="AP5450" s="13">
        <v>45917</v>
      </c>
      <c r="AQ5450">
        <v>0</v>
      </c>
      <c r="AR5450">
        <v>1</v>
      </c>
    </row>
    <row r="5451" spans="1:44" x14ac:dyDescent="0.35">
      <c r="A5451" s="12" t="s">
        <v>6554</v>
      </c>
      <c r="B5451" s="12" t="s">
        <v>149</v>
      </c>
      <c r="C5451" s="12" t="s">
        <v>150</v>
      </c>
      <c r="D5451" s="12" t="s">
        <v>78</v>
      </c>
      <c r="E5451" s="12" t="s">
        <v>65</v>
      </c>
      <c r="F5451">
        <v>2</v>
      </c>
      <c r="G5451">
        <v>2</v>
      </c>
      <c r="H5451">
        <v>0</v>
      </c>
      <c r="I5451" s="12" t="s">
        <v>151</v>
      </c>
      <c r="J5451" s="12" t="s">
        <v>152</v>
      </c>
      <c r="K5451" s="12" t="s">
        <v>125</v>
      </c>
      <c r="L5451" s="12" t="s">
        <v>69</v>
      </c>
      <c r="M5451">
        <v>36.479999999999997</v>
      </c>
      <c r="N5451" s="12" t="s">
        <v>70</v>
      </c>
      <c r="O5451" s="12" t="s">
        <v>71</v>
      </c>
      <c r="P5451" s="12" t="s">
        <v>72</v>
      </c>
      <c r="Q5451" s="13">
        <v>45877</v>
      </c>
      <c r="R5451" s="13">
        <v>45898</v>
      </c>
      <c r="S5451">
        <v>2025</v>
      </c>
      <c r="T5451" s="12" t="s">
        <v>6515</v>
      </c>
      <c r="U5451">
        <v>51</v>
      </c>
      <c r="V5451">
        <v>65.934700000000007</v>
      </c>
      <c r="W5451">
        <v>34.85</v>
      </c>
      <c r="X5451">
        <v>0</v>
      </c>
      <c r="Y5451">
        <v>0</v>
      </c>
      <c r="Z5451">
        <v>3362.67</v>
      </c>
      <c r="AA5451">
        <v>3397.52</v>
      </c>
      <c r="AB5451" s="12" t="s">
        <v>5076</v>
      </c>
      <c r="AC5451">
        <v>65.934700000000007</v>
      </c>
      <c r="AD5451">
        <v>1</v>
      </c>
      <c r="AE5451">
        <v>1</v>
      </c>
      <c r="AF5451">
        <v>0</v>
      </c>
      <c r="AG5451">
        <v>3362.67</v>
      </c>
      <c r="AH5451">
        <v>51</v>
      </c>
      <c r="AI5451">
        <v>51</v>
      </c>
      <c r="AJ5451">
        <v>0</v>
      </c>
      <c r="AK5451">
        <v>1</v>
      </c>
      <c r="AL5451">
        <v>1</v>
      </c>
      <c r="AM5451">
        <v>100</v>
      </c>
      <c r="AN5451">
        <v>66.617999999999995</v>
      </c>
      <c r="AO5451">
        <v>0</v>
      </c>
      <c r="AP5451" s="13">
        <v>45896</v>
      </c>
      <c r="AQ5451">
        <v>-2</v>
      </c>
      <c r="AR5451">
        <v>1</v>
      </c>
    </row>
    <row r="5452" spans="1:44" x14ac:dyDescent="0.35">
      <c r="A5452" s="12" t="s">
        <v>6555</v>
      </c>
      <c r="B5452" s="12" t="s">
        <v>317</v>
      </c>
      <c r="C5452" s="12" t="s">
        <v>318</v>
      </c>
      <c r="D5452" s="12" t="s">
        <v>64</v>
      </c>
      <c r="E5452" s="12" t="s">
        <v>104</v>
      </c>
      <c r="F5452">
        <v>2</v>
      </c>
      <c r="G5452">
        <v>0</v>
      </c>
      <c r="H5452">
        <v>0</v>
      </c>
      <c r="I5452" s="12" t="s">
        <v>169</v>
      </c>
      <c r="J5452" s="12" t="s">
        <v>170</v>
      </c>
      <c r="K5452" s="12" t="s">
        <v>89</v>
      </c>
      <c r="L5452" s="12" t="s">
        <v>134</v>
      </c>
      <c r="M5452">
        <v>1.37</v>
      </c>
      <c r="N5452" s="12" t="s">
        <v>97</v>
      </c>
      <c r="O5452" s="12" t="s">
        <v>98</v>
      </c>
      <c r="P5452" s="12" t="s">
        <v>72</v>
      </c>
      <c r="Q5452" s="13">
        <v>45877</v>
      </c>
      <c r="R5452" s="13">
        <v>45892</v>
      </c>
      <c r="S5452">
        <v>2025</v>
      </c>
      <c r="T5452" s="12" t="s">
        <v>6515</v>
      </c>
      <c r="U5452">
        <v>292</v>
      </c>
      <c r="V5452">
        <v>15.823399999999999</v>
      </c>
      <c r="W5452">
        <v>85.42</v>
      </c>
      <c r="X5452">
        <v>0</v>
      </c>
      <c r="Y5452">
        <v>0</v>
      </c>
      <c r="Z5452">
        <v>4620.43</v>
      </c>
      <c r="AA5452">
        <v>4705.8500000000004</v>
      </c>
      <c r="AB5452" s="12" t="s">
        <v>5518</v>
      </c>
      <c r="AC5452">
        <v>15.823399999999999</v>
      </c>
      <c r="AD5452">
        <v>1</v>
      </c>
      <c r="AE5452">
        <v>1</v>
      </c>
      <c r="AF5452">
        <v>0</v>
      </c>
      <c r="AG5452">
        <v>4620.43</v>
      </c>
      <c r="AH5452">
        <v>292</v>
      </c>
      <c r="AI5452">
        <v>291</v>
      </c>
      <c r="AJ5452">
        <v>1</v>
      </c>
      <c r="AK5452">
        <v>1</v>
      </c>
      <c r="AL5452">
        <v>1</v>
      </c>
      <c r="AM5452">
        <v>99.66</v>
      </c>
      <c r="AN5452">
        <v>16.171299999999999</v>
      </c>
      <c r="AO5452">
        <v>15.82</v>
      </c>
      <c r="AP5452" s="13">
        <v>45890</v>
      </c>
      <c r="AQ5452">
        <v>-2</v>
      </c>
      <c r="AR5452">
        <v>1</v>
      </c>
    </row>
    <row r="5453" spans="1:44" x14ac:dyDescent="0.35">
      <c r="A5453" s="12" t="s">
        <v>6556</v>
      </c>
      <c r="B5453" s="12" t="s">
        <v>802</v>
      </c>
      <c r="C5453" s="12" t="s">
        <v>803</v>
      </c>
      <c r="D5453" s="12" t="s">
        <v>114</v>
      </c>
      <c r="E5453" s="12" t="s">
        <v>65</v>
      </c>
      <c r="F5453">
        <v>3</v>
      </c>
      <c r="G5453">
        <v>5</v>
      </c>
      <c r="H5453">
        <v>0</v>
      </c>
      <c r="I5453" s="12" t="s">
        <v>804</v>
      </c>
      <c r="J5453" s="12" t="s">
        <v>342</v>
      </c>
      <c r="K5453" s="12" t="s">
        <v>117</v>
      </c>
      <c r="L5453" s="12" t="s">
        <v>69</v>
      </c>
      <c r="M5453">
        <v>30.07</v>
      </c>
      <c r="N5453" s="12" t="s">
        <v>70</v>
      </c>
      <c r="O5453" s="12" t="s">
        <v>71</v>
      </c>
      <c r="P5453" s="12" t="s">
        <v>72</v>
      </c>
      <c r="Q5453" s="13">
        <v>45877</v>
      </c>
      <c r="R5453" s="13">
        <v>45906</v>
      </c>
      <c r="S5453">
        <v>2025</v>
      </c>
      <c r="T5453" s="12" t="s">
        <v>6515</v>
      </c>
      <c r="U5453">
        <v>76</v>
      </c>
      <c r="V5453">
        <v>366.91719999999998</v>
      </c>
      <c r="W5453">
        <v>173.69</v>
      </c>
      <c r="X5453">
        <v>0</v>
      </c>
      <c r="Y5453">
        <v>0</v>
      </c>
      <c r="Z5453">
        <v>27885.71</v>
      </c>
      <c r="AA5453">
        <v>28059.4</v>
      </c>
      <c r="AB5453" s="12" t="s">
        <v>201</v>
      </c>
      <c r="AD5453">
        <v>0</v>
      </c>
      <c r="AE5453">
        <v>0</v>
      </c>
      <c r="AH5453">
        <v>76</v>
      </c>
      <c r="AI5453">
        <v>75</v>
      </c>
      <c r="AJ5453">
        <v>1</v>
      </c>
      <c r="AK5453">
        <v>1</v>
      </c>
      <c r="AL5453">
        <v>1</v>
      </c>
      <c r="AM5453">
        <v>98.68</v>
      </c>
      <c r="AN5453">
        <v>374.12529999999998</v>
      </c>
      <c r="AO5453">
        <v>366.92</v>
      </c>
      <c r="AP5453" s="13">
        <v>45906</v>
      </c>
      <c r="AQ5453">
        <v>0</v>
      </c>
      <c r="AR5453">
        <v>1</v>
      </c>
    </row>
    <row r="5454" spans="1:44" x14ac:dyDescent="0.35">
      <c r="A5454" s="12" t="s">
        <v>6557</v>
      </c>
      <c r="B5454" s="12" t="s">
        <v>465</v>
      </c>
      <c r="C5454" s="12" t="s">
        <v>466</v>
      </c>
      <c r="D5454" s="12" t="s">
        <v>78</v>
      </c>
      <c r="E5454" s="12" t="s">
        <v>142</v>
      </c>
      <c r="F5454">
        <v>3</v>
      </c>
      <c r="G5454">
        <v>11</v>
      </c>
      <c r="H5454">
        <v>0</v>
      </c>
      <c r="I5454" s="12" t="s">
        <v>195</v>
      </c>
      <c r="J5454" s="12" t="s">
        <v>196</v>
      </c>
      <c r="K5454" s="12" t="s">
        <v>117</v>
      </c>
      <c r="L5454" s="12" t="s">
        <v>134</v>
      </c>
      <c r="M5454">
        <v>4.7699999999999996</v>
      </c>
      <c r="N5454" s="12" t="s">
        <v>97</v>
      </c>
      <c r="O5454" s="12" t="s">
        <v>98</v>
      </c>
      <c r="P5454" s="12" t="s">
        <v>72</v>
      </c>
      <c r="Q5454" s="13">
        <v>45877</v>
      </c>
      <c r="R5454" s="13">
        <v>45914</v>
      </c>
      <c r="S5454">
        <v>2025</v>
      </c>
      <c r="T5454" s="12" t="s">
        <v>6515</v>
      </c>
      <c r="U5454">
        <v>73</v>
      </c>
      <c r="V5454">
        <v>99.261300000000006</v>
      </c>
      <c r="W5454">
        <v>132</v>
      </c>
      <c r="X5454">
        <v>0</v>
      </c>
      <c r="Y5454">
        <v>0</v>
      </c>
      <c r="Z5454">
        <v>7246.07</v>
      </c>
      <c r="AA5454">
        <v>7378.07</v>
      </c>
      <c r="AB5454" s="12" t="s">
        <v>5716</v>
      </c>
      <c r="AC5454">
        <v>105.56229999999999</v>
      </c>
      <c r="AD5454">
        <v>1</v>
      </c>
      <c r="AE5454">
        <v>1</v>
      </c>
      <c r="AF5454">
        <v>-459.97</v>
      </c>
      <c r="AG5454">
        <v>7706.05</v>
      </c>
      <c r="AH5454">
        <v>73</v>
      </c>
      <c r="AI5454">
        <v>71</v>
      </c>
      <c r="AJ5454">
        <v>2</v>
      </c>
      <c r="AK5454">
        <v>1</v>
      </c>
      <c r="AL5454">
        <v>1</v>
      </c>
      <c r="AM5454">
        <v>97.26</v>
      </c>
      <c r="AN5454">
        <v>103.9165</v>
      </c>
      <c r="AO5454">
        <v>198.52</v>
      </c>
      <c r="AP5454" s="13">
        <v>45911</v>
      </c>
      <c r="AQ5454">
        <v>-3</v>
      </c>
      <c r="AR5454">
        <v>1</v>
      </c>
    </row>
    <row r="5455" spans="1:44" x14ac:dyDescent="0.35">
      <c r="A5455" s="12" t="s">
        <v>6558</v>
      </c>
      <c r="B5455" s="12" t="s">
        <v>408</v>
      </c>
      <c r="C5455" s="12" t="s">
        <v>409</v>
      </c>
      <c r="D5455" s="12" t="s">
        <v>130</v>
      </c>
      <c r="E5455" s="12" t="s">
        <v>65</v>
      </c>
      <c r="F5455">
        <v>3</v>
      </c>
      <c r="G5455">
        <v>5</v>
      </c>
      <c r="H5455">
        <v>0</v>
      </c>
      <c r="I5455" s="12" t="s">
        <v>105</v>
      </c>
      <c r="J5455" s="12" t="s">
        <v>106</v>
      </c>
      <c r="K5455" s="12" t="s">
        <v>81</v>
      </c>
      <c r="L5455" s="12" t="s">
        <v>96</v>
      </c>
      <c r="M5455">
        <v>5.01</v>
      </c>
      <c r="N5455" s="12" t="s">
        <v>135</v>
      </c>
      <c r="O5455" s="12" t="s">
        <v>136</v>
      </c>
      <c r="P5455" s="12" t="s">
        <v>137</v>
      </c>
      <c r="Q5455" s="13">
        <v>45877</v>
      </c>
      <c r="R5455" s="13">
        <v>45902</v>
      </c>
      <c r="S5455">
        <v>2025</v>
      </c>
      <c r="T5455" s="12" t="s">
        <v>6515</v>
      </c>
      <c r="U5455">
        <v>43</v>
      </c>
      <c r="V5455">
        <v>724.06979999999999</v>
      </c>
      <c r="W5455">
        <v>401.31</v>
      </c>
      <c r="X5455">
        <v>0</v>
      </c>
      <c r="Y5455">
        <v>0</v>
      </c>
      <c r="Z5455">
        <v>31135</v>
      </c>
      <c r="AA5455">
        <v>31536.31</v>
      </c>
      <c r="AB5455" s="12" t="s">
        <v>5490</v>
      </c>
      <c r="AC5455">
        <v>724.06979999999999</v>
      </c>
      <c r="AD5455">
        <v>1</v>
      </c>
      <c r="AE5455">
        <v>1</v>
      </c>
      <c r="AF5455">
        <v>0</v>
      </c>
      <c r="AG5455">
        <v>31135</v>
      </c>
      <c r="AH5455">
        <v>43</v>
      </c>
      <c r="AI5455">
        <v>43</v>
      </c>
      <c r="AJ5455">
        <v>0</v>
      </c>
      <c r="AK5455">
        <v>1</v>
      </c>
      <c r="AL5455">
        <v>1</v>
      </c>
      <c r="AM5455">
        <v>100</v>
      </c>
      <c r="AN5455">
        <v>733.40260000000001</v>
      </c>
      <c r="AO5455">
        <v>0</v>
      </c>
      <c r="AP5455" s="13">
        <v>45901</v>
      </c>
      <c r="AQ5455">
        <v>-1</v>
      </c>
      <c r="AR5455">
        <v>1</v>
      </c>
    </row>
    <row r="5456" spans="1:44" x14ac:dyDescent="0.35">
      <c r="A5456" s="12" t="s">
        <v>6559</v>
      </c>
      <c r="B5456" s="12" t="s">
        <v>451</v>
      </c>
      <c r="C5456" s="12" t="s">
        <v>452</v>
      </c>
      <c r="D5456" s="12" t="s">
        <v>175</v>
      </c>
      <c r="E5456" s="12" t="s">
        <v>104</v>
      </c>
      <c r="F5456">
        <v>3</v>
      </c>
      <c r="G5456">
        <v>1</v>
      </c>
      <c r="H5456">
        <v>0</v>
      </c>
      <c r="I5456" s="12" t="s">
        <v>176</v>
      </c>
      <c r="J5456" s="12" t="s">
        <v>177</v>
      </c>
      <c r="K5456" s="12" t="s">
        <v>125</v>
      </c>
      <c r="L5456" s="12" t="s">
        <v>134</v>
      </c>
      <c r="M5456">
        <v>1.75</v>
      </c>
      <c r="N5456" s="12" t="s">
        <v>145</v>
      </c>
      <c r="O5456" s="12" t="s">
        <v>146</v>
      </c>
      <c r="P5456" s="12" t="s">
        <v>109</v>
      </c>
      <c r="Q5456" s="13">
        <v>45877</v>
      </c>
      <c r="R5456" s="13">
        <v>45905</v>
      </c>
      <c r="S5456">
        <v>2025</v>
      </c>
      <c r="T5456" s="12" t="s">
        <v>6515</v>
      </c>
      <c r="U5456">
        <v>136</v>
      </c>
      <c r="V5456">
        <v>254.13499999999999</v>
      </c>
      <c r="W5456">
        <v>240.19</v>
      </c>
      <c r="X5456">
        <v>0</v>
      </c>
      <c r="Y5456">
        <v>0</v>
      </c>
      <c r="Z5456">
        <v>34562.36</v>
      </c>
      <c r="AA5456">
        <v>34802.550000000003</v>
      </c>
      <c r="AB5456" s="12" t="s">
        <v>5406</v>
      </c>
      <c r="AC5456">
        <v>254.13499999999999</v>
      </c>
      <c r="AD5456">
        <v>1</v>
      </c>
      <c r="AE5456">
        <v>1</v>
      </c>
      <c r="AF5456">
        <v>0</v>
      </c>
      <c r="AG5456">
        <v>34562.36</v>
      </c>
      <c r="AH5456">
        <v>136</v>
      </c>
      <c r="AI5456">
        <v>134</v>
      </c>
      <c r="AJ5456">
        <v>2</v>
      </c>
      <c r="AK5456">
        <v>1</v>
      </c>
      <c r="AL5456">
        <v>1</v>
      </c>
      <c r="AM5456">
        <v>98.53</v>
      </c>
      <c r="AN5456">
        <v>259.72050000000002</v>
      </c>
      <c r="AO5456">
        <v>508.27</v>
      </c>
      <c r="AP5456" s="13">
        <v>45903</v>
      </c>
      <c r="AQ5456">
        <v>-2</v>
      </c>
      <c r="AR5456">
        <v>1</v>
      </c>
    </row>
    <row r="5457" spans="1:44" x14ac:dyDescent="0.35">
      <c r="A5457" s="12" t="s">
        <v>6560</v>
      </c>
      <c r="B5457" s="12" t="s">
        <v>1075</v>
      </c>
      <c r="C5457" s="12" t="s">
        <v>1076</v>
      </c>
      <c r="D5457" s="12" t="s">
        <v>103</v>
      </c>
      <c r="E5457" s="12" t="s">
        <v>65</v>
      </c>
      <c r="F5457">
        <v>2</v>
      </c>
      <c r="G5457">
        <v>4</v>
      </c>
      <c r="H5457">
        <v>0</v>
      </c>
      <c r="I5457" s="12" t="s">
        <v>183</v>
      </c>
      <c r="J5457" s="12" t="s">
        <v>184</v>
      </c>
      <c r="K5457" s="12" t="s">
        <v>133</v>
      </c>
      <c r="L5457" s="12" t="s">
        <v>82</v>
      </c>
      <c r="M5457">
        <v>8.6199999999999992</v>
      </c>
      <c r="N5457" s="12" t="s">
        <v>145</v>
      </c>
      <c r="O5457" s="12" t="s">
        <v>146</v>
      </c>
      <c r="P5457" s="12" t="s">
        <v>109</v>
      </c>
      <c r="Q5457" s="13">
        <v>45877</v>
      </c>
      <c r="R5457" s="13">
        <v>45900</v>
      </c>
      <c r="S5457">
        <v>2025</v>
      </c>
      <c r="T5457" s="12" t="s">
        <v>6515</v>
      </c>
      <c r="U5457">
        <v>26</v>
      </c>
      <c r="V5457">
        <v>78.743799999999993</v>
      </c>
      <c r="W5457">
        <v>45.6</v>
      </c>
      <c r="X5457">
        <v>0</v>
      </c>
      <c r="Y5457">
        <v>0</v>
      </c>
      <c r="Z5457">
        <v>2047.34</v>
      </c>
      <c r="AA5457">
        <v>2092.94</v>
      </c>
      <c r="AB5457" s="12" t="s">
        <v>201</v>
      </c>
      <c r="AD5457">
        <v>0</v>
      </c>
      <c r="AE5457">
        <v>0</v>
      </c>
      <c r="AH5457">
        <v>26</v>
      </c>
      <c r="AI5457">
        <v>26</v>
      </c>
      <c r="AJ5457">
        <v>0</v>
      </c>
      <c r="AK5457">
        <v>1</v>
      </c>
      <c r="AL5457">
        <v>1</v>
      </c>
      <c r="AM5457">
        <v>100</v>
      </c>
      <c r="AN5457">
        <v>80.497600000000006</v>
      </c>
      <c r="AO5457">
        <v>0</v>
      </c>
      <c r="AP5457" s="13">
        <v>45899</v>
      </c>
      <c r="AQ5457">
        <v>-1</v>
      </c>
      <c r="AR5457">
        <v>1</v>
      </c>
    </row>
    <row r="5458" spans="1:44" x14ac:dyDescent="0.35">
      <c r="A5458" s="12" t="s">
        <v>6561</v>
      </c>
      <c r="B5458" s="12" t="s">
        <v>173</v>
      </c>
      <c r="C5458" s="12" t="s">
        <v>174</v>
      </c>
      <c r="D5458" s="12" t="s">
        <v>175</v>
      </c>
      <c r="E5458" s="12" t="s">
        <v>104</v>
      </c>
      <c r="F5458">
        <v>3</v>
      </c>
      <c r="G5458">
        <v>1</v>
      </c>
      <c r="H5458">
        <v>0</v>
      </c>
      <c r="I5458" s="12" t="s">
        <v>486</v>
      </c>
      <c r="J5458" s="12" t="s">
        <v>487</v>
      </c>
      <c r="K5458" s="12" t="s">
        <v>125</v>
      </c>
      <c r="L5458" s="12" t="s">
        <v>69</v>
      </c>
      <c r="M5458">
        <v>36.86</v>
      </c>
      <c r="N5458" s="12" t="s">
        <v>145</v>
      </c>
      <c r="O5458" s="12" t="s">
        <v>146</v>
      </c>
      <c r="P5458" s="12" t="s">
        <v>109</v>
      </c>
      <c r="Q5458" s="13">
        <v>45877</v>
      </c>
      <c r="R5458" s="13">
        <v>45890</v>
      </c>
      <c r="S5458">
        <v>2025</v>
      </c>
      <c r="T5458" s="12" t="s">
        <v>6515</v>
      </c>
      <c r="U5458">
        <v>24</v>
      </c>
      <c r="V5458">
        <v>74.787499999999994</v>
      </c>
      <c r="W5458">
        <v>45.97</v>
      </c>
      <c r="X5458">
        <v>0</v>
      </c>
      <c r="Y5458">
        <v>0</v>
      </c>
      <c r="Z5458">
        <v>1794.9</v>
      </c>
      <c r="AA5458">
        <v>1840.87</v>
      </c>
      <c r="AB5458" s="12" t="s">
        <v>201</v>
      </c>
      <c r="AD5458">
        <v>0</v>
      </c>
      <c r="AE5458">
        <v>0</v>
      </c>
      <c r="AH5458">
        <v>24</v>
      </c>
      <c r="AI5458">
        <v>24</v>
      </c>
      <c r="AJ5458">
        <v>0</v>
      </c>
      <c r="AK5458">
        <v>1</v>
      </c>
      <c r="AL5458">
        <v>1</v>
      </c>
      <c r="AM5458">
        <v>100</v>
      </c>
      <c r="AN5458">
        <v>76.7029</v>
      </c>
      <c r="AO5458">
        <v>0</v>
      </c>
      <c r="AP5458" s="13">
        <v>45895</v>
      </c>
      <c r="AQ5458">
        <v>5</v>
      </c>
      <c r="AR5458">
        <v>0</v>
      </c>
    </row>
    <row r="5459" spans="1:44" x14ac:dyDescent="0.35">
      <c r="A5459" s="12" t="s">
        <v>6562</v>
      </c>
      <c r="B5459" s="12" t="s">
        <v>1666</v>
      </c>
      <c r="C5459" s="12" t="s">
        <v>1667</v>
      </c>
      <c r="D5459" s="12" t="s">
        <v>78</v>
      </c>
      <c r="E5459" s="12" t="s">
        <v>65</v>
      </c>
      <c r="F5459">
        <v>2</v>
      </c>
      <c r="G5459">
        <v>3</v>
      </c>
      <c r="H5459">
        <v>0</v>
      </c>
      <c r="I5459" s="12" t="s">
        <v>310</v>
      </c>
      <c r="J5459" s="12" t="s">
        <v>311</v>
      </c>
      <c r="K5459" s="12" t="s">
        <v>81</v>
      </c>
      <c r="L5459" s="12" t="s">
        <v>69</v>
      </c>
      <c r="M5459">
        <v>28.3</v>
      </c>
      <c r="N5459" s="12" t="s">
        <v>97</v>
      </c>
      <c r="O5459" s="12" t="s">
        <v>98</v>
      </c>
      <c r="P5459" s="12" t="s">
        <v>72</v>
      </c>
      <c r="Q5459" s="13">
        <v>45877</v>
      </c>
      <c r="R5459" s="13">
        <v>45907</v>
      </c>
      <c r="S5459">
        <v>2025</v>
      </c>
      <c r="T5459" s="12" t="s">
        <v>6515</v>
      </c>
      <c r="U5459">
        <v>177</v>
      </c>
      <c r="V5459">
        <v>71.7453</v>
      </c>
      <c r="W5459">
        <v>299.62</v>
      </c>
      <c r="X5459">
        <v>0</v>
      </c>
      <c r="Y5459">
        <v>0</v>
      </c>
      <c r="Z5459">
        <v>12698.92</v>
      </c>
      <c r="AA5459">
        <v>12998.54</v>
      </c>
      <c r="AB5459" s="12" t="s">
        <v>5785</v>
      </c>
      <c r="AC5459">
        <v>71.7453</v>
      </c>
      <c r="AD5459">
        <v>1</v>
      </c>
      <c r="AE5459">
        <v>1</v>
      </c>
      <c r="AF5459">
        <v>0</v>
      </c>
      <c r="AG5459">
        <v>12698.92</v>
      </c>
      <c r="AH5459">
        <v>177</v>
      </c>
      <c r="AI5459">
        <v>174</v>
      </c>
      <c r="AJ5459">
        <v>3</v>
      </c>
      <c r="AK5459">
        <v>1</v>
      </c>
      <c r="AL5459">
        <v>1</v>
      </c>
      <c r="AM5459">
        <v>98.31</v>
      </c>
      <c r="AN5459">
        <v>74.7042</v>
      </c>
      <c r="AO5459">
        <v>215.24</v>
      </c>
      <c r="AP5459" s="13">
        <v>45905</v>
      </c>
      <c r="AQ5459">
        <v>-2</v>
      </c>
      <c r="AR5459">
        <v>1</v>
      </c>
    </row>
    <row r="5460" spans="1:44" x14ac:dyDescent="0.35">
      <c r="A5460" s="12" t="s">
        <v>6563</v>
      </c>
      <c r="B5460" s="12" t="s">
        <v>267</v>
      </c>
      <c r="C5460" s="12" t="s">
        <v>268</v>
      </c>
      <c r="D5460" s="12" t="s">
        <v>269</v>
      </c>
      <c r="E5460" s="12" t="s">
        <v>142</v>
      </c>
      <c r="F5460">
        <v>1</v>
      </c>
      <c r="G5460">
        <v>8</v>
      </c>
      <c r="H5460">
        <v>1</v>
      </c>
      <c r="I5460" s="12" t="s">
        <v>94</v>
      </c>
      <c r="J5460" s="12" t="s">
        <v>95</v>
      </c>
      <c r="K5460" s="12" t="s">
        <v>81</v>
      </c>
      <c r="L5460" s="12" t="s">
        <v>96</v>
      </c>
      <c r="M5460">
        <v>4.8099999999999996</v>
      </c>
      <c r="N5460" s="12" t="s">
        <v>135</v>
      </c>
      <c r="O5460" s="12" t="s">
        <v>136</v>
      </c>
      <c r="P5460" s="12" t="s">
        <v>137</v>
      </c>
      <c r="Q5460" s="13">
        <v>45877</v>
      </c>
      <c r="R5460" s="13">
        <v>45918</v>
      </c>
      <c r="S5460">
        <v>2025</v>
      </c>
      <c r="T5460" s="12" t="s">
        <v>6515</v>
      </c>
      <c r="U5460">
        <v>63</v>
      </c>
      <c r="V5460">
        <v>210.99529999999999</v>
      </c>
      <c r="W5460">
        <v>308.23</v>
      </c>
      <c r="X5460">
        <v>0</v>
      </c>
      <c r="Y5460">
        <v>0</v>
      </c>
      <c r="Z5460">
        <v>13292.7</v>
      </c>
      <c r="AA5460">
        <v>13600.93</v>
      </c>
      <c r="AB5460" s="12" t="s">
        <v>201</v>
      </c>
      <c r="AD5460">
        <v>0</v>
      </c>
      <c r="AE5460">
        <v>0</v>
      </c>
      <c r="AH5460">
        <v>63</v>
      </c>
      <c r="AI5460">
        <v>62</v>
      </c>
      <c r="AJ5460">
        <v>1</v>
      </c>
      <c r="AK5460">
        <v>1</v>
      </c>
      <c r="AL5460">
        <v>1</v>
      </c>
      <c r="AM5460">
        <v>98.41</v>
      </c>
      <c r="AN5460">
        <v>219.3699</v>
      </c>
      <c r="AO5460">
        <v>211</v>
      </c>
      <c r="AP5460" s="13">
        <v>45918</v>
      </c>
      <c r="AQ5460">
        <v>0</v>
      </c>
      <c r="AR5460">
        <v>1</v>
      </c>
    </row>
    <row r="5461" spans="1:44" x14ac:dyDescent="0.35">
      <c r="A5461" s="12" t="s">
        <v>6564</v>
      </c>
      <c r="B5461" s="12" t="s">
        <v>293</v>
      </c>
      <c r="C5461" s="12" t="s">
        <v>294</v>
      </c>
      <c r="D5461" s="12" t="s">
        <v>114</v>
      </c>
      <c r="E5461" s="12" t="s">
        <v>142</v>
      </c>
      <c r="F5461">
        <v>1</v>
      </c>
      <c r="G5461">
        <v>6</v>
      </c>
      <c r="H5461">
        <v>1</v>
      </c>
      <c r="I5461" s="12" t="s">
        <v>195</v>
      </c>
      <c r="J5461" s="12" t="s">
        <v>196</v>
      </c>
      <c r="K5461" s="12" t="s">
        <v>117</v>
      </c>
      <c r="L5461" s="12" t="s">
        <v>134</v>
      </c>
      <c r="M5461">
        <v>4.7699999999999996</v>
      </c>
      <c r="N5461" s="12" t="s">
        <v>70</v>
      </c>
      <c r="O5461" s="12" t="s">
        <v>71</v>
      </c>
      <c r="P5461" s="12" t="s">
        <v>72</v>
      </c>
      <c r="Q5461" s="13">
        <v>45877</v>
      </c>
      <c r="R5461" s="13">
        <v>45928</v>
      </c>
      <c r="S5461">
        <v>2025</v>
      </c>
      <c r="T5461" s="12" t="s">
        <v>6515</v>
      </c>
      <c r="U5461">
        <v>136</v>
      </c>
      <c r="V5461">
        <v>199.8203</v>
      </c>
      <c r="W5461">
        <v>424.84</v>
      </c>
      <c r="X5461">
        <v>947.26</v>
      </c>
      <c r="Y5461">
        <v>1</v>
      </c>
      <c r="Z5461">
        <v>27175.56</v>
      </c>
      <c r="AA5461">
        <v>28547.66</v>
      </c>
      <c r="AB5461" s="12" t="s">
        <v>5190</v>
      </c>
      <c r="AC5461">
        <v>199.8203</v>
      </c>
      <c r="AD5461">
        <v>1</v>
      </c>
      <c r="AE5461">
        <v>1</v>
      </c>
      <c r="AF5461">
        <v>0</v>
      </c>
      <c r="AG5461">
        <v>27175.56</v>
      </c>
      <c r="AH5461">
        <v>136</v>
      </c>
      <c r="AI5461">
        <v>133</v>
      </c>
      <c r="AJ5461">
        <v>3</v>
      </c>
      <c r="AK5461">
        <v>1</v>
      </c>
      <c r="AL5461">
        <v>1</v>
      </c>
      <c r="AM5461">
        <v>97.79</v>
      </c>
      <c r="AN5461">
        <v>214.64410000000001</v>
      </c>
      <c r="AO5461">
        <v>599.46</v>
      </c>
      <c r="AP5461" s="13">
        <v>45926</v>
      </c>
      <c r="AQ5461">
        <v>-2</v>
      </c>
      <c r="AR5461">
        <v>1</v>
      </c>
    </row>
    <row r="5462" spans="1:44" x14ac:dyDescent="0.35">
      <c r="A5462" s="12" t="s">
        <v>6565</v>
      </c>
      <c r="B5462" s="12" t="s">
        <v>112</v>
      </c>
      <c r="C5462" s="12" t="s">
        <v>113</v>
      </c>
      <c r="D5462" s="12" t="s">
        <v>114</v>
      </c>
      <c r="E5462" s="12" t="s">
        <v>104</v>
      </c>
      <c r="F5462">
        <v>3</v>
      </c>
      <c r="G5462">
        <v>1</v>
      </c>
      <c r="H5462">
        <v>0</v>
      </c>
      <c r="I5462" s="12" t="s">
        <v>233</v>
      </c>
      <c r="J5462" s="12" t="s">
        <v>234</v>
      </c>
      <c r="K5462" s="12" t="s">
        <v>125</v>
      </c>
      <c r="L5462" s="12" t="s">
        <v>96</v>
      </c>
      <c r="M5462">
        <v>3.73</v>
      </c>
      <c r="N5462" s="12" t="s">
        <v>97</v>
      </c>
      <c r="O5462" s="12" t="s">
        <v>98</v>
      </c>
      <c r="P5462" s="12" t="s">
        <v>72</v>
      </c>
      <c r="Q5462" s="13">
        <v>45880</v>
      </c>
      <c r="R5462" s="13">
        <v>45903</v>
      </c>
      <c r="S5462">
        <v>2025</v>
      </c>
      <c r="T5462" s="12" t="s">
        <v>6515</v>
      </c>
      <c r="U5462">
        <v>98</v>
      </c>
      <c r="V5462">
        <v>295.30250000000001</v>
      </c>
      <c r="W5462">
        <v>634.09</v>
      </c>
      <c r="X5462">
        <v>0</v>
      </c>
      <c r="Y5462">
        <v>0</v>
      </c>
      <c r="Z5462">
        <v>28939.65</v>
      </c>
      <c r="AA5462">
        <v>29573.74</v>
      </c>
      <c r="AB5462" s="12" t="s">
        <v>201</v>
      </c>
      <c r="AD5462">
        <v>0</v>
      </c>
      <c r="AE5462">
        <v>0</v>
      </c>
      <c r="AH5462">
        <v>98</v>
      </c>
      <c r="AI5462">
        <v>96</v>
      </c>
      <c r="AJ5462">
        <v>2</v>
      </c>
      <c r="AK5462">
        <v>1</v>
      </c>
      <c r="AL5462">
        <v>1</v>
      </c>
      <c r="AM5462">
        <v>97.96</v>
      </c>
      <c r="AN5462">
        <v>308.05970000000002</v>
      </c>
      <c r="AO5462">
        <v>590.61</v>
      </c>
      <c r="AP5462" s="13">
        <v>45900</v>
      </c>
      <c r="AQ5462">
        <v>-3</v>
      </c>
      <c r="AR5462">
        <v>1</v>
      </c>
    </row>
    <row r="5463" spans="1:44" x14ac:dyDescent="0.35">
      <c r="A5463" s="12" t="s">
        <v>6566</v>
      </c>
      <c r="B5463" s="12" t="s">
        <v>613</v>
      </c>
      <c r="C5463" s="12" t="s">
        <v>614</v>
      </c>
      <c r="D5463" s="12" t="s">
        <v>130</v>
      </c>
      <c r="E5463" s="12" t="s">
        <v>104</v>
      </c>
      <c r="F5463">
        <v>3</v>
      </c>
      <c r="G5463">
        <v>1</v>
      </c>
      <c r="H5463">
        <v>0</v>
      </c>
      <c r="I5463" s="12" t="s">
        <v>66</v>
      </c>
      <c r="J5463" s="12" t="s">
        <v>67</v>
      </c>
      <c r="K5463" s="12" t="s">
        <v>68</v>
      </c>
      <c r="L5463" s="12" t="s">
        <v>69</v>
      </c>
      <c r="M5463">
        <v>17.66</v>
      </c>
      <c r="N5463" s="12" t="s">
        <v>135</v>
      </c>
      <c r="O5463" s="12" t="s">
        <v>136</v>
      </c>
      <c r="P5463" s="12" t="s">
        <v>137</v>
      </c>
      <c r="Q5463" s="13">
        <v>45880</v>
      </c>
      <c r="R5463" s="13">
        <v>45898</v>
      </c>
      <c r="S5463">
        <v>2025</v>
      </c>
      <c r="T5463" s="12" t="s">
        <v>6515</v>
      </c>
      <c r="U5463">
        <v>61</v>
      </c>
      <c r="V5463">
        <v>154.3064</v>
      </c>
      <c r="W5463">
        <v>174.13</v>
      </c>
      <c r="X5463">
        <v>0</v>
      </c>
      <c r="Y5463">
        <v>0</v>
      </c>
      <c r="Z5463">
        <v>9412.69</v>
      </c>
      <c r="AA5463">
        <v>9586.82</v>
      </c>
      <c r="AB5463" s="12" t="s">
        <v>5538</v>
      </c>
      <c r="AC5463">
        <v>154.3064</v>
      </c>
      <c r="AD5463">
        <v>1</v>
      </c>
      <c r="AE5463">
        <v>1</v>
      </c>
      <c r="AF5463">
        <v>0</v>
      </c>
      <c r="AG5463">
        <v>9412.69</v>
      </c>
      <c r="AH5463">
        <v>61</v>
      </c>
      <c r="AI5463">
        <v>61</v>
      </c>
      <c r="AJ5463">
        <v>0</v>
      </c>
      <c r="AK5463">
        <v>1</v>
      </c>
      <c r="AL5463">
        <v>1</v>
      </c>
      <c r="AM5463">
        <v>100</v>
      </c>
      <c r="AN5463">
        <v>157.161</v>
      </c>
      <c r="AO5463">
        <v>0</v>
      </c>
      <c r="AP5463" s="13">
        <v>45896</v>
      </c>
      <c r="AQ5463">
        <v>-2</v>
      </c>
      <c r="AR5463">
        <v>1</v>
      </c>
    </row>
    <row r="5464" spans="1:44" x14ac:dyDescent="0.35">
      <c r="A5464" s="12" t="s">
        <v>6567</v>
      </c>
      <c r="B5464" s="12" t="s">
        <v>617</v>
      </c>
      <c r="C5464" s="12" t="s">
        <v>618</v>
      </c>
      <c r="D5464" s="12" t="s">
        <v>78</v>
      </c>
      <c r="E5464" s="12" t="s">
        <v>65</v>
      </c>
      <c r="F5464">
        <v>2</v>
      </c>
      <c r="G5464">
        <v>4</v>
      </c>
      <c r="H5464">
        <v>0</v>
      </c>
      <c r="I5464" s="12" t="s">
        <v>209</v>
      </c>
      <c r="J5464" s="12" t="s">
        <v>210</v>
      </c>
      <c r="K5464" s="12" t="s">
        <v>133</v>
      </c>
      <c r="L5464" s="12" t="s">
        <v>96</v>
      </c>
      <c r="M5464">
        <v>7.82</v>
      </c>
      <c r="N5464" s="12" t="s">
        <v>97</v>
      </c>
      <c r="O5464" s="12" t="s">
        <v>98</v>
      </c>
      <c r="P5464" s="12" t="s">
        <v>72</v>
      </c>
      <c r="Q5464" s="13">
        <v>45880</v>
      </c>
      <c r="R5464" s="13">
        <v>45904</v>
      </c>
      <c r="S5464">
        <v>2025</v>
      </c>
      <c r="T5464" s="12" t="s">
        <v>6515</v>
      </c>
      <c r="U5464">
        <v>85</v>
      </c>
      <c r="V5464">
        <v>110.608</v>
      </c>
      <c r="W5464">
        <v>209.38</v>
      </c>
      <c r="X5464">
        <v>0</v>
      </c>
      <c r="Y5464">
        <v>0</v>
      </c>
      <c r="Z5464">
        <v>9401.68</v>
      </c>
      <c r="AA5464">
        <v>9611.06</v>
      </c>
      <c r="AB5464" s="12" t="s">
        <v>5745</v>
      </c>
      <c r="AC5464">
        <v>107.9961</v>
      </c>
      <c r="AD5464">
        <v>1</v>
      </c>
      <c r="AE5464">
        <v>1</v>
      </c>
      <c r="AF5464">
        <v>222.01</v>
      </c>
      <c r="AG5464">
        <v>9179.67</v>
      </c>
      <c r="AH5464">
        <v>85</v>
      </c>
      <c r="AI5464">
        <v>84</v>
      </c>
      <c r="AJ5464">
        <v>1</v>
      </c>
      <c r="AK5464">
        <v>1</v>
      </c>
      <c r="AL5464">
        <v>1</v>
      </c>
      <c r="AM5464">
        <v>98.82</v>
      </c>
      <c r="AN5464">
        <v>114.4174</v>
      </c>
      <c r="AO5464">
        <v>110.61</v>
      </c>
      <c r="AP5464" s="13">
        <v>45904</v>
      </c>
      <c r="AQ5464">
        <v>0</v>
      </c>
      <c r="AR5464">
        <v>1</v>
      </c>
    </row>
    <row r="5465" spans="1:44" x14ac:dyDescent="0.35">
      <c r="A5465" s="12" t="s">
        <v>6568</v>
      </c>
      <c r="B5465" s="12" t="s">
        <v>273</v>
      </c>
      <c r="C5465" s="12" t="s">
        <v>274</v>
      </c>
      <c r="D5465" s="12" t="s">
        <v>175</v>
      </c>
      <c r="E5465" s="12" t="s">
        <v>104</v>
      </c>
      <c r="F5465">
        <v>3</v>
      </c>
      <c r="G5465">
        <v>1</v>
      </c>
      <c r="H5465">
        <v>0</v>
      </c>
      <c r="I5465" s="12" t="s">
        <v>275</v>
      </c>
      <c r="J5465" s="12" t="s">
        <v>276</v>
      </c>
      <c r="K5465" s="12" t="s">
        <v>89</v>
      </c>
      <c r="L5465" s="12" t="s">
        <v>82</v>
      </c>
      <c r="M5465">
        <v>14.26</v>
      </c>
      <c r="N5465" s="12" t="s">
        <v>107</v>
      </c>
      <c r="O5465" s="12" t="s">
        <v>108</v>
      </c>
      <c r="P5465" s="12" t="s">
        <v>109</v>
      </c>
      <c r="Q5465" s="13">
        <v>45880</v>
      </c>
      <c r="R5465" s="13">
        <v>45904</v>
      </c>
      <c r="S5465">
        <v>2025</v>
      </c>
      <c r="T5465" s="12" t="s">
        <v>6515</v>
      </c>
      <c r="U5465">
        <v>104</v>
      </c>
      <c r="V5465">
        <v>108.56229999999999</v>
      </c>
      <c r="W5465">
        <v>89.38</v>
      </c>
      <c r="X5465">
        <v>381.83</v>
      </c>
      <c r="Y5465">
        <v>1</v>
      </c>
      <c r="Z5465">
        <v>11290.48</v>
      </c>
      <c r="AA5465">
        <v>11761.69</v>
      </c>
      <c r="AB5465" s="12" t="s">
        <v>5782</v>
      </c>
      <c r="AC5465">
        <v>108.56229999999999</v>
      </c>
      <c r="AD5465">
        <v>1</v>
      </c>
      <c r="AE5465">
        <v>1</v>
      </c>
      <c r="AF5465">
        <v>0</v>
      </c>
      <c r="AG5465">
        <v>11290.48</v>
      </c>
      <c r="AH5465">
        <v>104</v>
      </c>
      <c r="AI5465">
        <v>103</v>
      </c>
      <c r="AJ5465">
        <v>1</v>
      </c>
      <c r="AK5465">
        <v>1</v>
      </c>
      <c r="AL5465">
        <v>1</v>
      </c>
      <c r="AM5465">
        <v>99.04</v>
      </c>
      <c r="AN5465">
        <v>114.19119999999999</v>
      </c>
      <c r="AO5465">
        <v>108.56</v>
      </c>
      <c r="AP5465" s="13">
        <v>45905</v>
      </c>
      <c r="AQ5465">
        <v>1</v>
      </c>
      <c r="AR5465">
        <v>0</v>
      </c>
    </row>
    <row r="5466" spans="1:44" x14ac:dyDescent="0.35">
      <c r="A5466" s="12" t="s">
        <v>6569</v>
      </c>
      <c r="B5466" s="12" t="s">
        <v>249</v>
      </c>
      <c r="C5466" s="12" t="s">
        <v>250</v>
      </c>
      <c r="D5466" s="12" t="s">
        <v>64</v>
      </c>
      <c r="E5466" s="12" t="s">
        <v>65</v>
      </c>
      <c r="F5466">
        <v>2</v>
      </c>
      <c r="G5466">
        <v>3</v>
      </c>
      <c r="H5466">
        <v>0</v>
      </c>
      <c r="I5466" s="12" t="s">
        <v>183</v>
      </c>
      <c r="J5466" s="12" t="s">
        <v>184</v>
      </c>
      <c r="K5466" s="12" t="s">
        <v>133</v>
      </c>
      <c r="L5466" s="12" t="s">
        <v>82</v>
      </c>
      <c r="M5466">
        <v>8.6199999999999992</v>
      </c>
      <c r="N5466" s="12" t="s">
        <v>97</v>
      </c>
      <c r="O5466" s="12" t="s">
        <v>98</v>
      </c>
      <c r="P5466" s="12" t="s">
        <v>72</v>
      </c>
      <c r="Q5466" s="13">
        <v>45880</v>
      </c>
      <c r="R5466" s="13">
        <v>45907</v>
      </c>
      <c r="S5466">
        <v>2025</v>
      </c>
      <c r="T5466" s="12" t="s">
        <v>6515</v>
      </c>
      <c r="U5466">
        <v>401</v>
      </c>
      <c r="V5466">
        <v>9.3355999999999995</v>
      </c>
      <c r="W5466">
        <v>71.010000000000005</v>
      </c>
      <c r="X5466">
        <v>0</v>
      </c>
      <c r="Y5466">
        <v>0</v>
      </c>
      <c r="Z5466">
        <v>3743.58</v>
      </c>
      <c r="AA5466">
        <v>3814.59</v>
      </c>
      <c r="AB5466" s="12" t="s">
        <v>5480</v>
      </c>
      <c r="AC5466">
        <v>9.1478999999999999</v>
      </c>
      <c r="AD5466">
        <v>1</v>
      </c>
      <c r="AE5466">
        <v>1</v>
      </c>
      <c r="AF5466">
        <v>75.27</v>
      </c>
      <c r="AG5466">
        <v>3668.31</v>
      </c>
      <c r="AH5466">
        <v>401</v>
      </c>
      <c r="AI5466">
        <v>397</v>
      </c>
      <c r="AJ5466">
        <v>4</v>
      </c>
      <c r="AK5466">
        <v>1</v>
      </c>
      <c r="AL5466">
        <v>1</v>
      </c>
      <c r="AM5466">
        <v>99</v>
      </c>
      <c r="AN5466">
        <v>9.6084999999999994</v>
      </c>
      <c r="AO5466">
        <v>37.340000000000003</v>
      </c>
      <c r="AP5466" s="13">
        <v>45904</v>
      </c>
      <c r="AQ5466">
        <v>-3</v>
      </c>
      <c r="AR5466">
        <v>1</v>
      </c>
    </row>
    <row r="5467" spans="1:44" x14ac:dyDescent="0.35">
      <c r="A5467" s="12" t="s">
        <v>6570</v>
      </c>
      <c r="B5467" s="12" t="s">
        <v>773</v>
      </c>
      <c r="C5467" s="12" t="s">
        <v>774</v>
      </c>
      <c r="D5467" s="12" t="s">
        <v>64</v>
      </c>
      <c r="E5467" s="12" t="s">
        <v>142</v>
      </c>
      <c r="F5467">
        <v>1</v>
      </c>
      <c r="G5467">
        <v>7</v>
      </c>
      <c r="H5467">
        <v>1</v>
      </c>
      <c r="I5467" s="12" t="s">
        <v>251</v>
      </c>
      <c r="J5467" s="12" t="s">
        <v>252</v>
      </c>
      <c r="K5467" s="12" t="s">
        <v>133</v>
      </c>
      <c r="L5467" s="12" t="s">
        <v>69</v>
      </c>
      <c r="M5467">
        <v>34.49</v>
      </c>
      <c r="N5467" s="12" t="s">
        <v>70</v>
      </c>
      <c r="O5467" s="12" t="s">
        <v>71</v>
      </c>
      <c r="P5467" s="12" t="s">
        <v>72</v>
      </c>
      <c r="Q5467" s="13">
        <v>45880</v>
      </c>
      <c r="R5467" s="13">
        <v>45918</v>
      </c>
      <c r="S5467">
        <v>2025</v>
      </c>
      <c r="T5467" s="12" t="s">
        <v>6515</v>
      </c>
      <c r="U5467">
        <v>299</v>
      </c>
      <c r="V5467">
        <v>9.9849999999999994</v>
      </c>
      <c r="W5467">
        <v>74.040000000000006</v>
      </c>
      <c r="X5467">
        <v>0</v>
      </c>
      <c r="Y5467">
        <v>0</v>
      </c>
      <c r="Z5467">
        <v>2985.52</v>
      </c>
      <c r="AA5467">
        <v>3059.56</v>
      </c>
      <c r="AB5467" s="12" t="s">
        <v>5613</v>
      </c>
      <c r="AC5467">
        <v>9.9849999999999994</v>
      </c>
      <c r="AD5467">
        <v>1</v>
      </c>
      <c r="AE5467">
        <v>1</v>
      </c>
      <c r="AF5467">
        <v>0</v>
      </c>
      <c r="AG5467">
        <v>2985.52</v>
      </c>
      <c r="AH5467">
        <v>299</v>
      </c>
      <c r="AI5467">
        <v>296</v>
      </c>
      <c r="AJ5467">
        <v>3</v>
      </c>
      <c r="AK5467">
        <v>1</v>
      </c>
      <c r="AL5467">
        <v>1</v>
      </c>
      <c r="AM5467">
        <v>99</v>
      </c>
      <c r="AN5467">
        <v>10.3363</v>
      </c>
      <c r="AO5467">
        <v>29.96</v>
      </c>
      <c r="AP5467" s="13">
        <v>45915</v>
      </c>
      <c r="AQ5467">
        <v>-3</v>
      </c>
      <c r="AR5467">
        <v>1</v>
      </c>
    </row>
    <row r="5468" spans="1:44" x14ac:dyDescent="0.35">
      <c r="A5468" s="12" t="s">
        <v>6571</v>
      </c>
      <c r="B5468" s="12" t="s">
        <v>362</v>
      </c>
      <c r="C5468" s="12" t="s">
        <v>363</v>
      </c>
      <c r="D5468" s="12" t="s">
        <v>78</v>
      </c>
      <c r="E5468" s="12" t="s">
        <v>104</v>
      </c>
      <c r="F5468">
        <v>3</v>
      </c>
      <c r="G5468">
        <v>0</v>
      </c>
      <c r="H5468">
        <v>0</v>
      </c>
      <c r="I5468" s="12" t="s">
        <v>157</v>
      </c>
      <c r="J5468" s="12" t="s">
        <v>158</v>
      </c>
      <c r="K5468" s="12" t="s">
        <v>117</v>
      </c>
      <c r="L5468" s="12" t="s">
        <v>96</v>
      </c>
      <c r="M5468">
        <v>4.72</v>
      </c>
      <c r="N5468" s="12" t="s">
        <v>70</v>
      </c>
      <c r="O5468" s="12" t="s">
        <v>71</v>
      </c>
      <c r="P5468" s="12" t="s">
        <v>72</v>
      </c>
      <c r="Q5468" s="13">
        <v>45880</v>
      </c>
      <c r="R5468" s="13">
        <v>45903</v>
      </c>
      <c r="S5468">
        <v>2025</v>
      </c>
      <c r="T5468" s="12" t="s">
        <v>6515</v>
      </c>
      <c r="U5468">
        <v>204</v>
      </c>
      <c r="V5468">
        <v>60.372999999999998</v>
      </c>
      <c r="W5468">
        <v>142.74</v>
      </c>
      <c r="X5468">
        <v>0</v>
      </c>
      <c r="Y5468">
        <v>0</v>
      </c>
      <c r="Z5468">
        <v>12316.09</v>
      </c>
      <c r="AA5468">
        <v>12458.83</v>
      </c>
      <c r="AB5468" s="12" t="s">
        <v>201</v>
      </c>
      <c r="AD5468">
        <v>0</v>
      </c>
      <c r="AE5468">
        <v>0</v>
      </c>
      <c r="AH5468">
        <v>204</v>
      </c>
      <c r="AI5468">
        <v>201</v>
      </c>
      <c r="AJ5468">
        <v>3</v>
      </c>
      <c r="AK5468">
        <v>1</v>
      </c>
      <c r="AL5468">
        <v>1</v>
      </c>
      <c r="AM5468">
        <v>98.53</v>
      </c>
      <c r="AN5468">
        <v>61.984200000000001</v>
      </c>
      <c r="AO5468">
        <v>181.12</v>
      </c>
      <c r="AP5468" s="13">
        <v>45901</v>
      </c>
      <c r="AQ5468">
        <v>-2</v>
      </c>
      <c r="AR5468">
        <v>1</v>
      </c>
    </row>
    <row r="5469" spans="1:44" x14ac:dyDescent="0.35">
      <c r="A5469" s="12" t="s">
        <v>6572</v>
      </c>
      <c r="B5469" s="12" t="s">
        <v>231</v>
      </c>
      <c r="C5469" s="12" t="s">
        <v>232</v>
      </c>
      <c r="D5469" s="12" t="s">
        <v>130</v>
      </c>
      <c r="E5469" s="12" t="s">
        <v>65</v>
      </c>
      <c r="F5469">
        <v>1</v>
      </c>
      <c r="G5469">
        <v>2</v>
      </c>
      <c r="H5469">
        <v>1</v>
      </c>
      <c r="I5469" s="12" t="s">
        <v>233</v>
      </c>
      <c r="J5469" s="12" t="s">
        <v>234</v>
      </c>
      <c r="K5469" s="12" t="s">
        <v>125</v>
      </c>
      <c r="L5469" s="12" t="s">
        <v>96</v>
      </c>
      <c r="M5469">
        <v>3.73</v>
      </c>
      <c r="N5469" s="12" t="s">
        <v>135</v>
      </c>
      <c r="O5469" s="12" t="s">
        <v>136</v>
      </c>
      <c r="P5469" s="12" t="s">
        <v>137</v>
      </c>
      <c r="Q5469" s="13">
        <v>45880</v>
      </c>
      <c r="R5469" s="13">
        <v>45916</v>
      </c>
      <c r="S5469">
        <v>2025</v>
      </c>
      <c r="T5469" s="12" t="s">
        <v>6515</v>
      </c>
      <c r="U5469">
        <v>130</v>
      </c>
      <c r="V5469">
        <v>464.56229999999999</v>
      </c>
      <c r="W5469">
        <v>1343.4</v>
      </c>
      <c r="X5469">
        <v>0</v>
      </c>
      <c r="Y5469">
        <v>0</v>
      </c>
      <c r="Z5469">
        <v>60393.1</v>
      </c>
      <c r="AA5469">
        <v>61736.5</v>
      </c>
      <c r="AB5469" s="12" t="s">
        <v>201</v>
      </c>
      <c r="AD5469">
        <v>0</v>
      </c>
      <c r="AE5469">
        <v>0</v>
      </c>
      <c r="AH5469">
        <v>130</v>
      </c>
      <c r="AI5469">
        <v>129</v>
      </c>
      <c r="AJ5469">
        <v>1</v>
      </c>
      <c r="AK5469">
        <v>1</v>
      </c>
      <c r="AL5469">
        <v>1</v>
      </c>
      <c r="AM5469">
        <v>99.23</v>
      </c>
      <c r="AN5469">
        <v>478.57749999999999</v>
      </c>
      <c r="AO5469">
        <v>464.56</v>
      </c>
      <c r="AP5469" s="13">
        <v>45922</v>
      </c>
      <c r="AQ5469">
        <v>6</v>
      </c>
      <c r="AR5469">
        <v>0</v>
      </c>
    </row>
    <row r="5470" spans="1:44" x14ac:dyDescent="0.35">
      <c r="A5470" s="12" t="s">
        <v>6573</v>
      </c>
      <c r="B5470" s="12" t="s">
        <v>289</v>
      </c>
      <c r="C5470" s="12" t="s">
        <v>290</v>
      </c>
      <c r="D5470" s="12" t="s">
        <v>175</v>
      </c>
      <c r="E5470" s="12" t="s">
        <v>104</v>
      </c>
      <c r="F5470">
        <v>3</v>
      </c>
      <c r="G5470">
        <v>1</v>
      </c>
      <c r="H5470">
        <v>0</v>
      </c>
      <c r="I5470" s="12" t="s">
        <v>157</v>
      </c>
      <c r="J5470" s="12" t="s">
        <v>158</v>
      </c>
      <c r="K5470" s="12" t="s">
        <v>117</v>
      </c>
      <c r="L5470" s="12" t="s">
        <v>96</v>
      </c>
      <c r="M5470">
        <v>4.72</v>
      </c>
      <c r="N5470" s="12" t="s">
        <v>107</v>
      </c>
      <c r="O5470" s="12" t="s">
        <v>108</v>
      </c>
      <c r="P5470" s="12" t="s">
        <v>109</v>
      </c>
      <c r="Q5470" s="13">
        <v>45880</v>
      </c>
      <c r="R5470" s="13">
        <v>45904</v>
      </c>
      <c r="S5470">
        <v>2025</v>
      </c>
      <c r="T5470" s="12" t="s">
        <v>6515</v>
      </c>
      <c r="U5470">
        <v>106</v>
      </c>
      <c r="V5470">
        <v>193.98169999999999</v>
      </c>
      <c r="W5470">
        <v>464.19</v>
      </c>
      <c r="X5470">
        <v>0</v>
      </c>
      <c r="Y5470">
        <v>0</v>
      </c>
      <c r="Z5470">
        <v>20562.060000000001</v>
      </c>
      <c r="AA5470">
        <v>21026.25</v>
      </c>
      <c r="AB5470" s="12" t="s">
        <v>201</v>
      </c>
      <c r="AD5470">
        <v>0</v>
      </c>
      <c r="AE5470">
        <v>0</v>
      </c>
      <c r="AH5470">
        <v>106</v>
      </c>
      <c r="AI5470">
        <v>105</v>
      </c>
      <c r="AJ5470">
        <v>1</v>
      </c>
      <c r="AK5470">
        <v>1</v>
      </c>
      <c r="AL5470">
        <v>1</v>
      </c>
      <c r="AM5470">
        <v>99.06</v>
      </c>
      <c r="AN5470">
        <v>200.25</v>
      </c>
      <c r="AO5470">
        <v>193.98</v>
      </c>
      <c r="AP5470" s="13">
        <v>45902</v>
      </c>
      <c r="AQ5470">
        <v>-2</v>
      </c>
      <c r="AR5470">
        <v>1</v>
      </c>
    </row>
    <row r="5471" spans="1:44" x14ac:dyDescent="0.35">
      <c r="A5471" s="12" t="s">
        <v>6574</v>
      </c>
      <c r="B5471" s="12" t="s">
        <v>1166</v>
      </c>
      <c r="C5471" s="12" t="s">
        <v>1167</v>
      </c>
      <c r="D5471" s="12" t="s">
        <v>175</v>
      </c>
      <c r="E5471" s="12" t="s">
        <v>65</v>
      </c>
      <c r="F5471">
        <v>3</v>
      </c>
      <c r="G5471">
        <v>5</v>
      </c>
      <c r="H5471">
        <v>0</v>
      </c>
      <c r="I5471" s="12" t="s">
        <v>143</v>
      </c>
      <c r="J5471" s="12" t="s">
        <v>144</v>
      </c>
      <c r="K5471" s="12" t="s">
        <v>133</v>
      </c>
      <c r="L5471" s="12" t="s">
        <v>96</v>
      </c>
      <c r="M5471">
        <v>5.43</v>
      </c>
      <c r="N5471" s="12" t="s">
        <v>107</v>
      </c>
      <c r="O5471" s="12" t="s">
        <v>108</v>
      </c>
      <c r="P5471" s="12" t="s">
        <v>109</v>
      </c>
      <c r="Q5471" s="13">
        <v>45880</v>
      </c>
      <c r="R5471" s="13">
        <v>45906</v>
      </c>
      <c r="S5471">
        <v>2025</v>
      </c>
      <c r="T5471" s="12" t="s">
        <v>6515</v>
      </c>
      <c r="U5471">
        <v>49</v>
      </c>
      <c r="V5471">
        <v>247.87219999999999</v>
      </c>
      <c r="W5471">
        <v>91.64</v>
      </c>
      <c r="X5471">
        <v>0</v>
      </c>
      <c r="Y5471">
        <v>0</v>
      </c>
      <c r="Z5471">
        <v>12145.74</v>
      </c>
      <c r="AA5471">
        <v>12237.38</v>
      </c>
      <c r="AB5471" s="12" t="s">
        <v>201</v>
      </c>
      <c r="AD5471">
        <v>0</v>
      </c>
      <c r="AE5471">
        <v>0</v>
      </c>
      <c r="AH5471">
        <v>49</v>
      </c>
      <c r="AI5471">
        <v>49</v>
      </c>
      <c r="AJ5471">
        <v>0</v>
      </c>
      <c r="AK5471">
        <v>1</v>
      </c>
      <c r="AL5471">
        <v>1</v>
      </c>
      <c r="AM5471">
        <v>100</v>
      </c>
      <c r="AN5471">
        <v>249.7424</v>
      </c>
      <c r="AO5471">
        <v>0</v>
      </c>
      <c r="AP5471" s="13">
        <v>45905</v>
      </c>
      <c r="AQ5471">
        <v>-1</v>
      </c>
      <c r="AR5471">
        <v>1</v>
      </c>
    </row>
    <row r="5472" spans="1:44" x14ac:dyDescent="0.35">
      <c r="A5472" s="12" t="s">
        <v>6575</v>
      </c>
      <c r="B5472" s="12" t="s">
        <v>740</v>
      </c>
      <c r="C5472" s="12" t="s">
        <v>741</v>
      </c>
      <c r="D5472" s="12" t="s">
        <v>64</v>
      </c>
      <c r="E5472" s="12" t="s">
        <v>104</v>
      </c>
      <c r="F5472">
        <v>2</v>
      </c>
      <c r="G5472">
        <v>0</v>
      </c>
      <c r="H5472">
        <v>0</v>
      </c>
      <c r="I5472" s="12" t="s">
        <v>183</v>
      </c>
      <c r="J5472" s="12" t="s">
        <v>184</v>
      </c>
      <c r="K5472" s="12" t="s">
        <v>133</v>
      </c>
      <c r="L5472" s="12" t="s">
        <v>82</v>
      </c>
      <c r="M5472">
        <v>8.6199999999999992</v>
      </c>
      <c r="N5472" s="12" t="s">
        <v>70</v>
      </c>
      <c r="O5472" s="12" t="s">
        <v>71</v>
      </c>
      <c r="P5472" s="12" t="s">
        <v>72</v>
      </c>
      <c r="Q5472" s="13">
        <v>45880</v>
      </c>
      <c r="R5472" s="13">
        <v>45895</v>
      </c>
      <c r="S5472">
        <v>2025</v>
      </c>
      <c r="T5472" s="12" t="s">
        <v>6515</v>
      </c>
      <c r="U5472">
        <v>270</v>
      </c>
      <c r="V5472">
        <v>41.1374</v>
      </c>
      <c r="W5472">
        <v>217.73</v>
      </c>
      <c r="X5472">
        <v>0</v>
      </c>
      <c r="Y5472">
        <v>0</v>
      </c>
      <c r="Z5472">
        <v>11107.1</v>
      </c>
      <c r="AA5472">
        <v>11324.83</v>
      </c>
      <c r="AB5472" s="12" t="s">
        <v>5789</v>
      </c>
      <c r="AC5472">
        <v>41.1374</v>
      </c>
      <c r="AD5472">
        <v>1</v>
      </c>
      <c r="AE5472">
        <v>1</v>
      </c>
      <c r="AF5472">
        <v>0</v>
      </c>
      <c r="AG5472">
        <v>11107.1</v>
      </c>
      <c r="AH5472">
        <v>270</v>
      </c>
      <c r="AI5472">
        <v>269</v>
      </c>
      <c r="AJ5472">
        <v>1</v>
      </c>
      <c r="AK5472">
        <v>1</v>
      </c>
      <c r="AL5472">
        <v>1</v>
      </c>
      <c r="AM5472">
        <v>99.63</v>
      </c>
      <c r="AN5472">
        <v>42.099699999999999</v>
      </c>
      <c r="AO5472">
        <v>41.14</v>
      </c>
      <c r="AP5472" s="13">
        <v>45900</v>
      </c>
      <c r="AQ5472">
        <v>5</v>
      </c>
      <c r="AR5472">
        <v>0</v>
      </c>
    </row>
    <row r="5473" spans="1:44" x14ac:dyDescent="0.35">
      <c r="A5473" s="12" t="s">
        <v>6576</v>
      </c>
      <c r="B5473" s="12" t="s">
        <v>101</v>
      </c>
      <c r="C5473" s="12" t="s">
        <v>102</v>
      </c>
      <c r="D5473" s="12" t="s">
        <v>103</v>
      </c>
      <c r="E5473" s="12" t="s">
        <v>104</v>
      </c>
      <c r="F5473">
        <v>1</v>
      </c>
      <c r="G5473">
        <v>0</v>
      </c>
      <c r="H5473">
        <v>1</v>
      </c>
      <c r="I5473" s="12" t="s">
        <v>105</v>
      </c>
      <c r="J5473" s="12" t="s">
        <v>106</v>
      </c>
      <c r="K5473" s="12" t="s">
        <v>81</v>
      </c>
      <c r="L5473" s="12" t="s">
        <v>96</v>
      </c>
      <c r="M5473">
        <v>5.01</v>
      </c>
      <c r="N5473" s="12" t="s">
        <v>107</v>
      </c>
      <c r="O5473" s="12" t="s">
        <v>108</v>
      </c>
      <c r="P5473" s="12" t="s">
        <v>109</v>
      </c>
      <c r="Q5473" s="13">
        <v>45881</v>
      </c>
      <c r="R5473" s="13">
        <v>45903</v>
      </c>
      <c r="S5473">
        <v>2025</v>
      </c>
      <c r="T5473" s="12" t="s">
        <v>6515</v>
      </c>
      <c r="U5473">
        <v>88</v>
      </c>
      <c r="V5473">
        <v>203.18520000000001</v>
      </c>
      <c r="W5473">
        <v>127.49</v>
      </c>
      <c r="X5473">
        <v>604.44000000000005</v>
      </c>
      <c r="Y5473">
        <v>1</v>
      </c>
      <c r="Z5473">
        <v>17880.3</v>
      </c>
      <c r="AA5473">
        <v>18612.23</v>
      </c>
      <c r="AB5473" s="12" t="s">
        <v>5173</v>
      </c>
      <c r="AC5473">
        <v>203.18520000000001</v>
      </c>
      <c r="AD5473">
        <v>1</v>
      </c>
      <c r="AE5473">
        <v>1</v>
      </c>
      <c r="AF5473">
        <v>0</v>
      </c>
      <c r="AG5473">
        <v>17880.3</v>
      </c>
      <c r="AH5473">
        <v>88</v>
      </c>
      <c r="AI5473">
        <v>88</v>
      </c>
      <c r="AJ5473">
        <v>0</v>
      </c>
      <c r="AK5473">
        <v>1</v>
      </c>
      <c r="AL5473">
        <v>1</v>
      </c>
      <c r="AM5473">
        <v>100</v>
      </c>
      <c r="AN5473">
        <v>211.5026</v>
      </c>
      <c r="AO5473">
        <v>0</v>
      </c>
      <c r="AP5473" s="13">
        <v>45900</v>
      </c>
      <c r="AQ5473">
        <v>-3</v>
      </c>
      <c r="AR5473">
        <v>1</v>
      </c>
    </row>
    <row r="5474" spans="1:44" x14ac:dyDescent="0.35">
      <c r="A5474" s="12" t="s">
        <v>6577</v>
      </c>
      <c r="B5474" s="12" t="s">
        <v>843</v>
      </c>
      <c r="C5474" s="12" t="s">
        <v>844</v>
      </c>
      <c r="D5474" s="12" t="s">
        <v>175</v>
      </c>
      <c r="E5474" s="12" t="s">
        <v>65</v>
      </c>
      <c r="F5474">
        <v>3</v>
      </c>
      <c r="G5474">
        <v>5</v>
      </c>
      <c r="H5474">
        <v>0</v>
      </c>
      <c r="I5474" s="12" t="s">
        <v>359</v>
      </c>
      <c r="J5474" s="12" t="s">
        <v>360</v>
      </c>
      <c r="K5474" s="12" t="s">
        <v>133</v>
      </c>
      <c r="L5474" s="12" t="s">
        <v>82</v>
      </c>
      <c r="M5474">
        <v>12.65</v>
      </c>
      <c r="N5474" s="12" t="s">
        <v>107</v>
      </c>
      <c r="O5474" s="12" t="s">
        <v>108</v>
      </c>
      <c r="P5474" s="12" t="s">
        <v>109</v>
      </c>
      <c r="Q5474" s="13">
        <v>45881</v>
      </c>
      <c r="R5474" s="13">
        <v>45903</v>
      </c>
      <c r="S5474">
        <v>2025</v>
      </c>
      <c r="T5474" s="12" t="s">
        <v>6515</v>
      </c>
      <c r="U5474">
        <v>25</v>
      </c>
      <c r="V5474">
        <v>237.4212</v>
      </c>
      <c r="W5474">
        <v>41.41</v>
      </c>
      <c r="X5474">
        <v>204.62</v>
      </c>
      <c r="Y5474">
        <v>1</v>
      </c>
      <c r="Z5474">
        <v>5935.53</v>
      </c>
      <c r="AA5474">
        <v>6181.56</v>
      </c>
      <c r="AB5474" s="12" t="s">
        <v>6075</v>
      </c>
      <c r="AC5474">
        <v>237.4212</v>
      </c>
      <c r="AD5474">
        <v>1</v>
      </c>
      <c r="AE5474">
        <v>1</v>
      </c>
      <c r="AF5474">
        <v>0</v>
      </c>
      <c r="AG5474">
        <v>5935.53</v>
      </c>
      <c r="AH5474">
        <v>25</v>
      </c>
      <c r="AI5474">
        <v>25</v>
      </c>
      <c r="AJ5474">
        <v>0</v>
      </c>
      <c r="AK5474">
        <v>1</v>
      </c>
      <c r="AL5474">
        <v>1</v>
      </c>
      <c r="AM5474">
        <v>100</v>
      </c>
      <c r="AN5474">
        <v>247.26240000000001</v>
      </c>
      <c r="AO5474">
        <v>0</v>
      </c>
      <c r="AP5474" s="13">
        <v>45900</v>
      </c>
      <c r="AQ5474">
        <v>-3</v>
      </c>
      <c r="AR5474">
        <v>1</v>
      </c>
    </row>
    <row r="5475" spans="1:44" x14ac:dyDescent="0.35">
      <c r="A5475" s="12" t="s">
        <v>6578</v>
      </c>
      <c r="B5475" s="12" t="s">
        <v>416</v>
      </c>
      <c r="C5475" s="12" t="s">
        <v>417</v>
      </c>
      <c r="D5475" s="12" t="s">
        <v>78</v>
      </c>
      <c r="E5475" s="12" t="s">
        <v>65</v>
      </c>
      <c r="F5475">
        <v>3</v>
      </c>
      <c r="G5475">
        <v>5</v>
      </c>
      <c r="H5475">
        <v>0</v>
      </c>
      <c r="I5475" s="12" t="s">
        <v>87</v>
      </c>
      <c r="J5475" s="12" t="s">
        <v>88</v>
      </c>
      <c r="K5475" s="12" t="s">
        <v>89</v>
      </c>
      <c r="L5475" s="12" t="s">
        <v>69</v>
      </c>
      <c r="M5475">
        <v>14.93</v>
      </c>
      <c r="N5475" s="12" t="s">
        <v>97</v>
      </c>
      <c r="O5475" s="12" t="s">
        <v>98</v>
      </c>
      <c r="P5475" s="12" t="s">
        <v>72</v>
      </c>
      <c r="Q5475" s="13">
        <v>45881</v>
      </c>
      <c r="R5475" s="13">
        <v>45910</v>
      </c>
      <c r="S5475">
        <v>2025</v>
      </c>
      <c r="T5475" s="12" t="s">
        <v>6515</v>
      </c>
      <c r="U5475">
        <v>157</v>
      </c>
      <c r="V5475">
        <v>148.3374</v>
      </c>
      <c r="W5475">
        <v>340.6</v>
      </c>
      <c r="X5475">
        <v>0</v>
      </c>
      <c r="Y5475">
        <v>0</v>
      </c>
      <c r="Z5475">
        <v>23288.97</v>
      </c>
      <c r="AA5475">
        <v>23629.57</v>
      </c>
      <c r="AB5475" s="12" t="s">
        <v>201</v>
      </c>
      <c r="AD5475">
        <v>0</v>
      </c>
      <c r="AE5475">
        <v>0</v>
      </c>
      <c r="AH5475">
        <v>157</v>
      </c>
      <c r="AI5475">
        <v>154</v>
      </c>
      <c r="AJ5475">
        <v>3</v>
      </c>
      <c r="AK5475">
        <v>1</v>
      </c>
      <c r="AL5475">
        <v>1</v>
      </c>
      <c r="AM5475">
        <v>98.09</v>
      </c>
      <c r="AN5475">
        <v>153.43879999999999</v>
      </c>
      <c r="AO5475">
        <v>445.01</v>
      </c>
      <c r="AP5475" s="13">
        <v>45909</v>
      </c>
      <c r="AQ5475">
        <v>-1</v>
      </c>
      <c r="AR5475">
        <v>1</v>
      </c>
    </row>
    <row r="5476" spans="1:44" x14ac:dyDescent="0.35">
      <c r="A5476" s="12" t="s">
        <v>6579</v>
      </c>
      <c r="B5476" s="12" t="s">
        <v>685</v>
      </c>
      <c r="C5476" s="12" t="s">
        <v>686</v>
      </c>
      <c r="D5476" s="12" t="s">
        <v>175</v>
      </c>
      <c r="E5476" s="12" t="s">
        <v>104</v>
      </c>
      <c r="F5476">
        <v>2</v>
      </c>
      <c r="G5476">
        <v>0</v>
      </c>
      <c r="H5476">
        <v>0</v>
      </c>
      <c r="I5476" s="12" t="s">
        <v>243</v>
      </c>
      <c r="J5476" s="12" t="s">
        <v>244</v>
      </c>
      <c r="K5476" s="12" t="s">
        <v>81</v>
      </c>
      <c r="L5476" s="12" t="s">
        <v>82</v>
      </c>
      <c r="M5476">
        <v>9.2200000000000006</v>
      </c>
      <c r="N5476" s="12" t="s">
        <v>107</v>
      </c>
      <c r="O5476" s="12" t="s">
        <v>108</v>
      </c>
      <c r="P5476" s="12" t="s">
        <v>109</v>
      </c>
      <c r="Q5476" s="13">
        <v>45881</v>
      </c>
      <c r="R5476" s="13">
        <v>45900</v>
      </c>
      <c r="S5476">
        <v>2025</v>
      </c>
      <c r="T5476" s="12" t="s">
        <v>6515</v>
      </c>
      <c r="U5476">
        <v>69</v>
      </c>
      <c r="V5476">
        <v>242.4247</v>
      </c>
      <c r="W5476">
        <v>258.89</v>
      </c>
      <c r="X5476">
        <v>0</v>
      </c>
      <c r="Y5476">
        <v>0</v>
      </c>
      <c r="Z5476">
        <v>16727.3</v>
      </c>
      <c r="AA5476">
        <v>16986.189999999999</v>
      </c>
      <c r="AB5476" s="12" t="s">
        <v>201</v>
      </c>
      <c r="AD5476">
        <v>0</v>
      </c>
      <c r="AE5476">
        <v>0</v>
      </c>
      <c r="AH5476">
        <v>69</v>
      </c>
      <c r="AI5476">
        <v>68</v>
      </c>
      <c r="AJ5476">
        <v>1</v>
      </c>
      <c r="AK5476">
        <v>1</v>
      </c>
      <c r="AL5476">
        <v>1</v>
      </c>
      <c r="AM5476">
        <v>98.55</v>
      </c>
      <c r="AN5476">
        <v>249.797</v>
      </c>
      <c r="AO5476">
        <v>242.42</v>
      </c>
      <c r="AP5476" s="13">
        <v>45900</v>
      </c>
      <c r="AQ5476">
        <v>0</v>
      </c>
      <c r="AR5476">
        <v>1</v>
      </c>
    </row>
    <row r="5477" spans="1:44" x14ac:dyDescent="0.35">
      <c r="A5477" s="12" t="s">
        <v>6580</v>
      </c>
      <c r="B5477" s="12" t="s">
        <v>241</v>
      </c>
      <c r="C5477" s="12" t="s">
        <v>242</v>
      </c>
      <c r="D5477" s="12" t="s">
        <v>103</v>
      </c>
      <c r="E5477" s="12" t="s">
        <v>142</v>
      </c>
      <c r="F5477">
        <v>3</v>
      </c>
      <c r="G5477">
        <v>11</v>
      </c>
      <c r="H5477">
        <v>0</v>
      </c>
      <c r="I5477" s="12" t="s">
        <v>243</v>
      </c>
      <c r="J5477" s="12" t="s">
        <v>244</v>
      </c>
      <c r="K5477" s="12" t="s">
        <v>81</v>
      </c>
      <c r="L5477" s="12" t="s">
        <v>82</v>
      </c>
      <c r="M5477">
        <v>9.2200000000000006</v>
      </c>
      <c r="N5477" s="12" t="s">
        <v>107</v>
      </c>
      <c r="O5477" s="12" t="s">
        <v>108</v>
      </c>
      <c r="P5477" s="12" t="s">
        <v>109</v>
      </c>
      <c r="Q5477" s="13">
        <v>45881</v>
      </c>
      <c r="R5477" s="13">
        <v>45922</v>
      </c>
      <c r="S5477">
        <v>2025</v>
      </c>
      <c r="T5477" s="12" t="s">
        <v>6515</v>
      </c>
      <c r="U5477">
        <v>57</v>
      </c>
      <c r="V5477">
        <v>182.13919999999999</v>
      </c>
      <c r="W5477">
        <v>241.72</v>
      </c>
      <c r="X5477">
        <v>0</v>
      </c>
      <c r="Y5477">
        <v>0</v>
      </c>
      <c r="Z5477">
        <v>10381.93</v>
      </c>
      <c r="AA5477">
        <v>10623.65</v>
      </c>
      <c r="AB5477" s="12" t="s">
        <v>201</v>
      </c>
      <c r="AD5477">
        <v>0</v>
      </c>
      <c r="AE5477">
        <v>0</v>
      </c>
      <c r="AH5477">
        <v>57</v>
      </c>
      <c r="AI5477">
        <v>56</v>
      </c>
      <c r="AJ5477">
        <v>1</v>
      </c>
      <c r="AK5477">
        <v>1</v>
      </c>
      <c r="AL5477">
        <v>1</v>
      </c>
      <c r="AM5477">
        <v>98.25</v>
      </c>
      <c r="AN5477">
        <v>189.7081</v>
      </c>
      <c r="AO5477">
        <v>182.14</v>
      </c>
      <c r="AP5477" s="13">
        <v>45921</v>
      </c>
      <c r="AQ5477">
        <v>-1</v>
      </c>
      <c r="AR5477">
        <v>1</v>
      </c>
    </row>
    <row r="5478" spans="1:44" x14ac:dyDescent="0.35">
      <c r="A5478" s="12" t="s">
        <v>6581</v>
      </c>
      <c r="B5478" s="12" t="s">
        <v>128</v>
      </c>
      <c r="C5478" s="12" t="s">
        <v>129</v>
      </c>
      <c r="D5478" s="12" t="s">
        <v>130</v>
      </c>
      <c r="E5478" s="12" t="s">
        <v>65</v>
      </c>
      <c r="F5478">
        <v>3</v>
      </c>
      <c r="G5478">
        <v>5</v>
      </c>
      <c r="H5478">
        <v>0</v>
      </c>
      <c r="I5478" s="12" t="s">
        <v>131</v>
      </c>
      <c r="J5478" s="12" t="s">
        <v>132</v>
      </c>
      <c r="K5478" s="12" t="s">
        <v>133</v>
      </c>
      <c r="L5478" s="12" t="s">
        <v>134</v>
      </c>
      <c r="M5478">
        <v>1.51</v>
      </c>
      <c r="N5478" s="12" t="s">
        <v>135</v>
      </c>
      <c r="O5478" s="12" t="s">
        <v>136</v>
      </c>
      <c r="P5478" s="12" t="s">
        <v>137</v>
      </c>
      <c r="Q5478" s="13">
        <v>45881</v>
      </c>
      <c r="R5478" s="13">
        <v>45903</v>
      </c>
      <c r="S5478">
        <v>2025</v>
      </c>
      <c r="T5478" s="12" t="s">
        <v>6515</v>
      </c>
      <c r="U5478">
        <v>22</v>
      </c>
      <c r="V5478">
        <v>351.56259999999997</v>
      </c>
      <c r="W5478">
        <v>135.59</v>
      </c>
      <c r="X5478">
        <v>0</v>
      </c>
      <c r="Y5478">
        <v>0</v>
      </c>
      <c r="Z5478">
        <v>7734.38</v>
      </c>
      <c r="AA5478">
        <v>7869.97</v>
      </c>
      <c r="AB5478" s="12" t="s">
        <v>201</v>
      </c>
      <c r="AD5478">
        <v>0</v>
      </c>
      <c r="AE5478">
        <v>0</v>
      </c>
      <c r="AH5478">
        <v>22</v>
      </c>
      <c r="AI5478">
        <v>21</v>
      </c>
      <c r="AJ5478">
        <v>1</v>
      </c>
      <c r="AK5478">
        <v>1</v>
      </c>
      <c r="AL5478">
        <v>1</v>
      </c>
      <c r="AM5478">
        <v>95.45</v>
      </c>
      <c r="AN5478">
        <v>374.76029999999997</v>
      </c>
      <c r="AO5478">
        <v>351.56</v>
      </c>
      <c r="AP5478" s="13">
        <v>45910</v>
      </c>
      <c r="AQ5478">
        <v>7</v>
      </c>
      <c r="AR5478">
        <v>0</v>
      </c>
    </row>
    <row r="5479" spans="1:44" x14ac:dyDescent="0.35">
      <c r="A5479" s="12" t="s">
        <v>6582</v>
      </c>
      <c r="B5479" s="12" t="s">
        <v>661</v>
      </c>
      <c r="C5479" s="12" t="s">
        <v>662</v>
      </c>
      <c r="D5479" s="12" t="s">
        <v>175</v>
      </c>
      <c r="E5479" s="12" t="s">
        <v>104</v>
      </c>
      <c r="F5479">
        <v>1</v>
      </c>
      <c r="G5479">
        <v>0</v>
      </c>
      <c r="H5479">
        <v>1</v>
      </c>
      <c r="I5479" s="12" t="s">
        <v>183</v>
      </c>
      <c r="J5479" s="12" t="s">
        <v>184</v>
      </c>
      <c r="K5479" s="12" t="s">
        <v>133</v>
      </c>
      <c r="L5479" s="12" t="s">
        <v>82</v>
      </c>
      <c r="M5479">
        <v>8.6199999999999992</v>
      </c>
      <c r="N5479" s="12" t="s">
        <v>145</v>
      </c>
      <c r="O5479" s="12" t="s">
        <v>146</v>
      </c>
      <c r="P5479" s="12" t="s">
        <v>109</v>
      </c>
      <c r="Q5479" s="13">
        <v>45881</v>
      </c>
      <c r="R5479" s="13">
        <v>45896</v>
      </c>
      <c r="S5479">
        <v>2025</v>
      </c>
      <c r="T5479" s="12" t="s">
        <v>6515</v>
      </c>
      <c r="U5479">
        <v>34</v>
      </c>
      <c r="V5479">
        <v>156.57069999999999</v>
      </c>
      <c r="W5479">
        <v>89.23</v>
      </c>
      <c r="X5479">
        <v>0</v>
      </c>
      <c r="Y5479">
        <v>0</v>
      </c>
      <c r="Z5479">
        <v>5323.4</v>
      </c>
      <c r="AA5479">
        <v>5412.63</v>
      </c>
      <c r="AB5479" s="12" t="s">
        <v>5336</v>
      </c>
      <c r="AC5479">
        <v>166.30070000000001</v>
      </c>
      <c r="AD5479">
        <v>1</v>
      </c>
      <c r="AE5479">
        <v>1</v>
      </c>
      <c r="AF5479">
        <v>-330.82</v>
      </c>
      <c r="AG5479">
        <v>5654.22</v>
      </c>
      <c r="AH5479">
        <v>34</v>
      </c>
      <c r="AI5479">
        <v>34</v>
      </c>
      <c r="AJ5479">
        <v>0</v>
      </c>
      <c r="AK5479">
        <v>1</v>
      </c>
      <c r="AL5479">
        <v>1</v>
      </c>
      <c r="AM5479">
        <v>100</v>
      </c>
      <c r="AN5479">
        <v>159.1951</v>
      </c>
      <c r="AO5479">
        <v>0</v>
      </c>
      <c r="AP5479" s="13">
        <v>45895</v>
      </c>
      <c r="AQ5479">
        <v>-1</v>
      </c>
      <c r="AR5479">
        <v>1</v>
      </c>
    </row>
    <row r="5480" spans="1:44" x14ac:dyDescent="0.35">
      <c r="A5480" s="12" t="s">
        <v>6583</v>
      </c>
      <c r="B5480" s="12" t="s">
        <v>302</v>
      </c>
      <c r="C5480" s="12" t="s">
        <v>303</v>
      </c>
      <c r="D5480" s="12" t="s">
        <v>78</v>
      </c>
      <c r="E5480" s="12" t="s">
        <v>65</v>
      </c>
      <c r="F5480">
        <v>2</v>
      </c>
      <c r="G5480">
        <v>3</v>
      </c>
      <c r="H5480">
        <v>0</v>
      </c>
      <c r="I5480" s="12" t="s">
        <v>335</v>
      </c>
      <c r="J5480" s="12" t="s">
        <v>336</v>
      </c>
      <c r="K5480" s="12" t="s">
        <v>89</v>
      </c>
      <c r="L5480" s="12" t="s">
        <v>82</v>
      </c>
      <c r="M5480">
        <v>16</v>
      </c>
      <c r="N5480" s="12" t="s">
        <v>97</v>
      </c>
      <c r="O5480" s="12" t="s">
        <v>98</v>
      </c>
      <c r="P5480" s="12" t="s">
        <v>72</v>
      </c>
      <c r="Q5480" s="13">
        <v>45881</v>
      </c>
      <c r="R5480" s="13">
        <v>45919</v>
      </c>
      <c r="S5480">
        <v>2025</v>
      </c>
      <c r="T5480" s="12" t="s">
        <v>6515</v>
      </c>
      <c r="U5480">
        <v>289</v>
      </c>
      <c r="V5480">
        <v>137.82220000000001</v>
      </c>
      <c r="W5480">
        <v>414.57</v>
      </c>
      <c r="X5480">
        <v>0</v>
      </c>
      <c r="Y5480">
        <v>0</v>
      </c>
      <c r="Z5480">
        <v>39830.620000000003</v>
      </c>
      <c r="AA5480">
        <v>40245.19</v>
      </c>
      <c r="AB5480" s="12" t="s">
        <v>5763</v>
      </c>
      <c r="AC5480">
        <v>137.82220000000001</v>
      </c>
      <c r="AD5480">
        <v>1</v>
      </c>
      <c r="AE5480">
        <v>1</v>
      </c>
      <c r="AF5480">
        <v>0</v>
      </c>
      <c r="AG5480">
        <v>39830.620000000003</v>
      </c>
      <c r="AH5480">
        <v>289</v>
      </c>
      <c r="AI5480">
        <v>283</v>
      </c>
      <c r="AJ5480">
        <v>6</v>
      </c>
      <c r="AK5480">
        <v>1</v>
      </c>
      <c r="AL5480">
        <v>1</v>
      </c>
      <c r="AM5480">
        <v>97.92</v>
      </c>
      <c r="AN5480">
        <v>142.20910000000001</v>
      </c>
      <c r="AO5480">
        <v>826.93</v>
      </c>
      <c r="AP5480" s="13">
        <v>45916</v>
      </c>
      <c r="AQ5480">
        <v>-3</v>
      </c>
      <c r="AR5480">
        <v>1</v>
      </c>
    </row>
    <row r="5481" spans="1:44" x14ac:dyDescent="0.35">
      <c r="A5481" s="12" t="s">
        <v>6584</v>
      </c>
      <c r="B5481" s="12" t="s">
        <v>140</v>
      </c>
      <c r="C5481" s="12" t="s">
        <v>141</v>
      </c>
      <c r="D5481" s="12" t="s">
        <v>103</v>
      </c>
      <c r="E5481" s="12" t="s">
        <v>142</v>
      </c>
      <c r="F5481">
        <v>1</v>
      </c>
      <c r="G5481">
        <v>7</v>
      </c>
      <c r="H5481">
        <v>1</v>
      </c>
      <c r="I5481" s="12" t="s">
        <v>143</v>
      </c>
      <c r="J5481" s="12" t="s">
        <v>144</v>
      </c>
      <c r="K5481" s="12" t="s">
        <v>133</v>
      </c>
      <c r="L5481" s="12" t="s">
        <v>96</v>
      </c>
      <c r="M5481">
        <v>5.43</v>
      </c>
      <c r="N5481" s="12" t="s">
        <v>145</v>
      </c>
      <c r="O5481" s="12" t="s">
        <v>146</v>
      </c>
      <c r="P5481" s="12" t="s">
        <v>109</v>
      </c>
      <c r="Q5481" s="13">
        <v>45881</v>
      </c>
      <c r="R5481" s="13">
        <v>45921</v>
      </c>
      <c r="S5481">
        <v>2025</v>
      </c>
      <c r="T5481" s="12" t="s">
        <v>6515</v>
      </c>
      <c r="U5481">
        <v>51</v>
      </c>
      <c r="V5481">
        <v>210.93029999999999</v>
      </c>
      <c r="W5481">
        <v>222.46</v>
      </c>
      <c r="X5481">
        <v>0</v>
      </c>
      <c r="Y5481">
        <v>0</v>
      </c>
      <c r="Z5481">
        <v>10757.45</v>
      </c>
      <c r="AA5481">
        <v>10979.91</v>
      </c>
      <c r="AB5481" s="12" t="s">
        <v>5126</v>
      </c>
      <c r="AC5481">
        <v>210.93029999999999</v>
      </c>
      <c r="AD5481">
        <v>1</v>
      </c>
      <c r="AE5481">
        <v>1</v>
      </c>
      <c r="AF5481">
        <v>0</v>
      </c>
      <c r="AG5481">
        <v>10757.45</v>
      </c>
      <c r="AH5481">
        <v>51</v>
      </c>
      <c r="AI5481">
        <v>50</v>
      </c>
      <c r="AJ5481">
        <v>1</v>
      </c>
      <c r="AK5481">
        <v>1</v>
      </c>
      <c r="AL5481">
        <v>1</v>
      </c>
      <c r="AM5481">
        <v>98.04</v>
      </c>
      <c r="AN5481">
        <v>219.59809999999999</v>
      </c>
      <c r="AO5481">
        <v>210.93</v>
      </c>
      <c r="AP5481" s="13">
        <v>45927</v>
      </c>
      <c r="AQ5481">
        <v>6</v>
      </c>
      <c r="AR5481">
        <v>0</v>
      </c>
    </row>
    <row r="5482" spans="1:44" x14ac:dyDescent="0.35">
      <c r="A5482" s="12" t="s">
        <v>6585</v>
      </c>
      <c r="B5482" s="12" t="s">
        <v>680</v>
      </c>
      <c r="C5482" s="12" t="s">
        <v>681</v>
      </c>
      <c r="D5482" s="12" t="s">
        <v>122</v>
      </c>
      <c r="E5482" s="12" t="s">
        <v>104</v>
      </c>
      <c r="F5482">
        <v>3</v>
      </c>
      <c r="G5482">
        <v>1</v>
      </c>
      <c r="H5482">
        <v>0</v>
      </c>
      <c r="I5482" s="12" t="s">
        <v>227</v>
      </c>
      <c r="J5482" s="12" t="s">
        <v>228</v>
      </c>
      <c r="K5482" s="12" t="s">
        <v>89</v>
      </c>
      <c r="L5482" s="12" t="s">
        <v>96</v>
      </c>
      <c r="M5482">
        <v>9.15</v>
      </c>
      <c r="N5482" s="12" t="s">
        <v>70</v>
      </c>
      <c r="O5482" s="12" t="s">
        <v>71</v>
      </c>
      <c r="P5482" s="12" t="s">
        <v>72</v>
      </c>
      <c r="Q5482" s="13">
        <v>45882</v>
      </c>
      <c r="R5482" s="13">
        <v>45901</v>
      </c>
      <c r="S5482">
        <v>2025</v>
      </c>
      <c r="T5482" s="12" t="s">
        <v>6515</v>
      </c>
      <c r="U5482">
        <v>988</v>
      </c>
      <c r="V5482">
        <v>21.997199999999999</v>
      </c>
      <c r="W5482">
        <v>319.74</v>
      </c>
      <c r="X5482">
        <v>0</v>
      </c>
      <c r="Y5482">
        <v>0</v>
      </c>
      <c r="Z5482">
        <v>21733.23</v>
      </c>
      <c r="AA5482">
        <v>22052.97</v>
      </c>
      <c r="AB5482" s="12" t="s">
        <v>201</v>
      </c>
      <c r="AD5482">
        <v>0</v>
      </c>
      <c r="AE5482">
        <v>0</v>
      </c>
      <c r="AH5482">
        <v>988</v>
      </c>
      <c r="AI5482">
        <v>978</v>
      </c>
      <c r="AJ5482">
        <v>10</v>
      </c>
      <c r="AK5482">
        <v>1</v>
      </c>
      <c r="AL5482">
        <v>1</v>
      </c>
      <c r="AM5482">
        <v>98.99</v>
      </c>
      <c r="AN5482">
        <v>22.549099999999999</v>
      </c>
      <c r="AO5482">
        <v>219.97</v>
      </c>
      <c r="AP5482" s="13">
        <v>45899</v>
      </c>
      <c r="AQ5482">
        <v>-2</v>
      </c>
      <c r="AR5482">
        <v>1</v>
      </c>
    </row>
    <row r="5483" spans="1:44" x14ac:dyDescent="0.35">
      <c r="A5483" s="12" t="s">
        <v>6586</v>
      </c>
      <c r="B5483" s="12" t="s">
        <v>1034</v>
      </c>
      <c r="C5483" s="12" t="s">
        <v>1035</v>
      </c>
      <c r="D5483" s="12" t="s">
        <v>64</v>
      </c>
      <c r="E5483" s="12" t="s">
        <v>104</v>
      </c>
      <c r="F5483">
        <v>2</v>
      </c>
      <c r="G5483">
        <v>0</v>
      </c>
      <c r="H5483">
        <v>0</v>
      </c>
      <c r="I5483" s="12" t="s">
        <v>157</v>
      </c>
      <c r="J5483" s="12" t="s">
        <v>158</v>
      </c>
      <c r="K5483" s="12" t="s">
        <v>117</v>
      </c>
      <c r="L5483" s="12" t="s">
        <v>96</v>
      </c>
      <c r="M5483">
        <v>4.72</v>
      </c>
      <c r="N5483" s="12" t="s">
        <v>70</v>
      </c>
      <c r="O5483" s="12" t="s">
        <v>71</v>
      </c>
      <c r="P5483" s="12" t="s">
        <v>72</v>
      </c>
      <c r="Q5483" s="13">
        <v>45882</v>
      </c>
      <c r="R5483" s="13">
        <v>45900</v>
      </c>
      <c r="S5483">
        <v>2025</v>
      </c>
      <c r="T5483" s="12" t="s">
        <v>6515</v>
      </c>
      <c r="U5483">
        <v>413</v>
      </c>
      <c r="V5483">
        <v>8.5963999999999992</v>
      </c>
      <c r="W5483">
        <v>58.84</v>
      </c>
      <c r="X5483">
        <v>0</v>
      </c>
      <c r="Y5483">
        <v>0</v>
      </c>
      <c r="Z5483">
        <v>3550.31</v>
      </c>
      <c r="AA5483">
        <v>3609.15</v>
      </c>
      <c r="AB5483" s="12" t="s">
        <v>5798</v>
      </c>
      <c r="AC5483">
        <v>8.5963999999999992</v>
      </c>
      <c r="AD5483">
        <v>1</v>
      </c>
      <c r="AE5483">
        <v>1</v>
      </c>
      <c r="AF5483">
        <v>0</v>
      </c>
      <c r="AG5483">
        <v>3550.31</v>
      </c>
      <c r="AH5483">
        <v>413</v>
      </c>
      <c r="AI5483">
        <v>408</v>
      </c>
      <c r="AJ5483">
        <v>5</v>
      </c>
      <c r="AK5483">
        <v>1</v>
      </c>
      <c r="AL5483">
        <v>1</v>
      </c>
      <c r="AM5483">
        <v>98.79</v>
      </c>
      <c r="AN5483">
        <v>8.8460000000000001</v>
      </c>
      <c r="AO5483">
        <v>42.98</v>
      </c>
      <c r="AP5483" s="13">
        <v>45899</v>
      </c>
      <c r="AQ5483">
        <v>-1</v>
      </c>
      <c r="AR5483">
        <v>1</v>
      </c>
    </row>
    <row r="5484" spans="1:44" x14ac:dyDescent="0.35">
      <c r="A5484" s="12" t="s">
        <v>6587</v>
      </c>
      <c r="B5484" s="12" t="s">
        <v>261</v>
      </c>
      <c r="C5484" s="12" t="s">
        <v>262</v>
      </c>
      <c r="D5484" s="12" t="s">
        <v>114</v>
      </c>
      <c r="E5484" s="12" t="s">
        <v>142</v>
      </c>
      <c r="F5484">
        <v>1</v>
      </c>
      <c r="G5484">
        <v>8</v>
      </c>
      <c r="H5484">
        <v>1</v>
      </c>
      <c r="I5484" s="12" t="s">
        <v>263</v>
      </c>
      <c r="J5484" s="12" t="s">
        <v>264</v>
      </c>
      <c r="K5484" s="12" t="s">
        <v>125</v>
      </c>
      <c r="L5484" s="12" t="s">
        <v>82</v>
      </c>
      <c r="M5484">
        <v>10.210000000000001</v>
      </c>
      <c r="N5484" s="12" t="s">
        <v>70</v>
      </c>
      <c r="O5484" s="12" t="s">
        <v>71</v>
      </c>
      <c r="P5484" s="12" t="s">
        <v>72</v>
      </c>
      <c r="Q5484" s="13">
        <v>45882</v>
      </c>
      <c r="R5484" s="13">
        <v>45930</v>
      </c>
      <c r="S5484">
        <v>2025</v>
      </c>
      <c r="T5484" s="12" t="s">
        <v>6515</v>
      </c>
      <c r="U5484">
        <v>111</v>
      </c>
      <c r="V5484">
        <v>141.8964</v>
      </c>
      <c r="W5484">
        <v>169.94</v>
      </c>
      <c r="X5484">
        <v>0</v>
      </c>
      <c r="Y5484">
        <v>0</v>
      </c>
      <c r="Z5484">
        <v>15750.5</v>
      </c>
      <c r="AA5484">
        <v>15920.44</v>
      </c>
      <c r="AB5484" s="12" t="s">
        <v>201</v>
      </c>
      <c r="AD5484">
        <v>0</v>
      </c>
      <c r="AE5484">
        <v>0</v>
      </c>
      <c r="AH5484">
        <v>111</v>
      </c>
      <c r="AI5484">
        <v>108</v>
      </c>
      <c r="AJ5484">
        <v>3</v>
      </c>
      <c r="AK5484">
        <v>1</v>
      </c>
      <c r="AL5484">
        <v>1</v>
      </c>
      <c r="AM5484">
        <v>97.3</v>
      </c>
      <c r="AN5484">
        <v>147.41149999999999</v>
      </c>
      <c r="AO5484">
        <v>425.69</v>
      </c>
      <c r="AP5484" s="13">
        <v>45932</v>
      </c>
      <c r="AQ5484">
        <v>2</v>
      </c>
      <c r="AR5484">
        <v>0</v>
      </c>
    </row>
    <row r="5485" spans="1:44" x14ac:dyDescent="0.35">
      <c r="A5485" s="12" t="s">
        <v>6588</v>
      </c>
      <c r="B5485" s="12" t="s">
        <v>694</v>
      </c>
      <c r="C5485" s="12" t="s">
        <v>695</v>
      </c>
      <c r="D5485" s="12" t="s">
        <v>103</v>
      </c>
      <c r="E5485" s="12" t="s">
        <v>65</v>
      </c>
      <c r="F5485">
        <v>2</v>
      </c>
      <c r="G5485">
        <v>3</v>
      </c>
      <c r="H5485">
        <v>0</v>
      </c>
      <c r="I5485" s="12" t="s">
        <v>263</v>
      </c>
      <c r="J5485" s="12" t="s">
        <v>264</v>
      </c>
      <c r="K5485" s="12" t="s">
        <v>125</v>
      </c>
      <c r="L5485" s="12" t="s">
        <v>82</v>
      </c>
      <c r="M5485">
        <v>10.210000000000001</v>
      </c>
      <c r="N5485" s="12" t="s">
        <v>145</v>
      </c>
      <c r="O5485" s="12" t="s">
        <v>146</v>
      </c>
      <c r="P5485" s="12" t="s">
        <v>109</v>
      </c>
      <c r="Q5485" s="13">
        <v>45882</v>
      </c>
      <c r="R5485" s="13">
        <v>45909</v>
      </c>
      <c r="S5485">
        <v>2025</v>
      </c>
      <c r="T5485" s="12" t="s">
        <v>6515</v>
      </c>
      <c r="U5485">
        <v>57</v>
      </c>
      <c r="V5485">
        <v>219.0256</v>
      </c>
      <c r="W5485">
        <v>311.12</v>
      </c>
      <c r="X5485">
        <v>431.49</v>
      </c>
      <c r="Y5485">
        <v>1</v>
      </c>
      <c r="Z5485">
        <v>12484.46</v>
      </c>
      <c r="AA5485">
        <v>13227.07</v>
      </c>
      <c r="AB5485" s="12" t="s">
        <v>5721</v>
      </c>
      <c r="AC5485">
        <v>206.7869</v>
      </c>
      <c r="AD5485">
        <v>1</v>
      </c>
      <c r="AE5485">
        <v>1</v>
      </c>
      <c r="AF5485">
        <v>697.61</v>
      </c>
      <c r="AG5485">
        <v>11786.85</v>
      </c>
      <c r="AH5485">
        <v>57</v>
      </c>
      <c r="AI5485">
        <v>57</v>
      </c>
      <c r="AJ5485">
        <v>0</v>
      </c>
      <c r="AK5485">
        <v>1</v>
      </c>
      <c r="AL5485">
        <v>1</v>
      </c>
      <c r="AM5485">
        <v>100</v>
      </c>
      <c r="AN5485">
        <v>232.0538</v>
      </c>
      <c r="AO5485">
        <v>0</v>
      </c>
      <c r="AP5485" s="13">
        <v>45908</v>
      </c>
      <c r="AQ5485">
        <v>-1</v>
      </c>
      <c r="AR5485">
        <v>1</v>
      </c>
    </row>
    <row r="5486" spans="1:44" x14ac:dyDescent="0.35">
      <c r="A5486" s="12" t="s">
        <v>6589</v>
      </c>
      <c r="B5486" s="12" t="s">
        <v>408</v>
      </c>
      <c r="C5486" s="12" t="s">
        <v>409</v>
      </c>
      <c r="D5486" s="12" t="s">
        <v>130</v>
      </c>
      <c r="E5486" s="12" t="s">
        <v>65</v>
      </c>
      <c r="F5486">
        <v>3</v>
      </c>
      <c r="G5486">
        <v>5</v>
      </c>
      <c r="H5486">
        <v>0</v>
      </c>
      <c r="I5486" s="12" t="s">
        <v>94</v>
      </c>
      <c r="J5486" s="12" t="s">
        <v>95</v>
      </c>
      <c r="K5486" s="12" t="s">
        <v>81</v>
      </c>
      <c r="L5486" s="12" t="s">
        <v>96</v>
      </c>
      <c r="M5486">
        <v>4.8099999999999996</v>
      </c>
      <c r="N5486" s="12" t="s">
        <v>159</v>
      </c>
      <c r="O5486" s="12" t="s">
        <v>160</v>
      </c>
      <c r="P5486" s="12" t="s">
        <v>137</v>
      </c>
      <c r="Q5486" s="13">
        <v>45882</v>
      </c>
      <c r="R5486" s="13">
        <v>45906</v>
      </c>
      <c r="S5486">
        <v>2025</v>
      </c>
      <c r="T5486" s="12" t="s">
        <v>6515</v>
      </c>
      <c r="U5486">
        <v>33</v>
      </c>
      <c r="V5486">
        <v>777.95389999999998</v>
      </c>
      <c r="W5486">
        <v>244.57</v>
      </c>
      <c r="X5486">
        <v>0</v>
      </c>
      <c r="Y5486">
        <v>0</v>
      </c>
      <c r="Z5486">
        <v>25672.48</v>
      </c>
      <c r="AA5486">
        <v>25917.05</v>
      </c>
      <c r="AB5486" s="12" t="s">
        <v>201</v>
      </c>
      <c r="AD5486">
        <v>0</v>
      </c>
      <c r="AE5486">
        <v>0</v>
      </c>
      <c r="AH5486">
        <v>33</v>
      </c>
      <c r="AI5486">
        <v>32</v>
      </c>
      <c r="AJ5486">
        <v>1</v>
      </c>
      <c r="AK5486">
        <v>1</v>
      </c>
      <c r="AL5486">
        <v>1</v>
      </c>
      <c r="AM5486">
        <v>96.97</v>
      </c>
      <c r="AN5486">
        <v>809.90779999999995</v>
      </c>
      <c r="AO5486">
        <v>777.95</v>
      </c>
      <c r="AP5486" s="13">
        <v>45906</v>
      </c>
      <c r="AQ5486">
        <v>0</v>
      </c>
      <c r="AR5486">
        <v>1</v>
      </c>
    </row>
    <row r="5487" spans="1:44" x14ac:dyDescent="0.35">
      <c r="A5487" s="12" t="s">
        <v>6590</v>
      </c>
      <c r="B5487" s="12" t="s">
        <v>555</v>
      </c>
      <c r="C5487" s="12" t="s">
        <v>556</v>
      </c>
      <c r="D5487" s="12" t="s">
        <v>114</v>
      </c>
      <c r="E5487" s="12" t="s">
        <v>142</v>
      </c>
      <c r="F5487">
        <v>1</v>
      </c>
      <c r="G5487">
        <v>6</v>
      </c>
      <c r="H5487">
        <v>1</v>
      </c>
      <c r="I5487" s="12" t="s">
        <v>151</v>
      </c>
      <c r="J5487" s="12" t="s">
        <v>152</v>
      </c>
      <c r="K5487" s="12" t="s">
        <v>125</v>
      </c>
      <c r="L5487" s="12" t="s">
        <v>69</v>
      </c>
      <c r="M5487">
        <v>36.479999999999997</v>
      </c>
      <c r="N5487" s="12" t="s">
        <v>70</v>
      </c>
      <c r="O5487" s="12" t="s">
        <v>71</v>
      </c>
      <c r="P5487" s="12" t="s">
        <v>72</v>
      </c>
      <c r="Q5487" s="13">
        <v>45882</v>
      </c>
      <c r="R5487" s="13">
        <v>45924</v>
      </c>
      <c r="S5487">
        <v>2025</v>
      </c>
      <c r="T5487" s="12" t="s">
        <v>6515</v>
      </c>
      <c r="U5487">
        <v>68</v>
      </c>
      <c r="V5487">
        <v>266.68439999999998</v>
      </c>
      <c r="W5487">
        <v>452.7</v>
      </c>
      <c r="X5487">
        <v>0</v>
      </c>
      <c r="Y5487">
        <v>0</v>
      </c>
      <c r="Z5487">
        <v>18134.54</v>
      </c>
      <c r="AA5487">
        <v>18587.240000000002</v>
      </c>
      <c r="AB5487" s="12" t="s">
        <v>6121</v>
      </c>
      <c r="AC5487">
        <v>266.68439999999998</v>
      </c>
      <c r="AD5487">
        <v>1</v>
      </c>
      <c r="AE5487">
        <v>1</v>
      </c>
      <c r="AF5487">
        <v>0</v>
      </c>
      <c r="AG5487">
        <v>18134.54</v>
      </c>
      <c r="AH5487">
        <v>68</v>
      </c>
      <c r="AI5487">
        <v>67</v>
      </c>
      <c r="AJ5487">
        <v>1</v>
      </c>
      <c r="AK5487">
        <v>1</v>
      </c>
      <c r="AL5487">
        <v>1</v>
      </c>
      <c r="AM5487">
        <v>98.53</v>
      </c>
      <c r="AN5487">
        <v>277.42149999999998</v>
      </c>
      <c r="AO5487">
        <v>266.68</v>
      </c>
      <c r="AP5487" s="13">
        <v>45921</v>
      </c>
      <c r="AQ5487">
        <v>-3</v>
      </c>
      <c r="AR5487">
        <v>1</v>
      </c>
    </row>
    <row r="5488" spans="1:44" x14ac:dyDescent="0.35">
      <c r="A5488" s="12" t="s">
        <v>6591</v>
      </c>
      <c r="B5488" s="12" t="s">
        <v>331</v>
      </c>
      <c r="C5488" s="12" t="s">
        <v>332</v>
      </c>
      <c r="D5488" s="12" t="s">
        <v>122</v>
      </c>
      <c r="E5488" s="12" t="s">
        <v>142</v>
      </c>
      <c r="F5488">
        <v>3</v>
      </c>
      <c r="G5488">
        <v>11</v>
      </c>
      <c r="H5488">
        <v>0</v>
      </c>
      <c r="I5488" s="12" t="s">
        <v>263</v>
      </c>
      <c r="J5488" s="12" t="s">
        <v>264</v>
      </c>
      <c r="K5488" s="12" t="s">
        <v>125</v>
      </c>
      <c r="L5488" s="12" t="s">
        <v>82</v>
      </c>
      <c r="M5488">
        <v>10.210000000000001</v>
      </c>
      <c r="N5488" s="12" t="s">
        <v>70</v>
      </c>
      <c r="O5488" s="12" t="s">
        <v>71</v>
      </c>
      <c r="P5488" s="12" t="s">
        <v>72</v>
      </c>
      <c r="Q5488" s="13">
        <v>45882</v>
      </c>
      <c r="R5488" s="13">
        <v>45921</v>
      </c>
      <c r="S5488">
        <v>2025</v>
      </c>
      <c r="T5488" s="12" t="s">
        <v>6515</v>
      </c>
      <c r="U5488">
        <v>693</v>
      </c>
      <c r="V5488">
        <v>23.006</v>
      </c>
      <c r="W5488">
        <v>315.97000000000003</v>
      </c>
      <c r="X5488">
        <v>0</v>
      </c>
      <c r="Y5488">
        <v>0</v>
      </c>
      <c r="Z5488">
        <v>15943.16</v>
      </c>
      <c r="AA5488">
        <v>16259.13</v>
      </c>
      <c r="AB5488" s="12" t="s">
        <v>5234</v>
      </c>
      <c r="AC5488">
        <v>23.006</v>
      </c>
      <c r="AD5488">
        <v>1</v>
      </c>
      <c r="AE5488">
        <v>1</v>
      </c>
      <c r="AF5488">
        <v>0</v>
      </c>
      <c r="AG5488">
        <v>15943.16</v>
      </c>
      <c r="AH5488">
        <v>693</v>
      </c>
      <c r="AI5488">
        <v>687</v>
      </c>
      <c r="AJ5488">
        <v>6</v>
      </c>
      <c r="AK5488">
        <v>1</v>
      </c>
      <c r="AL5488">
        <v>1</v>
      </c>
      <c r="AM5488">
        <v>99.13</v>
      </c>
      <c r="AN5488">
        <v>23.666899999999998</v>
      </c>
      <c r="AO5488">
        <v>138.04</v>
      </c>
      <c r="AP5488" s="13">
        <v>45920</v>
      </c>
      <c r="AQ5488">
        <v>-1</v>
      </c>
      <c r="AR5488">
        <v>1</v>
      </c>
    </row>
    <row r="5489" spans="1:44" x14ac:dyDescent="0.35">
      <c r="A5489" s="12" t="s">
        <v>6592</v>
      </c>
      <c r="B5489" s="12" t="s">
        <v>92</v>
      </c>
      <c r="C5489" s="12" t="s">
        <v>93</v>
      </c>
      <c r="D5489" s="12" t="s">
        <v>64</v>
      </c>
      <c r="E5489" s="12" t="s">
        <v>65</v>
      </c>
      <c r="F5489">
        <v>3</v>
      </c>
      <c r="G5489">
        <v>5</v>
      </c>
      <c r="H5489">
        <v>0</v>
      </c>
      <c r="I5489" s="12" t="s">
        <v>94</v>
      </c>
      <c r="J5489" s="12" t="s">
        <v>95</v>
      </c>
      <c r="K5489" s="12" t="s">
        <v>81</v>
      </c>
      <c r="L5489" s="12" t="s">
        <v>96</v>
      </c>
      <c r="M5489">
        <v>4.8099999999999996</v>
      </c>
      <c r="N5489" s="12" t="s">
        <v>70</v>
      </c>
      <c r="O5489" s="12" t="s">
        <v>71</v>
      </c>
      <c r="P5489" s="12" t="s">
        <v>72</v>
      </c>
      <c r="Q5489" s="13">
        <v>45882</v>
      </c>
      <c r="R5489" s="13">
        <v>45905</v>
      </c>
      <c r="S5489">
        <v>2025</v>
      </c>
      <c r="T5489" s="12" t="s">
        <v>6515</v>
      </c>
      <c r="U5489">
        <v>204</v>
      </c>
      <c r="V5489">
        <v>23.8948</v>
      </c>
      <c r="W5489">
        <v>60.49</v>
      </c>
      <c r="X5489">
        <v>0</v>
      </c>
      <c r="Y5489">
        <v>0</v>
      </c>
      <c r="Z5489">
        <v>4874.54</v>
      </c>
      <c r="AA5489">
        <v>4935.03</v>
      </c>
      <c r="AB5489" s="12" t="s">
        <v>5110</v>
      </c>
      <c r="AC5489">
        <v>23.1553</v>
      </c>
      <c r="AD5489">
        <v>1</v>
      </c>
      <c r="AE5489">
        <v>1</v>
      </c>
      <c r="AF5489">
        <v>150.86000000000001</v>
      </c>
      <c r="AG5489">
        <v>4723.68</v>
      </c>
      <c r="AH5489">
        <v>204</v>
      </c>
      <c r="AI5489">
        <v>202</v>
      </c>
      <c r="AJ5489">
        <v>2</v>
      </c>
      <c r="AK5489">
        <v>1</v>
      </c>
      <c r="AL5489">
        <v>1</v>
      </c>
      <c r="AM5489">
        <v>99.02</v>
      </c>
      <c r="AN5489">
        <v>24.430800000000001</v>
      </c>
      <c r="AO5489">
        <v>47.79</v>
      </c>
      <c r="AP5489" s="13">
        <v>45902</v>
      </c>
      <c r="AQ5489">
        <v>-3</v>
      </c>
      <c r="AR5489">
        <v>1</v>
      </c>
    </row>
    <row r="5490" spans="1:44" x14ac:dyDescent="0.35">
      <c r="A5490" s="12" t="s">
        <v>6593</v>
      </c>
      <c r="B5490" s="12" t="s">
        <v>1026</v>
      </c>
      <c r="C5490" s="12" t="s">
        <v>1027</v>
      </c>
      <c r="D5490" s="12" t="s">
        <v>122</v>
      </c>
      <c r="E5490" s="12" t="s">
        <v>104</v>
      </c>
      <c r="F5490">
        <v>3</v>
      </c>
      <c r="G5490">
        <v>1</v>
      </c>
      <c r="H5490">
        <v>0</v>
      </c>
      <c r="I5490" s="12" t="s">
        <v>515</v>
      </c>
      <c r="J5490" s="12" t="s">
        <v>516</v>
      </c>
      <c r="K5490" s="12" t="s">
        <v>68</v>
      </c>
      <c r="L5490" s="12" t="s">
        <v>134</v>
      </c>
      <c r="M5490">
        <v>3.69</v>
      </c>
      <c r="N5490" s="12" t="s">
        <v>97</v>
      </c>
      <c r="O5490" s="12" t="s">
        <v>98</v>
      </c>
      <c r="P5490" s="12" t="s">
        <v>72</v>
      </c>
      <c r="Q5490" s="13">
        <v>45882</v>
      </c>
      <c r="R5490" s="13">
        <v>45904</v>
      </c>
      <c r="S5490">
        <v>2025</v>
      </c>
      <c r="T5490" s="12" t="s">
        <v>6515</v>
      </c>
      <c r="U5490">
        <v>1207</v>
      </c>
      <c r="V5490">
        <v>43.132399999999997</v>
      </c>
      <c r="W5490">
        <v>951.67</v>
      </c>
      <c r="X5490">
        <v>0</v>
      </c>
      <c r="Y5490">
        <v>0</v>
      </c>
      <c r="Z5490">
        <v>52060.81</v>
      </c>
      <c r="AA5490">
        <v>53012.480000000003</v>
      </c>
      <c r="AB5490" s="12" t="s">
        <v>201</v>
      </c>
      <c r="AD5490">
        <v>0</v>
      </c>
      <c r="AE5490">
        <v>0</v>
      </c>
      <c r="AH5490">
        <v>1207</v>
      </c>
      <c r="AI5490">
        <v>1194</v>
      </c>
      <c r="AJ5490">
        <v>13</v>
      </c>
      <c r="AK5490">
        <v>1</v>
      </c>
      <c r="AL5490">
        <v>1</v>
      </c>
      <c r="AM5490">
        <v>98.92</v>
      </c>
      <c r="AN5490">
        <v>44.399099999999997</v>
      </c>
      <c r="AO5490">
        <v>560.72</v>
      </c>
      <c r="AP5490" s="13">
        <v>45904</v>
      </c>
      <c r="AQ5490">
        <v>0</v>
      </c>
      <c r="AR5490">
        <v>1</v>
      </c>
    </row>
    <row r="5491" spans="1:44" x14ac:dyDescent="0.35">
      <c r="A5491" s="12" t="s">
        <v>6594</v>
      </c>
      <c r="B5491" s="12" t="s">
        <v>347</v>
      </c>
      <c r="C5491" s="12" t="s">
        <v>348</v>
      </c>
      <c r="D5491" s="12" t="s">
        <v>78</v>
      </c>
      <c r="E5491" s="12" t="s">
        <v>104</v>
      </c>
      <c r="F5491">
        <v>3</v>
      </c>
      <c r="G5491">
        <v>1</v>
      </c>
      <c r="H5491">
        <v>0</v>
      </c>
      <c r="I5491" s="12" t="s">
        <v>105</v>
      </c>
      <c r="J5491" s="12" t="s">
        <v>106</v>
      </c>
      <c r="K5491" s="12" t="s">
        <v>81</v>
      </c>
      <c r="L5491" s="12" t="s">
        <v>96</v>
      </c>
      <c r="M5491">
        <v>5.01</v>
      </c>
      <c r="N5491" s="12" t="s">
        <v>97</v>
      </c>
      <c r="O5491" s="12" t="s">
        <v>98</v>
      </c>
      <c r="P5491" s="12" t="s">
        <v>72</v>
      </c>
      <c r="Q5491" s="13">
        <v>45883</v>
      </c>
      <c r="R5491" s="13">
        <v>45898</v>
      </c>
      <c r="S5491">
        <v>2025</v>
      </c>
      <c r="T5491" s="12" t="s">
        <v>6515</v>
      </c>
      <c r="U5491">
        <v>88</v>
      </c>
      <c r="V5491">
        <v>108.70310000000001</v>
      </c>
      <c r="W5491">
        <v>88.45</v>
      </c>
      <c r="X5491">
        <v>0</v>
      </c>
      <c r="Y5491">
        <v>0</v>
      </c>
      <c r="Z5491">
        <v>9565.8700000000008</v>
      </c>
      <c r="AA5491">
        <v>9654.32</v>
      </c>
      <c r="AB5491" s="12" t="s">
        <v>201</v>
      </c>
      <c r="AD5491">
        <v>0</v>
      </c>
      <c r="AE5491">
        <v>0</v>
      </c>
      <c r="AH5491">
        <v>88</v>
      </c>
      <c r="AI5491">
        <v>86</v>
      </c>
      <c r="AJ5491">
        <v>2</v>
      </c>
      <c r="AK5491">
        <v>1</v>
      </c>
      <c r="AL5491">
        <v>1</v>
      </c>
      <c r="AM5491">
        <v>97.73</v>
      </c>
      <c r="AN5491">
        <v>112.25960000000001</v>
      </c>
      <c r="AO5491">
        <v>217.41</v>
      </c>
      <c r="AP5491" s="13">
        <v>45901</v>
      </c>
      <c r="AQ5491">
        <v>3</v>
      </c>
      <c r="AR5491">
        <v>0</v>
      </c>
    </row>
    <row r="5492" spans="1:44" x14ac:dyDescent="0.35">
      <c r="A5492" s="12" t="s">
        <v>6595</v>
      </c>
      <c r="B5492" s="12" t="s">
        <v>657</v>
      </c>
      <c r="C5492" s="12" t="s">
        <v>658</v>
      </c>
      <c r="D5492" s="12" t="s">
        <v>175</v>
      </c>
      <c r="E5492" s="12" t="s">
        <v>65</v>
      </c>
      <c r="F5492">
        <v>1</v>
      </c>
      <c r="G5492">
        <v>2</v>
      </c>
      <c r="H5492">
        <v>1</v>
      </c>
      <c r="I5492" s="12" t="s">
        <v>183</v>
      </c>
      <c r="J5492" s="12" t="s">
        <v>184</v>
      </c>
      <c r="K5492" s="12" t="s">
        <v>133</v>
      </c>
      <c r="L5492" s="12" t="s">
        <v>82</v>
      </c>
      <c r="M5492">
        <v>8.6199999999999992</v>
      </c>
      <c r="N5492" s="12" t="s">
        <v>145</v>
      </c>
      <c r="O5492" s="12" t="s">
        <v>146</v>
      </c>
      <c r="P5492" s="12" t="s">
        <v>109</v>
      </c>
      <c r="Q5492" s="13">
        <v>45883</v>
      </c>
      <c r="R5492" s="13">
        <v>45916</v>
      </c>
      <c r="S5492">
        <v>2025</v>
      </c>
      <c r="T5492" s="12" t="s">
        <v>6515</v>
      </c>
      <c r="U5492">
        <v>104</v>
      </c>
      <c r="V5492">
        <v>144.5094</v>
      </c>
      <c r="W5492">
        <v>264.60000000000002</v>
      </c>
      <c r="X5492">
        <v>523.70000000000005</v>
      </c>
      <c r="Y5492">
        <v>1</v>
      </c>
      <c r="Z5492">
        <v>15028.98</v>
      </c>
      <c r="AA5492">
        <v>15817.28</v>
      </c>
      <c r="AB5492" s="12" t="s">
        <v>5771</v>
      </c>
      <c r="AC5492">
        <v>144.5094</v>
      </c>
      <c r="AD5492">
        <v>1</v>
      </c>
      <c r="AE5492">
        <v>1</v>
      </c>
      <c r="AF5492">
        <v>0</v>
      </c>
      <c r="AG5492">
        <v>15028.98</v>
      </c>
      <c r="AH5492">
        <v>104</v>
      </c>
      <c r="AI5492">
        <v>104</v>
      </c>
      <c r="AJ5492">
        <v>0</v>
      </c>
      <c r="AK5492">
        <v>1</v>
      </c>
      <c r="AL5492">
        <v>1</v>
      </c>
      <c r="AM5492">
        <v>100</v>
      </c>
      <c r="AN5492">
        <v>152.08920000000001</v>
      </c>
      <c r="AO5492">
        <v>0</v>
      </c>
      <c r="AP5492" s="13">
        <v>45913</v>
      </c>
      <c r="AQ5492">
        <v>-3</v>
      </c>
      <c r="AR5492">
        <v>1</v>
      </c>
    </row>
    <row r="5493" spans="1:44" x14ac:dyDescent="0.35">
      <c r="A5493" s="12" t="s">
        <v>6596</v>
      </c>
      <c r="B5493" s="12" t="s">
        <v>267</v>
      </c>
      <c r="C5493" s="12" t="s">
        <v>268</v>
      </c>
      <c r="D5493" s="12" t="s">
        <v>269</v>
      </c>
      <c r="E5493" s="12" t="s">
        <v>142</v>
      </c>
      <c r="F5493">
        <v>1</v>
      </c>
      <c r="G5493">
        <v>8</v>
      </c>
      <c r="H5493">
        <v>1</v>
      </c>
      <c r="I5493" s="12" t="s">
        <v>94</v>
      </c>
      <c r="J5493" s="12" t="s">
        <v>95</v>
      </c>
      <c r="K5493" s="12" t="s">
        <v>81</v>
      </c>
      <c r="L5493" s="12" t="s">
        <v>96</v>
      </c>
      <c r="M5493">
        <v>4.8099999999999996</v>
      </c>
      <c r="N5493" s="12" t="s">
        <v>159</v>
      </c>
      <c r="O5493" s="12" t="s">
        <v>160</v>
      </c>
      <c r="P5493" s="12" t="s">
        <v>137</v>
      </c>
      <c r="Q5493" s="13">
        <v>45883</v>
      </c>
      <c r="R5493" s="13">
        <v>45929</v>
      </c>
      <c r="S5493">
        <v>2025</v>
      </c>
      <c r="T5493" s="12" t="s">
        <v>6515</v>
      </c>
      <c r="U5493">
        <v>103</v>
      </c>
      <c r="V5493">
        <v>227.27619999999999</v>
      </c>
      <c r="W5493">
        <v>250.13</v>
      </c>
      <c r="X5493">
        <v>0</v>
      </c>
      <c r="Y5493">
        <v>0</v>
      </c>
      <c r="Z5493">
        <v>23409.45</v>
      </c>
      <c r="AA5493">
        <v>23659.58</v>
      </c>
      <c r="AB5493" s="12" t="s">
        <v>201</v>
      </c>
      <c r="AD5493">
        <v>0</v>
      </c>
      <c r="AE5493">
        <v>0</v>
      </c>
      <c r="AH5493">
        <v>103</v>
      </c>
      <c r="AI5493">
        <v>102</v>
      </c>
      <c r="AJ5493">
        <v>1</v>
      </c>
      <c r="AK5493">
        <v>1</v>
      </c>
      <c r="AL5493">
        <v>1</v>
      </c>
      <c r="AM5493">
        <v>99.03</v>
      </c>
      <c r="AN5493">
        <v>231.95670000000001</v>
      </c>
      <c r="AO5493">
        <v>227.28</v>
      </c>
      <c r="AP5493" s="13">
        <v>45926</v>
      </c>
      <c r="AQ5493">
        <v>-3</v>
      </c>
      <c r="AR5493">
        <v>1</v>
      </c>
    </row>
    <row r="5494" spans="1:44" x14ac:dyDescent="0.35">
      <c r="A5494" s="12" t="s">
        <v>6597</v>
      </c>
      <c r="B5494" s="12" t="s">
        <v>193</v>
      </c>
      <c r="C5494" s="12" t="s">
        <v>194</v>
      </c>
      <c r="D5494" s="12" t="s">
        <v>114</v>
      </c>
      <c r="E5494" s="12" t="s">
        <v>65</v>
      </c>
      <c r="F5494">
        <v>3</v>
      </c>
      <c r="G5494">
        <v>4</v>
      </c>
      <c r="H5494">
        <v>0</v>
      </c>
      <c r="I5494" s="12" t="s">
        <v>195</v>
      </c>
      <c r="J5494" s="12" t="s">
        <v>196</v>
      </c>
      <c r="K5494" s="12" t="s">
        <v>117</v>
      </c>
      <c r="L5494" s="12" t="s">
        <v>134</v>
      </c>
      <c r="M5494">
        <v>4.7699999999999996</v>
      </c>
      <c r="N5494" s="12" t="s">
        <v>70</v>
      </c>
      <c r="O5494" s="12" t="s">
        <v>71</v>
      </c>
      <c r="P5494" s="12" t="s">
        <v>72</v>
      </c>
      <c r="Q5494" s="13">
        <v>45883</v>
      </c>
      <c r="R5494" s="13">
        <v>45914</v>
      </c>
      <c r="S5494">
        <v>2025</v>
      </c>
      <c r="T5494" s="12" t="s">
        <v>6515</v>
      </c>
      <c r="U5494">
        <v>90</v>
      </c>
      <c r="V5494">
        <v>104.5202</v>
      </c>
      <c r="W5494">
        <v>73.37</v>
      </c>
      <c r="X5494">
        <v>0</v>
      </c>
      <c r="Y5494">
        <v>0</v>
      </c>
      <c r="Z5494">
        <v>9406.82</v>
      </c>
      <c r="AA5494">
        <v>9480.19</v>
      </c>
      <c r="AB5494" s="12" t="s">
        <v>5258</v>
      </c>
      <c r="AC5494">
        <v>104.5202</v>
      </c>
      <c r="AD5494">
        <v>1</v>
      </c>
      <c r="AE5494">
        <v>1</v>
      </c>
      <c r="AF5494">
        <v>0</v>
      </c>
      <c r="AG5494">
        <v>9406.82</v>
      </c>
      <c r="AH5494">
        <v>90</v>
      </c>
      <c r="AI5494">
        <v>89</v>
      </c>
      <c r="AJ5494">
        <v>1</v>
      </c>
      <c r="AK5494">
        <v>1</v>
      </c>
      <c r="AL5494">
        <v>1</v>
      </c>
      <c r="AM5494">
        <v>98.89</v>
      </c>
      <c r="AN5494">
        <v>106.51900000000001</v>
      </c>
      <c r="AO5494">
        <v>104.52</v>
      </c>
      <c r="AP5494" s="13">
        <v>45912</v>
      </c>
      <c r="AQ5494">
        <v>-2</v>
      </c>
      <c r="AR5494">
        <v>1</v>
      </c>
    </row>
    <row r="5495" spans="1:44" x14ac:dyDescent="0.35">
      <c r="A5495" s="12" t="s">
        <v>6598</v>
      </c>
      <c r="B5495" s="12" t="s">
        <v>544</v>
      </c>
      <c r="C5495" s="12" t="s">
        <v>545</v>
      </c>
      <c r="D5495" s="12" t="s">
        <v>175</v>
      </c>
      <c r="E5495" s="12" t="s">
        <v>65</v>
      </c>
      <c r="F5495">
        <v>3</v>
      </c>
      <c r="G5495">
        <v>5</v>
      </c>
      <c r="H5495">
        <v>0</v>
      </c>
      <c r="I5495" s="12" t="s">
        <v>66</v>
      </c>
      <c r="J5495" s="12" t="s">
        <v>67</v>
      </c>
      <c r="K5495" s="12" t="s">
        <v>68</v>
      </c>
      <c r="L5495" s="12" t="s">
        <v>69</v>
      </c>
      <c r="M5495">
        <v>17.66</v>
      </c>
      <c r="N5495" s="12" t="s">
        <v>145</v>
      </c>
      <c r="O5495" s="12" t="s">
        <v>146</v>
      </c>
      <c r="P5495" s="12" t="s">
        <v>109</v>
      </c>
      <c r="Q5495" s="13">
        <v>45884</v>
      </c>
      <c r="R5495" s="13">
        <v>45906</v>
      </c>
      <c r="S5495">
        <v>2025</v>
      </c>
      <c r="T5495" s="12" t="s">
        <v>6515</v>
      </c>
      <c r="U5495">
        <v>21</v>
      </c>
      <c r="V5495">
        <v>139.75450000000001</v>
      </c>
      <c r="W5495">
        <v>22.32</v>
      </c>
      <c r="X5495">
        <v>0</v>
      </c>
      <c r="Y5495">
        <v>0</v>
      </c>
      <c r="Z5495">
        <v>2934.84</v>
      </c>
      <c r="AA5495">
        <v>2957.16</v>
      </c>
      <c r="AB5495" s="12" t="s">
        <v>201</v>
      </c>
      <c r="AD5495">
        <v>0</v>
      </c>
      <c r="AE5495">
        <v>0</v>
      </c>
      <c r="AH5495">
        <v>21</v>
      </c>
      <c r="AI5495">
        <v>21</v>
      </c>
      <c r="AJ5495">
        <v>0</v>
      </c>
      <c r="AK5495">
        <v>1</v>
      </c>
      <c r="AL5495">
        <v>1</v>
      </c>
      <c r="AM5495">
        <v>100</v>
      </c>
      <c r="AN5495">
        <v>140.81739999999999</v>
      </c>
      <c r="AO5495">
        <v>0</v>
      </c>
      <c r="AP5495" s="13">
        <v>45903</v>
      </c>
      <c r="AQ5495">
        <v>-3</v>
      </c>
      <c r="AR5495">
        <v>1</v>
      </c>
    </row>
    <row r="5496" spans="1:44" x14ac:dyDescent="0.35">
      <c r="A5496" s="12" t="s">
        <v>6599</v>
      </c>
      <c r="B5496" s="12" t="s">
        <v>404</v>
      </c>
      <c r="C5496" s="12" t="s">
        <v>405</v>
      </c>
      <c r="D5496" s="12" t="s">
        <v>269</v>
      </c>
      <c r="E5496" s="12" t="s">
        <v>65</v>
      </c>
      <c r="F5496">
        <v>3</v>
      </c>
      <c r="G5496">
        <v>5</v>
      </c>
      <c r="H5496">
        <v>0</v>
      </c>
      <c r="I5496" s="12" t="s">
        <v>79</v>
      </c>
      <c r="J5496" s="12" t="s">
        <v>80</v>
      </c>
      <c r="K5496" s="12" t="s">
        <v>81</v>
      </c>
      <c r="L5496" s="12" t="s">
        <v>82</v>
      </c>
      <c r="M5496">
        <v>12.07</v>
      </c>
      <c r="N5496" s="12" t="s">
        <v>159</v>
      </c>
      <c r="O5496" s="12" t="s">
        <v>160</v>
      </c>
      <c r="P5496" s="12" t="s">
        <v>137</v>
      </c>
      <c r="Q5496" s="13">
        <v>45884</v>
      </c>
      <c r="R5496" s="13">
        <v>45908</v>
      </c>
      <c r="S5496">
        <v>2025</v>
      </c>
      <c r="T5496" s="12" t="s">
        <v>6515</v>
      </c>
      <c r="U5496">
        <v>33</v>
      </c>
      <c r="V5496">
        <v>430.10059999999999</v>
      </c>
      <c r="W5496">
        <v>208.76</v>
      </c>
      <c r="X5496">
        <v>0</v>
      </c>
      <c r="Y5496">
        <v>0</v>
      </c>
      <c r="Z5496">
        <v>14193.32</v>
      </c>
      <c r="AA5496">
        <v>14402.08</v>
      </c>
      <c r="AB5496" s="12" t="s">
        <v>5503</v>
      </c>
      <c r="AC5496">
        <v>430.10059999999999</v>
      </c>
      <c r="AD5496">
        <v>1</v>
      </c>
      <c r="AE5496">
        <v>1</v>
      </c>
      <c r="AF5496">
        <v>0</v>
      </c>
      <c r="AG5496">
        <v>14193.32</v>
      </c>
      <c r="AH5496">
        <v>33</v>
      </c>
      <c r="AI5496">
        <v>33</v>
      </c>
      <c r="AJ5496">
        <v>0</v>
      </c>
      <c r="AK5496">
        <v>1</v>
      </c>
      <c r="AL5496">
        <v>1</v>
      </c>
      <c r="AM5496">
        <v>100</v>
      </c>
      <c r="AN5496">
        <v>436.42669999999998</v>
      </c>
      <c r="AO5496">
        <v>0</v>
      </c>
      <c r="AP5496" s="13">
        <v>45907</v>
      </c>
      <c r="AQ5496">
        <v>-1</v>
      </c>
      <c r="AR5496">
        <v>1</v>
      </c>
    </row>
    <row r="5497" spans="1:44" x14ac:dyDescent="0.35">
      <c r="A5497" s="12" t="s">
        <v>6600</v>
      </c>
      <c r="B5497" s="12" t="s">
        <v>891</v>
      </c>
      <c r="C5497" s="12" t="s">
        <v>892</v>
      </c>
      <c r="D5497" s="12" t="s">
        <v>122</v>
      </c>
      <c r="E5497" s="12" t="s">
        <v>65</v>
      </c>
      <c r="F5497">
        <v>3</v>
      </c>
      <c r="G5497">
        <v>5</v>
      </c>
      <c r="H5497">
        <v>0</v>
      </c>
      <c r="I5497" s="12" t="s">
        <v>195</v>
      </c>
      <c r="J5497" s="12" t="s">
        <v>196</v>
      </c>
      <c r="K5497" s="12" t="s">
        <v>117</v>
      </c>
      <c r="L5497" s="12" t="s">
        <v>134</v>
      </c>
      <c r="M5497">
        <v>4.7699999999999996</v>
      </c>
      <c r="N5497" s="12" t="s">
        <v>70</v>
      </c>
      <c r="O5497" s="12" t="s">
        <v>71</v>
      </c>
      <c r="P5497" s="12" t="s">
        <v>72</v>
      </c>
      <c r="Q5497" s="13">
        <v>45884</v>
      </c>
      <c r="R5497" s="13">
        <v>45914</v>
      </c>
      <c r="S5497">
        <v>2025</v>
      </c>
      <c r="T5497" s="12" t="s">
        <v>6515</v>
      </c>
      <c r="U5497">
        <v>1101</v>
      </c>
      <c r="V5497">
        <v>38.254199999999997</v>
      </c>
      <c r="W5497">
        <v>704.46</v>
      </c>
      <c r="X5497">
        <v>0</v>
      </c>
      <c r="Y5497">
        <v>0</v>
      </c>
      <c r="Z5497">
        <v>42117.87</v>
      </c>
      <c r="AA5497">
        <v>42822.33</v>
      </c>
      <c r="AB5497" s="12" t="s">
        <v>5810</v>
      </c>
      <c r="AC5497">
        <v>36.331099999999999</v>
      </c>
      <c r="AD5497">
        <v>1</v>
      </c>
      <c r="AE5497">
        <v>1</v>
      </c>
      <c r="AF5497">
        <v>2117.33</v>
      </c>
      <c r="AG5497">
        <v>40000.54</v>
      </c>
      <c r="AH5497">
        <v>1101</v>
      </c>
      <c r="AI5497">
        <v>1098</v>
      </c>
      <c r="AJ5497">
        <v>3</v>
      </c>
      <c r="AK5497">
        <v>1</v>
      </c>
      <c r="AL5497">
        <v>1</v>
      </c>
      <c r="AM5497">
        <v>99.73</v>
      </c>
      <c r="AN5497">
        <v>39.000300000000003</v>
      </c>
      <c r="AO5497">
        <v>114.76</v>
      </c>
      <c r="AP5497" s="13">
        <v>45911</v>
      </c>
      <c r="AQ5497">
        <v>-3</v>
      </c>
      <c r="AR5497">
        <v>1</v>
      </c>
    </row>
    <row r="5498" spans="1:44" x14ac:dyDescent="0.35">
      <c r="A5498" s="12" t="s">
        <v>6601</v>
      </c>
      <c r="B5498" s="12" t="s">
        <v>843</v>
      </c>
      <c r="C5498" s="12" t="s">
        <v>844</v>
      </c>
      <c r="D5498" s="12" t="s">
        <v>175</v>
      </c>
      <c r="E5498" s="12" t="s">
        <v>65</v>
      </c>
      <c r="F5498">
        <v>3</v>
      </c>
      <c r="G5498">
        <v>5</v>
      </c>
      <c r="H5498">
        <v>0</v>
      </c>
      <c r="I5498" s="12" t="s">
        <v>359</v>
      </c>
      <c r="J5498" s="12" t="s">
        <v>360</v>
      </c>
      <c r="K5498" s="12" t="s">
        <v>133</v>
      </c>
      <c r="L5498" s="12" t="s">
        <v>82</v>
      </c>
      <c r="M5498">
        <v>12.65</v>
      </c>
      <c r="N5498" s="12" t="s">
        <v>145</v>
      </c>
      <c r="O5498" s="12" t="s">
        <v>146</v>
      </c>
      <c r="P5498" s="12" t="s">
        <v>109</v>
      </c>
      <c r="Q5498" s="13">
        <v>45884</v>
      </c>
      <c r="R5498" s="13">
        <v>45920</v>
      </c>
      <c r="S5498">
        <v>2025</v>
      </c>
      <c r="T5498" s="12" t="s">
        <v>6515</v>
      </c>
      <c r="U5498">
        <v>132</v>
      </c>
      <c r="V5498">
        <v>237.4212</v>
      </c>
      <c r="W5498">
        <v>548.04</v>
      </c>
      <c r="X5498">
        <v>1033.74</v>
      </c>
      <c r="Y5498">
        <v>1</v>
      </c>
      <c r="Z5498">
        <v>31339.599999999999</v>
      </c>
      <c r="AA5498">
        <v>32921.379999999997</v>
      </c>
      <c r="AB5498" s="12" t="s">
        <v>6075</v>
      </c>
      <c r="AC5498">
        <v>237.4212</v>
      </c>
      <c r="AD5498">
        <v>1</v>
      </c>
      <c r="AE5498">
        <v>1</v>
      </c>
      <c r="AF5498">
        <v>0</v>
      </c>
      <c r="AG5498">
        <v>31339.599999999999</v>
      </c>
      <c r="AH5498">
        <v>132</v>
      </c>
      <c r="AI5498">
        <v>130</v>
      </c>
      <c r="AJ5498">
        <v>2</v>
      </c>
      <c r="AK5498">
        <v>1</v>
      </c>
      <c r="AL5498">
        <v>1</v>
      </c>
      <c r="AM5498">
        <v>98.48</v>
      </c>
      <c r="AN5498">
        <v>253.2414</v>
      </c>
      <c r="AO5498">
        <v>474.84</v>
      </c>
      <c r="AP5498" s="13">
        <v>45918</v>
      </c>
      <c r="AQ5498">
        <v>-2</v>
      </c>
      <c r="AR5498">
        <v>1</v>
      </c>
    </row>
    <row r="5499" spans="1:44" x14ac:dyDescent="0.35">
      <c r="A5499" s="12" t="s">
        <v>6602</v>
      </c>
      <c r="B5499" s="12" t="s">
        <v>412</v>
      </c>
      <c r="C5499" s="12" t="s">
        <v>413</v>
      </c>
      <c r="D5499" s="12" t="s">
        <v>269</v>
      </c>
      <c r="E5499" s="12" t="s">
        <v>65</v>
      </c>
      <c r="F5499">
        <v>1</v>
      </c>
      <c r="G5499">
        <v>2</v>
      </c>
      <c r="H5499">
        <v>1</v>
      </c>
      <c r="I5499" s="12" t="s">
        <v>233</v>
      </c>
      <c r="J5499" s="12" t="s">
        <v>234</v>
      </c>
      <c r="K5499" s="12" t="s">
        <v>125</v>
      </c>
      <c r="L5499" s="12" t="s">
        <v>96</v>
      </c>
      <c r="M5499">
        <v>3.73</v>
      </c>
      <c r="N5499" s="12" t="s">
        <v>159</v>
      </c>
      <c r="O5499" s="12" t="s">
        <v>160</v>
      </c>
      <c r="P5499" s="12" t="s">
        <v>137</v>
      </c>
      <c r="Q5499" s="13">
        <v>45884</v>
      </c>
      <c r="R5499" s="13">
        <v>45919</v>
      </c>
      <c r="S5499">
        <v>2025</v>
      </c>
      <c r="T5499" s="12" t="s">
        <v>6515</v>
      </c>
      <c r="U5499">
        <v>126</v>
      </c>
      <c r="V5499">
        <v>103.87350000000001</v>
      </c>
      <c r="W5499">
        <v>143.25</v>
      </c>
      <c r="X5499">
        <v>0</v>
      </c>
      <c r="Y5499">
        <v>0</v>
      </c>
      <c r="Z5499">
        <v>13088.06</v>
      </c>
      <c r="AA5499">
        <v>13231.31</v>
      </c>
      <c r="AB5499" s="12" t="s">
        <v>5424</v>
      </c>
      <c r="AC5499">
        <v>103.87350000000001</v>
      </c>
      <c r="AD5499">
        <v>1</v>
      </c>
      <c r="AE5499">
        <v>1</v>
      </c>
      <c r="AF5499">
        <v>0</v>
      </c>
      <c r="AG5499">
        <v>13088.06</v>
      </c>
      <c r="AH5499">
        <v>126</v>
      </c>
      <c r="AI5499">
        <v>125</v>
      </c>
      <c r="AJ5499">
        <v>1</v>
      </c>
      <c r="AK5499">
        <v>1</v>
      </c>
      <c r="AL5499">
        <v>1</v>
      </c>
      <c r="AM5499">
        <v>99.21</v>
      </c>
      <c r="AN5499">
        <v>105.8505</v>
      </c>
      <c r="AO5499">
        <v>103.87</v>
      </c>
      <c r="AP5499" s="13">
        <v>45919</v>
      </c>
      <c r="AQ5499">
        <v>0</v>
      </c>
      <c r="AR5499">
        <v>1</v>
      </c>
    </row>
    <row r="5500" spans="1:44" x14ac:dyDescent="0.35">
      <c r="A5500" s="12" t="s">
        <v>6603</v>
      </c>
      <c r="B5500" s="12" t="s">
        <v>472</v>
      </c>
      <c r="C5500" s="12" t="s">
        <v>473</v>
      </c>
      <c r="D5500" s="12" t="s">
        <v>122</v>
      </c>
      <c r="E5500" s="12" t="s">
        <v>142</v>
      </c>
      <c r="F5500">
        <v>2</v>
      </c>
      <c r="G5500">
        <v>9</v>
      </c>
      <c r="H5500">
        <v>0</v>
      </c>
      <c r="I5500" s="12" t="s">
        <v>87</v>
      </c>
      <c r="J5500" s="12" t="s">
        <v>88</v>
      </c>
      <c r="K5500" s="12" t="s">
        <v>89</v>
      </c>
      <c r="L5500" s="12" t="s">
        <v>69</v>
      </c>
      <c r="M5500">
        <v>14.93</v>
      </c>
      <c r="N5500" s="12" t="s">
        <v>97</v>
      </c>
      <c r="O5500" s="12" t="s">
        <v>98</v>
      </c>
      <c r="P5500" s="12" t="s">
        <v>72</v>
      </c>
      <c r="Q5500" s="13">
        <v>45884</v>
      </c>
      <c r="R5500" s="13">
        <v>45930</v>
      </c>
      <c r="S5500">
        <v>2025</v>
      </c>
      <c r="T5500" s="12" t="s">
        <v>6515</v>
      </c>
      <c r="U5500">
        <v>1378</v>
      </c>
      <c r="V5500">
        <v>46.924199999999999</v>
      </c>
      <c r="W5500">
        <v>1308.47</v>
      </c>
      <c r="X5500">
        <v>0</v>
      </c>
      <c r="Y5500">
        <v>0</v>
      </c>
      <c r="Z5500">
        <v>64661.55</v>
      </c>
      <c r="AA5500">
        <v>65970.02</v>
      </c>
      <c r="AB5500" s="12" t="s">
        <v>5714</v>
      </c>
      <c r="AC5500">
        <v>46.924199999999999</v>
      </c>
      <c r="AD5500">
        <v>1</v>
      </c>
      <c r="AE5500">
        <v>1</v>
      </c>
      <c r="AF5500">
        <v>0</v>
      </c>
      <c r="AG5500">
        <v>64661.55</v>
      </c>
      <c r="AH5500">
        <v>1378</v>
      </c>
      <c r="AI5500">
        <v>1374</v>
      </c>
      <c r="AJ5500">
        <v>4</v>
      </c>
      <c r="AK5500">
        <v>1</v>
      </c>
      <c r="AL5500">
        <v>1</v>
      </c>
      <c r="AM5500">
        <v>99.71</v>
      </c>
      <c r="AN5500">
        <v>48.013100000000001</v>
      </c>
      <c r="AO5500">
        <v>187.7</v>
      </c>
      <c r="AP5500" s="13">
        <v>45928</v>
      </c>
      <c r="AQ5500">
        <v>-2</v>
      </c>
      <c r="AR5500">
        <v>1</v>
      </c>
    </row>
    <row r="5501" spans="1:44" x14ac:dyDescent="0.35">
      <c r="A5501" s="12" t="s">
        <v>6604</v>
      </c>
      <c r="B5501" s="12" t="s">
        <v>848</v>
      </c>
      <c r="C5501" s="12" t="s">
        <v>849</v>
      </c>
      <c r="D5501" s="12" t="s">
        <v>103</v>
      </c>
      <c r="E5501" s="12" t="s">
        <v>65</v>
      </c>
      <c r="F5501">
        <v>2</v>
      </c>
      <c r="G5501">
        <v>4</v>
      </c>
      <c r="H5501">
        <v>0</v>
      </c>
      <c r="I5501" s="12" t="s">
        <v>87</v>
      </c>
      <c r="J5501" s="12" t="s">
        <v>88</v>
      </c>
      <c r="K5501" s="12" t="s">
        <v>89</v>
      </c>
      <c r="L5501" s="12" t="s">
        <v>69</v>
      </c>
      <c r="M5501">
        <v>14.93</v>
      </c>
      <c r="N5501" s="12" t="s">
        <v>107</v>
      </c>
      <c r="O5501" s="12" t="s">
        <v>108</v>
      </c>
      <c r="P5501" s="12" t="s">
        <v>109</v>
      </c>
      <c r="Q5501" s="13">
        <v>45884</v>
      </c>
      <c r="R5501" s="13">
        <v>45917</v>
      </c>
      <c r="S5501">
        <v>2025</v>
      </c>
      <c r="T5501" s="12" t="s">
        <v>6515</v>
      </c>
      <c r="U5501">
        <v>105</v>
      </c>
      <c r="V5501">
        <v>118.5639</v>
      </c>
      <c r="W5501">
        <v>225.93</v>
      </c>
      <c r="X5501">
        <v>0</v>
      </c>
      <c r="Y5501">
        <v>0</v>
      </c>
      <c r="Z5501">
        <v>12449.21</v>
      </c>
      <c r="AA5501">
        <v>12675.14</v>
      </c>
      <c r="AB5501" s="12" t="s">
        <v>5911</v>
      </c>
      <c r="AC5501">
        <v>118.5639</v>
      </c>
      <c r="AD5501">
        <v>1</v>
      </c>
      <c r="AE5501">
        <v>1</v>
      </c>
      <c r="AF5501">
        <v>0</v>
      </c>
      <c r="AG5501">
        <v>12449.21</v>
      </c>
      <c r="AH5501">
        <v>105</v>
      </c>
      <c r="AI5501">
        <v>105</v>
      </c>
      <c r="AJ5501">
        <v>0</v>
      </c>
      <c r="AK5501">
        <v>1</v>
      </c>
      <c r="AL5501">
        <v>1</v>
      </c>
      <c r="AM5501">
        <v>100</v>
      </c>
      <c r="AN5501">
        <v>120.71559999999999</v>
      </c>
      <c r="AO5501">
        <v>0</v>
      </c>
      <c r="AP5501" s="13">
        <v>45918</v>
      </c>
      <c r="AQ5501">
        <v>1</v>
      </c>
      <c r="AR5501">
        <v>0</v>
      </c>
    </row>
    <row r="5502" spans="1:44" x14ac:dyDescent="0.35">
      <c r="A5502" s="12" t="s">
        <v>6605</v>
      </c>
      <c r="B5502" s="12" t="s">
        <v>621</v>
      </c>
      <c r="C5502" s="12" t="s">
        <v>622</v>
      </c>
      <c r="D5502" s="12" t="s">
        <v>103</v>
      </c>
      <c r="E5502" s="12" t="s">
        <v>65</v>
      </c>
      <c r="F5502">
        <v>1</v>
      </c>
      <c r="G5502">
        <v>2</v>
      </c>
      <c r="H5502">
        <v>1</v>
      </c>
      <c r="I5502" s="12" t="s">
        <v>486</v>
      </c>
      <c r="J5502" s="12" t="s">
        <v>487</v>
      </c>
      <c r="K5502" s="12" t="s">
        <v>125</v>
      </c>
      <c r="L5502" s="12" t="s">
        <v>69</v>
      </c>
      <c r="M5502">
        <v>36.86</v>
      </c>
      <c r="N5502" s="12" t="s">
        <v>107</v>
      </c>
      <c r="O5502" s="12" t="s">
        <v>108</v>
      </c>
      <c r="P5502" s="12" t="s">
        <v>109</v>
      </c>
      <c r="Q5502" s="13">
        <v>45884</v>
      </c>
      <c r="R5502" s="13">
        <v>45907</v>
      </c>
      <c r="S5502">
        <v>2025</v>
      </c>
      <c r="T5502" s="12" t="s">
        <v>6515</v>
      </c>
      <c r="U5502">
        <v>26</v>
      </c>
      <c r="V5502">
        <v>200.7516</v>
      </c>
      <c r="W5502">
        <v>38.07</v>
      </c>
      <c r="X5502">
        <v>0</v>
      </c>
      <c r="Y5502">
        <v>0</v>
      </c>
      <c r="Z5502">
        <v>5219.54</v>
      </c>
      <c r="AA5502">
        <v>5257.61</v>
      </c>
      <c r="AB5502" s="12" t="s">
        <v>5123</v>
      </c>
      <c r="AC5502">
        <v>200.7516</v>
      </c>
      <c r="AD5502">
        <v>1</v>
      </c>
      <c r="AE5502">
        <v>1</v>
      </c>
      <c r="AF5502">
        <v>0</v>
      </c>
      <c r="AG5502">
        <v>5219.54</v>
      </c>
      <c r="AH5502">
        <v>26</v>
      </c>
      <c r="AI5502">
        <v>26</v>
      </c>
      <c r="AJ5502">
        <v>0</v>
      </c>
      <c r="AK5502">
        <v>1</v>
      </c>
      <c r="AL5502">
        <v>1</v>
      </c>
      <c r="AM5502">
        <v>100</v>
      </c>
      <c r="AN5502">
        <v>202.2158</v>
      </c>
      <c r="AO5502">
        <v>0</v>
      </c>
      <c r="AP5502" s="13">
        <v>45904</v>
      </c>
      <c r="AQ5502">
        <v>-3</v>
      </c>
      <c r="AR5502">
        <v>1</v>
      </c>
    </row>
    <row r="5503" spans="1:44" x14ac:dyDescent="0.35">
      <c r="A5503" s="12" t="s">
        <v>6606</v>
      </c>
      <c r="B5503" s="12" t="s">
        <v>255</v>
      </c>
      <c r="C5503" s="12" t="s">
        <v>256</v>
      </c>
      <c r="D5503" s="12" t="s">
        <v>103</v>
      </c>
      <c r="E5503" s="12" t="s">
        <v>65</v>
      </c>
      <c r="F5503">
        <v>2</v>
      </c>
      <c r="G5503">
        <v>4</v>
      </c>
      <c r="H5503">
        <v>0</v>
      </c>
      <c r="I5503" s="12" t="s">
        <v>251</v>
      </c>
      <c r="J5503" s="12" t="s">
        <v>252</v>
      </c>
      <c r="K5503" s="12" t="s">
        <v>133</v>
      </c>
      <c r="L5503" s="12" t="s">
        <v>69</v>
      </c>
      <c r="M5503">
        <v>34.49</v>
      </c>
      <c r="N5503" s="12" t="s">
        <v>145</v>
      </c>
      <c r="O5503" s="12" t="s">
        <v>146</v>
      </c>
      <c r="P5503" s="12" t="s">
        <v>109</v>
      </c>
      <c r="Q5503" s="13">
        <v>45884</v>
      </c>
      <c r="R5503" s="13">
        <v>45907</v>
      </c>
      <c r="S5503">
        <v>2025</v>
      </c>
      <c r="T5503" s="12" t="s">
        <v>6515</v>
      </c>
      <c r="U5503">
        <v>32</v>
      </c>
      <c r="V5503">
        <v>93.480699999999999</v>
      </c>
      <c r="W5503">
        <v>24.13</v>
      </c>
      <c r="X5503">
        <v>0</v>
      </c>
      <c r="Y5503">
        <v>0</v>
      </c>
      <c r="Z5503">
        <v>2991.38</v>
      </c>
      <c r="AA5503">
        <v>3015.51</v>
      </c>
      <c r="AB5503" s="12" t="s">
        <v>5410</v>
      </c>
      <c r="AC5503">
        <v>93.480699999999999</v>
      </c>
      <c r="AD5503">
        <v>1</v>
      </c>
      <c r="AE5503">
        <v>1</v>
      </c>
      <c r="AF5503">
        <v>0</v>
      </c>
      <c r="AG5503">
        <v>2991.38</v>
      </c>
      <c r="AH5503">
        <v>32</v>
      </c>
      <c r="AI5503">
        <v>32</v>
      </c>
      <c r="AJ5503">
        <v>0</v>
      </c>
      <c r="AK5503">
        <v>1</v>
      </c>
      <c r="AL5503">
        <v>1</v>
      </c>
      <c r="AM5503">
        <v>100</v>
      </c>
      <c r="AN5503">
        <v>94.234800000000007</v>
      </c>
      <c r="AO5503">
        <v>0</v>
      </c>
      <c r="AP5503" s="13">
        <v>45906</v>
      </c>
      <c r="AQ5503">
        <v>-1</v>
      </c>
      <c r="AR5503">
        <v>1</v>
      </c>
    </row>
    <row r="5504" spans="1:44" x14ac:dyDescent="0.35">
      <c r="A5504" s="12" t="s">
        <v>6607</v>
      </c>
      <c r="B5504" s="12" t="s">
        <v>869</v>
      </c>
      <c r="C5504" s="12" t="s">
        <v>870</v>
      </c>
      <c r="D5504" s="12" t="s">
        <v>130</v>
      </c>
      <c r="E5504" s="12" t="s">
        <v>104</v>
      </c>
      <c r="F5504">
        <v>2</v>
      </c>
      <c r="G5504">
        <v>0</v>
      </c>
      <c r="H5504">
        <v>0</v>
      </c>
      <c r="I5504" s="12" t="s">
        <v>515</v>
      </c>
      <c r="J5504" s="12" t="s">
        <v>516</v>
      </c>
      <c r="K5504" s="12" t="s">
        <v>68</v>
      </c>
      <c r="L5504" s="12" t="s">
        <v>134</v>
      </c>
      <c r="M5504">
        <v>3.69</v>
      </c>
      <c r="N5504" s="12" t="s">
        <v>135</v>
      </c>
      <c r="O5504" s="12" t="s">
        <v>136</v>
      </c>
      <c r="P5504" s="12" t="s">
        <v>137</v>
      </c>
      <c r="Q5504" s="13">
        <v>45884</v>
      </c>
      <c r="R5504" s="13">
        <v>45913</v>
      </c>
      <c r="S5504">
        <v>2025</v>
      </c>
      <c r="T5504" s="12" t="s">
        <v>6515</v>
      </c>
      <c r="U5504">
        <v>148</v>
      </c>
      <c r="V5504">
        <v>627.52809999999999</v>
      </c>
      <c r="W5504">
        <v>1664.4</v>
      </c>
      <c r="X5504">
        <v>0</v>
      </c>
      <c r="Y5504">
        <v>0</v>
      </c>
      <c r="Z5504">
        <v>92874.16</v>
      </c>
      <c r="AA5504">
        <v>94538.559999999998</v>
      </c>
      <c r="AB5504" s="12" t="s">
        <v>201</v>
      </c>
      <c r="AD5504">
        <v>0</v>
      </c>
      <c r="AE5504">
        <v>0</v>
      </c>
      <c r="AH5504">
        <v>148</v>
      </c>
      <c r="AI5504">
        <v>147</v>
      </c>
      <c r="AJ5504">
        <v>1</v>
      </c>
      <c r="AK5504">
        <v>1</v>
      </c>
      <c r="AL5504">
        <v>1</v>
      </c>
      <c r="AM5504">
        <v>99.32</v>
      </c>
      <c r="AN5504">
        <v>643.11940000000004</v>
      </c>
      <c r="AO5504">
        <v>627.53</v>
      </c>
      <c r="AP5504" s="13">
        <v>45911</v>
      </c>
      <c r="AQ5504">
        <v>-2</v>
      </c>
      <c r="AR5504">
        <v>1</v>
      </c>
    </row>
    <row r="5505" spans="1:44" x14ac:dyDescent="0.35">
      <c r="A5505" s="12" t="s">
        <v>6608</v>
      </c>
      <c r="B5505" s="12" t="s">
        <v>680</v>
      </c>
      <c r="C5505" s="12" t="s">
        <v>681</v>
      </c>
      <c r="D5505" s="12" t="s">
        <v>122</v>
      </c>
      <c r="E5505" s="12" t="s">
        <v>104</v>
      </c>
      <c r="F5505">
        <v>3</v>
      </c>
      <c r="G5505">
        <v>1</v>
      </c>
      <c r="H5505">
        <v>0</v>
      </c>
      <c r="I5505" s="12" t="s">
        <v>227</v>
      </c>
      <c r="J5505" s="12" t="s">
        <v>228</v>
      </c>
      <c r="K5505" s="12" t="s">
        <v>89</v>
      </c>
      <c r="L5505" s="12" t="s">
        <v>96</v>
      </c>
      <c r="M5505">
        <v>9.15</v>
      </c>
      <c r="N5505" s="12" t="s">
        <v>70</v>
      </c>
      <c r="O5505" s="12" t="s">
        <v>71</v>
      </c>
      <c r="P5505" s="12" t="s">
        <v>72</v>
      </c>
      <c r="Q5505" s="13">
        <v>45887</v>
      </c>
      <c r="R5505" s="13">
        <v>45907</v>
      </c>
      <c r="S5505">
        <v>2025</v>
      </c>
      <c r="T5505" s="12" t="s">
        <v>6515</v>
      </c>
      <c r="U5505">
        <v>1007</v>
      </c>
      <c r="V5505">
        <v>22.9755</v>
      </c>
      <c r="W5505">
        <v>483.02</v>
      </c>
      <c r="X5505">
        <v>0</v>
      </c>
      <c r="Y5505">
        <v>0</v>
      </c>
      <c r="Z5505">
        <v>23136.33</v>
      </c>
      <c r="AA5505">
        <v>23619.35</v>
      </c>
      <c r="AB5505" s="12" t="s">
        <v>201</v>
      </c>
      <c r="AD5505">
        <v>0</v>
      </c>
      <c r="AE5505">
        <v>0</v>
      </c>
      <c r="AH5505">
        <v>1007</v>
      </c>
      <c r="AI5505">
        <v>996</v>
      </c>
      <c r="AJ5505">
        <v>11</v>
      </c>
      <c r="AK5505">
        <v>1</v>
      </c>
      <c r="AL5505">
        <v>1</v>
      </c>
      <c r="AM5505">
        <v>98.91</v>
      </c>
      <c r="AN5505">
        <v>23.714200000000002</v>
      </c>
      <c r="AO5505">
        <v>252.73</v>
      </c>
      <c r="AP5505" s="13">
        <v>45904</v>
      </c>
      <c r="AQ5505">
        <v>-3</v>
      </c>
      <c r="AR5505">
        <v>1</v>
      </c>
    </row>
    <row r="5506" spans="1:44" x14ac:dyDescent="0.35">
      <c r="A5506" s="12" t="s">
        <v>6609</v>
      </c>
      <c r="B5506" s="12" t="s">
        <v>101</v>
      </c>
      <c r="C5506" s="12" t="s">
        <v>102</v>
      </c>
      <c r="D5506" s="12" t="s">
        <v>103</v>
      </c>
      <c r="E5506" s="12" t="s">
        <v>104</v>
      </c>
      <c r="F5506">
        <v>1</v>
      </c>
      <c r="G5506">
        <v>0</v>
      </c>
      <c r="H5506">
        <v>1</v>
      </c>
      <c r="I5506" s="12" t="s">
        <v>105</v>
      </c>
      <c r="J5506" s="12" t="s">
        <v>106</v>
      </c>
      <c r="K5506" s="12" t="s">
        <v>81</v>
      </c>
      <c r="L5506" s="12" t="s">
        <v>96</v>
      </c>
      <c r="M5506">
        <v>5.01</v>
      </c>
      <c r="N5506" s="12" t="s">
        <v>145</v>
      </c>
      <c r="O5506" s="12" t="s">
        <v>146</v>
      </c>
      <c r="P5506" s="12" t="s">
        <v>109</v>
      </c>
      <c r="Q5506" s="13">
        <v>45887</v>
      </c>
      <c r="R5506" s="13">
        <v>45899</v>
      </c>
      <c r="S5506">
        <v>2025</v>
      </c>
      <c r="T5506" s="12" t="s">
        <v>6515</v>
      </c>
      <c r="U5506">
        <v>13</v>
      </c>
      <c r="V5506">
        <v>203.18520000000001</v>
      </c>
      <c r="W5506">
        <v>52.66</v>
      </c>
      <c r="X5506">
        <v>0</v>
      </c>
      <c r="Y5506">
        <v>0</v>
      </c>
      <c r="Z5506">
        <v>2641.41</v>
      </c>
      <c r="AA5506">
        <v>2694.07</v>
      </c>
      <c r="AB5506" s="12" t="s">
        <v>5173</v>
      </c>
      <c r="AC5506">
        <v>203.18520000000001</v>
      </c>
      <c r="AD5506">
        <v>1</v>
      </c>
      <c r="AE5506">
        <v>1</v>
      </c>
      <c r="AF5506">
        <v>0</v>
      </c>
      <c r="AG5506">
        <v>2641.41</v>
      </c>
      <c r="AH5506">
        <v>13</v>
      </c>
      <c r="AI5506">
        <v>13</v>
      </c>
      <c r="AJ5506">
        <v>0</v>
      </c>
      <c r="AK5506">
        <v>1</v>
      </c>
      <c r="AL5506">
        <v>1</v>
      </c>
      <c r="AM5506">
        <v>100</v>
      </c>
      <c r="AN5506">
        <v>207.23599999999999</v>
      </c>
      <c r="AO5506">
        <v>0</v>
      </c>
      <c r="AP5506" s="13">
        <v>45896</v>
      </c>
      <c r="AQ5506">
        <v>-3</v>
      </c>
      <c r="AR5506">
        <v>1</v>
      </c>
    </row>
    <row r="5507" spans="1:44" x14ac:dyDescent="0.35">
      <c r="A5507" s="12" t="s">
        <v>6610</v>
      </c>
      <c r="B5507" s="12" t="s">
        <v>350</v>
      </c>
      <c r="C5507" s="12" t="s">
        <v>351</v>
      </c>
      <c r="D5507" s="12" t="s">
        <v>64</v>
      </c>
      <c r="E5507" s="12" t="s">
        <v>104</v>
      </c>
      <c r="F5507">
        <v>3</v>
      </c>
      <c r="G5507">
        <v>1</v>
      </c>
      <c r="H5507">
        <v>0</v>
      </c>
      <c r="I5507" s="12" t="s">
        <v>227</v>
      </c>
      <c r="J5507" s="12" t="s">
        <v>228</v>
      </c>
      <c r="K5507" s="12" t="s">
        <v>89</v>
      </c>
      <c r="L5507" s="12" t="s">
        <v>96</v>
      </c>
      <c r="M5507">
        <v>9.15</v>
      </c>
      <c r="N5507" s="12" t="s">
        <v>97</v>
      </c>
      <c r="O5507" s="12" t="s">
        <v>98</v>
      </c>
      <c r="P5507" s="12" t="s">
        <v>72</v>
      </c>
      <c r="Q5507" s="13">
        <v>45887</v>
      </c>
      <c r="R5507" s="13">
        <v>45910</v>
      </c>
      <c r="S5507">
        <v>2025</v>
      </c>
      <c r="T5507" s="12" t="s">
        <v>6515</v>
      </c>
      <c r="U5507">
        <v>659</v>
      </c>
      <c r="V5507">
        <v>7.4992999999999999</v>
      </c>
      <c r="W5507">
        <v>90.11</v>
      </c>
      <c r="X5507">
        <v>0</v>
      </c>
      <c r="Y5507">
        <v>0</v>
      </c>
      <c r="Z5507">
        <v>4942.04</v>
      </c>
      <c r="AA5507">
        <v>5032.1499999999996</v>
      </c>
      <c r="AB5507" s="12" t="s">
        <v>6188</v>
      </c>
      <c r="AC5507">
        <v>7.4992999999999999</v>
      </c>
      <c r="AD5507">
        <v>1</v>
      </c>
      <c r="AE5507">
        <v>1</v>
      </c>
      <c r="AF5507">
        <v>0</v>
      </c>
      <c r="AG5507">
        <v>4942.04</v>
      </c>
      <c r="AH5507">
        <v>659</v>
      </c>
      <c r="AI5507">
        <v>651</v>
      </c>
      <c r="AJ5507">
        <v>8</v>
      </c>
      <c r="AK5507">
        <v>1</v>
      </c>
      <c r="AL5507">
        <v>1</v>
      </c>
      <c r="AM5507">
        <v>98.79</v>
      </c>
      <c r="AN5507">
        <v>7.7298999999999998</v>
      </c>
      <c r="AO5507">
        <v>59.99</v>
      </c>
      <c r="AP5507" s="13">
        <v>45909</v>
      </c>
      <c r="AQ5507">
        <v>-1</v>
      </c>
      <c r="AR5507">
        <v>1</v>
      </c>
    </row>
    <row r="5508" spans="1:44" x14ac:dyDescent="0.35">
      <c r="A5508" s="12" t="s">
        <v>6611</v>
      </c>
      <c r="B5508" s="12" t="s">
        <v>465</v>
      </c>
      <c r="C5508" s="12" t="s">
        <v>466</v>
      </c>
      <c r="D5508" s="12" t="s">
        <v>78</v>
      </c>
      <c r="E5508" s="12" t="s">
        <v>142</v>
      </c>
      <c r="F5508">
        <v>3</v>
      </c>
      <c r="G5508">
        <v>11</v>
      </c>
      <c r="H5508">
        <v>0</v>
      </c>
      <c r="I5508" s="12" t="s">
        <v>380</v>
      </c>
      <c r="J5508" s="12" t="s">
        <v>381</v>
      </c>
      <c r="K5508" s="12" t="s">
        <v>89</v>
      </c>
      <c r="L5508" s="12" t="s">
        <v>96</v>
      </c>
      <c r="M5508">
        <v>10.210000000000001</v>
      </c>
      <c r="N5508" s="12" t="s">
        <v>97</v>
      </c>
      <c r="O5508" s="12" t="s">
        <v>98</v>
      </c>
      <c r="P5508" s="12" t="s">
        <v>72</v>
      </c>
      <c r="Q5508" s="13">
        <v>45887</v>
      </c>
      <c r="R5508" s="13">
        <v>45928</v>
      </c>
      <c r="S5508">
        <v>2025</v>
      </c>
      <c r="T5508" s="12" t="s">
        <v>6515</v>
      </c>
      <c r="U5508">
        <v>138</v>
      </c>
      <c r="V5508">
        <v>111.2196</v>
      </c>
      <c r="W5508">
        <v>253.79</v>
      </c>
      <c r="X5508">
        <v>0</v>
      </c>
      <c r="Y5508">
        <v>0</v>
      </c>
      <c r="Z5508">
        <v>15348.3</v>
      </c>
      <c r="AA5508">
        <v>15602.09</v>
      </c>
      <c r="AB5508" s="12" t="s">
        <v>201</v>
      </c>
      <c r="AD5508">
        <v>0</v>
      </c>
      <c r="AE5508">
        <v>0</v>
      </c>
      <c r="AH5508">
        <v>138</v>
      </c>
      <c r="AI5508">
        <v>137</v>
      </c>
      <c r="AJ5508">
        <v>1</v>
      </c>
      <c r="AK5508">
        <v>1</v>
      </c>
      <c r="AL5508">
        <v>1</v>
      </c>
      <c r="AM5508">
        <v>99.28</v>
      </c>
      <c r="AN5508">
        <v>113.8839</v>
      </c>
      <c r="AO5508">
        <v>111.22</v>
      </c>
      <c r="AP5508" s="13">
        <v>45927</v>
      </c>
      <c r="AQ5508">
        <v>-1</v>
      </c>
      <c r="AR5508">
        <v>1</v>
      </c>
    </row>
    <row r="5509" spans="1:44" x14ac:dyDescent="0.35">
      <c r="A5509" s="12" t="s">
        <v>6612</v>
      </c>
      <c r="B5509" s="12" t="s">
        <v>747</v>
      </c>
      <c r="C5509" s="12" t="s">
        <v>748</v>
      </c>
      <c r="D5509" s="12" t="s">
        <v>114</v>
      </c>
      <c r="E5509" s="12" t="s">
        <v>104</v>
      </c>
      <c r="F5509">
        <v>2</v>
      </c>
      <c r="G5509">
        <v>0</v>
      </c>
      <c r="H5509">
        <v>0</v>
      </c>
      <c r="I5509" s="12" t="s">
        <v>380</v>
      </c>
      <c r="J5509" s="12" t="s">
        <v>381</v>
      </c>
      <c r="K5509" s="12" t="s">
        <v>89</v>
      </c>
      <c r="L5509" s="12" t="s">
        <v>96</v>
      </c>
      <c r="M5509">
        <v>10.210000000000001</v>
      </c>
      <c r="N5509" s="12" t="s">
        <v>70</v>
      </c>
      <c r="O5509" s="12" t="s">
        <v>71</v>
      </c>
      <c r="P5509" s="12" t="s">
        <v>72</v>
      </c>
      <c r="Q5509" s="13">
        <v>45887</v>
      </c>
      <c r="R5509" s="13">
        <v>45905</v>
      </c>
      <c r="S5509">
        <v>2025</v>
      </c>
      <c r="T5509" s="12" t="s">
        <v>6515</v>
      </c>
      <c r="U5509">
        <v>57</v>
      </c>
      <c r="V5509">
        <v>251.5788</v>
      </c>
      <c r="W5509">
        <v>174.14</v>
      </c>
      <c r="X5509">
        <v>0</v>
      </c>
      <c r="Y5509">
        <v>0</v>
      </c>
      <c r="Z5509">
        <v>14339.99</v>
      </c>
      <c r="AA5509">
        <v>14514.13</v>
      </c>
      <c r="AB5509" s="12" t="s">
        <v>201</v>
      </c>
      <c r="AD5509">
        <v>0</v>
      </c>
      <c r="AE5509">
        <v>0</v>
      </c>
      <c r="AH5509">
        <v>57</v>
      </c>
      <c r="AI5509">
        <v>57</v>
      </c>
      <c r="AJ5509">
        <v>0</v>
      </c>
      <c r="AK5509">
        <v>1</v>
      </c>
      <c r="AL5509">
        <v>1</v>
      </c>
      <c r="AM5509">
        <v>100</v>
      </c>
      <c r="AN5509">
        <v>254.63390000000001</v>
      </c>
      <c r="AO5509">
        <v>0</v>
      </c>
      <c r="AP5509" s="13">
        <v>45903</v>
      </c>
      <c r="AQ5509">
        <v>-2</v>
      </c>
      <c r="AR5509">
        <v>1</v>
      </c>
    </row>
    <row r="5510" spans="1:44" x14ac:dyDescent="0.35">
      <c r="A5510" s="12" t="s">
        <v>6613</v>
      </c>
      <c r="B5510" s="12" t="s">
        <v>519</v>
      </c>
      <c r="C5510" s="12" t="s">
        <v>520</v>
      </c>
      <c r="D5510" s="12" t="s">
        <v>78</v>
      </c>
      <c r="E5510" s="12" t="s">
        <v>65</v>
      </c>
      <c r="F5510">
        <v>2</v>
      </c>
      <c r="G5510">
        <v>3</v>
      </c>
      <c r="H5510">
        <v>0</v>
      </c>
      <c r="I5510" s="12" t="s">
        <v>143</v>
      </c>
      <c r="J5510" s="12" t="s">
        <v>144</v>
      </c>
      <c r="K5510" s="12" t="s">
        <v>133</v>
      </c>
      <c r="L5510" s="12" t="s">
        <v>96</v>
      </c>
      <c r="M5510">
        <v>5.43</v>
      </c>
      <c r="N5510" s="12" t="s">
        <v>70</v>
      </c>
      <c r="O5510" s="12" t="s">
        <v>71</v>
      </c>
      <c r="P5510" s="12" t="s">
        <v>72</v>
      </c>
      <c r="Q5510" s="13">
        <v>45887</v>
      </c>
      <c r="R5510" s="13">
        <v>45920</v>
      </c>
      <c r="S5510">
        <v>2025</v>
      </c>
      <c r="T5510" s="12" t="s">
        <v>6515</v>
      </c>
      <c r="U5510">
        <v>219</v>
      </c>
      <c r="V5510">
        <v>28.570399999999999</v>
      </c>
      <c r="W5510">
        <v>125.11</v>
      </c>
      <c r="X5510">
        <v>0</v>
      </c>
      <c r="Y5510">
        <v>0</v>
      </c>
      <c r="Z5510">
        <v>6256.92</v>
      </c>
      <c r="AA5510">
        <v>6382.03</v>
      </c>
      <c r="AB5510" s="12" t="s">
        <v>5619</v>
      </c>
      <c r="AC5510">
        <v>28.570399999999999</v>
      </c>
      <c r="AD5510">
        <v>1</v>
      </c>
      <c r="AE5510">
        <v>1</v>
      </c>
      <c r="AF5510">
        <v>0</v>
      </c>
      <c r="AG5510">
        <v>6256.92</v>
      </c>
      <c r="AH5510">
        <v>219</v>
      </c>
      <c r="AI5510">
        <v>216</v>
      </c>
      <c r="AJ5510">
        <v>3</v>
      </c>
      <c r="AK5510">
        <v>1</v>
      </c>
      <c r="AL5510">
        <v>1</v>
      </c>
      <c r="AM5510">
        <v>98.63</v>
      </c>
      <c r="AN5510">
        <v>29.546399999999998</v>
      </c>
      <c r="AO5510">
        <v>85.71</v>
      </c>
      <c r="AP5510" s="13">
        <v>45919</v>
      </c>
      <c r="AQ5510">
        <v>-1</v>
      </c>
      <c r="AR5510">
        <v>1</v>
      </c>
    </row>
    <row r="5511" spans="1:44" x14ac:dyDescent="0.35">
      <c r="A5511" s="12" t="s">
        <v>6614</v>
      </c>
      <c r="B5511" s="12" t="s">
        <v>978</v>
      </c>
      <c r="C5511" s="12" t="s">
        <v>979</v>
      </c>
      <c r="D5511" s="12" t="s">
        <v>122</v>
      </c>
      <c r="E5511" s="12" t="s">
        <v>65</v>
      </c>
      <c r="F5511">
        <v>1</v>
      </c>
      <c r="G5511">
        <v>2</v>
      </c>
      <c r="H5511">
        <v>1</v>
      </c>
      <c r="I5511" s="12" t="s">
        <v>310</v>
      </c>
      <c r="J5511" s="12" t="s">
        <v>311</v>
      </c>
      <c r="K5511" s="12" t="s">
        <v>81</v>
      </c>
      <c r="L5511" s="12" t="s">
        <v>69</v>
      </c>
      <c r="M5511">
        <v>28.3</v>
      </c>
      <c r="N5511" s="12" t="s">
        <v>70</v>
      </c>
      <c r="O5511" s="12" t="s">
        <v>71</v>
      </c>
      <c r="P5511" s="12" t="s">
        <v>72</v>
      </c>
      <c r="Q5511" s="13">
        <v>45887</v>
      </c>
      <c r="R5511" s="13">
        <v>45925</v>
      </c>
      <c r="S5511">
        <v>2025</v>
      </c>
      <c r="T5511" s="12" t="s">
        <v>6515</v>
      </c>
      <c r="U5511">
        <v>1910</v>
      </c>
      <c r="V5511">
        <v>43.4407</v>
      </c>
      <c r="W5511">
        <v>1613.06</v>
      </c>
      <c r="X5511">
        <v>0</v>
      </c>
      <c r="Y5511">
        <v>0</v>
      </c>
      <c r="Z5511">
        <v>82971.740000000005</v>
      </c>
      <c r="AA5511">
        <v>84584.8</v>
      </c>
      <c r="AB5511" s="12" t="s">
        <v>6061</v>
      </c>
      <c r="AC5511">
        <v>43.4407</v>
      </c>
      <c r="AD5511">
        <v>1</v>
      </c>
      <c r="AE5511">
        <v>1</v>
      </c>
      <c r="AF5511">
        <v>0</v>
      </c>
      <c r="AG5511">
        <v>82971.740000000005</v>
      </c>
      <c r="AH5511">
        <v>1910</v>
      </c>
      <c r="AI5511">
        <v>1902</v>
      </c>
      <c r="AJ5511">
        <v>8</v>
      </c>
      <c r="AK5511">
        <v>1</v>
      </c>
      <c r="AL5511">
        <v>1</v>
      </c>
      <c r="AM5511">
        <v>99.58</v>
      </c>
      <c r="AN5511">
        <v>44.471499999999999</v>
      </c>
      <c r="AO5511">
        <v>347.53</v>
      </c>
      <c r="AP5511" s="13">
        <v>45930</v>
      </c>
      <c r="AQ5511">
        <v>5</v>
      </c>
      <c r="AR5511">
        <v>0</v>
      </c>
    </row>
    <row r="5512" spans="1:44" x14ac:dyDescent="0.35">
      <c r="A5512" s="12" t="s">
        <v>6615</v>
      </c>
      <c r="B5512" s="12" t="s">
        <v>357</v>
      </c>
      <c r="C5512" s="12" t="s">
        <v>358</v>
      </c>
      <c r="D5512" s="12" t="s">
        <v>103</v>
      </c>
      <c r="E5512" s="12" t="s">
        <v>104</v>
      </c>
      <c r="F5512">
        <v>3</v>
      </c>
      <c r="G5512">
        <v>1</v>
      </c>
      <c r="H5512">
        <v>0</v>
      </c>
      <c r="I5512" s="12" t="s">
        <v>105</v>
      </c>
      <c r="J5512" s="12" t="s">
        <v>106</v>
      </c>
      <c r="K5512" s="12" t="s">
        <v>81</v>
      </c>
      <c r="L5512" s="12" t="s">
        <v>96</v>
      </c>
      <c r="M5512">
        <v>5.01</v>
      </c>
      <c r="N5512" s="12" t="s">
        <v>107</v>
      </c>
      <c r="O5512" s="12" t="s">
        <v>108</v>
      </c>
      <c r="P5512" s="12" t="s">
        <v>109</v>
      </c>
      <c r="Q5512" s="13">
        <v>45887</v>
      </c>
      <c r="R5512" s="13">
        <v>45912</v>
      </c>
      <c r="S5512">
        <v>2025</v>
      </c>
      <c r="T5512" s="12" t="s">
        <v>6515</v>
      </c>
      <c r="U5512">
        <v>116</v>
      </c>
      <c r="V5512">
        <v>106.63800000000001</v>
      </c>
      <c r="W5512">
        <v>126.91</v>
      </c>
      <c r="X5512">
        <v>0</v>
      </c>
      <c r="Y5512">
        <v>0</v>
      </c>
      <c r="Z5512">
        <v>12370.01</v>
      </c>
      <c r="AA5512">
        <v>12496.92</v>
      </c>
      <c r="AB5512" s="12" t="s">
        <v>5265</v>
      </c>
      <c r="AC5512">
        <v>106.63800000000001</v>
      </c>
      <c r="AD5512">
        <v>1</v>
      </c>
      <c r="AE5512">
        <v>1</v>
      </c>
      <c r="AF5512">
        <v>0</v>
      </c>
      <c r="AG5512">
        <v>12370.01</v>
      </c>
      <c r="AH5512">
        <v>116</v>
      </c>
      <c r="AI5512">
        <v>115</v>
      </c>
      <c r="AJ5512">
        <v>1</v>
      </c>
      <c r="AK5512">
        <v>1</v>
      </c>
      <c r="AL5512">
        <v>1</v>
      </c>
      <c r="AM5512">
        <v>99.14</v>
      </c>
      <c r="AN5512">
        <v>108.66889999999999</v>
      </c>
      <c r="AO5512">
        <v>106.64</v>
      </c>
      <c r="AP5512" s="13">
        <v>45909</v>
      </c>
      <c r="AQ5512">
        <v>-3</v>
      </c>
      <c r="AR5512">
        <v>1</v>
      </c>
    </row>
    <row r="5513" spans="1:44" x14ac:dyDescent="0.35">
      <c r="A5513" s="12" t="s">
        <v>6616</v>
      </c>
      <c r="B5513" s="12" t="s">
        <v>587</v>
      </c>
      <c r="C5513" s="12" t="s">
        <v>588</v>
      </c>
      <c r="D5513" s="12" t="s">
        <v>122</v>
      </c>
      <c r="E5513" s="12" t="s">
        <v>104</v>
      </c>
      <c r="F5513">
        <v>2</v>
      </c>
      <c r="G5513">
        <v>0</v>
      </c>
      <c r="H5513">
        <v>0</v>
      </c>
      <c r="I5513" s="12" t="s">
        <v>486</v>
      </c>
      <c r="J5513" s="12" t="s">
        <v>487</v>
      </c>
      <c r="K5513" s="12" t="s">
        <v>125</v>
      </c>
      <c r="L5513" s="12" t="s">
        <v>69</v>
      </c>
      <c r="M5513">
        <v>36.86</v>
      </c>
      <c r="N5513" s="12" t="s">
        <v>97</v>
      </c>
      <c r="O5513" s="12" t="s">
        <v>98</v>
      </c>
      <c r="P5513" s="12" t="s">
        <v>72</v>
      </c>
      <c r="Q5513" s="13">
        <v>45887</v>
      </c>
      <c r="R5513" s="13">
        <v>45907</v>
      </c>
      <c r="S5513">
        <v>2025</v>
      </c>
      <c r="T5513" s="12" t="s">
        <v>6515</v>
      </c>
      <c r="U5513">
        <v>1025</v>
      </c>
      <c r="V5513">
        <v>12.942399999999999</v>
      </c>
      <c r="W5513">
        <v>298.97000000000003</v>
      </c>
      <c r="X5513">
        <v>431.74</v>
      </c>
      <c r="Y5513">
        <v>1</v>
      </c>
      <c r="Z5513">
        <v>13265.96</v>
      </c>
      <c r="AA5513">
        <v>13996.67</v>
      </c>
      <c r="AB5513" s="12" t="s">
        <v>201</v>
      </c>
      <c r="AD5513">
        <v>0</v>
      </c>
      <c r="AE5513">
        <v>0</v>
      </c>
      <c r="AH5513">
        <v>1025</v>
      </c>
      <c r="AI5513">
        <v>1013</v>
      </c>
      <c r="AJ5513">
        <v>12</v>
      </c>
      <c r="AK5513">
        <v>1</v>
      </c>
      <c r="AL5513">
        <v>1</v>
      </c>
      <c r="AM5513">
        <v>98.83</v>
      </c>
      <c r="AN5513">
        <v>13.817</v>
      </c>
      <c r="AO5513">
        <v>155.31</v>
      </c>
      <c r="AP5513" s="13">
        <v>45915</v>
      </c>
      <c r="AQ5513">
        <v>8</v>
      </c>
      <c r="AR5513">
        <v>0</v>
      </c>
    </row>
    <row r="5514" spans="1:44" x14ac:dyDescent="0.35">
      <c r="A5514" s="12" t="s">
        <v>6617</v>
      </c>
      <c r="B5514" s="12" t="s">
        <v>465</v>
      </c>
      <c r="C5514" s="12" t="s">
        <v>466</v>
      </c>
      <c r="D5514" s="12" t="s">
        <v>78</v>
      </c>
      <c r="E5514" s="12" t="s">
        <v>142</v>
      </c>
      <c r="F5514">
        <v>3</v>
      </c>
      <c r="G5514">
        <v>11</v>
      </c>
      <c r="H5514">
        <v>0</v>
      </c>
      <c r="I5514" s="12" t="s">
        <v>380</v>
      </c>
      <c r="J5514" s="12" t="s">
        <v>381</v>
      </c>
      <c r="K5514" s="12" t="s">
        <v>89</v>
      </c>
      <c r="L5514" s="12" t="s">
        <v>96</v>
      </c>
      <c r="M5514">
        <v>10.210000000000001</v>
      </c>
      <c r="N5514" s="12" t="s">
        <v>97</v>
      </c>
      <c r="O5514" s="12" t="s">
        <v>98</v>
      </c>
      <c r="P5514" s="12" t="s">
        <v>72</v>
      </c>
      <c r="Q5514" s="13">
        <v>45887</v>
      </c>
      <c r="R5514" s="13">
        <v>45928</v>
      </c>
      <c r="S5514">
        <v>2025</v>
      </c>
      <c r="T5514" s="12" t="s">
        <v>6515</v>
      </c>
      <c r="U5514">
        <v>138</v>
      </c>
      <c r="V5514">
        <v>111.2196</v>
      </c>
      <c r="W5514">
        <v>253.79</v>
      </c>
      <c r="X5514">
        <v>0</v>
      </c>
      <c r="Y5514">
        <v>0</v>
      </c>
      <c r="Z5514">
        <v>15348.3</v>
      </c>
      <c r="AA5514">
        <v>15602.09</v>
      </c>
      <c r="AB5514" s="12" t="s">
        <v>201</v>
      </c>
      <c r="AD5514">
        <v>0</v>
      </c>
      <c r="AE5514">
        <v>0</v>
      </c>
      <c r="AK5514">
        <v>0</v>
      </c>
      <c r="AL5514">
        <v>0</v>
      </c>
      <c r="AO5514">
        <v>0</v>
      </c>
      <c r="AP5514" s="13"/>
    </row>
    <row r="5515" spans="1:44" x14ac:dyDescent="0.35">
      <c r="A5515" s="12" t="s">
        <v>6618</v>
      </c>
      <c r="B5515" s="12" t="s">
        <v>544</v>
      </c>
      <c r="C5515" s="12" t="s">
        <v>545</v>
      </c>
      <c r="D5515" s="12" t="s">
        <v>175</v>
      </c>
      <c r="E5515" s="12" t="s">
        <v>65</v>
      </c>
      <c r="F5515">
        <v>3</v>
      </c>
      <c r="G5515">
        <v>5</v>
      </c>
      <c r="H5515">
        <v>0</v>
      </c>
      <c r="I5515" s="12" t="s">
        <v>66</v>
      </c>
      <c r="J5515" s="12" t="s">
        <v>67</v>
      </c>
      <c r="K5515" s="12" t="s">
        <v>68</v>
      </c>
      <c r="L5515" s="12" t="s">
        <v>69</v>
      </c>
      <c r="M5515">
        <v>17.66</v>
      </c>
      <c r="N5515" s="12" t="s">
        <v>107</v>
      </c>
      <c r="O5515" s="12" t="s">
        <v>108</v>
      </c>
      <c r="P5515" s="12" t="s">
        <v>109</v>
      </c>
      <c r="Q5515" s="13">
        <v>45888</v>
      </c>
      <c r="R5515" s="13">
        <v>45917</v>
      </c>
      <c r="S5515">
        <v>2025</v>
      </c>
      <c r="T5515" s="12" t="s">
        <v>6515</v>
      </c>
      <c r="U5515">
        <v>76</v>
      </c>
      <c r="V5515">
        <v>141.8802</v>
      </c>
      <c r="W5515">
        <v>125.75</v>
      </c>
      <c r="X5515">
        <v>0</v>
      </c>
      <c r="Y5515">
        <v>0</v>
      </c>
      <c r="Z5515">
        <v>10782.9</v>
      </c>
      <c r="AA5515">
        <v>10908.65</v>
      </c>
      <c r="AB5515" s="12" t="s">
        <v>201</v>
      </c>
      <c r="AD5515">
        <v>0</v>
      </c>
      <c r="AE5515">
        <v>0</v>
      </c>
      <c r="AH5515">
        <v>76</v>
      </c>
      <c r="AI5515">
        <v>75</v>
      </c>
      <c r="AJ5515">
        <v>1</v>
      </c>
      <c r="AK5515">
        <v>1</v>
      </c>
      <c r="AL5515">
        <v>1</v>
      </c>
      <c r="AM5515">
        <v>98.68</v>
      </c>
      <c r="AN5515">
        <v>145.4486</v>
      </c>
      <c r="AO5515">
        <v>141.88</v>
      </c>
      <c r="AP5515" s="13">
        <v>45917</v>
      </c>
      <c r="AQ5515">
        <v>0</v>
      </c>
      <c r="AR5515">
        <v>1</v>
      </c>
    </row>
    <row r="5516" spans="1:44" x14ac:dyDescent="0.35">
      <c r="A5516" s="12" t="s">
        <v>6619</v>
      </c>
      <c r="B5516" s="12" t="s">
        <v>891</v>
      </c>
      <c r="C5516" s="12" t="s">
        <v>892</v>
      </c>
      <c r="D5516" s="12" t="s">
        <v>122</v>
      </c>
      <c r="E5516" s="12" t="s">
        <v>65</v>
      </c>
      <c r="F5516">
        <v>3</v>
      </c>
      <c r="G5516">
        <v>5</v>
      </c>
      <c r="H5516">
        <v>0</v>
      </c>
      <c r="I5516" s="12" t="s">
        <v>195</v>
      </c>
      <c r="J5516" s="12" t="s">
        <v>196</v>
      </c>
      <c r="K5516" s="12" t="s">
        <v>117</v>
      </c>
      <c r="L5516" s="12" t="s">
        <v>134</v>
      </c>
      <c r="M5516">
        <v>4.7699999999999996</v>
      </c>
      <c r="N5516" s="12" t="s">
        <v>70</v>
      </c>
      <c r="O5516" s="12" t="s">
        <v>71</v>
      </c>
      <c r="P5516" s="12" t="s">
        <v>72</v>
      </c>
      <c r="Q5516" s="13">
        <v>45888</v>
      </c>
      <c r="R5516" s="13">
        <v>45912</v>
      </c>
      <c r="S5516">
        <v>2025</v>
      </c>
      <c r="T5516" s="12" t="s">
        <v>6515</v>
      </c>
      <c r="U5516">
        <v>521</v>
      </c>
      <c r="V5516">
        <v>36.331099999999999</v>
      </c>
      <c r="W5516">
        <v>299.05</v>
      </c>
      <c r="X5516">
        <v>0</v>
      </c>
      <c r="Y5516">
        <v>0</v>
      </c>
      <c r="Z5516">
        <v>18928.5</v>
      </c>
      <c r="AA5516">
        <v>19227.55</v>
      </c>
      <c r="AB5516" s="12" t="s">
        <v>5810</v>
      </c>
      <c r="AC5516">
        <v>36.331099999999999</v>
      </c>
      <c r="AD5516">
        <v>1</v>
      </c>
      <c r="AE5516">
        <v>1</v>
      </c>
      <c r="AF5516">
        <v>0</v>
      </c>
      <c r="AG5516">
        <v>18928.5</v>
      </c>
      <c r="AH5516">
        <v>521</v>
      </c>
      <c r="AI5516">
        <v>516</v>
      </c>
      <c r="AJ5516">
        <v>5</v>
      </c>
      <c r="AK5516">
        <v>1</v>
      </c>
      <c r="AL5516">
        <v>1</v>
      </c>
      <c r="AM5516">
        <v>99.04</v>
      </c>
      <c r="AN5516">
        <v>37.262700000000002</v>
      </c>
      <c r="AO5516">
        <v>181.66</v>
      </c>
      <c r="AP5516" s="13">
        <v>45912</v>
      </c>
      <c r="AQ5516">
        <v>0</v>
      </c>
      <c r="AR5516">
        <v>1</v>
      </c>
    </row>
    <row r="5517" spans="1:44" x14ac:dyDescent="0.35">
      <c r="A5517" s="12" t="s">
        <v>6620</v>
      </c>
      <c r="B5517" s="12" t="s">
        <v>350</v>
      </c>
      <c r="C5517" s="12" t="s">
        <v>351</v>
      </c>
      <c r="D5517" s="12" t="s">
        <v>64</v>
      </c>
      <c r="E5517" s="12" t="s">
        <v>104</v>
      </c>
      <c r="F5517">
        <v>3</v>
      </c>
      <c r="G5517">
        <v>1</v>
      </c>
      <c r="H5517">
        <v>0</v>
      </c>
      <c r="I5517" s="12" t="s">
        <v>486</v>
      </c>
      <c r="J5517" s="12" t="s">
        <v>487</v>
      </c>
      <c r="K5517" s="12" t="s">
        <v>125</v>
      </c>
      <c r="L5517" s="12" t="s">
        <v>69</v>
      </c>
      <c r="M5517">
        <v>36.86</v>
      </c>
      <c r="N5517" s="12" t="s">
        <v>70</v>
      </c>
      <c r="O5517" s="12" t="s">
        <v>71</v>
      </c>
      <c r="P5517" s="12" t="s">
        <v>72</v>
      </c>
      <c r="Q5517" s="13">
        <v>45888</v>
      </c>
      <c r="R5517" s="13">
        <v>45914</v>
      </c>
      <c r="S5517">
        <v>2025</v>
      </c>
      <c r="T5517" s="12" t="s">
        <v>6515</v>
      </c>
      <c r="U5517">
        <v>832</v>
      </c>
      <c r="V5517">
        <v>8.2452000000000005</v>
      </c>
      <c r="W5517">
        <v>50.29</v>
      </c>
      <c r="X5517">
        <v>0</v>
      </c>
      <c r="Y5517">
        <v>0</v>
      </c>
      <c r="Z5517">
        <v>6860.01</v>
      </c>
      <c r="AA5517">
        <v>6910.3</v>
      </c>
      <c r="AB5517" s="12" t="s">
        <v>5628</v>
      </c>
      <c r="AC5517">
        <v>8.2452000000000005</v>
      </c>
      <c r="AD5517">
        <v>1</v>
      </c>
      <c r="AE5517">
        <v>1</v>
      </c>
      <c r="AF5517">
        <v>0</v>
      </c>
      <c r="AG5517">
        <v>6860.01</v>
      </c>
      <c r="AH5517">
        <v>832</v>
      </c>
      <c r="AI5517">
        <v>826</v>
      </c>
      <c r="AJ5517">
        <v>6</v>
      </c>
      <c r="AK5517">
        <v>1</v>
      </c>
      <c r="AL5517">
        <v>1</v>
      </c>
      <c r="AM5517">
        <v>99.28</v>
      </c>
      <c r="AN5517">
        <v>8.3659999999999997</v>
      </c>
      <c r="AO5517">
        <v>49.47</v>
      </c>
      <c r="AP5517" s="13">
        <v>45913</v>
      </c>
      <c r="AQ5517">
        <v>-1</v>
      </c>
      <c r="AR5517">
        <v>1</v>
      </c>
    </row>
    <row r="5518" spans="1:44" x14ac:dyDescent="0.35">
      <c r="A5518" s="12" t="s">
        <v>6621</v>
      </c>
      <c r="B5518" s="12" t="s">
        <v>613</v>
      </c>
      <c r="C5518" s="12" t="s">
        <v>614</v>
      </c>
      <c r="D5518" s="12" t="s">
        <v>130</v>
      </c>
      <c r="E5518" s="12" t="s">
        <v>104</v>
      </c>
      <c r="F5518">
        <v>3</v>
      </c>
      <c r="G5518">
        <v>1</v>
      </c>
      <c r="H5518">
        <v>0</v>
      </c>
      <c r="I5518" s="12" t="s">
        <v>66</v>
      </c>
      <c r="J5518" s="12" t="s">
        <v>67</v>
      </c>
      <c r="K5518" s="12" t="s">
        <v>68</v>
      </c>
      <c r="L5518" s="12" t="s">
        <v>69</v>
      </c>
      <c r="M5518">
        <v>17.66</v>
      </c>
      <c r="N5518" s="12" t="s">
        <v>159</v>
      </c>
      <c r="O5518" s="12" t="s">
        <v>160</v>
      </c>
      <c r="P5518" s="12" t="s">
        <v>137</v>
      </c>
      <c r="Q5518" s="13">
        <v>45888</v>
      </c>
      <c r="R5518" s="13">
        <v>45904</v>
      </c>
      <c r="S5518">
        <v>2025</v>
      </c>
      <c r="T5518" s="12" t="s">
        <v>6515</v>
      </c>
      <c r="U5518">
        <v>43</v>
      </c>
      <c r="V5518">
        <v>154.3064</v>
      </c>
      <c r="W5518">
        <v>51.87</v>
      </c>
      <c r="X5518">
        <v>0</v>
      </c>
      <c r="Y5518">
        <v>0</v>
      </c>
      <c r="Z5518">
        <v>6635.18</v>
      </c>
      <c r="AA5518">
        <v>6687.05</v>
      </c>
      <c r="AB5518" s="12" t="s">
        <v>5538</v>
      </c>
      <c r="AC5518">
        <v>154.3064</v>
      </c>
      <c r="AD5518">
        <v>1</v>
      </c>
      <c r="AE5518">
        <v>1</v>
      </c>
      <c r="AF5518">
        <v>0</v>
      </c>
      <c r="AG5518">
        <v>6635.18</v>
      </c>
      <c r="AH5518">
        <v>43</v>
      </c>
      <c r="AI5518">
        <v>43</v>
      </c>
      <c r="AJ5518">
        <v>0</v>
      </c>
      <c r="AK5518">
        <v>1</v>
      </c>
      <c r="AL5518">
        <v>1</v>
      </c>
      <c r="AM5518">
        <v>100</v>
      </c>
      <c r="AN5518">
        <v>155.5127</v>
      </c>
      <c r="AO5518">
        <v>0</v>
      </c>
      <c r="AP5518" s="13">
        <v>45910</v>
      </c>
      <c r="AQ5518">
        <v>6</v>
      </c>
      <c r="AR5518">
        <v>0</v>
      </c>
    </row>
    <row r="5519" spans="1:44" x14ac:dyDescent="0.35">
      <c r="A5519" s="12" t="s">
        <v>6622</v>
      </c>
      <c r="B5519" s="12" t="s">
        <v>442</v>
      </c>
      <c r="C5519" s="12" t="s">
        <v>443</v>
      </c>
      <c r="D5519" s="12" t="s">
        <v>130</v>
      </c>
      <c r="E5519" s="12" t="s">
        <v>65</v>
      </c>
      <c r="F5519">
        <v>3</v>
      </c>
      <c r="G5519">
        <v>4</v>
      </c>
      <c r="H5519">
        <v>0</v>
      </c>
      <c r="I5519" s="12" t="s">
        <v>251</v>
      </c>
      <c r="J5519" s="12" t="s">
        <v>252</v>
      </c>
      <c r="K5519" s="12" t="s">
        <v>133</v>
      </c>
      <c r="L5519" s="12" t="s">
        <v>69</v>
      </c>
      <c r="M5519">
        <v>34.49</v>
      </c>
      <c r="N5519" s="12" t="s">
        <v>135</v>
      </c>
      <c r="O5519" s="12" t="s">
        <v>136</v>
      </c>
      <c r="P5519" s="12" t="s">
        <v>137</v>
      </c>
      <c r="Q5519" s="13">
        <v>45888</v>
      </c>
      <c r="R5519" s="13">
        <v>45911</v>
      </c>
      <c r="S5519">
        <v>2025</v>
      </c>
      <c r="T5519" s="12" t="s">
        <v>6515</v>
      </c>
      <c r="U5519">
        <v>28</v>
      </c>
      <c r="V5519">
        <v>514.42409999999995</v>
      </c>
      <c r="W5519">
        <v>354.95</v>
      </c>
      <c r="X5519">
        <v>0</v>
      </c>
      <c r="Y5519">
        <v>0</v>
      </c>
      <c r="Z5519">
        <v>14403.87</v>
      </c>
      <c r="AA5519">
        <v>14758.82</v>
      </c>
      <c r="AB5519" s="12" t="s">
        <v>5218</v>
      </c>
      <c r="AC5519">
        <v>514.42409999999995</v>
      </c>
      <c r="AD5519">
        <v>1</v>
      </c>
      <c r="AE5519">
        <v>1</v>
      </c>
      <c r="AF5519">
        <v>0</v>
      </c>
      <c r="AG5519">
        <v>14403.87</v>
      </c>
      <c r="AH5519">
        <v>28</v>
      </c>
      <c r="AI5519">
        <v>28</v>
      </c>
      <c r="AJ5519">
        <v>0</v>
      </c>
      <c r="AK5519">
        <v>1</v>
      </c>
      <c r="AL5519">
        <v>1</v>
      </c>
      <c r="AM5519">
        <v>100</v>
      </c>
      <c r="AN5519">
        <v>527.10090000000002</v>
      </c>
      <c r="AO5519">
        <v>0</v>
      </c>
      <c r="AP5519" s="13">
        <v>45908</v>
      </c>
      <c r="AQ5519">
        <v>-3</v>
      </c>
      <c r="AR5519">
        <v>1</v>
      </c>
    </row>
    <row r="5520" spans="1:44" x14ac:dyDescent="0.35">
      <c r="A5520" s="12" t="s">
        <v>6623</v>
      </c>
      <c r="B5520" s="12" t="s">
        <v>331</v>
      </c>
      <c r="C5520" s="12" t="s">
        <v>332</v>
      </c>
      <c r="D5520" s="12" t="s">
        <v>122</v>
      </c>
      <c r="E5520" s="12" t="s">
        <v>142</v>
      </c>
      <c r="F5520">
        <v>3</v>
      </c>
      <c r="G5520">
        <v>11</v>
      </c>
      <c r="H5520">
        <v>0</v>
      </c>
      <c r="I5520" s="12" t="s">
        <v>263</v>
      </c>
      <c r="J5520" s="12" t="s">
        <v>264</v>
      </c>
      <c r="K5520" s="12" t="s">
        <v>125</v>
      </c>
      <c r="L5520" s="12" t="s">
        <v>82</v>
      </c>
      <c r="M5520">
        <v>10.210000000000001</v>
      </c>
      <c r="N5520" s="12" t="s">
        <v>70</v>
      </c>
      <c r="O5520" s="12" t="s">
        <v>71</v>
      </c>
      <c r="P5520" s="12" t="s">
        <v>72</v>
      </c>
      <c r="Q5520" s="13">
        <v>45888</v>
      </c>
      <c r="R5520" s="13">
        <v>45930</v>
      </c>
      <c r="S5520">
        <v>2025</v>
      </c>
      <c r="T5520" s="12" t="s">
        <v>6515</v>
      </c>
      <c r="U5520">
        <v>993</v>
      </c>
      <c r="V5520">
        <v>23.006</v>
      </c>
      <c r="W5520">
        <v>219.83</v>
      </c>
      <c r="X5520">
        <v>0</v>
      </c>
      <c r="Y5520">
        <v>0</v>
      </c>
      <c r="Z5520">
        <v>22844.959999999999</v>
      </c>
      <c r="AA5520">
        <v>23064.79</v>
      </c>
      <c r="AB5520" s="12" t="s">
        <v>5234</v>
      </c>
      <c r="AC5520">
        <v>23.006</v>
      </c>
      <c r="AD5520">
        <v>1</v>
      </c>
      <c r="AE5520">
        <v>1</v>
      </c>
      <c r="AF5520">
        <v>0</v>
      </c>
      <c r="AG5520">
        <v>22844.959999999999</v>
      </c>
      <c r="AH5520">
        <v>993</v>
      </c>
      <c r="AI5520">
        <v>988</v>
      </c>
      <c r="AJ5520">
        <v>5</v>
      </c>
      <c r="AK5520">
        <v>1</v>
      </c>
      <c r="AL5520">
        <v>1</v>
      </c>
      <c r="AM5520">
        <v>99.5</v>
      </c>
      <c r="AN5520">
        <v>23.344899999999999</v>
      </c>
      <c r="AO5520">
        <v>115.03</v>
      </c>
      <c r="AP5520" s="13">
        <v>45930</v>
      </c>
      <c r="AQ5520">
        <v>0</v>
      </c>
      <c r="AR5520">
        <v>1</v>
      </c>
    </row>
    <row r="5521" spans="1:44" x14ac:dyDescent="0.35">
      <c r="A5521" s="12" t="s">
        <v>6624</v>
      </c>
      <c r="B5521" s="12" t="s">
        <v>420</v>
      </c>
      <c r="C5521" s="12" t="s">
        <v>421</v>
      </c>
      <c r="D5521" s="12" t="s">
        <v>269</v>
      </c>
      <c r="E5521" s="12" t="s">
        <v>104</v>
      </c>
      <c r="F5521">
        <v>2</v>
      </c>
      <c r="G5521">
        <v>0</v>
      </c>
      <c r="H5521">
        <v>0</v>
      </c>
      <c r="I5521" s="12" t="s">
        <v>335</v>
      </c>
      <c r="J5521" s="12" t="s">
        <v>336</v>
      </c>
      <c r="K5521" s="12" t="s">
        <v>89</v>
      </c>
      <c r="L5521" s="12" t="s">
        <v>82</v>
      </c>
      <c r="M5521">
        <v>16</v>
      </c>
      <c r="N5521" s="12" t="s">
        <v>159</v>
      </c>
      <c r="O5521" s="12" t="s">
        <v>160</v>
      </c>
      <c r="P5521" s="12" t="s">
        <v>137</v>
      </c>
      <c r="Q5521" s="13">
        <v>45888</v>
      </c>
      <c r="R5521" s="13">
        <v>45904</v>
      </c>
      <c r="S5521">
        <v>2025</v>
      </c>
      <c r="T5521" s="12" t="s">
        <v>6515</v>
      </c>
      <c r="U5521">
        <v>45</v>
      </c>
      <c r="V5521">
        <v>162.28579999999999</v>
      </c>
      <c r="W5521">
        <v>181.95</v>
      </c>
      <c r="X5521">
        <v>0</v>
      </c>
      <c r="Y5521">
        <v>0</v>
      </c>
      <c r="Z5521">
        <v>7302.86</v>
      </c>
      <c r="AA5521">
        <v>7484.81</v>
      </c>
      <c r="AB5521" s="12" t="s">
        <v>201</v>
      </c>
      <c r="AD5521">
        <v>0</v>
      </c>
      <c r="AE5521">
        <v>0</v>
      </c>
      <c r="AH5521">
        <v>45</v>
      </c>
      <c r="AI5521">
        <v>44</v>
      </c>
      <c r="AJ5521">
        <v>1</v>
      </c>
      <c r="AK5521">
        <v>1</v>
      </c>
      <c r="AL5521">
        <v>1</v>
      </c>
      <c r="AM5521">
        <v>97.78</v>
      </c>
      <c r="AN5521">
        <v>170.10929999999999</v>
      </c>
      <c r="AO5521">
        <v>162.29</v>
      </c>
      <c r="AP5521" s="13">
        <v>45902</v>
      </c>
      <c r="AQ5521">
        <v>-2</v>
      </c>
      <c r="AR5521">
        <v>1</v>
      </c>
    </row>
    <row r="5522" spans="1:44" x14ac:dyDescent="0.35">
      <c r="A5522" s="12" t="s">
        <v>6625</v>
      </c>
      <c r="B5522" s="12" t="s">
        <v>809</v>
      </c>
      <c r="C5522" s="12" t="s">
        <v>810</v>
      </c>
      <c r="D5522" s="12" t="s">
        <v>114</v>
      </c>
      <c r="E5522" s="12" t="s">
        <v>65</v>
      </c>
      <c r="F5522">
        <v>3</v>
      </c>
      <c r="G5522">
        <v>5</v>
      </c>
      <c r="H5522">
        <v>0</v>
      </c>
      <c r="I5522" s="12" t="s">
        <v>804</v>
      </c>
      <c r="J5522" s="12" t="s">
        <v>342</v>
      </c>
      <c r="K5522" s="12" t="s">
        <v>117</v>
      </c>
      <c r="L5522" s="12" t="s">
        <v>69</v>
      </c>
      <c r="M5522">
        <v>30.07</v>
      </c>
      <c r="N5522" s="12" t="s">
        <v>70</v>
      </c>
      <c r="O5522" s="12" t="s">
        <v>71</v>
      </c>
      <c r="P5522" s="12" t="s">
        <v>72</v>
      </c>
      <c r="Q5522" s="13">
        <v>45888</v>
      </c>
      <c r="R5522" s="13">
        <v>45917</v>
      </c>
      <c r="S5522">
        <v>2025</v>
      </c>
      <c r="T5522" s="12" t="s">
        <v>6515</v>
      </c>
      <c r="U5522">
        <v>73</v>
      </c>
      <c r="V5522">
        <v>302.71480000000003</v>
      </c>
      <c r="W5522">
        <v>407.59</v>
      </c>
      <c r="X5522">
        <v>0</v>
      </c>
      <c r="Y5522">
        <v>0</v>
      </c>
      <c r="Z5522">
        <v>22098.18</v>
      </c>
      <c r="AA5522">
        <v>22505.77</v>
      </c>
      <c r="AB5522" s="12" t="s">
        <v>5511</v>
      </c>
      <c r="AC5522">
        <v>302.71480000000003</v>
      </c>
      <c r="AD5522">
        <v>1</v>
      </c>
      <c r="AE5522">
        <v>1</v>
      </c>
      <c r="AF5522">
        <v>0</v>
      </c>
      <c r="AG5522">
        <v>22098.18</v>
      </c>
      <c r="AH5522">
        <v>73</v>
      </c>
      <c r="AI5522">
        <v>72</v>
      </c>
      <c r="AJ5522">
        <v>1</v>
      </c>
      <c r="AK5522">
        <v>1</v>
      </c>
      <c r="AL5522">
        <v>1</v>
      </c>
      <c r="AM5522">
        <v>98.63</v>
      </c>
      <c r="AN5522">
        <v>312.58010000000002</v>
      </c>
      <c r="AO5522">
        <v>302.70999999999998</v>
      </c>
      <c r="AP5522" s="13">
        <v>45915</v>
      </c>
      <c r="AQ5522">
        <v>-2</v>
      </c>
      <c r="AR5522">
        <v>1</v>
      </c>
    </row>
    <row r="5523" spans="1:44" x14ac:dyDescent="0.35">
      <c r="A5523" s="12" t="s">
        <v>6626</v>
      </c>
      <c r="B5523" s="12" t="s">
        <v>1179</v>
      </c>
      <c r="C5523" s="12" t="s">
        <v>1180</v>
      </c>
      <c r="D5523" s="12" t="s">
        <v>122</v>
      </c>
      <c r="E5523" s="12" t="s">
        <v>142</v>
      </c>
      <c r="F5523">
        <v>1</v>
      </c>
      <c r="G5523">
        <v>8</v>
      </c>
      <c r="H5523">
        <v>1</v>
      </c>
      <c r="I5523" s="12" t="s">
        <v>143</v>
      </c>
      <c r="J5523" s="12" t="s">
        <v>144</v>
      </c>
      <c r="K5523" s="12" t="s">
        <v>133</v>
      </c>
      <c r="L5523" s="12" t="s">
        <v>96</v>
      </c>
      <c r="M5523">
        <v>5.43</v>
      </c>
      <c r="N5523" s="12" t="s">
        <v>97</v>
      </c>
      <c r="O5523" s="12" t="s">
        <v>98</v>
      </c>
      <c r="P5523" s="12" t="s">
        <v>72</v>
      </c>
      <c r="Q5523" s="13">
        <v>45888</v>
      </c>
      <c r="R5523" s="13">
        <v>45925</v>
      </c>
      <c r="S5523">
        <v>2025</v>
      </c>
      <c r="T5523" s="12" t="s">
        <v>6515</v>
      </c>
      <c r="U5523">
        <v>411</v>
      </c>
      <c r="V5523">
        <v>52.209899999999998</v>
      </c>
      <c r="W5523">
        <v>179.45</v>
      </c>
      <c r="X5523">
        <v>0</v>
      </c>
      <c r="Y5523">
        <v>0</v>
      </c>
      <c r="Z5523">
        <v>21458.27</v>
      </c>
      <c r="AA5523">
        <v>21637.72</v>
      </c>
      <c r="AB5523" s="12" t="s">
        <v>5533</v>
      </c>
      <c r="AC5523">
        <v>52.209899999999998</v>
      </c>
      <c r="AD5523">
        <v>1</v>
      </c>
      <c r="AE5523">
        <v>1</v>
      </c>
      <c r="AF5523">
        <v>0</v>
      </c>
      <c r="AG5523">
        <v>21458.27</v>
      </c>
      <c r="AH5523">
        <v>411</v>
      </c>
      <c r="AI5523">
        <v>409</v>
      </c>
      <c r="AJ5523">
        <v>2</v>
      </c>
      <c r="AK5523">
        <v>1</v>
      </c>
      <c r="AL5523">
        <v>1</v>
      </c>
      <c r="AM5523">
        <v>99.51</v>
      </c>
      <c r="AN5523">
        <v>52.904000000000003</v>
      </c>
      <c r="AO5523">
        <v>104.42</v>
      </c>
      <c r="AP5523" s="13">
        <v>45922</v>
      </c>
      <c r="AQ5523">
        <v>-3</v>
      </c>
      <c r="AR5523">
        <v>1</v>
      </c>
    </row>
    <row r="5524" spans="1:44" x14ac:dyDescent="0.35">
      <c r="A5524" s="12" t="s">
        <v>6627</v>
      </c>
      <c r="B5524" s="12" t="s">
        <v>221</v>
      </c>
      <c r="C5524" s="12" t="s">
        <v>222</v>
      </c>
      <c r="D5524" s="12" t="s">
        <v>114</v>
      </c>
      <c r="E5524" s="12" t="s">
        <v>142</v>
      </c>
      <c r="F5524">
        <v>3</v>
      </c>
      <c r="G5524">
        <v>11</v>
      </c>
      <c r="H5524">
        <v>0</v>
      </c>
      <c r="I5524" s="12" t="s">
        <v>105</v>
      </c>
      <c r="J5524" s="12" t="s">
        <v>106</v>
      </c>
      <c r="K5524" s="12" t="s">
        <v>81</v>
      </c>
      <c r="L5524" s="12" t="s">
        <v>96</v>
      </c>
      <c r="M5524">
        <v>5.01</v>
      </c>
      <c r="N5524" s="12" t="s">
        <v>70</v>
      </c>
      <c r="O5524" s="12" t="s">
        <v>71</v>
      </c>
      <c r="P5524" s="12" t="s">
        <v>72</v>
      </c>
      <c r="Q5524" s="13">
        <v>45888</v>
      </c>
      <c r="R5524" s="13">
        <v>45936</v>
      </c>
      <c r="S5524">
        <v>2025</v>
      </c>
      <c r="T5524" s="12" t="s">
        <v>6515</v>
      </c>
      <c r="U5524">
        <v>113</v>
      </c>
      <c r="V5524">
        <v>246.9692</v>
      </c>
      <c r="W5524">
        <v>184.2</v>
      </c>
      <c r="X5524">
        <v>0</v>
      </c>
      <c r="Y5524">
        <v>0</v>
      </c>
      <c r="Z5524">
        <v>27907.52</v>
      </c>
      <c r="AA5524">
        <v>28091.72</v>
      </c>
      <c r="AB5524" s="12" t="s">
        <v>201</v>
      </c>
      <c r="AD5524">
        <v>0</v>
      </c>
      <c r="AE5524">
        <v>0</v>
      </c>
      <c r="AH5524">
        <v>113</v>
      </c>
      <c r="AI5524">
        <v>110</v>
      </c>
      <c r="AJ5524">
        <v>3</v>
      </c>
      <c r="AK5524">
        <v>1</v>
      </c>
      <c r="AL5524">
        <v>1</v>
      </c>
      <c r="AM5524">
        <v>97.35</v>
      </c>
      <c r="AN5524">
        <v>255.3793</v>
      </c>
      <c r="AO5524">
        <v>740.91</v>
      </c>
      <c r="AP5524" s="13">
        <v>45943</v>
      </c>
      <c r="AQ5524">
        <v>7</v>
      </c>
      <c r="AR5524">
        <v>0</v>
      </c>
    </row>
    <row r="5525" spans="1:44" x14ac:dyDescent="0.35">
      <c r="A5525" s="12" t="s">
        <v>6628</v>
      </c>
      <c r="B5525" s="12" t="s">
        <v>670</v>
      </c>
      <c r="C5525" s="12" t="s">
        <v>671</v>
      </c>
      <c r="D5525" s="12" t="s">
        <v>175</v>
      </c>
      <c r="E5525" s="12" t="s">
        <v>142</v>
      </c>
      <c r="F5525">
        <v>2</v>
      </c>
      <c r="G5525">
        <v>9</v>
      </c>
      <c r="H5525">
        <v>0</v>
      </c>
      <c r="I5525" s="12" t="s">
        <v>105</v>
      </c>
      <c r="J5525" s="12" t="s">
        <v>106</v>
      </c>
      <c r="K5525" s="12" t="s">
        <v>81</v>
      </c>
      <c r="L5525" s="12" t="s">
        <v>96</v>
      </c>
      <c r="M5525">
        <v>5.01</v>
      </c>
      <c r="N5525" s="12" t="s">
        <v>107</v>
      </c>
      <c r="O5525" s="12" t="s">
        <v>108</v>
      </c>
      <c r="P5525" s="12" t="s">
        <v>109</v>
      </c>
      <c r="Q5525" s="13">
        <v>45888</v>
      </c>
      <c r="R5525" s="13">
        <v>45934</v>
      </c>
      <c r="S5525">
        <v>2025</v>
      </c>
      <c r="T5525" s="12" t="s">
        <v>6515</v>
      </c>
      <c r="U5525">
        <v>100</v>
      </c>
      <c r="V5525">
        <v>164.14080000000001</v>
      </c>
      <c r="W5525">
        <v>319.33</v>
      </c>
      <c r="X5525">
        <v>0</v>
      </c>
      <c r="Y5525">
        <v>0</v>
      </c>
      <c r="Z5525">
        <v>16414.080000000002</v>
      </c>
      <c r="AA5525">
        <v>16733.41</v>
      </c>
      <c r="AB5525" s="12" t="s">
        <v>201</v>
      </c>
      <c r="AD5525">
        <v>0</v>
      </c>
      <c r="AE5525">
        <v>0</v>
      </c>
      <c r="AH5525">
        <v>100</v>
      </c>
      <c r="AI5525">
        <v>100</v>
      </c>
      <c r="AJ5525">
        <v>0</v>
      </c>
      <c r="AK5525">
        <v>1</v>
      </c>
      <c r="AL5525">
        <v>1</v>
      </c>
      <c r="AM5525">
        <v>100</v>
      </c>
      <c r="AN5525">
        <v>167.33410000000001</v>
      </c>
      <c r="AO5525">
        <v>0</v>
      </c>
      <c r="AP5525" s="13">
        <v>45933</v>
      </c>
      <c r="AQ5525">
        <v>-1</v>
      </c>
      <c r="AR5525">
        <v>1</v>
      </c>
    </row>
    <row r="5526" spans="1:44" x14ac:dyDescent="0.35">
      <c r="A5526" s="12" t="s">
        <v>6629</v>
      </c>
      <c r="B5526" s="12" t="s">
        <v>1433</v>
      </c>
      <c r="C5526" s="12" t="s">
        <v>1434</v>
      </c>
      <c r="D5526" s="12" t="s">
        <v>269</v>
      </c>
      <c r="E5526" s="12" t="s">
        <v>65</v>
      </c>
      <c r="F5526">
        <v>3</v>
      </c>
      <c r="G5526">
        <v>5</v>
      </c>
      <c r="H5526">
        <v>0</v>
      </c>
      <c r="I5526" s="12" t="s">
        <v>87</v>
      </c>
      <c r="J5526" s="12" t="s">
        <v>88</v>
      </c>
      <c r="K5526" s="12" t="s">
        <v>89</v>
      </c>
      <c r="L5526" s="12" t="s">
        <v>69</v>
      </c>
      <c r="M5526">
        <v>14.93</v>
      </c>
      <c r="N5526" s="12" t="s">
        <v>159</v>
      </c>
      <c r="O5526" s="12" t="s">
        <v>160</v>
      </c>
      <c r="P5526" s="12" t="s">
        <v>137</v>
      </c>
      <c r="Q5526" s="13">
        <v>45888</v>
      </c>
      <c r="R5526" s="13">
        <v>45910</v>
      </c>
      <c r="S5526">
        <v>2025</v>
      </c>
      <c r="T5526" s="12" t="s">
        <v>6515</v>
      </c>
      <c r="U5526">
        <v>20</v>
      </c>
      <c r="V5526">
        <v>494.2647</v>
      </c>
      <c r="W5526">
        <v>154.36000000000001</v>
      </c>
      <c r="X5526">
        <v>0</v>
      </c>
      <c r="Y5526">
        <v>0</v>
      </c>
      <c r="Z5526">
        <v>9885.2900000000009</v>
      </c>
      <c r="AA5526">
        <v>10039.65</v>
      </c>
      <c r="AB5526" s="12" t="s">
        <v>201</v>
      </c>
      <c r="AD5526">
        <v>0</v>
      </c>
      <c r="AE5526">
        <v>0</v>
      </c>
      <c r="AH5526">
        <v>20</v>
      </c>
      <c r="AI5526">
        <v>20</v>
      </c>
      <c r="AJ5526">
        <v>0</v>
      </c>
      <c r="AK5526">
        <v>1</v>
      </c>
      <c r="AL5526">
        <v>1</v>
      </c>
      <c r="AM5526">
        <v>100</v>
      </c>
      <c r="AN5526">
        <v>501.98270000000002</v>
      </c>
      <c r="AO5526">
        <v>0</v>
      </c>
      <c r="AP5526" s="13">
        <v>45908</v>
      </c>
      <c r="AQ5526">
        <v>-2</v>
      </c>
      <c r="AR5526">
        <v>1</v>
      </c>
    </row>
    <row r="5527" spans="1:44" x14ac:dyDescent="0.35">
      <c r="A5527" s="12" t="s">
        <v>6630</v>
      </c>
      <c r="B5527" s="12" t="s">
        <v>331</v>
      </c>
      <c r="C5527" s="12" t="s">
        <v>332</v>
      </c>
      <c r="D5527" s="12" t="s">
        <v>122</v>
      </c>
      <c r="E5527" s="12" t="s">
        <v>142</v>
      </c>
      <c r="F5527">
        <v>3</v>
      </c>
      <c r="G5527">
        <v>11</v>
      </c>
      <c r="H5527">
        <v>0</v>
      </c>
      <c r="I5527" s="12" t="s">
        <v>263</v>
      </c>
      <c r="J5527" s="12" t="s">
        <v>264</v>
      </c>
      <c r="K5527" s="12" t="s">
        <v>125</v>
      </c>
      <c r="L5527" s="12" t="s">
        <v>82</v>
      </c>
      <c r="M5527">
        <v>10.210000000000001</v>
      </c>
      <c r="N5527" s="12" t="s">
        <v>70</v>
      </c>
      <c r="O5527" s="12" t="s">
        <v>71</v>
      </c>
      <c r="P5527" s="12" t="s">
        <v>72</v>
      </c>
      <c r="Q5527" s="13">
        <v>45888</v>
      </c>
      <c r="R5527" s="13">
        <v>45930</v>
      </c>
      <c r="S5527">
        <v>2025</v>
      </c>
      <c r="T5527" s="12" t="s">
        <v>6515</v>
      </c>
      <c r="U5527">
        <v>993</v>
      </c>
      <c r="V5527">
        <v>23.006</v>
      </c>
      <c r="W5527">
        <v>219.83</v>
      </c>
      <c r="X5527">
        <v>0</v>
      </c>
      <c r="Y5527">
        <v>0</v>
      </c>
      <c r="Z5527">
        <v>22844.959999999999</v>
      </c>
      <c r="AA5527">
        <v>23064.79</v>
      </c>
      <c r="AB5527" s="12" t="s">
        <v>5234</v>
      </c>
      <c r="AC5527">
        <v>23.006</v>
      </c>
      <c r="AD5527">
        <v>1</v>
      </c>
      <c r="AE5527">
        <v>1</v>
      </c>
      <c r="AF5527">
        <v>0</v>
      </c>
      <c r="AG5527">
        <v>22844.959999999999</v>
      </c>
      <c r="AK5527">
        <v>0</v>
      </c>
      <c r="AL5527">
        <v>0</v>
      </c>
      <c r="AO5527">
        <v>0</v>
      </c>
      <c r="AP5527" s="13"/>
    </row>
    <row r="5528" spans="1:44" x14ac:dyDescent="0.35">
      <c r="A5528" s="12" t="s">
        <v>6631</v>
      </c>
      <c r="B5528" s="12" t="s">
        <v>891</v>
      </c>
      <c r="C5528" s="12" t="s">
        <v>892</v>
      </c>
      <c r="D5528" s="12" t="s">
        <v>122</v>
      </c>
      <c r="E5528" s="12" t="s">
        <v>65</v>
      </c>
      <c r="F5528">
        <v>3</v>
      </c>
      <c r="G5528">
        <v>5</v>
      </c>
      <c r="H5528">
        <v>0</v>
      </c>
      <c r="I5528" s="12" t="s">
        <v>94</v>
      </c>
      <c r="J5528" s="12" t="s">
        <v>95</v>
      </c>
      <c r="K5528" s="12" t="s">
        <v>81</v>
      </c>
      <c r="L5528" s="12" t="s">
        <v>96</v>
      </c>
      <c r="M5528">
        <v>4.8099999999999996</v>
      </c>
      <c r="N5528" s="12" t="s">
        <v>97</v>
      </c>
      <c r="O5528" s="12" t="s">
        <v>98</v>
      </c>
      <c r="P5528" s="12" t="s">
        <v>72</v>
      </c>
      <c r="Q5528" s="13">
        <v>45889</v>
      </c>
      <c r="R5528" s="13">
        <v>45927</v>
      </c>
      <c r="S5528">
        <v>2025</v>
      </c>
      <c r="T5528" s="12" t="s">
        <v>6515</v>
      </c>
      <c r="U5528">
        <v>1979</v>
      </c>
      <c r="V5528">
        <v>41.366999999999997</v>
      </c>
      <c r="W5528">
        <v>1883.2</v>
      </c>
      <c r="X5528">
        <v>0</v>
      </c>
      <c r="Y5528">
        <v>0</v>
      </c>
      <c r="Z5528">
        <v>81865.289999999994</v>
      </c>
      <c r="AA5528">
        <v>83748.490000000005</v>
      </c>
      <c r="AB5528" s="12" t="s">
        <v>201</v>
      </c>
      <c r="AD5528">
        <v>0</v>
      </c>
      <c r="AE5528">
        <v>0</v>
      </c>
      <c r="AH5528">
        <v>1979</v>
      </c>
      <c r="AI5528">
        <v>1956</v>
      </c>
      <c r="AJ5528">
        <v>23</v>
      </c>
      <c r="AK5528">
        <v>1</v>
      </c>
      <c r="AL5528">
        <v>1</v>
      </c>
      <c r="AM5528">
        <v>98.84</v>
      </c>
      <c r="AN5528">
        <v>42.816200000000002</v>
      </c>
      <c r="AO5528">
        <v>951.44</v>
      </c>
      <c r="AP5528" s="13">
        <v>45936</v>
      </c>
      <c r="AQ5528">
        <v>9</v>
      </c>
      <c r="AR5528">
        <v>0</v>
      </c>
    </row>
    <row r="5529" spans="1:44" x14ac:dyDescent="0.35">
      <c r="A5529" s="12" t="s">
        <v>6632</v>
      </c>
      <c r="B5529" s="12" t="s">
        <v>163</v>
      </c>
      <c r="C5529" s="12" t="s">
        <v>164</v>
      </c>
      <c r="D5529" s="12" t="s">
        <v>64</v>
      </c>
      <c r="E5529" s="12" t="s">
        <v>104</v>
      </c>
      <c r="F5529">
        <v>2</v>
      </c>
      <c r="G5529">
        <v>0</v>
      </c>
      <c r="H5529">
        <v>0</v>
      </c>
      <c r="I5529" s="12" t="s">
        <v>79</v>
      </c>
      <c r="J5529" s="12" t="s">
        <v>80</v>
      </c>
      <c r="K5529" s="12" t="s">
        <v>81</v>
      </c>
      <c r="L5529" s="12" t="s">
        <v>82</v>
      </c>
      <c r="M5529">
        <v>12.07</v>
      </c>
      <c r="N5529" s="12" t="s">
        <v>97</v>
      </c>
      <c r="O5529" s="12" t="s">
        <v>98</v>
      </c>
      <c r="P5529" s="12" t="s">
        <v>72</v>
      </c>
      <c r="Q5529" s="13">
        <v>45889</v>
      </c>
      <c r="R5529" s="13">
        <v>45914</v>
      </c>
      <c r="S5529">
        <v>2025</v>
      </c>
      <c r="T5529" s="12" t="s">
        <v>6515</v>
      </c>
      <c r="U5529">
        <v>750</v>
      </c>
      <c r="V5529">
        <v>10.482900000000001</v>
      </c>
      <c r="W5529">
        <v>141.83000000000001</v>
      </c>
      <c r="X5529">
        <v>0</v>
      </c>
      <c r="Y5529">
        <v>0</v>
      </c>
      <c r="Z5529">
        <v>7862.18</v>
      </c>
      <c r="AA5529">
        <v>8004.01</v>
      </c>
      <c r="AB5529" s="12" t="s">
        <v>5303</v>
      </c>
      <c r="AC5529">
        <v>10.482900000000001</v>
      </c>
      <c r="AD5529">
        <v>1</v>
      </c>
      <c r="AE5529">
        <v>1</v>
      </c>
      <c r="AF5529">
        <v>0</v>
      </c>
      <c r="AG5529">
        <v>7862.18</v>
      </c>
      <c r="AH5529">
        <v>750</v>
      </c>
      <c r="AI5529">
        <v>740</v>
      </c>
      <c r="AJ5529">
        <v>10</v>
      </c>
      <c r="AK5529">
        <v>1</v>
      </c>
      <c r="AL5529">
        <v>1</v>
      </c>
      <c r="AM5529">
        <v>98.67</v>
      </c>
      <c r="AN5529">
        <v>10.8162</v>
      </c>
      <c r="AO5529">
        <v>104.83</v>
      </c>
      <c r="AP5529" s="13">
        <v>45913</v>
      </c>
      <c r="AQ5529">
        <v>-1</v>
      </c>
      <c r="AR5529">
        <v>1</v>
      </c>
    </row>
    <row r="5530" spans="1:44" x14ac:dyDescent="0.35">
      <c r="A5530" s="12" t="s">
        <v>6633</v>
      </c>
      <c r="B5530" s="12" t="s">
        <v>766</v>
      </c>
      <c r="C5530" s="12" t="s">
        <v>767</v>
      </c>
      <c r="D5530" s="12" t="s">
        <v>175</v>
      </c>
      <c r="E5530" s="12" t="s">
        <v>65</v>
      </c>
      <c r="F5530">
        <v>3</v>
      </c>
      <c r="G5530">
        <v>5</v>
      </c>
      <c r="H5530">
        <v>0</v>
      </c>
      <c r="I5530" s="12" t="s">
        <v>157</v>
      </c>
      <c r="J5530" s="12" t="s">
        <v>158</v>
      </c>
      <c r="K5530" s="12" t="s">
        <v>117</v>
      </c>
      <c r="L5530" s="12" t="s">
        <v>96</v>
      </c>
      <c r="M5530">
        <v>4.72</v>
      </c>
      <c r="N5530" s="12" t="s">
        <v>145</v>
      </c>
      <c r="O5530" s="12" t="s">
        <v>146</v>
      </c>
      <c r="P5530" s="12" t="s">
        <v>109</v>
      </c>
      <c r="Q5530" s="13">
        <v>45889</v>
      </c>
      <c r="R5530" s="13">
        <v>45924</v>
      </c>
      <c r="S5530">
        <v>2025</v>
      </c>
      <c r="T5530" s="12" t="s">
        <v>6515</v>
      </c>
      <c r="U5530">
        <v>120</v>
      </c>
      <c r="V5530">
        <v>77.425799999999995</v>
      </c>
      <c r="W5530">
        <v>144.38</v>
      </c>
      <c r="X5530">
        <v>0</v>
      </c>
      <c r="Y5530">
        <v>0</v>
      </c>
      <c r="Z5530">
        <v>9291.1</v>
      </c>
      <c r="AA5530">
        <v>9435.48</v>
      </c>
      <c r="AB5530" s="12" t="s">
        <v>6634</v>
      </c>
      <c r="AC5530">
        <v>77.425799999999995</v>
      </c>
      <c r="AD5530">
        <v>1</v>
      </c>
      <c r="AE5530">
        <v>1</v>
      </c>
      <c r="AF5530">
        <v>0</v>
      </c>
      <c r="AG5530">
        <v>9291.1</v>
      </c>
      <c r="AH5530">
        <v>120</v>
      </c>
      <c r="AI5530">
        <v>120</v>
      </c>
      <c r="AJ5530">
        <v>0</v>
      </c>
      <c r="AK5530">
        <v>1</v>
      </c>
      <c r="AL5530">
        <v>1</v>
      </c>
      <c r="AM5530">
        <v>100</v>
      </c>
      <c r="AN5530">
        <v>78.629000000000005</v>
      </c>
      <c r="AO5530">
        <v>0</v>
      </c>
      <c r="AP5530" s="13">
        <v>45932</v>
      </c>
      <c r="AQ5530">
        <v>8</v>
      </c>
      <c r="AR5530">
        <v>0</v>
      </c>
    </row>
    <row r="5531" spans="1:44" x14ac:dyDescent="0.35">
      <c r="A5531" s="12" t="s">
        <v>6635</v>
      </c>
      <c r="B5531" s="12" t="s">
        <v>1068</v>
      </c>
      <c r="C5531" s="12" t="s">
        <v>1069</v>
      </c>
      <c r="D5531" s="12" t="s">
        <v>122</v>
      </c>
      <c r="E5531" s="12" t="s">
        <v>65</v>
      </c>
      <c r="F5531">
        <v>2</v>
      </c>
      <c r="G5531">
        <v>2</v>
      </c>
      <c r="H5531">
        <v>0</v>
      </c>
      <c r="I5531" s="12" t="s">
        <v>79</v>
      </c>
      <c r="J5531" s="12" t="s">
        <v>80</v>
      </c>
      <c r="K5531" s="12" t="s">
        <v>81</v>
      </c>
      <c r="L5531" s="12" t="s">
        <v>82</v>
      </c>
      <c r="M5531">
        <v>12.07</v>
      </c>
      <c r="N5531" s="12" t="s">
        <v>97</v>
      </c>
      <c r="O5531" s="12" t="s">
        <v>98</v>
      </c>
      <c r="P5531" s="12" t="s">
        <v>72</v>
      </c>
      <c r="Q5531" s="13">
        <v>45889</v>
      </c>
      <c r="R5531" s="13">
        <v>45927</v>
      </c>
      <c r="S5531">
        <v>2025</v>
      </c>
      <c r="T5531" s="12" t="s">
        <v>6515</v>
      </c>
      <c r="U5531">
        <v>1942</v>
      </c>
      <c r="V5531">
        <v>20.8949</v>
      </c>
      <c r="W5531">
        <v>690.17</v>
      </c>
      <c r="X5531">
        <v>0</v>
      </c>
      <c r="Y5531">
        <v>0</v>
      </c>
      <c r="Z5531">
        <v>40577.9</v>
      </c>
      <c r="AA5531">
        <v>41268.07</v>
      </c>
      <c r="AB5531" s="12" t="s">
        <v>5478</v>
      </c>
      <c r="AC5531">
        <v>20.8949</v>
      </c>
      <c r="AD5531">
        <v>1</v>
      </c>
      <c r="AE5531">
        <v>1</v>
      </c>
      <c r="AF5531">
        <v>0</v>
      </c>
      <c r="AG5531">
        <v>40577.9</v>
      </c>
      <c r="AH5531">
        <v>1942</v>
      </c>
      <c r="AI5531">
        <v>1937</v>
      </c>
      <c r="AJ5531">
        <v>5</v>
      </c>
      <c r="AK5531">
        <v>1</v>
      </c>
      <c r="AL5531">
        <v>1</v>
      </c>
      <c r="AM5531">
        <v>99.74</v>
      </c>
      <c r="AN5531">
        <v>21.305099999999999</v>
      </c>
      <c r="AO5531">
        <v>104.47</v>
      </c>
      <c r="AP5531" s="13">
        <v>45926</v>
      </c>
      <c r="AQ5531">
        <v>-1</v>
      </c>
      <c r="AR5531">
        <v>1</v>
      </c>
    </row>
    <row r="5532" spans="1:44" x14ac:dyDescent="0.35">
      <c r="A5532" s="12" t="s">
        <v>6636</v>
      </c>
      <c r="B5532" s="12" t="s">
        <v>1026</v>
      </c>
      <c r="C5532" s="12" t="s">
        <v>1027</v>
      </c>
      <c r="D5532" s="12" t="s">
        <v>122</v>
      </c>
      <c r="E5532" s="12" t="s">
        <v>104</v>
      </c>
      <c r="F5532">
        <v>3</v>
      </c>
      <c r="G5532">
        <v>1</v>
      </c>
      <c r="H5532">
        <v>0</v>
      </c>
      <c r="I5532" s="12" t="s">
        <v>604</v>
      </c>
      <c r="J5532" s="12" t="s">
        <v>605</v>
      </c>
      <c r="K5532" s="12" t="s">
        <v>68</v>
      </c>
      <c r="L5532" s="12" t="s">
        <v>82</v>
      </c>
      <c r="M5532">
        <v>7.24</v>
      </c>
      <c r="N5532" s="12" t="s">
        <v>97</v>
      </c>
      <c r="O5532" s="12" t="s">
        <v>98</v>
      </c>
      <c r="P5532" s="12" t="s">
        <v>72</v>
      </c>
      <c r="Q5532" s="13">
        <v>45889</v>
      </c>
      <c r="R5532" s="13">
        <v>45910</v>
      </c>
      <c r="S5532">
        <v>2025</v>
      </c>
      <c r="T5532" s="12" t="s">
        <v>6515</v>
      </c>
      <c r="U5532">
        <v>1186</v>
      </c>
      <c r="V5532">
        <v>40.553100000000001</v>
      </c>
      <c r="W5532">
        <v>1184.82</v>
      </c>
      <c r="X5532">
        <v>0</v>
      </c>
      <c r="Y5532">
        <v>0</v>
      </c>
      <c r="Z5532">
        <v>48095.98</v>
      </c>
      <c r="AA5532">
        <v>49280.800000000003</v>
      </c>
      <c r="AB5532" s="12" t="s">
        <v>6094</v>
      </c>
      <c r="AC5532">
        <v>40.553100000000001</v>
      </c>
      <c r="AD5532">
        <v>1</v>
      </c>
      <c r="AE5532">
        <v>1</v>
      </c>
      <c r="AF5532">
        <v>0</v>
      </c>
      <c r="AG5532">
        <v>48095.98</v>
      </c>
      <c r="AH5532">
        <v>1186</v>
      </c>
      <c r="AI5532">
        <v>1183</v>
      </c>
      <c r="AJ5532">
        <v>3</v>
      </c>
      <c r="AK5532">
        <v>1</v>
      </c>
      <c r="AL5532">
        <v>1</v>
      </c>
      <c r="AM5532">
        <v>99.75</v>
      </c>
      <c r="AN5532">
        <v>41.657499999999999</v>
      </c>
      <c r="AO5532">
        <v>121.66</v>
      </c>
      <c r="AP5532" s="13">
        <v>45909</v>
      </c>
      <c r="AQ5532">
        <v>-1</v>
      </c>
      <c r="AR5532">
        <v>1</v>
      </c>
    </row>
    <row r="5533" spans="1:44" x14ac:dyDescent="0.35">
      <c r="A5533" s="12" t="s">
        <v>6637</v>
      </c>
      <c r="B5533" s="12" t="s">
        <v>532</v>
      </c>
      <c r="C5533" s="12" t="s">
        <v>533</v>
      </c>
      <c r="D5533" s="12" t="s">
        <v>114</v>
      </c>
      <c r="E5533" s="12" t="s">
        <v>65</v>
      </c>
      <c r="F5533">
        <v>2</v>
      </c>
      <c r="G5533">
        <v>3</v>
      </c>
      <c r="H5533">
        <v>0</v>
      </c>
      <c r="I5533" s="12" t="s">
        <v>105</v>
      </c>
      <c r="J5533" s="12" t="s">
        <v>106</v>
      </c>
      <c r="K5533" s="12" t="s">
        <v>81</v>
      </c>
      <c r="L5533" s="12" t="s">
        <v>96</v>
      </c>
      <c r="M5533">
        <v>5.01</v>
      </c>
      <c r="N5533" s="12" t="s">
        <v>97</v>
      </c>
      <c r="O5533" s="12" t="s">
        <v>98</v>
      </c>
      <c r="P5533" s="12" t="s">
        <v>72</v>
      </c>
      <c r="Q5533" s="13">
        <v>45889</v>
      </c>
      <c r="R5533" s="13">
        <v>45914</v>
      </c>
      <c r="S5533">
        <v>2025</v>
      </c>
      <c r="T5533" s="12" t="s">
        <v>6515</v>
      </c>
      <c r="U5533">
        <v>42</v>
      </c>
      <c r="V5533">
        <v>249.89959999999999</v>
      </c>
      <c r="W5533">
        <v>185.54</v>
      </c>
      <c r="X5533">
        <v>0</v>
      </c>
      <c r="Y5533">
        <v>0</v>
      </c>
      <c r="Z5533">
        <v>10495.78</v>
      </c>
      <c r="AA5533">
        <v>10681.32</v>
      </c>
      <c r="AB5533" s="12" t="s">
        <v>5676</v>
      </c>
      <c r="AC5533">
        <v>249.89959999999999</v>
      </c>
      <c r="AD5533">
        <v>1</v>
      </c>
      <c r="AE5533">
        <v>1</v>
      </c>
      <c r="AF5533">
        <v>0</v>
      </c>
      <c r="AG5533">
        <v>10495.78</v>
      </c>
      <c r="AH5533">
        <v>42</v>
      </c>
      <c r="AI5533">
        <v>41</v>
      </c>
      <c r="AJ5533">
        <v>1</v>
      </c>
      <c r="AK5533">
        <v>1</v>
      </c>
      <c r="AL5533">
        <v>1</v>
      </c>
      <c r="AM5533">
        <v>97.62</v>
      </c>
      <c r="AN5533">
        <v>260.52010000000001</v>
      </c>
      <c r="AO5533">
        <v>249.9</v>
      </c>
      <c r="AP5533" s="13">
        <v>45913</v>
      </c>
      <c r="AQ5533">
        <v>-1</v>
      </c>
      <c r="AR5533">
        <v>1</v>
      </c>
    </row>
    <row r="5534" spans="1:44" x14ac:dyDescent="0.35">
      <c r="A5534" s="12" t="s">
        <v>6638</v>
      </c>
      <c r="B5534" s="12" t="s">
        <v>1013</v>
      </c>
      <c r="C5534" s="12" t="s">
        <v>1014</v>
      </c>
      <c r="D5534" s="12" t="s">
        <v>78</v>
      </c>
      <c r="E5534" s="12" t="s">
        <v>65</v>
      </c>
      <c r="F5534">
        <v>2</v>
      </c>
      <c r="G5534">
        <v>3</v>
      </c>
      <c r="H5534">
        <v>0</v>
      </c>
      <c r="I5534" s="12" t="s">
        <v>123</v>
      </c>
      <c r="J5534" s="12" t="s">
        <v>124</v>
      </c>
      <c r="K5534" s="12" t="s">
        <v>125</v>
      </c>
      <c r="L5534" s="12" t="s">
        <v>82</v>
      </c>
      <c r="M5534">
        <v>6.75</v>
      </c>
      <c r="N5534" s="12" t="s">
        <v>70</v>
      </c>
      <c r="O5534" s="12" t="s">
        <v>71</v>
      </c>
      <c r="P5534" s="12" t="s">
        <v>72</v>
      </c>
      <c r="Q5534" s="13">
        <v>45889</v>
      </c>
      <c r="R5534" s="13">
        <v>45916</v>
      </c>
      <c r="S5534">
        <v>2025</v>
      </c>
      <c r="T5534" s="12" t="s">
        <v>6515</v>
      </c>
      <c r="U5534">
        <v>137</v>
      </c>
      <c r="V5534">
        <v>117.5337</v>
      </c>
      <c r="W5534">
        <v>405.69</v>
      </c>
      <c r="X5534">
        <v>0</v>
      </c>
      <c r="Y5534">
        <v>0</v>
      </c>
      <c r="Z5534">
        <v>16102.12</v>
      </c>
      <c r="AA5534">
        <v>16507.810000000001</v>
      </c>
      <c r="AB5534" s="12" t="s">
        <v>6350</v>
      </c>
      <c r="AC5534">
        <v>124.94710000000001</v>
      </c>
      <c r="AD5534">
        <v>1</v>
      </c>
      <c r="AE5534">
        <v>1</v>
      </c>
      <c r="AF5534">
        <v>-1015.64</v>
      </c>
      <c r="AG5534">
        <v>17117.75</v>
      </c>
      <c r="AH5534">
        <v>137</v>
      </c>
      <c r="AI5534">
        <v>134</v>
      </c>
      <c r="AJ5534">
        <v>3</v>
      </c>
      <c r="AK5534">
        <v>1</v>
      </c>
      <c r="AL5534">
        <v>1</v>
      </c>
      <c r="AM5534">
        <v>97.81</v>
      </c>
      <c r="AN5534">
        <v>123.1926</v>
      </c>
      <c r="AO5534">
        <v>352.6</v>
      </c>
      <c r="AP5534" s="13">
        <v>45916</v>
      </c>
      <c r="AQ5534">
        <v>0</v>
      </c>
      <c r="AR5534">
        <v>1</v>
      </c>
    </row>
    <row r="5535" spans="1:44" x14ac:dyDescent="0.35">
      <c r="A5535" s="12" t="s">
        <v>6639</v>
      </c>
      <c r="B5535" s="12" t="s">
        <v>787</v>
      </c>
      <c r="C5535" s="12" t="s">
        <v>788</v>
      </c>
      <c r="D5535" s="12" t="s">
        <v>269</v>
      </c>
      <c r="E5535" s="12" t="s">
        <v>65</v>
      </c>
      <c r="F5535">
        <v>2</v>
      </c>
      <c r="G5535">
        <v>3</v>
      </c>
      <c r="H5535">
        <v>0</v>
      </c>
      <c r="I5535" s="12" t="s">
        <v>143</v>
      </c>
      <c r="J5535" s="12" t="s">
        <v>144</v>
      </c>
      <c r="K5535" s="12" t="s">
        <v>133</v>
      </c>
      <c r="L5535" s="12" t="s">
        <v>96</v>
      </c>
      <c r="M5535">
        <v>5.43</v>
      </c>
      <c r="N5535" s="12" t="s">
        <v>135</v>
      </c>
      <c r="O5535" s="12" t="s">
        <v>136</v>
      </c>
      <c r="P5535" s="12" t="s">
        <v>137</v>
      </c>
      <c r="Q5535" s="13">
        <v>45889</v>
      </c>
      <c r="R5535" s="13">
        <v>45910</v>
      </c>
      <c r="S5535">
        <v>2025</v>
      </c>
      <c r="T5535" s="12" t="s">
        <v>6515</v>
      </c>
      <c r="U5535">
        <v>13</v>
      </c>
      <c r="V5535">
        <v>331.79969999999997</v>
      </c>
      <c r="W5535">
        <v>61.48</v>
      </c>
      <c r="X5535">
        <v>0</v>
      </c>
      <c r="Y5535">
        <v>0</v>
      </c>
      <c r="Z5535">
        <v>4313.3999999999996</v>
      </c>
      <c r="AA5535">
        <v>4374.88</v>
      </c>
      <c r="AB5535" s="12" t="s">
        <v>5902</v>
      </c>
      <c r="AC5535">
        <v>331.79969999999997</v>
      </c>
      <c r="AD5535">
        <v>1</v>
      </c>
      <c r="AE5535">
        <v>1</v>
      </c>
      <c r="AF5535">
        <v>0</v>
      </c>
      <c r="AG5535">
        <v>4313.3999999999996</v>
      </c>
      <c r="AH5535">
        <v>13</v>
      </c>
      <c r="AI5535">
        <v>13</v>
      </c>
      <c r="AJ5535">
        <v>0</v>
      </c>
      <c r="AK5535">
        <v>1</v>
      </c>
      <c r="AL5535">
        <v>1</v>
      </c>
      <c r="AM5535">
        <v>100</v>
      </c>
      <c r="AN5535">
        <v>336.52890000000002</v>
      </c>
      <c r="AO5535">
        <v>0</v>
      </c>
      <c r="AP5535" s="13">
        <v>45910</v>
      </c>
      <c r="AQ5535">
        <v>0</v>
      </c>
      <c r="AR5535">
        <v>1</v>
      </c>
    </row>
    <row r="5536" spans="1:44" x14ac:dyDescent="0.35">
      <c r="A5536" s="12" t="s">
        <v>6640</v>
      </c>
      <c r="B5536" s="12" t="s">
        <v>972</v>
      </c>
      <c r="C5536" s="12" t="s">
        <v>973</v>
      </c>
      <c r="D5536" s="12" t="s">
        <v>130</v>
      </c>
      <c r="E5536" s="12" t="s">
        <v>142</v>
      </c>
      <c r="F5536">
        <v>2</v>
      </c>
      <c r="G5536">
        <v>9</v>
      </c>
      <c r="H5536">
        <v>0</v>
      </c>
      <c r="I5536" s="12" t="s">
        <v>676</v>
      </c>
      <c r="J5536" s="12" t="s">
        <v>677</v>
      </c>
      <c r="K5536" s="12" t="s">
        <v>68</v>
      </c>
      <c r="L5536" s="12" t="s">
        <v>96</v>
      </c>
      <c r="M5536">
        <v>3.57</v>
      </c>
      <c r="N5536" s="12" t="s">
        <v>135</v>
      </c>
      <c r="O5536" s="12" t="s">
        <v>136</v>
      </c>
      <c r="P5536" s="12" t="s">
        <v>137</v>
      </c>
      <c r="Q5536" s="13">
        <v>45889</v>
      </c>
      <c r="R5536" s="13">
        <v>45926</v>
      </c>
      <c r="S5536">
        <v>2025</v>
      </c>
      <c r="T5536" s="12" t="s">
        <v>6515</v>
      </c>
      <c r="U5536">
        <v>26</v>
      </c>
      <c r="V5536">
        <v>839.82719999999995</v>
      </c>
      <c r="W5536">
        <v>387.61</v>
      </c>
      <c r="X5536">
        <v>754.76</v>
      </c>
      <c r="Y5536">
        <v>1</v>
      </c>
      <c r="Z5536">
        <v>21835.51</v>
      </c>
      <c r="AA5536">
        <v>22977.88</v>
      </c>
      <c r="AB5536" s="12" t="s">
        <v>6005</v>
      </c>
      <c r="AC5536">
        <v>839.82719999999995</v>
      </c>
      <c r="AD5536">
        <v>1</v>
      </c>
      <c r="AE5536">
        <v>1</v>
      </c>
      <c r="AF5536">
        <v>0</v>
      </c>
      <c r="AG5536">
        <v>21835.51</v>
      </c>
      <c r="AH5536">
        <v>26</v>
      </c>
      <c r="AI5536">
        <v>26</v>
      </c>
      <c r="AJ5536">
        <v>0</v>
      </c>
      <c r="AK5536">
        <v>1</v>
      </c>
      <c r="AL5536">
        <v>1</v>
      </c>
      <c r="AM5536">
        <v>100</v>
      </c>
      <c r="AN5536">
        <v>883.7645</v>
      </c>
      <c r="AO5536">
        <v>0</v>
      </c>
      <c r="AP5536" s="13">
        <v>45925</v>
      </c>
      <c r="AQ5536">
        <v>-1</v>
      </c>
      <c r="AR5536">
        <v>1</v>
      </c>
    </row>
    <row r="5537" spans="1:44" x14ac:dyDescent="0.35">
      <c r="A5537" s="12" t="s">
        <v>6641</v>
      </c>
      <c r="B5537" s="12" t="s">
        <v>433</v>
      </c>
      <c r="C5537" s="12" t="s">
        <v>434</v>
      </c>
      <c r="D5537" s="12" t="s">
        <v>78</v>
      </c>
      <c r="E5537" s="12" t="s">
        <v>65</v>
      </c>
      <c r="F5537">
        <v>2</v>
      </c>
      <c r="G5537">
        <v>4</v>
      </c>
      <c r="H5537">
        <v>0</v>
      </c>
      <c r="I5537" s="12" t="s">
        <v>105</v>
      </c>
      <c r="J5537" s="12" t="s">
        <v>106</v>
      </c>
      <c r="K5537" s="12" t="s">
        <v>81</v>
      </c>
      <c r="L5537" s="12" t="s">
        <v>96</v>
      </c>
      <c r="M5537">
        <v>5.01</v>
      </c>
      <c r="N5537" s="12" t="s">
        <v>70</v>
      </c>
      <c r="O5537" s="12" t="s">
        <v>71</v>
      </c>
      <c r="P5537" s="12" t="s">
        <v>72</v>
      </c>
      <c r="Q5537" s="13">
        <v>45889</v>
      </c>
      <c r="R5537" s="13">
        <v>45914</v>
      </c>
      <c r="S5537">
        <v>2025</v>
      </c>
      <c r="T5537" s="12" t="s">
        <v>6515</v>
      </c>
      <c r="U5537">
        <v>107</v>
      </c>
      <c r="V5537">
        <v>64.605400000000003</v>
      </c>
      <c r="W5537">
        <v>151.04</v>
      </c>
      <c r="X5537">
        <v>234.61</v>
      </c>
      <c r="Y5537">
        <v>1</v>
      </c>
      <c r="Z5537">
        <v>6912.78</v>
      </c>
      <c r="AA5537">
        <v>7298.43</v>
      </c>
      <c r="AB5537" s="12" t="s">
        <v>5436</v>
      </c>
      <c r="AC5537">
        <v>68.594099999999997</v>
      </c>
      <c r="AD5537">
        <v>1</v>
      </c>
      <c r="AE5537">
        <v>1</v>
      </c>
      <c r="AF5537">
        <v>-426.79</v>
      </c>
      <c r="AG5537">
        <v>7339.57</v>
      </c>
      <c r="AH5537">
        <v>107</v>
      </c>
      <c r="AI5537">
        <v>105</v>
      </c>
      <c r="AJ5537">
        <v>2</v>
      </c>
      <c r="AK5537">
        <v>1</v>
      </c>
      <c r="AL5537">
        <v>1</v>
      </c>
      <c r="AM5537">
        <v>98.13</v>
      </c>
      <c r="AN5537">
        <v>69.508799999999994</v>
      </c>
      <c r="AO5537">
        <v>129.21</v>
      </c>
      <c r="AP5537" s="13">
        <v>45913</v>
      </c>
      <c r="AQ5537">
        <v>-1</v>
      </c>
      <c r="AR5537">
        <v>1</v>
      </c>
    </row>
    <row r="5538" spans="1:44" x14ac:dyDescent="0.35">
      <c r="A5538" s="12" t="s">
        <v>6642</v>
      </c>
      <c r="B5538" s="12" t="s">
        <v>408</v>
      </c>
      <c r="C5538" s="12" t="s">
        <v>409</v>
      </c>
      <c r="D5538" s="12" t="s">
        <v>130</v>
      </c>
      <c r="E5538" s="12" t="s">
        <v>65</v>
      </c>
      <c r="F5538">
        <v>3</v>
      </c>
      <c r="G5538">
        <v>5</v>
      </c>
      <c r="H5538">
        <v>0</v>
      </c>
      <c r="I5538" s="12" t="s">
        <v>105</v>
      </c>
      <c r="J5538" s="12" t="s">
        <v>106</v>
      </c>
      <c r="K5538" s="12" t="s">
        <v>81</v>
      </c>
      <c r="L5538" s="12" t="s">
        <v>96</v>
      </c>
      <c r="M5538">
        <v>5.01</v>
      </c>
      <c r="N5538" s="12" t="s">
        <v>135</v>
      </c>
      <c r="O5538" s="12" t="s">
        <v>136</v>
      </c>
      <c r="P5538" s="12" t="s">
        <v>137</v>
      </c>
      <c r="Q5538" s="13">
        <v>45890</v>
      </c>
      <c r="R5538" s="13">
        <v>45913</v>
      </c>
      <c r="S5538">
        <v>2025</v>
      </c>
      <c r="T5538" s="12" t="s">
        <v>6515</v>
      </c>
      <c r="U5538">
        <v>27</v>
      </c>
      <c r="V5538">
        <v>724.06979999999999</v>
      </c>
      <c r="W5538">
        <v>461.47</v>
      </c>
      <c r="X5538">
        <v>0</v>
      </c>
      <c r="Y5538">
        <v>0</v>
      </c>
      <c r="Z5538">
        <v>19549.88</v>
      </c>
      <c r="AA5538">
        <v>20011.349999999999</v>
      </c>
      <c r="AB5538" s="12" t="s">
        <v>5490</v>
      </c>
      <c r="AC5538">
        <v>724.06979999999999</v>
      </c>
      <c r="AD5538">
        <v>1</v>
      </c>
      <c r="AE5538">
        <v>1</v>
      </c>
      <c r="AF5538">
        <v>0</v>
      </c>
      <c r="AG5538">
        <v>19549.88</v>
      </c>
      <c r="AH5538">
        <v>27</v>
      </c>
      <c r="AI5538">
        <v>27</v>
      </c>
      <c r="AJ5538">
        <v>0</v>
      </c>
      <c r="AK5538">
        <v>1</v>
      </c>
      <c r="AL5538">
        <v>1</v>
      </c>
      <c r="AM5538">
        <v>100</v>
      </c>
      <c r="AN5538">
        <v>741.16129999999998</v>
      </c>
      <c r="AO5538">
        <v>0</v>
      </c>
      <c r="AP5538" s="13">
        <v>45911</v>
      </c>
      <c r="AQ5538">
        <v>-2</v>
      </c>
      <c r="AR5538">
        <v>1</v>
      </c>
    </row>
    <row r="5539" spans="1:44" x14ac:dyDescent="0.35">
      <c r="A5539" s="12" t="s">
        <v>6643</v>
      </c>
      <c r="B5539" s="12" t="s">
        <v>1075</v>
      </c>
      <c r="C5539" s="12" t="s">
        <v>1076</v>
      </c>
      <c r="D5539" s="12" t="s">
        <v>103</v>
      </c>
      <c r="E5539" s="12" t="s">
        <v>65</v>
      </c>
      <c r="F5539">
        <v>2</v>
      </c>
      <c r="G5539">
        <v>4</v>
      </c>
      <c r="H5539">
        <v>0</v>
      </c>
      <c r="I5539" s="12" t="s">
        <v>183</v>
      </c>
      <c r="J5539" s="12" t="s">
        <v>184</v>
      </c>
      <c r="K5539" s="12" t="s">
        <v>133</v>
      </c>
      <c r="L5539" s="12" t="s">
        <v>82</v>
      </c>
      <c r="M5539">
        <v>8.6199999999999992</v>
      </c>
      <c r="N5539" s="12" t="s">
        <v>107</v>
      </c>
      <c r="O5539" s="12" t="s">
        <v>108</v>
      </c>
      <c r="P5539" s="12" t="s">
        <v>109</v>
      </c>
      <c r="Q5539" s="13">
        <v>45890</v>
      </c>
      <c r="R5539" s="13">
        <v>45912</v>
      </c>
      <c r="S5539">
        <v>2025</v>
      </c>
      <c r="T5539" s="12" t="s">
        <v>6515</v>
      </c>
      <c r="U5539">
        <v>22</v>
      </c>
      <c r="V5539">
        <v>70.719300000000004</v>
      </c>
      <c r="W5539">
        <v>25.39</v>
      </c>
      <c r="X5539">
        <v>0</v>
      </c>
      <c r="Y5539">
        <v>0</v>
      </c>
      <c r="Z5539">
        <v>1555.82</v>
      </c>
      <c r="AA5539">
        <v>1581.21</v>
      </c>
      <c r="AB5539" s="12" t="s">
        <v>201</v>
      </c>
      <c r="AD5539">
        <v>0</v>
      </c>
      <c r="AE5539">
        <v>0</v>
      </c>
      <c r="AH5539">
        <v>22</v>
      </c>
      <c r="AI5539">
        <v>22</v>
      </c>
      <c r="AJ5539">
        <v>0</v>
      </c>
      <c r="AK5539">
        <v>1</v>
      </c>
      <c r="AL5539">
        <v>1</v>
      </c>
      <c r="AM5539">
        <v>100</v>
      </c>
      <c r="AN5539">
        <v>71.873400000000004</v>
      </c>
      <c r="AO5539">
        <v>0</v>
      </c>
      <c r="AP5539" s="13">
        <v>45920</v>
      </c>
      <c r="AQ5539">
        <v>8</v>
      </c>
      <c r="AR5539">
        <v>0</v>
      </c>
    </row>
    <row r="5540" spans="1:44" x14ac:dyDescent="0.35">
      <c r="A5540" s="12" t="s">
        <v>6644</v>
      </c>
      <c r="B5540" s="12" t="s">
        <v>1026</v>
      </c>
      <c r="C5540" s="12" t="s">
        <v>1027</v>
      </c>
      <c r="D5540" s="12" t="s">
        <v>122</v>
      </c>
      <c r="E5540" s="12" t="s">
        <v>104</v>
      </c>
      <c r="F5540">
        <v>3</v>
      </c>
      <c r="G5540">
        <v>1</v>
      </c>
      <c r="H5540">
        <v>0</v>
      </c>
      <c r="I5540" s="12" t="s">
        <v>183</v>
      </c>
      <c r="J5540" s="12" t="s">
        <v>184</v>
      </c>
      <c r="K5540" s="12" t="s">
        <v>133</v>
      </c>
      <c r="L5540" s="12" t="s">
        <v>82</v>
      </c>
      <c r="M5540">
        <v>8.6199999999999992</v>
      </c>
      <c r="N5540" s="12" t="s">
        <v>70</v>
      </c>
      <c r="O5540" s="12" t="s">
        <v>71</v>
      </c>
      <c r="P5540" s="12" t="s">
        <v>72</v>
      </c>
      <c r="Q5540" s="13">
        <v>45890</v>
      </c>
      <c r="R5540" s="13">
        <v>45908</v>
      </c>
      <c r="S5540">
        <v>2025</v>
      </c>
      <c r="T5540" s="12" t="s">
        <v>6515</v>
      </c>
      <c r="U5540">
        <v>814</v>
      </c>
      <c r="V5540">
        <v>40.5139</v>
      </c>
      <c r="W5540">
        <v>503.94</v>
      </c>
      <c r="X5540">
        <v>0</v>
      </c>
      <c r="Y5540">
        <v>0</v>
      </c>
      <c r="Z5540">
        <v>32978.31</v>
      </c>
      <c r="AA5540">
        <v>33482.25</v>
      </c>
      <c r="AB5540" s="12" t="s">
        <v>201</v>
      </c>
      <c r="AD5540">
        <v>0</v>
      </c>
      <c r="AE5540">
        <v>0</v>
      </c>
      <c r="AH5540">
        <v>814</v>
      </c>
      <c r="AI5540">
        <v>811</v>
      </c>
      <c r="AJ5540">
        <v>3</v>
      </c>
      <c r="AK5540">
        <v>1</v>
      </c>
      <c r="AL5540">
        <v>1</v>
      </c>
      <c r="AM5540">
        <v>99.63</v>
      </c>
      <c r="AN5540">
        <v>41.2851</v>
      </c>
      <c r="AO5540">
        <v>121.54</v>
      </c>
      <c r="AP5540" s="13">
        <v>45907</v>
      </c>
      <c r="AQ5540">
        <v>-1</v>
      </c>
      <c r="AR5540">
        <v>1</v>
      </c>
    </row>
    <row r="5541" spans="1:44" x14ac:dyDescent="0.35">
      <c r="A5541" s="12" t="s">
        <v>6645</v>
      </c>
      <c r="B5541" s="12" t="s">
        <v>1026</v>
      </c>
      <c r="C5541" s="12" t="s">
        <v>1027</v>
      </c>
      <c r="D5541" s="12" t="s">
        <v>122</v>
      </c>
      <c r="E5541" s="12" t="s">
        <v>104</v>
      </c>
      <c r="F5541">
        <v>3</v>
      </c>
      <c r="G5541">
        <v>1</v>
      </c>
      <c r="H5541">
        <v>0</v>
      </c>
      <c r="I5541" s="12" t="s">
        <v>183</v>
      </c>
      <c r="J5541" s="12" t="s">
        <v>184</v>
      </c>
      <c r="K5541" s="12" t="s">
        <v>133</v>
      </c>
      <c r="L5541" s="12" t="s">
        <v>82</v>
      </c>
      <c r="M5541">
        <v>8.6199999999999992</v>
      </c>
      <c r="N5541" s="12" t="s">
        <v>70</v>
      </c>
      <c r="O5541" s="12" t="s">
        <v>71</v>
      </c>
      <c r="P5541" s="12" t="s">
        <v>72</v>
      </c>
      <c r="Q5541" s="13">
        <v>45890</v>
      </c>
      <c r="R5541" s="13">
        <v>45903</v>
      </c>
      <c r="S5541">
        <v>2025</v>
      </c>
      <c r="T5541" s="12" t="s">
        <v>6515</v>
      </c>
      <c r="U5541">
        <v>304</v>
      </c>
      <c r="V5541">
        <v>41.168399999999998</v>
      </c>
      <c r="W5541">
        <v>235.73</v>
      </c>
      <c r="X5541">
        <v>0</v>
      </c>
      <c r="Y5541">
        <v>0</v>
      </c>
      <c r="Z5541">
        <v>12515.19</v>
      </c>
      <c r="AA5541">
        <v>12750.92</v>
      </c>
      <c r="AB5541" s="12" t="s">
        <v>201</v>
      </c>
      <c r="AD5541">
        <v>0</v>
      </c>
      <c r="AE5541">
        <v>0</v>
      </c>
      <c r="AH5541">
        <v>304</v>
      </c>
      <c r="AI5541">
        <v>302</v>
      </c>
      <c r="AJ5541">
        <v>2</v>
      </c>
      <c r="AK5541">
        <v>1</v>
      </c>
      <c r="AL5541">
        <v>1</v>
      </c>
      <c r="AM5541">
        <v>99.34</v>
      </c>
      <c r="AN5541">
        <v>42.221600000000002</v>
      </c>
      <c r="AO5541">
        <v>82.34</v>
      </c>
      <c r="AP5541" s="13">
        <v>45901</v>
      </c>
      <c r="AQ5541">
        <v>-2</v>
      </c>
      <c r="AR5541">
        <v>1</v>
      </c>
    </row>
    <row r="5542" spans="1:44" x14ac:dyDescent="0.35">
      <c r="A5542" s="12" t="s">
        <v>6646</v>
      </c>
      <c r="B5542" s="12" t="s">
        <v>957</v>
      </c>
      <c r="C5542" s="12" t="s">
        <v>958</v>
      </c>
      <c r="D5542" s="12" t="s">
        <v>103</v>
      </c>
      <c r="E5542" s="12" t="s">
        <v>142</v>
      </c>
      <c r="F5542">
        <v>1</v>
      </c>
      <c r="G5542">
        <v>7</v>
      </c>
      <c r="H5542">
        <v>1</v>
      </c>
      <c r="I5542" s="12" t="s">
        <v>183</v>
      </c>
      <c r="J5542" s="12" t="s">
        <v>184</v>
      </c>
      <c r="K5542" s="12" t="s">
        <v>133</v>
      </c>
      <c r="L5542" s="12" t="s">
        <v>82</v>
      </c>
      <c r="M5542">
        <v>8.6199999999999992</v>
      </c>
      <c r="N5542" s="12" t="s">
        <v>107</v>
      </c>
      <c r="O5542" s="12" t="s">
        <v>108</v>
      </c>
      <c r="P5542" s="12" t="s">
        <v>109</v>
      </c>
      <c r="Q5542" s="13">
        <v>45890</v>
      </c>
      <c r="R5542" s="13">
        <v>45938</v>
      </c>
      <c r="S5542">
        <v>2025</v>
      </c>
      <c r="T5542" s="12" t="s">
        <v>6515</v>
      </c>
      <c r="U5542">
        <v>112</v>
      </c>
      <c r="V5542">
        <v>188.30439999999999</v>
      </c>
      <c r="W5542">
        <v>460.78</v>
      </c>
      <c r="X5542">
        <v>0</v>
      </c>
      <c r="Y5542">
        <v>0</v>
      </c>
      <c r="Z5542">
        <v>21090.09</v>
      </c>
      <c r="AA5542">
        <v>21550.87</v>
      </c>
      <c r="AB5542" s="12" t="s">
        <v>5622</v>
      </c>
      <c r="AC5542">
        <v>188.30439999999999</v>
      </c>
      <c r="AD5542">
        <v>1</v>
      </c>
      <c r="AE5542">
        <v>1</v>
      </c>
      <c r="AF5542">
        <v>0</v>
      </c>
      <c r="AG5542">
        <v>21090.09</v>
      </c>
      <c r="AH5542">
        <v>112</v>
      </c>
      <c r="AI5542">
        <v>111</v>
      </c>
      <c r="AJ5542">
        <v>1</v>
      </c>
      <c r="AK5542">
        <v>1</v>
      </c>
      <c r="AL5542">
        <v>1</v>
      </c>
      <c r="AM5542">
        <v>99.11</v>
      </c>
      <c r="AN5542">
        <v>194.15199999999999</v>
      </c>
      <c r="AO5542">
        <v>188.3</v>
      </c>
      <c r="AP5542" s="13">
        <v>45937</v>
      </c>
      <c r="AQ5542">
        <v>-1</v>
      </c>
      <c r="AR5542">
        <v>1</v>
      </c>
    </row>
    <row r="5543" spans="1:44" x14ac:dyDescent="0.35">
      <c r="A5543" s="12" t="s">
        <v>6647</v>
      </c>
      <c r="B5543" s="12" t="s">
        <v>140</v>
      </c>
      <c r="C5543" s="12" t="s">
        <v>141</v>
      </c>
      <c r="D5543" s="12" t="s">
        <v>103</v>
      </c>
      <c r="E5543" s="12" t="s">
        <v>142</v>
      </c>
      <c r="F5543">
        <v>1</v>
      </c>
      <c r="G5543">
        <v>7</v>
      </c>
      <c r="H5543">
        <v>1</v>
      </c>
      <c r="I5543" s="12" t="s">
        <v>143</v>
      </c>
      <c r="J5543" s="12" t="s">
        <v>144</v>
      </c>
      <c r="K5543" s="12" t="s">
        <v>133</v>
      </c>
      <c r="L5543" s="12" t="s">
        <v>96</v>
      </c>
      <c r="M5543">
        <v>5.43</v>
      </c>
      <c r="N5543" s="12" t="s">
        <v>107</v>
      </c>
      <c r="O5543" s="12" t="s">
        <v>108</v>
      </c>
      <c r="P5543" s="12" t="s">
        <v>109</v>
      </c>
      <c r="Q5543" s="13">
        <v>45890</v>
      </c>
      <c r="R5543" s="13">
        <v>45925</v>
      </c>
      <c r="S5543">
        <v>2025</v>
      </c>
      <c r="T5543" s="12" t="s">
        <v>6515</v>
      </c>
      <c r="U5543">
        <v>12</v>
      </c>
      <c r="V5543">
        <v>210.93029999999999</v>
      </c>
      <c r="W5543">
        <v>20.61</v>
      </c>
      <c r="X5543">
        <v>79.650000000000006</v>
      </c>
      <c r="Y5543">
        <v>1</v>
      </c>
      <c r="Z5543">
        <v>2531.16</v>
      </c>
      <c r="AA5543">
        <v>2631.42</v>
      </c>
      <c r="AB5543" s="12" t="s">
        <v>5126</v>
      </c>
      <c r="AC5543">
        <v>210.93029999999999</v>
      </c>
      <c r="AD5543">
        <v>1</v>
      </c>
      <c r="AE5543">
        <v>1</v>
      </c>
      <c r="AF5543">
        <v>0</v>
      </c>
      <c r="AG5543">
        <v>2531.16</v>
      </c>
      <c r="AH5543">
        <v>12</v>
      </c>
      <c r="AI5543">
        <v>12</v>
      </c>
      <c r="AJ5543">
        <v>0</v>
      </c>
      <c r="AK5543">
        <v>1</v>
      </c>
      <c r="AL5543">
        <v>1</v>
      </c>
      <c r="AM5543">
        <v>100</v>
      </c>
      <c r="AN5543">
        <v>219.28530000000001</v>
      </c>
      <c r="AO5543">
        <v>0</v>
      </c>
      <c r="AP5543" s="13">
        <v>45921</v>
      </c>
      <c r="AQ5543">
        <v>-4</v>
      </c>
      <c r="AR5543">
        <v>1</v>
      </c>
    </row>
    <row r="5544" spans="1:44" x14ac:dyDescent="0.35">
      <c r="A5544" s="12" t="s">
        <v>6648</v>
      </c>
      <c r="B5544" s="12" t="s">
        <v>85</v>
      </c>
      <c r="C5544" s="12" t="s">
        <v>86</v>
      </c>
      <c r="D5544" s="12" t="s">
        <v>78</v>
      </c>
      <c r="E5544" s="12" t="s">
        <v>65</v>
      </c>
      <c r="F5544">
        <v>3</v>
      </c>
      <c r="G5544">
        <v>5</v>
      </c>
      <c r="H5544">
        <v>0</v>
      </c>
      <c r="I5544" s="12" t="s">
        <v>87</v>
      </c>
      <c r="J5544" s="12" t="s">
        <v>88</v>
      </c>
      <c r="K5544" s="12" t="s">
        <v>89</v>
      </c>
      <c r="L5544" s="12" t="s">
        <v>69</v>
      </c>
      <c r="M5544">
        <v>14.93</v>
      </c>
      <c r="N5544" s="12" t="s">
        <v>70</v>
      </c>
      <c r="O5544" s="12" t="s">
        <v>71</v>
      </c>
      <c r="P5544" s="12" t="s">
        <v>72</v>
      </c>
      <c r="Q5544" s="13">
        <v>45890</v>
      </c>
      <c r="R5544" s="13">
        <v>45917</v>
      </c>
      <c r="S5544">
        <v>2025</v>
      </c>
      <c r="T5544" s="12" t="s">
        <v>6515</v>
      </c>
      <c r="U5544">
        <v>138</v>
      </c>
      <c r="V5544">
        <v>132.05160000000001</v>
      </c>
      <c r="W5544">
        <v>251.24</v>
      </c>
      <c r="X5544">
        <v>0</v>
      </c>
      <c r="Y5544">
        <v>0</v>
      </c>
      <c r="Z5544">
        <v>18223.12</v>
      </c>
      <c r="AA5544">
        <v>18474.36</v>
      </c>
      <c r="AB5544" s="12" t="s">
        <v>5445</v>
      </c>
      <c r="AC5544">
        <v>132.05160000000001</v>
      </c>
      <c r="AD5544">
        <v>1</v>
      </c>
      <c r="AE5544">
        <v>1</v>
      </c>
      <c r="AF5544">
        <v>0</v>
      </c>
      <c r="AG5544">
        <v>18223.12</v>
      </c>
      <c r="AH5544">
        <v>138</v>
      </c>
      <c r="AI5544">
        <v>135</v>
      </c>
      <c r="AJ5544">
        <v>3</v>
      </c>
      <c r="AK5544">
        <v>1</v>
      </c>
      <c r="AL5544">
        <v>1</v>
      </c>
      <c r="AM5544">
        <v>97.83</v>
      </c>
      <c r="AN5544">
        <v>136.84710000000001</v>
      </c>
      <c r="AO5544">
        <v>396.15</v>
      </c>
      <c r="AP5544" s="13">
        <v>45914</v>
      </c>
      <c r="AQ5544">
        <v>-3</v>
      </c>
      <c r="AR5544">
        <v>1</v>
      </c>
    </row>
    <row r="5545" spans="1:44" x14ac:dyDescent="0.35">
      <c r="A5545" s="12" t="s">
        <v>6649</v>
      </c>
      <c r="B5545" s="12" t="s">
        <v>766</v>
      </c>
      <c r="C5545" s="12" t="s">
        <v>767</v>
      </c>
      <c r="D5545" s="12" t="s">
        <v>175</v>
      </c>
      <c r="E5545" s="12" t="s">
        <v>65</v>
      </c>
      <c r="F5545">
        <v>3</v>
      </c>
      <c r="G5545">
        <v>5</v>
      </c>
      <c r="H5545">
        <v>0</v>
      </c>
      <c r="I5545" s="12" t="s">
        <v>157</v>
      </c>
      <c r="J5545" s="12" t="s">
        <v>158</v>
      </c>
      <c r="K5545" s="12" t="s">
        <v>117</v>
      </c>
      <c r="L5545" s="12" t="s">
        <v>96</v>
      </c>
      <c r="M5545">
        <v>4.72</v>
      </c>
      <c r="N5545" s="12" t="s">
        <v>145</v>
      </c>
      <c r="O5545" s="12" t="s">
        <v>146</v>
      </c>
      <c r="P5545" s="12" t="s">
        <v>109</v>
      </c>
      <c r="Q5545" s="13">
        <v>45891</v>
      </c>
      <c r="R5545" s="13">
        <v>45925</v>
      </c>
      <c r="S5545">
        <v>2025</v>
      </c>
      <c r="T5545" s="12" t="s">
        <v>6515</v>
      </c>
      <c r="U5545">
        <v>117</v>
      </c>
      <c r="V5545">
        <v>77.425799999999995</v>
      </c>
      <c r="W5545">
        <v>59.3</v>
      </c>
      <c r="X5545">
        <v>0</v>
      </c>
      <c r="Y5545">
        <v>0</v>
      </c>
      <c r="Z5545">
        <v>9058.82</v>
      </c>
      <c r="AA5545">
        <v>9118.1200000000008</v>
      </c>
      <c r="AB5545" s="12" t="s">
        <v>6634</v>
      </c>
      <c r="AC5545">
        <v>77.425799999999995</v>
      </c>
      <c r="AD5545">
        <v>1</v>
      </c>
      <c r="AE5545">
        <v>1</v>
      </c>
      <c r="AF5545">
        <v>0</v>
      </c>
      <c r="AG5545">
        <v>9058.82</v>
      </c>
      <c r="AH5545">
        <v>117</v>
      </c>
      <c r="AI5545">
        <v>116</v>
      </c>
      <c r="AJ5545">
        <v>1</v>
      </c>
      <c r="AK5545">
        <v>1</v>
      </c>
      <c r="AL5545">
        <v>1</v>
      </c>
      <c r="AM5545">
        <v>99.15</v>
      </c>
      <c r="AN5545">
        <v>78.604500000000002</v>
      </c>
      <c r="AO5545">
        <v>77.430000000000007</v>
      </c>
      <c r="AP5545" s="13">
        <v>45922</v>
      </c>
      <c r="AQ5545">
        <v>-3</v>
      </c>
      <c r="AR5545">
        <v>1</v>
      </c>
    </row>
    <row r="5546" spans="1:44" x14ac:dyDescent="0.35">
      <c r="A5546" s="12" t="s">
        <v>6650</v>
      </c>
      <c r="B5546" s="12" t="s">
        <v>565</v>
      </c>
      <c r="C5546" s="12" t="s">
        <v>566</v>
      </c>
      <c r="D5546" s="12" t="s">
        <v>122</v>
      </c>
      <c r="E5546" s="12" t="s">
        <v>104</v>
      </c>
      <c r="F5546">
        <v>3</v>
      </c>
      <c r="G5546">
        <v>1</v>
      </c>
      <c r="H5546">
        <v>0</v>
      </c>
      <c r="I5546" s="12" t="s">
        <v>131</v>
      </c>
      <c r="J5546" s="12" t="s">
        <v>132</v>
      </c>
      <c r="K5546" s="12" t="s">
        <v>133</v>
      </c>
      <c r="L5546" s="12" t="s">
        <v>134</v>
      </c>
      <c r="M5546">
        <v>1.51</v>
      </c>
      <c r="N5546" s="12" t="s">
        <v>97</v>
      </c>
      <c r="O5546" s="12" t="s">
        <v>98</v>
      </c>
      <c r="P5546" s="12" t="s">
        <v>72</v>
      </c>
      <c r="Q5546" s="13">
        <v>45891</v>
      </c>
      <c r="R5546" s="13">
        <v>45912</v>
      </c>
      <c r="S5546">
        <v>2025</v>
      </c>
      <c r="T5546" s="12" t="s">
        <v>6515</v>
      </c>
      <c r="U5546">
        <v>1191</v>
      </c>
      <c r="V5546">
        <v>35.119900000000001</v>
      </c>
      <c r="W5546">
        <v>968.05</v>
      </c>
      <c r="X5546">
        <v>0</v>
      </c>
      <c r="Y5546">
        <v>0</v>
      </c>
      <c r="Z5546">
        <v>41827.800000000003</v>
      </c>
      <c r="AA5546">
        <v>42795.85</v>
      </c>
      <c r="AB5546" s="12" t="s">
        <v>5571</v>
      </c>
      <c r="AC5546">
        <v>35.119900000000001</v>
      </c>
      <c r="AD5546">
        <v>1</v>
      </c>
      <c r="AE5546">
        <v>1</v>
      </c>
      <c r="AF5546">
        <v>0</v>
      </c>
      <c r="AG5546">
        <v>41827.800000000003</v>
      </c>
      <c r="AH5546">
        <v>1191</v>
      </c>
      <c r="AI5546">
        <v>1180</v>
      </c>
      <c r="AJ5546">
        <v>11</v>
      </c>
      <c r="AK5546">
        <v>1</v>
      </c>
      <c r="AL5546">
        <v>1</v>
      </c>
      <c r="AM5546">
        <v>99.08</v>
      </c>
      <c r="AN5546">
        <v>36.267699999999998</v>
      </c>
      <c r="AO5546">
        <v>386.32</v>
      </c>
      <c r="AP5546" s="13">
        <v>45908</v>
      </c>
      <c r="AQ5546">
        <v>-4</v>
      </c>
      <c r="AR5546">
        <v>1</v>
      </c>
    </row>
    <row r="5547" spans="1:44" x14ac:dyDescent="0.35">
      <c r="A5547" s="12" t="s">
        <v>6651</v>
      </c>
      <c r="B5547" s="12" t="s">
        <v>308</v>
      </c>
      <c r="C5547" s="12" t="s">
        <v>309</v>
      </c>
      <c r="D5547" s="12" t="s">
        <v>122</v>
      </c>
      <c r="E5547" s="12" t="s">
        <v>142</v>
      </c>
      <c r="F5547">
        <v>1</v>
      </c>
      <c r="G5547">
        <v>6</v>
      </c>
      <c r="H5547">
        <v>1</v>
      </c>
      <c r="I5547" s="12" t="s">
        <v>310</v>
      </c>
      <c r="J5547" s="12" t="s">
        <v>311</v>
      </c>
      <c r="K5547" s="12" t="s">
        <v>81</v>
      </c>
      <c r="L5547" s="12" t="s">
        <v>69</v>
      </c>
      <c r="M5547">
        <v>28.3</v>
      </c>
      <c r="N5547" s="12" t="s">
        <v>97</v>
      </c>
      <c r="O5547" s="12" t="s">
        <v>98</v>
      </c>
      <c r="P5547" s="12" t="s">
        <v>72</v>
      </c>
      <c r="Q5547" s="13">
        <v>45891</v>
      </c>
      <c r="R5547" s="13">
        <v>45926</v>
      </c>
      <c r="S5547">
        <v>2025</v>
      </c>
      <c r="T5547" s="12" t="s">
        <v>6515</v>
      </c>
      <c r="U5547">
        <v>268</v>
      </c>
      <c r="V5547">
        <v>56.789000000000001</v>
      </c>
      <c r="W5547">
        <v>195.54</v>
      </c>
      <c r="X5547">
        <v>0</v>
      </c>
      <c r="Y5547">
        <v>0</v>
      </c>
      <c r="Z5547">
        <v>15219.45</v>
      </c>
      <c r="AA5547">
        <v>15414.99</v>
      </c>
      <c r="AB5547" s="12" t="s">
        <v>5357</v>
      </c>
      <c r="AC5547">
        <v>56.789000000000001</v>
      </c>
      <c r="AD5547">
        <v>1</v>
      </c>
      <c r="AE5547">
        <v>1</v>
      </c>
      <c r="AF5547">
        <v>0</v>
      </c>
      <c r="AG5547">
        <v>15219.45</v>
      </c>
      <c r="AH5547">
        <v>268</v>
      </c>
      <c r="AI5547">
        <v>267</v>
      </c>
      <c r="AJ5547">
        <v>1</v>
      </c>
      <c r="AK5547">
        <v>1</v>
      </c>
      <c r="AL5547">
        <v>1</v>
      </c>
      <c r="AM5547">
        <v>99.63</v>
      </c>
      <c r="AN5547">
        <v>57.734099999999998</v>
      </c>
      <c r="AO5547">
        <v>56.79</v>
      </c>
      <c r="AP5547" s="13">
        <v>45923</v>
      </c>
      <c r="AQ5547">
        <v>-3</v>
      </c>
      <c r="AR5547">
        <v>1</v>
      </c>
    </row>
    <row r="5548" spans="1:44" x14ac:dyDescent="0.35">
      <c r="A5548" s="12" t="s">
        <v>6652</v>
      </c>
      <c r="B5548" s="12" t="s">
        <v>685</v>
      </c>
      <c r="C5548" s="12" t="s">
        <v>686</v>
      </c>
      <c r="D5548" s="12" t="s">
        <v>175</v>
      </c>
      <c r="E5548" s="12" t="s">
        <v>104</v>
      </c>
      <c r="F5548">
        <v>2</v>
      </c>
      <c r="G5548">
        <v>0</v>
      </c>
      <c r="H5548">
        <v>0</v>
      </c>
      <c r="I5548" s="12" t="s">
        <v>195</v>
      </c>
      <c r="J5548" s="12" t="s">
        <v>196</v>
      </c>
      <c r="K5548" s="12" t="s">
        <v>117</v>
      </c>
      <c r="L5548" s="12" t="s">
        <v>134</v>
      </c>
      <c r="M5548">
        <v>4.7699999999999996</v>
      </c>
      <c r="N5548" s="12" t="s">
        <v>145</v>
      </c>
      <c r="O5548" s="12" t="s">
        <v>146</v>
      </c>
      <c r="P5548" s="12" t="s">
        <v>109</v>
      </c>
      <c r="Q5548" s="13">
        <v>45891</v>
      </c>
      <c r="R5548" s="13">
        <v>45918</v>
      </c>
      <c r="S5548">
        <v>2025</v>
      </c>
      <c r="T5548" s="12" t="s">
        <v>6515</v>
      </c>
      <c r="U5548">
        <v>133</v>
      </c>
      <c r="V5548">
        <v>221.73</v>
      </c>
      <c r="W5548">
        <v>440.62</v>
      </c>
      <c r="X5548">
        <v>0</v>
      </c>
      <c r="Y5548">
        <v>0</v>
      </c>
      <c r="Z5548">
        <v>29490.09</v>
      </c>
      <c r="AA5548">
        <v>29930.71</v>
      </c>
      <c r="AB5548" s="12" t="s">
        <v>5780</v>
      </c>
      <c r="AC5548">
        <v>221.73</v>
      </c>
      <c r="AD5548">
        <v>1</v>
      </c>
      <c r="AE5548">
        <v>1</v>
      </c>
      <c r="AF5548">
        <v>0</v>
      </c>
      <c r="AG5548">
        <v>29490.09</v>
      </c>
      <c r="AH5548">
        <v>133</v>
      </c>
      <c r="AI5548">
        <v>132</v>
      </c>
      <c r="AJ5548">
        <v>1</v>
      </c>
      <c r="AK5548">
        <v>1</v>
      </c>
      <c r="AL5548">
        <v>1</v>
      </c>
      <c r="AM5548">
        <v>99.25</v>
      </c>
      <c r="AN5548">
        <v>226.74780000000001</v>
      </c>
      <c r="AO5548">
        <v>221.73</v>
      </c>
      <c r="AP5548" s="13">
        <v>45916</v>
      </c>
      <c r="AQ5548">
        <v>-2</v>
      </c>
      <c r="AR5548">
        <v>1</v>
      </c>
    </row>
    <row r="5549" spans="1:44" x14ac:dyDescent="0.35">
      <c r="A5549" s="12" t="s">
        <v>6653</v>
      </c>
      <c r="B5549" s="12" t="s">
        <v>685</v>
      </c>
      <c r="C5549" s="12" t="s">
        <v>686</v>
      </c>
      <c r="D5549" s="12" t="s">
        <v>175</v>
      </c>
      <c r="E5549" s="12" t="s">
        <v>104</v>
      </c>
      <c r="F5549">
        <v>2</v>
      </c>
      <c r="G5549">
        <v>0</v>
      </c>
      <c r="H5549">
        <v>0</v>
      </c>
      <c r="I5549" s="12" t="s">
        <v>243</v>
      </c>
      <c r="J5549" s="12" t="s">
        <v>244</v>
      </c>
      <c r="K5549" s="12" t="s">
        <v>81</v>
      </c>
      <c r="L5549" s="12" t="s">
        <v>82</v>
      </c>
      <c r="M5549">
        <v>9.2200000000000006</v>
      </c>
      <c r="N5549" s="12" t="s">
        <v>145</v>
      </c>
      <c r="O5549" s="12" t="s">
        <v>146</v>
      </c>
      <c r="P5549" s="12" t="s">
        <v>109</v>
      </c>
      <c r="Q5549" s="13">
        <v>45891</v>
      </c>
      <c r="R5549" s="13">
        <v>45907</v>
      </c>
      <c r="S5549">
        <v>2025</v>
      </c>
      <c r="T5549" s="12" t="s">
        <v>6515</v>
      </c>
      <c r="U5549">
        <v>48</v>
      </c>
      <c r="V5549">
        <v>220.83070000000001</v>
      </c>
      <c r="W5549">
        <v>127.8</v>
      </c>
      <c r="X5549">
        <v>331.73</v>
      </c>
      <c r="Y5549">
        <v>1</v>
      </c>
      <c r="Z5549">
        <v>10599.87</v>
      </c>
      <c r="AA5549">
        <v>11059.4</v>
      </c>
      <c r="AB5549" s="12" t="s">
        <v>201</v>
      </c>
      <c r="AD5549">
        <v>0</v>
      </c>
      <c r="AE5549">
        <v>0</v>
      </c>
      <c r="AH5549">
        <v>48</v>
      </c>
      <c r="AI5549">
        <v>47</v>
      </c>
      <c r="AJ5549">
        <v>1</v>
      </c>
      <c r="AK5549">
        <v>1</v>
      </c>
      <c r="AL5549">
        <v>1</v>
      </c>
      <c r="AM5549">
        <v>97.92</v>
      </c>
      <c r="AN5549">
        <v>235.3065</v>
      </c>
      <c r="AO5549">
        <v>220.83</v>
      </c>
      <c r="AP5549" s="13">
        <v>45904</v>
      </c>
      <c r="AQ5549">
        <v>-3</v>
      </c>
      <c r="AR5549">
        <v>1</v>
      </c>
    </row>
    <row r="5550" spans="1:44" x14ac:dyDescent="0.35">
      <c r="A5550" s="12" t="s">
        <v>6654</v>
      </c>
      <c r="B5550" s="12" t="s">
        <v>408</v>
      </c>
      <c r="C5550" s="12" t="s">
        <v>409</v>
      </c>
      <c r="D5550" s="12" t="s">
        <v>130</v>
      </c>
      <c r="E5550" s="12" t="s">
        <v>65</v>
      </c>
      <c r="F5550">
        <v>3</v>
      </c>
      <c r="G5550">
        <v>5</v>
      </c>
      <c r="H5550">
        <v>0</v>
      </c>
      <c r="I5550" s="12" t="s">
        <v>105</v>
      </c>
      <c r="J5550" s="12" t="s">
        <v>106</v>
      </c>
      <c r="K5550" s="12" t="s">
        <v>81</v>
      </c>
      <c r="L5550" s="12" t="s">
        <v>96</v>
      </c>
      <c r="M5550">
        <v>5.01</v>
      </c>
      <c r="N5550" s="12" t="s">
        <v>135</v>
      </c>
      <c r="O5550" s="12" t="s">
        <v>136</v>
      </c>
      <c r="P5550" s="12" t="s">
        <v>137</v>
      </c>
      <c r="Q5550" s="13">
        <v>45891</v>
      </c>
      <c r="R5550" s="13">
        <v>45917</v>
      </c>
      <c r="S5550">
        <v>2025</v>
      </c>
      <c r="T5550" s="12" t="s">
        <v>6515</v>
      </c>
      <c r="U5550">
        <v>49</v>
      </c>
      <c r="V5550">
        <v>724.06979999999999</v>
      </c>
      <c r="W5550">
        <v>355.81</v>
      </c>
      <c r="X5550">
        <v>0</v>
      </c>
      <c r="Y5550">
        <v>0</v>
      </c>
      <c r="Z5550">
        <v>35479.42</v>
      </c>
      <c r="AA5550">
        <v>35835.230000000003</v>
      </c>
      <c r="AB5550" s="12" t="s">
        <v>5490</v>
      </c>
      <c r="AC5550">
        <v>724.06979999999999</v>
      </c>
      <c r="AD5550">
        <v>1</v>
      </c>
      <c r="AE5550">
        <v>1</v>
      </c>
      <c r="AF5550">
        <v>0</v>
      </c>
      <c r="AG5550">
        <v>35479.42</v>
      </c>
      <c r="AH5550">
        <v>49</v>
      </c>
      <c r="AI5550">
        <v>49</v>
      </c>
      <c r="AJ5550">
        <v>0</v>
      </c>
      <c r="AK5550">
        <v>1</v>
      </c>
      <c r="AL5550">
        <v>1</v>
      </c>
      <c r="AM5550">
        <v>100</v>
      </c>
      <c r="AN5550">
        <v>731.33119999999997</v>
      </c>
      <c r="AO5550">
        <v>0</v>
      </c>
      <c r="AP5550" s="13">
        <v>45916</v>
      </c>
      <c r="AQ5550">
        <v>-1</v>
      </c>
      <c r="AR5550">
        <v>1</v>
      </c>
    </row>
    <row r="5551" spans="1:44" x14ac:dyDescent="0.35">
      <c r="A5551" s="12" t="s">
        <v>6655</v>
      </c>
      <c r="B5551" s="12" t="s">
        <v>1068</v>
      </c>
      <c r="C5551" s="12" t="s">
        <v>1069</v>
      </c>
      <c r="D5551" s="12" t="s">
        <v>122</v>
      </c>
      <c r="E5551" s="12" t="s">
        <v>65</v>
      </c>
      <c r="F5551">
        <v>2</v>
      </c>
      <c r="G5551">
        <v>2</v>
      </c>
      <c r="H5551">
        <v>0</v>
      </c>
      <c r="I5551" s="12" t="s">
        <v>79</v>
      </c>
      <c r="J5551" s="12" t="s">
        <v>80</v>
      </c>
      <c r="K5551" s="12" t="s">
        <v>81</v>
      </c>
      <c r="L5551" s="12" t="s">
        <v>82</v>
      </c>
      <c r="M5551">
        <v>12.07</v>
      </c>
      <c r="N5551" s="12" t="s">
        <v>70</v>
      </c>
      <c r="O5551" s="12" t="s">
        <v>71</v>
      </c>
      <c r="P5551" s="12" t="s">
        <v>72</v>
      </c>
      <c r="Q5551" s="13">
        <v>45891</v>
      </c>
      <c r="R5551" s="13">
        <v>45921</v>
      </c>
      <c r="S5551">
        <v>2025</v>
      </c>
      <c r="T5551" s="12" t="s">
        <v>6515</v>
      </c>
      <c r="U5551">
        <v>1193</v>
      </c>
      <c r="V5551">
        <v>20.8949</v>
      </c>
      <c r="W5551">
        <v>156.24</v>
      </c>
      <c r="X5551">
        <v>0</v>
      </c>
      <c r="Y5551">
        <v>0</v>
      </c>
      <c r="Z5551">
        <v>24927.62</v>
      </c>
      <c r="AA5551">
        <v>25083.86</v>
      </c>
      <c r="AB5551" s="12" t="s">
        <v>5478</v>
      </c>
      <c r="AC5551">
        <v>20.8949</v>
      </c>
      <c r="AD5551">
        <v>1</v>
      </c>
      <c r="AE5551">
        <v>1</v>
      </c>
      <c r="AF5551">
        <v>0</v>
      </c>
      <c r="AG5551">
        <v>24927.62</v>
      </c>
      <c r="AH5551">
        <v>1193</v>
      </c>
      <c r="AI5551">
        <v>1184</v>
      </c>
      <c r="AJ5551">
        <v>9</v>
      </c>
      <c r="AK5551">
        <v>1</v>
      </c>
      <c r="AL5551">
        <v>1</v>
      </c>
      <c r="AM5551">
        <v>99.25</v>
      </c>
      <c r="AN5551">
        <v>21.185700000000001</v>
      </c>
      <c r="AO5551">
        <v>188.05</v>
      </c>
      <c r="AP5551" s="13">
        <v>45918</v>
      </c>
      <c r="AQ5551">
        <v>-3</v>
      </c>
      <c r="AR5551">
        <v>1</v>
      </c>
    </row>
    <row r="5552" spans="1:44" x14ac:dyDescent="0.35">
      <c r="A5552" s="12" t="s">
        <v>6656</v>
      </c>
      <c r="B5552" s="12" t="s">
        <v>339</v>
      </c>
      <c r="C5552" s="12" t="s">
        <v>340</v>
      </c>
      <c r="D5552" s="12" t="s">
        <v>103</v>
      </c>
      <c r="E5552" s="12" t="s">
        <v>142</v>
      </c>
      <c r="F5552">
        <v>2</v>
      </c>
      <c r="G5552">
        <v>9</v>
      </c>
      <c r="H5552">
        <v>0</v>
      </c>
      <c r="I5552" s="12" t="s">
        <v>169</v>
      </c>
      <c r="J5552" s="12" t="s">
        <v>170</v>
      </c>
      <c r="K5552" s="12" t="s">
        <v>89</v>
      </c>
      <c r="L5552" s="12" t="s">
        <v>134</v>
      </c>
      <c r="M5552">
        <v>1.37</v>
      </c>
      <c r="N5552" s="12" t="s">
        <v>107</v>
      </c>
      <c r="O5552" s="12" t="s">
        <v>108</v>
      </c>
      <c r="P5552" s="12" t="s">
        <v>109</v>
      </c>
      <c r="Q5552" s="13">
        <v>45891</v>
      </c>
      <c r="R5552" s="13">
        <v>45930</v>
      </c>
      <c r="S5552">
        <v>2025</v>
      </c>
      <c r="T5552" s="12" t="s">
        <v>6515</v>
      </c>
      <c r="U5552">
        <v>46</v>
      </c>
      <c r="V5552">
        <v>236.3116</v>
      </c>
      <c r="W5552">
        <v>248.23</v>
      </c>
      <c r="X5552">
        <v>0</v>
      </c>
      <c r="Y5552">
        <v>0</v>
      </c>
      <c r="Z5552">
        <v>10870.33</v>
      </c>
      <c r="AA5552">
        <v>11118.56</v>
      </c>
      <c r="AB5552" s="12" t="s">
        <v>5394</v>
      </c>
      <c r="AC5552">
        <v>236.3116</v>
      </c>
      <c r="AD5552">
        <v>1</v>
      </c>
      <c r="AE5552">
        <v>1</v>
      </c>
      <c r="AF5552">
        <v>0</v>
      </c>
      <c r="AG5552">
        <v>10870.33</v>
      </c>
      <c r="AH5552">
        <v>46</v>
      </c>
      <c r="AI5552">
        <v>46</v>
      </c>
      <c r="AJ5552">
        <v>0</v>
      </c>
      <c r="AK5552">
        <v>1</v>
      </c>
      <c r="AL5552">
        <v>1</v>
      </c>
      <c r="AM5552">
        <v>100</v>
      </c>
      <c r="AN5552">
        <v>241.7079</v>
      </c>
      <c r="AO5552">
        <v>0</v>
      </c>
      <c r="AP5552" s="13">
        <v>45930</v>
      </c>
      <c r="AQ5552">
        <v>0</v>
      </c>
      <c r="AR5552">
        <v>1</v>
      </c>
    </row>
    <row r="5553" spans="1:44" x14ac:dyDescent="0.35">
      <c r="A5553" s="12" t="s">
        <v>6657</v>
      </c>
      <c r="B5553" s="12" t="s">
        <v>490</v>
      </c>
      <c r="C5553" s="12" t="s">
        <v>491</v>
      </c>
      <c r="D5553" s="12" t="s">
        <v>130</v>
      </c>
      <c r="E5553" s="12" t="s">
        <v>104</v>
      </c>
      <c r="F5553">
        <v>3</v>
      </c>
      <c r="G5553">
        <v>1</v>
      </c>
      <c r="H5553">
        <v>0</v>
      </c>
      <c r="I5553" s="12" t="s">
        <v>176</v>
      </c>
      <c r="J5553" s="12" t="s">
        <v>177</v>
      </c>
      <c r="K5553" s="12" t="s">
        <v>125</v>
      </c>
      <c r="L5553" s="12" t="s">
        <v>134</v>
      </c>
      <c r="M5553">
        <v>1.75</v>
      </c>
      <c r="N5553" s="12" t="s">
        <v>135</v>
      </c>
      <c r="O5553" s="12" t="s">
        <v>136</v>
      </c>
      <c r="P5553" s="12" t="s">
        <v>137</v>
      </c>
      <c r="Q5553" s="13">
        <v>45891</v>
      </c>
      <c r="R5553" s="13">
        <v>45920</v>
      </c>
      <c r="S5553">
        <v>2025</v>
      </c>
      <c r="T5553" s="12" t="s">
        <v>6515</v>
      </c>
      <c r="U5553">
        <v>147</v>
      </c>
      <c r="V5553">
        <v>247.50880000000001</v>
      </c>
      <c r="W5553">
        <v>743.75</v>
      </c>
      <c r="X5553">
        <v>0</v>
      </c>
      <c r="Y5553">
        <v>0</v>
      </c>
      <c r="Z5553">
        <v>36383.79</v>
      </c>
      <c r="AA5553">
        <v>37127.54</v>
      </c>
      <c r="AB5553" s="12" t="s">
        <v>5760</v>
      </c>
      <c r="AC5553">
        <v>234.9982</v>
      </c>
      <c r="AD5553">
        <v>1</v>
      </c>
      <c r="AE5553">
        <v>1</v>
      </c>
      <c r="AF5553">
        <v>1839.06</v>
      </c>
      <c r="AG5553">
        <v>34544.74</v>
      </c>
      <c r="AH5553">
        <v>147</v>
      </c>
      <c r="AI5553">
        <v>145</v>
      </c>
      <c r="AJ5553">
        <v>2</v>
      </c>
      <c r="AK5553">
        <v>1</v>
      </c>
      <c r="AL5553">
        <v>1</v>
      </c>
      <c r="AM5553">
        <v>98.64</v>
      </c>
      <c r="AN5553">
        <v>256.05200000000002</v>
      </c>
      <c r="AO5553">
        <v>495.02</v>
      </c>
      <c r="AP5553" s="13">
        <v>45919</v>
      </c>
      <c r="AQ5553">
        <v>-1</v>
      </c>
      <c r="AR5553">
        <v>1</v>
      </c>
    </row>
    <row r="5554" spans="1:44" x14ac:dyDescent="0.35">
      <c r="A5554" s="12" t="s">
        <v>6658</v>
      </c>
      <c r="B5554" s="12" t="s">
        <v>661</v>
      </c>
      <c r="C5554" s="12" t="s">
        <v>662</v>
      </c>
      <c r="D5554" s="12" t="s">
        <v>175</v>
      </c>
      <c r="E5554" s="12" t="s">
        <v>104</v>
      </c>
      <c r="F5554">
        <v>1</v>
      </c>
      <c r="G5554">
        <v>0</v>
      </c>
      <c r="H5554">
        <v>1</v>
      </c>
      <c r="I5554" s="12" t="s">
        <v>183</v>
      </c>
      <c r="J5554" s="12" t="s">
        <v>184</v>
      </c>
      <c r="K5554" s="12" t="s">
        <v>133</v>
      </c>
      <c r="L5554" s="12" t="s">
        <v>82</v>
      </c>
      <c r="M5554">
        <v>8.6199999999999992</v>
      </c>
      <c r="N5554" s="12" t="s">
        <v>107</v>
      </c>
      <c r="O5554" s="12" t="s">
        <v>108</v>
      </c>
      <c r="P5554" s="12" t="s">
        <v>109</v>
      </c>
      <c r="Q5554" s="13">
        <v>45891</v>
      </c>
      <c r="R5554" s="13">
        <v>45914</v>
      </c>
      <c r="S5554">
        <v>2025</v>
      </c>
      <c r="T5554" s="12" t="s">
        <v>6515</v>
      </c>
      <c r="U5554">
        <v>100</v>
      </c>
      <c r="V5554">
        <v>166.30070000000001</v>
      </c>
      <c r="W5554">
        <v>113.82</v>
      </c>
      <c r="X5554">
        <v>0</v>
      </c>
      <c r="Y5554">
        <v>0</v>
      </c>
      <c r="Z5554">
        <v>16630.07</v>
      </c>
      <c r="AA5554">
        <v>16743.89</v>
      </c>
      <c r="AB5554" s="12" t="s">
        <v>5336</v>
      </c>
      <c r="AC5554">
        <v>166.30070000000001</v>
      </c>
      <c r="AD5554">
        <v>1</v>
      </c>
      <c r="AE5554">
        <v>1</v>
      </c>
      <c r="AF5554">
        <v>0</v>
      </c>
      <c r="AG5554">
        <v>16630.07</v>
      </c>
      <c r="AH5554">
        <v>100</v>
      </c>
      <c r="AI5554">
        <v>99</v>
      </c>
      <c r="AJ5554">
        <v>1</v>
      </c>
      <c r="AK5554">
        <v>1</v>
      </c>
      <c r="AL5554">
        <v>1</v>
      </c>
      <c r="AM5554">
        <v>99</v>
      </c>
      <c r="AN5554">
        <v>169.1302</v>
      </c>
      <c r="AO5554">
        <v>166.3</v>
      </c>
      <c r="AP5554" s="13">
        <v>45924</v>
      </c>
      <c r="AQ5554">
        <v>10</v>
      </c>
      <c r="AR5554">
        <v>0</v>
      </c>
    </row>
    <row r="5555" spans="1:44" x14ac:dyDescent="0.35">
      <c r="A5555" s="12" t="s">
        <v>6659</v>
      </c>
      <c r="B5555" s="12" t="s">
        <v>565</v>
      </c>
      <c r="C5555" s="12" t="s">
        <v>566</v>
      </c>
      <c r="D5555" s="12" t="s">
        <v>122</v>
      </c>
      <c r="E5555" s="12" t="s">
        <v>104</v>
      </c>
      <c r="F5555">
        <v>3</v>
      </c>
      <c r="G5555">
        <v>1</v>
      </c>
      <c r="H5555">
        <v>0</v>
      </c>
      <c r="I5555" s="12" t="s">
        <v>87</v>
      </c>
      <c r="J5555" s="12" t="s">
        <v>88</v>
      </c>
      <c r="K5555" s="12" t="s">
        <v>89</v>
      </c>
      <c r="L5555" s="12" t="s">
        <v>69</v>
      </c>
      <c r="M5555">
        <v>14.93</v>
      </c>
      <c r="N5555" s="12" t="s">
        <v>97</v>
      </c>
      <c r="O5555" s="12" t="s">
        <v>98</v>
      </c>
      <c r="P5555" s="12" t="s">
        <v>72</v>
      </c>
      <c r="Q5555" s="13">
        <v>45894</v>
      </c>
      <c r="R5555" s="13">
        <v>45918</v>
      </c>
      <c r="S5555">
        <v>2025</v>
      </c>
      <c r="T5555" s="12" t="s">
        <v>6515</v>
      </c>
      <c r="U5555">
        <v>1457</v>
      </c>
      <c r="V5555">
        <v>33.2194</v>
      </c>
      <c r="W5555">
        <v>761.93</v>
      </c>
      <c r="X5555">
        <v>0</v>
      </c>
      <c r="Y5555">
        <v>0</v>
      </c>
      <c r="Z5555">
        <v>48400.67</v>
      </c>
      <c r="AA5555">
        <v>49162.6</v>
      </c>
      <c r="AB5555" s="12" t="s">
        <v>5711</v>
      </c>
      <c r="AC5555">
        <v>33.2194</v>
      </c>
      <c r="AD5555">
        <v>1</v>
      </c>
      <c r="AE5555">
        <v>1</v>
      </c>
      <c r="AF5555">
        <v>0</v>
      </c>
      <c r="AG5555">
        <v>48400.67</v>
      </c>
      <c r="AH5555">
        <v>1457</v>
      </c>
      <c r="AI5555">
        <v>1441</v>
      </c>
      <c r="AJ5555">
        <v>16</v>
      </c>
      <c r="AK5555">
        <v>1</v>
      </c>
      <c r="AL5555">
        <v>1</v>
      </c>
      <c r="AM5555">
        <v>98.9</v>
      </c>
      <c r="AN5555">
        <v>34.116999999999997</v>
      </c>
      <c r="AO5555">
        <v>531.51</v>
      </c>
      <c r="AP5555" s="13">
        <v>45916</v>
      </c>
      <c r="AQ5555">
        <v>-2</v>
      </c>
      <c r="AR5555">
        <v>1</v>
      </c>
    </row>
    <row r="5556" spans="1:44" x14ac:dyDescent="0.35">
      <c r="A5556" s="12" t="s">
        <v>6660</v>
      </c>
      <c r="B5556" s="12" t="s">
        <v>112</v>
      </c>
      <c r="C5556" s="12" t="s">
        <v>113</v>
      </c>
      <c r="D5556" s="12" t="s">
        <v>114</v>
      </c>
      <c r="E5556" s="12" t="s">
        <v>104</v>
      </c>
      <c r="F5556">
        <v>3</v>
      </c>
      <c r="G5556">
        <v>1</v>
      </c>
      <c r="H5556">
        <v>0</v>
      </c>
      <c r="I5556" s="12" t="s">
        <v>227</v>
      </c>
      <c r="J5556" s="12" t="s">
        <v>228</v>
      </c>
      <c r="K5556" s="12" t="s">
        <v>89</v>
      </c>
      <c r="L5556" s="12" t="s">
        <v>96</v>
      </c>
      <c r="M5556">
        <v>9.15</v>
      </c>
      <c r="N5556" s="12" t="s">
        <v>70</v>
      </c>
      <c r="O5556" s="12" t="s">
        <v>71</v>
      </c>
      <c r="P5556" s="12" t="s">
        <v>72</v>
      </c>
      <c r="Q5556" s="13">
        <v>45894</v>
      </c>
      <c r="R5556" s="13">
        <v>45911</v>
      </c>
      <c r="S5556">
        <v>2025</v>
      </c>
      <c r="T5556" s="12" t="s">
        <v>6515</v>
      </c>
      <c r="U5556">
        <v>54</v>
      </c>
      <c r="V5556">
        <v>257.51749999999998</v>
      </c>
      <c r="W5556">
        <v>222.06</v>
      </c>
      <c r="X5556">
        <v>0</v>
      </c>
      <c r="Y5556">
        <v>0</v>
      </c>
      <c r="Z5556">
        <v>13905.95</v>
      </c>
      <c r="AA5556">
        <v>14128.01</v>
      </c>
      <c r="AB5556" s="12" t="s">
        <v>201</v>
      </c>
      <c r="AD5556">
        <v>0</v>
      </c>
      <c r="AE5556">
        <v>0</v>
      </c>
      <c r="AH5556">
        <v>54</v>
      </c>
      <c r="AI5556">
        <v>53</v>
      </c>
      <c r="AJ5556">
        <v>1</v>
      </c>
      <c r="AK5556">
        <v>1</v>
      </c>
      <c r="AL5556">
        <v>1</v>
      </c>
      <c r="AM5556">
        <v>98.15</v>
      </c>
      <c r="AN5556">
        <v>266.56610000000001</v>
      </c>
      <c r="AO5556">
        <v>257.52</v>
      </c>
      <c r="AP5556" s="13">
        <v>45911</v>
      </c>
      <c r="AQ5556">
        <v>0</v>
      </c>
      <c r="AR5556">
        <v>1</v>
      </c>
    </row>
    <row r="5557" spans="1:44" x14ac:dyDescent="0.35">
      <c r="A5557" s="12" t="s">
        <v>6661</v>
      </c>
      <c r="B5557" s="12" t="s">
        <v>646</v>
      </c>
      <c r="C5557" s="12" t="s">
        <v>647</v>
      </c>
      <c r="D5557" s="12" t="s">
        <v>175</v>
      </c>
      <c r="E5557" s="12" t="s">
        <v>104</v>
      </c>
      <c r="F5557">
        <v>3</v>
      </c>
      <c r="G5557">
        <v>1</v>
      </c>
      <c r="H5557">
        <v>0</v>
      </c>
      <c r="I5557" s="12" t="s">
        <v>227</v>
      </c>
      <c r="J5557" s="12" t="s">
        <v>228</v>
      </c>
      <c r="K5557" s="12" t="s">
        <v>89</v>
      </c>
      <c r="L5557" s="12" t="s">
        <v>96</v>
      </c>
      <c r="M5557">
        <v>9.15</v>
      </c>
      <c r="N5557" s="12" t="s">
        <v>107</v>
      </c>
      <c r="O5557" s="12" t="s">
        <v>108</v>
      </c>
      <c r="P5557" s="12" t="s">
        <v>109</v>
      </c>
      <c r="Q5557" s="13">
        <v>45894</v>
      </c>
      <c r="R5557" s="13">
        <v>45907</v>
      </c>
      <c r="S5557">
        <v>2025</v>
      </c>
      <c r="T5557" s="12" t="s">
        <v>6515</v>
      </c>
      <c r="U5557">
        <v>22</v>
      </c>
      <c r="V5557">
        <v>191.95849999999999</v>
      </c>
      <c r="W5557">
        <v>36.97</v>
      </c>
      <c r="X5557">
        <v>0</v>
      </c>
      <c r="Y5557">
        <v>0</v>
      </c>
      <c r="Z5557">
        <v>4223.09</v>
      </c>
      <c r="AA5557">
        <v>4260.0600000000004</v>
      </c>
      <c r="AB5557" s="12" t="s">
        <v>5935</v>
      </c>
      <c r="AC5557">
        <v>191.95849999999999</v>
      </c>
      <c r="AD5557">
        <v>1</v>
      </c>
      <c r="AE5557">
        <v>1</v>
      </c>
      <c r="AF5557">
        <v>0</v>
      </c>
      <c r="AG5557">
        <v>4223.09</v>
      </c>
      <c r="AH5557">
        <v>22</v>
      </c>
      <c r="AI5557">
        <v>22</v>
      </c>
      <c r="AJ5557">
        <v>0</v>
      </c>
      <c r="AK5557">
        <v>1</v>
      </c>
      <c r="AL5557">
        <v>1</v>
      </c>
      <c r="AM5557">
        <v>100</v>
      </c>
      <c r="AN5557">
        <v>193.63900000000001</v>
      </c>
      <c r="AO5557">
        <v>0</v>
      </c>
      <c r="AP5557" s="13">
        <v>45905</v>
      </c>
      <c r="AQ5557">
        <v>-2</v>
      </c>
      <c r="AR5557">
        <v>1</v>
      </c>
    </row>
    <row r="5558" spans="1:44" x14ac:dyDescent="0.35">
      <c r="A5558" s="12" t="s">
        <v>6662</v>
      </c>
      <c r="B5558" s="12" t="s">
        <v>155</v>
      </c>
      <c r="C5558" s="12" t="s">
        <v>156</v>
      </c>
      <c r="D5558" s="12" t="s">
        <v>130</v>
      </c>
      <c r="E5558" s="12" t="s">
        <v>104</v>
      </c>
      <c r="F5558">
        <v>3</v>
      </c>
      <c r="G5558">
        <v>1</v>
      </c>
      <c r="H5558">
        <v>0</v>
      </c>
      <c r="I5558" s="12" t="s">
        <v>199</v>
      </c>
      <c r="J5558" s="12" t="s">
        <v>200</v>
      </c>
      <c r="K5558" s="12" t="s">
        <v>68</v>
      </c>
      <c r="L5558" s="12" t="s">
        <v>96</v>
      </c>
      <c r="M5558">
        <v>9.4700000000000006</v>
      </c>
      <c r="N5558" s="12" t="s">
        <v>159</v>
      </c>
      <c r="O5558" s="12" t="s">
        <v>160</v>
      </c>
      <c r="P5558" s="12" t="s">
        <v>137</v>
      </c>
      <c r="Q5558" s="13">
        <v>45894</v>
      </c>
      <c r="R5558" s="13">
        <v>45923</v>
      </c>
      <c r="S5558">
        <v>2025</v>
      </c>
      <c r="T5558" s="12" t="s">
        <v>6515</v>
      </c>
      <c r="U5558">
        <v>142</v>
      </c>
      <c r="V5558">
        <v>181.77109999999999</v>
      </c>
      <c r="W5558">
        <v>421.61</v>
      </c>
      <c r="X5558">
        <v>863.92</v>
      </c>
      <c r="Y5558">
        <v>1</v>
      </c>
      <c r="Z5558">
        <v>25811.5</v>
      </c>
      <c r="AA5558">
        <v>27097.03</v>
      </c>
      <c r="AB5558" s="12" t="s">
        <v>201</v>
      </c>
      <c r="AD5558">
        <v>0</v>
      </c>
      <c r="AE5558">
        <v>0</v>
      </c>
      <c r="AH5558">
        <v>142</v>
      </c>
      <c r="AI5558">
        <v>140</v>
      </c>
      <c r="AJ5558">
        <v>2</v>
      </c>
      <c r="AK5558">
        <v>1</v>
      </c>
      <c r="AL5558">
        <v>1</v>
      </c>
      <c r="AM5558">
        <v>98.59</v>
      </c>
      <c r="AN5558">
        <v>193.55019999999999</v>
      </c>
      <c r="AO5558">
        <v>363.54</v>
      </c>
      <c r="AP5558" s="13">
        <v>45926</v>
      </c>
      <c r="AQ5558">
        <v>3</v>
      </c>
      <c r="AR5558">
        <v>0</v>
      </c>
    </row>
    <row r="5559" spans="1:44" x14ac:dyDescent="0.35">
      <c r="A5559" s="12" t="s">
        <v>6663</v>
      </c>
      <c r="B5559" s="12" t="s">
        <v>978</v>
      </c>
      <c r="C5559" s="12" t="s">
        <v>979</v>
      </c>
      <c r="D5559" s="12" t="s">
        <v>122</v>
      </c>
      <c r="E5559" s="12" t="s">
        <v>65</v>
      </c>
      <c r="F5559">
        <v>1</v>
      </c>
      <c r="G5559">
        <v>2</v>
      </c>
      <c r="H5559">
        <v>1</v>
      </c>
      <c r="I5559" s="12" t="s">
        <v>310</v>
      </c>
      <c r="J5559" s="12" t="s">
        <v>311</v>
      </c>
      <c r="K5559" s="12" t="s">
        <v>81</v>
      </c>
      <c r="L5559" s="12" t="s">
        <v>69</v>
      </c>
      <c r="M5559">
        <v>28.3</v>
      </c>
      <c r="N5559" s="12" t="s">
        <v>70</v>
      </c>
      <c r="O5559" s="12" t="s">
        <v>71</v>
      </c>
      <c r="P5559" s="12" t="s">
        <v>72</v>
      </c>
      <c r="Q5559" s="13">
        <v>45894</v>
      </c>
      <c r="R5559" s="13">
        <v>45932</v>
      </c>
      <c r="S5559">
        <v>2025</v>
      </c>
      <c r="T5559" s="12" t="s">
        <v>6515</v>
      </c>
      <c r="U5559">
        <v>1975</v>
      </c>
      <c r="V5559">
        <v>43.4407</v>
      </c>
      <c r="W5559">
        <v>2089.66</v>
      </c>
      <c r="X5559">
        <v>0</v>
      </c>
      <c r="Y5559">
        <v>0</v>
      </c>
      <c r="Z5559">
        <v>85795.38</v>
      </c>
      <c r="AA5559">
        <v>87885.04</v>
      </c>
      <c r="AB5559" s="12" t="s">
        <v>6061</v>
      </c>
      <c r="AC5559">
        <v>43.4407</v>
      </c>
      <c r="AD5559">
        <v>1</v>
      </c>
      <c r="AE5559">
        <v>1</v>
      </c>
      <c r="AF5559">
        <v>0</v>
      </c>
      <c r="AG5559">
        <v>85795.38</v>
      </c>
      <c r="AH5559">
        <v>1975</v>
      </c>
      <c r="AI5559">
        <v>1953</v>
      </c>
      <c r="AJ5559">
        <v>22</v>
      </c>
      <c r="AK5559">
        <v>1</v>
      </c>
      <c r="AL5559">
        <v>1</v>
      </c>
      <c r="AM5559">
        <v>98.89</v>
      </c>
      <c r="AN5559">
        <v>45</v>
      </c>
      <c r="AO5559">
        <v>955.7</v>
      </c>
      <c r="AP5559" s="13">
        <v>45929</v>
      </c>
      <c r="AQ5559">
        <v>-3</v>
      </c>
      <c r="AR5559">
        <v>1</v>
      </c>
    </row>
    <row r="5560" spans="1:44" x14ac:dyDescent="0.35">
      <c r="A5560" s="12" t="s">
        <v>6664</v>
      </c>
      <c r="B5560" s="12" t="s">
        <v>490</v>
      </c>
      <c r="C5560" s="12" t="s">
        <v>491</v>
      </c>
      <c r="D5560" s="12" t="s">
        <v>130</v>
      </c>
      <c r="E5560" s="12" t="s">
        <v>104</v>
      </c>
      <c r="F5560">
        <v>3</v>
      </c>
      <c r="G5560">
        <v>1</v>
      </c>
      <c r="H5560">
        <v>0</v>
      </c>
      <c r="I5560" s="12" t="s">
        <v>176</v>
      </c>
      <c r="J5560" s="12" t="s">
        <v>177</v>
      </c>
      <c r="K5560" s="12" t="s">
        <v>125</v>
      </c>
      <c r="L5560" s="12" t="s">
        <v>134</v>
      </c>
      <c r="M5560">
        <v>1.75</v>
      </c>
      <c r="N5560" s="12" t="s">
        <v>159</v>
      </c>
      <c r="O5560" s="12" t="s">
        <v>160</v>
      </c>
      <c r="P5560" s="12" t="s">
        <v>137</v>
      </c>
      <c r="Q5560" s="13">
        <v>45894</v>
      </c>
      <c r="R5560" s="13">
        <v>45908</v>
      </c>
      <c r="S5560">
        <v>2025</v>
      </c>
      <c r="T5560" s="12" t="s">
        <v>6515</v>
      </c>
      <c r="U5560">
        <v>27</v>
      </c>
      <c r="V5560">
        <v>234.9982</v>
      </c>
      <c r="W5560">
        <v>40.54</v>
      </c>
      <c r="X5560">
        <v>0</v>
      </c>
      <c r="Y5560">
        <v>0</v>
      </c>
      <c r="Z5560">
        <v>6344.95</v>
      </c>
      <c r="AA5560">
        <v>6385.49</v>
      </c>
      <c r="AB5560" s="12" t="s">
        <v>5760</v>
      </c>
      <c r="AC5560">
        <v>234.9982</v>
      </c>
      <c r="AD5560">
        <v>1</v>
      </c>
      <c r="AE5560">
        <v>1</v>
      </c>
      <c r="AF5560">
        <v>0</v>
      </c>
      <c r="AG5560">
        <v>6344.95</v>
      </c>
      <c r="AH5560">
        <v>27</v>
      </c>
      <c r="AI5560">
        <v>27</v>
      </c>
      <c r="AJ5560">
        <v>0</v>
      </c>
      <c r="AK5560">
        <v>1</v>
      </c>
      <c r="AL5560">
        <v>1</v>
      </c>
      <c r="AM5560">
        <v>100</v>
      </c>
      <c r="AN5560">
        <v>236.49969999999999</v>
      </c>
      <c r="AO5560">
        <v>0</v>
      </c>
      <c r="AP5560" s="13">
        <v>45907</v>
      </c>
      <c r="AQ5560">
        <v>-1</v>
      </c>
      <c r="AR5560">
        <v>1</v>
      </c>
    </row>
    <row r="5561" spans="1:44" x14ac:dyDescent="0.35">
      <c r="A5561" s="12" t="s">
        <v>6665</v>
      </c>
      <c r="B5561" s="12" t="s">
        <v>1026</v>
      </c>
      <c r="C5561" s="12" t="s">
        <v>1027</v>
      </c>
      <c r="D5561" s="12" t="s">
        <v>122</v>
      </c>
      <c r="E5561" s="12" t="s">
        <v>104</v>
      </c>
      <c r="F5561">
        <v>3</v>
      </c>
      <c r="G5561">
        <v>1</v>
      </c>
      <c r="H5561">
        <v>0</v>
      </c>
      <c r="I5561" s="12" t="s">
        <v>183</v>
      </c>
      <c r="J5561" s="12" t="s">
        <v>184</v>
      </c>
      <c r="K5561" s="12" t="s">
        <v>133</v>
      </c>
      <c r="L5561" s="12" t="s">
        <v>82</v>
      </c>
      <c r="M5561">
        <v>8.6199999999999992</v>
      </c>
      <c r="N5561" s="12" t="s">
        <v>70</v>
      </c>
      <c r="O5561" s="12" t="s">
        <v>71</v>
      </c>
      <c r="P5561" s="12" t="s">
        <v>72</v>
      </c>
      <c r="Q5561" s="13">
        <v>45894</v>
      </c>
      <c r="R5561" s="13">
        <v>45923</v>
      </c>
      <c r="S5561">
        <v>2025</v>
      </c>
      <c r="T5561" s="12" t="s">
        <v>6515</v>
      </c>
      <c r="U5561">
        <v>1921</v>
      </c>
      <c r="V5561">
        <v>40.069099999999999</v>
      </c>
      <c r="W5561">
        <v>1901.94</v>
      </c>
      <c r="X5561">
        <v>0</v>
      </c>
      <c r="Y5561">
        <v>0</v>
      </c>
      <c r="Z5561">
        <v>76972.740000000005</v>
      </c>
      <c r="AA5561">
        <v>78874.679999999993</v>
      </c>
      <c r="AB5561" s="12" t="s">
        <v>201</v>
      </c>
      <c r="AD5561">
        <v>0</v>
      </c>
      <c r="AE5561">
        <v>0</v>
      </c>
      <c r="AH5561">
        <v>1921</v>
      </c>
      <c r="AI5561">
        <v>1906</v>
      </c>
      <c r="AJ5561">
        <v>15</v>
      </c>
      <c r="AK5561">
        <v>1</v>
      </c>
      <c r="AL5561">
        <v>1</v>
      </c>
      <c r="AM5561">
        <v>99.22</v>
      </c>
      <c r="AN5561">
        <v>41.382300000000001</v>
      </c>
      <c r="AO5561">
        <v>601.04</v>
      </c>
      <c r="AP5561" s="13">
        <v>45923</v>
      </c>
      <c r="AQ5561">
        <v>0</v>
      </c>
      <c r="AR5561">
        <v>1</v>
      </c>
    </row>
    <row r="5562" spans="1:44" x14ac:dyDescent="0.35">
      <c r="A5562" s="12" t="s">
        <v>6666</v>
      </c>
      <c r="B5562" s="12" t="s">
        <v>587</v>
      </c>
      <c r="C5562" s="12" t="s">
        <v>588</v>
      </c>
      <c r="D5562" s="12" t="s">
        <v>122</v>
      </c>
      <c r="E5562" s="12" t="s">
        <v>104</v>
      </c>
      <c r="F5562">
        <v>2</v>
      </c>
      <c r="G5562">
        <v>0</v>
      </c>
      <c r="H5562">
        <v>0</v>
      </c>
      <c r="I5562" s="12" t="s">
        <v>486</v>
      </c>
      <c r="J5562" s="12" t="s">
        <v>487</v>
      </c>
      <c r="K5562" s="12" t="s">
        <v>125</v>
      </c>
      <c r="L5562" s="12" t="s">
        <v>69</v>
      </c>
      <c r="M5562">
        <v>36.86</v>
      </c>
      <c r="N5562" s="12" t="s">
        <v>97</v>
      </c>
      <c r="O5562" s="12" t="s">
        <v>98</v>
      </c>
      <c r="P5562" s="12" t="s">
        <v>72</v>
      </c>
      <c r="Q5562" s="13">
        <v>45894</v>
      </c>
      <c r="R5562" s="13">
        <v>45910</v>
      </c>
      <c r="S5562">
        <v>2025</v>
      </c>
      <c r="T5562" s="12" t="s">
        <v>6515</v>
      </c>
      <c r="U5562">
        <v>661</v>
      </c>
      <c r="V5562">
        <v>12.339499999999999</v>
      </c>
      <c r="W5562">
        <v>76.48</v>
      </c>
      <c r="X5562">
        <v>0</v>
      </c>
      <c r="Y5562">
        <v>0</v>
      </c>
      <c r="Z5562">
        <v>8156.41</v>
      </c>
      <c r="AA5562">
        <v>8232.89</v>
      </c>
      <c r="AB5562" s="12" t="s">
        <v>201</v>
      </c>
      <c r="AD5562">
        <v>0</v>
      </c>
      <c r="AE5562">
        <v>0</v>
      </c>
      <c r="AH5562">
        <v>661</v>
      </c>
      <c r="AI5562">
        <v>657</v>
      </c>
      <c r="AJ5562">
        <v>4</v>
      </c>
      <c r="AK5562">
        <v>1</v>
      </c>
      <c r="AL5562">
        <v>1</v>
      </c>
      <c r="AM5562">
        <v>99.39</v>
      </c>
      <c r="AN5562">
        <v>12.531000000000001</v>
      </c>
      <c r="AO5562">
        <v>49.36</v>
      </c>
      <c r="AP5562" s="13">
        <v>45908</v>
      </c>
      <c r="AQ5562">
        <v>-2</v>
      </c>
      <c r="AR5562">
        <v>1</v>
      </c>
    </row>
    <row r="5563" spans="1:44" x14ac:dyDescent="0.35">
      <c r="A5563" s="12" t="s">
        <v>6667</v>
      </c>
      <c r="B5563" s="12" t="s">
        <v>1433</v>
      </c>
      <c r="C5563" s="12" t="s">
        <v>1434</v>
      </c>
      <c r="D5563" s="12" t="s">
        <v>269</v>
      </c>
      <c r="E5563" s="12" t="s">
        <v>65</v>
      </c>
      <c r="F5563">
        <v>3</v>
      </c>
      <c r="G5563">
        <v>5</v>
      </c>
      <c r="H5563">
        <v>0</v>
      </c>
      <c r="I5563" s="12" t="s">
        <v>87</v>
      </c>
      <c r="J5563" s="12" t="s">
        <v>88</v>
      </c>
      <c r="K5563" s="12" t="s">
        <v>89</v>
      </c>
      <c r="L5563" s="12" t="s">
        <v>69</v>
      </c>
      <c r="M5563">
        <v>14.93</v>
      </c>
      <c r="N5563" s="12" t="s">
        <v>159</v>
      </c>
      <c r="O5563" s="12" t="s">
        <v>160</v>
      </c>
      <c r="P5563" s="12" t="s">
        <v>137</v>
      </c>
      <c r="Q5563" s="13">
        <v>45894</v>
      </c>
      <c r="R5563" s="13">
        <v>45929</v>
      </c>
      <c r="S5563">
        <v>2025</v>
      </c>
      <c r="T5563" s="12" t="s">
        <v>6515</v>
      </c>
      <c r="U5563">
        <v>120</v>
      </c>
      <c r="V5563">
        <v>477.32870000000003</v>
      </c>
      <c r="W5563">
        <v>864.33</v>
      </c>
      <c r="X5563">
        <v>0</v>
      </c>
      <c r="Y5563">
        <v>0</v>
      </c>
      <c r="Z5563">
        <v>57279.44</v>
      </c>
      <c r="AA5563">
        <v>58143.77</v>
      </c>
      <c r="AB5563" s="12" t="s">
        <v>201</v>
      </c>
      <c r="AD5563">
        <v>0</v>
      </c>
      <c r="AE5563">
        <v>0</v>
      </c>
      <c r="AH5563">
        <v>120</v>
      </c>
      <c r="AI5563">
        <v>119</v>
      </c>
      <c r="AJ5563">
        <v>1</v>
      </c>
      <c r="AK5563">
        <v>1</v>
      </c>
      <c r="AL5563">
        <v>1</v>
      </c>
      <c r="AM5563">
        <v>99.17</v>
      </c>
      <c r="AN5563">
        <v>488.60309999999998</v>
      </c>
      <c r="AO5563">
        <v>477.33</v>
      </c>
      <c r="AP5563" s="13">
        <v>45929</v>
      </c>
      <c r="AQ5563">
        <v>0</v>
      </c>
      <c r="AR5563">
        <v>1</v>
      </c>
    </row>
    <row r="5564" spans="1:44" x14ac:dyDescent="0.35">
      <c r="A5564" s="12" t="s">
        <v>6668</v>
      </c>
      <c r="B5564" s="12" t="s">
        <v>602</v>
      </c>
      <c r="C5564" s="12" t="s">
        <v>603</v>
      </c>
      <c r="D5564" s="12" t="s">
        <v>114</v>
      </c>
      <c r="E5564" s="12" t="s">
        <v>142</v>
      </c>
      <c r="F5564">
        <v>2</v>
      </c>
      <c r="G5564">
        <v>10</v>
      </c>
      <c r="H5564">
        <v>0</v>
      </c>
      <c r="I5564" s="12" t="s">
        <v>263</v>
      </c>
      <c r="J5564" s="12" t="s">
        <v>264</v>
      </c>
      <c r="K5564" s="12" t="s">
        <v>125</v>
      </c>
      <c r="L5564" s="12" t="s">
        <v>82</v>
      </c>
      <c r="M5564">
        <v>10.210000000000001</v>
      </c>
      <c r="N5564" s="12" t="s">
        <v>70</v>
      </c>
      <c r="O5564" s="12" t="s">
        <v>71</v>
      </c>
      <c r="P5564" s="12" t="s">
        <v>72</v>
      </c>
      <c r="Q5564" s="13">
        <v>45894</v>
      </c>
      <c r="R5564" s="13">
        <v>45933</v>
      </c>
      <c r="S5564">
        <v>2025</v>
      </c>
      <c r="T5564" s="12" t="s">
        <v>6515</v>
      </c>
      <c r="U5564">
        <v>47</v>
      </c>
      <c r="V5564">
        <v>207.9658</v>
      </c>
      <c r="W5564">
        <v>60.63</v>
      </c>
      <c r="X5564">
        <v>0</v>
      </c>
      <c r="Y5564">
        <v>0</v>
      </c>
      <c r="Z5564">
        <v>9774.39</v>
      </c>
      <c r="AA5564">
        <v>9835.02</v>
      </c>
      <c r="AB5564" s="12" t="s">
        <v>5373</v>
      </c>
      <c r="AC5564">
        <v>207.9658</v>
      </c>
      <c r="AD5564">
        <v>1</v>
      </c>
      <c r="AE5564">
        <v>1</v>
      </c>
      <c r="AF5564">
        <v>0</v>
      </c>
      <c r="AG5564">
        <v>9774.39</v>
      </c>
      <c r="AH5564">
        <v>47</v>
      </c>
      <c r="AI5564">
        <v>47</v>
      </c>
      <c r="AJ5564">
        <v>0</v>
      </c>
      <c r="AK5564">
        <v>1</v>
      </c>
      <c r="AL5564">
        <v>1</v>
      </c>
      <c r="AM5564">
        <v>100</v>
      </c>
      <c r="AN5564">
        <v>209.25579999999999</v>
      </c>
      <c r="AO5564">
        <v>0</v>
      </c>
      <c r="AP5564" s="13">
        <v>45930</v>
      </c>
      <c r="AQ5564">
        <v>-3</v>
      </c>
      <c r="AR5564">
        <v>1</v>
      </c>
    </row>
    <row r="5565" spans="1:44" x14ac:dyDescent="0.35">
      <c r="A5565" s="12" t="s">
        <v>6669</v>
      </c>
      <c r="B5565" s="12" t="s">
        <v>598</v>
      </c>
      <c r="C5565" s="12" t="s">
        <v>599</v>
      </c>
      <c r="D5565" s="12" t="s">
        <v>269</v>
      </c>
      <c r="E5565" s="12" t="s">
        <v>65</v>
      </c>
      <c r="F5565">
        <v>1</v>
      </c>
      <c r="G5565">
        <v>2</v>
      </c>
      <c r="H5565">
        <v>1</v>
      </c>
      <c r="I5565" s="12" t="s">
        <v>176</v>
      </c>
      <c r="J5565" s="12" t="s">
        <v>177</v>
      </c>
      <c r="K5565" s="12" t="s">
        <v>125</v>
      </c>
      <c r="L5565" s="12" t="s">
        <v>134</v>
      </c>
      <c r="M5565">
        <v>1.75</v>
      </c>
      <c r="N5565" s="12" t="s">
        <v>135</v>
      </c>
      <c r="O5565" s="12" t="s">
        <v>136</v>
      </c>
      <c r="P5565" s="12" t="s">
        <v>137</v>
      </c>
      <c r="Q5565" s="13">
        <v>45895</v>
      </c>
      <c r="R5565" s="13">
        <v>45928</v>
      </c>
      <c r="S5565">
        <v>2025</v>
      </c>
      <c r="T5565" s="12" t="s">
        <v>6515</v>
      </c>
      <c r="U5565">
        <v>106</v>
      </c>
      <c r="V5565">
        <v>525.49180000000001</v>
      </c>
      <c r="W5565">
        <v>859.65</v>
      </c>
      <c r="X5565">
        <v>1672.05</v>
      </c>
      <c r="Y5565">
        <v>1</v>
      </c>
      <c r="Z5565">
        <v>55702.13</v>
      </c>
      <c r="AA5565">
        <v>58233.83</v>
      </c>
      <c r="AB5565" s="12" t="s">
        <v>201</v>
      </c>
      <c r="AD5565">
        <v>0</v>
      </c>
      <c r="AE5565">
        <v>0</v>
      </c>
      <c r="AH5565">
        <v>106</v>
      </c>
      <c r="AI5565">
        <v>104</v>
      </c>
      <c r="AJ5565">
        <v>2</v>
      </c>
      <c r="AK5565">
        <v>1</v>
      </c>
      <c r="AL5565">
        <v>1</v>
      </c>
      <c r="AM5565">
        <v>98.11</v>
      </c>
      <c r="AN5565">
        <v>559.94069999999999</v>
      </c>
      <c r="AO5565">
        <v>1050.98</v>
      </c>
      <c r="AP5565" s="13">
        <v>45927</v>
      </c>
      <c r="AQ5565">
        <v>-1</v>
      </c>
      <c r="AR5565">
        <v>1</v>
      </c>
    </row>
    <row r="5566" spans="1:44" x14ac:dyDescent="0.35">
      <c r="A5566" s="12" t="s">
        <v>6670</v>
      </c>
      <c r="B5566" s="12" t="s">
        <v>990</v>
      </c>
      <c r="C5566" s="12" t="s">
        <v>991</v>
      </c>
      <c r="D5566" s="12" t="s">
        <v>122</v>
      </c>
      <c r="E5566" s="12" t="s">
        <v>142</v>
      </c>
      <c r="F5566">
        <v>1</v>
      </c>
      <c r="G5566">
        <v>6</v>
      </c>
      <c r="H5566">
        <v>1</v>
      </c>
      <c r="I5566" s="12" t="s">
        <v>217</v>
      </c>
      <c r="J5566" s="12" t="s">
        <v>218</v>
      </c>
      <c r="K5566" s="12" t="s">
        <v>68</v>
      </c>
      <c r="L5566" s="12" t="s">
        <v>82</v>
      </c>
      <c r="M5566">
        <v>14.24</v>
      </c>
      <c r="N5566" s="12" t="s">
        <v>97</v>
      </c>
      <c r="O5566" s="12" t="s">
        <v>98</v>
      </c>
      <c r="P5566" s="12" t="s">
        <v>72</v>
      </c>
      <c r="Q5566" s="13">
        <v>45895</v>
      </c>
      <c r="R5566" s="13">
        <v>45944</v>
      </c>
      <c r="S5566">
        <v>2025</v>
      </c>
      <c r="T5566" s="12" t="s">
        <v>6515</v>
      </c>
      <c r="U5566">
        <v>1616</v>
      </c>
      <c r="V5566">
        <v>33.5533</v>
      </c>
      <c r="W5566">
        <v>673.89</v>
      </c>
      <c r="X5566">
        <v>0</v>
      </c>
      <c r="Y5566">
        <v>0</v>
      </c>
      <c r="Z5566">
        <v>54222.13</v>
      </c>
      <c r="AA5566">
        <v>54896.02</v>
      </c>
      <c r="AB5566" s="12" t="s">
        <v>5831</v>
      </c>
      <c r="AC5566">
        <v>33.5533</v>
      </c>
      <c r="AD5566">
        <v>1</v>
      </c>
      <c r="AE5566">
        <v>1</v>
      </c>
      <c r="AF5566">
        <v>0</v>
      </c>
      <c r="AG5566">
        <v>54222.13</v>
      </c>
      <c r="AH5566">
        <v>1616</v>
      </c>
      <c r="AI5566">
        <v>1609</v>
      </c>
      <c r="AJ5566">
        <v>7</v>
      </c>
      <c r="AK5566">
        <v>1</v>
      </c>
      <c r="AL5566">
        <v>1</v>
      </c>
      <c r="AM5566">
        <v>99.57</v>
      </c>
      <c r="AN5566">
        <v>34.118099999999998</v>
      </c>
      <c r="AO5566">
        <v>234.87</v>
      </c>
      <c r="AP5566" s="13">
        <v>45942</v>
      </c>
      <c r="AQ5566">
        <v>-2</v>
      </c>
      <c r="AR5566">
        <v>1</v>
      </c>
    </row>
    <row r="5567" spans="1:44" x14ac:dyDescent="0.35">
      <c r="A5567" s="12" t="s">
        <v>6671</v>
      </c>
      <c r="B5567" s="12" t="s">
        <v>490</v>
      </c>
      <c r="C5567" s="12" t="s">
        <v>491</v>
      </c>
      <c r="D5567" s="12" t="s">
        <v>130</v>
      </c>
      <c r="E5567" s="12" t="s">
        <v>104</v>
      </c>
      <c r="F5567">
        <v>3</v>
      </c>
      <c r="G5567">
        <v>1</v>
      </c>
      <c r="H5567">
        <v>0</v>
      </c>
      <c r="I5567" s="12" t="s">
        <v>176</v>
      </c>
      <c r="J5567" s="12" t="s">
        <v>177</v>
      </c>
      <c r="K5567" s="12" t="s">
        <v>125</v>
      </c>
      <c r="L5567" s="12" t="s">
        <v>134</v>
      </c>
      <c r="M5567">
        <v>1.75</v>
      </c>
      <c r="N5567" s="12" t="s">
        <v>159</v>
      </c>
      <c r="O5567" s="12" t="s">
        <v>160</v>
      </c>
      <c r="P5567" s="12" t="s">
        <v>137</v>
      </c>
      <c r="Q5567" s="13">
        <v>45895</v>
      </c>
      <c r="R5567" s="13">
        <v>45908</v>
      </c>
      <c r="S5567">
        <v>2025</v>
      </c>
      <c r="T5567" s="12" t="s">
        <v>6515</v>
      </c>
      <c r="U5567">
        <v>23</v>
      </c>
      <c r="V5567">
        <v>234.9982</v>
      </c>
      <c r="W5567">
        <v>46.44</v>
      </c>
      <c r="X5567">
        <v>0</v>
      </c>
      <c r="Y5567">
        <v>0</v>
      </c>
      <c r="Z5567">
        <v>5404.96</v>
      </c>
      <c r="AA5567">
        <v>5451.4</v>
      </c>
      <c r="AB5567" s="12" t="s">
        <v>5760</v>
      </c>
      <c r="AC5567">
        <v>234.9982</v>
      </c>
      <c r="AD5567">
        <v>1</v>
      </c>
      <c r="AE5567">
        <v>1</v>
      </c>
      <c r="AF5567">
        <v>0</v>
      </c>
      <c r="AG5567">
        <v>5404.96</v>
      </c>
      <c r="AH5567">
        <v>23</v>
      </c>
      <c r="AI5567">
        <v>23</v>
      </c>
      <c r="AJ5567">
        <v>0</v>
      </c>
      <c r="AK5567">
        <v>1</v>
      </c>
      <c r="AL5567">
        <v>1</v>
      </c>
      <c r="AM5567">
        <v>100</v>
      </c>
      <c r="AN5567">
        <v>237.01730000000001</v>
      </c>
      <c r="AO5567">
        <v>0</v>
      </c>
      <c r="AP5567" s="13">
        <v>45906</v>
      </c>
      <c r="AQ5567">
        <v>-2</v>
      </c>
      <c r="AR5567">
        <v>1</v>
      </c>
    </row>
    <row r="5568" spans="1:44" x14ac:dyDescent="0.35">
      <c r="A5568" s="12" t="s">
        <v>6672</v>
      </c>
      <c r="B5568" s="12" t="s">
        <v>661</v>
      </c>
      <c r="C5568" s="12" t="s">
        <v>662</v>
      </c>
      <c r="D5568" s="12" t="s">
        <v>175</v>
      </c>
      <c r="E5568" s="12" t="s">
        <v>104</v>
      </c>
      <c r="F5568">
        <v>1</v>
      </c>
      <c r="G5568">
        <v>0</v>
      </c>
      <c r="H5568">
        <v>1</v>
      </c>
      <c r="I5568" s="12" t="s">
        <v>183</v>
      </c>
      <c r="J5568" s="12" t="s">
        <v>184</v>
      </c>
      <c r="K5568" s="12" t="s">
        <v>133</v>
      </c>
      <c r="L5568" s="12" t="s">
        <v>82</v>
      </c>
      <c r="M5568">
        <v>8.6199999999999992</v>
      </c>
      <c r="N5568" s="12" t="s">
        <v>145</v>
      </c>
      <c r="O5568" s="12" t="s">
        <v>146</v>
      </c>
      <c r="P5568" s="12" t="s">
        <v>109</v>
      </c>
      <c r="Q5568" s="13">
        <v>45895</v>
      </c>
      <c r="R5568" s="13">
        <v>45922</v>
      </c>
      <c r="S5568">
        <v>2025</v>
      </c>
      <c r="T5568" s="12" t="s">
        <v>6515</v>
      </c>
      <c r="U5568">
        <v>132</v>
      </c>
      <c r="V5568">
        <v>166.30070000000001</v>
      </c>
      <c r="W5568">
        <v>220.59</v>
      </c>
      <c r="X5568">
        <v>0</v>
      </c>
      <c r="Y5568">
        <v>0</v>
      </c>
      <c r="Z5568">
        <v>21951.69</v>
      </c>
      <c r="AA5568">
        <v>22172.28</v>
      </c>
      <c r="AB5568" s="12" t="s">
        <v>5336</v>
      </c>
      <c r="AC5568">
        <v>166.30070000000001</v>
      </c>
      <c r="AD5568">
        <v>1</v>
      </c>
      <c r="AE5568">
        <v>1</v>
      </c>
      <c r="AF5568">
        <v>0</v>
      </c>
      <c r="AG5568">
        <v>21951.69</v>
      </c>
      <c r="AH5568">
        <v>132</v>
      </c>
      <c r="AI5568">
        <v>130</v>
      </c>
      <c r="AJ5568">
        <v>2</v>
      </c>
      <c r="AK5568">
        <v>1</v>
      </c>
      <c r="AL5568">
        <v>1</v>
      </c>
      <c r="AM5568">
        <v>98.48</v>
      </c>
      <c r="AN5568">
        <v>170.55600000000001</v>
      </c>
      <c r="AO5568">
        <v>332.6</v>
      </c>
      <c r="AP5568" s="13">
        <v>45922</v>
      </c>
      <c r="AQ5568">
        <v>0</v>
      </c>
      <c r="AR5568">
        <v>1</v>
      </c>
    </row>
    <row r="5569" spans="1:44" x14ac:dyDescent="0.35">
      <c r="A5569" s="12" t="s">
        <v>6673</v>
      </c>
      <c r="B5569" s="12" t="s">
        <v>1042</v>
      </c>
      <c r="C5569" s="12" t="s">
        <v>1043</v>
      </c>
      <c r="D5569" s="12" t="s">
        <v>269</v>
      </c>
      <c r="E5569" s="12" t="s">
        <v>104</v>
      </c>
      <c r="F5569">
        <v>2</v>
      </c>
      <c r="G5569">
        <v>0</v>
      </c>
      <c r="H5569">
        <v>0</v>
      </c>
      <c r="I5569" s="12" t="s">
        <v>143</v>
      </c>
      <c r="J5569" s="12" t="s">
        <v>144</v>
      </c>
      <c r="K5569" s="12" t="s">
        <v>133</v>
      </c>
      <c r="L5569" s="12" t="s">
        <v>96</v>
      </c>
      <c r="M5569">
        <v>5.43</v>
      </c>
      <c r="N5569" s="12" t="s">
        <v>135</v>
      </c>
      <c r="O5569" s="12" t="s">
        <v>136</v>
      </c>
      <c r="P5569" s="12" t="s">
        <v>137</v>
      </c>
      <c r="Q5569" s="13">
        <v>45895</v>
      </c>
      <c r="R5569" s="13">
        <v>45921</v>
      </c>
      <c r="S5569">
        <v>2025</v>
      </c>
      <c r="T5569" s="12" t="s">
        <v>6515</v>
      </c>
      <c r="U5569">
        <v>124</v>
      </c>
      <c r="V5569">
        <v>321.92090000000002</v>
      </c>
      <c r="W5569">
        <v>893.48</v>
      </c>
      <c r="X5569">
        <v>0</v>
      </c>
      <c r="Y5569">
        <v>0</v>
      </c>
      <c r="Z5569">
        <v>39918.19</v>
      </c>
      <c r="AA5569">
        <v>40811.67</v>
      </c>
      <c r="AB5569" s="12" t="s">
        <v>201</v>
      </c>
      <c r="AD5569">
        <v>0</v>
      </c>
      <c r="AE5569">
        <v>0</v>
      </c>
      <c r="AH5569">
        <v>124</v>
      </c>
      <c r="AI5569">
        <v>123</v>
      </c>
      <c r="AJ5569">
        <v>1</v>
      </c>
      <c r="AK5569">
        <v>1</v>
      </c>
      <c r="AL5569">
        <v>1</v>
      </c>
      <c r="AM5569">
        <v>99.19</v>
      </c>
      <c r="AN5569">
        <v>331.80220000000003</v>
      </c>
      <c r="AO5569">
        <v>321.92</v>
      </c>
      <c r="AP5569" s="13">
        <v>45920</v>
      </c>
      <c r="AQ5569">
        <v>-1</v>
      </c>
      <c r="AR5569">
        <v>1</v>
      </c>
    </row>
    <row r="5570" spans="1:44" x14ac:dyDescent="0.35">
      <c r="A5570" s="12" t="s">
        <v>6674</v>
      </c>
      <c r="B5570" s="12" t="s">
        <v>837</v>
      </c>
      <c r="C5570" s="12" t="s">
        <v>838</v>
      </c>
      <c r="D5570" s="12" t="s">
        <v>114</v>
      </c>
      <c r="E5570" s="12" t="s">
        <v>104</v>
      </c>
      <c r="F5570">
        <v>2</v>
      </c>
      <c r="G5570">
        <v>0</v>
      </c>
      <c r="H5570">
        <v>0</v>
      </c>
      <c r="I5570" s="12" t="s">
        <v>199</v>
      </c>
      <c r="J5570" s="12" t="s">
        <v>200</v>
      </c>
      <c r="K5570" s="12" t="s">
        <v>68</v>
      </c>
      <c r="L5570" s="12" t="s">
        <v>96</v>
      </c>
      <c r="M5570">
        <v>9.4700000000000006</v>
      </c>
      <c r="N5570" s="12" t="s">
        <v>97</v>
      </c>
      <c r="O5570" s="12" t="s">
        <v>98</v>
      </c>
      <c r="P5570" s="12" t="s">
        <v>72</v>
      </c>
      <c r="Q5570" s="13">
        <v>45896</v>
      </c>
      <c r="R5570" s="13">
        <v>45923</v>
      </c>
      <c r="S5570">
        <v>2025</v>
      </c>
      <c r="T5570" s="12" t="s">
        <v>6515</v>
      </c>
      <c r="U5570">
        <v>131</v>
      </c>
      <c r="V5570">
        <v>66.785399999999996</v>
      </c>
      <c r="W5570">
        <v>181.15</v>
      </c>
      <c r="X5570">
        <v>0</v>
      </c>
      <c r="Y5570">
        <v>0</v>
      </c>
      <c r="Z5570">
        <v>8748.89</v>
      </c>
      <c r="AA5570">
        <v>8930.0400000000009</v>
      </c>
      <c r="AB5570" s="12" t="s">
        <v>5895</v>
      </c>
      <c r="AC5570">
        <v>66.785399999999996</v>
      </c>
      <c r="AD5570">
        <v>1</v>
      </c>
      <c r="AE5570">
        <v>1</v>
      </c>
      <c r="AF5570">
        <v>0</v>
      </c>
      <c r="AG5570">
        <v>8748.89</v>
      </c>
      <c r="AH5570">
        <v>131</v>
      </c>
      <c r="AI5570">
        <v>129</v>
      </c>
      <c r="AJ5570">
        <v>2</v>
      </c>
      <c r="AK5570">
        <v>1</v>
      </c>
      <c r="AL5570">
        <v>1</v>
      </c>
      <c r="AM5570">
        <v>98.47</v>
      </c>
      <c r="AN5570">
        <v>69.225099999999998</v>
      </c>
      <c r="AO5570">
        <v>133.57</v>
      </c>
      <c r="AP5570" s="13">
        <v>45935</v>
      </c>
      <c r="AQ5570">
        <v>12</v>
      </c>
      <c r="AR5570">
        <v>0</v>
      </c>
    </row>
    <row r="5571" spans="1:44" x14ac:dyDescent="0.35">
      <c r="A5571" s="12" t="s">
        <v>6675</v>
      </c>
      <c r="B5571" s="12" t="s">
        <v>537</v>
      </c>
      <c r="C5571" s="12" t="s">
        <v>538</v>
      </c>
      <c r="D5571" s="12" t="s">
        <v>103</v>
      </c>
      <c r="E5571" s="12" t="s">
        <v>104</v>
      </c>
      <c r="F5571">
        <v>3</v>
      </c>
      <c r="G5571">
        <v>0</v>
      </c>
      <c r="H5571">
        <v>0</v>
      </c>
      <c r="I5571" s="12" t="s">
        <v>380</v>
      </c>
      <c r="J5571" s="12" t="s">
        <v>381</v>
      </c>
      <c r="K5571" s="12" t="s">
        <v>89</v>
      </c>
      <c r="L5571" s="12" t="s">
        <v>96</v>
      </c>
      <c r="M5571">
        <v>10.210000000000001</v>
      </c>
      <c r="N5571" s="12" t="s">
        <v>107</v>
      </c>
      <c r="O5571" s="12" t="s">
        <v>108</v>
      </c>
      <c r="P5571" s="12" t="s">
        <v>109</v>
      </c>
      <c r="Q5571" s="13">
        <v>45896</v>
      </c>
      <c r="R5571" s="13">
        <v>45915</v>
      </c>
      <c r="S5571">
        <v>2025</v>
      </c>
      <c r="T5571" s="12" t="s">
        <v>6515</v>
      </c>
      <c r="U5571">
        <v>70</v>
      </c>
      <c r="V5571">
        <v>228.0823</v>
      </c>
      <c r="W5571">
        <v>359.57</v>
      </c>
      <c r="X5571">
        <v>0</v>
      </c>
      <c r="Y5571">
        <v>0</v>
      </c>
      <c r="Z5571">
        <v>15965.76</v>
      </c>
      <c r="AA5571">
        <v>16325.33</v>
      </c>
      <c r="AB5571" s="12" t="s">
        <v>6070</v>
      </c>
      <c r="AC5571">
        <v>242.47130000000001</v>
      </c>
      <c r="AD5571">
        <v>1</v>
      </c>
      <c r="AE5571">
        <v>1</v>
      </c>
      <c r="AF5571">
        <v>-1007.23</v>
      </c>
      <c r="AG5571">
        <v>16972.990000000002</v>
      </c>
      <c r="AH5571">
        <v>70</v>
      </c>
      <c r="AI5571">
        <v>69</v>
      </c>
      <c r="AJ5571">
        <v>1</v>
      </c>
      <c r="AK5571">
        <v>1</v>
      </c>
      <c r="AL5571">
        <v>1</v>
      </c>
      <c r="AM5571">
        <v>98.57</v>
      </c>
      <c r="AN5571">
        <v>236.59899999999999</v>
      </c>
      <c r="AO5571">
        <v>228.08</v>
      </c>
      <c r="AP5571" s="13">
        <v>45915</v>
      </c>
      <c r="AQ5571">
        <v>0</v>
      </c>
      <c r="AR5571">
        <v>1</v>
      </c>
    </row>
    <row r="5572" spans="1:44" x14ac:dyDescent="0.35">
      <c r="A5572" s="12" t="s">
        <v>6676</v>
      </c>
      <c r="B5572" s="12" t="s">
        <v>565</v>
      </c>
      <c r="C5572" s="12" t="s">
        <v>566</v>
      </c>
      <c r="D5572" s="12" t="s">
        <v>122</v>
      </c>
      <c r="E5572" s="12" t="s">
        <v>104</v>
      </c>
      <c r="F5572">
        <v>3</v>
      </c>
      <c r="G5572">
        <v>1</v>
      </c>
      <c r="H5572">
        <v>0</v>
      </c>
      <c r="I5572" s="12" t="s">
        <v>87</v>
      </c>
      <c r="J5572" s="12" t="s">
        <v>88</v>
      </c>
      <c r="K5572" s="12" t="s">
        <v>89</v>
      </c>
      <c r="L5572" s="12" t="s">
        <v>69</v>
      </c>
      <c r="M5572">
        <v>14.93</v>
      </c>
      <c r="N5572" s="12" t="s">
        <v>70</v>
      </c>
      <c r="O5572" s="12" t="s">
        <v>71</v>
      </c>
      <c r="P5572" s="12" t="s">
        <v>72</v>
      </c>
      <c r="Q5572" s="13">
        <v>45896</v>
      </c>
      <c r="R5572" s="13">
        <v>45910</v>
      </c>
      <c r="S5572">
        <v>2025</v>
      </c>
      <c r="T5572" s="12" t="s">
        <v>6515</v>
      </c>
      <c r="U5572">
        <v>491</v>
      </c>
      <c r="V5572">
        <v>33.2194</v>
      </c>
      <c r="W5572">
        <v>179.08</v>
      </c>
      <c r="X5572">
        <v>0</v>
      </c>
      <c r="Y5572">
        <v>0</v>
      </c>
      <c r="Z5572">
        <v>16310.73</v>
      </c>
      <c r="AA5572">
        <v>16489.810000000001</v>
      </c>
      <c r="AB5572" s="12" t="s">
        <v>5711</v>
      </c>
      <c r="AC5572">
        <v>33.2194</v>
      </c>
      <c r="AD5572">
        <v>1</v>
      </c>
      <c r="AE5572">
        <v>1</v>
      </c>
      <c r="AF5572">
        <v>0</v>
      </c>
      <c r="AG5572">
        <v>16310.73</v>
      </c>
      <c r="AH5572">
        <v>491</v>
      </c>
      <c r="AI5572">
        <v>490</v>
      </c>
      <c r="AJ5572">
        <v>1</v>
      </c>
      <c r="AK5572">
        <v>1</v>
      </c>
      <c r="AL5572">
        <v>1</v>
      </c>
      <c r="AM5572">
        <v>99.8</v>
      </c>
      <c r="AN5572">
        <v>33.652700000000003</v>
      </c>
      <c r="AO5572">
        <v>33.22</v>
      </c>
      <c r="AP5572" s="13">
        <v>45912</v>
      </c>
      <c r="AQ5572">
        <v>2</v>
      </c>
      <c r="AR5572">
        <v>0</v>
      </c>
    </row>
    <row r="5573" spans="1:44" x14ac:dyDescent="0.35">
      <c r="A5573" s="12" t="s">
        <v>6677</v>
      </c>
      <c r="B5573" s="12" t="s">
        <v>412</v>
      </c>
      <c r="C5573" s="12" t="s">
        <v>413</v>
      </c>
      <c r="D5573" s="12" t="s">
        <v>269</v>
      </c>
      <c r="E5573" s="12" t="s">
        <v>65</v>
      </c>
      <c r="F5573">
        <v>1</v>
      </c>
      <c r="G5573">
        <v>2</v>
      </c>
      <c r="H5573">
        <v>1</v>
      </c>
      <c r="I5573" s="12" t="s">
        <v>233</v>
      </c>
      <c r="J5573" s="12" t="s">
        <v>234</v>
      </c>
      <c r="K5573" s="12" t="s">
        <v>125</v>
      </c>
      <c r="L5573" s="12" t="s">
        <v>96</v>
      </c>
      <c r="M5573">
        <v>3.73</v>
      </c>
      <c r="N5573" s="12" t="s">
        <v>135</v>
      </c>
      <c r="O5573" s="12" t="s">
        <v>136</v>
      </c>
      <c r="P5573" s="12" t="s">
        <v>137</v>
      </c>
      <c r="Q5573" s="13">
        <v>45896</v>
      </c>
      <c r="R5573" s="13">
        <v>45934</v>
      </c>
      <c r="S5573">
        <v>2025</v>
      </c>
      <c r="T5573" s="12" t="s">
        <v>6515</v>
      </c>
      <c r="U5573">
        <v>149</v>
      </c>
      <c r="V5573">
        <v>103.87350000000001</v>
      </c>
      <c r="W5573">
        <v>377.27</v>
      </c>
      <c r="X5573">
        <v>0</v>
      </c>
      <c r="Y5573">
        <v>0</v>
      </c>
      <c r="Z5573">
        <v>15477.15</v>
      </c>
      <c r="AA5573">
        <v>15854.42</v>
      </c>
      <c r="AB5573" s="12" t="s">
        <v>5424</v>
      </c>
      <c r="AC5573">
        <v>103.87350000000001</v>
      </c>
      <c r="AD5573">
        <v>1</v>
      </c>
      <c r="AE5573">
        <v>1</v>
      </c>
      <c r="AF5573">
        <v>0</v>
      </c>
      <c r="AG5573">
        <v>15477.15</v>
      </c>
      <c r="AH5573">
        <v>149</v>
      </c>
      <c r="AI5573">
        <v>148</v>
      </c>
      <c r="AJ5573">
        <v>1</v>
      </c>
      <c r="AK5573">
        <v>1</v>
      </c>
      <c r="AL5573">
        <v>1</v>
      </c>
      <c r="AM5573">
        <v>99.33</v>
      </c>
      <c r="AN5573">
        <v>107.1245</v>
      </c>
      <c r="AO5573">
        <v>103.87</v>
      </c>
      <c r="AP5573" s="13">
        <v>45932</v>
      </c>
      <c r="AQ5573">
        <v>-2</v>
      </c>
      <c r="AR5573">
        <v>1</v>
      </c>
    </row>
    <row r="5574" spans="1:44" x14ac:dyDescent="0.35">
      <c r="A5574" s="12" t="s">
        <v>6678</v>
      </c>
      <c r="B5574" s="12" t="s">
        <v>399</v>
      </c>
      <c r="C5574" s="12" t="s">
        <v>400</v>
      </c>
      <c r="D5574" s="12" t="s">
        <v>114</v>
      </c>
      <c r="E5574" s="12" t="s">
        <v>65</v>
      </c>
      <c r="F5574">
        <v>1</v>
      </c>
      <c r="G5574">
        <v>2</v>
      </c>
      <c r="H5574">
        <v>1</v>
      </c>
      <c r="I5574" s="12" t="s">
        <v>151</v>
      </c>
      <c r="J5574" s="12" t="s">
        <v>152</v>
      </c>
      <c r="K5574" s="12" t="s">
        <v>125</v>
      </c>
      <c r="L5574" s="12" t="s">
        <v>69</v>
      </c>
      <c r="M5574">
        <v>36.479999999999997</v>
      </c>
      <c r="N5574" s="12" t="s">
        <v>97</v>
      </c>
      <c r="O5574" s="12" t="s">
        <v>98</v>
      </c>
      <c r="P5574" s="12" t="s">
        <v>72</v>
      </c>
      <c r="Q5574" s="13">
        <v>45896</v>
      </c>
      <c r="R5574" s="13">
        <v>45923</v>
      </c>
      <c r="S5574">
        <v>2025</v>
      </c>
      <c r="T5574" s="12" t="s">
        <v>6515</v>
      </c>
      <c r="U5574">
        <v>63</v>
      </c>
      <c r="V5574">
        <v>312.84320000000002</v>
      </c>
      <c r="W5574">
        <v>393</v>
      </c>
      <c r="X5574">
        <v>0</v>
      </c>
      <c r="Y5574">
        <v>0</v>
      </c>
      <c r="Z5574">
        <v>19709.12</v>
      </c>
      <c r="AA5574">
        <v>20102.12</v>
      </c>
      <c r="AB5574" s="12" t="s">
        <v>201</v>
      </c>
      <c r="AD5574">
        <v>0</v>
      </c>
      <c r="AE5574">
        <v>0</v>
      </c>
      <c r="AH5574">
        <v>63</v>
      </c>
      <c r="AI5574">
        <v>62</v>
      </c>
      <c r="AJ5574">
        <v>1</v>
      </c>
      <c r="AK5574">
        <v>1</v>
      </c>
      <c r="AL5574">
        <v>1</v>
      </c>
      <c r="AM5574">
        <v>98.41</v>
      </c>
      <c r="AN5574">
        <v>324.2278</v>
      </c>
      <c r="AO5574">
        <v>312.83999999999997</v>
      </c>
      <c r="AP5574" s="13">
        <v>45923</v>
      </c>
      <c r="AQ5574">
        <v>0</v>
      </c>
      <c r="AR5574">
        <v>1</v>
      </c>
    </row>
    <row r="5575" spans="1:44" x14ac:dyDescent="0.35">
      <c r="A5575" s="12" t="s">
        <v>6679</v>
      </c>
      <c r="B5575" s="12" t="s">
        <v>249</v>
      </c>
      <c r="C5575" s="12" t="s">
        <v>250</v>
      </c>
      <c r="D5575" s="12" t="s">
        <v>64</v>
      </c>
      <c r="E5575" s="12" t="s">
        <v>65</v>
      </c>
      <c r="F5575">
        <v>2</v>
      </c>
      <c r="G5575">
        <v>3</v>
      </c>
      <c r="H5575">
        <v>0</v>
      </c>
      <c r="I5575" s="12" t="s">
        <v>251</v>
      </c>
      <c r="J5575" s="12" t="s">
        <v>252</v>
      </c>
      <c r="K5575" s="12" t="s">
        <v>133</v>
      </c>
      <c r="L5575" s="12" t="s">
        <v>69</v>
      </c>
      <c r="M5575">
        <v>34.49</v>
      </c>
      <c r="N5575" s="12" t="s">
        <v>70</v>
      </c>
      <c r="O5575" s="12" t="s">
        <v>71</v>
      </c>
      <c r="P5575" s="12" t="s">
        <v>72</v>
      </c>
      <c r="Q5575" s="13">
        <v>45896</v>
      </c>
      <c r="R5575" s="13">
        <v>45929</v>
      </c>
      <c r="S5575">
        <v>2025</v>
      </c>
      <c r="T5575" s="12" t="s">
        <v>6515</v>
      </c>
      <c r="U5575">
        <v>704</v>
      </c>
      <c r="V5575">
        <v>9.9464000000000006</v>
      </c>
      <c r="W5575">
        <v>43.4</v>
      </c>
      <c r="X5575">
        <v>0</v>
      </c>
      <c r="Y5575">
        <v>0</v>
      </c>
      <c r="Z5575">
        <v>7002.27</v>
      </c>
      <c r="AA5575">
        <v>7045.67</v>
      </c>
      <c r="AB5575" s="12" t="s">
        <v>5207</v>
      </c>
      <c r="AC5575">
        <v>9.9464000000000006</v>
      </c>
      <c r="AD5575">
        <v>1</v>
      </c>
      <c r="AE5575">
        <v>1</v>
      </c>
      <c r="AF5575">
        <v>0</v>
      </c>
      <c r="AG5575">
        <v>7002.27</v>
      </c>
      <c r="AH5575">
        <v>704</v>
      </c>
      <c r="AI5575">
        <v>693</v>
      </c>
      <c r="AJ5575">
        <v>11</v>
      </c>
      <c r="AK5575">
        <v>1</v>
      </c>
      <c r="AL5575">
        <v>1</v>
      </c>
      <c r="AM5575">
        <v>98.44</v>
      </c>
      <c r="AN5575">
        <v>10.1669</v>
      </c>
      <c r="AO5575">
        <v>109.41</v>
      </c>
      <c r="AP5575" s="13">
        <v>45929</v>
      </c>
      <c r="AQ5575">
        <v>0</v>
      </c>
      <c r="AR5575">
        <v>1</v>
      </c>
    </row>
    <row r="5576" spans="1:44" x14ac:dyDescent="0.35">
      <c r="A5576" s="12" t="s">
        <v>6680</v>
      </c>
      <c r="B5576" s="12" t="s">
        <v>155</v>
      </c>
      <c r="C5576" s="12" t="s">
        <v>156</v>
      </c>
      <c r="D5576" s="12" t="s">
        <v>130</v>
      </c>
      <c r="E5576" s="12" t="s">
        <v>104</v>
      </c>
      <c r="F5576">
        <v>3</v>
      </c>
      <c r="G5576">
        <v>1</v>
      </c>
      <c r="H5576">
        <v>0</v>
      </c>
      <c r="I5576" s="12" t="s">
        <v>131</v>
      </c>
      <c r="J5576" s="12" t="s">
        <v>132</v>
      </c>
      <c r="K5576" s="12" t="s">
        <v>133</v>
      </c>
      <c r="L5576" s="12" t="s">
        <v>134</v>
      </c>
      <c r="M5576">
        <v>1.51</v>
      </c>
      <c r="N5576" s="12" t="s">
        <v>159</v>
      </c>
      <c r="O5576" s="12" t="s">
        <v>160</v>
      </c>
      <c r="P5576" s="12" t="s">
        <v>137</v>
      </c>
      <c r="Q5576" s="13">
        <v>45896</v>
      </c>
      <c r="R5576" s="13">
        <v>45920</v>
      </c>
      <c r="S5576">
        <v>2025</v>
      </c>
      <c r="T5576" s="12" t="s">
        <v>6515</v>
      </c>
      <c r="U5576">
        <v>107</v>
      </c>
      <c r="V5576">
        <v>148.30959999999999</v>
      </c>
      <c r="W5576">
        <v>285.73</v>
      </c>
      <c r="X5576">
        <v>0</v>
      </c>
      <c r="Y5576">
        <v>0</v>
      </c>
      <c r="Z5576">
        <v>15869.13</v>
      </c>
      <c r="AA5576">
        <v>16154.86</v>
      </c>
      <c r="AB5576" s="12" t="s">
        <v>6681</v>
      </c>
      <c r="AC5576">
        <v>148.30959999999999</v>
      </c>
      <c r="AD5576">
        <v>1</v>
      </c>
      <c r="AE5576">
        <v>1</v>
      </c>
      <c r="AF5576">
        <v>0</v>
      </c>
      <c r="AG5576">
        <v>15869.13</v>
      </c>
      <c r="AH5576">
        <v>107</v>
      </c>
      <c r="AI5576">
        <v>96</v>
      </c>
      <c r="AJ5576">
        <v>11</v>
      </c>
      <c r="AK5576">
        <v>1</v>
      </c>
      <c r="AL5576">
        <v>1</v>
      </c>
      <c r="AM5576">
        <v>89.72</v>
      </c>
      <c r="AN5576">
        <v>168.27979999999999</v>
      </c>
      <c r="AO5576">
        <v>1631.41</v>
      </c>
      <c r="AP5576" s="13">
        <v>45919</v>
      </c>
      <c r="AQ5576">
        <v>-1</v>
      </c>
      <c r="AR5576">
        <v>1</v>
      </c>
    </row>
    <row r="5577" spans="1:44" x14ac:dyDescent="0.35">
      <c r="A5577" s="12" t="s">
        <v>6682</v>
      </c>
      <c r="B5577" s="12" t="s">
        <v>128</v>
      </c>
      <c r="C5577" s="12" t="s">
        <v>129</v>
      </c>
      <c r="D5577" s="12" t="s">
        <v>130</v>
      </c>
      <c r="E5577" s="12" t="s">
        <v>65</v>
      </c>
      <c r="F5577">
        <v>3</v>
      </c>
      <c r="G5577">
        <v>5</v>
      </c>
      <c r="H5577">
        <v>0</v>
      </c>
      <c r="I5577" s="12" t="s">
        <v>131</v>
      </c>
      <c r="J5577" s="12" t="s">
        <v>132</v>
      </c>
      <c r="K5577" s="12" t="s">
        <v>133</v>
      </c>
      <c r="L5577" s="12" t="s">
        <v>134</v>
      </c>
      <c r="M5577">
        <v>1.51</v>
      </c>
      <c r="N5577" s="12" t="s">
        <v>135</v>
      </c>
      <c r="O5577" s="12" t="s">
        <v>136</v>
      </c>
      <c r="P5577" s="12" t="s">
        <v>137</v>
      </c>
      <c r="Q5577" s="13">
        <v>45896</v>
      </c>
      <c r="R5577" s="13">
        <v>45918</v>
      </c>
      <c r="S5577">
        <v>2025</v>
      </c>
      <c r="T5577" s="12" t="s">
        <v>6515</v>
      </c>
      <c r="U5577">
        <v>23</v>
      </c>
      <c r="V5577">
        <v>357.3963</v>
      </c>
      <c r="W5577">
        <v>139.61000000000001</v>
      </c>
      <c r="X5577">
        <v>289.61</v>
      </c>
      <c r="Y5577">
        <v>1</v>
      </c>
      <c r="Z5577">
        <v>8220.11</v>
      </c>
      <c r="AA5577">
        <v>8649.33</v>
      </c>
      <c r="AB5577" s="12" t="s">
        <v>201</v>
      </c>
      <c r="AD5577">
        <v>0</v>
      </c>
      <c r="AE5577">
        <v>0</v>
      </c>
      <c r="AH5577">
        <v>23</v>
      </c>
      <c r="AI5577">
        <v>21</v>
      </c>
      <c r="AJ5577">
        <v>2</v>
      </c>
      <c r="AK5577">
        <v>1</v>
      </c>
      <c r="AL5577">
        <v>1</v>
      </c>
      <c r="AM5577">
        <v>91.3</v>
      </c>
      <c r="AN5577">
        <v>411.87310000000002</v>
      </c>
      <c r="AO5577">
        <v>714.79</v>
      </c>
      <c r="AP5577" s="13">
        <v>45916</v>
      </c>
      <c r="AQ5577">
        <v>-2</v>
      </c>
      <c r="AR5577">
        <v>1</v>
      </c>
    </row>
    <row r="5578" spans="1:44" x14ac:dyDescent="0.35">
      <c r="A5578" s="12" t="s">
        <v>6683</v>
      </c>
      <c r="B5578" s="12" t="s">
        <v>1013</v>
      </c>
      <c r="C5578" s="12" t="s">
        <v>1014</v>
      </c>
      <c r="D5578" s="12" t="s">
        <v>78</v>
      </c>
      <c r="E5578" s="12" t="s">
        <v>65</v>
      </c>
      <c r="F5578">
        <v>2</v>
      </c>
      <c r="G5578">
        <v>3</v>
      </c>
      <c r="H5578">
        <v>0</v>
      </c>
      <c r="I5578" s="12" t="s">
        <v>123</v>
      </c>
      <c r="J5578" s="12" t="s">
        <v>124</v>
      </c>
      <c r="K5578" s="12" t="s">
        <v>125</v>
      </c>
      <c r="L5578" s="12" t="s">
        <v>82</v>
      </c>
      <c r="M5578">
        <v>6.75</v>
      </c>
      <c r="N5578" s="12" t="s">
        <v>97</v>
      </c>
      <c r="O5578" s="12" t="s">
        <v>98</v>
      </c>
      <c r="P5578" s="12" t="s">
        <v>72</v>
      </c>
      <c r="Q5578" s="13">
        <v>45896</v>
      </c>
      <c r="R5578" s="13">
        <v>45924</v>
      </c>
      <c r="S5578">
        <v>2025</v>
      </c>
      <c r="T5578" s="12" t="s">
        <v>6515</v>
      </c>
      <c r="U5578">
        <v>148</v>
      </c>
      <c r="V5578">
        <v>124.94710000000001</v>
      </c>
      <c r="W5578">
        <v>291.99</v>
      </c>
      <c r="X5578">
        <v>0</v>
      </c>
      <c r="Y5578">
        <v>0</v>
      </c>
      <c r="Z5578">
        <v>18492.169999999998</v>
      </c>
      <c r="AA5578">
        <v>18784.16</v>
      </c>
      <c r="AB5578" s="12" t="s">
        <v>6350</v>
      </c>
      <c r="AC5578">
        <v>124.94710000000001</v>
      </c>
      <c r="AD5578">
        <v>1</v>
      </c>
      <c r="AE5578">
        <v>1</v>
      </c>
      <c r="AF5578">
        <v>0</v>
      </c>
      <c r="AG5578">
        <v>18492.169999999998</v>
      </c>
      <c r="AH5578">
        <v>148</v>
      </c>
      <c r="AI5578">
        <v>147</v>
      </c>
      <c r="AJ5578">
        <v>1</v>
      </c>
      <c r="AK5578">
        <v>1</v>
      </c>
      <c r="AL5578">
        <v>1</v>
      </c>
      <c r="AM5578">
        <v>99.32</v>
      </c>
      <c r="AN5578">
        <v>127.7834</v>
      </c>
      <c r="AO5578">
        <v>124.95</v>
      </c>
      <c r="AP5578" s="13">
        <v>45924</v>
      </c>
      <c r="AQ5578">
        <v>0</v>
      </c>
      <c r="AR5578">
        <v>1</v>
      </c>
    </row>
    <row r="5579" spans="1:44" x14ac:dyDescent="0.35">
      <c r="A5579" s="12" t="s">
        <v>6684</v>
      </c>
      <c r="B5579" s="12" t="s">
        <v>350</v>
      </c>
      <c r="C5579" s="12" t="s">
        <v>351</v>
      </c>
      <c r="D5579" s="12" t="s">
        <v>64</v>
      </c>
      <c r="E5579" s="12" t="s">
        <v>104</v>
      </c>
      <c r="F5579">
        <v>3</v>
      </c>
      <c r="G5579">
        <v>1</v>
      </c>
      <c r="H5579">
        <v>0</v>
      </c>
      <c r="I5579" s="12" t="s">
        <v>486</v>
      </c>
      <c r="J5579" s="12" t="s">
        <v>487</v>
      </c>
      <c r="K5579" s="12" t="s">
        <v>125</v>
      </c>
      <c r="L5579" s="12" t="s">
        <v>69</v>
      </c>
      <c r="M5579">
        <v>36.86</v>
      </c>
      <c r="N5579" s="12" t="s">
        <v>97</v>
      </c>
      <c r="O5579" s="12" t="s">
        <v>98</v>
      </c>
      <c r="P5579" s="12" t="s">
        <v>72</v>
      </c>
      <c r="Q5579" s="13">
        <v>45897</v>
      </c>
      <c r="R5579" s="13">
        <v>45911</v>
      </c>
      <c r="S5579">
        <v>2025</v>
      </c>
      <c r="T5579" s="12" t="s">
        <v>6515</v>
      </c>
      <c r="U5579">
        <v>206</v>
      </c>
      <c r="V5579">
        <v>8.2452000000000005</v>
      </c>
      <c r="W5579">
        <v>28.06</v>
      </c>
      <c r="X5579">
        <v>0</v>
      </c>
      <c r="Y5579">
        <v>0</v>
      </c>
      <c r="Z5579">
        <v>1698.51</v>
      </c>
      <c r="AA5579">
        <v>1726.57</v>
      </c>
      <c r="AB5579" s="12" t="s">
        <v>5628</v>
      </c>
      <c r="AC5579">
        <v>8.2452000000000005</v>
      </c>
      <c r="AD5579">
        <v>1</v>
      </c>
      <c r="AE5579">
        <v>1</v>
      </c>
      <c r="AF5579">
        <v>0</v>
      </c>
      <c r="AG5579">
        <v>1698.51</v>
      </c>
      <c r="AH5579">
        <v>206</v>
      </c>
      <c r="AI5579">
        <v>203</v>
      </c>
      <c r="AJ5579">
        <v>3</v>
      </c>
      <c r="AK5579">
        <v>1</v>
      </c>
      <c r="AL5579">
        <v>1</v>
      </c>
      <c r="AM5579">
        <v>98.54</v>
      </c>
      <c r="AN5579">
        <v>8.5053000000000001</v>
      </c>
      <c r="AO5579">
        <v>24.74</v>
      </c>
      <c r="AP5579" s="13">
        <v>45910</v>
      </c>
      <c r="AQ5579">
        <v>-1</v>
      </c>
      <c r="AR5579">
        <v>1</v>
      </c>
    </row>
    <row r="5580" spans="1:44" x14ac:dyDescent="0.35">
      <c r="A5580" s="12" t="s">
        <v>6685</v>
      </c>
      <c r="B5580" s="12" t="s">
        <v>399</v>
      </c>
      <c r="C5580" s="12" t="s">
        <v>400</v>
      </c>
      <c r="D5580" s="12" t="s">
        <v>114</v>
      </c>
      <c r="E5580" s="12" t="s">
        <v>65</v>
      </c>
      <c r="F5580">
        <v>1</v>
      </c>
      <c r="G5580">
        <v>2</v>
      </c>
      <c r="H5580">
        <v>1</v>
      </c>
      <c r="I5580" s="12" t="s">
        <v>151</v>
      </c>
      <c r="J5580" s="12" t="s">
        <v>152</v>
      </c>
      <c r="K5580" s="12" t="s">
        <v>125</v>
      </c>
      <c r="L5580" s="12" t="s">
        <v>69</v>
      </c>
      <c r="M5580">
        <v>36.479999999999997</v>
      </c>
      <c r="N5580" s="12" t="s">
        <v>97</v>
      </c>
      <c r="O5580" s="12" t="s">
        <v>98</v>
      </c>
      <c r="P5580" s="12" t="s">
        <v>72</v>
      </c>
      <c r="Q5580" s="13">
        <v>45897</v>
      </c>
      <c r="R5580" s="13">
        <v>45924</v>
      </c>
      <c r="S5580">
        <v>2025</v>
      </c>
      <c r="T5580" s="12" t="s">
        <v>6515</v>
      </c>
      <c r="U5580">
        <v>59</v>
      </c>
      <c r="V5580">
        <v>321.1266</v>
      </c>
      <c r="W5580">
        <v>319.14999999999998</v>
      </c>
      <c r="X5580">
        <v>0</v>
      </c>
      <c r="Y5580">
        <v>0</v>
      </c>
      <c r="Z5580">
        <v>18946.47</v>
      </c>
      <c r="AA5580">
        <v>19265.62</v>
      </c>
      <c r="AB5580" s="12" t="s">
        <v>201</v>
      </c>
      <c r="AD5580">
        <v>0</v>
      </c>
      <c r="AE5580">
        <v>0</v>
      </c>
      <c r="AH5580">
        <v>59</v>
      </c>
      <c r="AI5580">
        <v>59</v>
      </c>
      <c r="AJ5580">
        <v>0</v>
      </c>
      <c r="AK5580">
        <v>1</v>
      </c>
      <c r="AL5580">
        <v>1</v>
      </c>
      <c r="AM5580">
        <v>100</v>
      </c>
      <c r="AN5580">
        <v>326.53590000000003</v>
      </c>
      <c r="AO5580">
        <v>0</v>
      </c>
      <c r="AP5580" s="13">
        <v>45921</v>
      </c>
      <c r="AQ5580">
        <v>-3</v>
      </c>
      <c r="AR5580">
        <v>1</v>
      </c>
    </row>
    <row r="5581" spans="1:44" x14ac:dyDescent="0.35">
      <c r="A5581" s="12" t="s">
        <v>6686</v>
      </c>
      <c r="B5581" s="12" t="s">
        <v>909</v>
      </c>
      <c r="C5581" s="12" t="s">
        <v>910</v>
      </c>
      <c r="D5581" s="12" t="s">
        <v>269</v>
      </c>
      <c r="E5581" s="12" t="s">
        <v>65</v>
      </c>
      <c r="F5581">
        <v>3</v>
      </c>
      <c r="G5581">
        <v>4</v>
      </c>
      <c r="H5581">
        <v>0</v>
      </c>
      <c r="I5581" s="12" t="s">
        <v>123</v>
      </c>
      <c r="J5581" s="12" t="s">
        <v>124</v>
      </c>
      <c r="K5581" s="12" t="s">
        <v>125</v>
      </c>
      <c r="L5581" s="12" t="s">
        <v>82</v>
      </c>
      <c r="M5581">
        <v>6.75</v>
      </c>
      <c r="N5581" s="12" t="s">
        <v>159</v>
      </c>
      <c r="O5581" s="12" t="s">
        <v>160</v>
      </c>
      <c r="P5581" s="12" t="s">
        <v>137</v>
      </c>
      <c r="Q5581" s="13">
        <v>45897</v>
      </c>
      <c r="R5581" s="13">
        <v>45929</v>
      </c>
      <c r="S5581">
        <v>2025</v>
      </c>
      <c r="T5581" s="12" t="s">
        <v>6515</v>
      </c>
      <c r="U5581">
        <v>97</v>
      </c>
      <c r="V5581">
        <v>98.834100000000007</v>
      </c>
      <c r="W5581">
        <v>124.33</v>
      </c>
      <c r="X5581">
        <v>0</v>
      </c>
      <c r="Y5581">
        <v>0</v>
      </c>
      <c r="Z5581">
        <v>9586.91</v>
      </c>
      <c r="AA5581">
        <v>9711.24</v>
      </c>
      <c r="AB5581" s="12" t="s">
        <v>201</v>
      </c>
      <c r="AD5581">
        <v>0</v>
      </c>
      <c r="AE5581">
        <v>0</v>
      </c>
      <c r="AH5581">
        <v>97</v>
      </c>
      <c r="AI5581">
        <v>96</v>
      </c>
      <c r="AJ5581">
        <v>1</v>
      </c>
      <c r="AK5581">
        <v>1</v>
      </c>
      <c r="AL5581">
        <v>1</v>
      </c>
      <c r="AM5581">
        <v>98.97</v>
      </c>
      <c r="AN5581">
        <v>101.1587</v>
      </c>
      <c r="AO5581">
        <v>98.83</v>
      </c>
      <c r="AP5581" s="13">
        <v>45928</v>
      </c>
      <c r="AQ5581">
        <v>-1</v>
      </c>
      <c r="AR5581">
        <v>1</v>
      </c>
    </row>
    <row r="5582" spans="1:44" x14ac:dyDescent="0.35">
      <c r="A5582" s="12" t="s">
        <v>6687</v>
      </c>
      <c r="B5582" s="12" t="s">
        <v>249</v>
      </c>
      <c r="C5582" s="12" t="s">
        <v>250</v>
      </c>
      <c r="D5582" s="12" t="s">
        <v>64</v>
      </c>
      <c r="E5582" s="12" t="s">
        <v>65</v>
      </c>
      <c r="F5582">
        <v>2</v>
      </c>
      <c r="G5582">
        <v>3</v>
      </c>
      <c r="H5582">
        <v>0</v>
      </c>
      <c r="I5582" s="12" t="s">
        <v>183</v>
      </c>
      <c r="J5582" s="12" t="s">
        <v>184</v>
      </c>
      <c r="K5582" s="12" t="s">
        <v>133</v>
      </c>
      <c r="L5582" s="12" t="s">
        <v>82</v>
      </c>
      <c r="M5582">
        <v>8.6199999999999992</v>
      </c>
      <c r="N5582" s="12" t="s">
        <v>97</v>
      </c>
      <c r="O5582" s="12" t="s">
        <v>98</v>
      </c>
      <c r="P5582" s="12" t="s">
        <v>72</v>
      </c>
      <c r="Q5582" s="13">
        <v>45897</v>
      </c>
      <c r="R5582" s="13">
        <v>45929</v>
      </c>
      <c r="S5582">
        <v>2025</v>
      </c>
      <c r="T5582" s="12" t="s">
        <v>6515</v>
      </c>
      <c r="U5582">
        <v>685</v>
      </c>
      <c r="V5582">
        <v>9.1478999999999999</v>
      </c>
      <c r="W5582">
        <v>83.78</v>
      </c>
      <c r="X5582">
        <v>0</v>
      </c>
      <c r="Y5582">
        <v>0</v>
      </c>
      <c r="Z5582">
        <v>6266.31</v>
      </c>
      <c r="AA5582">
        <v>6350.09</v>
      </c>
      <c r="AB5582" s="12" t="s">
        <v>5480</v>
      </c>
      <c r="AC5582">
        <v>9.1478999999999999</v>
      </c>
      <c r="AD5582">
        <v>1</v>
      </c>
      <c r="AE5582">
        <v>1</v>
      </c>
      <c r="AF5582">
        <v>0</v>
      </c>
      <c r="AG5582">
        <v>6266.31</v>
      </c>
      <c r="AH5582">
        <v>685</v>
      </c>
      <c r="AI5582">
        <v>682</v>
      </c>
      <c r="AJ5582">
        <v>3</v>
      </c>
      <c r="AK5582">
        <v>1</v>
      </c>
      <c r="AL5582">
        <v>1</v>
      </c>
      <c r="AM5582">
        <v>99.56</v>
      </c>
      <c r="AN5582">
        <v>9.3109999999999999</v>
      </c>
      <c r="AO5582">
        <v>27.44</v>
      </c>
      <c r="AP5582" s="13">
        <v>45926</v>
      </c>
      <c r="AQ5582">
        <v>-3</v>
      </c>
      <c r="AR5582">
        <v>1</v>
      </c>
    </row>
    <row r="5583" spans="1:44" x14ac:dyDescent="0.35">
      <c r="A5583" s="12" t="s">
        <v>6688</v>
      </c>
      <c r="B5583" s="12" t="s">
        <v>267</v>
      </c>
      <c r="C5583" s="12" t="s">
        <v>268</v>
      </c>
      <c r="D5583" s="12" t="s">
        <v>269</v>
      </c>
      <c r="E5583" s="12" t="s">
        <v>142</v>
      </c>
      <c r="F5583">
        <v>1</v>
      </c>
      <c r="G5583">
        <v>8</v>
      </c>
      <c r="H5583">
        <v>1</v>
      </c>
      <c r="I5583" s="12" t="s">
        <v>94</v>
      </c>
      <c r="J5583" s="12" t="s">
        <v>95</v>
      </c>
      <c r="K5583" s="12" t="s">
        <v>81</v>
      </c>
      <c r="L5583" s="12" t="s">
        <v>96</v>
      </c>
      <c r="M5583">
        <v>4.8099999999999996</v>
      </c>
      <c r="N5583" s="12" t="s">
        <v>135</v>
      </c>
      <c r="O5583" s="12" t="s">
        <v>136</v>
      </c>
      <c r="P5583" s="12" t="s">
        <v>137</v>
      </c>
      <c r="Q5583" s="13">
        <v>45897</v>
      </c>
      <c r="R5583" s="13">
        <v>45934</v>
      </c>
      <c r="S5583">
        <v>2025</v>
      </c>
      <c r="T5583" s="12" t="s">
        <v>6515</v>
      </c>
      <c r="U5583">
        <v>29</v>
      </c>
      <c r="V5583">
        <v>218.8047</v>
      </c>
      <c r="W5583">
        <v>122.27</v>
      </c>
      <c r="X5583">
        <v>0</v>
      </c>
      <c r="Y5583">
        <v>0</v>
      </c>
      <c r="Z5583">
        <v>6345.34</v>
      </c>
      <c r="AA5583">
        <v>6467.61</v>
      </c>
      <c r="AB5583" s="12" t="s">
        <v>201</v>
      </c>
      <c r="AD5583">
        <v>0</v>
      </c>
      <c r="AE5583">
        <v>0</v>
      </c>
      <c r="AH5583">
        <v>29</v>
      </c>
      <c r="AI5583">
        <v>29</v>
      </c>
      <c r="AJ5583">
        <v>0</v>
      </c>
      <c r="AK5583">
        <v>1</v>
      </c>
      <c r="AL5583">
        <v>1</v>
      </c>
      <c r="AM5583">
        <v>100</v>
      </c>
      <c r="AN5583">
        <v>223.02090000000001</v>
      </c>
      <c r="AO5583">
        <v>0</v>
      </c>
      <c r="AP5583" s="13">
        <v>45932</v>
      </c>
      <c r="AQ5583">
        <v>-2</v>
      </c>
      <c r="AR5583">
        <v>1</v>
      </c>
    </row>
    <row r="5584" spans="1:44" x14ac:dyDescent="0.35">
      <c r="A5584" s="12" t="s">
        <v>6689</v>
      </c>
      <c r="B5584" s="12" t="s">
        <v>661</v>
      </c>
      <c r="C5584" s="12" t="s">
        <v>662</v>
      </c>
      <c r="D5584" s="12" t="s">
        <v>175</v>
      </c>
      <c r="E5584" s="12" t="s">
        <v>104</v>
      </c>
      <c r="F5584">
        <v>1</v>
      </c>
      <c r="G5584">
        <v>0</v>
      </c>
      <c r="H5584">
        <v>1</v>
      </c>
      <c r="I5584" s="12" t="s">
        <v>183</v>
      </c>
      <c r="J5584" s="12" t="s">
        <v>184</v>
      </c>
      <c r="K5584" s="12" t="s">
        <v>133</v>
      </c>
      <c r="L5584" s="12" t="s">
        <v>82</v>
      </c>
      <c r="M5584">
        <v>8.6199999999999992</v>
      </c>
      <c r="N5584" s="12" t="s">
        <v>107</v>
      </c>
      <c r="O5584" s="12" t="s">
        <v>108</v>
      </c>
      <c r="P5584" s="12" t="s">
        <v>109</v>
      </c>
      <c r="Q5584" s="13">
        <v>45897</v>
      </c>
      <c r="R5584" s="13">
        <v>45912</v>
      </c>
      <c r="S5584">
        <v>2025</v>
      </c>
      <c r="T5584" s="12" t="s">
        <v>6515</v>
      </c>
      <c r="U5584">
        <v>35</v>
      </c>
      <c r="V5584">
        <v>166.30070000000001</v>
      </c>
      <c r="W5584">
        <v>95.93</v>
      </c>
      <c r="X5584">
        <v>201.36</v>
      </c>
      <c r="Y5584">
        <v>1</v>
      </c>
      <c r="Z5584">
        <v>5820.52</v>
      </c>
      <c r="AA5584">
        <v>6117.81</v>
      </c>
      <c r="AB5584" s="12" t="s">
        <v>5336</v>
      </c>
      <c r="AC5584">
        <v>166.30070000000001</v>
      </c>
      <c r="AD5584">
        <v>1</v>
      </c>
      <c r="AE5584">
        <v>1</v>
      </c>
      <c r="AF5584">
        <v>0</v>
      </c>
      <c r="AG5584">
        <v>5820.52</v>
      </c>
      <c r="AH5584">
        <v>35</v>
      </c>
      <c r="AI5584">
        <v>35</v>
      </c>
      <c r="AJ5584">
        <v>0</v>
      </c>
      <c r="AK5584">
        <v>1</v>
      </c>
      <c r="AL5584">
        <v>1</v>
      </c>
      <c r="AM5584">
        <v>100</v>
      </c>
      <c r="AN5584">
        <v>174.79470000000001</v>
      </c>
      <c r="AO5584">
        <v>0</v>
      </c>
      <c r="AP5584" s="13">
        <v>45921</v>
      </c>
      <c r="AQ5584">
        <v>9</v>
      </c>
      <c r="AR5584">
        <v>0</v>
      </c>
    </row>
    <row r="5585" spans="1:44" x14ac:dyDescent="0.35">
      <c r="A5585" s="12" t="s">
        <v>6690</v>
      </c>
      <c r="B5585" s="12" t="s">
        <v>458</v>
      </c>
      <c r="C5585" s="12" t="s">
        <v>459</v>
      </c>
      <c r="D5585" s="12" t="s">
        <v>64</v>
      </c>
      <c r="E5585" s="12" t="s">
        <v>104</v>
      </c>
      <c r="F5585">
        <v>2</v>
      </c>
      <c r="G5585">
        <v>0</v>
      </c>
      <c r="H5585">
        <v>0</v>
      </c>
      <c r="I5585" s="12" t="s">
        <v>143</v>
      </c>
      <c r="J5585" s="12" t="s">
        <v>144</v>
      </c>
      <c r="K5585" s="12" t="s">
        <v>133</v>
      </c>
      <c r="L5585" s="12" t="s">
        <v>96</v>
      </c>
      <c r="M5585">
        <v>5.43</v>
      </c>
      <c r="N5585" s="12" t="s">
        <v>97</v>
      </c>
      <c r="O5585" s="12" t="s">
        <v>98</v>
      </c>
      <c r="P5585" s="12" t="s">
        <v>72</v>
      </c>
      <c r="Q5585" s="13">
        <v>45897</v>
      </c>
      <c r="R5585" s="13">
        <v>45926</v>
      </c>
      <c r="S5585">
        <v>2025</v>
      </c>
      <c r="T5585" s="12" t="s">
        <v>6515</v>
      </c>
      <c r="U5585">
        <v>988</v>
      </c>
      <c r="V5585">
        <v>23.3566</v>
      </c>
      <c r="W5585">
        <v>508.34</v>
      </c>
      <c r="X5585">
        <v>0</v>
      </c>
      <c r="Y5585">
        <v>0</v>
      </c>
      <c r="Z5585">
        <v>23076.32</v>
      </c>
      <c r="AA5585">
        <v>23584.66</v>
      </c>
      <c r="AB5585" s="12" t="s">
        <v>5547</v>
      </c>
      <c r="AC5585">
        <v>23.3566</v>
      </c>
      <c r="AD5585">
        <v>1</v>
      </c>
      <c r="AE5585">
        <v>1</v>
      </c>
      <c r="AF5585">
        <v>0</v>
      </c>
      <c r="AG5585">
        <v>23076.32</v>
      </c>
      <c r="AH5585">
        <v>988</v>
      </c>
      <c r="AI5585">
        <v>977</v>
      </c>
      <c r="AJ5585">
        <v>11</v>
      </c>
      <c r="AK5585">
        <v>1</v>
      </c>
      <c r="AL5585">
        <v>1</v>
      </c>
      <c r="AM5585">
        <v>98.89</v>
      </c>
      <c r="AN5585">
        <v>24.139900000000001</v>
      </c>
      <c r="AO5585">
        <v>256.92</v>
      </c>
      <c r="AP5585" s="13">
        <v>45926</v>
      </c>
      <c r="AQ5585">
        <v>0</v>
      </c>
      <c r="AR5585">
        <v>1</v>
      </c>
    </row>
    <row r="5586" spans="1:44" x14ac:dyDescent="0.35">
      <c r="A5586" s="12" t="s">
        <v>6691</v>
      </c>
      <c r="B5586" s="12" t="s">
        <v>215</v>
      </c>
      <c r="C5586" s="12" t="s">
        <v>216</v>
      </c>
      <c r="D5586" s="12" t="s">
        <v>122</v>
      </c>
      <c r="E5586" s="12" t="s">
        <v>142</v>
      </c>
      <c r="F5586">
        <v>3</v>
      </c>
      <c r="G5586">
        <v>11</v>
      </c>
      <c r="H5586">
        <v>0</v>
      </c>
      <c r="I5586" s="12" t="s">
        <v>310</v>
      </c>
      <c r="J5586" s="12" t="s">
        <v>311</v>
      </c>
      <c r="K5586" s="12" t="s">
        <v>81</v>
      </c>
      <c r="L5586" s="12" t="s">
        <v>69</v>
      </c>
      <c r="M5586">
        <v>28.3</v>
      </c>
      <c r="N5586" s="12" t="s">
        <v>97</v>
      </c>
      <c r="O5586" s="12" t="s">
        <v>98</v>
      </c>
      <c r="P5586" s="12" t="s">
        <v>72</v>
      </c>
      <c r="Q5586" s="13">
        <v>45897</v>
      </c>
      <c r="R5586" s="13">
        <v>45949</v>
      </c>
      <c r="S5586">
        <v>2025</v>
      </c>
      <c r="T5586" s="12" t="s">
        <v>6515</v>
      </c>
      <c r="U5586">
        <v>1945</v>
      </c>
      <c r="V5586">
        <v>14.659800000000001</v>
      </c>
      <c r="W5586">
        <v>383.56</v>
      </c>
      <c r="X5586">
        <v>0</v>
      </c>
      <c r="Y5586">
        <v>0</v>
      </c>
      <c r="Z5586">
        <v>28513.31</v>
      </c>
      <c r="AA5586">
        <v>28896.87</v>
      </c>
      <c r="AB5586" s="12" t="s">
        <v>201</v>
      </c>
      <c r="AD5586">
        <v>0</v>
      </c>
      <c r="AE5586">
        <v>0</v>
      </c>
      <c r="AH5586">
        <v>1945</v>
      </c>
      <c r="AI5586">
        <v>1940</v>
      </c>
      <c r="AJ5586">
        <v>5</v>
      </c>
      <c r="AK5586">
        <v>1</v>
      </c>
      <c r="AL5586">
        <v>1</v>
      </c>
      <c r="AM5586">
        <v>99.74</v>
      </c>
      <c r="AN5586">
        <v>14.895300000000001</v>
      </c>
      <c r="AO5586">
        <v>73.3</v>
      </c>
      <c r="AP5586" s="13">
        <v>45948</v>
      </c>
      <c r="AQ5586">
        <v>-1</v>
      </c>
      <c r="AR5586">
        <v>1</v>
      </c>
    </row>
    <row r="5587" spans="1:44" x14ac:dyDescent="0.35">
      <c r="A5587" s="12" t="s">
        <v>6692</v>
      </c>
      <c r="B5587" s="12" t="s">
        <v>494</v>
      </c>
      <c r="C5587" s="12" t="s">
        <v>495</v>
      </c>
      <c r="D5587" s="12" t="s">
        <v>175</v>
      </c>
      <c r="E5587" s="12" t="s">
        <v>65</v>
      </c>
      <c r="F5587">
        <v>2</v>
      </c>
      <c r="G5587">
        <v>3</v>
      </c>
      <c r="H5587">
        <v>0</v>
      </c>
      <c r="I5587" s="12" t="s">
        <v>275</v>
      </c>
      <c r="J5587" s="12" t="s">
        <v>276</v>
      </c>
      <c r="K5587" s="12" t="s">
        <v>89</v>
      </c>
      <c r="L5587" s="12" t="s">
        <v>82</v>
      </c>
      <c r="M5587">
        <v>14.26</v>
      </c>
      <c r="N5587" s="12" t="s">
        <v>145</v>
      </c>
      <c r="O5587" s="12" t="s">
        <v>146</v>
      </c>
      <c r="P5587" s="12" t="s">
        <v>109</v>
      </c>
      <c r="Q5587" s="13">
        <v>45897</v>
      </c>
      <c r="R5587" s="13">
        <v>45927</v>
      </c>
      <c r="S5587">
        <v>2025</v>
      </c>
      <c r="T5587" s="12" t="s">
        <v>6515</v>
      </c>
      <c r="U5587">
        <v>80</v>
      </c>
      <c r="V5587">
        <v>172.8562</v>
      </c>
      <c r="W5587">
        <v>255.79</v>
      </c>
      <c r="X5587">
        <v>0</v>
      </c>
      <c r="Y5587">
        <v>0</v>
      </c>
      <c r="Z5587">
        <v>13828.5</v>
      </c>
      <c r="AA5587">
        <v>14084.29</v>
      </c>
      <c r="AB5587" s="12" t="s">
        <v>201</v>
      </c>
      <c r="AD5587">
        <v>0</v>
      </c>
      <c r="AE5587">
        <v>0</v>
      </c>
      <c r="AH5587">
        <v>80</v>
      </c>
      <c r="AI5587">
        <v>79</v>
      </c>
      <c r="AJ5587">
        <v>1</v>
      </c>
      <c r="AK5587">
        <v>1</v>
      </c>
      <c r="AL5587">
        <v>1</v>
      </c>
      <c r="AM5587">
        <v>98.75</v>
      </c>
      <c r="AN5587">
        <v>178.28210000000001</v>
      </c>
      <c r="AO5587">
        <v>172.86</v>
      </c>
      <c r="AP5587" s="13">
        <v>45924</v>
      </c>
      <c r="AQ5587">
        <v>-3</v>
      </c>
      <c r="AR5587">
        <v>1</v>
      </c>
    </row>
    <row r="5588" spans="1:44" x14ac:dyDescent="0.35">
      <c r="A5588" s="12" t="s">
        <v>6693</v>
      </c>
      <c r="B5588" s="12" t="s">
        <v>680</v>
      </c>
      <c r="C5588" s="12" t="s">
        <v>681</v>
      </c>
      <c r="D5588" s="12" t="s">
        <v>122</v>
      </c>
      <c r="E5588" s="12" t="s">
        <v>104</v>
      </c>
      <c r="F5588">
        <v>3</v>
      </c>
      <c r="G5588">
        <v>1</v>
      </c>
      <c r="H5588">
        <v>0</v>
      </c>
      <c r="I5588" s="12" t="s">
        <v>233</v>
      </c>
      <c r="J5588" s="12" t="s">
        <v>234</v>
      </c>
      <c r="K5588" s="12" t="s">
        <v>125</v>
      </c>
      <c r="L5588" s="12" t="s">
        <v>96</v>
      </c>
      <c r="M5588">
        <v>3.73</v>
      </c>
      <c r="N5588" s="12" t="s">
        <v>97</v>
      </c>
      <c r="O5588" s="12" t="s">
        <v>98</v>
      </c>
      <c r="P5588" s="12" t="s">
        <v>72</v>
      </c>
      <c r="Q5588" s="13">
        <v>45898</v>
      </c>
      <c r="R5588" s="13">
        <v>45918</v>
      </c>
      <c r="S5588">
        <v>2025</v>
      </c>
      <c r="T5588" s="12" t="s">
        <v>6515</v>
      </c>
      <c r="U5588">
        <v>1027</v>
      </c>
      <c r="V5588">
        <v>23.895800000000001</v>
      </c>
      <c r="W5588">
        <v>429.2</v>
      </c>
      <c r="X5588">
        <v>0</v>
      </c>
      <c r="Y5588">
        <v>0</v>
      </c>
      <c r="Z5588">
        <v>24540.99</v>
      </c>
      <c r="AA5588">
        <v>24970.19</v>
      </c>
      <c r="AB5588" s="12" t="s">
        <v>201</v>
      </c>
      <c r="AD5588">
        <v>0</v>
      </c>
      <c r="AE5588">
        <v>0</v>
      </c>
      <c r="AH5588">
        <v>1027</v>
      </c>
      <c r="AI5588">
        <v>1022</v>
      </c>
      <c r="AJ5588">
        <v>5</v>
      </c>
      <c r="AK5588">
        <v>1</v>
      </c>
      <c r="AL5588">
        <v>1</v>
      </c>
      <c r="AM5588">
        <v>99.51</v>
      </c>
      <c r="AN5588">
        <v>24.432700000000001</v>
      </c>
      <c r="AO5588">
        <v>119.48</v>
      </c>
      <c r="AP5588" s="13">
        <v>45916</v>
      </c>
      <c r="AQ5588">
        <v>-2</v>
      </c>
      <c r="AR5588">
        <v>1</v>
      </c>
    </row>
    <row r="5589" spans="1:44" x14ac:dyDescent="0.35">
      <c r="A5589" s="12" t="s">
        <v>6694</v>
      </c>
      <c r="B5589" s="12" t="s">
        <v>837</v>
      </c>
      <c r="C5589" s="12" t="s">
        <v>838</v>
      </c>
      <c r="D5589" s="12" t="s">
        <v>114</v>
      </c>
      <c r="E5589" s="12" t="s">
        <v>104</v>
      </c>
      <c r="F5589">
        <v>2</v>
      </c>
      <c r="G5589">
        <v>0</v>
      </c>
      <c r="H5589">
        <v>0</v>
      </c>
      <c r="I5589" s="12" t="s">
        <v>199</v>
      </c>
      <c r="J5589" s="12" t="s">
        <v>200</v>
      </c>
      <c r="K5589" s="12" t="s">
        <v>68</v>
      </c>
      <c r="L5589" s="12" t="s">
        <v>96</v>
      </c>
      <c r="M5589">
        <v>9.4700000000000006</v>
      </c>
      <c r="N5589" s="12" t="s">
        <v>70</v>
      </c>
      <c r="O5589" s="12" t="s">
        <v>71</v>
      </c>
      <c r="P5589" s="12" t="s">
        <v>72</v>
      </c>
      <c r="Q5589" s="13">
        <v>45898</v>
      </c>
      <c r="R5589" s="13">
        <v>45910</v>
      </c>
      <c r="S5589">
        <v>2025</v>
      </c>
      <c r="T5589" s="12" t="s">
        <v>6515</v>
      </c>
      <c r="U5589">
        <v>17</v>
      </c>
      <c r="V5589">
        <v>66.785399999999996</v>
      </c>
      <c r="W5589">
        <v>8.86</v>
      </c>
      <c r="X5589">
        <v>0</v>
      </c>
      <c r="Y5589">
        <v>0</v>
      </c>
      <c r="Z5589">
        <v>1135.3499999999999</v>
      </c>
      <c r="AA5589">
        <v>1144.21</v>
      </c>
      <c r="AB5589" s="12" t="s">
        <v>5895</v>
      </c>
      <c r="AC5589">
        <v>66.785399999999996</v>
      </c>
      <c r="AD5589">
        <v>1</v>
      </c>
      <c r="AE5589">
        <v>1</v>
      </c>
      <c r="AF5589">
        <v>0</v>
      </c>
      <c r="AG5589">
        <v>1135.3499999999999</v>
      </c>
      <c r="AH5589">
        <v>17</v>
      </c>
      <c r="AI5589">
        <v>17</v>
      </c>
      <c r="AJ5589">
        <v>0</v>
      </c>
      <c r="AK5589">
        <v>1</v>
      </c>
      <c r="AL5589">
        <v>1</v>
      </c>
      <c r="AM5589">
        <v>100</v>
      </c>
      <c r="AN5589">
        <v>67.306600000000003</v>
      </c>
      <c r="AO5589">
        <v>0</v>
      </c>
      <c r="AP5589" s="13">
        <v>45919</v>
      </c>
      <c r="AQ5589">
        <v>9</v>
      </c>
      <c r="AR5589">
        <v>0</v>
      </c>
    </row>
    <row r="5590" spans="1:44" x14ac:dyDescent="0.35">
      <c r="A5590" s="12" t="s">
        <v>6695</v>
      </c>
      <c r="B5590" s="12" t="s">
        <v>646</v>
      </c>
      <c r="C5590" s="12" t="s">
        <v>647</v>
      </c>
      <c r="D5590" s="12" t="s">
        <v>175</v>
      </c>
      <c r="E5590" s="12" t="s">
        <v>104</v>
      </c>
      <c r="F5590">
        <v>3</v>
      </c>
      <c r="G5590">
        <v>1</v>
      </c>
      <c r="H5590">
        <v>0</v>
      </c>
      <c r="I5590" s="12" t="s">
        <v>243</v>
      </c>
      <c r="J5590" s="12" t="s">
        <v>244</v>
      </c>
      <c r="K5590" s="12" t="s">
        <v>81</v>
      </c>
      <c r="L5590" s="12" t="s">
        <v>82</v>
      </c>
      <c r="M5590">
        <v>9.2200000000000006</v>
      </c>
      <c r="N5590" s="12" t="s">
        <v>145</v>
      </c>
      <c r="O5590" s="12" t="s">
        <v>146</v>
      </c>
      <c r="P5590" s="12" t="s">
        <v>109</v>
      </c>
      <c r="Q5590" s="13">
        <v>45898</v>
      </c>
      <c r="R5590" s="13">
        <v>45911</v>
      </c>
      <c r="S5590">
        <v>2025</v>
      </c>
      <c r="T5590" s="12" t="s">
        <v>6515</v>
      </c>
      <c r="U5590">
        <v>23</v>
      </c>
      <c r="V5590">
        <v>216.32929999999999</v>
      </c>
      <c r="W5590">
        <v>77.180000000000007</v>
      </c>
      <c r="X5590">
        <v>0</v>
      </c>
      <c r="Y5590">
        <v>0</v>
      </c>
      <c r="Z5590">
        <v>4975.57</v>
      </c>
      <c r="AA5590">
        <v>5052.75</v>
      </c>
      <c r="AB5590" s="12" t="s">
        <v>201</v>
      </c>
      <c r="AD5590">
        <v>0</v>
      </c>
      <c r="AE5590">
        <v>0</v>
      </c>
      <c r="AH5590">
        <v>23</v>
      </c>
      <c r="AI5590">
        <v>23</v>
      </c>
      <c r="AJ5590">
        <v>0</v>
      </c>
      <c r="AK5590">
        <v>1</v>
      </c>
      <c r="AL5590">
        <v>1</v>
      </c>
      <c r="AM5590">
        <v>100</v>
      </c>
      <c r="AN5590">
        <v>219.685</v>
      </c>
      <c r="AO5590">
        <v>0</v>
      </c>
      <c r="AP5590" s="13">
        <v>45911</v>
      </c>
      <c r="AQ5590">
        <v>0</v>
      </c>
      <c r="AR5590">
        <v>1</v>
      </c>
    </row>
    <row r="5591" spans="1:44" x14ac:dyDescent="0.35">
      <c r="A5591" s="12" t="s">
        <v>6696</v>
      </c>
      <c r="B5591" s="12" t="s">
        <v>399</v>
      </c>
      <c r="C5591" s="12" t="s">
        <v>400</v>
      </c>
      <c r="D5591" s="12" t="s">
        <v>114</v>
      </c>
      <c r="E5591" s="12" t="s">
        <v>65</v>
      </c>
      <c r="F5591">
        <v>1</v>
      </c>
      <c r="G5591">
        <v>2</v>
      </c>
      <c r="H5591">
        <v>1</v>
      </c>
      <c r="I5591" s="12" t="s">
        <v>151</v>
      </c>
      <c r="J5591" s="12" t="s">
        <v>152</v>
      </c>
      <c r="K5591" s="12" t="s">
        <v>125</v>
      </c>
      <c r="L5591" s="12" t="s">
        <v>69</v>
      </c>
      <c r="M5591">
        <v>36.479999999999997</v>
      </c>
      <c r="N5591" s="12" t="s">
        <v>70</v>
      </c>
      <c r="O5591" s="12" t="s">
        <v>71</v>
      </c>
      <c r="P5591" s="12" t="s">
        <v>72</v>
      </c>
      <c r="Q5591" s="13">
        <v>45898</v>
      </c>
      <c r="R5591" s="13">
        <v>45930</v>
      </c>
      <c r="S5591">
        <v>2025</v>
      </c>
      <c r="T5591" s="12" t="s">
        <v>6515</v>
      </c>
      <c r="U5591">
        <v>101</v>
      </c>
      <c r="V5591">
        <v>325.63690000000003</v>
      </c>
      <c r="W5591">
        <v>799.1</v>
      </c>
      <c r="X5591">
        <v>0</v>
      </c>
      <c r="Y5591">
        <v>0</v>
      </c>
      <c r="Z5591">
        <v>32889.33</v>
      </c>
      <c r="AA5591">
        <v>33688.43</v>
      </c>
      <c r="AB5591" s="12" t="s">
        <v>201</v>
      </c>
      <c r="AD5591">
        <v>0</v>
      </c>
      <c r="AE5591">
        <v>0</v>
      </c>
      <c r="AH5591">
        <v>101</v>
      </c>
      <c r="AI5591">
        <v>100</v>
      </c>
      <c r="AJ5591">
        <v>1</v>
      </c>
      <c r="AK5591">
        <v>1</v>
      </c>
      <c r="AL5591">
        <v>1</v>
      </c>
      <c r="AM5591">
        <v>99.01</v>
      </c>
      <c r="AN5591">
        <v>336.8843</v>
      </c>
      <c r="AO5591">
        <v>325.64</v>
      </c>
      <c r="AP5591" s="13">
        <v>45939</v>
      </c>
      <c r="AQ5591">
        <v>9</v>
      </c>
      <c r="AR5591">
        <v>0</v>
      </c>
    </row>
    <row r="5592" spans="1:44" x14ac:dyDescent="0.35">
      <c r="A5592" s="12" t="s">
        <v>6697</v>
      </c>
      <c r="B5592" s="12" t="s">
        <v>378</v>
      </c>
      <c r="C5592" s="12" t="s">
        <v>379</v>
      </c>
      <c r="D5592" s="12" t="s">
        <v>64</v>
      </c>
      <c r="E5592" s="12" t="s">
        <v>104</v>
      </c>
      <c r="F5592">
        <v>3</v>
      </c>
      <c r="G5592">
        <v>1</v>
      </c>
      <c r="H5592">
        <v>0</v>
      </c>
      <c r="I5592" s="12" t="s">
        <v>380</v>
      </c>
      <c r="J5592" s="12" t="s">
        <v>381</v>
      </c>
      <c r="K5592" s="12" t="s">
        <v>89</v>
      </c>
      <c r="L5592" s="12" t="s">
        <v>96</v>
      </c>
      <c r="M5592">
        <v>10.210000000000001</v>
      </c>
      <c r="N5592" s="12" t="s">
        <v>70</v>
      </c>
      <c r="O5592" s="12" t="s">
        <v>71</v>
      </c>
      <c r="P5592" s="12" t="s">
        <v>72</v>
      </c>
      <c r="Q5592" s="13">
        <v>45898</v>
      </c>
      <c r="R5592" s="13">
        <v>45918</v>
      </c>
      <c r="S5592">
        <v>2025</v>
      </c>
      <c r="T5592" s="12" t="s">
        <v>6515</v>
      </c>
      <c r="U5592">
        <v>507</v>
      </c>
      <c r="V5592">
        <v>15.3193</v>
      </c>
      <c r="W5592">
        <v>177.3</v>
      </c>
      <c r="X5592">
        <v>246.71</v>
      </c>
      <c r="Y5592">
        <v>1</v>
      </c>
      <c r="Z5592">
        <v>7766.89</v>
      </c>
      <c r="AA5592">
        <v>8190.9</v>
      </c>
      <c r="AB5592" s="12" t="s">
        <v>5544</v>
      </c>
      <c r="AC5592">
        <v>15.3193</v>
      </c>
      <c r="AD5592">
        <v>1</v>
      </c>
      <c r="AE5592">
        <v>1</v>
      </c>
      <c r="AF5592">
        <v>0</v>
      </c>
      <c r="AG5592">
        <v>7766.89</v>
      </c>
      <c r="AH5592">
        <v>507</v>
      </c>
      <c r="AI5592">
        <v>500</v>
      </c>
      <c r="AJ5592">
        <v>7</v>
      </c>
      <c r="AK5592">
        <v>1</v>
      </c>
      <c r="AL5592">
        <v>1</v>
      </c>
      <c r="AM5592">
        <v>98.62</v>
      </c>
      <c r="AN5592">
        <v>16.381799999999998</v>
      </c>
      <c r="AO5592">
        <v>107.24</v>
      </c>
      <c r="AP5592" s="13">
        <v>45916</v>
      </c>
      <c r="AQ5592">
        <v>-2</v>
      </c>
      <c r="AR5592">
        <v>1</v>
      </c>
    </row>
    <row r="5593" spans="1:44" x14ac:dyDescent="0.35">
      <c r="A5593" s="12" t="s">
        <v>6698</v>
      </c>
      <c r="B5593" s="12" t="s">
        <v>1179</v>
      </c>
      <c r="C5593" s="12" t="s">
        <v>1180</v>
      </c>
      <c r="D5593" s="12" t="s">
        <v>122</v>
      </c>
      <c r="E5593" s="12" t="s">
        <v>142</v>
      </c>
      <c r="F5593">
        <v>1</v>
      </c>
      <c r="G5593">
        <v>8</v>
      </c>
      <c r="H5593">
        <v>1</v>
      </c>
      <c r="I5593" s="12" t="s">
        <v>143</v>
      </c>
      <c r="J5593" s="12" t="s">
        <v>144</v>
      </c>
      <c r="K5593" s="12" t="s">
        <v>133</v>
      </c>
      <c r="L5593" s="12" t="s">
        <v>96</v>
      </c>
      <c r="M5593">
        <v>5.43</v>
      </c>
      <c r="N5593" s="12" t="s">
        <v>70</v>
      </c>
      <c r="O5593" s="12" t="s">
        <v>71</v>
      </c>
      <c r="P5593" s="12" t="s">
        <v>72</v>
      </c>
      <c r="Q5593" s="13">
        <v>45898</v>
      </c>
      <c r="R5593" s="13">
        <v>45938</v>
      </c>
      <c r="S5593">
        <v>2025</v>
      </c>
      <c r="T5593" s="12" t="s">
        <v>6515</v>
      </c>
      <c r="U5593">
        <v>725</v>
      </c>
      <c r="V5593">
        <v>52.209899999999998</v>
      </c>
      <c r="W5593">
        <v>597.67999999999995</v>
      </c>
      <c r="X5593">
        <v>0</v>
      </c>
      <c r="Y5593">
        <v>0</v>
      </c>
      <c r="Z5593">
        <v>37852.18</v>
      </c>
      <c r="AA5593">
        <v>38449.86</v>
      </c>
      <c r="AB5593" s="12" t="s">
        <v>5533</v>
      </c>
      <c r="AC5593">
        <v>52.209899999999998</v>
      </c>
      <c r="AD5593">
        <v>1</v>
      </c>
      <c r="AE5593">
        <v>1</v>
      </c>
      <c r="AF5593">
        <v>0</v>
      </c>
      <c r="AG5593">
        <v>37852.18</v>
      </c>
      <c r="AH5593">
        <v>725</v>
      </c>
      <c r="AI5593">
        <v>723</v>
      </c>
      <c r="AJ5593">
        <v>2</v>
      </c>
      <c r="AK5593">
        <v>1</v>
      </c>
      <c r="AL5593">
        <v>1</v>
      </c>
      <c r="AM5593">
        <v>99.72</v>
      </c>
      <c r="AN5593">
        <v>53.180999999999997</v>
      </c>
      <c r="AO5593">
        <v>104.42</v>
      </c>
      <c r="AP5593" s="13">
        <v>45936</v>
      </c>
      <c r="AQ5593">
        <v>-2</v>
      </c>
      <c r="AR5593">
        <v>1</v>
      </c>
    </row>
    <row r="5594" spans="1:44" x14ac:dyDescent="0.35">
      <c r="A5594" s="12" t="s">
        <v>6699</v>
      </c>
      <c r="B5594" s="12" t="s">
        <v>1179</v>
      </c>
      <c r="C5594" s="12" t="s">
        <v>1180</v>
      </c>
      <c r="D5594" s="12" t="s">
        <v>122</v>
      </c>
      <c r="E5594" s="12" t="s">
        <v>142</v>
      </c>
      <c r="F5594">
        <v>1</v>
      </c>
      <c r="G5594">
        <v>8</v>
      </c>
      <c r="H5594">
        <v>1</v>
      </c>
      <c r="I5594" s="12" t="s">
        <v>143</v>
      </c>
      <c r="J5594" s="12" t="s">
        <v>144</v>
      </c>
      <c r="K5594" s="12" t="s">
        <v>133</v>
      </c>
      <c r="L5594" s="12" t="s">
        <v>96</v>
      </c>
      <c r="M5594">
        <v>5.43</v>
      </c>
      <c r="N5594" s="12" t="s">
        <v>97</v>
      </c>
      <c r="O5594" s="12" t="s">
        <v>98</v>
      </c>
      <c r="P5594" s="12" t="s">
        <v>72</v>
      </c>
      <c r="Q5594" s="13">
        <v>45898</v>
      </c>
      <c r="R5594" s="13">
        <v>45947</v>
      </c>
      <c r="S5594">
        <v>2025</v>
      </c>
      <c r="T5594" s="12" t="s">
        <v>6515</v>
      </c>
      <c r="U5594">
        <v>1623</v>
      </c>
      <c r="V5594">
        <v>52.209899999999998</v>
      </c>
      <c r="W5594">
        <v>1921.88</v>
      </c>
      <c r="X5594">
        <v>0</v>
      </c>
      <c r="Y5594">
        <v>0</v>
      </c>
      <c r="Z5594">
        <v>84736.67</v>
      </c>
      <c r="AA5594">
        <v>86658.55</v>
      </c>
      <c r="AB5594" s="12" t="s">
        <v>5533</v>
      </c>
      <c r="AC5594">
        <v>52.209899999999998</v>
      </c>
      <c r="AD5594">
        <v>1</v>
      </c>
      <c r="AE5594">
        <v>1</v>
      </c>
      <c r="AF5594">
        <v>0</v>
      </c>
      <c r="AG5594">
        <v>84736.67</v>
      </c>
      <c r="AH5594">
        <v>1623</v>
      </c>
      <c r="AI5594">
        <v>1611</v>
      </c>
      <c r="AJ5594">
        <v>12</v>
      </c>
      <c r="AK5594">
        <v>1</v>
      </c>
      <c r="AL5594">
        <v>1</v>
      </c>
      <c r="AM5594">
        <v>99.26</v>
      </c>
      <c r="AN5594">
        <v>53.791800000000002</v>
      </c>
      <c r="AO5594">
        <v>626.52</v>
      </c>
      <c r="AP5594" s="13">
        <v>45946</v>
      </c>
      <c r="AQ5594">
        <v>-1</v>
      </c>
      <c r="AR5594">
        <v>1</v>
      </c>
    </row>
    <row r="5595" spans="1:44" x14ac:dyDescent="0.35">
      <c r="A5595" s="12" t="s">
        <v>6700</v>
      </c>
      <c r="B5595" s="12" t="s">
        <v>391</v>
      </c>
      <c r="C5595" s="12" t="s">
        <v>392</v>
      </c>
      <c r="D5595" s="12" t="s">
        <v>114</v>
      </c>
      <c r="E5595" s="12" t="s">
        <v>65</v>
      </c>
      <c r="F5595">
        <v>2</v>
      </c>
      <c r="G5595">
        <v>2</v>
      </c>
      <c r="H5595">
        <v>0</v>
      </c>
      <c r="I5595" s="12" t="s">
        <v>310</v>
      </c>
      <c r="J5595" s="12" t="s">
        <v>311</v>
      </c>
      <c r="K5595" s="12" t="s">
        <v>81</v>
      </c>
      <c r="L5595" s="12" t="s">
        <v>69</v>
      </c>
      <c r="M5595">
        <v>28.3</v>
      </c>
      <c r="N5595" s="12" t="s">
        <v>70</v>
      </c>
      <c r="O5595" s="12" t="s">
        <v>71</v>
      </c>
      <c r="P5595" s="12" t="s">
        <v>72</v>
      </c>
      <c r="Q5595" s="13">
        <v>45898</v>
      </c>
      <c r="R5595" s="13">
        <v>45920</v>
      </c>
      <c r="S5595">
        <v>2025</v>
      </c>
      <c r="T5595" s="12" t="s">
        <v>6515</v>
      </c>
      <c r="U5595">
        <v>18</v>
      </c>
      <c r="V5595">
        <v>249.4418</v>
      </c>
      <c r="W5595">
        <v>43.37</v>
      </c>
      <c r="X5595">
        <v>148.76</v>
      </c>
      <c r="Y5595">
        <v>1</v>
      </c>
      <c r="Z5595">
        <v>4489.95</v>
      </c>
      <c r="AA5595">
        <v>4682.08</v>
      </c>
      <c r="AB5595" s="12" t="s">
        <v>201</v>
      </c>
      <c r="AD5595">
        <v>0</v>
      </c>
      <c r="AE5595">
        <v>0</v>
      </c>
      <c r="AH5595">
        <v>18</v>
      </c>
      <c r="AI5595">
        <v>18</v>
      </c>
      <c r="AJ5595">
        <v>0</v>
      </c>
      <c r="AK5595">
        <v>1</v>
      </c>
      <c r="AL5595">
        <v>1</v>
      </c>
      <c r="AM5595">
        <v>100</v>
      </c>
      <c r="AN5595">
        <v>260.1157</v>
      </c>
      <c r="AO5595">
        <v>0</v>
      </c>
      <c r="AP5595" s="13">
        <v>45918</v>
      </c>
      <c r="AQ5595">
        <v>-2</v>
      </c>
      <c r="AR5595">
        <v>1</v>
      </c>
    </row>
    <row r="5596" spans="1:44" x14ac:dyDescent="0.35">
      <c r="A5596" s="12" t="s">
        <v>6701</v>
      </c>
      <c r="B5596" s="12" t="s">
        <v>221</v>
      </c>
      <c r="C5596" s="12" t="s">
        <v>222</v>
      </c>
      <c r="D5596" s="12" t="s">
        <v>114</v>
      </c>
      <c r="E5596" s="12" t="s">
        <v>142</v>
      </c>
      <c r="F5596">
        <v>3</v>
      </c>
      <c r="G5596">
        <v>11</v>
      </c>
      <c r="H5596">
        <v>0</v>
      </c>
      <c r="I5596" s="12" t="s">
        <v>105</v>
      </c>
      <c r="J5596" s="12" t="s">
        <v>106</v>
      </c>
      <c r="K5596" s="12" t="s">
        <v>81</v>
      </c>
      <c r="L5596" s="12" t="s">
        <v>96</v>
      </c>
      <c r="M5596">
        <v>5.01</v>
      </c>
      <c r="N5596" s="12" t="s">
        <v>97</v>
      </c>
      <c r="O5596" s="12" t="s">
        <v>98</v>
      </c>
      <c r="P5596" s="12" t="s">
        <v>72</v>
      </c>
      <c r="Q5596" s="13">
        <v>45898</v>
      </c>
      <c r="R5596" s="13">
        <v>45950</v>
      </c>
      <c r="S5596">
        <v>2025</v>
      </c>
      <c r="T5596" s="12" t="s">
        <v>6515</v>
      </c>
      <c r="U5596">
        <v>147</v>
      </c>
      <c r="V5596">
        <v>279.06110000000001</v>
      </c>
      <c r="W5596">
        <v>852.86</v>
      </c>
      <c r="X5596">
        <v>0</v>
      </c>
      <c r="Y5596">
        <v>0</v>
      </c>
      <c r="Z5596">
        <v>41021.980000000003</v>
      </c>
      <c r="AA5596">
        <v>41874.839999999997</v>
      </c>
      <c r="AB5596" s="12" t="s">
        <v>201</v>
      </c>
      <c r="AD5596">
        <v>0</v>
      </c>
      <c r="AE5596">
        <v>0</v>
      </c>
      <c r="AH5596">
        <v>147</v>
      </c>
      <c r="AI5596">
        <v>144</v>
      </c>
      <c r="AJ5596">
        <v>3</v>
      </c>
      <c r="AK5596">
        <v>1</v>
      </c>
      <c r="AL5596">
        <v>1</v>
      </c>
      <c r="AM5596">
        <v>97.96</v>
      </c>
      <c r="AN5596">
        <v>290.79750000000001</v>
      </c>
      <c r="AO5596">
        <v>837.18</v>
      </c>
      <c r="AP5596" s="13">
        <v>45950</v>
      </c>
      <c r="AQ5596">
        <v>0</v>
      </c>
      <c r="AR5596">
        <v>1</v>
      </c>
    </row>
    <row r="5597" spans="1:44" x14ac:dyDescent="0.35">
      <c r="A5597" s="12" t="s">
        <v>6702</v>
      </c>
      <c r="B5597" s="12" t="s">
        <v>433</v>
      </c>
      <c r="C5597" s="12" t="s">
        <v>434</v>
      </c>
      <c r="D5597" s="12" t="s">
        <v>78</v>
      </c>
      <c r="E5597" s="12" t="s">
        <v>65</v>
      </c>
      <c r="F5597">
        <v>2</v>
      </c>
      <c r="G5597">
        <v>4</v>
      </c>
      <c r="H5597">
        <v>0</v>
      </c>
      <c r="I5597" s="12" t="s">
        <v>105</v>
      </c>
      <c r="J5597" s="12" t="s">
        <v>106</v>
      </c>
      <c r="K5597" s="12" t="s">
        <v>81</v>
      </c>
      <c r="L5597" s="12" t="s">
        <v>96</v>
      </c>
      <c r="M5597">
        <v>5.01</v>
      </c>
      <c r="N5597" s="12" t="s">
        <v>70</v>
      </c>
      <c r="O5597" s="12" t="s">
        <v>71</v>
      </c>
      <c r="P5597" s="12" t="s">
        <v>72</v>
      </c>
      <c r="Q5597" s="13">
        <v>45898</v>
      </c>
      <c r="R5597" s="13">
        <v>45930</v>
      </c>
      <c r="S5597">
        <v>2025</v>
      </c>
      <c r="T5597" s="12" t="s">
        <v>6515</v>
      </c>
      <c r="U5597">
        <v>200</v>
      </c>
      <c r="V5597">
        <v>68.594099999999997</v>
      </c>
      <c r="W5597">
        <v>353.55</v>
      </c>
      <c r="X5597">
        <v>0</v>
      </c>
      <c r="Y5597">
        <v>0</v>
      </c>
      <c r="Z5597">
        <v>13718.82</v>
      </c>
      <c r="AA5597">
        <v>14072.37</v>
      </c>
      <c r="AB5597" s="12" t="s">
        <v>5436</v>
      </c>
      <c r="AC5597">
        <v>68.594099999999997</v>
      </c>
      <c r="AD5597">
        <v>1</v>
      </c>
      <c r="AE5597">
        <v>1</v>
      </c>
      <c r="AF5597">
        <v>0</v>
      </c>
      <c r="AG5597">
        <v>13718.82</v>
      </c>
      <c r="AH5597">
        <v>200</v>
      </c>
      <c r="AI5597">
        <v>197</v>
      </c>
      <c r="AJ5597">
        <v>3</v>
      </c>
      <c r="AK5597">
        <v>1</v>
      </c>
      <c r="AL5597">
        <v>1</v>
      </c>
      <c r="AM5597">
        <v>98.5</v>
      </c>
      <c r="AN5597">
        <v>71.433400000000006</v>
      </c>
      <c r="AO5597">
        <v>205.78</v>
      </c>
      <c r="AP5597" s="13">
        <v>45928</v>
      </c>
      <c r="AQ5597">
        <v>-2</v>
      </c>
      <c r="AR5597">
        <v>1</v>
      </c>
    </row>
    <row r="5598" spans="1:44" x14ac:dyDescent="0.35">
      <c r="A5598" s="12" t="s">
        <v>6703</v>
      </c>
      <c r="B5598" s="12" t="s">
        <v>646</v>
      </c>
      <c r="C5598" s="12" t="s">
        <v>647</v>
      </c>
      <c r="D5598" s="12" t="s">
        <v>175</v>
      </c>
      <c r="E5598" s="12" t="s">
        <v>104</v>
      </c>
      <c r="F5598">
        <v>3</v>
      </c>
      <c r="G5598">
        <v>1</v>
      </c>
      <c r="H5598">
        <v>0</v>
      </c>
      <c r="I5598" s="12" t="s">
        <v>227</v>
      </c>
      <c r="J5598" s="12" t="s">
        <v>228</v>
      </c>
      <c r="K5598" s="12" t="s">
        <v>89</v>
      </c>
      <c r="L5598" s="12" t="s">
        <v>96</v>
      </c>
      <c r="M5598">
        <v>9.15</v>
      </c>
      <c r="N5598" s="12" t="s">
        <v>145</v>
      </c>
      <c r="O5598" s="12" t="s">
        <v>146</v>
      </c>
      <c r="P5598" s="12" t="s">
        <v>109</v>
      </c>
      <c r="Q5598" s="13">
        <v>45901</v>
      </c>
      <c r="R5598" s="13">
        <v>45927</v>
      </c>
      <c r="S5598">
        <v>2025</v>
      </c>
      <c r="T5598" s="12" t="s">
        <v>6704</v>
      </c>
      <c r="U5598">
        <v>120</v>
      </c>
      <c r="V5598">
        <v>191.95849999999999</v>
      </c>
      <c r="W5598">
        <v>390.29</v>
      </c>
      <c r="X5598">
        <v>0</v>
      </c>
      <c r="Y5598">
        <v>0</v>
      </c>
      <c r="Z5598">
        <v>23035.02</v>
      </c>
      <c r="AA5598">
        <v>23425.31</v>
      </c>
      <c r="AB5598" s="12" t="s">
        <v>5935</v>
      </c>
      <c r="AC5598">
        <v>191.95849999999999</v>
      </c>
      <c r="AD5598">
        <v>1</v>
      </c>
      <c r="AE5598">
        <v>1</v>
      </c>
      <c r="AF5598">
        <v>0</v>
      </c>
      <c r="AG5598">
        <v>23035.02</v>
      </c>
      <c r="AH5598">
        <v>120</v>
      </c>
      <c r="AI5598">
        <v>118</v>
      </c>
      <c r="AJ5598">
        <v>2</v>
      </c>
      <c r="AK5598">
        <v>1</v>
      </c>
      <c r="AL5598">
        <v>1</v>
      </c>
      <c r="AM5598">
        <v>98.33</v>
      </c>
      <c r="AN5598">
        <v>198.5196</v>
      </c>
      <c r="AO5598">
        <v>383.92</v>
      </c>
      <c r="AP5598" s="13">
        <v>45931</v>
      </c>
      <c r="AQ5598">
        <v>4</v>
      </c>
      <c r="AR5598">
        <v>0</v>
      </c>
    </row>
    <row r="5599" spans="1:44" x14ac:dyDescent="0.35">
      <c r="A5599" s="12" t="s">
        <v>6705</v>
      </c>
      <c r="B5599" s="12" t="s">
        <v>249</v>
      </c>
      <c r="C5599" s="12" t="s">
        <v>250</v>
      </c>
      <c r="D5599" s="12" t="s">
        <v>64</v>
      </c>
      <c r="E5599" s="12" t="s">
        <v>65</v>
      </c>
      <c r="F5599">
        <v>2</v>
      </c>
      <c r="G5599">
        <v>3</v>
      </c>
      <c r="H5599">
        <v>0</v>
      </c>
      <c r="I5599" s="12" t="s">
        <v>251</v>
      </c>
      <c r="J5599" s="12" t="s">
        <v>252</v>
      </c>
      <c r="K5599" s="12" t="s">
        <v>133</v>
      </c>
      <c r="L5599" s="12" t="s">
        <v>69</v>
      </c>
      <c r="M5599">
        <v>34.49</v>
      </c>
      <c r="N5599" s="12" t="s">
        <v>97</v>
      </c>
      <c r="O5599" s="12" t="s">
        <v>98</v>
      </c>
      <c r="P5599" s="12" t="s">
        <v>72</v>
      </c>
      <c r="Q5599" s="13">
        <v>45901</v>
      </c>
      <c r="R5599" s="13">
        <v>45928</v>
      </c>
      <c r="S5599">
        <v>2025</v>
      </c>
      <c r="T5599" s="12" t="s">
        <v>6704</v>
      </c>
      <c r="U5599">
        <v>422</v>
      </c>
      <c r="V5599">
        <v>9.9464000000000006</v>
      </c>
      <c r="W5599">
        <v>54.27</v>
      </c>
      <c r="X5599">
        <v>0</v>
      </c>
      <c r="Y5599">
        <v>0</v>
      </c>
      <c r="Z5599">
        <v>4197.38</v>
      </c>
      <c r="AA5599">
        <v>4251.6499999999996</v>
      </c>
      <c r="AB5599" s="12" t="s">
        <v>5207</v>
      </c>
      <c r="AC5599">
        <v>9.9464000000000006</v>
      </c>
      <c r="AD5599">
        <v>1</v>
      </c>
      <c r="AE5599">
        <v>1</v>
      </c>
      <c r="AF5599">
        <v>0</v>
      </c>
      <c r="AG5599">
        <v>4197.38</v>
      </c>
      <c r="AH5599">
        <v>422</v>
      </c>
      <c r="AI5599">
        <v>417</v>
      </c>
      <c r="AJ5599">
        <v>5</v>
      </c>
      <c r="AK5599">
        <v>1</v>
      </c>
      <c r="AL5599">
        <v>1</v>
      </c>
      <c r="AM5599">
        <v>98.82</v>
      </c>
      <c r="AN5599">
        <v>10.1958</v>
      </c>
      <c r="AO5599">
        <v>49.73</v>
      </c>
      <c r="AP5599" s="13">
        <v>45926</v>
      </c>
      <c r="AQ5599">
        <v>-2</v>
      </c>
      <c r="AR5599">
        <v>1</v>
      </c>
    </row>
    <row r="5600" spans="1:44" x14ac:dyDescent="0.35">
      <c r="A5600" s="12" t="s">
        <v>6706</v>
      </c>
      <c r="B5600" s="12" t="s">
        <v>155</v>
      </c>
      <c r="C5600" s="12" t="s">
        <v>156</v>
      </c>
      <c r="D5600" s="12" t="s">
        <v>130</v>
      </c>
      <c r="E5600" s="12" t="s">
        <v>104</v>
      </c>
      <c r="F5600">
        <v>3</v>
      </c>
      <c r="G5600">
        <v>1</v>
      </c>
      <c r="H5600">
        <v>0</v>
      </c>
      <c r="I5600" s="12" t="s">
        <v>157</v>
      </c>
      <c r="J5600" s="12" t="s">
        <v>158</v>
      </c>
      <c r="K5600" s="12" t="s">
        <v>117</v>
      </c>
      <c r="L5600" s="12" t="s">
        <v>96</v>
      </c>
      <c r="M5600">
        <v>4.72</v>
      </c>
      <c r="N5600" s="12" t="s">
        <v>135</v>
      </c>
      <c r="O5600" s="12" t="s">
        <v>136</v>
      </c>
      <c r="P5600" s="12" t="s">
        <v>137</v>
      </c>
      <c r="Q5600" s="13">
        <v>45901</v>
      </c>
      <c r="R5600" s="13">
        <v>45914</v>
      </c>
      <c r="S5600">
        <v>2025</v>
      </c>
      <c r="T5600" s="12" t="s">
        <v>6704</v>
      </c>
      <c r="U5600">
        <v>22</v>
      </c>
      <c r="V5600">
        <v>173.06389999999999</v>
      </c>
      <c r="W5600">
        <v>94.41</v>
      </c>
      <c r="X5600">
        <v>0</v>
      </c>
      <c r="Y5600">
        <v>0</v>
      </c>
      <c r="Z5600">
        <v>3807.41</v>
      </c>
      <c r="AA5600">
        <v>3901.82</v>
      </c>
      <c r="AB5600" s="12" t="s">
        <v>201</v>
      </c>
      <c r="AD5600">
        <v>0</v>
      </c>
      <c r="AE5600">
        <v>0</v>
      </c>
      <c r="AH5600">
        <v>22</v>
      </c>
      <c r="AI5600">
        <v>22</v>
      </c>
      <c r="AJ5600">
        <v>0</v>
      </c>
      <c r="AK5600">
        <v>1</v>
      </c>
      <c r="AL5600">
        <v>1</v>
      </c>
      <c r="AM5600">
        <v>100</v>
      </c>
      <c r="AN5600">
        <v>177.3553</v>
      </c>
      <c r="AO5600">
        <v>0</v>
      </c>
      <c r="AP5600" s="13">
        <v>45911</v>
      </c>
      <c r="AQ5600">
        <v>-3</v>
      </c>
      <c r="AR5600">
        <v>1</v>
      </c>
    </row>
    <row r="5601" spans="1:44" x14ac:dyDescent="0.35">
      <c r="A5601" s="12" t="s">
        <v>6707</v>
      </c>
      <c r="B5601" s="12" t="s">
        <v>1042</v>
      </c>
      <c r="C5601" s="12" t="s">
        <v>1043</v>
      </c>
      <c r="D5601" s="12" t="s">
        <v>269</v>
      </c>
      <c r="E5601" s="12" t="s">
        <v>104</v>
      </c>
      <c r="F5601">
        <v>2</v>
      </c>
      <c r="G5601">
        <v>0</v>
      </c>
      <c r="H5601">
        <v>0</v>
      </c>
      <c r="I5601" s="12" t="s">
        <v>143</v>
      </c>
      <c r="J5601" s="12" t="s">
        <v>144</v>
      </c>
      <c r="K5601" s="12" t="s">
        <v>133</v>
      </c>
      <c r="L5601" s="12" t="s">
        <v>96</v>
      </c>
      <c r="M5601">
        <v>5.43</v>
      </c>
      <c r="N5601" s="12" t="s">
        <v>135</v>
      </c>
      <c r="O5601" s="12" t="s">
        <v>136</v>
      </c>
      <c r="P5601" s="12" t="s">
        <v>137</v>
      </c>
      <c r="Q5601" s="13">
        <v>45901</v>
      </c>
      <c r="R5601" s="13">
        <v>45928</v>
      </c>
      <c r="S5601">
        <v>2025</v>
      </c>
      <c r="T5601" s="12" t="s">
        <v>6704</v>
      </c>
      <c r="U5601">
        <v>133</v>
      </c>
      <c r="V5601">
        <v>306.83479999999997</v>
      </c>
      <c r="W5601">
        <v>596.9</v>
      </c>
      <c r="X5601">
        <v>0</v>
      </c>
      <c r="Y5601">
        <v>0</v>
      </c>
      <c r="Z5601">
        <v>40809.03</v>
      </c>
      <c r="AA5601">
        <v>41405.93</v>
      </c>
      <c r="AB5601" s="12" t="s">
        <v>201</v>
      </c>
      <c r="AD5601">
        <v>0</v>
      </c>
      <c r="AE5601">
        <v>0</v>
      </c>
      <c r="AH5601">
        <v>133</v>
      </c>
      <c r="AI5601">
        <v>131</v>
      </c>
      <c r="AJ5601">
        <v>2</v>
      </c>
      <c r="AK5601">
        <v>1</v>
      </c>
      <c r="AL5601">
        <v>1</v>
      </c>
      <c r="AM5601">
        <v>98.5</v>
      </c>
      <c r="AN5601">
        <v>316.07580000000002</v>
      </c>
      <c r="AO5601">
        <v>613.66999999999996</v>
      </c>
      <c r="AP5601" s="13">
        <v>45931</v>
      </c>
      <c r="AQ5601">
        <v>3</v>
      </c>
      <c r="AR5601">
        <v>0</v>
      </c>
    </row>
    <row r="5602" spans="1:44" x14ac:dyDescent="0.35">
      <c r="A5602" s="12" t="s">
        <v>6708</v>
      </c>
      <c r="B5602" s="12" t="s">
        <v>498</v>
      </c>
      <c r="C5602" s="12" t="s">
        <v>499</v>
      </c>
      <c r="D5602" s="12" t="s">
        <v>175</v>
      </c>
      <c r="E5602" s="12" t="s">
        <v>104</v>
      </c>
      <c r="F5602">
        <v>3</v>
      </c>
      <c r="G5602">
        <v>1</v>
      </c>
      <c r="H5602">
        <v>0</v>
      </c>
      <c r="I5602" s="12" t="s">
        <v>233</v>
      </c>
      <c r="J5602" s="12" t="s">
        <v>234</v>
      </c>
      <c r="K5602" s="12" t="s">
        <v>125</v>
      </c>
      <c r="L5602" s="12" t="s">
        <v>96</v>
      </c>
      <c r="M5602">
        <v>3.73</v>
      </c>
      <c r="N5602" s="12" t="s">
        <v>145</v>
      </c>
      <c r="O5602" s="12" t="s">
        <v>146</v>
      </c>
      <c r="P5602" s="12" t="s">
        <v>109</v>
      </c>
      <c r="Q5602" s="13">
        <v>45901</v>
      </c>
      <c r="R5602" s="13">
        <v>45925</v>
      </c>
      <c r="S5602">
        <v>2025</v>
      </c>
      <c r="T5602" s="12" t="s">
        <v>6704</v>
      </c>
      <c r="U5602">
        <v>107</v>
      </c>
      <c r="V5602">
        <v>262.52229999999997</v>
      </c>
      <c r="W5602">
        <v>602.33000000000004</v>
      </c>
      <c r="X5602">
        <v>0</v>
      </c>
      <c r="Y5602">
        <v>0</v>
      </c>
      <c r="Z5602">
        <v>28089.89</v>
      </c>
      <c r="AA5602">
        <v>28692.22</v>
      </c>
      <c r="AB5602" s="12" t="s">
        <v>5729</v>
      </c>
      <c r="AC5602">
        <v>262.52229999999997</v>
      </c>
      <c r="AD5602">
        <v>1</v>
      </c>
      <c r="AE5602">
        <v>1</v>
      </c>
      <c r="AF5602">
        <v>0</v>
      </c>
      <c r="AG5602">
        <v>28089.89</v>
      </c>
      <c r="AH5602">
        <v>107</v>
      </c>
      <c r="AI5602">
        <v>106</v>
      </c>
      <c r="AJ5602">
        <v>1</v>
      </c>
      <c r="AK5602">
        <v>1</v>
      </c>
      <c r="AL5602">
        <v>1</v>
      </c>
      <c r="AM5602">
        <v>99.07</v>
      </c>
      <c r="AN5602">
        <v>270.68130000000002</v>
      </c>
      <c r="AO5602">
        <v>262.52</v>
      </c>
      <c r="AP5602" s="13">
        <v>45924</v>
      </c>
      <c r="AQ5602">
        <v>-1</v>
      </c>
      <c r="AR5602">
        <v>1</v>
      </c>
    </row>
    <row r="5603" spans="1:44" x14ac:dyDescent="0.35">
      <c r="A5603" s="12" t="s">
        <v>6709</v>
      </c>
      <c r="B5603" s="12" t="s">
        <v>680</v>
      </c>
      <c r="C5603" s="12" t="s">
        <v>681</v>
      </c>
      <c r="D5603" s="12" t="s">
        <v>122</v>
      </c>
      <c r="E5603" s="12" t="s">
        <v>104</v>
      </c>
      <c r="F5603">
        <v>3</v>
      </c>
      <c r="G5603">
        <v>1</v>
      </c>
      <c r="H5603">
        <v>0</v>
      </c>
      <c r="I5603" s="12" t="s">
        <v>227</v>
      </c>
      <c r="J5603" s="12" t="s">
        <v>228</v>
      </c>
      <c r="K5603" s="12" t="s">
        <v>89</v>
      </c>
      <c r="L5603" s="12" t="s">
        <v>96</v>
      </c>
      <c r="M5603">
        <v>9.15</v>
      </c>
      <c r="N5603" s="12" t="s">
        <v>97</v>
      </c>
      <c r="O5603" s="12" t="s">
        <v>98</v>
      </c>
      <c r="P5603" s="12" t="s">
        <v>72</v>
      </c>
      <c r="Q5603" s="13">
        <v>45902</v>
      </c>
      <c r="R5603" s="13">
        <v>45920</v>
      </c>
      <c r="S5603">
        <v>2025</v>
      </c>
      <c r="T5603" s="12" t="s">
        <v>6704</v>
      </c>
      <c r="U5603">
        <v>858</v>
      </c>
      <c r="V5603">
        <v>23.108599999999999</v>
      </c>
      <c r="W5603">
        <v>465.14</v>
      </c>
      <c r="X5603">
        <v>0</v>
      </c>
      <c r="Y5603">
        <v>0</v>
      </c>
      <c r="Z5603">
        <v>19827.18</v>
      </c>
      <c r="AA5603">
        <v>20292.32</v>
      </c>
      <c r="AB5603" s="12" t="s">
        <v>201</v>
      </c>
      <c r="AD5603">
        <v>0</v>
      </c>
      <c r="AE5603">
        <v>0</v>
      </c>
      <c r="AH5603">
        <v>858</v>
      </c>
      <c r="AI5603">
        <v>852</v>
      </c>
      <c r="AJ5603">
        <v>6</v>
      </c>
      <c r="AK5603">
        <v>1</v>
      </c>
      <c r="AL5603">
        <v>1</v>
      </c>
      <c r="AM5603">
        <v>99.3</v>
      </c>
      <c r="AN5603">
        <v>23.817299999999999</v>
      </c>
      <c r="AO5603">
        <v>138.65</v>
      </c>
      <c r="AP5603" s="13">
        <v>45917</v>
      </c>
      <c r="AQ5603">
        <v>-3</v>
      </c>
      <c r="AR5603">
        <v>1</v>
      </c>
    </row>
    <row r="5604" spans="1:44" x14ac:dyDescent="0.35">
      <c r="A5604" s="12" t="s">
        <v>6710</v>
      </c>
      <c r="B5604" s="12" t="s">
        <v>630</v>
      </c>
      <c r="C5604" s="12" t="s">
        <v>631</v>
      </c>
      <c r="D5604" s="12" t="s">
        <v>130</v>
      </c>
      <c r="E5604" s="12" t="s">
        <v>65</v>
      </c>
      <c r="F5604">
        <v>1</v>
      </c>
      <c r="G5604">
        <v>2</v>
      </c>
      <c r="H5604">
        <v>1</v>
      </c>
      <c r="I5604" s="12" t="s">
        <v>335</v>
      </c>
      <c r="J5604" s="12" t="s">
        <v>336</v>
      </c>
      <c r="K5604" s="12" t="s">
        <v>89</v>
      </c>
      <c r="L5604" s="12" t="s">
        <v>82</v>
      </c>
      <c r="M5604">
        <v>16</v>
      </c>
      <c r="N5604" s="12" t="s">
        <v>159</v>
      </c>
      <c r="O5604" s="12" t="s">
        <v>160</v>
      </c>
      <c r="P5604" s="12" t="s">
        <v>137</v>
      </c>
      <c r="Q5604" s="13">
        <v>45902</v>
      </c>
      <c r="R5604" s="13">
        <v>45930</v>
      </c>
      <c r="S5604">
        <v>2025</v>
      </c>
      <c r="T5604" s="12" t="s">
        <v>6704</v>
      </c>
      <c r="U5604">
        <v>66</v>
      </c>
      <c r="V5604">
        <v>444.29629999999997</v>
      </c>
      <c r="W5604">
        <v>284.24</v>
      </c>
      <c r="X5604">
        <v>0</v>
      </c>
      <c r="Y5604">
        <v>0</v>
      </c>
      <c r="Z5604">
        <v>29323.56</v>
      </c>
      <c r="AA5604">
        <v>29607.8</v>
      </c>
      <c r="AB5604" s="12" t="s">
        <v>5553</v>
      </c>
      <c r="AC5604">
        <v>444.29629999999997</v>
      </c>
      <c r="AD5604">
        <v>1</v>
      </c>
      <c r="AE5604">
        <v>1</v>
      </c>
      <c r="AF5604">
        <v>0</v>
      </c>
      <c r="AG5604">
        <v>29323.56</v>
      </c>
      <c r="AH5604">
        <v>66</v>
      </c>
      <c r="AI5604">
        <v>65</v>
      </c>
      <c r="AJ5604">
        <v>1</v>
      </c>
      <c r="AK5604">
        <v>1</v>
      </c>
      <c r="AL5604">
        <v>1</v>
      </c>
      <c r="AM5604">
        <v>98.48</v>
      </c>
      <c r="AN5604">
        <v>455.50459999999998</v>
      </c>
      <c r="AO5604">
        <v>444.3</v>
      </c>
      <c r="AP5604" s="13">
        <v>45929</v>
      </c>
      <c r="AQ5604">
        <v>-1</v>
      </c>
      <c r="AR5604">
        <v>1</v>
      </c>
    </row>
    <row r="5605" spans="1:44" x14ac:dyDescent="0.35">
      <c r="A5605" s="12" t="s">
        <v>6711</v>
      </c>
      <c r="B5605" s="12" t="s">
        <v>609</v>
      </c>
      <c r="C5605" s="12" t="s">
        <v>610</v>
      </c>
      <c r="D5605" s="12" t="s">
        <v>64</v>
      </c>
      <c r="E5605" s="12" t="s">
        <v>104</v>
      </c>
      <c r="F5605">
        <v>1</v>
      </c>
      <c r="G5605">
        <v>0</v>
      </c>
      <c r="H5605">
        <v>1</v>
      </c>
      <c r="I5605" s="12" t="s">
        <v>227</v>
      </c>
      <c r="J5605" s="12" t="s">
        <v>228</v>
      </c>
      <c r="K5605" s="12" t="s">
        <v>89</v>
      </c>
      <c r="L5605" s="12" t="s">
        <v>96</v>
      </c>
      <c r="M5605">
        <v>9.15</v>
      </c>
      <c r="N5605" s="12" t="s">
        <v>70</v>
      </c>
      <c r="O5605" s="12" t="s">
        <v>71</v>
      </c>
      <c r="P5605" s="12" t="s">
        <v>72</v>
      </c>
      <c r="Q5605" s="13">
        <v>45902</v>
      </c>
      <c r="R5605" s="13">
        <v>45931</v>
      </c>
      <c r="S5605">
        <v>2025</v>
      </c>
      <c r="T5605" s="12" t="s">
        <v>6704</v>
      </c>
      <c r="U5605">
        <v>992</v>
      </c>
      <c r="V5605">
        <v>20.683900000000001</v>
      </c>
      <c r="W5605">
        <v>315.64</v>
      </c>
      <c r="X5605">
        <v>0</v>
      </c>
      <c r="Y5605">
        <v>0</v>
      </c>
      <c r="Z5605">
        <v>20518.43</v>
      </c>
      <c r="AA5605">
        <v>20834.07</v>
      </c>
      <c r="AB5605" s="12" t="s">
        <v>5573</v>
      </c>
      <c r="AC5605">
        <v>20.683900000000001</v>
      </c>
      <c r="AD5605">
        <v>1</v>
      </c>
      <c r="AE5605">
        <v>1</v>
      </c>
      <c r="AF5605">
        <v>0</v>
      </c>
      <c r="AG5605">
        <v>20518.43</v>
      </c>
      <c r="AH5605">
        <v>992</v>
      </c>
      <c r="AI5605">
        <v>985</v>
      </c>
      <c r="AJ5605">
        <v>7</v>
      </c>
      <c r="AK5605">
        <v>1</v>
      </c>
      <c r="AL5605">
        <v>1</v>
      </c>
      <c r="AM5605">
        <v>99.29</v>
      </c>
      <c r="AN5605">
        <v>21.151299999999999</v>
      </c>
      <c r="AO5605">
        <v>144.79</v>
      </c>
      <c r="AP5605" s="13">
        <v>45930</v>
      </c>
      <c r="AQ5605">
        <v>-1</v>
      </c>
      <c r="AR5605">
        <v>1</v>
      </c>
    </row>
    <row r="5606" spans="1:44" x14ac:dyDescent="0.35">
      <c r="A5606" s="12" t="s">
        <v>6712</v>
      </c>
      <c r="B5606" s="12" t="s">
        <v>848</v>
      </c>
      <c r="C5606" s="12" t="s">
        <v>849</v>
      </c>
      <c r="D5606" s="12" t="s">
        <v>103</v>
      </c>
      <c r="E5606" s="12" t="s">
        <v>65</v>
      </c>
      <c r="F5606">
        <v>2</v>
      </c>
      <c r="G5606">
        <v>4</v>
      </c>
      <c r="H5606">
        <v>0</v>
      </c>
      <c r="I5606" s="12" t="s">
        <v>87</v>
      </c>
      <c r="J5606" s="12" t="s">
        <v>88</v>
      </c>
      <c r="K5606" s="12" t="s">
        <v>89</v>
      </c>
      <c r="L5606" s="12" t="s">
        <v>69</v>
      </c>
      <c r="M5606">
        <v>14.93</v>
      </c>
      <c r="N5606" s="12" t="s">
        <v>107</v>
      </c>
      <c r="O5606" s="12" t="s">
        <v>108</v>
      </c>
      <c r="P5606" s="12" t="s">
        <v>109</v>
      </c>
      <c r="Q5606" s="13">
        <v>45902</v>
      </c>
      <c r="R5606" s="13">
        <v>45923</v>
      </c>
      <c r="S5606">
        <v>2025</v>
      </c>
      <c r="T5606" s="12" t="s">
        <v>6704</v>
      </c>
      <c r="U5606">
        <v>13</v>
      </c>
      <c r="V5606">
        <v>118.5639</v>
      </c>
      <c r="W5606">
        <v>13.29</v>
      </c>
      <c r="X5606">
        <v>0</v>
      </c>
      <c r="Y5606">
        <v>0</v>
      </c>
      <c r="Z5606">
        <v>1541.33</v>
      </c>
      <c r="AA5606">
        <v>1554.62</v>
      </c>
      <c r="AB5606" s="12" t="s">
        <v>5911</v>
      </c>
      <c r="AC5606">
        <v>118.5639</v>
      </c>
      <c r="AD5606">
        <v>1</v>
      </c>
      <c r="AE5606">
        <v>1</v>
      </c>
      <c r="AF5606">
        <v>0</v>
      </c>
      <c r="AG5606">
        <v>1541.33</v>
      </c>
      <c r="AH5606">
        <v>13</v>
      </c>
      <c r="AI5606">
        <v>13</v>
      </c>
      <c r="AJ5606">
        <v>0</v>
      </c>
      <c r="AK5606">
        <v>1</v>
      </c>
      <c r="AL5606">
        <v>1</v>
      </c>
      <c r="AM5606">
        <v>100</v>
      </c>
      <c r="AN5606">
        <v>119.58620000000001</v>
      </c>
      <c r="AO5606">
        <v>0</v>
      </c>
      <c r="AP5606" s="13">
        <v>45922</v>
      </c>
      <c r="AQ5606">
        <v>-1</v>
      </c>
      <c r="AR5606">
        <v>1</v>
      </c>
    </row>
    <row r="5607" spans="1:44" x14ac:dyDescent="0.35">
      <c r="A5607" s="12" t="s">
        <v>6713</v>
      </c>
      <c r="B5607" s="12" t="s">
        <v>555</v>
      </c>
      <c r="C5607" s="12" t="s">
        <v>556</v>
      </c>
      <c r="D5607" s="12" t="s">
        <v>114</v>
      </c>
      <c r="E5607" s="12" t="s">
        <v>142</v>
      </c>
      <c r="F5607">
        <v>1</v>
      </c>
      <c r="G5607">
        <v>6</v>
      </c>
      <c r="H5607">
        <v>1</v>
      </c>
      <c r="I5607" s="12" t="s">
        <v>151</v>
      </c>
      <c r="J5607" s="12" t="s">
        <v>152</v>
      </c>
      <c r="K5607" s="12" t="s">
        <v>125</v>
      </c>
      <c r="L5607" s="12" t="s">
        <v>69</v>
      </c>
      <c r="M5607">
        <v>36.479999999999997</v>
      </c>
      <c r="N5607" s="12" t="s">
        <v>70</v>
      </c>
      <c r="O5607" s="12" t="s">
        <v>71</v>
      </c>
      <c r="P5607" s="12" t="s">
        <v>72</v>
      </c>
      <c r="Q5607" s="13">
        <v>45902</v>
      </c>
      <c r="R5607" s="13">
        <v>45937</v>
      </c>
      <c r="S5607">
        <v>2025</v>
      </c>
      <c r="T5607" s="12" t="s">
        <v>6704</v>
      </c>
      <c r="U5607">
        <v>16</v>
      </c>
      <c r="V5607">
        <v>266.68439999999998</v>
      </c>
      <c r="W5607">
        <v>81.96</v>
      </c>
      <c r="X5607">
        <v>0</v>
      </c>
      <c r="Y5607">
        <v>0</v>
      </c>
      <c r="Z5607">
        <v>4266.95</v>
      </c>
      <c r="AA5607">
        <v>4348.91</v>
      </c>
      <c r="AB5607" s="12" t="s">
        <v>6121</v>
      </c>
      <c r="AC5607">
        <v>266.68439999999998</v>
      </c>
      <c r="AD5607">
        <v>1</v>
      </c>
      <c r="AE5607">
        <v>1</v>
      </c>
      <c r="AF5607">
        <v>0</v>
      </c>
      <c r="AG5607">
        <v>4266.95</v>
      </c>
      <c r="AH5607">
        <v>16</v>
      </c>
      <c r="AI5607">
        <v>16</v>
      </c>
      <c r="AJ5607">
        <v>0</v>
      </c>
      <c r="AK5607">
        <v>1</v>
      </c>
      <c r="AL5607">
        <v>1</v>
      </c>
      <c r="AM5607">
        <v>100</v>
      </c>
      <c r="AN5607">
        <v>271.80689999999998</v>
      </c>
      <c r="AO5607">
        <v>0</v>
      </c>
      <c r="AP5607" s="13">
        <v>45934</v>
      </c>
      <c r="AQ5607">
        <v>-3</v>
      </c>
      <c r="AR5607">
        <v>1</v>
      </c>
    </row>
    <row r="5608" spans="1:44" x14ac:dyDescent="0.35">
      <c r="A5608" s="12" t="s">
        <v>6714</v>
      </c>
      <c r="B5608" s="12" t="s">
        <v>167</v>
      </c>
      <c r="C5608" s="12" t="s">
        <v>168</v>
      </c>
      <c r="D5608" s="12" t="s">
        <v>64</v>
      </c>
      <c r="E5608" s="12" t="s">
        <v>104</v>
      </c>
      <c r="F5608">
        <v>3</v>
      </c>
      <c r="G5608">
        <v>1</v>
      </c>
      <c r="H5608">
        <v>0</v>
      </c>
      <c r="I5608" s="12" t="s">
        <v>243</v>
      </c>
      <c r="J5608" s="12" t="s">
        <v>244</v>
      </c>
      <c r="K5608" s="12" t="s">
        <v>81</v>
      </c>
      <c r="L5608" s="12" t="s">
        <v>82</v>
      </c>
      <c r="M5608">
        <v>9.2200000000000006</v>
      </c>
      <c r="N5608" s="12" t="s">
        <v>97</v>
      </c>
      <c r="O5608" s="12" t="s">
        <v>98</v>
      </c>
      <c r="P5608" s="12" t="s">
        <v>72</v>
      </c>
      <c r="Q5608" s="13">
        <v>45902</v>
      </c>
      <c r="R5608" s="13">
        <v>45918</v>
      </c>
      <c r="S5608">
        <v>2025</v>
      </c>
      <c r="T5608" s="12" t="s">
        <v>6704</v>
      </c>
      <c r="U5608">
        <v>313</v>
      </c>
      <c r="V5608">
        <v>28.0687</v>
      </c>
      <c r="W5608">
        <v>130.07</v>
      </c>
      <c r="X5608">
        <v>0</v>
      </c>
      <c r="Y5608">
        <v>0</v>
      </c>
      <c r="Z5608">
        <v>8785.5</v>
      </c>
      <c r="AA5608">
        <v>8915.57</v>
      </c>
      <c r="AB5608" s="12" t="s">
        <v>201</v>
      </c>
      <c r="AD5608">
        <v>0</v>
      </c>
      <c r="AE5608">
        <v>0</v>
      </c>
      <c r="AH5608">
        <v>313</v>
      </c>
      <c r="AI5608">
        <v>311</v>
      </c>
      <c r="AJ5608">
        <v>2</v>
      </c>
      <c r="AK5608">
        <v>1</v>
      </c>
      <c r="AL5608">
        <v>1</v>
      </c>
      <c r="AM5608">
        <v>99.36</v>
      </c>
      <c r="AN5608">
        <v>28.667400000000001</v>
      </c>
      <c r="AO5608">
        <v>56.14</v>
      </c>
      <c r="AP5608" s="13">
        <v>45923</v>
      </c>
      <c r="AQ5608">
        <v>5</v>
      </c>
      <c r="AR5608">
        <v>0</v>
      </c>
    </row>
    <row r="5609" spans="1:44" x14ac:dyDescent="0.35">
      <c r="A5609" s="12" t="s">
        <v>6715</v>
      </c>
      <c r="B5609" s="12" t="s">
        <v>747</v>
      </c>
      <c r="C5609" s="12" t="s">
        <v>748</v>
      </c>
      <c r="D5609" s="12" t="s">
        <v>114</v>
      </c>
      <c r="E5609" s="12" t="s">
        <v>104</v>
      </c>
      <c r="F5609">
        <v>2</v>
      </c>
      <c r="G5609">
        <v>0</v>
      </c>
      <c r="H5609">
        <v>0</v>
      </c>
      <c r="I5609" s="12" t="s">
        <v>380</v>
      </c>
      <c r="J5609" s="12" t="s">
        <v>381</v>
      </c>
      <c r="K5609" s="12" t="s">
        <v>89</v>
      </c>
      <c r="L5609" s="12" t="s">
        <v>96</v>
      </c>
      <c r="M5609">
        <v>10.210000000000001</v>
      </c>
      <c r="N5609" s="12" t="s">
        <v>97</v>
      </c>
      <c r="O5609" s="12" t="s">
        <v>98</v>
      </c>
      <c r="P5609" s="12" t="s">
        <v>72</v>
      </c>
      <c r="Q5609" s="13">
        <v>45902</v>
      </c>
      <c r="R5609" s="13">
        <v>45919</v>
      </c>
      <c r="S5609">
        <v>2025</v>
      </c>
      <c r="T5609" s="12" t="s">
        <v>6704</v>
      </c>
      <c r="U5609">
        <v>49</v>
      </c>
      <c r="V5609">
        <v>277.78809999999999</v>
      </c>
      <c r="W5609">
        <v>199</v>
      </c>
      <c r="X5609">
        <v>0</v>
      </c>
      <c r="Y5609">
        <v>0</v>
      </c>
      <c r="Z5609">
        <v>13611.62</v>
      </c>
      <c r="AA5609">
        <v>13810.62</v>
      </c>
      <c r="AB5609" s="12" t="s">
        <v>201</v>
      </c>
      <c r="AD5609">
        <v>0</v>
      </c>
      <c r="AE5609">
        <v>0</v>
      </c>
      <c r="AH5609">
        <v>49</v>
      </c>
      <c r="AI5609">
        <v>49</v>
      </c>
      <c r="AJ5609">
        <v>0</v>
      </c>
      <c r="AK5609">
        <v>1</v>
      </c>
      <c r="AL5609">
        <v>1</v>
      </c>
      <c r="AM5609">
        <v>100</v>
      </c>
      <c r="AN5609">
        <v>281.84930000000003</v>
      </c>
      <c r="AO5609">
        <v>0</v>
      </c>
      <c r="AP5609" s="13">
        <v>45917</v>
      </c>
      <c r="AQ5609">
        <v>-2</v>
      </c>
      <c r="AR5609">
        <v>1</v>
      </c>
    </row>
    <row r="5610" spans="1:44" x14ac:dyDescent="0.35">
      <c r="A5610" s="12" t="s">
        <v>6716</v>
      </c>
      <c r="B5610" s="12" t="s">
        <v>952</v>
      </c>
      <c r="C5610" s="12" t="s">
        <v>953</v>
      </c>
      <c r="D5610" s="12" t="s">
        <v>64</v>
      </c>
      <c r="E5610" s="12" t="s">
        <v>142</v>
      </c>
      <c r="F5610">
        <v>1</v>
      </c>
      <c r="G5610">
        <v>8</v>
      </c>
      <c r="H5610">
        <v>1</v>
      </c>
      <c r="I5610" s="12" t="s">
        <v>131</v>
      </c>
      <c r="J5610" s="12" t="s">
        <v>132</v>
      </c>
      <c r="K5610" s="12" t="s">
        <v>133</v>
      </c>
      <c r="L5610" s="12" t="s">
        <v>134</v>
      </c>
      <c r="M5610">
        <v>1.51</v>
      </c>
      <c r="N5610" s="12" t="s">
        <v>70</v>
      </c>
      <c r="O5610" s="12" t="s">
        <v>71</v>
      </c>
      <c r="P5610" s="12" t="s">
        <v>72</v>
      </c>
      <c r="Q5610" s="13">
        <v>45902</v>
      </c>
      <c r="R5610" s="13">
        <v>45945</v>
      </c>
      <c r="S5610">
        <v>2025</v>
      </c>
      <c r="T5610" s="12" t="s">
        <v>6704</v>
      </c>
      <c r="U5610">
        <v>549</v>
      </c>
      <c r="V5610">
        <v>31.074300000000001</v>
      </c>
      <c r="W5610">
        <v>273.16000000000003</v>
      </c>
      <c r="X5610">
        <v>0</v>
      </c>
      <c r="Y5610">
        <v>0</v>
      </c>
      <c r="Z5610">
        <v>17059.79</v>
      </c>
      <c r="AA5610">
        <v>17332.95</v>
      </c>
      <c r="AB5610" s="12" t="s">
        <v>6001</v>
      </c>
      <c r="AC5610">
        <v>31.074300000000001</v>
      </c>
      <c r="AD5610">
        <v>1</v>
      </c>
      <c r="AE5610">
        <v>1</v>
      </c>
      <c r="AF5610">
        <v>0</v>
      </c>
      <c r="AG5610">
        <v>17059.79</v>
      </c>
      <c r="AH5610">
        <v>549</v>
      </c>
      <c r="AI5610">
        <v>547</v>
      </c>
      <c r="AJ5610">
        <v>2</v>
      </c>
      <c r="AK5610">
        <v>1</v>
      </c>
      <c r="AL5610">
        <v>1</v>
      </c>
      <c r="AM5610">
        <v>99.64</v>
      </c>
      <c r="AN5610">
        <v>31.6873</v>
      </c>
      <c r="AO5610">
        <v>62.15</v>
      </c>
      <c r="AP5610" s="13">
        <v>45942</v>
      </c>
      <c r="AQ5610">
        <v>-3</v>
      </c>
      <c r="AR5610">
        <v>1</v>
      </c>
    </row>
    <row r="5611" spans="1:44" x14ac:dyDescent="0.35">
      <c r="A5611" s="12" t="s">
        <v>6717</v>
      </c>
      <c r="B5611" s="12" t="s">
        <v>92</v>
      </c>
      <c r="C5611" s="12" t="s">
        <v>93</v>
      </c>
      <c r="D5611" s="12" t="s">
        <v>64</v>
      </c>
      <c r="E5611" s="12" t="s">
        <v>65</v>
      </c>
      <c r="F5611">
        <v>3</v>
      </c>
      <c r="G5611">
        <v>5</v>
      </c>
      <c r="H5611">
        <v>0</v>
      </c>
      <c r="I5611" s="12" t="s">
        <v>94</v>
      </c>
      <c r="J5611" s="12" t="s">
        <v>95</v>
      </c>
      <c r="K5611" s="12" t="s">
        <v>81</v>
      </c>
      <c r="L5611" s="12" t="s">
        <v>96</v>
      </c>
      <c r="M5611">
        <v>4.8099999999999996</v>
      </c>
      <c r="N5611" s="12" t="s">
        <v>97</v>
      </c>
      <c r="O5611" s="12" t="s">
        <v>98</v>
      </c>
      <c r="P5611" s="12" t="s">
        <v>72</v>
      </c>
      <c r="Q5611" s="13">
        <v>45902</v>
      </c>
      <c r="R5611" s="13">
        <v>45930</v>
      </c>
      <c r="S5611">
        <v>2025</v>
      </c>
      <c r="T5611" s="12" t="s">
        <v>6704</v>
      </c>
      <c r="U5611">
        <v>464</v>
      </c>
      <c r="V5611">
        <v>23.1553</v>
      </c>
      <c r="W5611">
        <v>256.42</v>
      </c>
      <c r="X5611">
        <v>376.45</v>
      </c>
      <c r="Y5611">
        <v>1</v>
      </c>
      <c r="Z5611">
        <v>10744.06</v>
      </c>
      <c r="AA5611">
        <v>11376.93</v>
      </c>
      <c r="AB5611" s="12" t="s">
        <v>5110</v>
      </c>
      <c r="AC5611">
        <v>23.1553</v>
      </c>
      <c r="AD5611">
        <v>1</v>
      </c>
      <c r="AE5611">
        <v>1</v>
      </c>
      <c r="AF5611">
        <v>0</v>
      </c>
      <c r="AG5611">
        <v>10744.06</v>
      </c>
      <c r="AH5611">
        <v>464</v>
      </c>
      <c r="AI5611">
        <v>462</v>
      </c>
      <c r="AJ5611">
        <v>2</v>
      </c>
      <c r="AK5611">
        <v>1</v>
      </c>
      <c r="AL5611">
        <v>1</v>
      </c>
      <c r="AM5611">
        <v>99.57</v>
      </c>
      <c r="AN5611">
        <v>24.625399999999999</v>
      </c>
      <c r="AO5611">
        <v>46.31</v>
      </c>
      <c r="AP5611" s="13">
        <v>45928</v>
      </c>
      <c r="AQ5611">
        <v>-2</v>
      </c>
      <c r="AR5611">
        <v>1</v>
      </c>
    </row>
    <row r="5612" spans="1:44" x14ac:dyDescent="0.35">
      <c r="A5612" s="12" t="s">
        <v>6718</v>
      </c>
      <c r="B5612" s="12" t="s">
        <v>231</v>
      </c>
      <c r="C5612" s="12" t="s">
        <v>232</v>
      </c>
      <c r="D5612" s="12" t="s">
        <v>130</v>
      </c>
      <c r="E5612" s="12" t="s">
        <v>65</v>
      </c>
      <c r="F5612">
        <v>1</v>
      </c>
      <c r="G5612">
        <v>2</v>
      </c>
      <c r="H5612">
        <v>1</v>
      </c>
      <c r="I5612" s="12" t="s">
        <v>233</v>
      </c>
      <c r="J5612" s="12" t="s">
        <v>234</v>
      </c>
      <c r="K5612" s="12" t="s">
        <v>125</v>
      </c>
      <c r="L5612" s="12" t="s">
        <v>96</v>
      </c>
      <c r="M5612">
        <v>3.73</v>
      </c>
      <c r="N5612" s="12" t="s">
        <v>159</v>
      </c>
      <c r="O5612" s="12" t="s">
        <v>160</v>
      </c>
      <c r="P5612" s="12" t="s">
        <v>137</v>
      </c>
      <c r="Q5612" s="13">
        <v>45902</v>
      </c>
      <c r="R5612" s="13">
        <v>45936</v>
      </c>
      <c r="S5612">
        <v>2025</v>
      </c>
      <c r="T5612" s="12" t="s">
        <v>6704</v>
      </c>
      <c r="U5612">
        <v>112</v>
      </c>
      <c r="V5612">
        <v>455.44369999999998</v>
      </c>
      <c r="W5612">
        <v>370.53</v>
      </c>
      <c r="X5612">
        <v>0</v>
      </c>
      <c r="Y5612">
        <v>0</v>
      </c>
      <c r="Z5612">
        <v>51009.69</v>
      </c>
      <c r="AA5612">
        <v>51380.22</v>
      </c>
      <c r="AB5612" s="12" t="s">
        <v>201</v>
      </c>
      <c r="AD5612">
        <v>0</v>
      </c>
      <c r="AE5612">
        <v>0</v>
      </c>
      <c r="AH5612">
        <v>112</v>
      </c>
      <c r="AI5612">
        <v>111</v>
      </c>
      <c r="AJ5612">
        <v>1</v>
      </c>
      <c r="AK5612">
        <v>1</v>
      </c>
      <c r="AL5612">
        <v>1</v>
      </c>
      <c r="AM5612">
        <v>99.11</v>
      </c>
      <c r="AN5612">
        <v>462.88490000000002</v>
      </c>
      <c r="AO5612">
        <v>455.44</v>
      </c>
      <c r="AP5612" s="13">
        <v>45934</v>
      </c>
      <c r="AQ5612">
        <v>-2</v>
      </c>
      <c r="AR5612">
        <v>1</v>
      </c>
    </row>
    <row r="5613" spans="1:44" x14ac:dyDescent="0.35">
      <c r="A5613" s="12" t="s">
        <v>6719</v>
      </c>
      <c r="B5613" s="12" t="s">
        <v>855</v>
      </c>
      <c r="C5613" s="12" t="s">
        <v>856</v>
      </c>
      <c r="D5613" s="12" t="s">
        <v>269</v>
      </c>
      <c r="E5613" s="12" t="s">
        <v>65</v>
      </c>
      <c r="F5613">
        <v>3</v>
      </c>
      <c r="G5613">
        <v>5</v>
      </c>
      <c r="H5613">
        <v>0</v>
      </c>
      <c r="I5613" s="12" t="s">
        <v>94</v>
      </c>
      <c r="J5613" s="12" t="s">
        <v>95</v>
      </c>
      <c r="K5613" s="12" t="s">
        <v>81</v>
      </c>
      <c r="L5613" s="12" t="s">
        <v>96</v>
      </c>
      <c r="M5613">
        <v>4.8099999999999996</v>
      </c>
      <c r="N5613" s="12" t="s">
        <v>135</v>
      </c>
      <c r="O5613" s="12" t="s">
        <v>136</v>
      </c>
      <c r="P5613" s="12" t="s">
        <v>137</v>
      </c>
      <c r="Q5613" s="13">
        <v>45902</v>
      </c>
      <c r="R5613" s="13">
        <v>45940</v>
      </c>
      <c r="S5613">
        <v>2025</v>
      </c>
      <c r="T5613" s="12" t="s">
        <v>6704</v>
      </c>
      <c r="U5613">
        <v>147</v>
      </c>
      <c r="V5613">
        <v>466.4701</v>
      </c>
      <c r="W5613">
        <v>1687.04</v>
      </c>
      <c r="X5613">
        <v>2309.1999999999998</v>
      </c>
      <c r="Y5613">
        <v>1</v>
      </c>
      <c r="Z5613">
        <v>68571.100000000006</v>
      </c>
      <c r="AA5613">
        <v>72567.34</v>
      </c>
      <c r="AB5613" s="12" t="s">
        <v>5774</v>
      </c>
      <c r="AC5613">
        <v>466.4701</v>
      </c>
      <c r="AD5613">
        <v>1</v>
      </c>
      <c r="AE5613">
        <v>1</v>
      </c>
      <c r="AF5613">
        <v>0</v>
      </c>
      <c r="AG5613">
        <v>68571.100000000006</v>
      </c>
      <c r="AH5613">
        <v>147</v>
      </c>
      <c r="AI5613">
        <v>146</v>
      </c>
      <c r="AJ5613">
        <v>1</v>
      </c>
      <c r="AK5613">
        <v>1</v>
      </c>
      <c r="AL5613">
        <v>1</v>
      </c>
      <c r="AM5613">
        <v>99.32</v>
      </c>
      <c r="AN5613">
        <v>497.03660000000002</v>
      </c>
      <c r="AO5613">
        <v>466.47</v>
      </c>
      <c r="AP5613" s="13">
        <v>45940</v>
      </c>
      <c r="AQ5613">
        <v>0</v>
      </c>
      <c r="AR5613">
        <v>1</v>
      </c>
    </row>
    <row r="5614" spans="1:44" x14ac:dyDescent="0.35">
      <c r="A5614" s="12" t="s">
        <v>6720</v>
      </c>
      <c r="B5614" s="12" t="s">
        <v>238</v>
      </c>
      <c r="C5614" s="12" t="s">
        <v>239</v>
      </c>
      <c r="D5614" s="12" t="s">
        <v>122</v>
      </c>
      <c r="E5614" s="12" t="s">
        <v>65</v>
      </c>
      <c r="F5614">
        <v>3</v>
      </c>
      <c r="G5614">
        <v>4</v>
      </c>
      <c r="H5614">
        <v>0</v>
      </c>
      <c r="I5614" s="12" t="s">
        <v>243</v>
      </c>
      <c r="J5614" s="12" t="s">
        <v>244</v>
      </c>
      <c r="K5614" s="12" t="s">
        <v>81</v>
      </c>
      <c r="L5614" s="12" t="s">
        <v>82</v>
      </c>
      <c r="M5614">
        <v>9.2200000000000006</v>
      </c>
      <c r="N5614" s="12" t="s">
        <v>97</v>
      </c>
      <c r="O5614" s="12" t="s">
        <v>98</v>
      </c>
      <c r="P5614" s="12" t="s">
        <v>72</v>
      </c>
      <c r="Q5614" s="13">
        <v>45902</v>
      </c>
      <c r="R5614" s="13">
        <v>45936</v>
      </c>
      <c r="S5614">
        <v>2025</v>
      </c>
      <c r="T5614" s="12" t="s">
        <v>6704</v>
      </c>
      <c r="U5614">
        <v>1525</v>
      </c>
      <c r="V5614">
        <v>35.924999999999997</v>
      </c>
      <c r="W5614">
        <v>1012.12</v>
      </c>
      <c r="X5614">
        <v>0</v>
      </c>
      <c r="Y5614">
        <v>0</v>
      </c>
      <c r="Z5614">
        <v>54785.63</v>
      </c>
      <c r="AA5614">
        <v>55797.75</v>
      </c>
      <c r="AB5614" s="12" t="s">
        <v>6226</v>
      </c>
      <c r="AC5614">
        <v>35.924999999999997</v>
      </c>
      <c r="AD5614">
        <v>1</v>
      </c>
      <c r="AE5614">
        <v>1</v>
      </c>
      <c r="AF5614">
        <v>0</v>
      </c>
      <c r="AG5614">
        <v>54785.63</v>
      </c>
      <c r="AH5614">
        <v>1525</v>
      </c>
      <c r="AI5614">
        <v>1514</v>
      </c>
      <c r="AJ5614">
        <v>11</v>
      </c>
      <c r="AK5614">
        <v>1</v>
      </c>
      <c r="AL5614">
        <v>1</v>
      </c>
      <c r="AM5614">
        <v>99.28</v>
      </c>
      <c r="AN5614">
        <v>36.854500000000002</v>
      </c>
      <c r="AO5614">
        <v>395.18</v>
      </c>
      <c r="AP5614" s="13">
        <v>45935</v>
      </c>
      <c r="AQ5614">
        <v>-1</v>
      </c>
      <c r="AR5614">
        <v>1</v>
      </c>
    </row>
    <row r="5615" spans="1:44" x14ac:dyDescent="0.35">
      <c r="A5615" s="12" t="s">
        <v>6721</v>
      </c>
      <c r="B5615" s="12" t="s">
        <v>1054</v>
      </c>
      <c r="C5615" s="12" t="s">
        <v>1055</v>
      </c>
      <c r="D5615" s="12" t="s">
        <v>122</v>
      </c>
      <c r="E5615" s="12" t="s">
        <v>65</v>
      </c>
      <c r="F5615">
        <v>1</v>
      </c>
      <c r="G5615">
        <v>2</v>
      </c>
      <c r="H5615">
        <v>1</v>
      </c>
      <c r="I5615" s="12" t="s">
        <v>176</v>
      </c>
      <c r="J5615" s="12" t="s">
        <v>177</v>
      </c>
      <c r="K5615" s="12" t="s">
        <v>125</v>
      </c>
      <c r="L5615" s="12" t="s">
        <v>134</v>
      </c>
      <c r="M5615">
        <v>1.75</v>
      </c>
      <c r="N5615" s="12" t="s">
        <v>97</v>
      </c>
      <c r="O5615" s="12" t="s">
        <v>98</v>
      </c>
      <c r="P5615" s="12" t="s">
        <v>72</v>
      </c>
      <c r="Q5615" s="13">
        <v>45903</v>
      </c>
      <c r="R5615" s="13">
        <v>45924</v>
      </c>
      <c r="S5615">
        <v>2025</v>
      </c>
      <c r="T5615" s="12" t="s">
        <v>6704</v>
      </c>
      <c r="U5615">
        <v>208</v>
      </c>
      <c r="V5615">
        <v>44.811300000000003</v>
      </c>
      <c r="W5615">
        <v>228.85</v>
      </c>
      <c r="X5615">
        <v>0</v>
      </c>
      <c r="Y5615">
        <v>0</v>
      </c>
      <c r="Z5615">
        <v>9320.75</v>
      </c>
      <c r="AA5615">
        <v>9549.6</v>
      </c>
      <c r="AB5615" s="12" t="s">
        <v>5608</v>
      </c>
      <c r="AC5615">
        <v>44.811300000000003</v>
      </c>
      <c r="AD5615">
        <v>1</v>
      </c>
      <c r="AE5615">
        <v>1</v>
      </c>
      <c r="AF5615">
        <v>0</v>
      </c>
      <c r="AG5615">
        <v>9320.75</v>
      </c>
      <c r="AH5615">
        <v>208</v>
      </c>
      <c r="AI5615">
        <v>207</v>
      </c>
      <c r="AJ5615">
        <v>1</v>
      </c>
      <c r="AK5615">
        <v>1</v>
      </c>
      <c r="AL5615">
        <v>1</v>
      </c>
      <c r="AM5615">
        <v>99.52</v>
      </c>
      <c r="AN5615">
        <v>46.133299999999998</v>
      </c>
      <c r="AO5615">
        <v>44.81</v>
      </c>
      <c r="AP5615" s="13">
        <v>45923</v>
      </c>
      <c r="AQ5615">
        <v>-1</v>
      </c>
      <c r="AR5615">
        <v>1</v>
      </c>
    </row>
    <row r="5616" spans="1:44" x14ac:dyDescent="0.35">
      <c r="A5616" s="12" t="s">
        <v>6722</v>
      </c>
      <c r="B5616" s="12" t="s">
        <v>472</v>
      </c>
      <c r="C5616" s="12" t="s">
        <v>473</v>
      </c>
      <c r="D5616" s="12" t="s">
        <v>122</v>
      </c>
      <c r="E5616" s="12" t="s">
        <v>142</v>
      </c>
      <c r="F5616">
        <v>2</v>
      </c>
      <c r="G5616">
        <v>9</v>
      </c>
      <c r="H5616">
        <v>0</v>
      </c>
      <c r="I5616" s="12" t="s">
        <v>209</v>
      </c>
      <c r="J5616" s="12" t="s">
        <v>210</v>
      </c>
      <c r="K5616" s="12" t="s">
        <v>133</v>
      </c>
      <c r="L5616" s="12" t="s">
        <v>96</v>
      </c>
      <c r="M5616">
        <v>7.82</v>
      </c>
      <c r="N5616" s="12" t="s">
        <v>70</v>
      </c>
      <c r="O5616" s="12" t="s">
        <v>71</v>
      </c>
      <c r="P5616" s="12" t="s">
        <v>72</v>
      </c>
      <c r="Q5616" s="13">
        <v>45903</v>
      </c>
      <c r="R5616" s="13">
        <v>45938</v>
      </c>
      <c r="S5616">
        <v>2025</v>
      </c>
      <c r="T5616" s="12" t="s">
        <v>6704</v>
      </c>
      <c r="U5616">
        <v>222</v>
      </c>
      <c r="V5616">
        <v>48.026400000000002</v>
      </c>
      <c r="W5616">
        <v>233.55</v>
      </c>
      <c r="X5616">
        <v>0</v>
      </c>
      <c r="Y5616">
        <v>0</v>
      </c>
      <c r="Z5616">
        <v>10661.86</v>
      </c>
      <c r="AA5616">
        <v>10895.41</v>
      </c>
      <c r="AB5616" s="12" t="s">
        <v>201</v>
      </c>
      <c r="AD5616">
        <v>0</v>
      </c>
      <c r="AE5616">
        <v>0</v>
      </c>
      <c r="AH5616">
        <v>222</v>
      </c>
      <c r="AI5616">
        <v>221</v>
      </c>
      <c r="AJ5616">
        <v>1</v>
      </c>
      <c r="AK5616">
        <v>1</v>
      </c>
      <c r="AL5616">
        <v>1</v>
      </c>
      <c r="AM5616">
        <v>99.55</v>
      </c>
      <c r="AN5616">
        <v>49.3005</v>
      </c>
      <c r="AO5616">
        <v>48.03</v>
      </c>
      <c r="AP5616" s="13">
        <v>45937</v>
      </c>
      <c r="AQ5616">
        <v>-1</v>
      </c>
      <c r="AR5616">
        <v>1</v>
      </c>
    </row>
    <row r="5617" spans="1:44" x14ac:dyDescent="0.35">
      <c r="A5617" s="12" t="s">
        <v>6723</v>
      </c>
      <c r="B5617" s="12" t="s">
        <v>477</v>
      </c>
      <c r="C5617" s="12" t="s">
        <v>478</v>
      </c>
      <c r="D5617" s="12" t="s">
        <v>130</v>
      </c>
      <c r="E5617" s="12" t="s">
        <v>104</v>
      </c>
      <c r="F5617">
        <v>3</v>
      </c>
      <c r="G5617">
        <v>1</v>
      </c>
      <c r="H5617">
        <v>0</v>
      </c>
      <c r="I5617" s="12" t="s">
        <v>515</v>
      </c>
      <c r="J5617" s="12" t="s">
        <v>516</v>
      </c>
      <c r="K5617" s="12" t="s">
        <v>68</v>
      </c>
      <c r="L5617" s="12" t="s">
        <v>134</v>
      </c>
      <c r="M5617">
        <v>3.69</v>
      </c>
      <c r="N5617" s="12" t="s">
        <v>159</v>
      </c>
      <c r="O5617" s="12" t="s">
        <v>160</v>
      </c>
      <c r="P5617" s="12" t="s">
        <v>137</v>
      </c>
      <c r="Q5617" s="13">
        <v>45903</v>
      </c>
      <c r="R5617" s="13">
        <v>45926</v>
      </c>
      <c r="S5617">
        <v>2025</v>
      </c>
      <c r="T5617" s="12" t="s">
        <v>6704</v>
      </c>
      <c r="U5617">
        <v>96</v>
      </c>
      <c r="V5617">
        <v>744.31029999999998</v>
      </c>
      <c r="W5617">
        <v>1313.97</v>
      </c>
      <c r="X5617">
        <v>0</v>
      </c>
      <c r="Y5617">
        <v>0</v>
      </c>
      <c r="Z5617">
        <v>71453.789999999994</v>
      </c>
      <c r="AA5617">
        <v>72767.759999999995</v>
      </c>
      <c r="AB5617" s="12" t="s">
        <v>201</v>
      </c>
      <c r="AD5617">
        <v>0</v>
      </c>
      <c r="AE5617">
        <v>0</v>
      </c>
      <c r="AH5617">
        <v>96</v>
      </c>
      <c r="AI5617">
        <v>95</v>
      </c>
      <c r="AJ5617">
        <v>1</v>
      </c>
      <c r="AK5617">
        <v>1</v>
      </c>
      <c r="AL5617">
        <v>1</v>
      </c>
      <c r="AM5617">
        <v>98.96</v>
      </c>
      <c r="AN5617">
        <v>765.97640000000001</v>
      </c>
      <c r="AO5617">
        <v>744.31</v>
      </c>
      <c r="AP5617" s="13">
        <v>45925</v>
      </c>
      <c r="AQ5617">
        <v>-1</v>
      </c>
      <c r="AR5617">
        <v>1</v>
      </c>
    </row>
    <row r="5618" spans="1:44" x14ac:dyDescent="0.35">
      <c r="A5618" s="12" t="s">
        <v>6724</v>
      </c>
      <c r="B5618" s="12" t="s">
        <v>420</v>
      </c>
      <c r="C5618" s="12" t="s">
        <v>421</v>
      </c>
      <c r="D5618" s="12" t="s">
        <v>269</v>
      </c>
      <c r="E5618" s="12" t="s">
        <v>104</v>
      </c>
      <c r="F5618">
        <v>2</v>
      </c>
      <c r="G5618">
        <v>0</v>
      </c>
      <c r="H5618">
        <v>0</v>
      </c>
      <c r="I5618" s="12" t="s">
        <v>380</v>
      </c>
      <c r="J5618" s="12" t="s">
        <v>381</v>
      </c>
      <c r="K5618" s="12" t="s">
        <v>89</v>
      </c>
      <c r="L5618" s="12" t="s">
        <v>96</v>
      </c>
      <c r="M5618">
        <v>10.210000000000001</v>
      </c>
      <c r="N5618" s="12" t="s">
        <v>135</v>
      </c>
      <c r="O5618" s="12" t="s">
        <v>136</v>
      </c>
      <c r="P5618" s="12" t="s">
        <v>137</v>
      </c>
      <c r="Q5618" s="13">
        <v>45903</v>
      </c>
      <c r="R5618" s="13">
        <v>45931</v>
      </c>
      <c r="S5618">
        <v>2025</v>
      </c>
      <c r="T5618" s="12" t="s">
        <v>6704</v>
      </c>
      <c r="U5618">
        <v>138</v>
      </c>
      <c r="V5618">
        <v>137.98429999999999</v>
      </c>
      <c r="W5618">
        <v>236.69</v>
      </c>
      <c r="X5618">
        <v>623.6</v>
      </c>
      <c r="Y5618">
        <v>1</v>
      </c>
      <c r="Z5618">
        <v>19041.830000000002</v>
      </c>
      <c r="AA5618">
        <v>19902.12</v>
      </c>
      <c r="AB5618" s="12" t="s">
        <v>5648</v>
      </c>
      <c r="AC5618">
        <v>137.98429999999999</v>
      </c>
      <c r="AD5618">
        <v>1</v>
      </c>
      <c r="AE5618">
        <v>1</v>
      </c>
      <c r="AF5618">
        <v>0</v>
      </c>
      <c r="AG5618">
        <v>19041.830000000002</v>
      </c>
      <c r="AH5618">
        <v>138</v>
      </c>
      <c r="AI5618">
        <v>137</v>
      </c>
      <c r="AJ5618">
        <v>1</v>
      </c>
      <c r="AK5618">
        <v>1</v>
      </c>
      <c r="AL5618">
        <v>1</v>
      </c>
      <c r="AM5618">
        <v>99.28</v>
      </c>
      <c r="AN5618">
        <v>145.27099999999999</v>
      </c>
      <c r="AO5618">
        <v>137.97999999999999</v>
      </c>
      <c r="AP5618" s="13">
        <v>45928</v>
      </c>
      <c r="AQ5618">
        <v>-3</v>
      </c>
      <c r="AR5618">
        <v>1</v>
      </c>
    </row>
    <row r="5619" spans="1:44" x14ac:dyDescent="0.35">
      <c r="A5619" s="12" t="s">
        <v>6725</v>
      </c>
      <c r="B5619" s="12" t="s">
        <v>732</v>
      </c>
      <c r="C5619" s="12" t="s">
        <v>733</v>
      </c>
      <c r="D5619" s="12" t="s">
        <v>114</v>
      </c>
      <c r="E5619" s="12" t="s">
        <v>104</v>
      </c>
      <c r="F5619">
        <v>3</v>
      </c>
      <c r="G5619">
        <v>1</v>
      </c>
      <c r="H5619">
        <v>0</v>
      </c>
      <c r="I5619" s="12" t="s">
        <v>199</v>
      </c>
      <c r="J5619" s="12" t="s">
        <v>200</v>
      </c>
      <c r="K5619" s="12" t="s">
        <v>68</v>
      </c>
      <c r="L5619" s="12" t="s">
        <v>96</v>
      </c>
      <c r="M5619">
        <v>9.4700000000000006</v>
      </c>
      <c r="N5619" s="12" t="s">
        <v>97</v>
      </c>
      <c r="O5619" s="12" t="s">
        <v>98</v>
      </c>
      <c r="P5619" s="12" t="s">
        <v>72</v>
      </c>
      <c r="Q5619" s="13">
        <v>45903</v>
      </c>
      <c r="R5619" s="13">
        <v>45929</v>
      </c>
      <c r="S5619">
        <v>2025</v>
      </c>
      <c r="T5619" s="12" t="s">
        <v>6704</v>
      </c>
      <c r="U5619">
        <v>125</v>
      </c>
      <c r="V5619">
        <v>294.74509999999998</v>
      </c>
      <c r="W5619">
        <v>533.24</v>
      </c>
      <c r="X5619">
        <v>0</v>
      </c>
      <c r="Y5619">
        <v>0</v>
      </c>
      <c r="Z5619">
        <v>36843.14</v>
      </c>
      <c r="AA5619">
        <v>37376.379999999997</v>
      </c>
      <c r="AB5619" s="12" t="s">
        <v>6494</v>
      </c>
      <c r="AC5619">
        <v>294.74509999999998</v>
      </c>
      <c r="AD5619">
        <v>1</v>
      </c>
      <c r="AE5619">
        <v>1</v>
      </c>
      <c r="AF5619">
        <v>0</v>
      </c>
      <c r="AG5619">
        <v>36843.14</v>
      </c>
      <c r="AH5619">
        <v>125</v>
      </c>
      <c r="AI5619">
        <v>123</v>
      </c>
      <c r="AJ5619">
        <v>2</v>
      </c>
      <c r="AK5619">
        <v>1</v>
      </c>
      <c r="AL5619">
        <v>1</v>
      </c>
      <c r="AM5619">
        <v>98.4</v>
      </c>
      <c r="AN5619">
        <v>303.87299999999999</v>
      </c>
      <c r="AO5619">
        <v>589.49</v>
      </c>
      <c r="AP5619" s="13">
        <v>45927</v>
      </c>
      <c r="AQ5619">
        <v>-2</v>
      </c>
      <c r="AR5619">
        <v>1</v>
      </c>
    </row>
    <row r="5620" spans="1:44" x14ac:dyDescent="0.35">
      <c r="A5620" s="12" t="s">
        <v>6726</v>
      </c>
      <c r="B5620" s="12" t="s">
        <v>972</v>
      </c>
      <c r="C5620" s="12" t="s">
        <v>973</v>
      </c>
      <c r="D5620" s="12" t="s">
        <v>130</v>
      </c>
      <c r="E5620" s="12" t="s">
        <v>142</v>
      </c>
      <c r="F5620">
        <v>2</v>
      </c>
      <c r="G5620">
        <v>9</v>
      </c>
      <c r="H5620">
        <v>0</v>
      </c>
      <c r="I5620" s="12" t="s">
        <v>676</v>
      </c>
      <c r="J5620" s="12" t="s">
        <v>677</v>
      </c>
      <c r="K5620" s="12" t="s">
        <v>68</v>
      </c>
      <c r="L5620" s="12" t="s">
        <v>96</v>
      </c>
      <c r="M5620">
        <v>3.57</v>
      </c>
      <c r="N5620" s="12" t="s">
        <v>135</v>
      </c>
      <c r="O5620" s="12" t="s">
        <v>136</v>
      </c>
      <c r="P5620" s="12" t="s">
        <v>137</v>
      </c>
      <c r="Q5620" s="13">
        <v>45903</v>
      </c>
      <c r="R5620" s="13">
        <v>45945</v>
      </c>
      <c r="S5620">
        <v>2025</v>
      </c>
      <c r="T5620" s="12" t="s">
        <v>6704</v>
      </c>
      <c r="U5620">
        <v>68</v>
      </c>
      <c r="V5620">
        <v>839.82719999999995</v>
      </c>
      <c r="W5620">
        <v>1159.8699999999999</v>
      </c>
      <c r="X5620">
        <v>0</v>
      </c>
      <c r="Y5620">
        <v>0</v>
      </c>
      <c r="Z5620">
        <v>57108.25</v>
      </c>
      <c r="AA5620">
        <v>58268.12</v>
      </c>
      <c r="AB5620" s="12" t="s">
        <v>6005</v>
      </c>
      <c r="AC5620">
        <v>839.82719999999995</v>
      </c>
      <c r="AD5620">
        <v>1</v>
      </c>
      <c r="AE5620">
        <v>1</v>
      </c>
      <c r="AF5620">
        <v>0</v>
      </c>
      <c r="AG5620">
        <v>57108.25</v>
      </c>
      <c r="AH5620">
        <v>68</v>
      </c>
      <c r="AI5620">
        <v>67</v>
      </c>
      <c r="AJ5620">
        <v>1</v>
      </c>
      <c r="AK5620">
        <v>1</v>
      </c>
      <c r="AL5620">
        <v>1</v>
      </c>
      <c r="AM5620">
        <v>98.53</v>
      </c>
      <c r="AN5620">
        <v>869.67340000000002</v>
      </c>
      <c r="AO5620">
        <v>839.83</v>
      </c>
      <c r="AP5620" s="13">
        <v>45949</v>
      </c>
      <c r="AQ5620">
        <v>4</v>
      </c>
      <c r="AR5620">
        <v>0</v>
      </c>
    </row>
    <row r="5621" spans="1:44" x14ac:dyDescent="0.35">
      <c r="A5621" s="12" t="s">
        <v>6727</v>
      </c>
      <c r="B5621" s="12" t="s">
        <v>537</v>
      </c>
      <c r="C5621" s="12" t="s">
        <v>538</v>
      </c>
      <c r="D5621" s="12" t="s">
        <v>103</v>
      </c>
      <c r="E5621" s="12" t="s">
        <v>104</v>
      </c>
      <c r="F5621">
        <v>3</v>
      </c>
      <c r="G5621">
        <v>0</v>
      </c>
      <c r="H5621">
        <v>0</v>
      </c>
      <c r="I5621" s="12" t="s">
        <v>380</v>
      </c>
      <c r="J5621" s="12" t="s">
        <v>381</v>
      </c>
      <c r="K5621" s="12" t="s">
        <v>89</v>
      </c>
      <c r="L5621" s="12" t="s">
        <v>96</v>
      </c>
      <c r="M5621">
        <v>10.210000000000001</v>
      </c>
      <c r="N5621" s="12" t="s">
        <v>107</v>
      </c>
      <c r="O5621" s="12" t="s">
        <v>108</v>
      </c>
      <c r="P5621" s="12" t="s">
        <v>109</v>
      </c>
      <c r="Q5621" s="13">
        <v>45904</v>
      </c>
      <c r="R5621" s="13">
        <v>45921</v>
      </c>
      <c r="S5621">
        <v>2025</v>
      </c>
      <c r="T5621" s="12" t="s">
        <v>6704</v>
      </c>
      <c r="U5621">
        <v>54</v>
      </c>
      <c r="V5621">
        <v>242.47130000000001</v>
      </c>
      <c r="W5621">
        <v>254.92</v>
      </c>
      <c r="X5621">
        <v>0</v>
      </c>
      <c r="Y5621">
        <v>0</v>
      </c>
      <c r="Z5621">
        <v>13093.45</v>
      </c>
      <c r="AA5621">
        <v>13348.37</v>
      </c>
      <c r="AB5621" s="12" t="s">
        <v>6070</v>
      </c>
      <c r="AC5621">
        <v>242.47130000000001</v>
      </c>
      <c r="AD5621">
        <v>1</v>
      </c>
      <c r="AE5621">
        <v>1</v>
      </c>
      <c r="AF5621">
        <v>0</v>
      </c>
      <c r="AG5621">
        <v>13093.45</v>
      </c>
      <c r="AH5621">
        <v>54</v>
      </c>
      <c r="AI5621">
        <v>54</v>
      </c>
      <c r="AJ5621">
        <v>0</v>
      </c>
      <c r="AK5621">
        <v>1</v>
      </c>
      <c r="AL5621">
        <v>1</v>
      </c>
      <c r="AM5621">
        <v>100</v>
      </c>
      <c r="AN5621">
        <v>247.19200000000001</v>
      </c>
      <c r="AO5621">
        <v>0</v>
      </c>
      <c r="AP5621" s="13">
        <v>45918</v>
      </c>
      <c r="AQ5621">
        <v>-3</v>
      </c>
      <c r="AR5621">
        <v>1</v>
      </c>
    </row>
    <row r="5622" spans="1:44" x14ac:dyDescent="0.35">
      <c r="A5622" s="12" t="s">
        <v>6728</v>
      </c>
      <c r="B5622" s="12" t="s">
        <v>416</v>
      </c>
      <c r="C5622" s="12" t="s">
        <v>417</v>
      </c>
      <c r="D5622" s="12" t="s">
        <v>78</v>
      </c>
      <c r="E5622" s="12" t="s">
        <v>65</v>
      </c>
      <c r="F5622">
        <v>3</v>
      </c>
      <c r="G5622">
        <v>5</v>
      </c>
      <c r="H5622">
        <v>0</v>
      </c>
      <c r="I5622" s="12" t="s">
        <v>169</v>
      </c>
      <c r="J5622" s="12" t="s">
        <v>170</v>
      </c>
      <c r="K5622" s="12" t="s">
        <v>89</v>
      </c>
      <c r="L5622" s="12" t="s">
        <v>134</v>
      </c>
      <c r="M5622">
        <v>1.37</v>
      </c>
      <c r="N5622" s="12" t="s">
        <v>70</v>
      </c>
      <c r="O5622" s="12" t="s">
        <v>71</v>
      </c>
      <c r="P5622" s="12" t="s">
        <v>72</v>
      </c>
      <c r="Q5622" s="13">
        <v>45904</v>
      </c>
      <c r="R5622" s="13">
        <v>45928</v>
      </c>
      <c r="S5622">
        <v>2025</v>
      </c>
      <c r="T5622" s="12" t="s">
        <v>6704</v>
      </c>
      <c r="U5622">
        <v>90</v>
      </c>
      <c r="V5622">
        <v>129.0615</v>
      </c>
      <c r="W5622">
        <v>165.95</v>
      </c>
      <c r="X5622">
        <v>0</v>
      </c>
      <c r="Y5622">
        <v>0</v>
      </c>
      <c r="Z5622">
        <v>11615.54</v>
      </c>
      <c r="AA5622">
        <v>11781.49</v>
      </c>
      <c r="AB5622" s="12" t="s">
        <v>5522</v>
      </c>
      <c r="AC5622">
        <v>129.0615</v>
      </c>
      <c r="AD5622">
        <v>1</v>
      </c>
      <c r="AE5622">
        <v>1</v>
      </c>
      <c r="AF5622">
        <v>0</v>
      </c>
      <c r="AG5622">
        <v>11615.54</v>
      </c>
      <c r="AH5622">
        <v>90</v>
      </c>
      <c r="AI5622">
        <v>89</v>
      </c>
      <c r="AJ5622">
        <v>1</v>
      </c>
      <c r="AK5622">
        <v>1</v>
      </c>
      <c r="AL5622">
        <v>1</v>
      </c>
      <c r="AM5622">
        <v>98.89</v>
      </c>
      <c r="AN5622">
        <v>132.37620000000001</v>
      </c>
      <c r="AO5622">
        <v>129.06</v>
      </c>
      <c r="AP5622" s="13">
        <v>45926</v>
      </c>
      <c r="AQ5622">
        <v>-2</v>
      </c>
      <c r="AR5622">
        <v>1</v>
      </c>
    </row>
    <row r="5623" spans="1:44" x14ac:dyDescent="0.35">
      <c r="A5623" s="12" t="s">
        <v>6729</v>
      </c>
      <c r="B5623" s="12" t="s">
        <v>617</v>
      </c>
      <c r="C5623" s="12" t="s">
        <v>618</v>
      </c>
      <c r="D5623" s="12" t="s">
        <v>78</v>
      </c>
      <c r="E5623" s="12" t="s">
        <v>65</v>
      </c>
      <c r="F5623">
        <v>2</v>
      </c>
      <c r="G5623">
        <v>4</v>
      </c>
      <c r="H5623">
        <v>0</v>
      </c>
      <c r="I5623" s="12" t="s">
        <v>341</v>
      </c>
      <c r="J5623" s="12" t="s">
        <v>342</v>
      </c>
      <c r="K5623" s="12" t="s">
        <v>117</v>
      </c>
      <c r="L5623" s="12" t="s">
        <v>82</v>
      </c>
      <c r="M5623">
        <v>18.36</v>
      </c>
      <c r="N5623" s="12" t="s">
        <v>70</v>
      </c>
      <c r="O5623" s="12" t="s">
        <v>71</v>
      </c>
      <c r="P5623" s="12" t="s">
        <v>72</v>
      </c>
      <c r="Q5623" s="13">
        <v>45904</v>
      </c>
      <c r="R5623" s="13">
        <v>45938</v>
      </c>
      <c r="S5623">
        <v>2025</v>
      </c>
      <c r="T5623" s="12" t="s">
        <v>6704</v>
      </c>
      <c r="U5623">
        <v>234</v>
      </c>
      <c r="V5623">
        <v>97.033799999999999</v>
      </c>
      <c r="W5623">
        <v>148.02000000000001</v>
      </c>
      <c r="X5623">
        <v>0</v>
      </c>
      <c r="Y5623">
        <v>0</v>
      </c>
      <c r="Z5623">
        <v>22705.91</v>
      </c>
      <c r="AA5623">
        <v>22853.93</v>
      </c>
      <c r="AB5623" s="12" t="s">
        <v>5541</v>
      </c>
      <c r="AC5623">
        <v>97.033799999999999</v>
      </c>
      <c r="AD5623">
        <v>1</v>
      </c>
      <c r="AE5623">
        <v>1</v>
      </c>
      <c r="AF5623">
        <v>0</v>
      </c>
      <c r="AG5623">
        <v>22705.91</v>
      </c>
      <c r="AH5623">
        <v>234</v>
      </c>
      <c r="AI5623">
        <v>229</v>
      </c>
      <c r="AJ5623">
        <v>5</v>
      </c>
      <c r="AK5623">
        <v>1</v>
      </c>
      <c r="AL5623">
        <v>1</v>
      </c>
      <c r="AM5623">
        <v>97.86</v>
      </c>
      <c r="AN5623">
        <v>99.7988</v>
      </c>
      <c r="AO5623">
        <v>485.17</v>
      </c>
      <c r="AP5623" s="13">
        <v>45936</v>
      </c>
      <c r="AQ5623">
        <v>-2</v>
      </c>
      <c r="AR5623">
        <v>1</v>
      </c>
    </row>
    <row r="5624" spans="1:44" x14ac:dyDescent="0.35">
      <c r="A5624" s="12" t="s">
        <v>6730</v>
      </c>
      <c r="B5624" s="12" t="s">
        <v>378</v>
      </c>
      <c r="C5624" s="12" t="s">
        <v>379</v>
      </c>
      <c r="D5624" s="12" t="s">
        <v>64</v>
      </c>
      <c r="E5624" s="12" t="s">
        <v>104</v>
      </c>
      <c r="F5624">
        <v>3</v>
      </c>
      <c r="G5624">
        <v>1</v>
      </c>
      <c r="H5624">
        <v>0</v>
      </c>
      <c r="I5624" s="12" t="s">
        <v>176</v>
      </c>
      <c r="J5624" s="12" t="s">
        <v>177</v>
      </c>
      <c r="K5624" s="12" t="s">
        <v>125</v>
      </c>
      <c r="L5624" s="12" t="s">
        <v>134</v>
      </c>
      <c r="M5624">
        <v>1.75</v>
      </c>
      <c r="N5624" s="12" t="s">
        <v>97</v>
      </c>
      <c r="O5624" s="12" t="s">
        <v>98</v>
      </c>
      <c r="P5624" s="12" t="s">
        <v>72</v>
      </c>
      <c r="Q5624" s="13">
        <v>45904</v>
      </c>
      <c r="R5624" s="13">
        <v>45924</v>
      </c>
      <c r="S5624">
        <v>2025</v>
      </c>
      <c r="T5624" s="12" t="s">
        <v>6704</v>
      </c>
      <c r="U5624">
        <v>503</v>
      </c>
      <c r="V5624">
        <v>15.3276</v>
      </c>
      <c r="W5624">
        <v>61.99</v>
      </c>
      <c r="X5624">
        <v>0</v>
      </c>
      <c r="Y5624">
        <v>0</v>
      </c>
      <c r="Z5624">
        <v>7709.78</v>
      </c>
      <c r="AA5624">
        <v>7771.77</v>
      </c>
      <c r="AB5624" s="12" t="s">
        <v>201</v>
      </c>
      <c r="AD5624">
        <v>0</v>
      </c>
      <c r="AE5624">
        <v>0</v>
      </c>
      <c r="AH5624">
        <v>503</v>
      </c>
      <c r="AI5624">
        <v>496</v>
      </c>
      <c r="AJ5624">
        <v>7</v>
      </c>
      <c r="AK5624">
        <v>1</v>
      </c>
      <c r="AL5624">
        <v>1</v>
      </c>
      <c r="AM5624">
        <v>98.61</v>
      </c>
      <c r="AN5624">
        <v>15.668900000000001</v>
      </c>
      <c r="AO5624">
        <v>107.29</v>
      </c>
      <c r="AP5624" s="13">
        <v>45923</v>
      </c>
      <c r="AQ5624">
        <v>-1</v>
      </c>
      <c r="AR5624">
        <v>1</v>
      </c>
    </row>
    <row r="5625" spans="1:44" x14ac:dyDescent="0.35">
      <c r="A5625" s="12" t="s">
        <v>6731</v>
      </c>
      <c r="B5625" s="12" t="s">
        <v>532</v>
      </c>
      <c r="C5625" s="12" t="s">
        <v>533</v>
      </c>
      <c r="D5625" s="12" t="s">
        <v>114</v>
      </c>
      <c r="E5625" s="12" t="s">
        <v>65</v>
      </c>
      <c r="F5625">
        <v>2</v>
      </c>
      <c r="G5625">
        <v>3</v>
      </c>
      <c r="H5625">
        <v>0</v>
      </c>
      <c r="I5625" s="12" t="s">
        <v>115</v>
      </c>
      <c r="J5625" s="12" t="s">
        <v>116</v>
      </c>
      <c r="K5625" s="12" t="s">
        <v>117</v>
      </c>
      <c r="L5625" s="12" t="s">
        <v>82</v>
      </c>
      <c r="M5625">
        <v>17.170000000000002</v>
      </c>
      <c r="N5625" s="12" t="s">
        <v>97</v>
      </c>
      <c r="O5625" s="12" t="s">
        <v>98</v>
      </c>
      <c r="P5625" s="12" t="s">
        <v>72</v>
      </c>
      <c r="Q5625" s="13">
        <v>45904</v>
      </c>
      <c r="R5625" s="13">
        <v>45937</v>
      </c>
      <c r="S5625">
        <v>2025</v>
      </c>
      <c r="T5625" s="12" t="s">
        <v>6704</v>
      </c>
      <c r="U5625">
        <v>111</v>
      </c>
      <c r="V5625">
        <v>234.55500000000001</v>
      </c>
      <c r="W5625">
        <v>455.94</v>
      </c>
      <c r="X5625">
        <v>0</v>
      </c>
      <c r="Y5625">
        <v>0</v>
      </c>
      <c r="Z5625">
        <v>26035.61</v>
      </c>
      <c r="AA5625">
        <v>26491.55</v>
      </c>
      <c r="AB5625" s="12" t="s">
        <v>5930</v>
      </c>
      <c r="AC5625">
        <v>234.55500000000001</v>
      </c>
      <c r="AD5625">
        <v>1</v>
      </c>
      <c r="AE5625">
        <v>1</v>
      </c>
      <c r="AF5625">
        <v>0</v>
      </c>
      <c r="AG5625">
        <v>26035.61</v>
      </c>
      <c r="AH5625">
        <v>111</v>
      </c>
      <c r="AI5625">
        <v>108</v>
      </c>
      <c r="AJ5625">
        <v>3</v>
      </c>
      <c r="AK5625">
        <v>1</v>
      </c>
      <c r="AL5625">
        <v>1</v>
      </c>
      <c r="AM5625">
        <v>97.3</v>
      </c>
      <c r="AN5625">
        <v>245.2921</v>
      </c>
      <c r="AO5625">
        <v>703.67</v>
      </c>
      <c r="AP5625" s="13">
        <v>45941</v>
      </c>
      <c r="AQ5625">
        <v>4</v>
      </c>
      <c r="AR5625">
        <v>0</v>
      </c>
    </row>
    <row r="5626" spans="1:44" x14ac:dyDescent="0.35">
      <c r="A5626" s="12" t="s">
        <v>6732</v>
      </c>
      <c r="B5626" s="12" t="s">
        <v>140</v>
      </c>
      <c r="C5626" s="12" t="s">
        <v>141</v>
      </c>
      <c r="D5626" s="12" t="s">
        <v>103</v>
      </c>
      <c r="E5626" s="12" t="s">
        <v>142</v>
      </c>
      <c r="F5626">
        <v>1</v>
      </c>
      <c r="G5626">
        <v>7</v>
      </c>
      <c r="H5626">
        <v>1</v>
      </c>
      <c r="I5626" s="12" t="s">
        <v>143</v>
      </c>
      <c r="J5626" s="12" t="s">
        <v>144</v>
      </c>
      <c r="K5626" s="12" t="s">
        <v>133</v>
      </c>
      <c r="L5626" s="12" t="s">
        <v>96</v>
      </c>
      <c r="M5626">
        <v>5.43</v>
      </c>
      <c r="N5626" s="12" t="s">
        <v>107</v>
      </c>
      <c r="O5626" s="12" t="s">
        <v>108</v>
      </c>
      <c r="P5626" s="12" t="s">
        <v>109</v>
      </c>
      <c r="Q5626" s="13">
        <v>45904</v>
      </c>
      <c r="R5626" s="13">
        <v>45956</v>
      </c>
      <c r="S5626">
        <v>2025</v>
      </c>
      <c r="T5626" s="12" t="s">
        <v>6704</v>
      </c>
      <c r="U5626">
        <v>147</v>
      </c>
      <c r="V5626">
        <v>210.93029999999999</v>
      </c>
      <c r="W5626">
        <v>423.58</v>
      </c>
      <c r="X5626">
        <v>0</v>
      </c>
      <c r="Y5626">
        <v>0</v>
      </c>
      <c r="Z5626">
        <v>31006.75</v>
      </c>
      <c r="AA5626">
        <v>31430.33</v>
      </c>
      <c r="AB5626" s="12" t="s">
        <v>5126</v>
      </c>
      <c r="AC5626">
        <v>210.93029999999999</v>
      </c>
      <c r="AD5626">
        <v>1</v>
      </c>
      <c r="AE5626">
        <v>1</v>
      </c>
      <c r="AF5626">
        <v>0</v>
      </c>
      <c r="AG5626">
        <v>31006.75</v>
      </c>
      <c r="AH5626">
        <v>147</v>
      </c>
      <c r="AI5626">
        <v>146</v>
      </c>
      <c r="AJ5626">
        <v>1</v>
      </c>
      <c r="AK5626">
        <v>1</v>
      </c>
      <c r="AL5626">
        <v>1</v>
      </c>
      <c r="AM5626">
        <v>99.32</v>
      </c>
      <c r="AN5626">
        <v>215.27629999999999</v>
      </c>
      <c r="AO5626">
        <v>210.93</v>
      </c>
      <c r="AP5626" s="13">
        <v>45962</v>
      </c>
      <c r="AQ5626">
        <v>6</v>
      </c>
      <c r="AR5626">
        <v>0</v>
      </c>
    </row>
    <row r="5627" spans="1:44" x14ac:dyDescent="0.35">
      <c r="A5627" s="12" t="s">
        <v>6733</v>
      </c>
      <c r="B5627" s="12" t="s">
        <v>509</v>
      </c>
      <c r="C5627" s="12" t="s">
        <v>510</v>
      </c>
      <c r="D5627" s="12" t="s">
        <v>78</v>
      </c>
      <c r="E5627" s="12" t="s">
        <v>142</v>
      </c>
      <c r="F5627">
        <v>3</v>
      </c>
      <c r="G5627">
        <v>11</v>
      </c>
      <c r="H5627">
        <v>0</v>
      </c>
      <c r="I5627" s="12" t="s">
        <v>176</v>
      </c>
      <c r="J5627" s="12" t="s">
        <v>177</v>
      </c>
      <c r="K5627" s="12" t="s">
        <v>125</v>
      </c>
      <c r="L5627" s="12" t="s">
        <v>134</v>
      </c>
      <c r="M5627">
        <v>1.75</v>
      </c>
      <c r="N5627" s="12" t="s">
        <v>70</v>
      </c>
      <c r="O5627" s="12" t="s">
        <v>71</v>
      </c>
      <c r="P5627" s="12" t="s">
        <v>72</v>
      </c>
      <c r="Q5627" s="13">
        <v>45904</v>
      </c>
      <c r="R5627" s="13">
        <v>45944</v>
      </c>
      <c r="S5627">
        <v>2025</v>
      </c>
      <c r="T5627" s="12" t="s">
        <v>6704</v>
      </c>
      <c r="U5627">
        <v>113</v>
      </c>
      <c r="V5627">
        <v>134.56649999999999</v>
      </c>
      <c r="W5627">
        <v>224.48</v>
      </c>
      <c r="X5627">
        <v>0</v>
      </c>
      <c r="Y5627">
        <v>0</v>
      </c>
      <c r="Z5627">
        <v>15206.01</v>
      </c>
      <c r="AA5627">
        <v>15430.49</v>
      </c>
      <c r="AB5627" s="12" t="s">
        <v>201</v>
      </c>
      <c r="AD5627">
        <v>0</v>
      </c>
      <c r="AE5627">
        <v>0</v>
      </c>
      <c r="AH5627">
        <v>113</v>
      </c>
      <c r="AI5627">
        <v>111</v>
      </c>
      <c r="AJ5627">
        <v>2</v>
      </c>
      <c r="AK5627">
        <v>1</v>
      </c>
      <c r="AL5627">
        <v>1</v>
      </c>
      <c r="AM5627">
        <v>98.23</v>
      </c>
      <c r="AN5627">
        <v>139.01349999999999</v>
      </c>
      <c r="AO5627">
        <v>269.13</v>
      </c>
      <c r="AP5627" s="13">
        <v>45941</v>
      </c>
      <c r="AQ5627">
        <v>-3</v>
      </c>
      <c r="AR5627">
        <v>1</v>
      </c>
    </row>
    <row r="5628" spans="1:44" x14ac:dyDescent="0.35">
      <c r="A5628" s="12" t="s">
        <v>6734</v>
      </c>
      <c r="B5628" s="12" t="s">
        <v>404</v>
      </c>
      <c r="C5628" s="12" t="s">
        <v>405</v>
      </c>
      <c r="D5628" s="12" t="s">
        <v>269</v>
      </c>
      <c r="E5628" s="12" t="s">
        <v>65</v>
      </c>
      <c r="F5628">
        <v>3</v>
      </c>
      <c r="G5628">
        <v>5</v>
      </c>
      <c r="H5628">
        <v>0</v>
      </c>
      <c r="I5628" s="12" t="s">
        <v>79</v>
      </c>
      <c r="J5628" s="12" t="s">
        <v>80</v>
      </c>
      <c r="K5628" s="12" t="s">
        <v>81</v>
      </c>
      <c r="L5628" s="12" t="s">
        <v>82</v>
      </c>
      <c r="M5628">
        <v>12.07</v>
      </c>
      <c r="N5628" s="12" t="s">
        <v>135</v>
      </c>
      <c r="O5628" s="12" t="s">
        <v>136</v>
      </c>
      <c r="P5628" s="12" t="s">
        <v>137</v>
      </c>
      <c r="Q5628" s="13">
        <v>45905</v>
      </c>
      <c r="R5628" s="13">
        <v>45943</v>
      </c>
      <c r="S5628">
        <v>2025</v>
      </c>
      <c r="T5628" s="12" t="s">
        <v>6704</v>
      </c>
      <c r="U5628">
        <v>144</v>
      </c>
      <c r="V5628">
        <v>430.10059999999999</v>
      </c>
      <c r="W5628">
        <v>597.91999999999996</v>
      </c>
      <c r="X5628">
        <v>0</v>
      </c>
      <c r="Y5628">
        <v>0</v>
      </c>
      <c r="Z5628">
        <v>61934.49</v>
      </c>
      <c r="AA5628">
        <v>62532.41</v>
      </c>
      <c r="AB5628" s="12" t="s">
        <v>5503</v>
      </c>
      <c r="AC5628">
        <v>430.10059999999999</v>
      </c>
      <c r="AD5628">
        <v>1</v>
      </c>
      <c r="AE5628">
        <v>1</v>
      </c>
      <c r="AF5628">
        <v>0</v>
      </c>
      <c r="AG5628">
        <v>61934.49</v>
      </c>
      <c r="AH5628">
        <v>144</v>
      </c>
      <c r="AI5628">
        <v>142</v>
      </c>
      <c r="AJ5628">
        <v>2</v>
      </c>
      <c r="AK5628">
        <v>1</v>
      </c>
      <c r="AL5628">
        <v>1</v>
      </c>
      <c r="AM5628">
        <v>98.61</v>
      </c>
      <c r="AN5628">
        <v>440.3691</v>
      </c>
      <c r="AO5628">
        <v>860.2</v>
      </c>
      <c r="AP5628" s="13">
        <v>45952</v>
      </c>
      <c r="AQ5628">
        <v>9</v>
      </c>
      <c r="AR5628">
        <v>0</v>
      </c>
    </row>
    <row r="5629" spans="1:44" x14ac:dyDescent="0.35">
      <c r="A5629" s="12" t="s">
        <v>6735</v>
      </c>
      <c r="B5629" s="12" t="s">
        <v>609</v>
      </c>
      <c r="C5629" s="12" t="s">
        <v>610</v>
      </c>
      <c r="D5629" s="12" t="s">
        <v>64</v>
      </c>
      <c r="E5629" s="12" t="s">
        <v>104</v>
      </c>
      <c r="F5629">
        <v>1</v>
      </c>
      <c r="G5629">
        <v>0</v>
      </c>
      <c r="H5629">
        <v>1</v>
      </c>
      <c r="I5629" s="12" t="s">
        <v>227</v>
      </c>
      <c r="J5629" s="12" t="s">
        <v>228</v>
      </c>
      <c r="K5629" s="12" t="s">
        <v>89</v>
      </c>
      <c r="L5629" s="12" t="s">
        <v>96</v>
      </c>
      <c r="M5629">
        <v>9.15</v>
      </c>
      <c r="N5629" s="12" t="s">
        <v>97</v>
      </c>
      <c r="O5629" s="12" t="s">
        <v>98</v>
      </c>
      <c r="P5629" s="12" t="s">
        <v>72</v>
      </c>
      <c r="Q5629" s="13">
        <v>45905</v>
      </c>
      <c r="R5629" s="13">
        <v>45919</v>
      </c>
      <c r="S5629">
        <v>2025</v>
      </c>
      <c r="T5629" s="12" t="s">
        <v>6704</v>
      </c>
      <c r="U5629">
        <v>233</v>
      </c>
      <c r="V5629">
        <v>20.683900000000001</v>
      </c>
      <c r="W5629">
        <v>50.05</v>
      </c>
      <c r="X5629">
        <v>0</v>
      </c>
      <c r="Y5629">
        <v>0</v>
      </c>
      <c r="Z5629">
        <v>4819.3500000000004</v>
      </c>
      <c r="AA5629">
        <v>4869.3999999999996</v>
      </c>
      <c r="AB5629" s="12" t="s">
        <v>5573</v>
      </c>
      <c r="AC5629">
        <v>20.683900000000001</v>
      </c>
      <c r="AD5629">
        <v>1</v>
      </c>
      <c r="AE5629">
        <v>1</v>
      </c>
      <c r="AF5629">
        <v>0</v>
      </c>
      <c r="AG5629">
        <v>4819.3500000000004</v>
      </c>
      <c r="AH5629">
        <v>233</v>
      </c>
      <c r="AI5629">
        <v>231</v>
      </c>
      <c r="AJ5629">
        <v>2</v>
      </c>
      <c r="AK5629">
        <v>1</v>
      </c>
      <c r="AL5629">
        <v>1</v>
      </c>
      <c r="AM5629">
        <v>99.14</v>
      </c>
      <c r="AN5629">
        <v>21.079599999999999</v>
      </c>
      <c r="AO5629">
        <v>41.37</v>
      </c>
      <c r="AP5629" s="13">
        <v>45917</v>
      </c>
      <c r="AQ5629">
        <v>-2</v>
      </c>
      <c r="AR5629">
        <v>1</v>
      </c>
    </row>
    <row r="5630" spans="1:44" x14ac:dyDescent="0.35">
      <c r="A5630" s="12" t="s">
        <v>6736</v>
      </c>
      <c r="B5630" s="12" t="s">
        <v>1220</v>
      </c>
      <c r="C5630" s="12" t="s">
        <v>1221</v>
      </c>
      <c r="D5630" s="12" t="s">
        <v>175</v>
      </c>
      <c r="E5630" s="12" t="s">
        <v>104</v>
      </c>
      <c r="F5630">
        <v>3</v>
      </c>
      <c r="G5630">
        <v>1</v>
      </c>
      <c r="H5630">
        <v>0</v>
      </c>
      <c r="I5630" s="12" t="s">
        <v>251</v>
      </c>
      <c r="J5630" s="12" t="s">
        <v>252</v>
      </c>
      <c r="K5630" s="12" t="s">
        <v>133</v>
      </c>
      <c r="L5630" s="12" t="s">
        <v>69</v>
      </c>
      <c r="M5630">
        <v>34.49</v>
      </c>
      <c r="N5630" s="12" t="s">
        <v>145</v>
      </c>
      <c r="O5630" s="12" t="s">
        <v>146</v>
      </c>
      <c r="P5630" s="12" t="s">
        <v>109</v>
      </c>
      <c r="Q5630" s="13">
        <v>45905</v>
      </c>
      <c r="R5630" s="13">
        <v>45918</v>
      </c>
      <c r="S5630">
        <v>2025</v>
      </c>
      <c r="T5630" s="12" t="s">
        <v>6704</v>
      </c>
      <c r="U5630">
        <v>22</v>
      </c>
      <c r="V5630">
        <v>130.93510000000001</v>
      </c>
      <c r="W5630">
        <v>44.06</v>
      </c>
      <c r="X5630">
        <v>0</v>
      </c>
      <c r="Y5630">
        <v>0</v>
      </c>
      <c r="Z5630">
        <v>2880.57</v>
      </c>
      <c r="AA5630">
        <v>2924.63</v>
      </c>
      <c r="AB5630" s="12" t="s">
        <v>6528</v>
      </c>
      <c r="AC5630">
        <v>138.9153</v>
      </c>
      <c r="AD5630">
        <v>1</v>
      </c>
      <c r="AE5630">
        <v>1</v>
      </c>
      <c r="AF5630">
        <v>-175.56</v>
      </c>
      <c r="AG5630">
        <v>3056.14</v>
      </c>
      <c r="AH5630">
        <v>22</v>
      </c>
      <c r="AI5630">
        <v>22</v>
      </c>
      <c r="AJ5630">
        <v>0</v>
      </c>
      <c r="AK5630">
        <v>1</v>
      </c>
      <c r="AL5630">
        <v>1</v>
      </c>
      <c r="AM5630">
        <v>100</v>
      </c>
      <c r="AN5630">
        <v>132.93780000000001</v>
      </c>
      <c r="AO5630">
        <v>0</v>
      </c>
      <c r="AP5630" s="13">
        <v>45920</v>
      </c>
      <c r="AQ5630">
        <v>2</v>
      </c>
      <c r="AR5630">
        <v>0</v>
      </c>
    </row>
    <row r="5631" spans="1:44" x14ac:dyDescent="0.35">
      <c r="A5631" s="12" t="s">
        <v>6737</v>
      </c>
      <c r="B5631" s="12" t="s">
        <v>1075</v>
      </c>
      <c r="C5631" s="12" t="s">
        <v>1076</v>
      </c>
      <c r="D5631" s="12" t="s">
        <v>103</v>
      </c>
      <c r="E5631" s="12" t="s">
        <v>65</v>
      </c>
      <c r="F5631">
        <v>2</v>
      </c>
      <c r="G5631">
        <v>4</v>
      </c>
      <c r="H5631">
        <v>0</v>
      </c>
      <c r="I5631" s="12" t="s">
        <v>183</v>
      </c>
      <c r="J5631" s="12" t="s">
        <v>184</v>
      </c>
      <c r="K5631" s="12" t="s">
        <v>133</v>
      </c>
      <c r="L5631" s="12" t="s">
        <v>82</v>
      </c>
      <c r="M5631">
        <v>8.6199999999999992</v>
      </c>
      <c r="N5631" s="12" t="s">
        <v>145</v>
      </c>
      <c r="O5631" s="12" t="s">
        <v>146</v>
      </c>
      <c r="P5631" s="12" t="s">
        <v>109</v>
      </c>
      <c r="Q5631" s="13">
        <v>45905</v>
      </c>
      <c r="R5631" s="13">
        <v>45943</v>
      </c>
      <c r="S5631">
        <v>2025</v>
      </c>
      <c r="T5631" s="12" t="s">
        <v>6704</v>
      </c>
      <c r="U5631">
        <v>145</v>
      </c>
      <c r="V5631">
        <v>73.156999999999996</v>
      </c>
      <c r="W5631">
        <v>257.14999999999998</v>
      </c>
      <c r="X5631">
        <v>0</v>
      </c>
      <c r="Y5631">
        <v>0</v>
      </c>
      <c r="Z5631">
        <v>10607.77</v>
      </c>
      <c r="AA5631">
        <v>10864.92</v>
      </c>
      <c r="AB5631" s="12" t="s">
        <v>201</v>
      </c>
      <c r="AD5631">
        <v>0</v>
      </c>
      <c r="AE5631">
        <v>0</v>
      </c>
      <c r="AH5631">
        <v>145</v>
      </c>
      <c r="AI5631">
        <v>144</v>
      </c>
      <c r="AJ5631">
        <v>1</v>
      </c>
      <c r="AK5631">
        <v>1</v>
      </c>
      <c r="AL5631">
        <v>1</v>
      </c>
      <c r="AM5631">
        <v>99.31</v>
      </c>
      <c r="AN5631">
        <v>75.450800000000001</v>
      </c>
      <c r="AO5631">
        <v>73.16</v>
      </c>
      <c r="AP5631" s="13">
        <v>45940</v>
      </c>
      <c r="AQ5631">
        <v>-3</v>
      </c>
      <c r="AR5631">
        <v>1</v>
      </c>
    </row>
    <row r="5632" spans="1:44" x14ac:dyDescent="0.35">
      <c r="A5632" s="12" t="s">
        <v>6738</v>
      </c>
      <c r="B5632" s="12" t="s">
        <v>357</v>
      </c>
      <c r="C5632" s="12" t="s">
        <v>358</v>
      </c>
      <c r="D5632" s="12" t="s">
        <v>103</v>
      </c>
      <c r="E5632" s="12" t="s">
        <v>104</v>
      </c>
      <c r="F5632">
        <v>3</v>
      </c>
      <c r="G5632">
        <v>1</v>
      </c>
      <c r="H5632">
        <v>0</v>
      </c>
      <c r="I5632" s="12" t="s">
        <v>105</v>
      </c>
      <c r="J5632" s="12" t="s">
        <v>106</v>
      </c>
      <c r="K5632" s="12" t="s">
        <v>81</v>
      </c>
      <c r="L5632" s="12" t="s">
        <v>96</v>
      </c>
      <c r="M5632">
        <v>5.01</v>
      </c>
      <c r="N5632" s="12" t="s">
        <v>107</v>
      </c>
      <c r="O5632" s="12" t="s">
        <v>108</v>
      </c>
      <c r="P5632" s="12" t="s">
        <v>109</v>
      </c>
      <c r="Q5632" s="13">
        <v>45905</v>
      </c>
      <c r="R5632" s="13">
        <v>45930</v>
      </c>
      <c r="S5632">
        <v>2025</v>
      </c>
      <c r="T5632" s="12" t="s">
        <v>6704</v>
      </c>
      <c r="U5632">
        <v>114</v>
      </c>
      <c r="V5632">
        <v>106.63800000000001</v>
      </c>
      <c r="W5632">
        <v>142.99</v>
      </c>
      <c r="X5632">
        <v>378.66</v>
      </c>
      <c r="Y5632">
        <v>1</v>
      </c>
      <c r="Z5632">
        <v>12156.73</v>
      </c>
      <c r="AA5632">
        <v>12678.38</v>
      </c>
      <c r="AB5632" s="12" t="s">
        <v>5265</v>
      </c>
      <c r="AC5632">
        <v>106.63800000000001</v>
      </c>
      <c r="AD5632">
        <v>1</v>
      </c>
      <c r="AE5632">
        <v>1</v>
      </c>
      <c r="AF5632">
        <v>0</v>
      </c>
      <c r="AG5632">
        <v>12156.73</v>
      </c>
      <c r="AH5632">
        <v>114</v>
      </c>
      <c r="AI5632">
        <v>113</v>
      </c>
      <c r="AJ5632">
        <v>1</v>
      </c>
      <c r="AK5632">
        <v>1</v>
      </c>
      <c r="AL5632">
        <v>1</v>
      </c>
      <c r="AM5632">
        <v>99.12</v>
      </c>
      <c r="AN5632">
        <v>112.1981</v>
      </c>
      <c r="AO5632">
        <v>106.64</v>
      </c>
      <c r="AP5632" s="13">
        <v>45927</v>
      </c>
      <c r="AQ5632">
        <v>-3</v>
      </c>
      <c r="AR5632">
        <v>1</v>
      </c>
    </row>
    <row r="5633" spans="1:44" x14ac:dyDescent="0.35">
      <c r="A5633" s="12" t="s">
        <v>6739</v>
      </c>
      <c r="B5633" s="12" t="s">
        <v>454</v>
      </c>
      <c r="C5633" s="12" t="s">
        <v>455</v>
      </c>
      <c r="D5633" s="12" t="s">
        <v>122</v>
      </c>
      <c r="E5633" s="12" t="s">
        <v>104</v>
      </c>
      <c r="F5633">
        <v>3</v>
      </c>
      <c r="G5633">
        <v>1</v>
      </c>
      <c r="H5633">
        <v>0</v>
      </c>
      <c r="I5633" s="12" t="s">
        <v>87</v>
      </c>
      <c r="J5633" s="12" t="s">
        <v>88</v>
      </c>
      <c r="K5633" s="12" t="s">
        <v>89</v>
      </c>
      <c r="L5633" s="12" t="s">
        <v>69</v>
      </c>
      <c r="M5633">
        <v>14.93</v>
      </c>
      <c r="N5633" s="12" t="s">
        <v>70</v>
      </c>
      <c r="O5633" s="12" t="s">
        <v>71</v>
      </c>
      <c r="P5633" s="12" t="s">
        <v>72</v>
      </c>
      <c r="Q5633" s="13">
        <v>45905</v>
      </c>
      <c r="R5633" s="13">
        <v>45919</v>
      </c>
      <c r="S5633">
        <v>2025</v>
      </c>
      <c r="T5633" s="12" t="s">
        <v>6704</v>
      </c>
      <c r="U5633">
        <v>439</v>
      </c>
      <c r="V5633">
        <v>21.032599999999999</v>
      </c>
      <c r="W5633">
        <v>184.04</v>
      </c>
      <c r="X5633">
        <v>0</v>
      </c>
      <c r="Y5633">
        <v>0</v>
      </c>
      <c r="Z5633">
        <v>9233.31</v>
      </c>
      <c r="AA5633">
        <v>9417.35</v>
      </c>
      <c r="AB5633" s="12" t="s">
        <v>5456</v>
      </c>
      <c r="AC5633">
        <v>21.032599999999999</v>
      </c>
      <c r="AD5633">
        <v>1</v>
      </c>
      <c r="AE5633">
        <v>1</v>
      </c>
      <c r="AF5633">
        <v>0</v>
      </c>
      <c r="AG5633">
        <v>9233.31</v>
      </c>
      <c r="AH5633">
        <v>439</v>
      </c>
      <c r="AI5633">
        <v>435</v>
      </c>
      <c r="AJ5633">
        <v>4</v>
      </c>
      <c r="AK5633">
        <v>1</v>
      </c>
      <c r="AL5633">
        <v>1</v>
      </c>
      <c r="AM5633">
        <v>99.09</v>
      </c>
      <c r="AN5633">
        <v>21.649100000000001</v>
      </c>
      <c r="AO5633">
        <v>84.13</v>
      </c>
      <c r="AP5633" s="13">
        <v>45919</v>
      </c>
      <c r="AQ5633">
        <v>0</v>
      </c>
      <c r="AR5633">
        <v>1</v>
      </c>
    </row>
    <row r="5634" spans="1:44" x14ac:dyDescent="0.35">
      <c r="A5634" s="12" t="s">
        <v>6740</v>
      </c>
      <c r="B5634" s="12" t="s">
        <v>869</v>
      </c>
      <c r="C5634" s="12" t="s">
        <v>870</v>
      </c>
      <c r="D5634" s="12" t="s">
        <v>130</v>
      </c>
      <c r="E5634" s="12" t="s">
        <v>104</v>
      </c>
      <c r="F5634">
        <v>2</v>
      </c>
      <c r="G5634">
        <v>0</v>
      </c>
      <c r="H5634">
        <v>0</v>
      </c>
      <c r="I5634" s="12" t="s">
        <v>515</v>
      </c>
      <c r="J5634" s="12" t="s">
        <v>516</v>
      </c>
      <c r="K5634" s="12" t="s">
        <v>68</v>
      </c>
      <c r="L5634" s="12" t="s">
        <v>134</v>
      </c>
      <c r="M5634">
        <v>3.69</v>
      </c>
      <c r="N5634" s="12" t="s">
        <v>159</v>
      </c>
      <c r="O5634" s="12" t="s">
        <v>160</v>
      </c>
      <c r="P5634" s="12" t="s">
        <v>137</v>
      </c>
      <c r="Q5634" s="13">
        <v>45905</v>
      </c>
      <c r="R5634" s="13">
        <v>45924</v>
      </c>
      <c r="S5634">
        <v>2025</v>
      </c>
      <c r="T5634" s="12" t="s">
        <v>6704</v>
      </c>
      <c r="U5634">
        <v>69</v>
      </c>
      <c r="V5634">
        <v>675.13109999999995</v>
      </c>
      <c r="W5634">
        <v>719.13</v>
      </c>
      <c r="X5634">
        <v>0</v>
      </c>
      <c r="Y5634">
        <v>0</v>
      </c>
      <c r="Z5634">
        <v>46584.05</v>
      </c>
      <c r="AA5634">
        <v>47303.18</v>
      </c>
      <c r="AB5634" s="12" t="s">
        <v>201</v>
      </c>
      <c r="AD5634">
        <v>0</v>
      </c>
      <c r="AE5634">
        <v>0</v>
      </c>
      <c r="AH5634">
        <v>69</v>
      </c>
      <c r="AI5634">
        <v>69</v>
      </c>
      <c r="AJ5634">
        <v>0</v>
      </c>
      <c r="AK5634">
        <v>1</v>
      </c>
      <c r="AL5634">
        <v>1</v>
      </c>
      <c r="AM5634">
        <v>100</v>
      </c>
      <c r="AN5634">
        <v>685.55330000000004</v>
      </c>
      <c r="AO5634">
        <v>0</v>
      </c>
      <c r="AP5634" s="13">
        <v>45926</v>
      </c>
      <c r="AQ5634">
        <v>2</v>
      </c>
      <c r="AR5634">
        <v>0</v>
      </c>
    </row>
    <row r="5635" spans="1:44" x14ac:dyDescent="0.35">
      <c r="A5635" s="12" t="s">
        <v>6741</v>
      </c>
      <c r="B5635" s="12" t="s">
        <v>1134</v>
      </c>
      <c r="C5635" s="12" t="s">
        <v>1135</v>
      </c>
      <c r="D5635" s="12" t="s">
        <v>269</v>
      </c>
      <c r="E5635" s="12" t="s">
        <v>104</v>
      </c>
      <c r="F5635">
        <v>2</v>
      </c>
      <c r="G5635">
        <v>0</v>
      </c>
      <c r="H5635">
        <v>0</v>
      </c>
      <c r="I5635" s="12" t="s">
        <v>380</v>
      </c>
      <c r="J5635" s="12" t="s">
        <v>381</v>
      </c>
      <c r="K5635" s="12" t="s">
        <v>89</v>
      </c>
      <c r="L5635" s="12" t="s">
        <v>96</v>
      </c>
      <c r="M5635">
        <v>10.210000000000001</v>
      </c>
      <c r="N5635" s="12" t="s">
        <v>135</v>
      </c>
      <c r="O5635" s="12" t="s">
        <v>136</v>
      </c>
      <c r="P5635" s="12" t="s">
        <v>137</v>
      </c>
      <c r="Q5635" s="13">
        <v>45905</v>
      </c>
      <c r="R5635" s="13">
        <v>45919</v>
      </c>
      <c r="S5635">
        <v>2025</v>
      </c>
      <c r="T5635" s="12" t="s">
        <v>6704</v>
      </c>
      <c r="U5635">
        <v>28</v>
      </c>
      <c r="V5635">
        <v>87.644300000000001</v>
      </c>
      <c r="W5635">
        <v>27.98</v>
      </c>
      <c r="X5635">
        <v>0</v>
      </c>
      <c r="Y5635">
        <v>0</v>
      </c>
      <c r="Z5635">
        <v>2454.04</v>
      </c>
      <c r="AA5635">
        <v>2482.02</v>
      </c>
      <c r="AB5635" s="12" t="s">
        <v>5835</v>
      </c>
      <c r="AC5635">
        <v>93.012100000000004</v>
      </c>
      <c r="AD5635">
        <v>1</v>
      </c>
      <c r="AE5635">
        <v>1</v>
      </c>
      <c r="AF5635">
        <v>-150.30000000000001</v>
      </c>
      <c r="AG5635">
        <v>2604.34</v>
      </c>
      <c r="AH5635">
        <v>28</v>
      </c>
      <c r="AI5635">
        <v>28</v>
      </c>
      <c r="AJ5635">
        <v>0</v>
      </c>
      <c r="AK5635">
        <v>1</v>
      </c>
      <c r="AL5635">
        <v>1</v>
      </c>
      <c r="AM5635">
        <v>100</v>
      </c>
      <c r="AN5635">
        <v>88.643600000000006</v>
      </c>
      <c r="AO5635">
        <v>0</v>
      </c>
      <c r="AP5635" s="13">
        <v>45918</v>
      </c>
      <c r="AQ5635">
        <v>-1</v>
      </c>
      <c r="AR5635">
        <v>1</v>
      </c>
    </row>
    <row r="5636" spans="1:44" x14ac:dyDescent="0.35">
      <c r="A5636" s="12" t="s">
        <v>6742</v>
      </c>
      <c r="B5636" s="12" t="s">
        <v>941</v>
      </c>
      <c r="C5636" s="12" t="s">
        <v>942</v>
      </c>
      <c r="D5636" s="12" t="s">
        <v>130</v>
      </c>
      <c r="E5636" s="12" t="s">
        <v>104</v>
      </c>
      <c r="F5636">
        <v>2</v>
      </c>
      <c r="G5636">
        <v>0</v>
      </c>
      <c r="H5636">
        <v>0</v>
      </c>
      <c r="I5636" s="12" t="s">
        <v>131</v>
      </c>
      <c r="J5636" s="12" t="s">
        <v>132</v>
      </c>
      <c r="K5636" s="12" t="s">
        <v>133</v>
      </c>
      <c r="L5636" s="12" t="s">
        <v>134</v>
      </c>
      <c r="M5636">
        <v>1.51</v>
      </c>
      <c r="N5636" s="12" t="s">
        <v>135</v>
      </c>
      <c r="O5636" s="12" t="s">
        <v>136</v>
      </c>
      <c r="P5636" s="12" t="s">
        <v>137</v>
      </c>
      <c r="Q5636" s="13">
        <v>45905</v>
      </c>
      <c r="R5636" s="13">
        <v>45931</v>
      </c>
      <c r="S5636">
        <v>2025</v>
      </c>
      <c r="T5636" s="12" t="s">
        <v>6704</v>
      </c>
      <c r="U5636">
        <v>122</v>
      </c>
      <c r="V5636">
        <v>711.96100000000001</v>
      </c>
      <c r="W5636">
        <v>949.03</v>
      </c>
      <c r="X5636">
        <v>0</v>
      </c>
      <c r="Y5636">
        <v>0</v>
      </c>
      <c r="Z5636">
        <v>86859.24</v>
      </c>
      <c r="AA5636">
        <v>87808.27</v>
      </c>
      <c r="AB5636" s="12" t="s">
        <v>5945</v>
      </c>
      <c r="AC5636">
        <v>711.96100000000001</v>
      </c>
      <c r="AD5636">
        <v>1</v>
      </c>
      <c r="AE5636">
        <v>1</v>
      </c>
      <c r="AF5636">
        <v>0</v>
      </c>
      <c r="AG5636">
        <v>86859.24</v>
      </c>
      <c r="AH5636">
        <v>122</v>
      </c>
      <c r="AI5636">
        <v>113</v>
      </c>
      <c r="AJ5636">
        <v>9</v>
      </c>
      <c r="AK5636">
        <v>1</v>
      </c>
      <c r="AL5636">
        <v>1</v>
      </c>
      <c r="AM5636">
        <v>92.62</v>
      </c>
      <c r="AN5636">
        <v>777.06439999999998</v>
      </c>
      <c r="AO5636">
        <v>6407.65</v>
      </c>
      <c r="AP5636" s="13">
        <v>45930</v>
      </c>
      <c r="AQ5636">
        <v>-1</v>
      </c>
      <c r="AR5636">
        <v>1</v>
      </c>
    </row>
    <row r="5637" spans="1:44" x14ac:dyDescent="0.35">
      <c r="A5637" s="12" t="s">
        <v>6743</v>
      </c>
      <c r="B5637" s="12" t="s">
        <v>472</v>
      </c>
      <c r="C5637" s="12" t="s">
        <v>473</v>
      </c>
      <c r="D5637" s="12" t="s">
        <v>122</v>
      </c>
      <c r="E5637" s="12" t="s">
        <v>142</v>
      </c>
      <c r="F5637">
        <v>2</v>
      </c>
      <c r="G5637">
        <v>9</v>
      </c>
      <c r="H5637">
        <v>0</v>
      </c>
      <c r="I5637" s="12" t="s">
        <v>209</v>
      </c>
      <c r="J5637" s="12" t="s">
        <v>210</v>
      </c>
      <c r="K5637" s="12" t="s">
        <v>133</v>
      </c>
      <c r="L5637" s="12" t="s">
        <v>96</v>
      </c>
      <c r="M5637">
        <v>7.82</v>
      </c>
      <c r="N5637" s="12" t="s">
        <v>97</v>
      </c>
      <c r="O5637" s="12" t="s">
        <v>98</v>
      </c>
      <c r="P5637" s="12" t="s">
        <v>72</v>
      </c>
      <c r="Q5637" s="13">
        <v>45908</v>
      </c>
      <c r="R5637" s="13">
        <v>45953</v>
      </c>
      <c r="S5637">
        <v>2025</v>
      </c>
      <c r="T5637" s="12" t="s">
        <v>6704</v>
      </c>
      <c r="U5637">
        <v>1259</v>
      </c>
      <c r="V5637">
        <v>48.503500000000003</v>
      </c>
      <c r="W5637">
        <v>698.88</v>
      </c>
      <c r="X5637">
        <v>0</v>
      </c>
      <c r="Y5637">
        <v>0</v>
      </c>
      <c r="Z5637">
        <v>61065.91</v>
      </c>
      <c r="AA5637">
        <v>61764.79</v>
      </c>
      <c r="AB5637" s="12" t="s">
        <v>201</v>
      </c>
      <c r="AD5637">
        <v>0</v>
      </c>
      <c r="AE5637">
        <v>0</v>
      </c>
      <c r="AH5637">
        <v>1259</v>
      </c>
      <c r="AI5637">
        <v>1254</v>
      </c>
      <c r="AJ5637">
        <v>5</v>
      </c>
      <c r="AK5637">
        <v>1</v>
      </c>
      <c r="AL5637">
        <v>1</v>
      </c>
      <c r="AM5637">
        <v>99.6</v>
      </c>
      <c r="AN5637">
        <v>49.254199999999997</v>
      </c>
      <c r="AO5637">
        <v>242.52</v>
      </c>
      <c r="AP5637" s="13">
        <v>45952</v>
      </c>
      <c r="AQ5637">
        <v>-1</v>
      </c>
      <c r="AR5637">
        <v>1</v>
      </c>
    </row>
    <row r="5638" spans="1:44" x14ac:dyDescent="0.35">
      <c r="A5638" s="12" t="s">
        <v>6744</v>
      </c>
      <c r="B5638" s="12" t="s">
        <v>261</v>
      </c>
      <c r="C5638" s="12" t="s">
        <v>262</v>
      </c>
      <c r="D5638" s="12" t="s">
        <v>114</v>
      </c>
      <c r="E5638" s="12" t="s">
        <v>142</v>
      </c>
      <c r="F5638">
        <v>1</v>
      </c>
      <c r="G5638">
        <v>8</v>
      </c>
      <c r="H5638">
        <v>1</v>
      </c>
      <c r="I5638" s="12" t="s">
        <v>263</v>
      </c>
      <c r="J5638" s="12" t="s">
        <v>264</v>
      </c>
      <c r="K5638" s="12" t="s">
        <v>125</v>
      </c>
      <c r="L5638" s="12" t="s">
        <v>82</v>
      </c>
      <c r="M5638">
        <v>10.210000000000001</v>
      </c>
      <c r="N5638" s="12" t="s">
        <v>70</v>
      </c>
      <c r="O5638" s="12" t="s">
        <v>71</v>
      </c>
      <c r="P5638" s="12" t="s">
        <v>72</v>
      </c>
      <c r="Q5638" s="13">
        <v>45908</v>
      </c>
      <c r="R5638" s="13">
        <v>45945</v>
      </c>
      <c r="S5638">
        <v>2025</v>
      </c>
      <c r="T5638" s="12" t="s">
        <v>6704</v>
      </c>
      <c r="U5638">
        <v>26</v>
      </c>
      <c r="V5638">
        <v>155.16210000000001</v>
      </c>
      <c r="W5638">
        <v>51.27</v>
      </c>
      <c r="X5638">
        <v>0</v>
      </c>
      <c r="Y5638">
        <v>0</v>
      </c>
      <c r="Z5638">
        <v>4034.21</v>
      </c>
      <c r="AA5638">
        <v>4085.48</v>
      </c>
      <c r="AB5638" s="12" t="s">
        <v>201</v>
      </c>
      <c r="AD5638">
        <v>0</v>
      </c>
      <c r="AE5638">
        <v>0</v>
      </c>
      <c r="AH5638">
        <v>26</v>
      </c>
      <c r="AI5638">
        <v>26</v>
      </c>
      <c r="AJ5638">
        <v>0</v>
      </c>
      <c r="AK5638">
        <v>1</v>
      </c>
      <c r="AL5638">
        <v>1</v>
      </c>
      <c r="AM5638">
        <v>100</v>
      </c>
      <c r="AN5638">
        <v>157.13399999999999</v>
      </c>
      <c r="AO5638">
        <v>0</v>
      </c>
      <c r="AP5638" s="13">
        <v>45942</v>
      </c>
      <c r="AQ5638">
        <v>-3</v>
      </c>
      <c r="AR5638">
        <v>1</v>
      </c>
    </row>
    <row r="5639" spans="1:44" x14ac:dyDescent="0.35">
      <c r="A5639" s="12" t="s">
        <v>6745</v>
      </c>
      <c r="B5639" s="12" t="s">
        <v>617</v>
      </c>
      <c r="C5639" s="12" t="s">
        <v>618</v>
      </c>
      <c r="D5639" s="12" t="s">
        <v>78</v>
      </c>
      <c r="E5639" s="12" t="s">
        <v>65</v>
      </c>
      <c r="F5639">
        <v>2</v>
      </c>
      <c r="G5639">
        <v>4</v>
      </c>
      <c r="H5639">
        <v>0</v>
      </c>
      <c r="I5639" s="12" t="s">
        <v>209</v>
      </c>
      <c r="J5639" s="12" t="s">
        <v>210</v>
      </c>
      <c r="K5639" s="12" t="s">
        <v>133</v>
      </c>
      <c r="L5639" s="12" t="s">
        <v>96</v>
      </c>
      <c r="M5639">
        <v>7.82</v>
      </c>
      <c r="N5639" s="12" t="s">
        <v>97</v>
      </c>
      <c r="O5639" s="12" t="s">
        <v>98</v>
      </c>
      <c r="P5639" s="12" t="s">
        <v>72</v>
      </c>
      <c r="Q5639" s="13">
        <v>45908</v>
      </c>
      <c r="R5639" s="13">
        <v>45940</v>
      </c>
      <c r="S5639">
        <v>2025</v>
      </c>
      <c r="T5639" s="12" t="s">
        <v>6704</v>
      </c>
      <c r="U5639">
        <v>202</v>
      </c>
      <c r="V5639">
        <v>107.9961</v>
      </c>
      <c r="W5639">
        <v>268.89999999999998</v>
      </c>
      <c r="X5639">
        <v>0</v>
      </c>
      <c r="Y5639">
        <v>0</v>
      </c>
      <c r="Z5639">
        <v>21815.21</v>
      </c>
      <c r="AA5639">
        <v>22084.11</v>
      </c>
      <c r="AB5639" s="12" t="s">
        <v>5745</v>
      </c>
      <c r="AC5639">
        <v>107.9961</v>
      </c>
      <c r="AD5639">
        <v>1</v>
      </c>
      <c r="AE5639">
        <v>1</v>
      </c>
      <c r="AF5639">
        <v>0</v>
      </c>
      <c r="AG5639">
        <v>21815.21</v>
      </c>
      <c r="AH5639">
        <v>202</v>
      </c>
      <c r="AI5639">
        <v>198</v>
      </c>
      <c r="AJ5639">
        <v>4</v>
      </c>
      <c r="AK5639">
        <v>1</v>
      </c>
      <c r="AL5639">
        <v>1</v>
      </c>
      <c r="AM5639">
        <v>98.02</v>
      </c>
      <c r="AN5639">
        <v>111.5359</v>
      </c>
      <c r="AO5639">
        <v>431.98</v>
      </c>
      <c r="AP5639" s="13">
        <v>45939</v>
      </c>
      <c r="AQ5639">
        <v>-1</v>
      </c>
      <c r="AR5639">
        <v>1</v>
      </c>
    </row>
    <row r="5640" spans="1:44" x14ac:dyDescent="0.35">
      <c r="A5640" s="12" t="s">
        <v>6746</v>
      </c>
      <c r="B5640" s="12" t="s">
        <v>167</v>
      </c>
      <c r="C5640" s="12" t="s">
        <v>168</v>
      </c>
      <c r="D5640" s="12" t="s">
        <v>64</v>
      </c>
      <c r="E5640" s="12" t="s">
        <v>104</v>
      </c>
      <c r="F5640">
        <v>3</v>
      </c>
      <c r="G5640">
        <v>1</v>
      </c>
      <c r="H5640">
        <v>0</v>
      </c>
      <c r="I5640" s="12" t="s">
        <v>169</v>
      </c>
      <c r="J5640" s="12" t="s">
        <v>170</v>
      </c>
      <c r="K5640" s="12" t="s">
        <v>89</v>
      </c>
      <c r="L5640" s="12" t="s">
        <v>134</v>
      </c>
      <c r="M5640">
        <v>1.37</v>
      </c>
      <c r="N5640" s="12" t="s">
        <v>97</v>
      </c>
      <c r="O5640" s="12" t="s">
        <v>98</v>
      </c>
      <c r="P5640" s="12" t="s">
        <v>72</v>
      </c>
      <c r="Q5640" s="13">
        <v>45908</v>
      </c>
      <c r="R5640" s="13">
        <v>45929</v>
      </c>
      <c r="S5640">
        <v>2025</v>
      </c>
      <c r="T5640" s="12" t="s">
        <v>6704</v>
      </c>
      <c r="U5640">
        <v>554</v>
      </c>
      <c r="V5640">
        <v>24.557099999999998</v>
      </c>
      <c r="W5640">
        <v>291.32</v>
      </c>
      <c r="X5640">
        <v>0</v>
      </c>
      <c r="Y5640">
        <v>0</v>
      </c>
      <c r="Z5640">
        <v>13604.63</v>
      </c>
      <c r="AA5640">
        <v>13895.95</v>
      </c>
      <c r="AB5640" s="12" t="s">
        <v>5232</v>
      </c>
      <c r="AC5640">
        <v>24.557099999999998</v>
      </c>
      <c r="AD5640">
        <v>1</v>
      </c>
      <c r="AE5640">
        <v>1</v>
      </c>
      <c r="AF5640">
        <v>0</v>
      </c>
      <c r="AG5640">
        <v>13604.63</v>
      </c>
      <c r="AH5640">
        <v>554</v>
      </c>
      <c r="AI5640">
        <v>552</v>
      </c>
      <c r="AJ5640">
        <v>2</v>
      </c>
      <c r="AK5640">
        <v>1</v>
      </c>
      <c r="AL5640">
        <v>1</v>
      </c>
      <c r="AM5640">
        <v>99.64</v>
      </c>
      <c r="AN5640">
        <v>25.1738</v>
      </c>
      <c r="AO5640">
        <v>49.11</v>
      </c>
      <c r="AP5640" s="13">
        <v>45929</v>
      </c>
      <c r="AQ5640">
        <v>0</v>
      </c>
      <c r="AR5640">
        <v>1</v>
      </c>
    </row>
    <row r="5641" spans="1:44" x14ac:dyDescent="0.35">
      <c r="A5641" s="12" t="s">
        <v>6747</v>
      </c>
      <c r="B5641" s="12" t="s">
        <v>747</v>
      </c>
      <c r="C5641" s="12" t="s">
        <v>748</v>
      </c>
      <c r="D5641" s="12" t="s">
        <v>114</v>
      </c>
      <c r="E5641" s="12" t="s">
        <v>104</v>
      </c>
      <c r="F5641">
        <v>2</v>
      </c>
      <c r="G5641">
        <v>0</v>
      </c>
      <c r="H5641">
        <v>0</v>
      </c>
      <c r="I5641" s="12" t="s">
        <v>380</v>
      </c>
      <c r="J5641" s="12" t="s">
        <v>381</v>
      </c>
      <c r="K5641" s="12" t="s">
        <v>89</v>
      </c>
      <c r="L5641" s="12" t="s">
        <v>96</v>
      </c>
      <c r="M5641">
        <v>10.210000000000001</v>
      </c>
      <c r="N5641" s="12" t="s">
        <v>97</v>
      </c>
      <c r="O5641" s="12" t="s">
        <v>98</v>
      </c>
      <c r="P5641" s="12" t="s">
        <v>72</v>
      </c>
      <c r="Q5641" s="13">
        <v>45908</v>
      </c>
      <c r="R5641" s="13">
        <v>45922</v>
      </c>
      <c r="S5641">
        <v>2025</v>
      </c>
      <c r="T5641" s="12" t="s">
        <v>6704</v>
      </c>
      <c r="U5641">
        <v>29</v>
      </c>
      <c r="V5641">
        <v>247.5488</v>
      </c>
      <c r="W5641">
        <v>101.85</v>
      </c>
      <c r="X5641">
        <v>0</v>
      </c>
      <c r="Y5641">
        <v>0</v>
      </c>
      <c r="Z5641">
        <v>7178.92</v>
      </c>
      <c r="AA5641">
        <v>7280.77</v>
      </c>
      <c r="AB5641" s="12" t="s">
        <v>201</v>
      </c>
      <c r="AD5641">
        <v>0</v>
      </c>
      <c r="AE5641">
        <v>0</v>
      </c>
      <c r="AH5641">
        <v>29</v>
      </c>
      <c r="AI5641">
        <v>28</v>
      </c>
      <c r="AJ5641">
        <v>1</v>
      </c>
      <c r="AK5641">
        <v>1</v>
      </c>
      <c r="AL5641">
        <v>1</v>
      </c>
      <c r="AM5641">
        <v>96.55</v>
      </c>
      <c r="AN5641">
        <v>260.02730000000003</v>
      </c>
      <c r="AO5641">
        <v>247.55</v>
      </c>
      <c r="AP5641" s="13">
        <v>45922</v>
      </c>
      <c r="AQ5641">
        <v>0</v>
      </c>
      <c r="AR5641">
        <v>1</v>
      </c>
    </row>
    <row r="5642" spans="1:44" x14ac:dyDescent="0.35">
      <c r="A5642" s="12" t="s">
        <v>6748</v>
      </c>
      <c r="B5642" s="12" t="s">
        <v>451</v>
      </c>
      <c r="C5642" s="12" t="s">
        <v>452</v>
      </c>
      <c r="D5642" s="12" t="s">
        <v>175</v>
      </c>
      <c r="E5642" s="12" t="s">
        <v>104</v>
      </c>
      <c r="F5642">
        <v>3</v>
      </c>
      <c r="G5642">
        <v>1</v>
      </c>
      <c r="H5642">
        <v>0</v>
      </c>
      <c r="I5642" s="12" t="s">
        <v>359</v>
      </c>
      <c r="J5642" s="12" t="s">
        <v>360</v>
      </c>
      <c r="K5642" s="12" t="s">
        <v>133</v>
      </c>
      <c r="L5642" s="12" t="s">
        <v>82</v>
      </c>
      <c r="M5642">
        <v>12.65</v>
      </c>
      <c r="N5642" s="12" t="s">
        <v>107</v>
      </c>
      <c r="O5642" s="12" t="s">
        <v>108</v>
      </c>
      <c r="P5642" s="12" t="s">
        <v>109</v>
      </c>
      <c r="Q5642" s="13">
        <v>45908</v>
      </c>
      <c r="R5642" s="13">
        <v>45934</v>
      </c>
      <c r="S5642">
        <v>2025</v>
      </c>
      <c r="T5642" s="12" t="s">
        <v>6704</v>
      </c>
      <c r="U5642">
        <v>126</v>
      </c>
      <c r="V5642">
        <v>216.9588</v>
      </c>
      <c r="W5642">
        <v>248.65</v>
      </c>
      <c r="X5642">
        <v>0</v>
      </c>
      <c r="Y5642">
        <v>0</v>
      </c>
      <c r="Z5642">
        <v>27336.81</v>
      </c>
      <c r="AA5642">
        <v>27585.46</v>
      </c>
      <c r="AB5642" s="12" t="s">
        <v>5244</v>
      </c>
      <c r="AC5642">
        <v>216.9588</v>
      </c>
      <c r="AD5642">
        <v>1</v>
      </c>
      <c r="AE5642">
        <v>1</v>
      </c>
      <c r="AF5642">
        <v>0</v>
      </c>
      <c r="AG5642">
        <v>27336.81</v>
      </c>
      <c r="AH5642">
        <v>126</v>
      </c>
      <c r="AI5642">
        <v>126</v>
      </c>
      <c r="AJ5642">
        <v>0</v>
      </c>
      <c r="AK5642">
        <v>1</v>
      </c>
      <c r="AL5642">
        <v>1</v>
      </c>
      <c r="AM5642">
        <v>100</v>
      </c>
      <c r="AN5642">
        <v>218.93219999999999</v>
      </c>
      <c r="AO5642">
        <v>0</v>
      </c>
      <c r="AP5642" s="13">
        <v>45932</v>
      </c>
      <c r="AQ5642">
        <v>-2</v>
      </c>
      <c r="AR5642">
        <v>1</v>
      </c>
    </row>
    <row r="5643" spans="1:44" x14ac:dyDescent="0.35">
      <c r="A5643" s="12" t="s">
        <v>6749</v>
      </c>
      <c r="B5643" s="12" t="s">
        <v>458</v>
      </c>
      <c r="C5643" s="12" t="s">
        <v>459</v>
      </c>
      <c r="D5643" s="12" t="s">
        <v>64</v>
      </c>
      <c r="E5643" s="12" t="s">
        <v>104</v>
      </c>
      <c r="F5643">
        <v>2</v>
      </c>
      <c r="G5643">
        <v>0</v>
      </c>
      <c r="H5643">
        <v>0</v>
      </c>
      <c r="I5643" s="12" t="s">
        <v>143</v>
      </c>
      <c r="J5643" s="12" t="s">
        <v>144</v>
      </c>
      <c r="K5643" s="12" t="s">
        <v>133</v>
      </c>
      <c r="L5643" s="12" t="s">
        <v>96</v>
      </c>
      <c r="M5643">
        <v>5.43</v>
      </c>
      <c r="N5643" s="12" t="s">
        <v>97</v>
      </c>
      <c r="O5643" s="12" t="s">
        <v>98</v>
      </c>
      <c r="P5643" s="12" t="s">
        <v>72</v>
      </c>
      <c r="Q5643" s="13">
        <v>45908</v>
      </c>
      <c r="R5643" s="13">
        <v>45925</v>
      </c>
      <c r="S5643">
        <v>2025</v>
      </c>
      <c r="T5643" s="12" t="s">
        <v>6704</v>
      </c>
      <c r="U5643">
        <v>360</v>
      </c>
      <c r="V5643">
        <v>23.3566</v>
      </c>
      <c r="W5643">
        <v>201.19</v>
      </c>
      <c r="X5643">
        <v>0</v>
      </c>
      <c r="Y5643">
        <v>0</v>
      </c>
      <c r="Z5643">
        <v>8408.3799999999992</v>
      </c>
      <c r="AA5643">
        <v>8609.57</v>
      </c>
      <c r="AB5643" s="12" t="s">
        <v>5547</v>
      </c>
      <c r="AC5643">
        <v>23.3566</v>
      </c>
      <c r="AD5643">
        <v>1</v>
      </c>
      <c r="AE5643">
        <v>1</v>
      </c>
      <c r="AF5643">
        <v>0</v>
      </c>
      <c r="AG5643">
        <v>8408.3799999999992</v>
      </c>
      <c r="AH5643">
        <v>360</v>
      </c>
      <c r="AI5643">
        <v>358</v>
      </c>
      <c r="AJ5643">
        <v>2</v>
      </c>
      <c r="AK5643">
        <v>1</v>
      </c>
      <c r="AL5643">
        <v>1</v>
      </c>
      <c r="AM5643">
        <v>99.44</v>
      </c>
      <c r="AN5643">
        <v>24.049099999999999</v>
      </c>
      <c r="AO5643">
        <v>46.71</v>
      </c>
      <c r="AP5643" s="13">
        <v>45924</v>
      </c>
      <c r="AQ5643">
        <v>-1</v>
      </c>
      <c r="AR5643">
        <v>1</v>
      </c>
    </row>
    <row r="5644" spans="1:44" x14ac:dyDescent="0.35">
      <c r="A5644" s="12" t="s">
        <v>6750</v>
      </c>
      <c r="B5644" s="12" t="s">
        <v>740</v>
      </c>
      <c r="C5644" s="12" t="s">
        <v>741</v>
      </c>
      <c r="D5644" s="12" t="s">
        <v>64</v>
      </c>
      <c r="E5644" s="12" t="s">
        <v>104</v>
      </c>
      <c r="F5644">
        <v>2</v>
      </c>
      <c r="G5644">
        <v>0</v>
      </c>
      <c r="H5644">
        <v>0</v>
      </c>
      <c r="I5644" s="12" t="s">
        <v>151</v>
      </c>
      <c r="J5644" s="12" t="s">
        <v>152</v>
      </c>
      <c r="K5644" s="12" t="s">
        <v>125</v>
      </c>
      <c r="L5644" s="12" t="s">
        <v>69</v>
      </c>
      <c r="M5644">
        <v>36.479999999999997</v>
      </c>
      <c r="N5644" s="12" t="s">
        <v>97</v>
      </c>
      <c r="O5644" s="12" t="s">
        <v>98</v>
      </c>
      <c r="P5644" s="12" t="s">
        <v>72</v>
      </c>
      <c r="Q5644" s="13">
        <v>45908</v>
      </c>
      <c r="R5644" s="13">
        <v>45928</v>
      </c>
      <c r="S5644">
        <v>2025</v>
      </c>
      <c r="T5644" s="12" t="s">
        <v>6704</v>
      </c>
      <c r="U5644">
        <v>542</v>
      </c>
      <c r="V5644">
        <v>38.488</v>
      </c>
      <c r="W5644">
        <v>246.73</v>
      </c>
      <c r="X5644">
        <v>735.41</v>
      </c>
      <c r="Y5644">
        <v>1</v>
      </c>
      <c r="Z5644">
        <v>20860.5</v>
      </c>
      <c r="AA5644">
        <v>21842.639999999999</v>
      </c>
      <c r="AB5644" s="12" t="s">
        <v>5982</v>
      </c>
      <c r="AC5644">
        <v>38.488</v>
      </c>
      <c r="AD5644">
        <v>1</v>
      </c>
      <c r="AE5644">
        <v>1</v>
      </c>
      <c r="AF5644">
        <v>0</v>
      </c>
      <c r="AG5644">
        <v>20860.5</v>
      </c>
      <c r="AH5644">
        <v>542</v>
      </c>
      <c r="AI5644">
        <v>537</v>
      </c>
      <c r="AJ5644">
        <v>5</v>
      </c>
      <c r="AK5644">
        <v>1</v>
      </c>
      <c r="AL5644">
        <v>1</v>
      </c>
      <c r="AM5644">
        <v>99.08</v>
      </c>
      <c r="AN5644">
        <v>40.6753</v>
      </c>
      <c r="AO5644">
        <v>192.44</v>
      </c>
      <c r="AP5644" s="13">
        <v>45926</v>
      </c>
      <c r="AQ5644">
        <v>-2</v>
      </c>
      <c r="AR5644">
        <v>1</v>
      </c>
    </row>
    <row r="5645" spans="1:44" x14ac:dyDescent="0.35">
      <c r="A5645" s="12" t="s">
        <v>6751</v>
      </c>
      <c r="B5645" s="12" t="s">
        <v>972</v>
      </c>
      <c r="C5645" s="12" t="s">
        <v>973</v>
      </c>
      <c r="D5645" s="12" t="s">
        <v>130</v>
      </c>
      <c r="E5645" s="12" t="s">
        <v>142</v>
      </c>
      <c r="F5645">
        <v>2</v>
      </c>
      <c r="G5645">
        <v>9</v>
      </c>
      <c r="H5645">
        <v>0</v>
      </c>
      <c r="I5645" s="12" t="s">
        <v>66</v>
      </c>
      <c r="J5645" s="12" t="s">
        <v>67</v>
      </c>
      <c r="K5645" s="12" t="s">
        <v>68</v>
      </c>
      <c r="L5645" s="12" t="s">
        <v>69</v>
      </c>
      <c r="M5645">
        <v>17.66</v>
      </c>
      <c r="N5645" s="12" t="s">
        <v>159</v>
      </c>
      <c r="O5645" s="12" t="s">
        <v>160</v>
      </c>
      <c r="P5645" s="12" t="s">
        <v>137</v>
      </c>
      <c r="Q5645" s="13">
        <v>45908</v>
      </c>
      <c r="R5645" s="13">
        <v>45946</v>
      </c>
      <c r="S5645">
        <v>2025</v>
      </c>
      <c r="T5645" s="12" t="s">
        <v>6704</v>
      </c>
      <c r="U5645">
        <v>34</v>
      </c>
      <c r="V5645">
        <v>784.53480000000002</v>
      </c>
      <c r="W5645">
        <v>197.41</v>
      </c>
      <c r="X5645">
        <v>0</v>
      </c>
      <c r="Y5645">
        <v>0</v>
      </c>
      <c r="Z5645">
        <v>26674.18</v>
      </c>
      <c r="AA5645">
        <v>26871.59</v>
      </c>
      <c r="AB5645" s="12" t="s">
        <v>5915</v>
      </c>
      <c r="AC5645">
        <v>784.53480000000002</v>
      </c>
      <c r="AD5645">
        <v>1</v>
      </c>
      <c r="AE5645">
        <v>1</v>
      </c>
      <c r="AF5645">
        <v>0</v>
      </c>
      <c r="AG5645">
        <v>26674.18</v>
      </c>
      <c r="AH5645">
        <v>34</v>
      </c>
      <c r="AI5645">
        <v>34</v>
      </c>
      <c r="AJ5645">
        <v>0</v>
      </c>
      <c r="AK5645">
        <v>1</v>
      </c>
      <c r="AL5645">
        <v>1</v>
      </c>
      <c r="AM5645">
        <v>100</v>
      </c>
      <c r="AN5645">
        <v>790.34100000000001</v>
      </c>
      <c r="AO5645">
        <v>0</v>
      </c>
      <c r="AP5645" s="13">
        <v>45943</v>
      </c>
      <c r="AQ5645">
        <v>-3</v>
      </c>
      <c r="AR5645">
        <v>1</v>
      </c>
    </row>
    <row r="5646" spans="1:44" x14ac:dyDescent="0.35">
      <c r="A5646" s="12" t="s">
        <v>6752</v>
      </c>
      <c r="B5646" s="12" t="s">
        <v>293</v>
      </c>
      <c r="C5646" s="12" t="s">
        <v>294</v>
      </c>
      <c r="D5646" s="12" t="s">
        <v>114</v>
      </c>
      <c r="E5646" s="12" t="s">
        <v>142</v>
      </c>
      <c r="F5646">
        <v>1</v>
      </c>
      <c r="G5646">
        <v>6</v>
      </c>
      <c r="H5646">
        <v>1</v>
      </c>
      <c r="I5646" s="12" t="s">
        <v>195</v>
      </c>
      <c r="J5646" s="12" t="s">
        <v>196</v>
      </c>
      <c r="K5646" s="12" t="s">
        <v>117</v>
      </c>
      <c r="L5646" s="12" t="s">
        <v>134</v>
      </c>
      <c r="M5646">
        <v>4.7699999999999996</v>
      </c>
      <c r="N5646" s="12" t="s">
        <v>70</v>
      </c>
      <c r="O5646" s="12" t="s">
        <v>71</v>
      </c>
      <c r="P5646" s="12" t="s">
        <v>72</v>
      </c>
      <c r="Q5646" s="13">
        <v>45908</v>
      </c>
      <c r="R5646" s="13">
        <v>45945</v>
      </c>
      <c r="S5646">
        <v>2025</v>
      </c>
      <c r="T5646" s="12" t="s">
        <v>6704</v>
      </c>
      <c r="U5646">
        <v>26</v>
      </c>
      <c r="V5646">
        <v>199.8203</v>
      </c>
      <c r="W5646">
        <v>39.67</v>
      </c>
      <c r="X5646">
        <v>0</v>
      </c>
      <c r="Y5646">
        <v>0</v>
      </c>
      <c r="Z5646">
        <v>5195.33</v>
      </c>
      <c r="AA5646">
        <v>5235</v>
      </c>
      <c r="AB5646" s="12" t="s">
        <v>5190</v>
      </c>
      <c r="AC5646">
        <v>199.8203</v>
      </c>
      <c r="AD5646">
        <v>1</v>
      </c>
      <c r="AE5646">
        <v>1</v>
      </c>
      <c r="AF5646">
        <v>0</v>
      </c>
      <c r="AG5646">
        <v>5195.33</v>
      </c>
      <c r="AH5646">
        <v>26</v>
      </c>
      <c r="AI5646">
        <v>25</v>
      </c>
      <c r="AJ5646">
        <v>1</v>
      </c>
      <c r="AK5646">
        <v>1</v>
      </c>
      <c r="AL5646">
        <v>1</v>
      </c>
      <c r="AM5646">
        <v>96.15</v>
      </c>
      <c r="AN5646">
        <v>209.3999</v>
      </c>
      <c r="AO5646">
        <v>199.82</v>
      </c>
      <c r="AP5646" s="13">
        <v>45942</v>
      </c>
      <c r="AQ5646">
        <v>-3</v>
      </c>
      <c r="AR5646">
        <v>1</v>
      </c>
    </row>
    <row r="5647" spans="1:44" x14ac:dyDescent="0.35">
      <c r="A5647" s="12" t="s">
        <v>6753</v>
      </c>
      <c r="B5647" s="12" t="s">
        <v>238</v>
      </c>
      <c r="C5647" s="12" t="s">
        <v>239</v>
      </c>
      <c r="D5647" s="12" t="s">
        <v>122</v>
      </c>
      <c r="E5647" s="12" t="s">
        <v>65</v>
      </c>
      <c r="F5647">
        <v>3</v>
      </c>
      <c r="G5647">
        <v>4</v>
      </c>
      <c r="H5647">
        <v>0</v>
      </c>
      <c r="I5647" s="12" t="s">
        <v>79</v>
      </c>
      <c r="J5647" s="12" t="s">
        <v>80</v>
      </c>
      <c r="K5647" s="12" t="s">
        <v>81</v>
      </c>
      <c r="L5647" s="12" t="s">
        <v>82</v>
      </c>
      <c r="M5647">
        <v>12.07</v>
      </c>
      <c r="N5647" s="12" t="s">
        <v>70</v>
      </c>
      <c r="O5647" s="12" t="s">
        <v>71</v>
      </c>
      <c r="P5647" s="12" t="s">
        <v>72</v>
      </c>
      <c r="Q5647" s="13">
        <v>45908</v>
      </c>
      <c r="R5647" s="13">
        <v>45933</v>
      </c>
      <c r="S5647">
        <v>2025</v>
      </c>
      <c r="T5647" s="12" t="s">
        <v>6704</v>
      </c>
      <c r="U5647">
        <v>668</v>
      </c>
      <c r="V5647">
        <v>34.205399999999997</v>
      </c>
      <c r="W5647">
        <v>465.2</v>
      </c>
      <c r="X5647">
        <v>0</v>
      </c>
      <c r="Y5647">
        <v>0</v>
      </c>
      <c r="Z5647">
        <v>22849.21</v>
      </c>
      <c r="AA5647">
        <v>23314.41</v>
      </c>
      <c r="AB5647" s="12" t="s">
        <v>5214</v>
      </c>
      <c r="AC5647">
        <v>34.205399999999997</v>
      </c>
      <c r="AD5647">
        <v>1</v>
      </c>
      <c r="AE5647">
        <v>1</v>
      </c>
      <c r="AF5647">
        <v>0</v>
      </c>
      <c r="AG5647">
        <v>22849.21</v>
      </c>
      <c r="AH5647">
        <v>668</v>
      </c>
      <c r="AI5647">
        <v>660</v>
      </c>
      <c r="AJ5647">
        <v>8</v>
      </c>
      <c r="AK5647">
        <v>1</v>
      </c>
      <c r="AL5647">
        <v>1</v>
      </c>
      <c r="AM5647">
        <v>98.8</v>
      </c>
      <c r="AN5647">
        <v>35.3249</v>
      </c>
      <c r="AO5647">
        <v>273.64</v>
      </c>
      <c r="AP5647" s="13">
        <v>45931</v>
      </c>
      <c r="AQ5647">
        <v>-2</v>
      </c>
      <c r="AR5647">
        <v>1</v>
      </c>
    </row>
    <row r="5648" spans="1:44" x14ac:dyDescent="0.35">
      <c r="A5648" s="12" t="s">
        <v>6754</v>
      </c>
      <c r="B5648" s="12" t="s">
        <v>317</v>
      </c>
      <c r="C5648" s="12" t="s">
        <v>318</v>
      </c>
      <c r="D5648" s="12" t="s">
        <v>64</v>
      </c>
      <c r="E5648" s="12" t="s">
        <v>104</v>
      </c>
      <c r="F5648">
        <v>2</v>
      </c>
      <c r="G5648">
        <v>0</v>
      </c>
      <c r="H5648">
        <v>0</v>
      </c>
      <c r="I5648" s="12" t="s">
        <v>183</v>
      </c>
      <c r="J5648" s="12" t="s">
        <v>184</v>
      </c>
      <c r="K5648" s="12" t="s">
        <v>133</v>
      </c>
      <c r="L5648" s="12" t="s">
        <v>82</v>
      </c>
      <c r="M5648">
        <v>8.6199999999999992</v>
      </c>
      <c r="N5648" s="12" t="s">
        <v>97</v>
      </c>
      <c r="O5648" s="12" t="s">
        <v>98</v>
      </c>
      <c r="P5648" s="12" t="s">
        <v>72</v>
      </c>
      <c r="Q5648" s="13">
        <v>45909</v>
      </c>
      <c r="R5648" s="13">
        <v>45928</v>
      </c>
      <c r="S5648">
        <v>2025</v>
      </c>
      <c r="T5648" s="12" t="s">
        <v>6704</v>
      </c>
      <c r="U5648">
        <v>465</v>
      </c>
      <c r="V5648">
        <v>15.7446</v>
      </c>
      <c r="W5648">
        <v>160.06</v>
      </c>
      <c r="X5648">
        <v>0</v>
      </c>
      <c r="Y5648">
        <v>0</v>
      </c>
      <c r="Z5648">
        <v>7321.24</v>
      </c>
      <c r="AA5648">
        <v>7481.3</v>
      </c>
      <c r="AB5648" s="12" t="s">
        <v>5733</v>
      </c>
      <c r="AC5648">
        <v>15.7446</v>
      </c>
      <c r="AD5648">
        <v>1</v>
      </c>
      <c r="AE5648">
        <v>1</v>
      </c>
      <c r="AF5648">
        <v>0</v>
      </c>
      <c r="AG5648">
        <v>7321.24</v>
      </c>
      <c r="AH5648">
        <v>465</v>
      </c>
      <c r="AI5648">
        <v>460</v>
      </c>
      <c r="AJ5648">
        <v>5</v>
      </c>
      <c r="AK5648">
        <v>1</v>
      </c>
      <c r="AL5648">
        <v>1</v>
      </c>
      <c r="AM5648">
        <v>98.92</v>
      </c>
      <c r="AN5648">
        <v>16.2637</v>
      </c>
      <c r="AO5648">
        <v>78.72</v>
      </c>
      <c r="AP5648" s="13">
        <v>45925</v>
      </c>
      <c r="AQ5648">
        <v>-3</v>
      </c>
      <c r="AR5648">
        <v>1</v>
      </c>
    </row>
    <row r="5649" spans="1:44" x14ac:dyDescent="0.35">
      <c r="A5649" s="12" t="s">
        <v>6755</v>
      </c>
      <c r="B5649" s="12" t="s">
        <v>416</v>
      </c>
      <c r="C5649" s="12" t="s">
        <v>417</v>
      </c>
      <c r="D5649" s="12" t="s">
        <v>78</v>
      </c>
      <c r="E5649" s="12" t="s">
        <v>65</v>
      </c>
      <c r="F5649">
        <v>3</v>
      </c>
      <c r="G5649">
        <v>5</v>
      </c>
      <c r="H5649">
        <v>0</v>
      </c>
      <c r="I5649" s="12" t="s">
        <v>169</v>
      </c>
      <c r="J5649" s="12" t="s">
        <v>170</v>
      </c>
      <c r="K5649" s="12" t="s">
        <v>89</v>
      </c>
      <c r="L5649" s="12" t="s">
        <v>134</v>
      </c>
      <c r="M5649">
        <v>1.37</v>
      </c>
      <c r="N5649" s="12" t="s">
        <v>70</v>
      </c>
      <c r="O5649" s="12" t="s">
        <v>71</v>
      </c>
      <c r="P5649" s="12" t="s">
        <v>72</v>
      </c>
      <c r="Q5649" s="13">
        <v>45909</v>
      </c>
      <c r="R5649" s="13">
        <v>45940</v>
      </c>
      <c r="S5649">
        <v>2025</v>
      </c>
      <c r="T5649" s="12" t="s">
        <v>6704</v>
      </c>
      <c r="U5649">
        <v>196</v>
      </c>
      <c r="V5649">
        <v>129.0615</v>
      </c>
      <c r="W5649">
        <v>222.5</v>
      </c>
      <c r="X5649">
        <v>0</v>
      </c>
      <c r="Y5649">
        <v>0</v>
      </c>
      <c r="Z5649">
        <v>25296.05</v>
      </c>
      <c r="AA5649">
        <v>25518.55</v>
      </c>
      <c r="AB5649" s="12" t="s">
        <v>5522</v>
      </c>
      <c r="AC5649">
        <v>129.0615</v>
      </c>
      <c r="AD5649">
        <v>1</v>
      </c>
      <c r="AE5649">
        <v>1</v>
      </c>
      <c r="AF5649">
        <v>0</v>
      </c>
      <c r="AG5649">
        <v>25296.05</v>
      </c>
      <c r="AH5649">
        <v>196</v>
      </c>
      <c r="AI5649">
        <v>194</v>
      </c>
      <c r="AJ5649">
        <v>2</v>
      </c>
      <c r="AK5649">
        <v>1</v>
      </c>
      <c r="AL5649">
        <v>1</v>
      </c>
      <c r="AM5649">
        <v>98.98</v>
      </c>
      <c r="AN5649">
        <v>131.53890000000001</v>
      </c>
      <c r="AO5649">
        <v>258.12</v>
      </c>
      <c r="AP5649" s="13">
        <v>45938</v>
      </c>
      <c r="AQ5649">
        <v>-2</v>
      </c>
      <c r="AR5649">
        <v>1</v>
      </c>
    </row>
    <row r="5650" spans="1:44" x14ac:dyDescent="0.35">
      <c r="A5650" s="12" t="s">
        <v>6756</v>
      </c>
      <c r="B5650" s="12" t="s">
        <v>416</v>
      </c>
      <c r="C5650" s="12" t="s">
        <v>417</v>
      </c>
      <c r="D5650" s="12" t="s">
        <v>78</v>
      </c>
      <c r="E5650" s="12" t="s">
        <v>65</v>
      </c>
      <c r="F5650">
        <v>3</v>
      </c>
      <c r="G5650">
        <v>5</v>
      </c>
      <c r="H5650">
        <v>0</v>
      </c>
      <c r="I5650" s="12" t="s">
        <v>169</v>
      </c>
      <c r="J5650" s="12" t="s">
        <v>170</v>
      </c>
      <c r="K5650" s="12" t="s">
        <v>89</v>
      </c>
      <c r="L5650" s="12" t="s">
        <v>134</v>
      </c>
      <c r="M5650">
        <v>1.37</v>
      </c>
      <c r="N5650" s="12" t="s">
        <v>70</v>
      </c>
      <c r="O5650" s="12" t="s">
        <v>71</v>
      </c>
      <c r="P5650" s="12" t="s">
        <v>72</v>
      </c>
      <c r="Q5650" s="13">
        <v>45909</v>
      </c>
      <c r="R5650" s="13">
        <v>45938</v>
      </c>
      <c r="S5650">
        <v>2025</v>
      </c>
      <c r="T5650" s="12" t="s">
        <v>6704</v>
      </c>
      <c r="U5650">
        <v>159</v>
      </c>
      <c r="V5650">
        <v>129.0615</v>
      </c>
      <c r="W5650">
        <v>354.27</v>
      </c>
      <c r="X5650">
        <v>0</v>
      </c>
      <c r="Y5650">
        <v>0</v>
      </c>
      <c r="Z5650">
        <v>20520.78</v>
      </c>
      <c r="AA5650">
        <v>20875.05</v>
      </c>
      <c r="AB5650" s="12" t="s">
        <v>5522</v>
      </c>
      <c r="AC5650">
        <v>129.0615</v>
      </c>
      <c r="AD5650">
        <v>1</v>
      </c>
      <c r="AE5650">
        <v>1</v>
      </c>
      <c r="AF5650">
        <v>0</v>
      </c>
      <c r="AG5650">
        <v>20520.78</v>
      </c>
      <c r="AH5650">
        <v>159</v>
      </c>
      <c r="AI5650">
        <v>155</v>
      </c>
      <c r="AJ5650">
        <v>4</v>
      </c>
      <c r="AK5650">
        <v>1</v>
      </c>
      <c r="AL5650">
        <v>1</v>
      </c>
      <c r="AM5650">
        <v>97.48</v>
      </c>
      <c r="AN5650">
        <v>134.67769999999999</v>
      </c>
      <c r="AO5650">
        <v>516.25</v>
      </c>
      <c r="AP5650" s="13">
        <v>45937</v>
      </c>
      <c r="AQ5650">
        <v>-1</v>
      </c>
      <c r="AR5650">
        <v>1</v>
      </c>
    </row>
    <row r="5651" spans="1:44" x14ac:dyDescent="0.35">
      <c r="A5651" s="12" t="s">
        <v>6757</v>
      </c>
      <c r="B5651" s="12" t="s">
        <v>458</v>
      </c>
      <c r="C5651" s="12" t="s">
        <v>459</v>
      </c>
      <c r="D5651" s="12" t="s">
        <v>64</v>
      </c>
      <c r="E5651" s="12" t="s">
        <v>104</v>
      </c>
      <c r="F5651">
        <v>2</v>
      </c>
      <c r="G5651">
        <v>0</v>
      </c>
      <c r="H5651">
        <v>0</v>
      </c>
      <c r="I5651" s="12" t="s">
        <v>199</v>
      </c>
      <c r="J5651" s="12" t="s">
        <v>200</v>
      </c>
      <c r="K5651" s="12" t="s">
        <v>68</v>
      </c>
      <c r="L5651" s="12" t="s">
        <v>96</v>
      </c>
      <c r="M5651">
        <v>9.4700000000000006</v>
      </c>
      <c r="N5651" s="12" t="s">
        <v>70</v>
      </c>
      <c r="O5651" s="12" t="s">
        <v>71</v>
      </c>
      <c r="P5651" s="12" t="s">
        <v>72</v>
      </c>
      <c r="Q5651" s="13">
        <v>45909</v>
      </c>
      <c r="R5651" s="13">
        <v>45934</v>
      </c>
      <c r="S5651">
        <v>2025</v>
      </c>
      <c r="T5651" s="12" t="s">
        <v>6704</v>
      </c>
      <c r="U5651">
        <v>767</v>
      </c>
      <c r="V5651">
        <v>21.352799999999998</v>
      </c>
      <c r="W5651">
        <v>266.11</v>
      </c>
      <c r="X5651">
        <v>0</v>
      </c>
      <c r="Y5651">
        <v>0</v>
      </c>
      <c r="Z5651">
        <v>16377.6</v>
      </c>
      <c r="AA5651">
        <v>16643.71</v>
      </c>
      <c r="AB5651" s="12" t="s">
        <v>5527</v>
      </c>
      <c r="AC5651">
        <v>21.352799999999998</v>
      </c>
      <c r="AD5651">
        <v>1</v>
      </c>
      <c r="AE5651">
        <v>1</v>
      </c>
      <c r="AF5651">
        <v>0</v>
      </c>
      <c r="AG5651">
        <v>16377.6</v>
      </c>
      <c r="AH5651">
        <v>767</v>
      </c>
      <c r="AI5651">
        <v>760</v>
      </c>
      <c r="AJ5651">
        <v>7</v>
      </c>
      <c r="AK5651">
        <v>1</v>
      </c>
      <c r="AL5651">
        <v>1</v>
      </c>
      <c r="AM5651">
        <v>99.09</v>
      </c>
      <c r="AN5651">
        <v>21.8996</v>
      </c>
      <c r="AO5651">
        <v>149.47</v>
      </c>
      <c r="AP5651" s="13">
        <v>45933</v>
      </c>
      <c r="AQ5651">
        <v>-1</v>
      </c>
      <c r="AR5651">
        <v>1</v>
      </c>
    </row>
    <row r="5652" spans="1:44" x14ac:dyDescent="0.35">
      <c r="A5652" s="12" t="s">
        <v>6758</v>
      </c>
      <c r="B5652" s="12" t="s">
        <v>149</v>
      </c>
      <c r="C5652" s="12" t="s">
        <v>150</v>
      </c>
      <c r="D5652" s="12" t="s">
        <v>78</v>
      </c>
      <c r="E5652" s="12" t="s">
        <v>65</v>
      </c>
      <c r="F5652">
        <v>2</v>
      </c>
      <c r="G5652">
        <v>2</v>
      </c>
      <c r="H5652">
        <v>0</v>
      </c>
      <c r="I5652" s="12" t="s">
        <v>169</v>
      </c>
      <c r="J5652" s="12" t="s">
        <v>170</v>
      </c>
      <c r="K5652" s="12" t="s">
        <v>89</v>
      </c>
      <c r="L5652" s="12" t="s">
        <v>134</v>
      </c>
      <c r="M5652">
        <v>1.37</v>
      </c>
      <c r="N5652" s="12" t="s">
        <v>97</v>
      </c>
      <c r="O5652" s="12" t="s">
        <v>98</v>
      </c>
      <c r="P5652" s="12" t="s">
        <v>72</v>
      </c>
      <c r="Q5652" s="13">
        <v>45910</v>
      </c>
      <c r="R5652" s="13">
        <v>45938</v>
      </c>
      <c r="S5652">
        <v>2025</v>
      </c>
      <c r="T5652" s="12" t="s">
        <v>6704</v>
      </c>
      <c r="U5652">
        <v>143</v>
      </c>
      <c r="V5652">
        <v>71.565399999999997</v>
      </c>
      <c r="W5652">
        <v>118.13</v>
      </c>
      <c r="X5652">
        <v>0</v>
      </c>
      <c r="Y5652">
        <v>0</v>
      </c>
      <c r="Z5652">
        <v>10233.85</v>
      </c>
      <c r="AA5652">
        <v>10351.98</v>
      </c>
      <c r="AB5652" s="12" t="s">
        <v>201</v>
      </c>
      <c r="AD5652">
        <v>0</v>
      </c>
      <c r="AE5652">
        <v>0</v>
      </c>
      <c r="AH5652">
        <v>143</v>
      </c>
      <c r="AI5652">
        <v>142</v>
      </c>
      <c r="AJ5652">
        <v>1</v>
      </c>
      <c r="AK5652">
        <v>1</v>
      </c>
      <c r="AL5652">
        <v>1</v>
      </c>
      <c r="AM5652">
        <v>99.3</v>
      </c>
      <c r="AN5652">
        <v>72.901300000000006</v>
      </c>
      <c r="AO5652">
        <v>71.569999999999993</v>
      </c>
      <c r="AP5652" s="13">
        <v>45938</v>
      </c>
      <c r="AQ5652">
        <v>0</v>
      </c>
      <c r="AR5652">
        <v>1</v>
      </c>
    </row>
    <row r="5653" spans="1:44" x14ac:dyDescent="0.35">
      <c r="A5653" s="12" t="s">
        <v>6759</v>
      </c>
      <c r="B5653" s="12" t="s">
        <v>963</v>
      </c>
      <c r="C5653" s="12" t="s">
        <v>964</v>
      </c>
      <c r="D5653" s="12" t="s">
        <v>114</v>
      </c>
      <c r="E5653" s="12" t="s">
        <v>142</v>
      </c>
      <c r="F5653">
        <v>1</v>
      </c>
      <c r="G5653">
        <v>6</v>
      </c>
      <c r="H5653">
        <v>1</v>
      </c>
      <c r="I5653" s="12" t="s">
        <v>176</v>
      </c>
      <c r="J5653" s="12" t="s">
        <v>177</v>
      </c>
      <c r="K5653" s="12" t="s">
        <v>125</v>
      </c>
      <c r="L5653" s="12" t="s">
        <v>134</v>
      </c>
      <c r="M5653">
        <v>1.75</v>
      </c>
      <c r="N5653" s="12" t="s">
        <v>97</v>
      </c>
      <c r="O5653" s="12" t="s">
        <v>98</v>
      </c>
      <c r="P5653" s="12" t="s">
        <v>72</v>
      </c>
      <c r="Q5653" s="13">
        <v>45910</v>
      </c>
      <c r="R5653" s="13">
        <v>45951</v>
      </c>
      <c r="S5653">
        <v>2025</v>
      </c>
      <c r="T5653" s="12" t="s">
        <v>6704</v>
      </c>
      <c r="U5653">
        <v>60</v>
      </c>
      <c r="V5653">
        <v>200.18020000000001</v>
      </c>
      <c r="W5653">
        <v>87.18</v>
      </c>
      <c r="X5653">
        <v>0</v>
      </c>
      <c r="Y5653">
        <v>0</v>
      </c>
      <c r="Z5653">
        <v>12010.81</v>
      </c>
      <c r="AA5653">
        <v>12097.99</v>
      </c>
      <c r="AB5653" s="12" t="s">
        <v>201</v>
      </c>
      <c r="AD5653">
        <v>0</v>
      </c>
      <c r="AE5653">
        <v>0</v>
      </c>
      <c r="AH5653">
        <v>60</v>
      </c>
      <c r="AI5653">
        <v>59</v>
      </c>
      <c r="AJ5653">
        <v>1</v>
      </c>
      <c r="AK5653">
        <v>1</v>
      </c>
      <c r="AL5653">
        <v>1</v>
      </c>
      <c r="AM5653">
        <v>98.33</v>
      </c>
      <c r="AN5653">
        <v>205.05070000000001</v>
      </c>
      <c r="AO5653">
        <v>200.18</v>
      </c>
      <c r="AP5653" s="13">
        <v>45950</v>
      </c>
      <c r="AQ5653">
        <v>-1</v>
      </c>
      <c r="AR5653">
        <v>1</v>
      </c>
    </row>
    <row r="5654" spans="1:44" x14ac:dyDescent="0.35">
      <c r="A5654" s="12" t="s">
        <v>6760</v>
      </c>
      <c r="B5654" s="12" t="s">
        <v>513</v>
      </c>
      <c r="C5654" s="12" t="s">
        <v>514</v>
      </c>
      <c r="D5654" s="12" t="s">
        <v>269</v>
      </c>
      <c r="E5654" s="12" t="s">
        <v>65</v>
      </c>
      <c r="F5654">
        <v>1</v>
      </c>
      <c r="G5654">
        <v>2</v>
      </c>
      <c r="H5654">
        <v>1</v>
      </c>
      <c r="I5654" s="12" t="s">
        <v>515</v>
      </c>
      <c r="J5654" s="12" t="s">
        <v>516</v>
      </c>
      <c r="K5654" s="12" t="s">
        <v>68</v>
      </c>
      <c r="L5654" s="12" t="s">
        <v>134</v>
      </c>
      <c r="M5654">
        <v>3.69</v>
      </c>
      <c r="N5654" s="12" t="s">
        <v>159</v>
      </c>
      <c r="O5654" s="12" t="s">
        <v>160</v>
      </c>
      <c r="P5654" s="12" t="s">
        <v>137</v>
      </c>
      <c r="Q5654" s="13">
        <v>45910</v>
      </c>
      <c r="R5654" s="13">
        <v>45944</v>
      </c>
      <c r="S5654">
        <v>2025</v>
      </c>
      <c r="T5654" s="12" t="s">
        <v>6704</v>
      </c>
      <c r="U5654">
        <v>116</v>
      </c>
      <c r="V5654">
        <v>197.91050000000001</v>
      </c>
      <c r="W5654">
        <v>569.77</v>
      </c>
      <c r="X5654">
        <v>0</v>
      </c>
      <c r="Y5654">
        <v>0</v>
      </c>
      <c r="Z5654">
        <v>22957.62</v>
      </c>
      <c r="AA5654">
        <v>23527.39</v>
      </c>
      <c r="AB5654" s="12" t="s">
        <v>201</v>
      </c>
      <c r="AD5654">
        <v>0</v>
      </c>
      <c r="AE5654">
        <v>0</v>
      </c>
      <c r="AH5654">
        <v>116</v>
      </c>
      <c r="AI5654">
        <v>114</v>
      </c>
      <c r="AJ5654">
        <v>2</v>
      </c>
      <c r="AK5654">
        <v>1</v>
      </c>
      <c r="AL5654">
        <v>1</v>
      </c>
      <c r="AM5654">
        <v>98.28</v>
      </c>
      <c r="AN5654">
        <v>206.38059999999999</v>
      </c>
      <c r="AO5654">
        <v>395.82</v>
      </c>
      <c r="AP5654" s="13">
        <v>45953</v>
      </c>
      <c r="AQ5654">
        <v>9</v>
      </c>
      <c r="AR5654">
        <v>0</v>
      </c>
    </row>
    <row r="5655" spans="1:44" x14ac:dyDescent="0.35">
      <c r="A5655" s="12" t="s">
        <v>6761</v>
      </c>
      <c r="B5655" s="12" t="s">
        <v>747</v>
      </c>
      <c r="C5655" s="12" t="s">
        <v>748</v>
      </c>
      <c r="D5655" s="12" t="s">
        <v>114</v>
      </c>
      <c r="E5655" s="12" t="s">
        <v>104</v>
      </c>
      <c r="F5655">
        <v>2</v>
      </c>
      <c r="G5655">
        <v>0</v>
      </c>
      <c r="H5655">
        <v>0</v>
      </c>
      <c r="I5655" s="12" t="s">
        <v>380</v>
      </c>
      <c r="J5655" s="12" t="s">
        <v>381</v>
      </c>
      <c r="K5655" s="12" t="s">
        <v>89</v>
      </c>
      <c r="L5655" s="12" t="s">
        <v>96</v>
      </c>
      <c r="M5655">
        <v>10.210000000000001</v>
      </c>
      <c r="N5655" s="12" t="s">
        <v>70</v>
      </c>
      <c r="O5655" s="12" t="s">
        <v>71</v>
      </c>
      <c r="P5655" s="12" t="s">
        <v>72</v>
      </c>
      <c r="Q5655" s="13">
        <v>45910</v>
      </c>
      <c r="R5655" s="13">
        <v>45922</v>
      </c>
      <c r="S5655">
        <v>2025</v>
      </c>
      <c r="T5655" s="12" t="s">
        <v>6704</v>
      </c>
      <c r="U5655">
        <v>15</v>
      </c>
      <c r="V5655">
        <v>280.50069999999999</v>
      </c>
      <c r="W5655">
        <v>88.12</v>
      </c>
      <c r="X5655">
        <v>0</v>
      </c>
      <c r="Y5655">
        <v>0</v>
      </c>
      <c r="Z5655">
        <v>4207.51</v>
      </c>
      <c r="AA5655">
        <v>4295.63</v>
      </c>
      <c r="AB5655" s="12" t="s">
        <v>201</v>
      </c>
      <c r="AD5655">
        <v>0</v>
      </c>
      <c r="AE5655">
        <v>0</v>
      </c>
      <c r="AH5655">
        <v>15</v>
      </c>
      <c r="AI5655">
        <v>15</v>
      </c>
      <c r="AJ5655">
        <v>0</v>
      </c>
      <c r="AK5655">
        <v>1</v>
      </c>
      <c r="AL5655">
        <v>1</v>
      </c>
      <c r="AM5655">
        <v>100</v>
      </c>
      <c r="AN5655">
        <v>286.37540000000001</v>
      </c>
      <c r="AO5655">
        <v>0</v>
      </c>
      <c r="AP5655" s="13">
        <v>45922</v>
      </c>
      <c r="AQ5655">
        <v>0</v>
      </c>
      <c r="AR5655">
        <v>1</v>
      </c>
    </row>
    <row r="5656" spans="1:44" x14ac:dyDescent="0.35">
      <c r="A5656" s="12" t="s">
        <v>6762</v>
      </c>
      <c r="B5656" s="12" t="s">
        <v>519</v>
      </c>
      <c r="C5656" s="12" t="s">
        <v>520</v>
      </c>
      <c r="D5656" s="12" t="s">
        <v>78</v>
      </c>
      <c r="E5656" s="12" t="s">
        <v>65</v>
      </c>
      <c r="F5656">
        <v>2</v>
      </c>
      <c r="G5656">
        <v>3</v>
      </c>
      <c r="H5656">
        <v>0</v>
      </c>
      <c r="I5656" s="12" t="s">
        <v>143</v>
      </c>
      <c r="J5656" s="12" t="s">
        <v>144</v>
      </c>
      <c r="K5656" s="12" t="s">
        <v>133</v>
      </c>
      <c r="L5656" s="12" t="s">
        <v>96</v>
      </c>
      <c r="M5656">
        <v>5.43</v>
      </c>
      <c r="N5656" s="12" t="s">
        <v>70</v>
      </c>
      <c r="O5656" s="12" t="s">
        <v>71</v>
      </c>
      <c r="P5656" s="12" t="s">
        <v>72</v>
      </c>
      <c r="Q5656" s="13">
        <v>45910</v>
      </c>
      <c r="R5656" s="13">
        <v>45940</v>
      </c>
      <c r="S5656">
        <v>2025</v>
      </c>
      <c r="T5656" s="12" t="s">
        <v>6704</v>
      </c>
      <c r="U5656">
        <v>177</v>
      </c>
      <c r="V5656">
        <v>28.570399999999999</v>
      </c>
      <c r="W5656">
        <v>115.27</v>
      </c>
      <c r="X5656">
        <v>0</v>
      </c>
      <c r="Y5656">
        <v>0</v>
      </c>
      <c r="Z5656">
        <v>5056.96</v>
      </c>
      <c r="AA5656">
        <v>5172.2299999999996</v>
      </c>
      <c r="AB5656" s="12" t="s">
        <v>5619</v>
      </c>
      <c r="AC5656">
        <v>28.570399999999999</v>
      </c>
      <c r="AD5656">
        <v>1</v>
      </c>
      <c r="AE5656">
        <v>1</v>
      </c>
      <c r="AF5656">
        <v>0</v>
      </c>
      <c r="AG5656">
        <v>5056.96</v>
      </c>
      <c r="AH5656">
        <v>177</v>
      </c>
      <c r="AI5656">
        <v>175</v>
      </c>
      <c r="AJ5656">
        <v>2</v>
      </c>
      <c r="AK5656">
        <v>1</v>
      </c>
      <c r="AL5656">
        <v>1</v>
      </c>
      <c r="AM5656">
        <v>98.87</v>
      </c>
      <c r="AN5656">
        <v>29.555599999999998</v>
      </c>
      <c r="AO5656">
        <v>57.14</v>
      </c>
      <c r="AP5656" s="13">
        <v>45939</v>
      </c>
      <c r="AQ5656">
        <v>-1</v>
      </c>
      <c r="AR5656">
        <v>1</v>
      </c>
    </row>
    <row r="5657" spans="1:44" x14ac:dyDescent="0.35">
      <c r="A5657" s="12" t="s">
        <v>6763</v>
      </c>
      <c r="B5657" s="12" t="s">
        <v>978</v>
      </c>
      <c r="C5657" s="12" t="s">
        <v>979</v>
      </c>
      <c r="D5657" s="12" t="s">
        <v>122</v>
      </c>
      <c r="E5657" s="12" t="s">
        <v>65</v>
      </c>
      <c r="F5657">
        <v>1</v>
      </c>
      <c r="G5657">
        <v>2</v>
      </c>
      <c r="H5657">
        <v>1</v>
      </c>
      <c r="I5657" s="12" t="s">
        <v>310</v>
      </c>
      <c r="J5657" s="12" t="s">
        <v>311</v>
      </c>
      <c r="K5657" s="12" t="s">
        <v>81</v>
      </c>
      <c r="L5657" s="12" t="s">
        <v>69</v>
      </c>
      <c r="M5657">
        <v>28.3</v>
      </c>
      <c r="N5657" s="12" t="s">
        <v>70</v>
      </c>
      <c r="O5657" s="12" t="s">
        <v>71</v>
      </c>
      <c r="P5657" s="12" t="s">
        <v>72</v>
      </c>
      <c r="Q5657" s="13">
        <v>45910</v>
      </c>
      <c r="R5657" s="13">
        <v>45944</v>
      </c>
      <c r="S5657">
        <v>2025</v>
      </c>
      <c r="T5657" s="12" t="s">
        <v>6704</v>
      </c>
      <c r="U5657">
        <v>1564</v>
      </c>
      <c r="V5657">
        <v>43.4407</v>
      </c>
      <c r="W5657">
        <v>1453.83</v>
      </c>
      <c r="X5657">
        <v>0</v>
      </c>
      <c r="Y5657">
        <v>0</v>
      </c>
      <c r="Z5657">
        <v>67941.25</v>
      </c>
      <c r="AA5657">
        <v>69395.08</v>
      </c>
      <c r="AB5657" s="12" t="s">
        <v>6061</v>
      </c>
      <c r="AC5657">
        <v>43.4407</v>
      </c>
      <c r="AD5657">
        <v>1</v>
      </c>
      <c r="AE5657">
        <v>1</v>
      </c>
      <c r="AF5657">
        <v>0</v>
      </c>
      <c r="AG5657">
        <v>67941.25</v>
      </c>
      <c r="AH5657">
        <v>1564</v>
      </c>
      <c r="AI5657">
        <v>1546</v>
      </c>
      <c r="AJ5657">
        <v>18</v>
      </c>
      <c r="AK5657">
        <v>1</v>
      </c>
      <c r="AL5657">
        <v>1</v>
      </c>
      <c r="AM5657">
        <v>98.85</v>
      </c>
      <c r="AN5657">
        <v>44.886899999999997</v>
      </c>
      <c r="AO5657">
        <v>781.93</v>
      </c>
      <c r="AP5657" s="13">
        <v>45944</v>
      </c>
      <c r="AQ5657">
        <v>0</v>
      </c>
      <c r="AR5657">
        <v>1</v>
      </c>
    </row>
    <row r="5658" spans="1:44" x14ac:dyDescent="0.35">
      <c r="A5658" s="12" t="s">
        <v>6764</v>
      </c>
      <c r="B5658" s="12" t="s">
        <v>207</v>
      </c>
      <c r="C5658" s="12" t="s">
        <v>208</v>
      </c>
      <c r="D5658" s="12" t="s">
        <v>78</v>
      </c>
      <c r="E5658" s="12" t="s">
        <v>65</v>
      </c>
      <c r="F5658">
        <v>2</v>
      </c>
      <c r="G5658">
        <v>3</v>
      </c>
      <c r="H5658">
        <v>0</v>
      </c>
      <c r="I5658" s="12" t="s">
        <v>209</v>
      </c>
      <c r="J5658" s="12" t="s">
        <v>210</v>
      </c>
      <c r="K5658" s="12" t="s">
        <v>133</v>
      </c>
      <c r="L5658" s="12" t="s">
        <v>96</v>
      </c>
      <c r="M5658">
        <v>7.82</v>
      </c>
      <c r="N5658" s="12" t="s">
        <v>97</v>
      </c>
      <c r="O5658" s="12" t="s">
        <v>98</v>
      </c>
      <c r="P5658" s="12" t="s">
        <v>72</v>
      </c>
      <c r="Q5658" s="13">
        <v>45910</v>
      </c>
      <c r="R5658" s="13">
        <v>45938</v>
      </c>
      <c r="S5658">
        <v>2025</v>
      </c>
      <c r="T5658" s="12" t="s">
        <v>6704</v>
      </c>
      <c r="U5658">
        <v>142</v>
      </c>
      <c r="V5658">
        <v>136.66159999999999</v>
      </c>
      <c r="W5658">
        <v>305.95</v>
      </c>
      <c r="X5658">
        <v>0</v>
      </c>
      <c r="Y5658">
        <v>0</v>
      </c>
      <c r="Z5658">
        <v>19405.95</v>
      </c>
      <c r="AA5658">
        <v>19711.900000000001</v>
      </c>
      <c r="AB5658" s="12" t="s">
        <v>5196</v>
      </c>
      <c r="AC5658">
        <v>145.1729</v>
      </c>
      <c r="AD5658">
        <v>1</v>
      </c>
      <c r="AE5658">
        <v>1</v>
      </c>
      <c r="AF5658">
        <v>-1208.5999999999999</v>
      </c>
      <c r="AG5658">
        <v>20614.55</v>
      </c>
      <c r="AH5658">
        <v>142</v>
      </c>
      <c r="AI5658">
        <v>141</v>
      </c>
      <c r="AJ5658">
        <v>1</v>
      </c>
      <c r="AK5658">
        <v>1</v>
      </c>
      <c r="AL5658">
        <v>1</v>
      </c>
      <c r="AM5658">
        <v>99.3</v>
      </c>
      <c r="AN5658">
        <v>139.80070000000001</v>
      </c>
      <c r="AO5658">
        <v>136.66</v>
      </c>
      <c r="AP5658" s="13">
        <v>45946</v>
      </c>
      <c r="AQ5658">
        <v>8</v>
      </c>
      <c r="AR5658">
        <v>0</v>
      </c>
    </row>
    <row r="5659" spans="1:44" x14ac:dyDescent="0.35">
      <c r="A5659" s="12" t="s">
        <v>6765</v>
      </c>
      <c r="B5659" s="12" t="s">
        <v>661</v>
      </c>
      <c r="C5659" s="12" t="s">
        <v>662</v>
      </c>
      <c r="D5659" s="12" t="s">
        <v>175</v>
      </c>
      <c r="E5659" s="12" t="s">
        <v>104</v>
      </c>
      <c r="F5659">
        <v>1</v>
      </c>
      <c r="G5659">
        <v>0</v>
      </c>
      <c r="H5659">
        <v>1</v>
      </c>
      <c r="I5659" s="12" t="s">
        <v>183</v>
      </c>
      <c r="J5659" s="12" t="s">
        <v>184</v>
      </c>
      <c r="K5659" s="12" t="s">
        <v>133</v>
      </c>
      <c r="L5659" s="12" t="s">
        <v>82</v>
      </c>
      <c r="M5659">
        <v>8.6199999999999992</v>
      </c>
      <c r="N5659" s="12" t="s">
        <v>145</v>
      </c>
      <c r="O5659" s="12" t="s">
        <v>146</v>
      </c>
      <c r="P5659" s="12" t="s">
        <v>109</v>
      </c>
      <c r="Q5659" s="13">
        <v>45910</v>
      </c>
      <c r="R5659" s="13">
        <v>45936</v>
      </c>
      <c r="S5659">
        <v>2025</v>
      </c>
      <c r="T5659" s="12" t="s">
        <v>6704</v>
      </c>
      <c r="U5659">
        <v>121</v>
      </c>
      <c r="V5659">
        <v>166.30070000000001</v>
      </c>
      <c r="W5659">
        <v>281.12</v>
      </c>
      <c r="X5659">
        <v>0</v>
      </c>
      <c r="Y5659">
        <v>0</v>
      </c>
      <c r="Z5659">
        <v>20122.38</v>
      </c>
      <c r="AA5659">
        <v>20403.5</v>
      </c>
      <c r="AB5659" s="12" t="s">
        <v>5336</v>
      </c>
      <c r="AC5659">
        <v>166.30070000000001</v>
      </c>
      <c r="AD5659">
        <v>1</v>
      </c>
      <c r="AE5659">
        <v>1</v>
      </c>
      <c r="AF5659">
        <v>0</v>
      </c>
      <c r="AG5659">
        <v>20122.38</v>
      </c>
      <c r="AH5659">
        <v>121</v>
      </c>
      <c r="AI5659">
        <v>120</v>
      </c>
      <c r="AJ5659">
        <v>1</v>
      </c>
      <c r="AK5659">
        <v>1</v>
      </c>
      <c r="AL5659">
        <v>1</v>
      </c>
      <c r="AM5659">
        <v>99.17</v>
      </c>
      <c r="AN5659">
        <v>170.0292</v>
      </c>
      <c r="AO5659">
        <v>166.3</v>
      </c>
      <c r="AP5659" s="13">
        <v>45942</v>
      </c>
      <c r="AQ5659">
        <v>6</v>
      </c>
      <c r="AR5659">
        <v>0</v>
      </c>
    </row>
    <row r="5660" spans="1:44" x14ac:dyDescent="0.35">
      <c r="A5660" s="12" t="s">
        <v>6766</v>
      </c>
      <c r="B5660" s="12" t="s">
        <v>891</v>
      </c>
      <c r="C5660" s="12" t="s">
        <v>892</v>
      </c>
      <c r="D5660" s="12" t="s">
        <v>122</v>
      </c>
      <c r="E5660" s="12" t="s">
        <v>65</v>
      </c>
      <c r="F5660">
        <v>3</v>
      </c>
      <c r="G5660">
        <v>5</v>
      </c>
      <c r="H5660">
        <v>0</v>
      </c>
      <c r="I5660" s="12" t="s">
        <v>195</v>
      </c>
      <c r="J5660" s="12" t="s">
        <v>196</v>
      </c>
      <c r="K5660" s="12" t="s">
        <v>117</v>
      </c>
      <c r="L5660" s="12" t="s">
        <v>134</v>
      </c>
      <c r="M5660">
        <v>4.7699999999999996</v>
      </c>
      <c r="N5660" s="12" t="s">
        <v>97</v>
      </c>
      <c r="O5660" s="12" t="s">
        <v>98</v>
      </c>
      <c r="P5660" s="12" t="s">
        <v>72</v>
      </c>
      <c r="Q5660" s="13">
        <v>45911</v>
      </c>
      <c r="R5660" s="13">
        <v>45937</v>
      </c>
      <c r="S5660">
        <v>2025</v>
      </c>
      <c r="T5660" s="12" t="s">
        <v>6704</v>
      </c>
      <c r="U5660">
        <v>761</v>
      </c>
      <c r="V5660">
        <v>36.331099999999999</v>
      </c>
      <c r="W5660">
        <v>386.81</v>
      </c>
      <c r="X5660">
        <v>0</v>
      </c>
      <c r="Y5660">
        <v>0</v>
      </c>
      <c r="Z5660">
        <v>27647.97</v>
      </c>
      <c r="AA5660">
        <v>28034.78</v>
      </c>
      <c r="AB5660" s="12" t="s">
        <v>5810</v>
      </c>
      <c r="AC5660">
        <v>36.331099999999999</v>
      </c>
      <c r="AD5660">
        <v>1</v>
      </c>
      <c r="AE5660">
        <v>1</v>
      </c>
      <c r="AF5660">
        <v>0</v>
      </c>
      <c r="AG5660">
        <v>27647.97</v>
      </c>
      <c r="AH5660">
        <v>761</v>
      </c>
      <c r="AI5660">
        <v>755</v>
      </c>
      <c r="AJ5660">
        <v>6</v>
      </c>
      <c r="AK5660">
        <v>1</v>
      </c>
      <c r="AL5660">
        <v>1</v>
      </c>
      <c r="AM5660">
        <v>99.21</v>
      </c>
      <c r="AN5660">
        <v>37.132199999999997</v>
      </c>
      <c r="AO5660">
        <v>217.99</v>
      </c>
      <c r="AP5660" s="13">
        <v>45937</v>
      </c>
      <c r="AQ5660">
        <v>0</v>
      </c>
      <c r="AR5660">
        <v>1</v>
      </c>
    </row>
    <row r="5661" spans="1:44" x14ac:dyDescent="0.35">
      <c r="A5661" s="12" t="s">
        <v>6767</v>
      </c>
      <c r="B5661" s="12" t="s">
        <v>284</v>
      </c>
      <c r="C5661" s="12" t="s">
        <v>285</v>
      </c>
      <c r="D5661" s="12" t="s">
        <v>269</v>
      </c>
      <c r="E5661" s="12" t="s">
        <v>104</v>
      </c>
      <c r="F5661">
        <v>3</v>
      </c>
      <c r="G5661">
        <v>1</v>
      </c>
      <c r="H5661">
        <v>0</v>
      </c>
      <c r="I5661" s="12" t="s">
        <v>199</v>
      </c>
      <c r="J5661" s="12" t="s">
        <v>200</v>
      </c>
      <c r="K5661" s="12" t="s">
        <v>68</v>
      </c>
      <c r="L5661" s="12" t="s">
        <v>96</v>
      </c>
      <c r="M5661">
        <v>9.4700000000000006</v>
      </c>
      <c r="N5661" s="12" t="s">
        <v>135</v>
      </c>
      <c r="O5661" s="12" t="s">
        <v>136</v>
      </c>
      <c r="P5661" s="12" t="s">
        <v>137</v>
      </c>
      <c r="Q5661" s="13">
        <v>45911</v>
      </c>
      <c r="R5661" s="13">
        <v>45929</v>
      </c>
      <c r="S5661">
        <v>2025</v>
      </c>
      <c r="T5661" s="12" t="s">
        <v>6704</v>
      </c>
      <c r="U5661">
        <v>59</v>
      </c>
      <c r="V5661">
        <v>360.19110000000001</v>
      </c>
      <c r="W5661">
        <v>327.61</v>
      </c>
      <c r="X5661">
        <v>0</v>
      </c>
      <c r="Y5661">
        <v>0</v>
      </c>
      <c r="Z5661">
        <v>21251.27</v>
      </c>
      <c r="AA5661">
        <v>21578.880000000001</v>
      </c>
      <c r="AB5661" s="12" t="s">
        <v>201</v>
      </c>
      <c r="AD5661">
        <v>0</v>
      </c>
      <c r="AE5661">
        <v>0</v>
      </c>
      <c r="AH5661">
        <v>59</v>
      </c>
      <c r="AI5661">
        <v>59</v>
      </c>
      <c r="AJ5661">
        <v>0</v>
      </c>
      <c r="AK5661">
        <v>1</v>
      </c>
      <c r="AL5661">
        <v>1</v>
      </c>
      <c r="AM5661">
        <v>100</v>
      </c>
      <c r="AN5661">
        <v>365.74380000000002</v>
      </c>
      <c r="AO5661">
        <v>0</v>
      </c>
      <c r="AP5661" s="13">
        <v>45933</v>
      </c>
      <c r="AQ5661">
        <v>4</v>
      </c>
      <c r="AR5661">
        <v>0</v>
      </c>
    </row>
    <row r="5662" spans="1:44" x14ac:dyDescent="0.35">
      <c r="A5662" s="12" t="s">
        <v>6768</v>
      </c>
      <c r="B5662" s="12" t="s">
        <v>408</v>
      </c>
      <c r="C5662" s="12" t="s">
        <v>409</v>
      </c>
      <c r="D5662" s="12" t="s">
        <v>130</v>
      </c>
      <c r="E5662" s="12" t="s">
        <v>65</v>
      </c>
      <c r="F5662">
        <v>3</v>
      </c>
      <c r="G5662">
        <v>5</v>
      </c>
      <c r="H5662">
        <v>0</v>
      </c>
      <c r="I5662" s="12" t="s">
        <v>94</v>
      </c>
      <c r="J5662" s="12" t="s">
        <v>95</v>
      </c>
      <c r="K5662" s="12" t="s">
        <v>81</v>
      </c>
      <c r="L5662" s="12" t="s">
        <v>96</v>
      </c>
      <c r="M5662">
        <v>4.8099999999999996</v>
      </c>
      <c r="N5662" s="12" t="s">
        <v>159</v>
      </c>
      <c r="O5662" s="12" t="s">
        <v>160</v>
      </c>
      <c r="P5662" s="12" t="s">
        <v>137</v>
      </c>
      <c r="Q5662" s="13">
        <v>45911</v>
      </c>
      <c r="R5662" s="13">
        <v>45933</v>
      </c>
      <c r="S5662">
        <v>2025</v>
      </c>
      <c r="T5662" s="12" t="s">
        <v>6704</v>
      </c>
      <c r="U5662">
        <v>19</v>
      </c>
      <c r="V5662">
        <v>754.96339999999998</v>
      </c>
      <c r="W5662">
        <v>317.05</v>
      </c>
      <c r="X5662">
        <v>0</v>
      </c>
      <c r="Y5662">
        <v>0</v>
      </c>
      <c r="Z5662">
        <v>14344.3</v>
      </c>
      <c r="AA5662">
        <v>14661.35</v>
      </c>
      <c r="AB5662" s="12" t="s">
        <v>201</v>
      </c>
      <c r="AD5662">
        <v>0</v>
      </c>
      <c r="AE5662">
        <v>0</v>
      </c>
      <c r="AH5662">
        <v>19</v>
      </c>
      <c r="AI5662">
        <v>19</v>
      </c>
      <c r="AJ5662">
        <v>0</v>
      </c>
      <c r="AK5662">
        <v>1</v>
      </c>
      <c r="AL5662">
        <v>1</v>
      </c>
      <c r="AM5662">
        <v>100</v>
      </c>
      <c r="AN5662">
        <v>771.65020000000004</v>
      </c>
      <c r="AO5662">
        <v>0</v>
      </c>
      <c r="AP5662" s="13">
        <v>45933</v>
      </c>
      <c r="AQ5662">
        <v>0</v>
      </c>
      <c r="AR5662">
        <v>1</v>
      </c>
    </row>
    <row r="5663" spans="1:44" x14ac:dyDescent="0.35">
      <c r="A5663" s="12" t="s">
        <v>6769</v>
      </c>
      <c r="B5663" s="12" t="s">
        <v>755</v>
      </c>
      <c r="C5663" s="12" t="s">
        <v>756</v>
      </c>
      <c r="D5663" s="12" t="s">
        <v>78</v>
      </c>
      <c r="E5663" s="12" t="s">
        <v>65</v>
      </c>
      <c r="F5663">
        <v>2</v>
      </c>
      <c r="G5663">
        <v>2</v>
      </c>
      <c r="H5663">
        <v>0</v>
      </c>
      <c r="I5663" s="12" t="s">
        <v>359</v>
      </c>
      <c r="J5663" s="12" t="s">
        <v>360</v>
      </c>
      <c r="K5663" s="12" t="s">
        <v>133</v>
      </c>
      <c r="L5663" s="12" t="s">
        <v>82</v>
      </c>
      <c r="M5663">
        <v>12.65</v>
      </c>
      <c r="N5663" s="12" t="s">
        <v>70</v>
      </c>
      <c r="O5663" s="12" t="s">
        <v>71</v>
      </c>
      <c r="P5663" s="12" t="s">
        <v>72</v>
      </c>
      <c r="Q5663" s="13">
        <v>45911</v>
      </c>
      <c r="R5663" s="13">
        <v>45938</v>
      </c>
      <c r="S5663">
        <v>2025</v>
      </c>
      <c r="T5663" s="12" t="s">
        <v>6704</v>
      </c>
      <c r="U5663">
        <v>130</v>
      </c>
      <c r="V5663">
        <v>40.900399999999998</v>
      </c>
      <c r="W5663">
        <v>103.88</v>
      </c>
      <c r="X5663">
        <v>0</v>
      </c>
      <c r="Y5663">
        <v>0</v>
      </c>
      <c r="Z5663">
        <v>5317.05</v>
      </c>
      <c r="AA5663">
        <v>5420.93</v>
      </c>
      <c r="AB5663" s="12" t="s">
        <v>6215</v>
      </c>
      <c r="AC5663">
        <v>40.900399999999998</v>
      </c>
      <c r="AD5663">
        <v>1</v>
      </c>
      <c r="AE5663">
        <v>1</v>
      </c>
      <c r="AF5663">
        <v>0</v>
      </c>
      <c r="AG5663">
        <v>5317.05</v>
      </c>
      <c r="AH5663">
        <v>130</v>
      </c>
      <c r="AI5663">
        <v>129</v>
      </c>
      <c r="AJ5663">
        <v>1</v>
      </c>
      <c r="AK5663">
        <v>1</v>
      </c>
      <c r="AL5663">
        <v>1</v>
      </c>
      <c r="AM5663">
        <v>99.23</v>
      </c>
      <c r="AN5663">
        <v>42.0227</v>
      </c>
      <c r="AO5663">
        <v>40.9</v>
      </c>
      <c r="AP5663" s="13">
        <v>45937</v>
      </c>
      <c r="AQ5663">
        <v>-1</v>
      </c>
      <c r="AR5663">
        <v>1</v>
      </c>
    </row>
    <row r="5664" spans="1:44" x14ac:dyDescent="0.35">
      <c r="A5664" s="12" t="s">
        <v>6770</v>
      </c>
      <c r="B5664" s="12" t="s">
        <v>207</v>
      </c>
      <c r="C5664" s="12" t="s">
        <v>208</v>
      </c>
      <c r="D5664" s="12" t="s">
        <v>78</v>
      </c>
      <c r="E5664" s="12" t="s">
        <v>65</v>
      </c>
      <c r="F5664">
        <v>2</v>
      </c>
      <c r="G5664">
        <v>3</v>
      </c>
      <c r="H5664">
        <v>0</v>
      </c>
      <c r="I5664" s="12" t="s">
        <v>209</v>
      </c>
      <c r="J5664" s="12" t="s">
        <v>210</v>
      </c>
      <c r="K5664" s="12" t="s">
        <v>133</v>
      </c>
      <c r="L5664" s="12" t="s">
        <v>96</v>
      </c>
      <c r="M5664">
        <v>7.82</v>
      </c>
      <c r="N5664" s="12" t="s">
        <v>97</v>
      </c>
      <c r="O5664" s="12" t="s">
        <v>98</v>
      </c>
      <c r="P5664" s="12" t="s">
        <v>72</v>
      </c>
      <c r="Q5664" s="13">
        <v>45911</v>
      </c>
      <c r="R5664" s="13">
        <v>45942</v>
      </c>
      <c r="S5664">
        <v>2025</v>
      </c>
      <c r="T5664" s="12" t="s">
        <v>6704</v>
      </c>
      <c r="U5664">
        <v>187</v>
      </c>
      <c r="V5664">
        <v>150.3115</v>
      </c>
      <c r="W5664">
        <v>644.08000000000004</v>
      </c>
      <c r="X5664">
        <v>0</v>
      </c>
      <c r="Y5664">
        <v>0</v>
      </c>
      <c r="Z5664">
        <v>28108.25</v>
      </c>
      <c r="AA5664">
        <v>28752.33</v>
      </c>
      <c r="AB5664" s="12" t="s">
        <v>5196</v>
      </c>
      <c r="AC5664">
        <v>145.1729</v>
      </c>
      <c r="AD5664">
        <v>1</v>
      </c>
      <c r="AE5664">
        <v>1</v>
      </c>
      <c r="AF5664">
        <v>960.92</v>
      </c>
      <c r="AG5664">
        <v>27147.33</v>
      </c>
      <c r="AH5664">
        <v>187</v>
      </c>
      <c r="AI5664">
        <v>184</v>
      </c>
      <c r="AJ5664">
        <v>3</v>
      </c>
      <c r="AK5664">
        <v>1</v>
      </c>
      <c r="AL5664">
        <v>1</v>
      </c>
      <c r="AM5664">
        <v>98.4</v>
      </c>
      <c r="AN5664">
        <v>156.2627</v>
      </c>
      <c r="AO5664">
        <v>450.93</v>
      </c>
      <c r="AP5664" s="13">
        <v>45942</v>
      </c>
      <c r="AQ5664">
        <v>0</v>
      </c>
      <c r="AR5664">
        <v>1</v>
      </c>
    </row>
    <row r="5665" spans="1:44" x14ac:dyDescent="0.35">
      <c r="A5665" s="12" t="s">
        <v>6771</v>
      </c>
      <c r="B5665" s="12" t="s">
        <v>357</v>
      </c>
      <c r="C5665" s="12" t="s">
        <v>358</v>
      </c>
      <c r="D5665" s="12" t="s">
        <v>103</v>
      </c>
      <c r="E5665" s="12" t="s">
        <v>104</v>
      </c>
      <c r="F5665">
        <v>3</v>
      </c>
      <c r="G5665">
        <v>1</v>
      </c>
      <c r="H5665">
        <v>0</v>
      </c>
      <c r="I5665" s="12" t="s">
        <v>151</v>
      </c>
      <c r="J5665" s="12" t="s">
        <v>152</v>
      </c>
      <c r="K5665" s="12" t="s">
        <v>125</v>
      </c>
      <c r="L5665" s="12" t="s">
        <v>69</v>
      </c>
      <c r="M5665">
        <v>36.479999999999997</v>
      </c>
      <c r="N5665" s="12" t="s">
        <v>145</v>
      </c>
      <c r="O5665" s="12" t="s">
        <v>146</v>
      </c>
      <c r="P5665" s="12" t="s">
        <v>109</v>
      </c>
      <c r="Q5665" s="13">
        <v>45911</v>
      </c>
      <c r="R5665" s="13">
        <v>45938</v>
      </c>
      <c r="S5665">
        <v>2025</v>
      </c>
      <c r="T5665" s="12" t="s">
        <v>6704</v>
      </c>
      <c r="U5665">
        <v>131</v>
      </c>
      <c r="V5665">
        <v>105.04300000000001</v>
      </c>
      <c r="W5665">
        <v>111.24</v>
      </c>
      <c r="X5665">
        <v>0</v>
      </c>
      <c r="Y5665">
        <v>0</v>
      </c>
      <c r="Z5665">
        <v>13760.63</v>
      </c>
      <c r="AA5665">
        <v>13871.87</v>
      </c>
      <c r="AB5665" s="12" t="s">
        <v>6064</v>
      </c>
      <c r="AC5665">
        <v>105.04300000000001</v>
      </c>
      <c r="AD5665">
        <v>1</v>
      </c>
      <c r="AE5665">
        <v>1</v>
      </c>
      <c r="AF5665">
        <v>0</v>
      </c>
      <c r="AG5665">
        <v>13760.63</v>
      </c>
      <c r="AH5665">
        <v>131</v>
      </c>
      <c r="AI5665">
        <v>130</v>
      </c>
      <c r="AJ5665">
        <v>1</v>
      </c>
      <c r="AK5665">
        <v>1</v>
      </c>
      <c r="AL5665">
        <v>1</v>
      </c>
      <c r="AM5665">
        <v>99.24</v>
      </c>
      <c r="AN5665">
        <v>106.7067</v>
      </c>
      <c r="AO5665">
        <v>105.04</v>
      </c>
      <c r="AP5665" s="13">
        <v>45936</v>
      </c>
      <c r="AQ5665">
        <v>-2</v>
      </c>
      <c r="AR5665">
        <v>1</v>
      </c>
    </row>
    <row r="5666" spans="1:44" x14ac:dyDescent="0.35">
      <c r="A5666" s="12" t="s">
        <v>6772</v>
      </c>
      <c r="B5666" s="12" t="s">
        <v>357</v>
      </c>
      <c r="C5666" s="12" t="s">
        <v>358</v>
      </c>
      <c r="D5666" s="12" t="s">
        <v>103</v>
      </c>
      <c r="E5666" s="12" t="s">
        <v>104</v>
      </c>
      <c r="F5666">
        <v>3</v>
      </c>
      <c r="G5666">
        <v>1</v>
      </c>
      <c r="H5666">
        <v>0</v>
      </c>
      <c r="I5666" s="12" t="s">
        <v>105</v>
      </c>
      <c r="J5666" s="12" t="s">
        <v>106</v>
      </c>
      <c r="K5666" s="12" t="s">
        <v>81</v>
      </c>
      <c r="L5666" s="12" t="s">
        <v>96</v>
      </c>
      <c r="M5666">
        <v>5.01</v>
      </c>
      <c r="N5666" s="12" t="s">
        <v>107</v>
      </c>
      <c r="O5666" s="12" t="s">
        <v>108</v>
      </c>
      <c r="P5666" s="12" t="s">
        <v>109</v>
      </c>
      <c r="Q5666" s="13">
        <v>45911</v>
      </c>
      <c r="R5666" s="13">
        <v>45929</v>
      </c>
      <c r="S5666">
        <v>2025</v>
      </c>
      <c r="T5666" s="12" t="s">
        <v>6704</v>
      </c>
      <c r="U5666">
        <v>60</v>
      </c>
      <c r="V5666">
        <v>106.63800000000001</v>
      </c>
      <c r="W5666">
        <v>98.08</v>
      </c>
      <c r="X5666">
        <v>0</v>
      </c>
      <c r="Y5666">
        <v>0</v>
      </c>
      <c r="Z5666">
        <v>6398.28</v>
      </c>
      <c r="AA5666">
        <v>6496.36</v>
      </c>
      <c r="AB5666" s="12" t="s">
        <v>5265</v>
      </c>
      <c r="AC5666">
        <v>106.63800000000001</v>
      </c>
      <c r="AD5666">
        <v>1</v>
      </c>
      <c r="AE5666">
        <v>1</v>
      </c>
      <c r="AF5666">
        <v>0</v>
      </c>
      <c r="AG5666">
        <v>6398.28</v>
      </c>
      <c r="AH5666">
        <v>60</v>
      </c>
      <c r="AI5666">
        <v>59</v>
      </c>
      <c r="AJ5666">
        <v>1</v>
      </c>
      <c r="AK5666">
        <v>1</v>
      </c>
      <c r="AL5666">
        <v>1</v>
      </c>
      <c r="AM5666">
        <v>98.33</v>
      </c>
      <c r="AN5666">
        <v>110.1078</v>
      </c>
      <c r="AO5666">
        <v>106.64</v>
      </c>
      <c r="AP5666" s="13">
        <v>45926</v>
      </c>
      <c r="AQ5666">
        <v>-3</v>
      </c>
      <c r="AR5666">
        <v>1</v>
      </c>
    </row>
    <row r="5667" spans="1:44" x14ac:dyDescent="0.35">
      <c r="A5667" s="12" t="s">
        <v>6773</v>
      </c>
      <c r="B5667" s="12" t="s">
        <v>1179</v>
      </c>
      <c r="C5667" s="12" t="s">
        <v>1180</v>
      </c>
      <c r="D5667" s="12" t="s">
        <v>122</v>
      </c>
      <c r="E5667" s="12" t="s">
        <v>142</v>
      </c>
      <c r="F5667">
        <v>1</v>
      </c>
      <c r="G5667">
        <v>8</v>
      </c>
      <c r="H5667">
        <v>1</v>
      </c>
      <c r="I5667" s="12" t="s">
        <v>143</v>
      </c>
      <c r="J5667" s="12" t="s">
        <v>144</v>
      </c>
      <c r="K5667" s="12" t="s">
        <v>133</v>
      </c>
      <c r="L5667" s="12" t="s">
        <v>96</v>
      </c>
      <c r="M5667">
        <v>5.43</v>
      </c>
      <c r="N5667" s="12" t="s">
        <v>70</v>
      </c>
      <c r="O5667" s="12" t="s">
        <v>71</v>
      </c>
      <c r="P5667" s="12" t="s">
        <v>72</v>
      </c>
      <c r="Q5667" s="13">
        <v>45911</v>
      </c>
      <c r="R5667" s="13">
        <v>45947</v>
      </c>
      <c r="S5667">
        <v>2025</v>
      </c>
      <c r="T5667" s="12" t="s">
        <v>6704</v>
      </c>
      <c r="U5667">
        <v>370</v>
      </c>
      <c r="V5667">
        <v>52.209899999999998</v>
      </c>
      <c r="W5667">
        <v>266.2</v>
      </c>
      <c r="X5667">
        <v>0</v>
      </c>
      <c r="Y5667">
        <v>0</v>
      </c>
      <c r="Z5667">
        <v>19317.66</v>
      </c>
      <c r="AA5667">
        <v>19583.86</v>
      </c>
      <c r="AB5667" s="12" t="s">
        <v>5533</v>
      </c>
      <c r="AC5667">
        <v>52.209899999999998</v>
      </c>
      <c r="AD5667">
        <v>1</v>
      </c>
      <c r="AE5667">
        <v>1</v>
      </c>
      <c r="AF5667">
        <v>0</v>
      </c>
      <c r="AG5667">
        <v>19317.66</v>
      </c>
      <c r="AH5667">
        <v>370</v>
      </c>
      <c r="AI5667">
        <v>369</v>
      </c>
      <c r="AJ5667">
        <v>1</v>
      </c>
      <c r="AK5667">
        <v>1</v>
      </c>
      <c r="AL5667">
        <v>1</v>
      </c>
      <c r="AM5667">
        <v>99.73</v>
      </c>
      <c r="AN5667">
        <v>53.072800000000001</v>
      </c>
      <c r="AO5667">
        <v>52.21</v>
      </c>
      <c r="AP5667" s="13">
        <v>45947</v>
      </c>
      <c r="AQ5667">
        <v>0</v>
      </c>
      <c r="AR5667">
        <v>1</v>
      </c>
    </row>
    <row r="5668" spans="1:44" x14ac:dyDescent="0.35">
      <c r="A5668" s="12" t="s">
        <v>6774</v>
      </c>
      <c r="B5668" s="12" t="s">
        <v>293</v>
      </c>
      <c r="C5668" s="12" t="s">
        <v>294</v>
      </c>
      <c r="D5668" s="12" t="s">
        <v>114</v>
      </c>
      <c r="E5668" s="12" t="s">
        <v>142</v>
      </c>
      <c r="F5668">
        <v>1</v>
      </c>
      <c r="G5668">
        <v>6</v>
      </c>
      <c r="H5668">
        <v>1</v>
      </c>
      <c r="I5668" s="12" t="s">
        <v>195</v>
      </c>
      <c r="J5668" s="12" t="s">
        <v>196</v>
      </c>
      <c r="K5668" s="12" t="s">
        <v>117</v>
      </c>
      <c r="L5668" s="12" t="s">
        <v>134</v>
      </c>
      <c r="M5668">
        <v>4.7699999999999996</v>
      </c>
      <c r="N5668" s="12" t="s">
        <v>97</v>
      </c>
      <c r="O5668" s="12" t="s">
        <v>98</v>
      </c>
      <c r="P5668" s="12" t="s">
        <v>72</v>
      </c>
      <c r="Q5668" s="13">
        <v>45911</v>
      </c>
      <c r="R5668" s="13">
        <v>45957</v>
      </c>
      <c r="S5668">
        <v>2025</v>
      </c>
      <c r="T5668" s="12" t="s">
        <v>6704</v>
      </c>
      <c r="U5668">
        <v>97</v>
      </c>
      <c r="V5668">
        <v>199.8203</v>
      </c>
      <c r="W5668">
        <v>360.56</v>
      </c>
      <c r="X5668">
        <v>0</v>
      </c>
      <c r="Y5668">
        <v>0</v>
      </c>
      <c r="Z5668">
        <v>19382.57</v>
      </c>
      <c r="AA5668">
        <v>19743.13</v>
      </c>
      <c r="AB5668" s="12" t="s">
        <v>5190</v>
      </c>
      <c r="AC5668">
        <v>199.8203</v>
      </c>
      <c r="AD5668">
        <v>1</v>
      </c>
      <c r="AE5668">
        <v>1</v>
      </c>
      <c r="AF5668">
        <v>0</v>
      </c>
      <c r="AG5668">
        <v>19382.57</v>
      </c>
      <c r="AH5668">
        <v>97</v>
      </c>
      <c r="AI5668">
        <v>95</v>
      </c>
      <c r="AJ5668">
        <v>2</v>
      </c>
      <c r="AK5668">
        <v>1</v>
      </c>
      <c r="AL5668">
        <v>1</v>
      </c>
      <c r="AM5668">
        <v>97.94</v>
      </c>
      <c r="AN5668">
        <v>207.82239999999999</v>
      </c>
      <c r="AO5668">
        <v>399.64</v>
      </c>
      <c r="AP5668" s="13">
        <v>45956</v>
      </c>
      <c r="AQ5668">
        <v>-1</v>
      </c>
      <c r="AR5668">
        <v>1</v>
      </c>
    </row>
    <row r="5669" spans="1:44" x14ac:dyDescent="0.35">
      <c r="A5669" s="12" t="s">
        <v>6775</v>
      </c>
      <c r="B5669" s="12" t="s">
        <v>509</v>
      </c>
      <c r="C5669" s="12" t="s">
        <v>510</v>
      </c>
      <c r="D5669" s="12" t="s">
        <v>78</v>
      </c>
      <c r="E5669" s="12" t="s">
        <v>142</v>
      </c>
      <c r="F5669">
        <v>3</v>
      </c>
      <c r="G5669">
        <v>11</v>
      </c>
      <c r="H5669">
        <v>0</v>
      </c>
      <c r="I5669" s="12" t="s">
        <v>275</v>
      </c>
      <c r="J5669" s="12" t="s">
        <v>276</v>
      </c>
      <c r="K5669" s="12" t="s">
        <v>89</v>
      </c>
      <c r="L5669" s="12" t="s">
        <v>82</v>
      </c>
      <c r="M5669">
        <v>14.26</v>
      </c>
      <c r="N5669" s="12" t="s">
        <v>97</v>
      </c>
      <c r="O5669" s="12" t="s">
        <v>98</v>
      </c>
      <c r="P5669" s="12" t="s">
        <v>72</v>
      </c>
      <c r="Q5669" s="13">
        <v>45911</v>
      </c>
      <c r="R5669" s="13">
        <v>45955</v>
      </c>
      <c r="S5669">
        <v>2025</v>
      </c>
      <c r="T5669" s="12" t="s">
        <v>6704</v>
      </c>
      <c r="U5669">
        <v>176</v>
      </c>
      <c r="V5669">
        <v>129.607</v>
      </c>
      <c r="W5669">
        <v>437.4</v>
      </c>
      <c r="X5669">
        <v>787.5</v>
      </c>
      <c r="Y5669">
        <v>1</v>
      </c>
      <c r="Z5669">
        <v>22810.83</v>
      </c>
      <c r="AA5669">
        <v>24035.73</v>
      </c>
      <c r="AB5669" s="12" t="s">
        <v>5853</v>
      </c>
      <c r="AC5669">
        <v>129.607</v>
      </c>
      <c r="AD5669">
        <v>1</v>
      </c>
      <c r="AE5669">
        <v>1</v>
      </c>
      <c r="AF5669">
        <v>0</v>
      </c>
      <c r="AG5669">
        <v>22810.83</v>
      </c>
      <c r="AH5669">
        <v>176</v>
      </c>
      <c r="AI5669">
        <v>175</v>
      </c>
      <c r="AJ5669">
        <v>1</v>
      </c>
      <c r="AK5669">
        <v>1</v>
      </c>
      <c r="AL5669">
        <v>1</v>
      </c>
      <c r="AM5669">
        <v>99.43</v>
      </c>
      <c r="AN5669">
        <v>137.34700000000001</v>
      </c>
      <c r="AO5669">
        <v>129.61000000000001</v>
      </c>
      <c r="AP5669" s="13">
        <v>45955</v>
      </c>
      <c r="AQ5669">
        <v>0</v>
      </c>
      <c r="AR5669">
        <v>1</v>
      </c>
    </row>
    <row r="5670" spans="1:44" x14ac:dyDescent="0.35">
      <c r="A5670" s="12" t="s">
        <v>6776</v>
      </c>
      <c r="B5670" s="12" t="s">
        <v>101</v>
      </c>
      <c r="C5670" s="12" t="s">
        <v>102</v>
      </c>
      <c r="D5670" s="12" t="s">
        <v>103</v>
      </c>
      <c r="E5670" s="12" t="s">
        <v>104</v>
      </c>
      <c r="F5670">
        <v>1</v>
      </c>
      <c r="G5670">
        <v>0</v>
      </c>
      <c r="H5670">
        <v>1</v>
      </c>
      <c r="I5670" s="12" t="s">
        <v>105</v>
      </c>
      <c r="J5670" s="12" t="s">
        <v>106</v>
      </c>
      <c r="K5670" s="12" t="s">
        <v>81</v>
      </c>
      <c r="L5670" s="12" t="s">
        <v>96</v>
      </c>
      <c r="M5670">
        <v>5.01</v>
      </c>
      <c r="N5670" s="12" t="s">
        <v>145</v>
      </c>
      <c r="O5670" s="12" t="s">
        <v>146</v>
      </c>
      <c r="P5670" s="12" t="s">
        <v>109</v>
      </c>
      <c r="Q5670" s="13">
        <v>45912</v>
      </c>
      <c r="R5670" s="13">
        <v>45925</v>
      </c>
      <c r="S5670">
        <v>2025</v>
      </c>
      <c r="T5670" s="12" t="s">
        <v>6704</v>
      </c>
      <c r="U5670">
        <v>19</v>
      </c>
      <c r="V5670">
        <v>203.18520000000001</v>
      </c>
      <c r="W5670">
        <v>32.19</v>
      </c>
      <c r="X5670">
        <v>0</v>
      </c>
      <c r="Y5670">
        <v>0</v>
      </c>
      <c r="Z5670">
        <v>3860.52</v>
      </c>
      <c r="AA5670">
        <v>3892.71</v>
      </c>
      <c r="AB5670" s="12" t="s">
        <v>5173</v>
      </c>
      <c r="AC5670">
        <v>203.18520000000001</v>
      </c>
      <c r="AD5670">
        <v>1</v>
      </c>
      <c r="AE5670">
        <v>1</v>
      </c>
      <c r="AF5670">
        <v>0</v>
      </c>
      <c r="AG5670">
        <v>3860.52</v>
      </c>
      <c r="AH5670">
        <v>19</v>
      </c>
      <c r="AI5670">
        <v>19</v>
      </c>
      <c r="AJ5670">
        <v>0</v>
      </c>
      <c r="AK5670">
        <v>1</v>
      </c>
      <c r="AL5670">
        <v>1</v>
      </c>
      <c r="AM5670">
        <v>100</v>
      </c>
      <c r="AN5670">
        <v>204.8794</v>
      </c>
      <c r="AO5670">
        <v>0</v>
      </c>
      <c r="AP5670" s="13">
        <v>45922</v>
      </c>
      <c r="AQ5670">
        <v>-3</v>
      </c>
      <c r="AR5670">
        <v>1</v>
      </c>
    </row>
    <row r="5671" spans="1:44" x14ac:dyDescent="0.35">
      <c r="A5671" s="12" t="s">
        <v>6777</v>
      </c>
      <c r="B5671" s="12" t="s">
        <v>513</v>
      </c>
      <c r="C5671" s="12" t="s">
        <v>514</v>
      </c>
      <c r="D5671" s="12" t="s">
        <v>269</v>
      </c>
      <c r="E5671" s="12" t="s">
        <v>65</v>
      </c>
      <c r="F5671">
        <v>1</v>
      </c>
      <c r="G5671">
        <v>2</v>
      </c>
      <c r="H5671">
        <v>1</v>
      </c>
      <c r="I5671" s="12" t="s">
        <v>515</v>
      </c>
      <c r="J5671" s="12" t="s">
        <v>516</v>
      </c>
      <c r="K5671" s="12" t="s">
        <v>68</v>
      </c>
      <c r="L5671" s="12" t="s">
        <v>134</v>
      </c>
      <c r="M5671">
        <v>3.69</v>
      </c>
      <c r="N5671" s="12" t="s">
        <v>159</v>
      </c>
      <c r="O5671" s="12" t="s">
        <v>160</v>
      </c>
      <c r="P5671" s="12" t="s">
        <v>137</v>
      </c>
      <c r="Q5671" s="13">
        <v>45912</v>
      </c>
      <c r="R5671" s="13">
        <v>45940</v>
      </c>
      <c r="S5671">
        <v>2025</v>
      </c>
      <c r="T5671" s="12" t="s">
        <v>6704</v>
      </c>
      <c r="U5671">
        <v>68</v>
      </c>
      <c r="V5671">
        <v>196.85740000000001</v>
      </c>
      <c r="W5671">
        <v>326.25</v>
      </c>
      <c r="X5671">
        <v>0</v>
      </c>
      <c r="Y5671">
        <v>0</v>
      </c>
      <c r="Z5671">
        <v>13386.3</v>
      </c>
      <c r="AA5671">
        <v>13712.55</v>
      </c>
      <c r="AB5671" s="12" t="s">
        <v>201</v>
      </c>
      <c r="AD5671">
        <v>0</v>
      </c>
      <c r="AE5671">
        <v>0</v>
      </c>
      <c r="AH5671">
        <v>68</v>
      </c>
      <c r="AI5671">
        <v>68</v>
      </c>
      <c r="AJ5671">
        <v>0</v>
      </c>
      <c r="AK5671">
        <v>1</v>
      </c>
      <c r="AL5671">
        <v>1</v>
      </c>
      <c r="AM5671">
        <v>100</v>
      </c>
      <c r="AN5671">
        <v>201.65520000000001</v>
      </c>
      <c r="AO5671">
        <v>0</v>
      </c>
      <c r="AP5671" s="13">
        <v>45947</v>
      </c>
      <c r="AQ5671">
        <v>7</v>
      </c>
      <c r="AR5671">
        <v>0</v>
      </c>
    </row>
    <row r="5672" spans="1:44" x14ac:dyDescent="0.35">
      <c r="A5672" s="12" t="s">
        <v>6778</v>
      </c>
      <c r="B5672" s="12" t="s">
        <v>451</v>
      </c>
      <c r="C5672" s="12" t="s">
        <v>452</v>
      </c>
      <c r="D5672" s="12" t="s">
        <v>175</v>
      </c>
      <c r="E5672" s="12" t="s">
        <v>104</v>
      </c>
      <c r="F5672">
        <v>3</v>
      </c>
      <c r="G5672">
        <v>1</v>
      </c>
      <c r="H5672">
        <v>0</v>
      </c>
      <c r="I5672" s="12" t="s">
        <v>359</v>
      </c>
      <c r="J5672" s="12" t="s">
        <v>360</v>
      </c>
      <c r="K5672" s="12" t="s">
        <v>133</v>
      </c>
      <c r="L5672" s="12" t="s">
        <v>82</v>
      </c>
      <c r="M5672">
        <v>12.65</v>
      </c>
      <c r="N5672" s="12" t="s">
        <v>145</v>
      </c>
      <c r="O5672" s="12" t="s">
        <v>146</v>
      </c>
      <c r="P5672" s="12" t="s">
        <v>109</v>
      </c>
      <c r="Q5672" s="13">
        <v>45912</v>
      </c>
      <c r="R5672" s="13">
        <v>45933</v>
      </c>
      <c r="S5672">
        <v>2025</v>
      </c>
      <c r="T5672" s="12" t="s">
        <v>6704</v>
      </c>
      <c r="U5672">
        <v>81</v>
      </c>
      <c r="V5672">
        <v>216.9588</v>
      </c>
      <c r="W5672">
        <v>160.72999999999999</v>
      </c>
      <c r="X5672">
        <v>0</v>
      </c>
      <c r="Y5672">
        <v>0</v>
      </c>
      <c r="Z5672">
        <v>17573.66</v>
      </c>
      <c r="AA5672">
        <v>17734.39</v>
      </c>
      <c r="AB5672" s="12" t="s">
        <v>5244</v>
      </c>
      <c r="AC5672">
        <v>216.9588</v>
      </c>
      <c r="AD5672">
        <v>1</v>
      </c>
      <c r="AE5672">
        <v>1</v>
      </c>
      <c r="AF5672">
        <v>0</v>
      </c>
      <c r="AG5672">
        <v>17573.66</v>
      </c>
      <c r="AH5672">
        <v>81</v>
      </c>
      <c r="AI5672">
        <v>81</v>
      </c>
      <c r="AJ5672">
        <v>0</v>
      </c>
      <c r="AK5672">
        <v>1</v>
      </c>
      <c r="AL5672">
        <v>1</v>
      </c>
      <c r="AM5672">
        <v>100</v>
      </c>
      <c r="AN5672">
        <v>218.94309999999999</v>
      </c>
      <c r="AO5672">
        <v>0</v>
      </c>
      <c r="AP5672" s="13">
        <v>45939</v>
      </c>
      <c r="AQ5672">
        <v>6</v>
      </c>
      <c r="AR5672">
        <v>0</v>
      </c>
    </row>
    <row r="5673" spans="1:44" x14ac:dyDescent="0.35">
      <c r="A5673" s="12" t="s">
        <v>6779</v>
      </c>
      <c r="B5673" s="12" t="s">
        <v>876</v>
      </c>
      <c r="C5673" s="12" t="s">
        <v>877</v>
      </c>
      <c r="D5673" s="12" t="s">
        <v>269</v>
      </c>
      <c r="E5673" s="12" t="s">
        <v>142</v>
      </c>
      <c r="F5673">
        <v>3</v>
      </c>
      <c r="G5673">
        <v>11</v>
      </c>
      <c r="H5673">
        <v>0</v>
      </c>
      <c r="I5673" s="12" t="s">
        <v>515</v>
      </c>
      <c r="J5673" s="12" t="s">
        <v>516</v>
      </c>
      <c r="K5673" s="12" t="s">
        <v>68</v>
      </c>
      <c r="L5673" s="12" t="s">
        <v>134</v>
      </c>
      <c r="M5673">
        <v>3.69</v>
      </c>
      <c r="N5673" s="12" t="s">
        <v>159</v>
      </c>
      <c r="O5673" s="12" t="s">
        <v>160</v>
      </c>
      <c r="P5673" s="12" t="s">
        <v>137</v>
      </c>
      <c r="Q5673" s="13">
        <v>45912</v>
      </c>
      <c r="R5673" s="13">
        <v>45960</v>
      </c>
      <c r="S5673">
        <v>2025</v>
      </c>
      <c r="T5673" s="12" t="s">
        <v>6704</v>
      </c>
      <c r="U5673">
        <v>114</v>
      </c>
      <c r="V5673">
        <v>179.24969999999999</v>
      </c>
      <c r="W5673">
        <v>341.77</v>
      </c>
      <c r="X5673">
        <v>0</v>
      </c>
      <c r="Y5673">
        <v>0</v>
      </c>
      <c r="Z5673">
        <v>20434.47</v>
      </c>
      <c r="AA5673">
        <v>20776.240000000002</v>
      </c>
      <c r="AB5673" s="12" t="s">
        <v>5961</v>
      </c>
      <c r="AC5673">
        <v>179.24969999999999</v>
      </c>
      <c r="AD5673">
        <v>1</v>
      </c>
      <c r="AE5673">
        <v>1</v>
      </c>
      <c r="AF5673">
        <v>0</v>
      </c>
      <c r="AG5673">
        <v>20434.47</v>
      </c>
      <c r="AH5673">
        <v>114</v>
      </c>
      <c r="AI5673">
        <v>113</v>
      </c>
      <c r="AJ5673">
        <v>1</v>
      </c>
      <c r="AK5673">
        <v>1</v>
      </c>
      <c r="AL5673">
        <v>1</v>
      </c>
      <c r="AM5673">
        <v>99.12</v>
      </c>
      <c r="AN5673">
        <v>183.8605</v>
      </c>
      <c r="AO5673">
        <v>179.25</v>
      </c>
      <c r="AP5673" s="13">
        <v>45968</v>
      </c>
      <c r="AQ5673">
        <v>8</v>
      </c>
      <c r="AR5673">
        <v>0</v>
      </c>
    </row>
    <row r="5674" spans="1:44" x14ac:dyDescent="0.35">
      <c r="A5674" s="12" t="s">
        <v>6780</v>
      </c>
      <c r="B5674" s="12" t="s">
        <v>255</v>
      </c>
      <c r="C5674" s="12" t="s">
        <v>256</v>
      </c>
      <c r="D5674" s="12" t="s">
        <v>103</v>
      </c>
      <c r="E5674" s="12" t="s">
        <v>65</v>
      </c>
      <c r="F5674">
        <v>2</v>
      </c>
      <c r="G5674">
        <v>4</v>
      </c>
      <c r="H5674">
        <v>0</v>
      </c>
      <c r="I5674" s="12" t="s">
        <v>143</v>
      </c>
      <c r="J5674" s="12" t="s">
        <v>144</v>
      </c>
      <c r="K5674" s="12" t="s">
        <v>133</v>
      </c>
      <c r="L5674" s="12" t="s">
        <v>96</v>
      </c>
      <c r="M5674">
        <v>5.43</v>
      </c>
      <c r="N5674" s="12" t="s">
        <v>107</v>
      </c>
      <c r="O5674" s="12" t="s">
        <v>108</v>
      </c>
      <c r="P5674" s="12" t="s">
        <v>109</v>
      </c>
      <c r="Q5674" s="13">
        <v>45912</v>
      </c>
      <c r="R5674" s="13">
        <v>45944</v>
      </c>
      <c r="S5674">
        <v>2025</v>
      </c>
      <c r="T5674" s="12" t="s">
        <v>6704</v>
      </c>
      <c r="U5674">
        <v>99</v>
      </c>
      <c r="V5674">
        <v>95.061000000000007</v>
      </c>
      <c r="W5674">
        <v>87.02</v>
      </c>
      <c r="X5674">
        <v>0</v>
      </c>
      <c r="Y5674">
        <v>0</v>
      </c>
      <c r="Z5674">
        <v>9411.0400000000009</v>
      </c>
      <c r="AA5674">
        <v>9498.06</v>
      </c>
      <c r="AB5674" s="12" t="s">
        <v>5188</v>
      </c>
      <c r="AC5674">
        <v>95.061000000000007</v>
      </c>
      <c r="AD5674">
        <v>1</v>
      </c>
      <c r="AE5674">
        <v>1</v>
      </c>
      <c r="AF5674">
        <v>0</v>
      </c>
      <c r="AG5674">
        <v>9411.0400000000009</v>
      </c>
      <c r="AH5674">
        <v>99</v>
      </c>
      <c r="AI5674">
        <v>98</v>
      </c>
      <c r="AJ5674">
        <v>1</v>
      </c>
      <c r="AK5674">
        <v>1</v>
      </c>
      <c r="AL5674">
        <v>1</v>
      </c>
      <c r="AM5674">
        <v>98.99</v>
      </c>
      <c r="AN5674">
        <v>96.918999999999997</v>
      </c>
      <c r="AO5674">
        <v>95.06</v>
      </c>
      <c r="AP5674" s="13">
        <v>45941</v>
      </c>
      <c r="AQ5674">
        <v>-3</v>
      </c>
      <c r="AR5674">
        <v>1</v>
      </c>
    </row>
    <row r="5675" spans="1:44" x14ac:dyDescent="0.35">
      <c r="A5675" s="12" t="s">
        <v>6781</v>
      </c>
      <c r="B5675" s="12" t="s">
        <v>972</v>
      </c>
      <c r="C5675" s="12" t="s">
        <v>973</v>
      </c>
      <c r="D5675" s="12" t="s">
        <v>130</v>
      </c>
      <c r="E5675" s="12" t="s">
        <v>142</v>
      </c>
      <c r="F5675">
        <v>2</v>
      </c>
      <c r="G5675">
        <v>9</v>
      </c>
      <c r="H5675">
        <v>0</v>
      </c>
      <c r="I5675" s="12" t="s">
        <v>676</v>
      </c>
      <c r="J5675" s="12" t="s">
        <v>677</v>
      </c>
      <c r="K5675" s="12" t="s">
        <v>68</v>
      </c>
      <c r="L5675" s="12" t="s">
        <v>96</v>
      </c>
      <c r="M5675">
        <v>3.57</v>
      </c>
      <c r="N5675" s="12" t="s">
        <v>159</v>
      </c>
      <c r="O5675" s="12" t="s">
        <v>160</v>
      </c>
      <c r="P5675" s="12" t="s">
        <v>137</v>
      </c>
      <c r="Q5675" s="13">
        <v>45912</v>
      </c>
      <c r="R5675" s="13">
        <v>45955</v>
      </c>
      <c r="S5675">
        <v>2025</v>
      </c>
      <c r="T5675" s="12" t="s">
        <v>6704</v>
      </c>
      <c r="U5675">
        <v>77</v>
      </c>
      <c r="V5675">
        <v>839.82719999999995</v>
      </c>
      <c r="W5675">
        <v>1667.9</v>
      </c>
      <c r="X5675">
        <v>0</v>
      </c>
      <c r="Y5675">
        <v>0</v>
      </c>
      <c r="Z5675">
        <v>64666.69</v>
      </c>
      <c r="AA5675">
        <v>66334.59</v>
      </c>
      <c r="AB5675" s="12" t="s">
        <v>6005</v>
      </c>
      <c r="AC5675">
        <v>839.82719999999995</v>
      </c>
      <c r="AD5675">
        <v>1</v>
      </c>
      <c r="AE5675">
        <v>1</v>
      </c>
      <c r="AF5675">
        <v>0</v>
      </c>
      <c r="AG5675">
        <v>64666.69</v>
      </c>
      <c r="AH5675">
        <v>77</v>
      </c>
      <c r="AI5675">
        <v>77</v>
      </c>
      <c r="AJ5675">
        <v>0</v>
      </c>
      <c r="AK5675">
        <v>1</v>
      </c>
      <c r="AL5675">
        <v>1</v>
      </c>
      <c r="AM5675">
        <v>100</v>
      </c>
      <c r="AN5675">
        <v>861.48820000000001</v>
      </c>
      <c r="AO5675">
        <v>0</v>
      </c>
      <c r="AP5675" s="13">
        <v>45953</v>
      </c>
      <c r="AQ5675">
        <v>-2</v>
      </c>
      <c r="AR5675">
        <v>1</v>
      </c>
    </row>
    <row r="5676" spans="1:44" x14ac:dyDescent="0.35">
      <c r="A5676" s="12" t="s">
        <v>6782</v>
      </c>
      <c r="B5676" s="12" t="s">
        <v>537</v>
      </c>
      <c r="C5676" s="12" t="s">
        <v>538</v>
      </c>
      <c r="D5676" s="12" t="s">
        <v>103</v>
      </c>
      <c r="E5676" s="12" t="s">
        <v>104</v>
      </c>
      <c r="F5676">
        <v>3</v>
      </c>
      <c r="G5676">
        <v>0</v>
      </c>
      <c r="H5676">
        <v>0</v>
      </c>
      <c r="I5676" s="12" t="s">
        <v>380</v>
      </c>
      <c r="J5676" s="12" t="s">
        <v>381</v>
      </c>
      <c r="K5676" s="12" t="s">
        <v>89</v>
      </c>
      <c r="L5676" s="12" t="s">
        <v>96</v>
      </c>
      <c r="M5676">
        <v>10.210000000000001</v>
      </c>
      <c r="N5676" s="12" t="s">
        <v>145</v>
      </c>
      <c r="O5676" s="12" t="s">
        <v>146</v>
      </c>
      <c r="P5676" s="12" t="s">
        <v>109</v>
      </c>
      <c r="Q5676" s="13">
        <v>45915</v>
      </c>
      <c r="R5676" s="13">
        <v>45936</v>
      </c>
      <c r="S5676">
        <v>2025</v>
      </c>
      <c r="T5676" s="12" t="s">
        <v>6704</v>
      </c>
      <c r="U5676">
        <v>82</v>
      </c>
      <c r="V5676">
        <v>242.47130000000001</v>
      </c>
      <c r="W5676">
        <v>498.54</v>
      </c>
      <c r="X5676">
        <v>0</v>
      </c>
      <c r="Y5676">
        <v>0</v>
      </c>
      <c r="Z5676">
        <v>19882.650000000001</v>
      </c>
      <c r="AA5676">
        <v>20381.189999999999</v>
      </c>
      <c r="AB5676" s="12" t="s">
        <v>6070</v>
      </c>
      <c r="AC5676">
        <v>242.47130000000001</v>
      </c>
      <c r="AD5676">
        <v>1</v>
      </c>
      <c r="AE5676">
        <v>1</v>
      </c>
      <c r="AF5676">
        <v>0</v>
      </c>
      <c r="AG5676">
        <v>19882.650000000001</v>
      </c>
      <c r="AH5676">
        <v>82</v>
      </c>
      <c r="AI5676">
        <v>81</v>
      </c>
      <c r="AJ5676">
        <v>1</v>
      </c>
      <c r="AK5676">
        <v>1</v>
      </c>
      <c r="AL5676">
        <v>1</v>
      </c>
      <c r="AM5676">
        <v>98.78</v>
      </c>
      <c r="AN5676">
        <v>251.61959999999999</v>
      </c>
      <c r="AO5676">
        <v>242.47</v>
      </c>
      <c r="AP5676" s="13">
        <v>45936</v>
      </c>
      <c r="AQ5676">
        <v>0</v>
      </c>
      <c r="AR5676">
        <v>1</v>
      </c>
    </row>
    <row r="5677" spans="1:44" x14ac:dyDescent="0.35">
      <c r="A5677" s="12" t="s">
        <v>6783</v>
      </c>
      <c r="B5677" s="12" t="s">
        <v>317</v>
      </c>
      <c r="C5677" s="12" t="s">
        <v>318</v>
      </c>
      <c r="D5677" s="12" t="s">
        <v>64</v>
      </c>
      <c r="E5677" s="12" t="s">
        <v>104</v>
      </c>
      <c r="F5677">
        <v>2</v>
      </c>
      <c r="G5677">
        <v>0</v>
      </c>
      <c r="H5677">
        <v>0</v>
      </c>
      <c r="I5677" s="12" t="s">
        <v>169</v>
      </c>
      <c r="J5677" s="12" t="s">
        <v>170</v>
      </c>
      <c r="K5677" s="12" t="s">
        <v>89</v>
      </c>
      <c r="L5677" s="12" t="s">
        <v>134</v>
      </c>
      <c r="M5677">
        <v>1.37</v>
      </c>
      <c r="N5677" s="12" t="s">
        <v>70</v>
      </c>
      <c r="O5677" s="12" t="s">
        <v>71</v>
      </c>
      <c r="P5677" s="12" t="s">
        <v>72</v>
      </c>
      <c r="Q5677" s="13">
        <v>45915</v>
      </c>
      <c r="R5677" s="13">
        <v>45928</v>
      </c>
      <c r="S5677">
        <v>2025</v>
      </c>
      <c r="T5677" s="12" t="s">
        <v>6704</v>
      </c>
      <c r="U5677">
        <v>168</v>
      </c>
      <c r="V5677">
        <v>15.823399999999999</v>
      </c>
      <c r="W5677">
        <v>40.119999999999997</v>
      </c>
      <c r="X5677">
        <v>0</v>
      </c>
      <c r="Y5677">
        <v>0</v>
      </c>
      <c r="Z5677">
        <v>2658.33</v>
      </c>
      <c r="AA5677">
        <v>2698.45</v>
      </c>
      <c r="AB5677" s="12" t="s">
        <v>5518</v>
      </c>
      <c r="AC5677">
        <v>15.823399999999999</v>
      </c>
      <c r="AD5677">
        <v>1</v>
      </c>
      <c r="AE5677">
        <v>1</v>
      </c>
      <c r="AF5677">
        <v>0</v>
      </c>
      <c r="AG5677">
        <v>2658.33</v>
      </c>
      <c r="AH5677">
        <v>168</v>
      </c>
      <c r="AI5677">
        <v>166</v>
      </c>
      <c r="AJ5677">
        <v>2</v>
      </c>
      <c r="AK5677">
        <v>1</v>
      </c>
      <c r="AL5677">
        <v>1</v>
      </c>
      <c r="AM5677">
        <v>98.81</v>
      </c>
      <c r="AN5677">
        <v>16.255700000000001</v>
      </c>
      <c r="AO5677">
        <v>31.65</v>
      </c>
      <c r="AP5677" s="13">
        <v>45928</v>
      </c>
      <c r="AQ5677">
        <v>0</v>
      </c>
      <c r="AR5677">
        <v>1</v>
      </c>
    </row>
    <row r="5678" spans="1:44" x14ac:dyDescent="0.35">
      <c r="A5678" s="12" t="s">
        <v>6784</v>
      </c>
      <c r="B5678" s="12" t="s">
        <v>327</v>
      </c>
      <c r="C5678" s="12" t="s">
        <v>328</v>
      </c>
      <c r="D5678" s="12" t="s">
        <v>130</v>
      </c>
      <c r="E5678" s="12" t="s">
        <v>104</v>
      </c>
      <c r="F5678">
        <v>2</v>
      </c>
      <c r="G5678">
        <v>0</v>
      </c>
      <c r="H5678">
        <v>0</v>
      </c>
      <c r="I5678" s="12" t="s">
        <v>94</v>
      </c>
      <c r="J5678" s="12" t="s">
        <v>95</v>
      </c>
      <c r="K5678" s="12" t="s">
        <v>81</v>
      </c>
      <c r="L5678" s="12" t="s">
        <v>96</v>
      </c>
      <c r="M5678">
        <v>4.8099999999999996</v>
      </c>
      <c r="N5678" s="12" t="s">
        <v>159</v>
      </c>
      <c r="O5678" s="12" t="s">
        <v>160</v>
      </c>
      <c r="P5678" s="12" t="s">
        <v>137</v>
      </c>
      <c r="Q5678" s="13">
        <v>45915</v>
      </c>
      <c r="R5678" s="13">
        <v>45927</v>
      </c>
      <c r="S5678">
        <v>2025</v>
      </c>
      <c r="T5678" s="12" t="s">
        <v>6704</v>
      </c>
      <c r="U5678">
        <v>16</v>
      </c>
      <c r="V5678">
        <v>637.04729999999995</v>
      </c>
      <c r="W5678">
        <v>69.44</v>
      </c>
      <c r="X5678">
        <v>0</v>
      </c>
      <c r="Y5678">
        <v>0</v>
      </c>
      <c r="Z5678">
        <v>10192.76</v>
      </c>
      <c r="AA5678">
        <v>10262.200000000001</v>
      </c>
      <c r="AB5678" s="12" t="s">
        <v>5449</v>
      </c>
      <c r="AC5678">
        <v>637.04729999999995</v>
      </c>
      <c r="AD5678">
        <v>1</v>
      </c>
      <c r="AE5678">
        <v>1</v>
      </c>
      <c r="AF5678">
        <v>0</v>
      </c>
      <c r="AG5678">
        <v>10192.76</v>
      </c>
      <c r="AH5678">
        <v>16</v>
      </c>
      <c r="AI5678">
        <v>16</v>
      </c>
      <c r="AJ5678">
        <v>0</v>
      </c>
      <c r="AK5678">
        <v>1</v>
      </c>
      <c r="AL5678">
        <v>1</v>
      </c>
      <c r="AM5678">
        <v>100</v>
      </c>
      <c r="AN5678">
        <v>641.38729999999998</v>
      </c>
      <c r="AO5678">
        <v>0</v>
      </c>
      <c r="AP5678" s="13">
        <v>45927</v>
      </c>
      <c r="AQ5678">
        <v>0</v>
      </c>
      <c r="AR5678">
        <v>1</v>
      </c>
    </row>
    <row r="5679" spans="1:44" x14ac:dyDescent="0.35">
      <c r="A5679" s="12" t="s">
        <v>6785</v>
      </c>
      <c r="B5679" s="12" t="s">
        <v>802</v>
      </c>
      <c r="C5679" s="12" t="s">
        <v>803</v>
      </c>
      <c r="D5679" s="12" t="s">
        <v>114</v>
      </c>
      <c r="E5679" s="12" t="s">
        <v>65</v>
      </c>
      <c r="F5679">
        <v>3</v>
      </c>
      <c r="G5679">
        <v>5</v>
      </c>
      <c r="H5679">
        <v>0</v>
      </c>
      <c r="I5679" s="12" t="s">
        <v>87</v>
      </c>
      <c r="J5679" s="12" t="s">
        <v>88</v>
      </c>
      <c r="K5679" s="12" t="s">
        <v>89</v>
      </c>
      <c r="L5679" s="12" t="s">
        <v>69</v>
      </c>
      <c r="M5679">
        <v>14.93</v>
      </c>
      <c r="N5679" s="12" t="s">
        <v>97</v>
      </c>
      <c r="O5679" s="12" t="s">
        <v>98</v>
      </c>
      <c r="P5679" s="12" t="s">
        <v>72</v>
      </c>
      <c r="Q5679" s="13">
        <v>45915</v>
      </c>
      <c r="R5679" s="13">
        <v>45947</v>
      </c>
      <c r="S5679">
        <v>2025</v>
      </c>
      <c r="T5679" s="12" t="s">
        <v>6704</v>
      </c>
      <c r="U5679">
        <v>97</v>
      </c>
      <c r="V5679">
        <v>329.8329</v>
      </c>
      <c r="W5679">
        <v>536.46</v>
      </c>
      <c r="X5679">
        <v>0</v>
      </c>
      <c r="Y5679">
        <v>0</v>
      </c>
      <c r="Z5679">
        <v>31993.79</v>
      </c>
      <c r="AA5679">
        <v>32530.25</v>
      </c>
      <c r="AB5679" s="12" t="s">
        <v>6072</v>
      </c>
      <c r="AC5679">
        <v>329.8329</v>
      </c>
      <c r="AD5679">
        <v>1</v>
      </c>
      <c r="AE5679">
        <v>1</v>
      </c>
      <c r="AF5679">
        <v>0</v>
      </c>
      <c r="AG5679">
        <v>31993.79</v>
      </c>
      <c r="AH5679">
        <v>97</v>
      </c>
      <c r="AI5679">
        <v>96</v>
      </c>
      <c r="AJ5679">
        <v>1</v>
      </c>
      <c r="AK5679">
        <v>1</v>
      </c>
      <c r="AL5679">
        <v>1</v>
      </c>
      <c r="AM5679">
        <v>98.97</v>
      </c>
      <c r="AN5679">
        <v>338.85680000000002</v>
      </c>
      <c r="AO5679">
        <v>329.83</v>
      </c>
      <c r="AP5679" s="13">
        <v>45952</v>
      </c>
      <c r="AQ5679">
        <v>5</v>
      </c>
      <c r="AR5679">
        <v>0</v>
      </c>
    </row>
    <row r="5680" spans="1:44" x14ac:dyDescent="0.35">
      <c r="A5680" s="12" t="s">
        <v>6786</v>
      </c>
      <c r="B5680" s="12" t="s">
        <v>646</v>
      </c>
      <c r="C5680" s="12" t="s">
        <v>647</v>
      </c>
      <c r="D5680" s="12" t="s">
        <v>175</v>
      </c>
      <c r="E5680" s="12" t="s">
        <v>104</v>
      </c>
      <c r="F5680">
        <v>3</v>
      </c>
      <c r="G5680">
        <v>1</v>
      </c>
      <c r="H5680">
        <v>0</v>
      </c>
      <c r="I5680" s="12" t="s">
        <v>227</v>
      </c>
      <c r="J5680" s="12" t="s">
        <v>228</v>
      </c>
      <c r="K5680" s="12" t="s">
        <v>89</v>
      </c>
      <c r="L5680" s="12" t="s">
        <v>96</v>
      </c>
      <c r="M5680">
        <v>9.15</v>
      </c>
      <c r="N5680" s="12" t="s">
        <v>107</v>
      </c>
      <c r="O5680" s="12" t="s">
        <v>108</v>
      </c>
      <c r="P5680" s="12" t="s">
        <v>109</v>
      </c>
      <c r="Q5680" s="13">
        <v>45915</v>
      </c>
      <c r="R5680" s="13">
        <v>45927</v>
      </c>
      <c r="S5680">
        <v>2025</v>
      </c>
      <c r="T5680" s="12" t="s">
        <v>6704</v>
      </c>
      <c r="U5680">
        <v>15</v>
      </c>
      <c r="V5680">
        <v>191.95849999999999</v>
      </c>
      <c r="W5680">
        <v>43.92</v>
      </c>
      <c r="X5680">
        <v>0</v>
      </c>
      <c r="Y5680">
        <v>0</v>
      </c>
      <c r="Z5680">
        <v>2879.38</v>
      </c>
      <c r="AA5680">
        <v>2923.3</v>
      </c>
      <c r="AB5680" s="12" t="s">
        <v>5935</v>
      </c>
      <c r="AC5680">
        <v>191.95849999999999</v>
      </c>
      <c r="AD5680">
        <v>1</v>
      </c>
      <c r="AE5680">
        <v>1</v>
      </c>
      <c r="AF5680">
        <v>0</v>
      </c>
      <c r="AG5680">
        <v>2879.38</v>
      </c>
      <c r="AH5680">
        <v>15</v>
      </c>
      <c r="AI5680">
        <v>15</v>
      </c>
      <c r="AJ5680">
        <v>0</v>
      </c>
      <c r="AK5680">
        <v>1</v>
      </c>
      <c r="AL5680">
        <v>1</v>
      </c>
      <c r="AM5680">
        <v>100</v>
      </c>
      <c r="AN5680">
        <v>194.88650000000001</v>
      </c>
      <c r="AO5680">
        <v>0</v>
      </c>
      <c r="AP5680" s="13">
        <v>45926</v>
      </c>
      <c r="AQ5680">
        <v>-1</v>
      </c>
      <c r="AR5680">
        <v>1</v>
      </c>
    </row>
    <row r="5681" spans="1:44" x14ac:dyDescent="0.35">
      <c r="A5681" s="12" t="s">
        <v>6787</v>
      </c>
      <c r="B5681" s="12" t="s">
        <v>1068</v>
      </c>
      <c r="C5681" s="12" t="s">
        <v>1069</v>
      </c>
      <c r="D5681" s="12" t="s">
        <v>122</v>
      </c>
      <c r="E5681" s="12" t="s">
        <v>65</v>
      </c>
      <c r="F5681">
        <v>2</v>
      </c>
      <c r="G5681">
        <v>2</v>
      </c>
      <c r="H5681">
        <v>0</v>
      </c>
      <c r="I5681" s="12" t="s">
        <v>79</v>
      </c>
      <c r="J5681" s="12" t="s">
        <v>80</v>
      </c>
      <c r="K5681" s="12" t="s">
        <v>81</v>
      </c>
      <c r="L5681" s="12" t="s">
        <v>82</v>
      </c>
      <c r="M5681">
        <v>12.07</v>
      </c>
      <c r="N5681" s="12" t="s">
        <v>70</v>
      </c>
      <c r="O5681" s="12" t="s">
        <v>71</v>
      </c>
      <c r="P5681" s="12" t="s">
        <v>72</v>
      </c>
      <c r="Q5681" s="13">
        <v>45915</v>
      </c>
      <c r="R5681" s="13">
        <v>45950</v>
      </c>
      <c r="S5681">
        <v>2025</v>
      </c>
      <c r="T5681" s="12" t="s">
        <v>6704</v>
      </c>
      <c r="U5681">
        <v>1684</v>
      </c>
      <c r="V5681">
        <v>20.8949</v>
      </c>
      <c r="W5681">
        <v>353.83</v>
      </c>
      <c r="X5681">
        <v>0</v>
      </c>
      <c r="Y5681">
        <v>0</v>
      </c>
      <c r="Z5681">
        <v>35187.01</v>
      </c>
      <c r="AA5681">
        <v>35540.839999999997</v>
      </c>
      <c r="AB5681" s="12" t="s">
        <v>5478</v>
      </c>
      <c r="AC5681">
        <v>20.8949</v>
      </c>
      <c r="AD5681">
        <v>1</v>
      </c>
      <c r="AE5681">
        <v>1</v>
      </c>
      <c r="AF5681">
        <v>0</v>
      </c>
      <c r="AG5681">
        <v>35187.01</v>
      </c>
      <c r="AH5681">
        <v>1684</v>
      </c>
      <c r="AI5681">
        <v>1667</v>
      </c>
      <c r="AJ5681">
        <v>17</v>
      </c>
      <c r="AK5681">
        <v>1</v>
      </c>
      <c r="AL5681">
        <v>1</v>
      </c>
      <c r="AM5681">
        <v>98.99</v>
      </c>
      <c r="AN5681">
        <v>21.3202</v>
      </c>
      <c r="AO5681">
        <v>355.21</v>
      </c>
      <c r="AP5681" s="13">
        <v>45953</v>
      </c>
      <c r="AQ5681">
        <v>3</v>
      </c>
      <c r="AR5681">
        <v>0</v>
      </c>
    </row>
    <row r="5682" spans="1:44" x14ac:dyDescent="0.35">
      <c r="A5682" s="12" t="s">
        <v>6788</v>
      </c>
      <c r="B5682" s="12" t="s">
        <v>273</v>
      </c>
      <c r="C5682" s="12" t="s">
        <v>274</v>
      </c>
      <c r="D5682" s="12" t="s">
        <v>175</v>
      </c>
      <c r="E5682" s="12" t="s">
        <v>104</v>
      </c>
      <c r="F5682">
        <v>3</v>
      </c>
      <c r="G5682">
        <v>1</v>
      </c>
      <c r="H5682">
        <v>0</v>
      </c>
      <c r="I5682" s="12" t="s">
        <v>275</v>
      </c>
      <c r="J5682" s="12" t="s">
        <v>276</v>
      </c>
      <c r="K5682" s="12" t="s">
        <v>89</v>
      </c>
      <c r="L5682" s="12" t="s">
        <v>82</v>
      </c>
      <c r="M5682">
        <v>14.26</v>
      </c>
      <c r="N5682" s="12" t="s">
        <v>107</v>
      </c>
      <c r="O5682" s="12" t="s">
        <v>108</v>
      </c>
      <c r="P5682" s="12" t="s">
        <v>109</v>
      </c>
      <c r="Q5682" s="13">
        <v>45915</v>
      </c>
      <c r="R5682" s="13">
        <v>45938</v>
      </c>
      <c r="S5682">
        <v>2025</v>
      </c>
      <c r="T5682" s="12" t="s">
        <v>6704</v>
      </c>
      <c r="U5682">
        <v>100</v>
      </c>
      <c r="V5682">
        <v>108.56229999999999</v>
      </c>
      <c r="W5682">
        <v>84.37</v>
      </c>
      <c r="X5682">
        <v>0</v>
      </c>
      <c r="Y5682">
        <v>0</v>
      </c>
      <c r="Z5682">
        <v>10856.23</v>
      </c>
      <c r="AA5682">
        <v>10940.6</v>
      </c>
      <c r="AB5682" s="12" t="s">
        <v>5782</v>
      </c>
      <c r="AC5682">
        <v>108.56229999999999</v>
      </c>
      <c r="AD5682">
        <v>1</v>
      </c>
      <c r="AE5682">
        <v>1</v>
      </c>
      <c r="AF5682">
        <v>0</v>
      </c>
      <c r="AG5682">
        <v>10856.23</v>
      </c>
      <c r="AH5682">
        <v>100</v>
      </c>
      <c r="AI5682">
        <v>100</v>
      </c>
      <c r="AJ5682">
        <v>0</v>
      </c>
      <c r="AK5682">
        <v>1</v>
      </c>
      <c r="AL5682">
        <v>1</v>
      </c>
      <c r="AM5682">
        <v>100</v>
      </c>
      <c r="AN5682">
        <v>109.40600000000001</v>
      </c>
      <c r="AO5682">
        <v>0</v>
      </c>
      <c r="AP5682" s="13">
        <v>45940</v>
      </c>
      <c r="AQ5682">
        <v>2</v>
      </c>
      <c r="AR5682">
        <v>0</v>
      </c>
    </row>
    <row r="5683" spans="1:44" x14ac:dyDescent="0.35">
      <c r="A5683" s="12" t="s">
        <v>6789</v>
      </c>
      <c r="B5683" s="12" t="s">
        <v>1042</v>
      </c>
      <c r="C5683" s="12" t="s">
        <v>1043</v>
      </c>
      <c r="D5683" s="12" t="s">
        <v>269</v>
      </c>
      <c r="E5683" s="12" t="s">
        <v>104</v>
      </c>
      <c r="F5683">
        <v>2</v>
      </c>
      <c r="G5683">
        <v>0</v>
      </c>
      <c r="H5683">
        <v>0</v>
      </c>
      <c r="I5683" s="12" t="s">
        <v>143</v>
      </c>
      <c r="J5683" s="12" t="s">
        <v>144</v>
      </c>
      <c r="K5683" s="12" t="s">
        <v>133</v>
      </c>
      <c r="L5683" s="12" t="s">
        <v>96</v>
      </c>
      <c r="M5683">
        <v>5.43</v>
      </c>
      <c r="N5683" s="12" t="s">
        <v>159</v>
      </c>
      <c r="O5683" s="12" t="s">
        <v>160</v>
      </c>
      <c r="P5683" s="12" t="s">
        <v>137</v>
      </c>
      <c r="Q5683" s="13">
        <v>45915</v>
      </c>
      <c r="R5683" s="13">
        <v>45944</v>
      </c>
      <c r="S5683">
        <v>2025</v>
      </c>
      <c r="T5683" s="12" t="s">
        <v>6704</v>
      </c>
      <c r="U5683">
        <v>149</v>
      </c>
      <c r="V5683">
        <v>302.6037</v>
      </c>
      <c r="W5683">
        <v>495.79</v>
      </c>
      <c r="X5683">
        <v>0</v>
      </c>
      <c r="Y5683">
        <v>0</v>
      </c>
      <c r="Z5683">
        <v>45087.95</v>
      </c>
      <c r="AA5683">
        <v>45583.74</v>
      </c>
      <c r="AB5683" s="12" t="s">
        <v>201</v>
      </c>
      <c r="AD5683">
        <v>0</v>
      </c>
      <c r="AE5683">
        <v>0</v>
      </c>
      <c r="AH5683">
        <v>149</v>
      </c>
      <c r="AI5683">
        <v>147</v>
      </c>
      <c r="AJ5683">
        <v>2</v>
      </c>
      <c r="AK5683">
        <v>1</v>
      </c>
      <c r="AL5683">
        <v>1</v>
      </c>
      <c r="AM5683">
        <v>98.66</v>
      </c>
      <c r="AN5683">
        <v>310.09350000000001</v>
      </c>
      <c r="AO5683">
        <v>605.21</v>
      </c>
      <c r="AP5683" s="13">
        <v>45941</v>
      </c>
      <c r="AQ5683">
        <v>-3</v>
      </c>
      <c r="AR5683">
        <v>1</v>
      </c>
    </row>
    <row r="5684" spans="1:44" x14ac:dyDescent="0.35">
      <c r="A5684" s="12" t="s">
        <v>6790</v>
      </c>
      <c r="B5684" s="12" t="s">
        <v>323</v>
      </c>
      <c r="C5684" s="12" t="s">
        <v>324</v>
      </c>
      <c r="D5684" s="12" t="s">
        <v>64</v>
      </c>
      <c r="E5684" s="12" t="s">
        <v>142</v>
      </c>
      <c r="F5684">
        <v>1</v>
      </c>
      <c r="G5684">
        <v>7</v>
      </c>
      <c r="H5684">
        <v>1</v>
      </c>
      <c r="I5684" s="12" t="s">
        <v>143</v>
      </c>
      <c r="J5684" s="12" t="s">
        <v>144</v>
      </c>
      <c r="K5684" s="12" t="s">
        <v>133</v>
      </c>
      <c r="L5684" s="12" t="s">
        <v>96</v>
      </c>
      <c r="M5684">
        <v>5.43</v>
      </c>
      <c r="N5684" s="12" t="s">
        <v>70</v>
      </c>
      <c r="O5684" s="12" t="s">
        <v>71</v>
      </c>
      <c r="P5684" s="12" t="s">
        <v>72</v>
      </c>
      <c r="Q5684" s="13">
        <v>45915</v>
      </c>
      <c r="R5684" s="13">
        <v>45967</v>
      </c>
      <c r="S5684">
        <v>2025</v>
      </c>
      <c r="T5684" s="12" t="s">
        <v>6704</v>
      </c>
      <c r="U5684">
        <v>959</v>
      </c>
      <c r="V5684">
        <v>39.226399999999998</v>
      </c>
      <c r="W5684">
        <v>567.94000000000005</v>
      </c>
      <c r="X5684">
        <v>0</v>
      </c>
      <c r="Y5684">
        <v>0</v>
      </c>
      <c r="Z5684">
        <v>37618.120000000003</v>
      </c>
      <c r="AA5684">
        <v>38186.06</v>
      </c>
      <c r="AB5684" s="12" t="s">
        <v>5324</v>
      </c>
      <c r="AC5684">
        <v>39.226399999999998</v>
      </c>
      <c r="AD5684">
        <v>1</v>
      </c>
      <c r="AE5684">
        <v>1</v>
      </c>
      <c r="AF5684">
        <v>0</v>
      </c>
      <c r="AG5684">
        <v>37618.120000000003</v>
      </c>
      <c r="AH5684">
        <v>959</v>
      </c>
      <c r="AI5684">
        <v>957</v>
      </c>
      <c r="AJ5684">
        <v>2</v>
      </c>
      <c r="AK5684">
        <v>1</v>
      </c>
      <c r="AL5684">
        <v>1</v>
      </c>
      <c r="AM5684">
        <v>99.79</v>
      </c>
      <c r="AN5684">
        <v>39.901800000000001</v>
      </c>
      <c r="AO5684">
        <v>78.45</v>
      </c>
      <c r="AP5684" s="13">
        <v>45967</v>
      </c>
      <c r="AQ5684">
        <v>0</v>
      </c>
      <c r="AR5684">
        <v>1</v>
      </c>
    </row>
    <row r="5685" spans="1:44" x14ac:dyDescent="0.35">
      <c r="A5685" s="12" t="s">
        <v>6791</v>
      </c>
      <c r="B5685" s="12" t="s">
        <v>561</v>
      </c>
      <c r="C5685" s="12" t="s">
        <v>562</v>
      </c>
      <c r="D5685" s="12" t="s">
        <v>130</v>
      </c>
      <c r="E5685" s="12" t="s">
        <v>142</v>
      </c>
      <c r="F5685">
        <v>1</v>
      </c>
      <c r="G5685">
        <v>9</v>
      </c>
      <c r="H5685">
        <v>1</v>
      </c>
      <c r="I5685" s="12" t="s">
        <v>223</v>
      </c>
      <c r="J5685" s="12" t="s">
        <v>224</v>
      </c>
      <c r="K5685" s="12" t="s">
        <v>81</v>
      </c>
      <c r="L5685" s="12" t="s">
        <v>134</v>
      </c>
      <c r="M5685">
        <v>2.4900000000000002</v>
      </c>
      <c r="N5685" s="12" t="s">
        <v>159</v>
      </c>
      <c r="O5685" s="12" t="s">
        <v>160</v>
      </c>
      <c r="P5685" s="12" t="s">
        <v>137</v>
      </c>
      <c r="Q5685" s="13">
        <v>45915</v>
      </c>
      <c r="R5685" s="13">
        <v>45959</v>
      </c>
      <c r="S5685">
        <v>2025</v>
      </c>
      <c r="T5685" s="12" t="s">
        <v>6704</v>
      </c>
      <c r="U5685">
        <v>86</v>
      </c>
      <c r="V5685">
        <v>524.47310000000004</v>
      </c>
      <c r="W5685">
        <v>358.85</v>
      </c>
      <c r="X5685">
        <v>1392.39</v>
      </c>
      <c r="Y5685">
        <v>1</v>
      </c>
      <c r="Z5685">
        <v>45104.69</v>
      </c>
      <c r="AA5685">
        <v>46855.93</v>
      </c>
      <c r="AB5685" s="12" t="s">
        <v>201</v>
      </c>
      <c r="AD5685">
        <v>0</v>
      </c>
      <c r="AE5685">
        <v>0</v>
      </c>
      <c r="AH5685">
        <v>86</v>
      </c>
      <c r="AI5685">
        <v>85</v>
      </c>
      <c r="AJ5685">
        <v>1</v>
      </c>
      <c r="AK5685">
        <v>1</v>
      </c>
      <c r="AL5685">
        <v>1</v>
      </c>
      <c r="AM5685">
        <v>98.84</v>
      </c>
      <c r="AN5685">
        <v>551.24620000000004</v>
      </c>
      <c r="AO5685">
        <v>524.47</v>
      </c>
      <c r="AP5685" s="13">
        <v>45959</v>
      </c>
      <c r="AQ5685">
        <v>0</v>
      </c>
      <c r="AR5685">
        <v>1</v>
      </c>
    </row>
    <row r="5686" spans="1:44" x14ac:dyDescent="0.35">
      <c r="A5686" s="12" t="s">
        <v>6792</v>
      </c>
      <c r="B5686" s="12" t="s">
        <v>238</v>
      </c>
      <c r="C5686" s="12" t="s">
        <v>239</v>
      </c>
      <c r="D5686" s="12" t="s">
        <v>122</v>
      </c>
      <c r="E5686" s="12" t="s">
        <v>65</v>
      </c>
      <c r="F5686">
        <v>3</v>
      </c>
      <c r="G5686">
        <v>4</v>
      </c>
      <c r="H5686">
        <v>0</v>
      </c>
      <c r="I5686" s="12" t="s">
        <v>79</v>
      </c>
      <c r="J5686" s="12" t="s">
        <v>80</v>
      </c>
      <c r="K5686" s="12" t="s">
        <v>81</v>
      </c>
      <c r="L5686" s="12" t="s">
        <v>82</v>
      </c>
      <c r="M5686">
        <v>12.07</v>
      </c>
      <c r="N5686" s="12" t="s">
        <v>70</v>
      </c>
      <c r="O5686" s="12" t="s">
        <v>71</v>
      </c>
      <c r="P5686" s="12" t="s">
        <v>72</v>
      </c>
      <c r="Q5686" s="13">
        <v>45915</v>
      </c>
      <c r="R5686" s="13">
        <v>45936</v>
      </c>
      <c r="S5686">
        <v>2025</v>
      </c>
      <c r="T5686" s="12" t="s">
        <v>6704</v>
      </c>
      <c r="U5686">
        <v>260</v>
      </c>
      <c r="V5686">
        <v>34.205399999999997</v>
      </c>
      <c r="W5686">
        <v>108.3</v>
      </c>
      <c r="X5686">
        <v>0</v>
      </c>
      <c r="Y5686">
        <v>0</v>
      </c>
      <c r="Z5686">
        <v>8893.4</v>
      </c>
      <c r="AA5686">
        <v>9001.7000000000007</v>
      </c>
      <c r="AB5686" s="12" t="s">
        <v>5214</v>
      </c>
      <c r="AC5686">
        <v>34.205399999999997</v>
      </c>
      <c r="AD5686">
        <v>1</v>
      </c>
      <c r="AE5686">
        <v>1</v>
      </c>
      <c r="AF5686">
        <v>0</v>
      </c>
      <c r="AG5686">
        <v>8893.4</v>
      </c>
      <c r="AH5686">
        <v>260</v>
      </c>
      <c r="AI5686">
        <v>259</v>
      </c>
      <c r="AJ5686">
        <v>1</v>
      </c>
      <c r="AK5686">
        <v>1</v>
      </c>
      <c r="AL5686">
        <v>1</v>
      </c>
      <c r="AM5686">
        <v>99.62</v>
      </c>
      <c r="AN5686">
        <v>34.755600000000001</v>
      </c>
      <c r="AO5686">
        <v>34.21</v>
      </c>
      <c r="AP5686" s="13">
        <v>45945</v>
      </c>
      <c r="AQ5686">
        <v>9</v>
      </c>
      <c r="AR5686">
        <v>0</v>
      </c>
    </row>
    <row r="5687" spans="1:44" x14ac:dyDescent="0.35">
      <c r="A5687" s="12" t="s">
        <v>6793</v>
      </c>
      <c r="B5687" s="12" t="s">
        <v>602</v>
      </c>
      <c r="C5687" s="12" t="s">
        <v>603</v>
      </c>
      <c r="D5687" s="12" t="s">
        <v>114</v>
      </c>
      <c r="E5687" s="12" t="s">
        <v>142</v>
      </c>
      <c r="F5687">
        <v>2</v>
      </c>
      <c r="G5687">
        <v>10</v>
      </c>
      <c r="H5687">
        <v>0</v>
      </c>
      <c r="I5687" s="12" t="s">
        <v>263</v>
      </c>
      <c r="J5687" s="12" t="s">
        <v>264</v>
      </c>
      <c r="K5687" s="12" t="s">
        <v>125</v>
      </c>
      <c r="L5687" s="12" t="s">
        <v>82</v>
      </c>
      <c r="M5687">
        <v>10.210000000000001</v>
      </c>
      <c r="N5687" s="12" t="s">
        <v>70</v>
      </c>
      <c r="O5687" s="12" t="s">
        <v>71</v>
      </c>
      <c r="P5687" s="12" t="s">
        <v>72</v>
      </c>
      <c r="Q5687" s="13">
        <v>45915</v>
      </c>
      <c r="R5687" s="13">
        <v>45959</v>
      </c>
      <c r="S5687">
        <v>2025</v>
      </c>
      <c r="T5687" s="12" t="s">
        <v>6704</v>
      </c>
      <c r="U5687">
        <v>87</v>
      </c>
      <c r="V5687">
        <v>207.9658</v>
      </c>
      <c r="W5687">
        <v>235.08</v>
      </c>
      <c r="X5687">
        <v>0</v>
      </c>
      <c r="Y5687">
        <v>0</v>
      </c>
      <c r="Z5687">
        <v>18093.02</v>
      </c>
      <c r="AA5687">
        <v>18328.099999999999</v>
      </c>
      <c r="AB5687" s="12" t="s">
        <v>5373</v>
      </c>
      <c r="AC5687">
        <v>207.9658</v>
      </c>
      <c r="AD5687">
        <v>1</v>
      </c>
      <c r="AE5687">
        <v>1</v>
      </c>
      <c r="AF5687">
        <v>0</v>
      </c>
      <c r="AG5687">
        <v>18093.02</v>
      </c>
      <c r="AH5687">
        <v>87</v>
      </c>
      <c r="AI5687">
        <v>85</v>
      </c>
      <c r="AJ5687">
        <v>2</v>
      </c>
      <c r="AK5687">
        <v>1</v>
      </c>
      <c r="AL5687">
        <v>1</v>
      </c>
      <c r="AM5687">
        <v>97.7</v>
      </c>
      <c r="AN5687">
        <v>215.62479999999999</v>
      </c>
      <c r="AO5687">
        <v>415.93</v>
      </c>
      <c r="AP5687" s="13">
        <v>45957</v>
      </c>
      <c r="AQ5687">
        <v>-2</v>
      </c>
      <c r="AR5687">
        <v>1</v>
      </c>
    </row>
    <row r="5688" spans="1:44" x14ac:dyDescent="0.35">
      <c r="A5688" s="12" t="s">
        <v>6794</v>
      </c>
      <c r="B5688" s="12" t="s">
        <v>433</v>
      </c>
      <c r="C5688" s="12" t="s">
        <v>434</v>
      </c>
      <c r="D5688" s="12" t="s">
        <v>78</v>
      </c>
      <c r="E5688" s="12" t="s">
        <v>65</v>
      </c>
      <c r="F5688">
        <v>2</v>
      </c>
      <c r="G5688">
        <v>4</v>
      </c>
      <c r="H5688">
        <v>0</v>
      </c>
      <c r="I5688" s="12" t="s">
        <v>105</v>
      </c>
      <c r="J5688" s="12" t="s">
        <v>106</v>
      </c>
      <c r="K5688" s="12" t="s">
        <v>81</v>
      </c>
      <c r="L5688" s="12" t="s">
        <v>96</v>
      </c>
      <c r="M5688">
        <v>5.01</v>
      </c>
      <c r="N5688" s="12" t="s">
        <v>70</v>
      </c>
      <c r="O5688" s="12" t="s">
        <v>71</v>
      </c>
      <c r="P5688" s="12" t="s">
        <v>72</v>
      </c>
      <c r="Q5688" s="13">
        <v>45915</v>
      </c>
      <c r="R5688" s="13">
        <v>45949</v>
      </c>
      <c r="S5688">
        <v>2025</v>
      </c>
      <c r="T5688" s="12" t="s">
        <v>6704</v>
      </c>
      <c r="U5688">
        <v>236</v>
      </c>
      <c r="V5688">
        <v>68.594099999999997</v>
      </c>
      <c r="W5688">
        <v>277.35000000000002</v>
      </c>
      <c r="X5688">
        <v>0</v>
      </c>
      <c r="Y5688">
        <v>0</v>
      </c>
      <c r="Z5688">
        <v>16188.21</v>
      </c>
      <c r="AA5688">
        <v>16465.560000000001</v>
      </c>
      <c r="AB5688" s="12" t="s">
        <v>5436</v>
      </c>
      <c r="AC5688">
        <v>68.594099999999997</v>
      </c>
      <c r="AD5688">
        <v>1</v>
      </c>
      <c r="AE5688">
        <v>1</v>
      </c>
      <c r="AF5688">
        <v>0</v>
      </c>
      <c r="AG5688">
        <v>16188.21</v>
      </c>
      <c r="AH5688">
        <v>236</v>
      </c>
      <c r="AI5688">
        <v>233</v>
      </c>
      <c r="AJ5688">
        <v>3</v>
      </c>
      <c r="AK5688">
        <v>1</v>
      </c>
      <c r="AL5688">
        <v>1</v>
      </c>
      <c r="AM5688">
        <v>98.73</v>
      </c>
      <c r="AN5688">
        <v>70.667599999999993</v>
      </c>
      <c r="AO5688">
        <v>205.78</v>
      </c>
      <c r="AP5688" s="13">
        <v>45946</v>
      </c>
      <c r="AQ5688">
        <v>-3</v>
      </c>
      <c r="AR5688">
        <v>1</v>
      </c>
    </row>
    <row r="5689" spans="1:44" x14ac:dyDescent="0.35">
      <c r="A5689" s="12" t="s">
        <v>6795</v>
      </c>
      <c r="B5689" s="12" t="s">
        <v>537</v>
      </c>
      <c r="C5689" s="12" t="s">
        <v>538</v>
      </c>
      <c r="D5689" s="12" t="s">
        <v>103</v>
      </c>
      <c r="E5689" s="12" t="s">
        <v>104</v>
      </c>
      <c r="F5689">
        <v>3</v>
      </c>
      <c r="G5689">
        <v>0</v>
      </c>
      <c r="H5689">
        <v>0</v>
      </c>
      <c r="I5689" s="12" t="s">
        <v>380</v>
      </c>
      <c r="J5689" s="12" t="s">
        <v>381</v>
      </c>
      <c r="K5689" s="12" t="s">
        <v>89</v>
      </c>
      <c r="L5689" s="12" t="s">
        <v>96</v>
      </c>
      <c r="M5689">
        <v>10.210000000000001</v>
      </c>
      <c r="N5689" s="12" t="s">
        <v>145</v>
      </c>
      <c r="O5689" s="12" t="s">
        <v>146</v>
      </c>
      <c r="P5689" s="12" t="s">
        <v>109</v>
      </c>
      <c r="Q5689" s="13">
        <v>45916</v>
      </c>
      <c r="R5689" s="13">
        <v>45932</v>
      </c>
      <c r="S5689">
        <v>2025</v>
      </c>
      <c r="T5689" s="12" t="s">
        <v>6704</v>
      </c>
      <c r="U5689">
        <v>45</v>
      </c>
      <c r="V5689">
        <v>252.8389</v>
      </c>
      <c r="W5689">
        <v>289.45999999999998</v>
      </c>
      <c r="X5689">
        <v>0</v>
      </c>
      <c r="Y5689">
        <v>0</v>
      </c>
      <c r="Z5689">
        <v>11377.75</v>
      </c>
      <c r="AA5689">
        <v>11667.21</v>
      </c>
      <c r="AB5689" s="12" t="s">
        <v>6070</v>
      </c>
      <c r="AC5689">
        <v>242.47130000000001</v>
      </c>
      <c r="AD5689">
        <v>1</v>
      </c>
      <c r="AE5689">
        <v>1</v>
      </c>
      <c r="AF5689">
        <v>466.54</v>
      </c>
      <c r="AG5689">
        <v>10911.21</v>
      </c>
      <c r="AH5689">
        <v>45</v>
      </c>
      <c r="AI5689">
        <v>45</v>
      </c>
      <c r="AJ5689">
        <v>0</v>
      </c>
      <c r="AK5689">
        <v>1</v>
      </c>
      <c r="AL5689">
        <v>1</v>
      </c>
      <c r="AM5689">
        <v>100</v>
      </c>
      <c r="AN5689">
        <v>259.2713</v>
      </c>
      <c r="AO5689">
        <v>0</v>
      </c>
      <c r="AP5689" s="13">
        <v>45931</v>
      </c>
      <c r="AQ5689">
        <v>-1</v>
      </c>
      <c r="AR5689">
        <v>1</v>
      </c>
    </row>
    <row r="5690" spans="1:44" x14ac:dyDescent="0.35">
      <c r="A5690" s="12" t="s">
        <v>6796</v>
      </c>
      <c r="B5690" s="12" t="s">
        <v>548</v>
      </c>
      <c r="C5690" s="12" t="s">
        <v>549</v>
      </c>
      <c r="D5690" s="12" t="s">
        <v>78</v>
      </c>
      <c r="E5690" s="12" t="s">
        <v>104</v>
      </c>
      <c r="F5690">
        <v>3</v>
      </c>
      <c r="G5690">
        <v>1</v>
      </c>
      <c r="H5690">
        <v>0</v>
      </c>
      <c r="I5690" s="12" t="s">
        <v>223</v>
      </c>
      <c r="J5690" s="12" t="s">
        <v>224</v>
      </c>
      <c r="K5690" s="12" t="s">
        <v>81</v>
      </c>
      <c r="L5690" s="12" t="s">
        <v>134</v>
      </c>
      <c r="M5690">
        <v>2.4900000000000002</v>
      </c>
      <c r="N5690" s="12" t="s">
        <v>70</v>
      </c>
      <c r="O5690" s="12" t="s">
        <v>71</v>
      </c>
      <c r="P5690" s="12" t="s">
        <v>72</v>
      </c>
      <c r="Q5690" s="13">
        <v>45916</v>
      </c>
      <c r="R5690" s="13">
        <v>45937</v>
      </c>
      <c r="S5690">
        <v>2025</v>
      </c>
      <c r="T5690" s="12" t="s">
        <v>6704</v>
      </c>
      <c r="U5690">
        <v>174</v>
      </c>
      <c r="V5690">
        <v>56.384999999999998</v>
      </c>
      <c r="W5690">
        <v>104.81</v>
      </c>
      <c r="X5690">
        <v>0</v>
      </c>
      <c r="Y5690">
        <v>0</v>
      </c>
      <c r="Z5690">
        <v>9810.99</v>
      </c>
      <c r="AA5690">
        <v>9915.7999999999993</v>
      </c>
      <c r="AB5690" s="12" t="s">
        <v>6116</v>
      </c>
      <c r="AC5690">
        <v>56.384999999999998</v>
      </c>
      <c r="AD5690">
        <v>1</v>
      </c>
      <c r="AE5690">
        <v>1</v>
      </c>
      <c r="AF5690">
        <v>0</v>
      </c>
      <c r="AG5690">
        <v>9810.99</v>
      </c>
      <c r="AH5690">
        <v>174</v>
      </c>
      <c r="AI5690">
        <v>171</v>
      </c>
      <c r="AJ5690">
        <v>3</v>
      </c>
      <c r="AK5690">
        <v>1</v>
      </c>
      <c r="AL5690">
        <v>1</v>
      </c>
      <c r="AM5690">
        <v>98.28</v>
      </c>
      <c r="AN5690">
        <v>57.987099999999998</v>
      </c>
      <c r="AO5690">
        <v>169.16</v>
      </c>
      <c r="AP5690" s="13">
        <v>45934</v>
      </c>
      <c r="AQ5690">
        <v>-3</v>
      </c>
      <c r="AR5690">
        <v>1</v>
      </c>
    </row>
    <row r="5691" spans="1:44" x14ac:dyDescent="0.35">
      <c r="A5691" s="12" t="s">
        <v>6797</v>
      </c>
      <c r="B5691" s="12" t="s">
        <v>613</v>
      </c>
      <c r="C5691" s="12" t="s">
        <v>614</v>
      </c>
      <c r="D5691" s="12" t="s">
        <v>130</v>
      </c>
      <c r="E5691" s="12" t="s">
        <v>104</v>
      </c>
      <c r="F5691">
        <v>3</v>
      </c>
      <c r="G5691">
        <v>1</v>
      </c>
      <c r="H5691">
        <v>0</v>
      </c>
      <c r="I5691" s="12" t="s">
        <v>66</v>
      </c>
      <c r="J5691" s="12" t="s">
        <v>67</v>
      </c>
      <c r="K5691" s="12" t="s">
        <v>68</v>
      </c>
      <c r="L5691" s="12" t="s">
        <v>69</v>
      </c>
      <c r="M5691">
        <v>17.66</v>
      </c>
      <c r="N5691" s="12" t="s">
        <v>135</v>
      </c>
      <c r="O5691" s="12" t="s">
        <v>136</v>
      </c>
      <c r="P5691" s="12" t="s">
        <v>137</v>
      </c>
      <c r="Q5691" s="13">
        <v>45916</v>
      </c>
      <c r="R5691" s="13">
        <v>45941</v>
      </c>
      <c r="S5691">
        <v>2025</v>
      </c>
      <c r="T5691" s="12" t="s">
        <v>6704</v>
      </c>
      <c r="U5691">
        <v>112</v>
      </c>
      <c r="V5691">
        <v>154.3064</v>
      </c>
      <c r="W5691">
        <v>428.95</v>
      </c>
      <c r="X5691">
        <v>0</v>
      </c>
      <c r="Y5691">
        <v>0</v>
      </c>
      <c r="Z5691">
        <v>17282.32</v>
      </c>
      <c r="AA5691">
        <v>17711.27</v>
      </c>
      <c r="AB5691" s="12" t="s">
        <v>5538</v>
      </c>
      <c r="AC5691">
        <v>154.3064</v>
      </c>
      <c r="AD5691">
        <v>1</v>
      </c>
      <c r="AE5691">
        <v>1</v>
      </c>
      <c r="AF5691">
        <v>0</v>
      </c>
      <c r="AG5691">
        <v>17282.32</v>
      </c>
      <c r="AH5691">
        <v>112</v>
      </c>
      <c r="AI5691">
        <v>111</v>
      </c>
      <c r="AJ5691">
        <v>1</v>
      </c>
      <c r="AK5691">
        <v>1</v>
      </c>
      <c r="AL5691">
        <v>1</v>
      </c>
      <c r="AM5691">
        <v>99.11</v>
      </c>
      <c r="AN5691">
        <v>159.56100000000001</v>
      </c>
      <c r="AO5691">
        <v>154.31</v>
      </c>
      <c r="AP5691" s="13">
        <v>45941</v>
      </c>
      <c r="AQ5691">
        <v>0</v>
      </c>
      <c r="AR5691">
        <v>1</v>
      </c>
    </row>
    <row r="5692" spans="1:44" x14ac:dyDescent="0.35">
      <c r="A5692" s="12" t="s">
        <v>6798</v>
      </c>
      <c r="B5692" s="12" t="s">
        <v>569</v>
      </c>
      <c r="C5692" s="12" t="s">
        <v>570</v>
      </c>
      <c r="D5692" s="12" t="s">
        <v>114</v>
      </c>
      <c r="E5692" s="12" t="s">
        <v>142</v>
      </c>
      <c r="F5692">
        <v>1</v>
      </c>
      <c r="G5692">
        <v>6</v>
      </c>
      <c r="H5692">
        <v>1</v>
      </c>
      <c r="I5692" s="12" t="s">
        <v>123</v>
      </c>
      <c r="J5692" s="12" t="s">
        <v>124</v>
      </c>
      <c r="K5692" s="12" t="s">
        <v>125</v>
      </c>
      <c r="L5692" s="12" t="s">
        <v>82</v>
      </c>
      <c r="M5692">
        <v>6.75</v>
      </c>
      <c r="N5692" s="12" t="s">
        <v>97</v>
      </c>
      <c r="O5692" s="12" t="s">
        <v>98</v>
      </c>
      <c r="P5692" s="12" t="s">
        <v>72</v>
      </c>
      <c r="Q5692" s="13">
        <v>45916</v>
      </c>
      <c r="R5692" s="13">
        <v>45956</v>
      </c>
      <c r="S5692">
        <v>2025</v>
      </c>
      <c r="T5692" s="12" t="s">
        <v>6704</v>
      </c>
      <c r="U5692">
        <v>49</v>
      </c>
      <c r="V5692">
        <v>348.21159999999998</v>
      </c>
      <c r="W5692">
        <v>182.27</v>
      </c>
      <c r="X5692">
        <v>0</v>
      </c>
      <c r="Y5692">
        <v>0</v>
      </c>
      <c r="Z5692">
        <v>17062.37</v>
      </c>
      <c r="AA5692">
        <v>17244.64</v>
      </c>
      <c r="AB5692" s="12" t="s">
        <v>5817</v>
      </c>
      <c r="AC5692">
        <v>348.21159999999998</v>
      </c>
      <c r="AD5692">
        <v>1</v>
      </c>
      <c r="AE5692">
        <v>1</v>
      </c>
      <c r="AF5692">
        <v>0</v>
      </c>
      <c r="AG5692">
        <v>17062.37</v>
      </c>
      <c r="AH5692">
        <v>49</v>
      </c>
      <c r="AI5692">
        <v>48</v>
      </c>
      <c r="AJ5692">
        <v>1</v>
      </c>
      <c r="AK5692">
        <v>1</v>
      </c>
      <c r="AL5692">
        <v>1</v>
      </c>
      <c r="AM5692">
        <v>97.96</v>
      </c>
      <c r="AN5692">
        <v>359.26330000000002</v>
      </c>
      <c r="AO5692">
        <v>348.21</v>
      </c>
      <c r="AP5692" s="13">
        <v>45955</v>
      </c>
      <c r="AQ5692">
        <v>-1</v>
      </c>
      <c r="AR5692">
        <v>1</v>
      </c>
    </row>
    <row r="5693" spans="1:44" x14ac:dyDescent="0.35">
      <c r="A5693" s="12" t="s">
        <v>6799</v>
      </c>
      <c r="B5693" s="12" t="s">
        <v>155</v>
      </c>
      <c r="C5693" s="12" t="s">
        <v>156</v>
      </c>
      <c r="D5693" s="12" t="s">
        <v>130</v>
      </c>
      <c r="E5693" s="12" t="s">
        <v>104</v>
      </c>
      <c r="F5693">
        <v>3</v>
      </c>
      <c r="G5693">
        <v>1</v>
      </c>
      <c r="H5693">
        <v>0</v>
      </c>
      <c r="I5693" s="12" t="s">
        <v>157</v>
      </c>
      <c r="J5693" s="12" t="s">
        <v>158</v>
      </c>
      <c r="K5693" s="12" t="s">
        <v>117</v>
      </c>
      <c r="L5693" s="12" t="s">
        <v>96</v>
      </c>
      <c r="M5693">
        <v>4.72</v>
      </c>
      <c r="N5693" s="12" t="s">
        <v>159</v>
      </c>
      <c r="O5693" s="12" t="s">
        <v>160</v>
      </c>
      <c r="P5693" s="12" t="s">
        <v>137</v>
      </c>
      <c r="Q5693" s="13">
        <v>45916</v>
      </c>
      <c r="R5693" s="13">
        <v>45932</v>
      </c>
      <c r="S5693">
        <v>2025</v>
      </c>
      <c r="T5693" s="12" t="s">
        <v>6704</v>
      </c>
      <c r="U5693">
        <v>42</v>
      </c>
      <c r="V5693">
        <v>175.84399999999999</v>
      </c>
      <c r="W5693">
        <v>180</v>
      </c>
      <c r="X5693">
        <v>0</v>
      </c>
      <c r="Y5693">
        <v>0</v>
      </c>
      <c r="Z5693">
        <v>7385.45</v>
      </c>
      <c r="AA5693">
        <v>7565.45</v>
      </c>
      <c r="AB5693" s="12" t="s">
        <v>201</v>
      </c>
      <c r="AD5693">
        <v>0</v>
      </c>
      <c r="AE5693">
        <v>0</v>
      </c>
      <c r="AH5693">
        <v>42</v>
      </c>
      <c r="AI5693">
        <v>41</v>
      </c>
      <c r="AJ5693">
        <v>1</v>
      </c>
      <c r="AK5693">
        <v>1</v>
      </c>
      <c r="AL5693">
        <v>1</v>
      </c>
      <c r="AM5693">
        <v>97.62</v>
      </c>
      <c r="AN5693">
        <v>184.5231</v>
      </c>
      <c r="AO5693">
        <v>175.84</v>
      </c>
      <c r="AP5693" s="13">
        <v>45929</v>
      </c>
      <c r="AQ5693">
        <v>-3</v>
      </c>
      <c r="AR5693">
        <v>1</v>
      </c>
    </row>
    <row r="5694" spans="1:44" x14ac:dyDescent="0.35">
      <c r="A5694" s="12" t="s">
        <v>6800</v>
      </c>
      <c r="B5694" s="12" t="s">
        <v>231</v>
      </c>
      <c r="C5694" s="12" t="s">
        <v>232</v>
      </c>
      <c r="D5694" s="12" t="s">
        <v>130</v>
      </c>
      <c r="E5694" s="12" t="s">
        <v>65</v>
      </c>
      <c r="F5694">
        <v>1</v>
      </c>
      <c r="G5694">
        <v>2</v>
      </c>
      <c r="H5694">
        <v>1</v>
      </c>
      <c r="I5694" s="12" t="s">
        <v>233</v>
      </c>
      <c r="J5694" s="12" t="s">
        <v>234</v>
      </c>
      <c r="K5694" s="12" t="s">
        <v>125</v>
      </c>
      <c r="L5694" s="12" t="s">
        <v>96</v>
      </c>
      <c r="M5694">
        <v>3.73</v>
      </c>
      <c r="N5694" s="12" t="s">
        <v>135</v>
      </c>
      <c r="O5694" s="12" t="s">
        <v>136</v>
      </c>
      <c r="P5694" s="12" t="s">
        <v>137</v>
      </c>
      <c r="Q5694" s="13">
        <v>45916</v>
      </c>
      <c r="R5694" s="13">
        <v>45949</v>
      </c>
      <c r="S5694">
        <v>2025</v>
      </c>
      <c r="T5694" s="12" t="s">
        <v>6704</v>
      </c>
      <c r="U5694">
        <v>109</v>
      </c>
      <c r="V5694">
        <v>423.68869999999998</v>
      </c>
      <c r="W5694">
        <v>404.58</v>
      </c>
      <c r="X5694">
        <v>0</v>
      </c>
      <c r="Y5694">
        <v>0</v>
      </c>
      <c r="Z5694">
        <v>46182.07</v>
      </c>
      <c r="AA5694">
        <v>46586.65</v>
      </c>
      <c r="AB5694" s="12" t="s">
        <v>201</v>
      </c>
      <c r="AD5694">
        <v>0</v>
      </c>
      <c r="AE5694">
        <v>0</v>
      </c>
      <c r="AH5694">
        <v>109</v>
      </c>
      <c r="AI5694">
        <v>108</v>
      </c>
      <c r="AJ5694">
        <v>1</v>
      </c>
      <c r="AK5694">
        <v>1</v>
      </c>
      <c r="AL5694">
        <v>1</v>
      </c>
      <c r="AM5694">
        <v>99.08</v>
      </c>
      <c r="AN5694">
        <v>431.35789999999997</v>
      </c>
      <c r="AO5694">
        <v>423.69</v>
      </c>
      <c r="AP5694" s="13">
        <v>45959</v>
      </c>
      <c r="AQ5694">
        <v>10</v>
      </c>
      <c r="AR5694">
        <v>0</v>
      </c>
    </row>
    <row r="5695" spans="1:44" x14ac:dyDescent="0.35">
      <c r="A5695" s="12" t="s">
        <v>6801</v>
      </c>
      <c r="B5695" s="12" t="s">
        <v>302</v>
      </c>
      <c r="C5695" s="12" t="s">
        <v>303</v>
      </c>
      <c r="D5695" s="12" t="s">
        <v>78</v>
      </c>
      <c r="E5695" s="12" t="s">
        <v>65</v>
      </c>
      <c r="F5695">
        <v>2</v>
      </c>
      <c r="G5695">
        <v>3</v>
      </c>
      <c r="H5695">
        <v>0</v>
      </c>
      <c r="I5695" s="12" t="s">
        <v>243</v>
      </c>
      <c r="J5695" s="12" t="s">
        <v>244</v>
      </c>
      <c r="K5695" s="12" t="s">
        <v>81</v>
      </c>
      <c r="L5695" s="12" t="s">
        <v>82</v>
      </c>
      <c r="M5695">
        <v>9.2200000000000006</v>
      </c>
      <c r="N5695" s="12" t="s">
        <v>97</v>
      </c>
      <c r="O5695" s="12" t="s">
        <v>98</v>
      </c>
      <c r="P5695" s="12" t="s">
        <v>72</v>
      </c>
      <c r="Q5695" s="13">
        <v>45916</v>
      </c>
      <c r="R5695" s="13">
        <v>45947</v>
      </c>
      <c r="S5695">
        <v>2025</v>
      </c>
      <c r="T5695" s="12" t="s">
        <v>6704</v>
      </c>
      <c r="U5695">
        <v>186</v>
      </c>
      <c r="V5695">
        <v>129.55869999999999</v>
      </c>
      <c r="W5695">
        <v>379.85</v>
      </c>
      <c r="X5695">
        <v>0</v>
      </c>
      <c r="Y5695">
        <v>0</v>
      </c>
      <c r="Z5695">
        <v>24097.919999999998</v>
      </c>
      <c r="AA5695">
        <v>24477.77</v>
      </c>
      <c r="AB5695" s="12" t="s">
        <v>5850</v>
      </c>
      <c r="AC5695">
        <v>129.55869999999999</v>
      </c>
      <c r="AD5695">
        <v>1</v>
      </c>
      <c r="AE5695">
        <v>1</v>
      </c>
      <c r="AF5695">
        <v>0</v>
      </c>
      <c r="AG5695">
        <v>24097.919999999998</v>
      </c>
      <c r="AH5695">
        <v>186</v>
      </c>
      <c r="AI5695">
        <v>184</v>
      </c>
      <c r="AJ5695">
        <v>2</v>
      </c>
      <c r="AK5695">
        <v>1</v>
      </c>
      <c r="AL5695">
        <v>1</v>
      </c>
      <c r="AM5695">
        <v>98.92</v>
      </c>
      <c r="AN5695">
        <v>133.03129999999999</v>
      </c>
      <c r="AO5695">
        <v>259.12</v>
      </c>
      <c r="AP5695" s="13">
        <v>45946</v>
      </c>
      <c r="AQ5695">
        <v>-1</v>
      </c>
      <c r="AR5695">
        <v>1</v>
      </c>
    </row>
    <row r="5696" spans="1:44" x14ac:dyDescent="0.35">
      <c r="A5696" s="12" t="s">
        <v>6802</v>
      </c>
      <c r="B5696" s="12" t="s">
        <v>706</v>
      </c>
      <c r="C5696" s="12" t="s">
        <v>707</v>
      </c>
      <c r="D5696" s="12" t="s">
        <v>130</v>
      </c>
      <c r="E5696" s="12" t="s">
        <v>142</v>
      </c>
      <c r="F5696">
        <v>1</v>
      </c>
      <c r="G5696">
        <v>8</v>
      </c>
      <c r="H5696">
        <v>1</v>
      </c>
      <c r="I5696" s="12" t="s">
        <v>263</v>
      </c>
      <c r="J5696" s="12" t="s">
        <v>264</v>
      </c>
      <c r="K5696" s="12" t="s">
        <v>125</v>
      </c>
      <c r="L5696" s="12" t="s">
        <v>82</v>
      </c>
      <c r="M5696">
        <v>10.210000000000001</v>
      </c>
      <c r="N5696" s="12" t="s">
        <v>159</v>
      </c>
      <c r="O5696" s="12" t="s">
        <v>160</v>
      </c>
      <c r="P5696" s="12" t="s">
        <v>137</v>
      </c>
      <c r="Q5696" s="13">
        <v>45917</v>
      </c>
      <c r="R5696" s="13">
        <v>45965</v>
      </c>
      <c r="S5696">
        <v>2025</v>
      </c>
      <c r="T5696" s="12" t="s">
        <v>6704</v>
      </c>
      <c r="U5696">
        <v>117</v>
      </c>
      <c r="V5696">
        <v>276.71809999999999</v>
      </c>
      <c r="W5696">
        <v>671.27</v>
      </c>
      <c r="X5696">
        <v>0</v>
      </c>
      <c r="Y5696">
        <v>0</v>
      </c>
      <c r="Z5696">
        <v>32376.02</v>
      </c>
      <c r="AA5696">
        <v>33047.29</v>
      </c>
      <c r="AB5696" s="12" t="s">
        <v>5735</v>
      </c>
      <c r="AC5696">
        <v>276.71809999999999</v>
      </c>
      <c r="AD5696">
        <v>1</v>
      </c>
      <c r="AE5696">
        <v>1</v>
      </c>
      <c r="AF5696">
        <v>0</v>
      </c>
      <c r="AG5696">
        <v>32376.02</v>
      </c>
      <c r="AH5696">
        <v>117</v>
      </c>
      <c r="AI5696">
        <v>116</v>
      </c>
      <c r="AJ5696">
        <v>1</v>
      </c>
      <c r="AK5696">
        <v>1</v>
      </c>
      <c r="AL5696">
        <v>1</v>
      </c>
      <c r="AM5696">
        <v>99.15</v>
      </c>
      <c r="AN5696">
        <v>284.8904</v>
      </c>
      <c r="AO5696">
        <v>276.72000000000003</v>
      </c>
      <c r="AP5696" s="13">
        <v>45962</v>
      </c>
      <c r="AQ5696">
        <v>-3</v>
      </c>
      <c r="AR5696">
        <v>1</v>
      </c>
    </row>
    <row r="5697" spans="1:44" x14ac:dyDescent="0.35">
      <c r="A5697" s="12" t="s">
        <v>6803</v>
      </c>
      <c r="B5697" s="12" t="s">
        <v>963</v>
      </c>
      <c r="C5697" s="12" t="s">
        <v>964</v>
      </c>
      <c r="D5697" s="12" t="s">
        <v>114</v>
      </c>
      <c r="E5697" s="12" t="s">
        <v>142</v>
      </c>
      <c r="F5697">
        <v>1</v>
      </c>
      <c r="G5697">
        <v>6</v>
      </c>
      <c r="H5697">
        <v>1</v>
      </c>
      <c r="I5697" s="12" t="s">
        <v>176</v>
      </c>
      <c r="J5697" s="12" t="s">
        <v>177</v>
      </c>
      <c r="K5697" s="12" t="s">
        <v>125</v>
      </c>
      <c r="L5697" s="12" t="s">
        <v>134</v>
      </c>
      <c r="M5697">
        <v>1.75</v>
      </c>
      <c r="N5697" s="12" t="s">
        <v>70</v>
      </c>
      <c r="O5697" s="12" t="s">
        <v>71</v>
      </c>
      <c r="P5697" s="12" t="s">
        <v>72</v>
      </c>
      <c r="Q5697" s="13">
        <v>45917</v>
      </c>
      <c r="R5697" s="13">
        <v>45957</v>
      </c>
      <c r="S5697">
        <v>2025</v>
      </c>
      <c r="T5697" s="12" t="s">
        <v>6704</v>
      </c>
      <c r="U5697">
        <v>50</v>
      </c>
      <c r="V5697">
        <v>202.68729999999999</v>
      </c>
      <c r="W5697">
        <v>193.77</v>
      </c>
      <c r="X5697">
        <v>0</v>
      </c>
      <c r="Y5697">
        <v>0</v>
      </c>
      <c r="Z5697">
        <v>10134.370000000001</v>
      </c>
      <c r="AA5697">
        <v>10328.14</v>
      </c>
      <c r="AB5697" s="12" t="s">
        <v>201</v>
      </c>
      <c r="AD5697">
        <v>0</v>
      </c>
      <c r="AE5697">
        <v>0</v>
      </c>
      <c r="AH5697">
        <v>50</v>
      </c>
      <c r="AI5697">
        <v>50</v>
      </c>
      <c r="AJ5697">
        <v>0</v>
      </c>
      <c r="AK5697">
        <v>1</v>
      </c>
      <c r="AL5697">
        <v>1</v>
      </c>
      <c r="AM5697">
        <v>100</v>
      </c>
      <c r="AN5697">
        <v>206.56270000000001</v>
      </c>
      <c r="AO5697">
        <v>0</v>
      </c>
      <c r="AP5697" s="13">
        <v>45955</v>
      </c>
      <c r="AQ5697">
        <v>-2</v>
      </c>
      <c r="AR5697">
        <v>1</v>
      </c>
    </row>
    <row r="5698" spans="1:44" x14ac:dyDescent="0.35">
      <c r="A5698" s="12" t="s">
        <v>6804</v>
      </c>
      <c r="B5698" s="12" t="s">
        <v>273</v>
      </c>
      <c r="C5698" s="12" t="s">
        <v>274</v>
      </c>
      <c r="D5698" s="12" t="s">
        <v>175</v>
      </c>
      <c r="E5698" s="12" t="s">
        <v>104</v>
      </c>
      <c r="F5698">
        <v>3</v>
      </c>
      <c r="G5698">
        <v>1</v>
      </c>
      <c r="H5698">
        <v>0</v>
      </c>
      <c r="I5698" s="12" t="s">
        <v>275</v>
      </c>
      <c r="J5698" s="12" t="s">
        <v>276</v>
      </c>
      <c r="K5698" s="12" t="s">
        <v>89</v>
      </c>
      <c r="L5698" s="12" t="s">
        <v>82</v>
      </c>
      <c r="M5698">
        <v>14.26</v>
      </c>
      <c r="N5698" s="12" t="s">
        <v>107</v>
      </c>
      <c r="O5698" s="12" t="s">
        <v>108</v>
      </c>
      <c r="P5698" s="12" t="s">
        <v>109</v>
      </c>
      <c r="Q5698" s="13">
        <v>45917</v>
      </c>
      <c r="R5698" s="13">
        <v>45946</v>
      </c>
      <c r="S5698">
        <v>2025</v>
      </c>
      <c r="T5698" s="12" t="s">
        <v>6704</v>
      </c>
      <c r="U5698">
        <v>146</v>
      </c>
      <c r="V5698">
        <v>108.56229999999999</v>
      </c>
      <c r="W5698">
        <v>95.74</v>
      </c>
      <c r="X5698">
        <v>0</v>
      </c>
      <c r="Y5698">
        <v>0</v>
      </c>
      <c r="Z5698">
        <v>15850.1</v>
      </c>
      <c r="AA5698">
        <v>15945.84</v>
      </c>
      <c r="AB5698" s="12" t="s">
        <v>5782</v>
      </c>
      <c r="AC5698">
        <v>108.56229999999999</v>
      </c>
      <c r="AD5698">
        <v>1</v>
      </c>
      <c r="AE5698">
        <v>1</v>
      </c>
      <c r="AF5698">
        <v>0</v>
      </c>
      <c r="AG5698">
        <v>15850.1</v>
      </c>
      <c r="AH5698">
        <v>146</v>
      </c>
      <c r="AI5698">
        <v>144</v>
      </c>
      <c r="AJ5698">
        <v>2</v>
      </c>
      <c r="AK5698">
        <v>1</v>
      </c>
      <c r="AL5698">
        <v>1</v>
      </c>
      <c r="AM5698">
        <v>98.63</v>
      </c>
      <c r="AN5698">
        <v>110.735</v>
      </c>
      <c r="AO5698">
        <v>217.12</v>
      </c>
      <c r="AP5698" s="13">
        <v>45945</v>
      </c>
      <c r="AQ5698">
        <v>-1</v>
      </c>
      <c r="AR5698">
        <v>1</v>
      </c>
    </row>
    <row r="5699" spans="1:44" x14ac:dyDescent="0.35">
      <c r="A5699" s="12" t="s">
        <v>6805</v>
      </c>
      <c r="B5699" s="12" t="s">
        <v>773</v>
      </c>
      <c r="C5699" s="12" t="s">
        <v>774</v>
      </c>
      <c r="D5699" s="12" t="s">
        <v>64</v>
      </c>
      <c r="E5699" s="12" t="s">
        <v>142</v>
      </c>
      <c r="F5699">
        <v>1</v>
      </c>
      <c r="G5699">
        <v>7</v>
      </c>
      <c r="H5699">
        <v>1</v>
      </c>
      <c r="I5699" s="12" t="s">
        <v>251</v>
      </c>
      <c r="J5699" s="12" t="s">
        <v>252</v>
      </c>
      <c r="K5699" s="12" t="s">
        <v>133</v>
      </c>
      <c r="L5699" s="12" t="s">
        <v>69</v>
      </c>
      <c r="M5699">
        <v>34.49</v>
      </c>
      <c r="N5699" s="12" t="s">
        <v>70</v>
      </c>
      <c r="O5699" s="12" t="s">
        <v>71</v>
      </c>
      <c r="P5699" s="12" t="s">
        <v>72</v>
      </c>
      <c r="Q5699" s="13">
        <v>45917</v>
      </c>
      <c r="R5699" s="13">
        <v>45954</v>
      </c>
      <c r="S5699">
        <v>2025</v>
      </c>
      <c r="T5699" s="12" t="s">
        <v>6704</v>
      </c>
      <c r="U5699">
        <v>238</v>
      </c>
      <c r="V5699">
        <v>9.9849999999999994</v>
      </c>
      <c r="W5699">
        <v>42.43</v>
      </c>
      <c r="X5699">
        <v>0</v>
      </c>
      <c r="Y5699">
        <v>0</v>
      </c>
      <c r="Z5699">
        <v>2376.4299999999998</v>
      </c>
      <c r="AA5699">
        <v>2418.86</v>
      </c>
      <c r="AB5699" s="12" t="s">
        <v>5613</v>
      </c>
      <c r="AC5699">
        <v>9.9849999999999994</v>
      </c>
      <c r="AD5699">
        <v>1</v>
      </c>
      <c r="AE5699">
        <v>1</v>
      </c>
      <c r="AF5699">
        <v>0</v>
      </c>
      <c r="AG5699">
        <v>2376.4299999999998</v>
      </c>
      <c r="AH5699">
        <v>238</v>
      </c>
      <c r="AI5699">
        <v>236</v>
      </c>
      <c r="AJ5699">
        <v>2</v>
      </c>
      <c r="AK5699">
        <v>1</v>
      </c>
      <c r="AL5699">
        <v>1</v>
      </c>
      <c r="AM5699">
        <v>99.16</v>
      </c>
      <c r="AN5699">
        <v>10.2494</v>
      </c>
      <c r="AO5699">
        <v>19.97</v>
      </c>
      <c r="AP5699" s="13">
        <v>45954</v>
      </c>
      <c r="AQ5699">
        <v>0</v>
      </c>
      <c r="AR5699">
        <v>1</v>
      </c>
    </row>
    <row r="5700" spans="1:44" x14ac:dyDescent="0.35">
      <c r="A5700" s="12" t="s">
        <v>6806</v>
      </c>
      <c r="B5700" s="12" t="s">
        <v>952</v>
      </c>
      <c r="C5700" s="12" t="s">
        <v>953</v>
      </c>
      <c r="D5700" s="12" t="s">
        <v>64</v>
      </c>
      <c r="E5700" s="12" t="s">
        <v>142</v>
      </c>
      <c r="F5700">
        <v>1</v>
      </c>
      <c r="G5700">
        <v>8</v>
      </c>
      <c r="H5700">
        <v>1</v>
      </c>
      <c r="I5700" s="12" t="s">
        <v>131</v>
      </c>
      <c r="J5700" s="12" t="s">
        <v>132</v>
      </c>
      <c r="K5700" s="12" t="s">
        <v>133</v>
      </c>
      <c r="L5700" s="12" t="s">
        <v>134</v>
      </c>
      <c r="M5700">
        <v>1.51</v>
      </c>
      <c r="N5700" s="12" t="s">
        <v>70</v>
      </c>
      <c r="O5700" s="12" t="s">
        <v>71</v>
      </c>
      <c r="P5700" s="12" t="s">
        <v>72</v>
      </c>
      <c r="Q5700" s="13">
        <v>45917</v>
      </c>
      <c r="R5700" s="13">
        <v>45969</v>
      </c>
      <c r="S5700">
        <v>2025</v>
      </c>
      <c r="T5700" s="12" t="s">
        <v>6704</v>
      </c>
      <c r="U5700">
        <v>983</v>
      </c>
      <c r="V5700">
        <v>31.074300000000001</v>
      </c>
      <c r="W5700">
        <v>483.84</v>
      </c>
      <c r="X5700">
        <v>0</v>
      </c>
      <c r="Y5700">
        <v>0</v>
      </c>
      <c r="Z5700">
        <v>30546.04</v>
      </c>
      <c r="AA5700">
        <v>31029.88</v>
      </c>
      <c r="AB5700" s="12" t="s">
        <v>6001</v>
      </c>
      <c r="AC5700">
        <v>31.074300000000001</v>
      </c>
      <c r="AD5700">
        <v>1</v>
      </c>
      <c r="AE5700">
        <v>1</v>
      </c>
      <c r="AF5700">
        <v>0</v>
      </c>
      <c r="AG5700">
        <v>30546.04</v>
      </c>
      <c r="AH5700">
        <v>983</v>
      </c>
      <c r="AI5700">
        <v>967</v>
      </c>
      <c r="AJ5700">
        <v>16</v>
      </c>
      <c r="AK5700">
        <v>1</v>
      </c>
      <c r="AL5700">
        <v>1</v>
      </c>
      <c r="AM5700">
        <v>98.37</v>
      </c>
      <c r="AN5700">
        <v>32.088799999999999</v>
      </c>
      <c r="AO5700">
        <v>497.19</v>
      </c>
      <c r="AP5700" s="13">
        <v>45969</v>
      </c>
      <c r="AQ5700">
        <v>0</v>
      </c>
      <c r="AR5700">
        <v>1</v>
      </c>
    </row>
    <row r="5701" spans="1:44" x14ac:dyDescent="0.35">
      <c r="A5701" s="12" t="s">
        <v>6807</v>
      </c>
      <c r="B5701" s="12" t="s">
        <v>302</v>
      </c>
      <c r="C5701" s="12" t="s">
        <v>303</v>
      </c>
      <c r="D5701" s="12" t="s">
        <v>78</v>
      </c>
      <c r="E5701" s="12" t="s">
        <v>65</v>
      </c>
      <c r="F5701">
        <v>2</v>
      </c>
      <c r="G5701">
        <v>3</v>
      </c>
      <c r="H5701">
        <v>0</v>
      </c>
      <c r="I5701" s="12" t="s">
        <v>335</v>
      </c>
      <c r="J5701" s="12" t="s">
        <v>336</v>
      </c>
      <c r="K5701" s="12" t="s">
        <v>89</v>
      </c>
      <c r="L5701" s="12" t="s">
        <v>82</v>
      </c>
      <c r="M5701">
        <v>16</v>
      </c>
      <c r="N5701" s="12" t="s">
        <v>70</v>
      </c>
      <c r="O5701" s="12" t="s">
        <v>71</v>
      </c>
      <c r="P5701" s="12" t="s">
        <v>72</v>
      </c>
      <c r="Q5701" s="13">
        <v>45917</v>
      </c>
      <c r="R5701" s="13">
        <v>45942</v>
      </c>
      <c r="S5701">
        <v>2025</v>
      </c>
      <c r="T5701" s="12" t="s">
        <v>6704</v>
      </c>
      <c r="U5701">
        <v>107</v>
      </c>
      <c r="V5701">
        <v>137.82220000000001</v>
      </c>
      <c r="W5701">
        <v>256.45999999999998</v>
      </c>
      <c r="X5701">
        <v>0</v>
      </c>
      <c r="Y5701">
        <v>0</v>
      </c>
      <c r="Z5701">
        <v>14746.98</v>
      </c>
      <c r="AA5701">
        <v>15003.44</v>
      </c>
      <c r="AB5701" s="12" t="s">
        <v>5763</v>
      </c>
      <c r="AC5701">
        <v>137.82220000000001</v>
      </c>
      <c r="AD5701">
        <v>1</v>
      </c>
      <c r="AE5701">
        <v>1</v>
      </c>
      <c r="AF5701">
        <v>0</v>
      </c>
      <c r="AG5701">
        <v>14746.98</v>
      </c>
      <c r="AH5701">
        <v>107</v>
      </c>
      <c r="AI5701">
        <v>106</v>
      </c>
      <c r="AJ5701">
        <v>1</v>
      </c>
      <c r="AK5701">
        <v>1</v>
      </c>
      <c r="AL5701">
        <v>1</v>
      </c>
      <c r="AM5701">
        <v>99.07</v>
      </c>
      <c r="AN5701">
        <v>141.54179999999999</v>
      </c>
      <c r="AO5701">
        <v>137.82</v>
      </c>
      <c r="AP5701" s="13">
        <v>45942</v>
      </c>
      <c r="AQ5701">
        <v>0</v>
      </c>
      <c r="AR5701">
        <v>1</v>
      </c>
    </row>
    <row r="5702" spans="1:44" x14ac:dyDescent="0.35">
      <c r="A5702" s="12" t="s">
        <v>6808</v>
      </c>
      <c r="B5702" s="12" t="s">
        <v>458</v>
      </c>
      <c r="C5702" s="12" t="s">
        <v>459</v>
      </c>
      <c r="D5702" s="12" t="s">
        <v>64</v>
      </c>
      <c r="E5702" s="12" t="s">
        <v>104</v>
      </c>
      <c r="F5702">
        <v>2</v>
      </c>
      <c r="G5702">
        <v>0</v>
      </c>
      <c r="H5702">
        <v>0</v>
      </c>
      <c r="I5702" s="12" t="s">
        <v>199</v>
      </c>
      <c r="J5702" s="12" t="s">
        <v>200</v>
      </c>
      <c r="K5702" s="12" t="s">
        <v>68</v>
      </c>
      <c r="L5702" s="12" t="s">
        <v>96</v>
      </c>
      <c r="M5702">
        <v>9.4700000000000006</v>
      </c>
      <c r="N5702" s="12" t="s">
        <v>70</v>
      </c>
      <c r="O5702" s="12" t="s">
        <v>71</v>
      </c>
      <c r="P5702" s="12" t="s">
        <v>72</v>
      </c>
      <c r="Q5702" s="13">
        <v>45917</v>
      </c>
      <c r="R5702" s="13">
        <v>45934</v>
      </c>
      <c r="S5702">
        <v>2025</v>
      </c>
      <c r="T5702" s="12" t="s">
        <v>6704</v>
      </c>
      <c r="U5702">
        <v>358</v>
      </c>
      <c r="V5702">
        <v>22.3581</v>
      </c>
      <c r="W5702">
        <v>171.05</v>
      </c>
      <c r="X5702">
        <v>0</v>
      </c>
      <c r="Y5702">
        <v>0</v>
      </c>
      <c r="Z5702">
        <v>8004.2</v>
      </c>
      <c r="AA5702">
        <v>8175.25</v>
      </c>
      <c r="AB5702" s="12" t="s">
        <v>5527</v>
      </c>
      <c r="AC5702">
        <v>21.352799999999998</v>
      </c>
      <c r="AD5702">
        <v>1</v>
      </c>
      <c r="AE5702">
        <v>1</v>
      </c>
      <c r="AF5702">
        <v>359.9</v>
      </c>
      <c r="AG5702">
        <v>7644.3</v>
      </c>
      <c r="AH5702">
        <v>358</v>
      </c>
      <c r="AI5702">
        <v>355</v>
      </c>
      <c r="AJ5702">
        <v>3</v>
      </c>
      <c r="AK5702">
        <v>1</v>
      </c>
      <c r="AL5702">
        <v>1</v>
      </c>
      <c r="AM5702">
        <v>99.16</v>
      </c>
      <c r="AN5702">
        <v>23.0289</v>
      </c>
      <c r="AO5702">
        <v>67.069999999999993</v>
      </c>
      <c r="AP5702" s="13">
        <v>45946</v>
      </c>
      <c r="AQ5702">
        <v>12</v>
      </c>
      <c r="AR5702">
        <v>0</v>
      </c>
    </row>
    <row r="5703" spans="1:44" x14ac:dyDescent="0.35">
      <c r="A5703" s="12" t="s">
        <v>6809</v>
      </c>
      <c r="B5703" s="12" t="s">
        <v>221</v>
      </c>
      <c r="C5703" s="12" t="s">
        <v>222</v>
      </c>
      <c r="D5703" s="12" t="s">
        <v>114</v>
      </c>
      <c r="E5703" s="12" t="s">
        <v>142</v>
      </c>
      <c r="F5703">
        <v>3</v>
      </c>
      <c r="G5703">
        <v>11</v>
      </c>
      <c r="H5703">
        <v>0</v>
      </c>
      <c r="I5703" s="12" t="s">
        <v>105</v>
      </c>
      <c r="J5703" s="12" t="s">
        <v>106</v>
      </c>
      <c r="K5703" s="12" t="s">
        <v>81</v>
      </c>
      <c r="L5703" s="12" t="s">
        <v>96</v>
      </c>
      <c r="M5703">
        <v>5.01</v>
      </c>
      <c r="N5703" s="12" t="s">
        <v>70</v>
      </c>
      <c r="O5703" s="12" t="s">
        <v>71</v>
      </c>
      <c r="P5703" s="12" t="s">
        <v>72</v>
      </c>
      <c r="Q5703" s="13">
        <v>45917</v>
      </c>
      <c r="R5703" s="13">
        <v>45957</v>
      </c>
      <c r="S5703">
        <v>2025</v>
      </c>
      <c r="T5703" s="12" t="s">
        <v>6704</v>
      </c>
      <c r="U5703">
        <v>56</v>
      </c>
      <c r="V5703">
        <v>272.30369999999999</v>
      </c>
      <c r="W5703">
        <v>223.9</v>
      </c>
      <c r="X5703">
        <v>0</v>
      </c>
      <c r="Y5703">
        <v>0</v>
      </c>
      <c r="Z5703">
        <v>15249.01</v>
      </c>
      <c r="AA5703">
        <v>15472.91</v>
      </c>
      <c r="AB5703" s="12" t="s">
        <v>201</v>
      </c>
      <c r="AD5703">
        <v>0</v>
      </c>
      <c r="AE5703">
        <v>0</v>
      </c>
      <c r="AH5703">
        <v>56</v>
      </c>
      <c r="AI5703">
        <v>55</v>
      </c>
      <c r="AJ5703">
        <v>1</v>
      </c>
      <c r="AK5703">
        <v>1</v>
      </c>
      <c r="AL5703">
        <v>1</v>
      </c>
      <c r="AM5703">
        <v>98.21</v>
      </c>
      <c r="AN5703">
        <v>281.32560000000001</v>
      </c>
      <c r="AO5703">
        <v>272.3</v>
      </c>
      <c r="AP5703" s="13">
        <v>45955</v>
      </c>
      <c r="AQ5703">
        <v>-2</v>
      </c>
      <c r="AR5703">
        <v>1</v>
      </c>
    </row>
    <row r="5704" spans="1:44" x14ac:dyDescent="0.35">
      <c r="A5704" s="12" t="s">
        <v>6810</v>
      </c>
      <c r="B5704" s="12" t="s">
        <v>323</v>
      </c>
      <c r="C5704" s="12" t="s">
        <v>324</v>
      </c>
      <c r="D5704" s="12" t="s">
        <v>64</v>
      </c>
      <c r="E5704" s="12" t="s">
        <v>142</v>
      </c>
      <c r="F5704">
        <v>1</v>
      </c>
      <c r="G5704">
        <v>7</v>
      </c>
      <c r="H5704">
        <v>1</v>
      </c>
      <c r="I5704" s="12" t="s">
        <v>143</v>
      </c>
      <c r="J5704" s="12" t="s">
        <v>144</v>
      </c>
      <c r="K5704" s="12" t="s">
        <v>133</v>
      </c>
      <c r="L5704" s="12" t="s">
        <v>96</v>
      </c>
      <c r="M5704">
        <v>5.43</v>
      </c>
      <c r="N5704" s="12" t="s">
        <v>97</v>
      </c>
      <c r="O5704" s="12" t="s">
        <v>98</v>
      </c>
      <c r="P5704" s="12" t="s">
        <v>72</v>
      </c>
      <c r="Q5704" s="13">
        <v>45917</v>
      </c>
      <c r="R5704" s="13">
        <v>45963</v>
      </c>
      <c r="S5704">
        <v>2025</v>
      </c>
      <c r="T5704" s="12" t="s">
        <v>6704</v>
      </c>
      <c r="U5704">
        <v>693</v>
      </c>
      <c r="V5704">
        <v>39.226399999999998</v>
      </c>
      <c r="W5704">
        <v>164.07</v>
      </c>
      <c r="X5704">
        <v>0</v>
      </c>
      <c r="Y5704">
        <v>0</v>
      </c>
      <c r="Z5704">
        <v>27183.9</v>
      </c>
      <c r="AA5704">
        <v>27347.97</v>
      </c>
      <c r="AB5704" s="12" t="s">
        <v>5324</v>
      </c>
      <c r="AC5704">
        <v>39.226399999999998</v>
      </c>
      <c r="AD5704">
        <v>1</v>
      </c>
      <c r="AE5704">
        <v>1</v>
      </c>
      <c r="AF5704">
        <v>0</v>
      </c>
      <c r="AG5704">
        <v>27183.9</v>
      </c>
      <c r="AH5704">
        <v>693</v>
      </c>
      <c r="AI5704">
        <v>686</v>
      </c>
      <c r="AJ5704">
        <v>7</v>
      </c>
      <c r="AK5704">
        <v>1</v>
      </c>
      <c r="AL5704">
        <v>1</v>
      </c>
      <c r="AM5704">
        <v>98.99</v>
      </c>
      <c r="AN5704">
        <v>39.8658</v>
      </c>
      <c r="AO5704">
        <v>274.58</v>
      </c>
      <c r="AP5704" s="13">
        <v>45960</v>
      </c>
      <c r="AQ5704">
        <v>-3</v>
      </c>
      <c r="AR5704">
        <v>1</v>
      </c>
    </row>
    <row r="5705" spans="1:44" x14ac:dyDescent="0.35">
      <c r="A5705" s="12" t="s">
        <v>6811</v>
      </c>
      <c r="B5705" s="12" t="s">
        <v>498</v>
      </c>
      <c r="C5705" s="12" t="s">
        <v>499</v>
      </c>
      <c r="D5705" s="12" t="s">
        <v>175</v>
      </c>
      <c r="E5705" s="12" t="s">
        <v>104</v>
      </c>
      <c r="F5705">
        <v>3</v>
      </c>
      <c r="G5705">
        <v>1</v>
      </c>
      <c r="H5705">
        <v>0</v>
      </c>
      <c r="I5705" s="12" t="s">
        <v>233</v>
      </c>
      <c r="J5705" s="12" t="s">
        <v>234</v>
      </c>
      <c r="K5705" s="12" t="s">
        <v>125</v>
      </c>
      <c r="L5705" s="12" t="s">
        <v>96</v>
      </c>
      <c r="M5705">
        <v>3.73</v>
      </c>
      <c r="N5705" s="12" t="s">
        <v>107</v>
      </c>
      <c r="O5705" s="12" t="s">
        <v>108</v>
      </c>
      <c r="P5705" s="12" t="s">
        <v>109</v>
      </c>
      <c r="Q5705" s="13">
        <v>45917</v>
      </c>
      <c r="R5705" s="13">
        <v>45944</v>
      </c>
      <c r="S5705">
        <v>2025</v>
      </c>
      <c r="T5705" s="12" t="s">
        <v>6704</v>
      </c>
      <c r="U5705">
        <v>129</v>
      </c>
      <c r="V5705">
        <v>262.52229999999997</v>
      </c>
      <c r="W5705">
        <v>371.08</v>
      </c>
      <c r="X5705">
        <v>0</v>
      </c>
      <c r="Y5705">
        <v>0</v>
      </c>
      <c r="Z5705">
        <v>33865.379999999997</v>
      </c>
      <c r="AA5705">
        <v>34236.46</v>
      </c>
      <c r="AB5705" s="12" t="s">
        <v>5729</v>
      </c>
      <c r="AC5705">
        <v>262.52229999999997</v>
      </c>
      <c r="AD5705">
        <v>1</v>
      </c>
      <c r="AE5705">
        <v>1</v>
      </c>
      <c r="AF5705">
        <v>0</v>
      </c>
      <c r="AG5705">
        <v>33865.379999999997</v>
      </c>
      <c r="AH5705">
        <v>129</v>
      </c>
      <c r="AI5705">
        <v>128</v>
      </c>
      <c r="AJ5705">
        <v>1</v>
      </c>
      <c r="AK5705">
        <v>1</v>
      </c>
      <c r="AL5705">
        <v>1</v>
      </c>
      <c r="AM5705">
        <v>99.22</v>
      </c>
      <c r="AN5705">
        <v>267.47230000000002</v>
      </c>
      <c r="AO5705">
        <v>262.52</v>
      </c>
      <c r="AP5705" s="13">
        <v>45950</v>
      </c>
      <c r="AQ5705">
        <v>6</v>
      </c>
      <c r="AR5705">
        <v>0</v>
      </c>
    </row>
    <row r="5706" spans="1:44" x14ac:dyDescent="0.35">
      <c r="A5706" s="12" t="s">
        <v>6812</v>
      </c>
      <c r="B5706" s="12" t="s">
        <v>472</v>
      </c>
      <c r="C5706" s="12" t="s">
        <v>473</v>
      </c>
      <c r="D5706" s="12" t="s">
        <v>122</v>
      </c>
      <c r="E5706" s="12" t="s">
        <v>142</v>
      </c>
      <c r="F5706">
        <v>2</v>
      </c>
      <c r="G5706">
        <v>9</v>
      </c>
      <c r="H5706">
        <v>0</v>
      </c>
      <c r="I5706" s="12" t="s">
        <v>209</v>
      </c>
      <c r="J5706" s="12" t="s">
        <v>210</v>
      </c>
      <c r="K5706" s="12" t="s">
        <v>133</v>
      </c>
      <c r="L5706" s="12" t="s">
        <v>96</v>
      </c>
      <c r="M5706">
        <v>7.82</v>
      </c>
      <c r="N5706" s="12" t="s">
        <v>97</v>
      </c>
      <c r="O5706" s="12" t="s">
        <v>98</v>
      </c>
      <c r="P5706" s="12" t="s">
        <v>72</v>
      </c>
      <c r="Q5706" s="13">
        <v>45918</v>
      </c>
      <c r="R5706" s="13">
        <v>45963</v>
      </c>
      <c r="S5706">
        <v>2025</v>
      </c>
      <c r="T5706" s="12" t="s">
        <v>6704</v>
      </c>
      <c r="U5706">
        <v>1234</v>
      </c>
      <c r="V5706">
        <v>45.717199999999998</v>
      </c>
      <c r="W5706">
        <v>867.05</v>
      </c>
      <c r="X5706">
        <v>0</v>
      </c>
      <c r="Y5706">
        <v>0</v>
      </c>
      <c r="Z5706">
        <v>56415.02</v>
      </c>
      <c r="AA5706">
        <v>57282.07</v>
      </c>
      <c r="AB5706" s="12" t="s">
        <v>201</v>
      </c>
      <c r="AD5706">
        <v>0</v>
      </c>
      <c r="AE5706">
        <v>0</v>
      </c>
      <c r="AH5706">
        <v>1234</v>
      </c>
      <c r="AI5706">
        <v>1227</v>
      </c>
      <c r="AJ5706">
        <v>7</v>
      </c>
      <c r="AK5706">
        <v>1</v>
      </c>
      <c r="AL5706">
        <v>1</v>
      </c>
      <c r="AM5706">
        <v>99.43</v>
      </c>
      <c r="AN5706">
        <v>46.684699999999999</v>
      </c>
      <c r="AO5706">
        <v>320.02</v>
      </c>
      <c r="AP5706" s="13">
        <v>45963</v>
      </c>
      <c r="AQ5706">
        <v>0</v>
      </c>
      <c r="AR5706">
        <v>1</v>
      </c>
    </row>
    <row r="5707" spans="1:44" x14ac:dyDescent="0.35">
      <c r="A5707" s="12" t="s">
        <v>6813</v>
      </c>
      <c r="B5707" s="12" t="s">
        <v>273</v>
      </c>
      <c r="C5707" s="12" t="s">
        <v>274</v>
      </c>
      <c r="D5707" s="12" t="s">
        <v>175</v>
      </c>
      <c r="E5707" s="12" t="s">
        <v>104</v>
      </c>
      <c r="F5707">
        <v>3</v>
      </c>
      <c r="G5707">
        <v>1</v>
      </c>
      <c r="H5707">
        <v>0</v>
      </c>
      <c r="I5707" s="12" t="s">
        <v>275</v>
      </c>
      <c r="J5707" s="12" t="s">
        <v>276</v>
      </c>
      <c r="K5707" s="12" t="s">
        <v>89</v>
      </c>
      <c r="L5707" s="12" t="s">
        <v>82</v>
      </c>
      <c r="M5707">
        <v>14.26</v>
      </c>
      <c r="N5707" s="12" t="s">
        <v>107</v>
      </c>
      <c r="O5707" s="12" t="s">
        <v>108</v>
      </c>
      <c r="P5707" s="12" t="s">
        <v>109</v>
      </c>
      <c r="Q5707" s="13">
        <v>45918</v>
      </c>
      <c r="R5707" s="13">
        <v>45940</v>
      </c>
      <c r="S5707">
        <v>2025</v>
      </c>
      <c r="T5707" s="12" t="s">
        <v>6704</v>
      </c>
      <c r="U5707">
        <v>93</v>
      </c>
      <c r="V5707">
        <v>108.56229999999999</v>
      </c>
      <c r="W5707">
        <v>151.29</v>
      </c>
      <c r="X5707">
        <v>0</v>
      </c>
      <c r="Y5707">
        <v>0</v>
      </c>
      <c r="Z5707">
        <v>10096.290000000001</v>
      </c>
      <c r="AA5707">
        <v>10247.58</v>
      </c>
      <c r="AB5707" s="12" t="s">
        <v>5782</v>
      </c>
      <c r="AC5707">
        <v>108.56229999999999</v>
      </c>
      <c r="AD5707">
        <v>1</v>
      </c>
      <c r="AE5707">
        <v>1</v>
      </c>
      <c r="AF5707">
        <v>0</v>
      </c>
      <c r="AG5707">
        <v>10096.290000000001</v>
      </c>
      <c r="AH5707">
        <v>93</v>
      </c>
      <c r="AI5707">
        <v>92</v>
      </c>
      <c r="AJ5707">
        <v>1</v>
      </c>
      <c r="AK5707">
        <v>1</v>
      </c>
      <c r="AL5707">
        <v>1</v>
      </c>
      <c r="AM5707">
        <v>98.92</v>
      </c>
      <c r="AN5707">
        <v>111.38679999999999</v>
      </c>
      <c r="AO5707">
        <v>108.56</v>
      </c>
      <c r="AP5707" s="13">
        <v>45938</v>
      </c>
      <c r="AQ5707">
        <v>-2</v>
      </c>
      <c r="AR5707">
        <v>1</v>
      </c>
    </row>
    <row r="5708" spans="1:44" x14ac:dyDescent="0.35">
      <c r="A5708" s="12" t="s">
        <v>6814</v>
      </c>
      <c r="B5708" s="12" t="s">
        <v>809</v>
      </c>
      <c r="C5708" s="12" t="s">
        <v>810</v>
      </c>
      <c r="D5708" s="12" t="s">
        <v>114</v>
      </c>
      <c r="E5708" s="12" t="s">
        <v>65</v>
      </c>
      <c r="F5708">
        <v>3</v>
      </c>
      <c r="G5708">
        <v>5</v>
      </c>
      <c r="H5708">
        <v>0</v>
      </c>
      <c r="I5708" s="12" t="s">
        <v>804</v>
      </c>
      <c r="J5708" s="12" t="s">
        <v>342</v>
      </c>
      <c r="K5708" s="12" t="s">
        <v>117</v>
      </c>
      <c r="L5708" s="12" t="s">
        <v>69</v>
      </c>
      <c r="M5708">
        <v>30.07</v>
      </c>
      <c r="N5708" s="12" t="s">
        <v>97</v>
      </c>
      <c r="O5708" s="12" t="s">
        <v>98</v>
      </c>
      <c r="P5708" s="12" t="s">
        <v>72</v>
      </c>
      <c r="Q5708" s="13">
        <v>45918</v>
      </c>
      <c r="R5708" s="13">
        <v>45940</v>
      </c>
      <c r="S5708">
        <v>2025</v>
      </c>
      <c r="T5708" s="12" t="s">
        <v>6704</v>
      </c>
      <c r="U5708">
        <v>25</v>
      </c>
      <c r="V5708">
        <v>302.71480000000003</v>
      </c>
      <c r="W5708">
        <v>141.96</v>
      </c>
      <c r="X5708">
        <v>0</v>
      </c>
      <c r="Y5708">
        <v>0</v>
      </c>
      <c r="Z5708">
        <v>7567.87</v>
      </c>
      <c r="AA5708">
        <v>7709.83</v>
      </c>
      <c r="AB5708" s="12" t="s">
        <v>5511</v>
      </c>
      <c r="AC5708">
        <v>302.71480000000003</v>
      </c>
      <c r="AD5708">
        <v>1</v>
      </c>
      <c r="AE5708">
        <v>1</v>
      </c>
      <c r="AF5708">
        <v>0</v>
      </c>
      <c r="AG5708">
        <v>7567.87</v>
      </c>
      <c r="AH5708">
        <v>25</v>
      </c>
      <c r="AI5708">
        <v>25</v>
      </c>
      <c r="AJ5708">
        <v>0</v>
      </c>
      <c r="AK5708">
        <v>1</v>
      </c>
      <c r="AL5708">
        <v>1</v>
      </c>
      <c r="AM5708">
        <v>100</v>
      </c>
      <c r="AN5708">
        <v>308.39319999999998</v>
      </c>
      <c r="AO5708">
        <v>0</v>
      </c>
      <c r="AP5708" s="13">
        <v>45938</v>
      </c>
      <c r="AQ5708">
        <v>-2</v>
      </c>
      <c r="AR5708">
        <v>1</v>
      </c>
    </row>
    <row r="5709" spans="1:44" x14ac:dyDescent="0.35">
      <c r="A5709" s="12" t="s">
        <v>6815</v>
      </c>
      <c r="B5709" s="12" t="s">
        <v>1042</v>
      </c>
      <c r="C5709" s="12" t="s">
        <v>1043</v>
      </c>
      <c r="D5709" s="12" t="s">
        <v>269</v>
      </c>
      <c r="E5709" s="12" t="s">
        <v>104</v>
      </c>
      <c r="F5709">
        <v>2</v>
      </c>
      <c r="G5709">
        <v>0</v>
      </c>
      <c r="H5709">
        <v>0</v>
      </c>
      <c r="I5709" s="12" t="s">
        <v>199</v>
      </c>
      <c r="J5709" s="12" t="s">
        <v>200</v>
      </c>
      <c r="K5709" s="12" t="s">
        <v>68</v>
      </c>
      <c r="L5709" s="12" t="s">
        <v>96</v>
      </c>
      <c r="M5709">
        <v>9.4700000000000006</v>
      </c>
      <c r="N5709" s="12" t="s">
        <v>159</v>
      </c>
      <c r="O5709" s="12" t="s">
        <v>160</v>
      </c>
      <c r="P5709" s="12" t="s">
        <v>137</v>
      </c>
      <c r="Q5709" s="13">
        <v>45918</v>
      </c>
      <c r="R5709" s="13">
        <v>45947</v>
      </c>
      <c r="S5709">
        <v>2025</v>
      </c>
      <c r="T5709" s="12" t="s">
        <v>6704</v>
      </c>
      <c r="U5709">
        <v>142</v>
      </c>
      <c r="V5709">
        <v>290.11180000000002</v>
      </c>
      <c r="W5709">
        <v>293.76</v>
      </c>
      <c r="X5709">
        <v>0</v>
      </c>
      <c r="Y5709">
        <v>0</v>
      </c>
      <c r="Z5709">
        <v>41195.879999999997</v>
      </c>
      <c r="AA5709">
        <v>41489.64</v>
      </c>
      <c r="AB5709" s="12" t="s">
        <v>6816</v>
      </c>
      <c r="AC5709">
        <v>290.11180000000002</v>
      </c>
      <c r="AD5709">
        <v>1</v>
      </c>
      <c r="AE5709">
        <v>1</v>
      </c>
      <c r="AF5709">
        <v>0</v>
      </c>
      <c r="AG5709">
        <v>41195.879999999997</v>
      </c>
      <c r="AH5709">
        <v>142</v>
      </c>
      <c r="AI5709">
        <v>141</v>
      </c>
      <c r="AJ5709">
        <v>1</v>
      </c>
      <c r="AK5709">
        <v>1</v>
      </c>
      <c r="AL5709">
        <v>1</v>
      </c>
      <c r="AM5709">
        <v>99.3</v>
      </c>
      <c r="AN5709">
        <v>294.2527</v>
      </c>
      <c r="AO5709">
        <v>290.11</v>
      </c>
      <c r="AP5709" s="13">
        <v>45961</v>
      </c>
      <c r="AQ5709">
        <v>14</v>
      </c>
      <c r="AR5709">
        <v>0</v>
      </c>
    </row>
    <row r="5710" spans="1:44" x14ac:dyDescent="0.35">
      <c r="A5710" s="12" t="s">
        <v>6817</v>
      </c>
      <c r="B5710" s="12" t="s">
        <v>670</v>
      </c>
      <c r="C5710" s="12" t="s">
        <v>671</v>
      </c>
      <c r="D5710" s="12" t="s">
        <v>175</v>
      </c>
      <c r="E5710" s="12" t="s">
        <v>142</v>
      </c>
      <c r="F5710">
        <v>2</v>
      </c>
      <c r="G5710">
        <v>9</v>
      </c>
      <c r="H5710">
        <v>0</v>
      </c>
      <c r="I5710" s="12" t="s">
        <v>105</v>
      </c>
      <c r="J5710" s="12" t="s">
        <v>106</v>
      </c>
      <c r="K5710" s="12" t="s">
        <v>81</v>
      </c>
      <c r="L5710" s="12" t="s">
        <v>96</v>
      </c>
      <c r="M5710">
        <v>5.01</v>
      </c>
      <c r="N5710" s="12" t="s">
        <v>107</v>
      </c>
      <c r="O5710" s="12" t="s">
        <v>108</v>
      </c>
      <c r="P5710" s="12" t="s">
        <v>109</v>
      </c>
      <c r="Q5710" s="13">
        <v>45918</v>
      </c>
      <c r="R5710" s="13">
        <v>45970</v>
      </c>
      <c r="S5710">
        <v>2025</v>
      </c>
      <c r="T5710" s="12" t="s">
        <v>6704</v>
      </c>
      <c r="U5710">
        <v>145</v>
      </c>
      <c r="V5710">
        <v>163.3271</v>
      </c>
      <c r="W5710">
        <v>413.95</v>
      </c>
      <c r="X5710">
        <v>0</v>
      </c>
      <c r="Y5710">
        <v>0</v>
      </c>
      <c r="Z5710">
        <v>23682.43</v>
      </c>
      <c r="AA5710">
        <v>24096.38</v>
      </c>
      <c r="AB5710" s="12" t="s">
        <v>201</v>
      </c>
      <c r="AD5710">
        <v>0</v>
      </c>
      <c r="AE5710">
        <v>0</v>
      </c>
      <c r="AH5710">
        <v>145</v>
      </c>
      <c r="AI5710">
        <v>143</v>
      </c>
      <c r="AJ5710">
        <v>2</v>
      </c>
      <c r="AK5710">
        <v>1</v>
      </c>
      <c r="AL5710">
        <v>1</v>
      </c>
      <c r="AM5710">
        <v>98.62</v>
      </c>
      <c r="AN5710">
        <v>168.50620000000001</v>
      </c>
      <c r="AO5710">
        <v>326.64999999999998</v>
      </c>
      <c r="AP5710" s="13">
        <v>45967</v>
      </c>
      <c r="AQ5710">
        <v>-3</v>
      </c>
      <c r="AR5710">
        <v>1</v>
      </c>
    </row>
    <row r="5711" spans="1:44" x14ac:dyDescent="0.35">
      <c r="A5711" s="12" t="s">
        <v>6818</v>
      </c>
      <c r="B5711" s="12" t="s">
        <v>621</v>
      </c>
      <c r="C5711" s="12" t="s">
        <v>622</v>
      </c>
      <c r="D5711" s="12" t="s">
        <v>103</v>
      </c>
      <c r="E5711" s="12" t="s">
        <v>65</v>
      </c>
      <c r="F5711">
        <v>1</v>
      </c>
      <c r="G5711">
        <v>2</v>
      </c>
      <c r="H5711">
        <v>1</v>
      </c>
      <c r="I5711" s="12" t="s">
        <v>486</v>
      </c>
      <c r="J5711" s="12" t="s">
        <v>487</v>
      </c>
      <c r="K5711" s="12" t="s">
        <v>125</v>
      </c>
      <c r="L5711" s="12" t="s">
        <v>69</v>
      </c>
      <c r="M5711">
        <v>36.86</v>
      </c>
      <c r="N5711" s="12" t="s">
        <v>145</v>
      </c>
      <c r="O5711" s="12" t="s">
        <v>146</v>
      </c>
      <c r="P5711" s="12" t="s">
        <v>109</v>
      </c>
      <c r="Q5711" s="13">
        <v>45919</v>
      </c>
      <c r="R5711" s="13">
        <v>45948</v>
      </c>
      <c r="S5711">
        <v>2025</v>
      </c>
      <c r="T5711" s="12" t="s">
        <v>6704</v>
      </c>
      <c r="U5711">
        <v>74</v>
      </c>
      <c r="V5711">
        <v>200.7516</v>
      </c>
      <c r="W5711">
        <v>343.28</v>
      </c>
      <c r="X5711">
        <v>0</v>
      </c>
      <c r="Y5711">
        <v>0</v>
      </c>
      <c r="Z5711">
        <v>14855.62</v>
      </c>
      <c r="AA5711">
        <v>15198.9</v>
      </c>
      <c r="AB5711" s="12" t="s">
        <v>5123</v>
      </c>
      <c r="AC5711">
        <v>200.7516</v>
      </c>
      <c r="AD5711">
        <v>1</v>
      </c>
      <c r="AE5711">
        <v>1</v>
      </c>
      <c r="AF5711">
        <v>0</v>
      </c>
      <c r="AG5711">
        <v>14855.62</v>
      </c>
      <c r="AH5711">
        <v>74</v>
      </c>
      <c r="AI5711">
        <v>74</v>
      </c>
      <c r="AJ5711">
        <v>0</v>
      </c>
      <c r="AK5711">
        <v>1</v>
      </c>
      <c r="AL5711">
        <v>1</v>
      </c>
      <c r="AM5711">
        <v>100</v>
      </c>
      <c r="AN5711">
        <v>205.3905</v>
      </c>
      <c r="AO5711">
        <v>0</v>
      </c>
      <c r="AP5711" s="13">
        <v>45946</v>
      </c>
      <c r="AQ5711">
        <v>-2</v>
      </c>
      <c r="AR5711">
        <v>1</v>
      </c>
    </row>
    <row r="5712" spans="1:44" x14ac:dyDescent="0.35">
      <c r="A5712" s="12" t="s">
        <v>6819</v>
      </c>
      <c r="B5712" s="12" t="s">
        <v>823</v>
      </c>
      <c r="C5712" s="12" t="s">
        <v>824</v>
      </c>
      <c r="D5712" s="12" t="s">
        <v>114</v>
      </c>
      <c r="E5712" s="12" t="s">
        <v>142</v>
      </c>
      <c r="F5712">
        <v>1</v>
      </c>
      <c r="G5712">
        <v>8</v>
      </c>
      <c r="H5712">
        <v>1</v>
      </c>
      <c r="I5712" s="12" t="s">
        <v>515</v>
      </c>
      <c r="J5712" s="12" t="s">
        <v>516</v>
      </c>
      <c r="K5712" s="12" t="s">
        <v>68</v>
      </c>
      <c r="L5712" s="12" t="s">
        <v>134</v>
      </c>
      <c r="M5712">
        <v>3.69</v>
      </c>
      <c r="N5712" s="12" t="s">
        <v>70</v>
      </c>
      <c r="O5712" s="12" t="s">
        <v>71</v>
      </c>
      <c r="P5712" s="12" t="s">
        <v>72</v>
      </c>
      <c r="Q5712" s="13">
        <v>45919</v>
      </c>
      <c r="R5712" s="13">
        <v>45965</v>
      </c>
      <c r="S5712">
        <v>2025</v>
      </c>
      <c r="T5712" s="12" t="s">
        <v>6704</v>
      </c>
      <c r="U5712">
        <v>98</v>
      </c>
      <c r="V5712">
        <v>361.69060000000002</v>
      </c>
      <c r="W5712">
        <v>307.12</v>
      </c>
      <c r="X5712">
        <v>0</v>
      </c>
      <c r="Y5712">
        <v>0</v>
      </c>
      <c r="Z5712">
        <v>35445.68</v>
      </c>
      <c r="AA5712">
        <v>35752.800000000003</v>
      </c>
      <c r="AB5712" s="12" t="s">
        <v>5883</v>
      </c>
      <c r="AC5712">
        <v>361.69060000000002</v>
      </c>
      <c r="AD5712">
        <v>1</v>
      </c>
      <c r="AE5712">
        <v>1</v>
      </c>
      <c r="AF5712">
        <v>0</v>
      </c>
      <c r="AG5712">
        <v>35445.68</v>
      </c>
      <c r="AH5712">
        <v>98</v>
      </c>
      <c r="AI5712">
        <v>96</v>
      </c>
      <c r="AJ5712">
        <v>2</v>
      </c>
      <c r="AK5712">
        <v>1</v>
      </c>
      <c r="AL5712">
        <v>1</v>
      </c>
      <c r="AM5712">
        <v>97.96</v>
      </c>
      <c r="AN5712">
        <v>372.42500000000001</v>
      </c>
      <c r="AO5712">
        <v>723.38</v>
      </c>
      <c r="AP5712" s="13">
        <v>45963</v>
      </c>
      <c r="AQ5712">
        <v>-2</v>
      </c>
      <c r="AR5712">
        <v>1</v>
      </c>
    </row>
    <row r="5713" spans="1:44" x14ac:dyDescent="0.35">
      <c r="A5713" s="12" t="s">
        <v>6820</v>
      </c>
      <c r="B5713" s="12" t="s">
        <v>163</v>
      </c>
      <c r="C5713" s="12" t="s">
        <v>164</v>
      </c>
      <c r="D5713" s="12" t="s">
        <v>64</v>
      </c>
      <c r="E5713" s="12" t="s">
        <v>104</v>
      </c>
      <c r="F5713">
        <v>2</v>
      </c>
      <c r="G5713">
        <v>0</v>
      </c>
      <c r="H5713">
        <v>0</v>
      </c>
      <c r="I5713" s="12" t="s">
        <v>79</v>
      </c>
      <c r="J5713" s="12" t="s">
        <v>80</v>
      </c>
      <c r="K5713" s="12" t="s">
        <v>81</v>
      </c>
      <c r="L5713" s="12" t="s">
        <v>82</v>
      </c>
      <c r="M5713">
        <v>12.07</v>
      </c>
      <c r="N5713" s="12" t="s">
        <v>70</v>
      </c>
      <c r="O5713" s="12" t="s">
        <v>71</v>
      </c>
      <c r="P5713" s="12" t="s">
        <v>72</v>
      </c>
      <c r="Q5713" s="13">
        <v>45922</v>
      </c>
      <c r="R5713" s="13">
        <v>45934</v>
      </c>
      <c r="S5713">
        <v>2025</v>
      </c>
      <c r="T5713" s="12" t="s">
        <v>6704</v>
      </c>
      <c r="U5713">
        <v>139</v>
      </c>
      <c r="V5713">
        <v>10.482900000000001</v>
      </c>
      <c r="W5713">
        <v>14.99</v>
      </c>
      <c r="X5713">
        <v>50.72</v>
      </c>
      <c r="Y5713">
        <v>1</v>
      </c>
      <c r="Z5713">
        <v>1457.12</v>
      </c>
      <c r="AA5713">
        <v>1522.83</v>
      </c>
      <c r="AB5713" s="12" t="s">
        <v>5303</v>
      </c>
      <c r="AC5713">
        <v>10.482900000000001</v>
      </c>
      <c r="AD5713">
        <v>1</v>
      </c>
      <c r="AE5713">
        <v>1</v>
      </c>
      <c r="AF5713">
        <v>0</v>
      </c>
      <c r="AG5713">
        <v>1457.12</v>
      </c>
      <c r="AH5713">
        <v>139</v>
      </c>
      <c r="AI5713">
        <v>137</v>
      </c>
      <c r="AJ5713">
        <v>2</v>
      </c>
      <c r="AK5713">
        <v>1</v>
      </c>
      <c r="AL5713">
        <v>1</v>
      </c>
      <c r="AM5713">
        <v>98.56</v>
      </c>
      <c r="AN5713">
        <v>11.115600000000001</v>
      </c>
      <c r="AO5713">
        <v>20.97</v>
      </c>
      <c r="AP5713" s="13">
        <v>45931</v>
      </c>
      <c r="AQ5713">
        <v>-3</v>
      </c>
      <c r="AR5713">
        <v>1</v>
      </c>
    </row>
    <row r="5714" spans="1:44" x14ac:dyDescent="0.35">
      <c r="A5714" s="12" t="s">
        <v>6821</v>
      </c>
      <c r="B5714" s="12" t="s">
        <v>503</v>
      </c>
      <c r="C5714" s="12" t="s">
        <v>504</v>
      </c>
      <c r="D5714" s="12" t="s">
        <v>103</v>
      </c>
      <c r="E5714" s="12" t="s">
        <v>104</v>
      </c>
      <c r="F5714">
        <v>3</v>
      </c>
      <c r="G5714">
        <v>1</v>
      </c>
      <c r="H5714">
        <v>0</v>
      </c>
      <c r="I5714" s="12" t="s">
        <v>94</v>
      </c>
      <c r="J5714" s="12" t="s">
        <v>95</v>
      </c>
      <c r="K5714" s="12" t="s">
        <v>81</v>
      </c>
      <c r="L5714" s="12" t="s">
        <v>96</v>
      </c>
      <c r="M5714">
        <v>4.8099999999999996</v>
      </c>
      <c r="N5714" s="12" t="s">
        <v>145</v>
      </c>
      <c r="O5714" s="12" t="s">
        <v>146</v>
      </c>
      <c r="P5714" s="12" t="s">
        <v>109</v>
      </c>
      <c r="Q5714" s="13">
        <v>45922</v>
      </c>
      <c r="R5714" s="13">
        <v>45936</v>
      </c>
      <c r="S5714">
        <v>2025</v>
      </c>
      <c r="T5714" s="12" t="s">
        <v>6704</v>
      </c>
      <c r="U5714">
        <v>27</v>
      </c>
      <c r="V5714">
        <v>179.6327</v>
      </c>
      <c r="W5714">
        <v>85.41</v>
      </c>
      <c r="X5714">
        <v>0</v>
      </c>
      <c r="Y5714">
        <v>0</v>
      </c>
      <c r="Z5714">
        <v>4850.08</v>
      </c>
      <c r="AA5714">
        <v>4935.49</v>
      </c>
      <c r="AB5714" s="12" t="s">
        <v>201</v>
      </c>
      <c r="AD5714">
        <v>0</v>
      </c>
      <c r="AE5714">
        <v>0</v>
      </c>
      <c r="AH5714">
        <v>27</v>
      </c>
      <c r="AI5714">
        <v>27</v>
      </c>
      <c r="AJ5714">
        <v>0</v>
      </c>
      <c r="AK5714">
        <v>1</v>
      </c>
      <c r="AL5714">
        <v>1</v>
      </c>
      <c r="AM5714">
        <v>100</v>
      </c>
      <c r="AN5714">
        <v>182.79599999999999</v>
      </c>
      <c r="AO5714">
        <v>0</v>
      </c>
      <c r="AP5714" s="13">
        <v>45935</v>
      </c>
      <c r="AQ5714">
        <v>-1</v>
      </c>
      <c r="AR5714">
        <v>1</v>
      </c>
    </row>
    <row r="5715" spans="1:44" x14ac:dyDescent="0.35">
      <c r="A5715" s="12" t="s">
        <v>6822</v>
      </c>
      <c r="B5715" s="12" t="s">
        <v>613</v>
      </c>
      <c r="C5715" s="12" t="s">
        <v>614</v>
      </c>
      <c r="D5715" s="12" t="s">
        <v>130</v>
      </c>
      <c r="E5715" s="12" t="s">
        <v>104</v>
      </c>
      <c r="F5715">
        <v>3</v>
      </c>
      <c r="G5715">
        <v>1</v>
      </c>
      <c r="H5715">
        <v>0</v>
      </c>
      <c r="I5715" s="12" t="s">
        <v>66</v>
      </c>
      <c r="J5715" s="12" t="s">
        <v>67</v>
      </c>
      <c r="K5715" s="12" t="s">
        <v>68</v>
      </c>
      <c r="L5715" s="12" t="s">
        <v>69</v>
      </c>
      <c r="M5715">
        <v>17.66</v>
      </c>
      <c r="N5715" s="12" t="s">
        <v>135</v>
      </c>
      <c r="O5715" s="12" t="s">
        <v>136</v>
      </c>
      <c r="P5715" s="12" t="s">
        <v>137</v>
      </c>
      <c r="Q5715" s="13">
        <v>45922</v>
      </c>
      <c r="R5715" s="13">
        <v>45935</v>
      </c>
      <c r="S5715">
        <v>2025</v>
      </c>
      <c r="T5715" s="12" t="s">
        <v>6704</v>
      </c>
      <c r="U5715">
        <v>25</v>
      </c>
      <c r="V5715">
        <v>154.3064</v>
      </c>
      <c r="W5715">
        <v>99.89</v>
      </c>
      <c r="X5715">
        <v>0</v>
      </c>
      <c r="Y5715">
        <v>0</v>
      </c>
      <c r="Z5715">
        <v>3857.66</v>
      </c>
      <c r="AA5715">
        <v>3957.55</v>
      </c>
      <c r="AB5715" s="12" t="s">
        <v>5538</v>
      </c>
      <c r="AC5715">
        <v>154.3064</v>
      </c>
      <c r="AD5715">
        <v>1</v>
      </c>
      <c r="AE5715">
        <v>1</v>
      </c>
      <c r="AF5715">
        <v>0</v>
      </c>
      <c r="AG5715">
        <v>3857.66</v>
      </c>
      <c r="AH5715">
        <v>25</v>
      </c>
      <c r="AI5715">
        <v>25</v>
      </c>
      <c r="AJ5715">
        <v>0</v>
      </c>
      <c r="AK5715">
        <v>1</v>
      </c>
      <c r="AL5715">
        <v>1</v>
      </c>
      <c r="AM5715">
        <v>100</v>
      </c>
      <c r="AN5715">
        <v>158.30199999999999</v>
      </c>
      <c r="AO5715">
        <v>0</v>
      </c>
      <c r="AP5715" s="13">
        <v>45934</v>
      </c>
      <c r="AQ5715">
        <v>-1</v>
      </c>
      <c r="AR5715">
        <v>1</v>
      </c>
    </row>
    <row r="5716" spans="1:44" x14ac:dyDescent="0.35">
      <c r="A5716" s="12" t="s">
        <v>6823</v>
      </c>
      <c r="B5716" s="12" t="s">
        <v>909</v>
      </c>
      <c r="C5716" s="12" t="s">
        <v>910</v>
      </c>
      <c r="D5716" s="12" t="s">
        <v>269</v>
      </c>
      <c r="E5716" s="12" t="s">
        <v>65</v>
      </c>
      <c r="F5716">
        <v>3</v>
      </c>
      <c r="G5716">
        <v>4</v>
      </c>
      <c r="H5716">
        <v>0</v>
      </c>
      <c r="I5716" s="12" t="s">
        <v>123</v>
      </c>
      <c r="J5716" s="12" t="s">
        <v>124</v>
      </c>
      <c r="K5716" s="12" t="s">
        <v>125</v>
      </c>
      <c r="L5716" s="12" t="s">
        <v>82</v>
      </c>
      <c r="M5716">
        <v>6.75</v>
      </c>
      <c r="N5716" s="12" t="s">
        <v>159</v>
      </c>
      <c r="O5716" s="12" t="s">
        <v>160</v>
      </c>
      <c r="P5716" s="12" t="s">
        <v>137</v>
      </c>
      <c r="Q5716" s="13">
        <v>45922</v>
      </c>
      <c r="R5716" s="13">
        <v>45957</v>
      </c>
      <c r="S5716">
        <v>2025</v>
      </c>
      <c r="T5716" s="12" t="s">
        <v>6704</v>
      </c>
      <c r="U5716">
        <v>126</v>
      </c>
      <c r="V5716">
        <v>105.2573</v>
      </c>
      <c r="W5716">
        <v>124.82</v>
      </c>
      <c r="X5716">
        <v>0</v>
      </c>
      <c r="Y5716">
        <v>0</v>
      </c>
      <c r="Z5716">
        <v>13262.42</v>
      </c>
      <c r="AA5716">
        <v>13387.24</v>
      </c>
      <c r="AB5716" s="12" t="s">
        <v>201</v>
      </c>
      <c r="AD5716">
        <v>0</v>
      </c>
      <c r="AE5716">
        <v>0</v>
      </c>
      <c r="AH5716">
        <v>126</v>
      </c>
      <c r="AI5716">
        <v>125</v>
      </c>
      <c r="AJ5716">
        <v>1</v>
      </c>
      <c r="AK5716">
        <v>1</v>
      </c>
      <c r="AL5716">
        <v>1</v>
      </c>
      <c r="AM5716">
        <v>99.21</v>
      </c>
      <c r="AN5716">
        <v>107.0979</v>
      </c>
      <c r="AO5716">
        <v>105.26</v>
      </c>
      <c r="AP5716" s="13">
        <v>45962</v>
      </c>
      <c r="AQ5716">
        <v>5</v>
      </c>
      <c r="AR5716">
        <v>0</v>
      </c>
    </row>
    <row r="5717" spans="1:44" x14ac:dyDescent="0.35">
      <c r="A5717" s="12" t="s">
        <v>6824</v>
      </c>
      <c r="B5717" s="12" t="s">
        <v>451</v>
      </c>
      <c r="C5717" s="12" t="s">
        <v>452</v>
      </c>
      <c r="D5717" s="12" t="s">
        <v>175</v>
      </c>
      <c r="E5717" s="12" t="s">
        <v>104</v>
      </c>
      <c r="F5717">
        <v>3</v>
      </c>
      <c r="G5717">
        <v>1</v>
      </c>
      <c r="H5717">
        <v>0</v>
      </c>
      <c r="I5717" s="12" t="s">
        <v>359</v>
      </c>
      <c r="J5717" s="12" t="s">
        <v>360</v>
      </c>
      <c r="K5717" s="12" t="s">
        <v>133</v>
      </c>
      <c r="L5717" s="12" t="s">
        <v>82</v>
      </c>
      <c r="M5717">
        <v>12.65</v>
      </c>
      <c r="N5717" s="12" t="s">
        <v>145</v>
      </c>
      <c r="O5717" s="12" t="s">
        <v>146</v>
      </c>
      <c r="P5717" s="12" t="s">
        <v>109</v>
      </c>
      <c r="Q5717" s="13">
        <v>45922</v>
      </c>
      <c r="R5717" s="13">
        <v>45951</v>
      </c>
      <c r="S5717">
        <v>2025</v>
      </c>
      <c r="T5717" s="12" t="s">
        <v>6704</v>
      </c>
      <c r="U5717">
        <v>144</v>
      </c>
      <c r="V5717">
        <v>216.9588</v>
      </c>
      <c r="W5717">
        <v>627.76</v>
      </c>
      <c r="X5717">
        <v>961.86</v>
      </c>
      <c r="Y5717">
        <v>1</v>
      </c>
      <c r="Z5717">
        <v>31242.07</v>
      </c>
      <c r="AA5717">
        <v>32831.69</v>
      </c>
      <c r="AB5717" s="12" t="s">
        <v>5244</v>
      </c>
      <c r="AC5717">
        <v>216.9588</v>
      </c>
      <c r="AD5717">
        <v>1</v>
      </c>
      <c r="AE5717">
        <v>1</v>
      </c>
      <c r="AF5717">
        <v>0</v>
      </c>
      <c r="AG5717">
        <v>31242.07</v>
      </c>
      <c r="AH5717">
        <v>144</v>
      </c>
      <c r="AI5717">
        <v>143</v>
      </c>
      <c r="AJ5717">
        <v>1</v>
      </c>
      <c r="AK5717">
        <v>1</v>
      </c>
      <c r="AL5717">
        <v>1</v>
      </c>
      <c r="AM5717">
        <v>99.31</v>
      </c>
      <c r="AN5717">
        <v>229.59219999999999</v>
      </c>
      <c r="AO5717">
        <v>216.96</v>
      </c>
      <c r="AP5717" s="13">
        <v>45950</v>
      </c>
      <c r="AQ5717">
        <v>-1</v>
      </c>
      <c r="AR5717">
        <v>1</v>
      </c>
    </row>
    <row r="5718" spans="1:44" x14ac:dyDescent="0.35">
      <c r="A5718" s="12" t="s">
        <v>6825</v>
      </c>
      <c r="B5718" s="12" t="s">
        <v>331</v>
      </c>
      <c r="C5718" s="12" t="s">
        <v>332</v>
      </c>
      <c r="D5718" s="12" t="s">
        <v>122</v>
      </c>
      <c r="E5718" s="12" t="s">
        <v>142</v>
      </c>
      <c r="F5718">
        <v>3</v>
      </c>
      <c r="G5718">
        <v>11</v>
      </c>
      <c r="H5718">
        <v>0</v>
      </c>
      <c r="I5718" s="12" t="s">
        <v>263</v>
      </c>
      <c r="J5718" s="12" t="s">
        <v>264</v>
      </c>
      <c r="K5718" s="12" t="s">
        <v>125</v>
      </c>
      <c r="L5718" s="12" t="s">
        <v>82</v>
      </c>
      <c r="M5718">
        <v>10.210000000000001</v>
      </c>
      <c r="N5718" s="12" t="s">
        <v>97</v>
      </c>
      <c r="O5718" s="12" t="s">
        <v>98</v>
      </c>
      <c r="P5718" s="12" t="s">
        <v>72</v>
      </c>
      <c r="Q5718" s="13">
        <v>45922</v>
      </c>
      <c r="R5718" s="13">
        <v>45963</v>
      </c>
      <c r="S5718">
        <v>2025</v>
      </c>
      <c r="T5718" s="12" t="s">
        <v>6704</v>
      </c>
      <c r="U5718">
        <v>829</v>
      </c>
      <c r="V5718">
        <v>23.006</v>
      </c>
      <c r="W5718">
        <v>174.89</v>
      </c>
      <c r="X5718">
        <v>0</v>
      </c>
      <c r="Y5718">
        <v>0</v>
      </c>
      <c r="Z5718">
        <v>19071.97</v>
      </c>
      <c r="AA5718">
        <v>19246.86</v>
      </c>
      <c r="AB5718" s="12" t="s">
        <v>5234</v>
      </c>
      <c r="AC5718">
        <v>23.006</v>
      </c>
      <c r="AD5718">
        <v>1</v>
      </c>
      <c r="AE5718">
        <v>1</v>
      </c>
      <c r="AF5718">
        <v>0</v>
      </c>
      <c r="AG5718">
        <v>19071.97</v>
      </c>
      <c r="AH5718">
        <v>829</v>
      </c>
      <c r="AI5718">
        <v>824</v>
      </c>
      <c r="AJ5718">
        <v>5</v>
      </c>
      <c r="AK5718">
        <v>1</v>
      </c>
      <c r="AL5718">
        <v>1</v>
      </c>
      <c r="AM5718">
        <v>99.4</v>
      </c>
      <c r="AN5718">
        <v>23.357800000000001</v>
      </c>
      <c r="AO5718">
        <v>115.03</v>
      </c>
      <c r="AP5718" s="13">
        <v>45963</v>
      </c>
      <c r="AQ5718">
        <v>0</v>
      </c>
      <c r="AR5718">
        <v>1</v>
      </c>
    </row>
    <row r="5719" spans="1:44" x14ac:dyDescent="0.35">
      <c r="A5719" s="12" t="s">
        <v>6826</v>
      </c>
      <c r="B5719" s="12" t="s">
        <v>494</v>
      </c>
      <c r="C5719" s="12" t="s">
        <v>495</v>
      </c>
      <c r="D5719" s="12" t="s">
        <v>175</v>
      </c>
      <c r="E5719" s="12" t="s">
        <v>65</v>
      </c>
      <c r="F5719">
        <v>2</v>
      </c>
      <c r="G5719">
        <v>3</v>
      </c>
      <c r="H5719">
        <v>0</v>
      </c>
      <c r="I5719" s="12" t="s">
        <v>515</v>
      </c>
      <c r="J5719" s="12" t="s">
        <v>516</v>
      </c>
      <c r="K5719" s="12" t="s">
        <v>68</v>
      </c>
      <c r="L5719" s="12" t="s">
        <v>134</v>
      </c>
      <c r="M5719">
        <v>3.69</v>
      </c>
      <c r="N5719" s="12" t="s">
        <v>107</v>
      </c>
      <c r="O5719" s="12" t="s">
        <v>108</v>
      </c>
      <c r="P5719" s="12" t="s">
        <v>109</v>
      </c>
      <c r="Q5719" s="13">
        <v>45922</v>
      </c>
      <c r="R5719" s="13">
        <v>45953</v>
      </c>
      <c r="S5719">
        <v>2025</v>
      </c>
      <c r="T5719" s="12" t="s">
        <v>6704</v>
      </c>
      <c r="U5719">
        <v>92</v>
      </c>
      <c r="V5719">
        <v>144.23689999999999</v>
      </c>
      <c r="W5719">
        <v>237.4</v>
      </c>
      <c r="X5719">
        <v>0</v>
      </c>
      <c r="Y5719">
        <v>0</v>
      </c>
      <c r="Z5719">
        <v>13269.79</v>
      </c>
      <c r="AA5719">
        <v>13507.19</v>
      </c>
      <c r="AB5719" s="12" t="s">
        <v>5442</v>
      </c>
      <c r="AC5719">
        <v>153.36940000000001</v>
      </c>
      <c r="AD5719">
        <v>1</v>
      </c>
      <c r="AE5719">
        <v>1</v>
      </c>
      <c r="AF5719">
        <v>-840.19</v>
      </c>
      <c r="AG5719">
        <v>14109.98</v>
      </c>
      <c r="AH5719">
        <v>92</v>
      </c>
      <c r="AI5719">
        <v>91</v>
      </c>
      <c r="AJ5719">
        <v>1</v>
      </c>
      <c r="AK5719">
        <v>1</v>
      </c>
      <c r="AL5719">
        <v>1</v>
      </c>
      <c r="AM5719">
        <v>98.91</v>
      </c>
      <c r="AN5719">
        <v>148.4307</v>
      </c>
      <c r="AO5719">
        <v>144.24</v>
      </c>
      <c r="AP5719" s="13">
        <v>45959</v>
      </c>
      <c r="AQ5719">
        <v>6</v>
      </c>
      <c r="AR5719">
        <v>0</v>
      </c>
    </row>
    <row r="5720" spans="1:44" x14ac:dyDescent="0.35">
      <c r="A5720" s="12" t="s">
        <v>6827</v>
      </c>
      <c r="B5720" s="12" t="s">
        <v>221</v>
      </c>
      <c r="C5720" s="12" t="s">
        <v>222</v>
      </c>
      <c r="D5720" s="12" t="s">
        <v>114</v>
      </c>
      <c r="E5720" s="12" t="s">
        <v>142</v>
      </c>
      <c r="F5720">
        <v>3</v>
      </c>
      <c r="G5720">
        <v>11</v>
      </c>
      <c r="H5720">
        <v>0</v>
      </c>
      <c r="I5720" s="12" t="s">
        <v>105</v>
      </c>
      <c r="J5720" s="12" t="s">
        <v>106</v>
      </c>
      <c r="K5720" s="12" t="s">
        <v>81</v>
      </c>
      <c r="L5720" s="12" t="s">
        <v>96</v>
      </c>
      <c r="M5720">
        <v>5.01</v>
      </c>
      <c r="N5720" s="12" t="s">
        <v>70</v>
      </c>
      <c r="O5720" s="12" t="s">
        <v>71</v>
      </c>
      <c r="P5720" s="12" t="s">
        <v>72</v>
      </c>
      <c r="Q5720" s="13">
        <v>45922</v>
      </c>
      <c r="R5720" s="13">
        <v>45971</v>
      </c>
      <c r="S5720">
        <v>2025</v>
      </c>
      <c r="T5720" s="12" t="s">
        <v>6704</v>
      </c>
      <c r="U5720">
        <v>121</v>
      </c>
      <c r="V5720">
        <v>251.97389999999999</v>
      </c>
      <c r="W5720">
        <v>285.95</v>
      </c>
      <c r="X5720">
        <v>0</v>
      </c>
      <c r="Y5720">
        <v>0</v>
      </c>
      <c r="Z5720">
        <v>30488.84</v>
      </c>
      <c r="AA5720">
        <v>30774.79</v>
      </c>
      <c r="AB5720" s="12" t="s">
        <v>201</v>
      </c>
      <c r="AD5720">
        <v>0</v>
      </c>
      <c r="AE5720">
        <v>0</v>
      </c>
      <c r="AH5720">
        <v>121</v>
      </c>
      <c r="AI5720">
        <v>120</v>
      </c>
      <c r="AJ5720">
        <v>1</v>
      </c>
      <c r="AK5720">
        <v>1</v>
      </c>
      <c r="AL5720">
        <v>1</v>
      </c>
      <c r="AM5720">
        <v>99.17</v>
      </c>
      <c r="AN5720">
        <v>256.45659999999998</v>
      </c>
      <c r="AO5720">
        <v>251.97</v>
      </c>
      <c r="AP5720" s="13">
        <v>45972</v>
      </c>
      <c r="AQ5720">
        <v>1</v>
      </c>
      <c r="AR5720">
        <v>0</v>
      </c>
    </row>
    <row r="5721" spans="1:44" x14ac:dyDescent="0.35">
      <c r="A5721" s="12" t="s">
        <v>6828</v>
      </c>
      <c r="B5721" s="12" t="s">
        <v>238</v>
      </c>
      <c r="C5721" s="12" t="s">
        <v>239</v>
      </c>
      <c r="D5721" s="12" t="s">
        <v>122</v>
      </c>
      <c r="E5721" s="12" t="s">
        <v>65</v>
      </c>
      <c r="F5721">
        <v>3</v>
      </c>
      <c r="G5721">
        <v>4</v>
      </c>
      <c r="H5721">
        <v>0</v>
      </c>
      <c r="I5721" s="12" t="s">
        <v>243</v>
      </c>
      <c r="J5721" s="12" t="s">
        <v>244</v>
      </c>
      <c r="K5721" s="12" t="s">
        <v>81</v>
      </c>
      <c r="L5721" s="12" t="s">
        <v>82</v>
      </c>
      <c r="M5721">
        <v>9.2200000000000006</v>
      </c>
      <c r="N5721" s="12" t="s">
        <v>97</v>
      </c>
      <c r="O5721" s="12" t="s">
        <v>98</v>
      </c>
      <c r="P5721" s="12" t="s">
        <v>72</v>
      </c>
      <c r="Q5721" s="13">
        <v>45922</v>
      </c>
      <c r="R5721" s="13">
        <v>45943</v>
      </c>
      <c r="S5721">
        <v>2025</v>
      </c>
      <c r="T5721" s="12" t="s">
        <v>6704</v>
      </c>
      <c r="U5721">
        <v>277</v>
      </c>
      <c r="V5721">
        <v>35.924999999999997</v>
      </c>
      <c r="W5721">
        <v>107.38</v>
      </c>
      <c r="X5721">
        <v>0</v>
      </c>
      <c r="Y5721">
        <v>0</v>
      </c>
      <c r="Z5721">
        <v>9951.23</v>
      </c>
      <c r="AA5721">
        <v>10058.61</v>
      </c>
      <c r="AB5721" s="12" t="s">
        <v>6226</v>
      </c>
      <c r="AC5721">
        <v>35.924999999999997</v>
      </c>
      <c r="AD5721">
        <v>1</v>
      </c>
      <c r="AE5721">
        <v>1</v>
      </c>
      <c r="AF5721">
        <v>0</v>
      </c>
      <c r="AG5721">
        <v>9951.23</v>
      </c>
      <c r="AH5721">
        <v>277</v>
      </c>
      <c r="AI5721">
        <v>276</v>
      </c>
      <c r="AJ5721">
        <v>1</v>
      </c>
      <c r="AK5721">
        <v>1</v>
      </c>
      <c r="AL5721">
        <v>1</v>
      </c>
      <c r="AM5721">
        <v>99.64</v>
      </c>
      <c r="AN5721">
        <v>36.444200000000002</v>
      </c>
      <c r="AO5721">
        <v>35.93</v>
      </c>
      <c r="AP5721" s="13">
        <v>45941</v>
      </c>
      <c r="AQ5721">
        <v>-2</v>
      </c>
      <c r="AR5721">
        <v>1</v>
      </c>
    </row>
    <row r="5722" spans="1:44" x14ac:dyDescent="0.35">
      <c r="A5722" s="12" t="s">
        <v>6829</v>
      </c>
      <c r="B5722" s="12" t="s">
        <v>680</v>
      </c>
      <c r="C5722" s="12" t="s">
        <v>681</v>
      </c>
      <c r="D5722" s="12" t="s">
        <v>122</v>
      </c>
      <c r="E5722" s="12" t="s">
        <v>104</v>
      </c>
      <c r="F5722">
        <v>3</v>
      </c>
      <c r="G5722">
        <v>1</v>
      </c>
      <c r="H5722">
        <v>0</v>
      </c>
      <c r="I5722" s="12" t="s">
        <v>227</v>
      </c>
      <c r="J5722" s="12" t="s">
        <v>228</v>
      </c>
      <c r="K5722" s="12" t="s">
        <v>89</v>
      </c>
      <c r="L5722" s="12" t="s">
        <v>96</v>
      </c>
      <c r="M5722">
        <v>9.15</v>
      </c>
      <c r="N5722" s="12" t="s">
        <v>70</v>
      </c>
      <c r="O5722" s="12" t="s">
        <v>71</v>
      </c>
      <c r="P5722" s="12" t="s">
        <v>72</v>
      </c>
      <c r="Q5722" s="13">
        <v>45923</v>
      </c>
      <c r="R5722" s="13">
        <v>45936</v>
      </c>
      <c r="S5722">
        <v>2025</v>
      </c>
      <c r="T5722" s="12" t="s">
        <v>6704</v>
      </c>
      <c r="U5722">
        <v>388</v>
      </c>
      <c r="V5722">
        <v>23.422699999999999</v>
      </c>
      <c r="W5722">
        <v>89.92</v>
      </c>
      <c r="X5722">
        <v>0</v>
      </c>
      <c r="Y5722">
        <v>0</v>
      </c>
      <c r="Z5722">
        <v>9088.01</v>
      </c>
      <c r="AA5722">
        <v>9177.93</v>
      </c>
      <c r="AB5722" s="12" t="s">
        <v>201</v>
      </c>
      <c r="AD5722">
        <v>0</v>
      </c>
      <c r="AE5722">
        <v>0</v>
      </c>
      <c r="AH5722">
        <v>388</v>
      </c>
      <c r="AI5722">
        <v>384</v>
      </c>
      <c r="AJ5722">
        <v>4</v>
      </c>
      <c r="AK5722">
        <v>1</v>
      </c>
      <c r="AL5722">
        <v>1</v>
      </c>
      <c r="AM5722">
        <v>98.97</v>
      </c>
      <c r="AN5722">
        <v>23.9009</v>
      </c>
      <c r="AO5722">
        <v>93.69</v>
      </c>
      <c r="AP5722" s="13">
        <v>45939</v>
      </c>
      <c r="AQ5722">
        <v>3</v>
      </c>
      <c r="AR5722">
        <v>0</v>
      </c>
    </row>
    <row r="5723" spans="1:44" x14ac:dyDescent="0.35">
      <c r="A5723" s="12" t="s">
        <v>6830</v>
      </c>
      <c r="B5723" s="12" t="s">
        <v>544</v>
      </c>
      <c r="C5723" s="12" t="s">
        <v>545</v>
      </c>
      <c r="D5723" s="12" t="s">
        <v>175</v>
      </c>
      <c r="E5723" s="12" t="s">
        <v>65</v>
      </c>
      <c r="F5723">
        <v>3</v>
      </c>
      <c r="G5723">
        <v>5</v>
      </c>
      <c r="H5723">
        <v>0</v>
      </c>
      <c r="I5723" s="12" t="s">
        <v>66</v>
      </c>
      <c r="J5723" s="12" t="s">
        <v>67</v>
      </c>
      <c r="K5723" s="12" t="s">
        <v>68</v>
      </c>
      <c r="L5723" s="12" t="s">
        <v>69</v>
      </c>
      <c r="M5723">
        <v>17.66</v>
      </c>
      <c r="N5723" s="12" t="s">
        <v>107</v>
      </c>
      <c r="O5723" s="12" t="s">
        <v>108</v>
      </c>
      <c r="P5723" s="12" t="s">
        <v>109</v>
      </c>
      <c r="Q5723" s="13">
        <v>45923</v>
      </c>
      <c r="R5723" s="13">
        <v>45959</v>
      </c>
      <c r="S5723">
        <v>2025</v>
      </c>
      <c r="T5723" s="12" t="s">
        <v>6704</v>
      </c>
      <c r="U5723">
        <v>129</v>
      </c>
      <c r="V5723">
        <v>151.203</v>
      </c>
      <c r="W5723">
        <v>311.44</v>
      </c>
      <c r="X5723">
        <v>0</v>
      </c>
      <c r="Y5723">
        <v>0</v>
      </c>
      <c r="Z5723">
        <v>19505.189999999999</v>
      </c>
      <c r="AA5723">
        <v>19816.63</v>
      </c>
      <c r="AB5723" s="12" t="s">
        <v>201</v>
      </c>
      <c r="AD5723">
        <v>0</v>
      </c>
      <c r="AE5723">
        <v>0</v>
      </c>
      <c r="AH5723">
        <v>129</v>
      </c>
      <c r="AI5723">
        <v>128</v>
      </c>
      <c r="AJ5723">
        <v>1</v>
      </c>
      <c r="AK5723">
        <v>1</v>
      </c>
      <c r="AL5723">
        <v>1</v>
      </c>
      <c r="AM5723">
        <v>99.22</v>
      </c>
      <c r="AN5723">
        <v>154.81739999999999</v>
      </c>
      <c r="AO5723">
        <v>151.19999999999999</v>
      </c>
      <c r="AP5723" s="13">
        <v>45959</v>
      </c>
      <c r="AQ5723">
        <v>0</v>
      </c>
      <c r="AR5723">
        <v>1</v>
      </c>
    </row>
    <row r="5724" spans="1:44" x14ac:dyDescent="0.35">
      <c r="A5724" s="12" t="s">
        <v>6831</v>
      </c>
      <c r="B5724" s="12" t="s">
        <v>1034</v>
      </c>
      <c r="C5724" s="12" t="s">
        <v>1035</v>
      </c>
      <c r="D5724" s="12" t="s">
        <v>64</v>
      </c>
      <c r="E5724" s="12" t="s">
        <v>104</v>
      </c>
      <c r="F5724">
        <v>2</v>
      </c>
      <c r="G5724">
        <v>0</v>
      </c>
      <c r="H5724">
        <v>0</v>
      </c>
      <c r="I5724" s="12" t="s">
        <v>157</v>
      </c>
      <c r="J5724" s="12" t="s">
        <v>158</v>
      </c>
      <c r="K5724" s="12" t="s">
        <v>117</v>
      </c>
      <c r="L5724" s="12" t="s">
        <v>96</v>
      </c>
      <c r="M5724">
        <v>4.72</v>
      </c>
      <c r="N5724" s="12" t="s">
        <v>97</v>
      </c>
      <c r="O5724" s="12" t="s">
        <v>98</v>
      </c>
      <c r="P5724" s="12" t="s">
        <v>72</v>
      </c>
      <c r="Q5724" s="13">
        <v>45923</v>
      </c>
      <c r="R5724" s="13">
        <v>45936</v>
      </c>
      <c r="S5724">
        <v>2025</v>
      </c>
      <c r="T5724" s="12" t="s">
        <v>6704</v>
      </c>
      <c r="U5724">
        <v>176</v>
      </c>
      <c r="V5724">
        <v>8.5963999999999992</v>
      </c>
      <c r="W5724">
        <v>15.99</v>
      </c>
      <c r="X5724">
        <v>0</v>
      </c>
      <c r="Y5724">
        <v>0</v>
      </c>
      <c r="Z5724">
        <v>1512.97</v>
      </c>
      <c r="AA5724">
        <v>1528.96</v>
      </c>
      <c r="AB5724" s="12" t="s">
        <v>5798</v>
      </c>
      <c r="AC5724">
        <v>8.5963999999999992</v>
      </c>
      <c r="AD5724">
        <v>1</v>
      </c>
      <c r="AE5724">
        <v>1</v>
      </c>
      <c r="AF5724">
        <v>0</v>
      </c>
      <c r="AG5724">
        <v>1512.97</v>
      </c>
      <c r="AH5724">
        <v>176</v>
      </c>
      <c r="AI5724">
        <v>175</v>
      </c>
      <c r="AJ5724">
        <v>1</v>
      </c>
      <c r="AK5724">
        <v>1</v>
      </c>
      <c r="AL5724">
        <v>1</v>
      </c>
      <c r="AM5724">
        <v>99.43</v>
      </c>
      <c r="AN5724">
        <v>8.7369000000000003</v>
      </c>
      <c r="AO5724">
        <v>8.6</v>
      </c>
      <c r="AP5724" s="13">
        <v>45936</v>
      </c>
      <c r="AQ5724">
        <v>0</v>
      </c>
      <c r="AR5724">
        <v>1</v>
      </c>
    </row>
    <row r="5725" spans="1:44" x14ac:dyDescent="0.35">
      <c r="A5725" s="12" t="s">
        <v>6832</v>
      </c>
      <c r="B5725" s="12" t="s">
        <v>503</v>
      </c>
      <c r="C5725" s="12" t="s">
        <v>504</v>
      </c>
      <c r="D5725" s="12" t="s">
        <v>103</v>
      </c>
      <c r="E5725" s="12" t="s">
        <v>104</v>
      </c>
      <c r="F5725">
        <v>3</v>
      </c>
      <c r="G5725">
        <v>1</v>
      </c>
      <c r="H5725">
        <v>0</v>
      </c>
      <c r="I5725" s="12" t="s">
        <v>209</v>
      </c>
      <c r="J5725" s="12" t="s">
        <v>210</v>
      </c>
      <c r="K5725" s="12" t="s">
        <v>133</v>
      </c>
      <c r="L5725" s="12" t="s">
        <v>96</v>
      </c>
      <c r="M5725">
        <v>7.82</v>
      </c>
      <c r="N5725" s="12" t="s">
        <v>107</v>
      </c>
      <c r="O5725" s="12" t="s">
        <v>108</v>
      </c>
      <c r="P5725" s="12" t="s">
        <v>109</v>
      </c>
      <c r="Q5725" s="13">
        <v>45923</v>
      </c>
      <c r="R5725" s="13">
        <v>45935</v>
      </c>
      <c r="S5725">
        <v>2025</v>
      </c>
      <c r="T5725" s="12" t="s">
        <v>6704</v>
      </c>
      <c r="U5725">
        <v>11</v>
      </c>
      <c r="V5725">
        <v>161.3657</v>
      </c>
      <c r="W5725">
        <v>28.23</v>
      </c>
      <c r="X5725">
        <v>55.31</v>
      </c>
      <c r="Y5725">
        <v>1</v>
      </c>
      <c r="Z5725">
        <v>1775.02</v>
      </c>
      <c r="AA5725">
        <v>1858.56</v>
      </c>
      <c r="AB5725" s="12" t="s">
        <v>201</v>
      </c>
      <c r="AD5725">
        <v>0</v>
      </c>
      <c r="AE5725">
        <v>0</v>
      </c>
      <c r="AH5725">
        <v>11</v>
      </c>
      <c r="AI5725">
        <v>11</v>
      </c>
      <c r="AJ5725">
        <v>0</v>
      </c>
      <c r="AK5725">
        <v>1</v>
      </c>
      <c r="AL5725">
        <v>1</v>
      </c>
      <c r="AM5725">
        <v>100</v>
      </c>
      <c r="AN5725">
        <v>168.96019999999999</v>
      </c>
      <c r="AO5725">
        <v>0</v>
      </c>
      <c r="AP5725" s="13">
        <v>45943</v>
      </c>
      <c r="AQ5725">
        <v>8</v>
      </c>
      <c r="AR5725">
        <v>0</v>
      </c>
    </row>
    <row r="5726" spans="1:44" x14ac:dyDescent="0.35">
      <c r="A5726" s="12" t="s">
        <v>6833</v>
      </c>
      <c r="B5726" s="12" t="s">
        <v>167</v>
      </c>
      <c r="C5726" s="12" t="s">
        <v>168</v>
      </c>
      <c r="D5726" s="12" t="s">
        <v>64</v>
      </c>
      <c r="E5726" s="12" t="s">
        <v>104</v>
      </c>
      <c r="F5726">
        <v>3</v>
      </c>
      <c r="G5726">
        <v>1</v>
      </c>
      <c r="H5726">
        <v>0</v>
      </c>
      <c r="I5726" s="12" t="s">
        <v>169</v>
      </c>
      <c r="J5726" s="12" t="s">
        <v>170</v>
      </c>
      <c r="K5726" s="12" t="s">
        <v>89</v>
      </c>
      <c r="L5726" s="12" t="s">
        <v>134</v>
      </c>
      <c r="M5726">
        <v>1.37</v>
      </c>
      <c r="N5726" s="12" t="s">
        <v>97</v>
      </c>
      <c r="O5726" s="12" t="s">
        <v>98</v>
      </c>
      <c r="P5726" s="12" t="s">
        <v>72</v>
      </c>
      <c r="Q5726" s="13">
        <v>45923</v>
      </c>
      <c r="R5726" s="13">
        <v>45951</v>
      </c>
      <c r="S5726">
        <v>2025</v>
      </c>
      <c r="T5726" s="12" t="s">
        <v>6704</v>
      </c>
      <c r="U5726">
        <v>931</v>
      </c>
      <c r="V5726">
        <v>23.0854</v>
      </c>
      <c r="W5726">
        <v>357.14</v>
      </c>
      <c r="X5726">
        <v>0</v>
      </c>
      <c r="Y5726">
        <v>0</v>
      </c>
      <c r="Z5726">
        <v>21492.51</v>
      </c>
      <c r="AA5726">
        <v>21849.65</v>
      </c>
      <c r="AB5726" s="12" t="s">
        <v>5232</v>
      </c>
      <c r="AC5726">
        <v>24.557099999999998</v>
      </c>
      <c r="AD5726">
        <v>1</v>
      </c>
      <c r="AE5726">
        <v>1</v>
      </c>
      <c r="AF5726">
        <v>-1370.15</v>
      </c>
      <c r="AG5726">
        <v>22862.66</v>
      </c>
      <c r="AH5726">
        <v>931</v>
      </c>
      <c r="AI5726">
        <v>921</v>
      </c>
      <c r="AJ5726">
        <v>10</v>
      </c>
      <c r="AK5726">
        <v>1</v>
      </c>
      <c r="AL5726">
        <v>1</v>
      </c>
      <c r="AM5726">
        <v>98.93</v>
      </c>
      <c r="AN5726">
        <v>23.723800000000001</v>
      </c>
      <c r="AO5726">
        <v>230.85</v>
      </c>
      <c r="AP5726" s="13">
        <v>45948</v>
      </c>
      <c r="AQ5726">
        <v>-3</v>
      </c>
      <c r="AR5726">
        <v>1</v>
      </c>
    </row>
    <row r="5727" spans="1:44" x14ac:dyDescent="0.35">
      <c r="A5727" s="12" t="s">
        <v>6834</v>
      </c>
      <c r="B5727" s="12" t="s">
        <v>1179</v>
      </c>
      <c r="C5727" s="12" t="s">
        <v>1180</v>
      </c>
      <c r="D5727" s="12" t="s">
        <v>122</v>
      </c>
      <c r="E5727" s="12" t="s">
        <v>142</v>
      </c>
      <c r="F5727">
        <v>1</v>
      </c>
      <c r="G5727">
        <v>8</v>
      </c>
      <c r="H5727">
        <v>1</v>
      </c>
      <c r="I5727" s="12" t="s">
        <v>143</v>
      </c>
      <c r="J5727" s="12" t="s">
        <v>144</v>
      </c>
      <c r="K5727" s="12" t="s">
        <v>133</v>
      </c>
      <c r="L5727" s="12" t="s">
        <v>96</v>
      </c>
      <c r="M5727">
        <v>5.43</v>
      </c>
      <c r="N5727" s="12" t="s">
        <v>97</v>
      </c>
      <c r="O5727" s="12" t="s">
        <v>98</v>
      </c>
      <c r="P5727" s="12" t="s">
        <v>72</v>
      </c>
      <c r="Q5727" s="13">
        <v>45923</v>
      </c>
      <c r="R5727" s="13">
        <v>45975</v>
      </c>
      <c r="S5727">
        <v>2025</v>
      </c>
      <c r="T5727" s="12" t="s">
        <v>6704</v>
      </c>
      <c r="U5727">
        <v>1962</v>
      </c>
      <c r="V5727">
        <v>52.209899999999998</v>
      </c>
      <c r="W5727">
        <v>2283.85</v>
      </c>
      <c r="X5727">
        <v>0</v>
      </c>
      <c r="Y5727">
        <v>0</v>
      </c>
      <c r="Z5727">
        <v>102435.82</v>
      </c>
      <c r="AA5727">
        <v>104719.67</v>
      </c>
      <c r="AB5727" s="12" t="s">
        <v>5533</v>
      </c>
      <c r="AC5727">
        <v>52.209899999999998</v>
      </c>
      <c r="AD5727">
        <v>1</v>
      </c>
      <c r="AE5727">
        <v>1</v>
      </c>
      <c r="AF5727">
        <v>0</v>
      </c>
      <c r="AG5727">
        <v>102435.82</v>
      </c>
      <c r="AH5727">
        <v>1962</v>
      </c>
      <c r="AI5727">
        <v>1950</v>
      </c>
      <c r="AJ5727">
        <v>12</v>
      </c>
      <c r="AK5727">
        <v>1</v>
      </c>
      <c r="AL5727">
        <v>1</v>
      </c>
      <c r="AM5727">
        <v>99.39</v>
      </c>
      <c r="AN5727">
        <v>53.702399999999997</v>
      </c>
      <c r="AO5727">
        <v>626.52</v>
      </c>
      <c r="AP5727" s="13">
        <v>45972</v>
      </c>
      <c r="AQ5727">
        <v>-3</v>
      </c>
      <c r="AR5727">
        <v>1</v>
      </c>
    </row>
    <row r="5728" spans="1:44" x14ac:dyDescent="0.35">
      <c r="A5728" s="12" t="s">
        <v>6835</v>
      </c>
      <c r="B5728" s="12" t="s">
        <v>736</v>
      </c>
      <c r="C5728" s="12" t="s">
        <v>737</v>
      </c>
      <c r="D5728" s="12" t="s">
        <v>64</v>
      </c>
      <c r="E5728" s="12" t="s">
        <v>104</v>
      </c>
      <c r="F5728">
        <v>3</v>
      </c>
      <c r="G5728">
        <v>1</v>
      </c>
      <c r="H5728">
        <v>0</v>
      </c>
      <c r="I5728" s="12" t="s">
        <v>115</v>
      </c>
      <c r="J5728" s="12" t="s">
        <v>116</v>
      </c>
      <c r="K5728" s="12" t="s">
        <v>117</v>
      </c>
      <c r="L5728" s="12" t="s">
        <v>82</v>
      </c>
      <c r="M5728">
        <v>17.170000000000002</v>
      </c>
      <c r="N5728" s="12" t="s">
        <v>97</v>
      </c>
      <c r="O5728" s="12" t="s">
        <v>98</v>
      </c>
      <c r="P5728" s="12" t="s">
        <v>72</v>
      </c>
      <c r="Q5728" s="13">
        <v>45923</v>
      </c>
      <c r="R5728" s="13">
        <v>45944</v>
      </c>
      <c r="S5728">
        <v>2025</v>
      </c>
      <c r="T5728" s="12" t="s">
        <v>6704</v>
      </c>
      <c r="U5728">
        <v>551</v>
      </c>
      <c r="V5728">
        <v>21.297499999999999</v>
      </c>
      <c r="W5728">
        <v>176.77</v>
      </c>
      <c r="X5728">
        <v>0</v>
      </c>
      <c r="Y5728">
        <v>0</v>
      </c>
      <c r="Z5728">
        <v>11734.92</v>
      </c>
      <c r="AA5728">
        <v>11911.69</v>
      </c>
      <c r="AB5728" s="12" t="s">
        <v>5704</v>
      </c>
      <c r="AC5728">
        <v>21.297499999999999</v>
      </c>
      <c r="AD5728">
        <v>1</v>
      </c>
      <c r="AE5728">
        <v>1</v>
      </c>
      <c r="AF5728">
        <v>0</v>
      </c>
      <c r="AG5728">
        <v>11734.92</v>
      </c>
      <c r="AH5728">
        <v>551</v>
      </c>
      <c r="AI5728">
        <v>544</v>
      </c>
      <c r="AJ5728">
        <v>7</v>
      </c>
      <c r="AK5728">
        <v>1</v>
      </c>
      <c r="AL5728">
        <v>1</v>
      </c>
      <c r="AM5728">
        <v>98.73</v>
      </c>
      <c r="AN5728">
        <v>21.8965</v>
      </c>
      <c r="AO5728">
        <v>149.08000000000001</v>
      </c>
      <c r="AP5728" s="13">
        <v>45941</v>
      </c>
      <c r="AQ5728">
        <v>-3</v>
      </c>
      <c r="AR5728">
        <v>1</v>
      </c>
    </row>
    <row r="5729" spans="1:44" x14ac:dyDescent="0.35">
      <c r="A5729" s="12" t="s">
        <v>6836</v>
      </c>
      <c r="B5729" s="12" t="s">
        <v>670</v>
      </c>
      <c r="C5729" s="12" t="s">
        <v>671</v>
      </c>
      <c r="D5729" s="12" t="s">
        <v>175</v>
      </c>
      <c r="E5729" s="12" t="s">
        <v>142</v>
      </c>
      <c r="F5729">
        <v>2</v>
      </c>
      <c r="G5729">
        <v>9</v>
      </c>
      <c r="H5729">
        <v>0</v>
      </c>
      <c r="I5729" s="12" t="s">
        <v>233</v>
      </c>
      <c r="J5729" s="12" t="s">
        <v>234</v>
      </c>
      <c r="K5729" s="12" t="s">
        <v>125</v>
      </c>
      <c r="L5729" s="12" t="s">
        <v>96</v>
      </c>
      <c r="M5729">
        <v>3.73</v>
      </c>
      <c r="N5729" s="12" t="s">
        <v>145</v>
      </c>
      <c r="O5729" s="12" t="s">
        <v>146</v>
      </c>
      <c r="P5729" s="12" t="s">
        <v>109</v>
      </c>
      <c r="Q5729" s="13">
        <v>45923</v>
      </c>
      <c r="R5729" s="13">
        <v>45966</v>
      </c>
      <c r="S5729">
        <v>2025</v>
      </c>
      <c r="T5729" s="12" t="s">
        <v>6704</v>
      </c>
      <c r="U5729">
        <v>74</v>
      </c>
      <c r="V5729">
        <v>144.0438</v>
      </c>
      <c r="W5729">
        <v>70.75</v>
      </c>
      <c r="X5729">
        <v>0</v>
      </c>
      <c r="Y5729">
        <v>0</v>
      </c>
      <c r="Z5729">
        <v>10659.24</v>
      </c>
      <c r="AA5729">
        <v>10729.99</v>
      </c>
      <c r="AB5729" s="12" t="s">
        <v>6098</v>
      </c>
      <c r="AC5729">
        <v>144.0438</v>
      </c>
      <c r="AD5729">
        <v>1</v>
      </c>
      <c r="AE5729">
        <v>1</v>
      </c>
      <c r="AF5729">
        <v>0</v>
      </c>
      <c r="AG5729">
        <v>10659.24</v>
      </c>
      <c r="AH5729">
        <v>74</v>
      </c>
      <c r="AI5729">
        <v>73</v>
      </c>
      <c r="AJ5729">
        <v>1</v>
      </c>
      <c r="AK5729">
        <v>1</v>
      </c>
      <c r="AL5729">
        <v>1</v>
      </c>
      <c r="AM5729">
        <v>98.65</v>
      </c>
      <c r="AN5729">
        <v>146.9862</v>
      </c>
      <c r="AO5729">
        <v>144.04</v>
      </c>
      <c r="AP5729" s="13">
        <v>45966</v>
      </c>
      <c r="AQ5729">
        <v>0</v>
      </c>
      <c r="AR5729">
        <v>1</v>
      </c>
    </row>
    <row r="5730" spans="1:44" x14ac:dyDescent="0.35">
      <c r="A5730" s="12" t="s">
        <v>6837</v>
      </c>
      <c r="B5730" s="12" t="s">
        <v>433</v>
      </c>
      <c r="C5730" s="12" t="s">
        <v>434</v>
      </c>
      <c r="D5730" s="12" t="s">
        <v>78</v>
      </c>
      <c r="E5730" s="12" t="s">
        <v>65</v>
      </c>
      <c r="F5730">
        <v>2</v>
      </c>
      <c r="G5730">
        <v>4</v>
      </c>
      <c r="H5730">
        <v>0</v>
      </c>
      <c r="I5730" s="12" t="s">
        <v>105</v>
      </c>
      <c r="J5730" s="12" t="s">
        <v>106</v>
      </c>
      <c r="K5730" s="12" t="s">
        <v>81</v>
      </c>
      <c r="L5730" s="12" t="s">
        <v>96</v>
      </c>
      <c r="M5730">
        <v>5.01</v>
      </c>
      <c r="N5730" s="12" t="s">
        <v>70</v>
      </c>
      <c r="O5730" s="12" t="s">
        <v>71</v>
      </c>
      <c r="P5730" s="12" t="s">
        <v>72</v>
      </c>
      <c r="Q5730" s="13">
        <v>45923</v>
      </c>
      <c r="R5730" s="13">
        <v>45947</v>
      </c>
      <c r="S5730">
        <v>2025</v>
      </c>
      <c r="T5730" s="12" t="s">
        <v>6704</v>
      </c>
      <c r="U5730">
        <v>88</v>
      </c>
      <c r="V5730">
        <v>68.594099999999997</v>
      </c>
      <c r="W5730">
        <v>102.96</v>
      </c>
      <c r="X5730">
        <v>0</v>
      </c>
      <c r="Y5730">
        <v>0</v>
      </c>
      <c r="Z5730">
        <v>6036.28</v>
      </c>
      <c r="AA5730">
        <v>6139.24</v>
      </c>
      <c r="AB5730" s="12" t="s">
        <v>5436</v>
      </c>
      <c r="AC5730">
        <v>68.594099999999997</v>
      </c>
      <c r="AD5730">
        <v>1</v>
      </c>
      <c r="AE5730">
        <v>1</v>
      </c>
      <c r="AF5730">
        <v>0</v>
      </c>
      <c r="AG5730">
        <v>6036.28</v>
      </c>
      <c r="AH5730">
        <v>88</v>
      </c>
      <c r="AI5730">
        <v>86</v>
      </c>
      <c r="AJ5730">
        <v>2</v>
      </c>
      <c r="AK5730">
        <v>1</v>
      </c>
      <c r="AL5730">
        <v>1</v>
      </c>
      <c r="AM5730">
        <v>97.73</v>
      </c>
      <c r="AN5730">
        <v>71.386499999999998</v>
      </c>
      <c r="AO5730">
        <v>137.19</v>
      </c>
      <c r="AP5730" s="13">
        <v>45944</v>
      </c>
      <c r="AQ5730">
        <v>-3</v>
      </c>
      <c r="AR5730">
        <v>1</v>
      </c>
    </row>
    <row r="5731" spans="1:44" x14ac:dyDescent="0.35">
      <c r="A5731" s="12" t="s">
        <v>6838</v>
      </c>
      <c r="B5731" s="12" t="s">
        <v>347</v>
      </c>
      <c r="C5731" s="12" t="s">
        <v>348</v>
      </c>
      <c r="D5731" s="12" t="s">
        <v>78</v>
      </c>
      <c r="E5731" s="12" t="s">
        <v>104</v>
      </c>
      <c r="F5731">
        <v>3</v>
      </c>
      <c r="G5731">
        <v>1</v>
      </c>
      <c r="H5731">
        <v>0</v>
      </c>
      <c r="I5731" s="12" t="s">
        <v>105</v>
      </c>
      <c r="J5731" s="12" t="s">
        <v>106</v>
      </c>
      <c r="K5731" s="12" t="s">
        <v>81</v>
      </c>
      <c r="L5731" s="12" t="s">
        <v>96</v>
      </c>
      <c r="M5731">
        <v>5.01</v>
      </c>
      <c r="N5731" s="12" t="s">
        <v>70</v>
      </c>
      <c r="O5731" s="12" t="s">
        <v>71</v>
      </c>
      <c r="P5731" s="12" t="s">
        <v>72</v>
      </c>
      <c r="Q5731" s="13">
        <v>45924</v>
      </c>
      <c r="R5731" s="13">
        <v>45949</v>
      </c>
      <c r="S5731">
        <v>2025</v>
      </c>
      <c r="T5731" s="12" t="s">
        <v>6704</v>
      </c>
      <c r="U5731">
        <v>228</v>
      </c>
      <c r="V5731">
        <v>108.29259999999999</v>
      </c>
      <c r="W5731">
        <v>363.97</v>
      </c>
      <c r="X5731">
        <v>0</v>
      </c>
      <c r="Y5731">
        <v>0</v>
      </c>
      <c r="Z5731">
        <v>24690.71</v>
      </c>
      <c r="AA5731">
        <v>25054.68</v>
      </c>
      <c r="AB5731" s="12" t="s">
        <v>201</v>
      </c>
      <c r="AD5731">
        <v>0</v>
      </c>
      <c r="AE5731">
        <v>0</v>
      </c>
      <c r="AH5731">
        <v>228</v>
      </c>
      <c r="AI5731">
        <v>223</v>
      </c>
      <c r="AJ5731">
        <v>5</v>
      </c>
      <c r="AK5731">
        <v>1</v>
      </c>
      <c r="AL5731">
        <v>1</v>
      </c>
      <c r="AM5731">
        <v>97.81</v>
      </c>
      <c r="AN5731">
        <v>112.3528</v>
      </c>
      <c r="AO5731">
        <v>541.46</v>
      </c>
      <c r="AP5731" s="13">
        <v>45948</v>
      </c>
      <c r="AQ5731">
        <v>-1</v>
      </c>
      <c r="AR5731">
        <v>1</v>
      </c>
    </row>
    <row r="5732" spans="1:44" x14ac:dyDescent="0.35">
      <c r="A5732" s="12" t="s">
        <v>6839</v>
      </c>
      <c r="B5732" s="12" t="s">
        <v>308</v>
      </c>
      <c r="C5732" s="12" t="s">
        <v>309</v>
      </c>
      <c r="D5732" s="12" t="s">
        <v>122</v>
      </c>
      <c r="E5732" s="12" t="s">
        <v>142</v>
      </c>
      <c r="F5732">
        <v>1</v>
      </c>
      <c r="G5732">
        <v>6</v>
      </c>
      <c r="H5732">
        <v>1</v>
      </c>
      <c r="I5732" s="12" t="s">
        <v>310</v>
      </c>
      <c r="J5732" s="12" t="s">
        <v>311</v>
      </c>
      <c r="K5732" s="12" t="s">
        <v>81</v>
      </c>
      <c r="L5732" s="12" t="s">
        <v>69</v>
      </c>
      <c r="M5732">
        <v>28.3</v>
      </c>
      <c r="N5732" s="12" t="s">
        <v>97</v>
      </c>
      <c r="O5732" s="12" t="s">
        <v>98</v>
      </c>
      <c r="P5732" s="12" t="s">
        <v>72</v>
      </c>
      <c r="Q5732" s="13">
        <v>45924</v>
      </c>
      <c r="R5732" s="13">
        <v>45961</v>
      </c>
      <c r="S5732">
        <v>2025</v>
      </c>
      <c r="T5732" s="12" t="s">
        <v>6704</v>
      </c>
      <c r="U5732">
        <v>484</v>
      </c>
      <c r="V5732">
        <v>56.789000000000001</v>
      </c>
      <c r="W5732">
        <v>626.04</v>
      </c>
      <c r="X5732">
        <v>0</v>
      </c>
      <c r="Y5732">
        <v>0</v>
      </c>
      <c r="Z5732">
        <v>27485.88</v>
      </c>
      <c r="AA5732">
        <v>28111.919999999998</v>
      </c>
      <c r="AB5732" s="12" t="s">
        <v>5357</v>
      </c>
      <c r="AC5732">
        <v>56.789000000000001</v>
      </c>
      <c r="AD5732">
        <v>1</v>
      </c>
      <c r="AE5732">
        <v>1</v>
      </c>
      <c r="AF5732">
        <v>0</v>
      </c>
      <c r="AG5732">
        <v>27485.88</v>
      </c>
      <c r="AH5732">
        <v>484</v>
      </c>
      <c r="AI5732">
        <v>482</v>
      </c>
      <c r="AJ5732">
        <v>2</v>
      </c>
      <c r="AK5732">
        <v>1</v>
      </c>
      <c r="AL5732">
        <v>1</v>
      </c>
      <c r="AM5732">
        <v>99.59</v>
      </c>
      <c r="AN5732">
        <v>58.323500000000003</v>
      </c>
      <c r="AO5732">
        <v>113.58</v>
      </c>
      <c r="AP5732" s="13">
        <v>45961</v>
      </c>
      <c r="AQ5732">
        <v>0</v>
      </c>
      <c r="AR5732">
        <v>1</v>
      </c>
    </row>
    <row r="5733" spans="1:44" x14ac:dyDescent="0.35">
      <c r="A5733" s="12" t="s">
        <v>6840</v>
      </c>
      <c r="B5733" s="12" t="s">
        <v>62</v>
      </c>
      <c r="C5733" s="12" t="s">
        <v>63</v>
      </c>
      <c r="D5733" s="12" t="s">
        <v>64</v>
      </c>
      <c r="E5733" s="12" t="s">
        <v>65</v>
      </c>
      <c r="F5733">
        <v>1</v>
      </c>
      <c r="G5733">
        <v>2</v>
      </c>
      <c r="H5733">
        <v>1</v>
      </c>
      <c r="I5733" s="12" t="s">
        <v>66</v>
      </c>
      <c r="J5733" s="12" t="s">
        <v>67</v>
      </c>
      <c r="K5733" s="12" t="s">
        <v>68</v>
      </c>
      <c r="L5733" s="12" t="s">
        <v>69</v>
      </c>
      <c r="M5733">
        <v>17.66</v>
      </c>
      <c r="N5733" s="12" t="s">
        <v>97</v>
      </c>
      <c r="O5733" s="12" t="s">
        <v>98</v>
      </c>
      <c r="P5733" s="12" t="s">
        <v>72</v>
      </c>
      <c r="Q5733" s="13">
        <v>45924</v>
      </c>
      <c r="R5733" s="13">
        <v>45948</v>
      </c>
      <c r="S5733">
        <v>2025</v>
      </c>
      <c r="T5733" s="12" t="s">
        <v>6704</v>
      </c>
      <c r="U5733">
        <v>288</v>
      </c>
      <c r="V5733">
        <v>25.976299999999998</v>
      </c>
      <c r="W5733">
        <v>110.06</v>
      </c>
      <c r="X5733">
        <v>0</v>
      </c>
      <c r="Y5733">
        <v>0</v>
      </c>
      <c r="Z5733">
        <v>7481.17</v>
      </c>
      <c r="AA5733">
        <v>7591.23</v>
      </c>
      <c r="AB5733" s="12" t="s">
        <v>201</v>
      </c>
      <c r="AD5733">
        <v>0</v>
      </c>
      <c r="AE5733">
        <v>0</v>
      </c>
      <c r="AH5733">
        <v>288</v>
      </c>
      <c r="AI5733">
        <v>286</v>
      </c>
      <c r="AJ5733">
        <v>2</v>
      </c>
      <c r="AK5733">
        <v>1</v>
      </c>
      <c r="AL5733">
        <v>1</v>
      </c>
      <c r="AM5733">
        <v>99.31</v>
      </c>
      <c r="AN5733">
        <v>26.5428</v>
      </c>
      <c r="AO5733">
        <v>51.95</v>
      </c>
      <c r="AP5733" s="13">
        <v>45948</v>
      </c>
      <c r="AQ5733">
        <v>0</v>
      </c>
      <c r="AR5733">
        <v>1</v>
      </c>
    </row>
    <row r="5734" spans="1:44" x14ac:dyDescent="0.35">
      <c r="A5734" s="12" t="s">
        <v>6841</v>
      </c>
      <c r="B5734" s="12" t="s">
        <v>978</v>
      </c>
      <c r="C5734" s="12" t="s">
        <v>979</v>
      </c>
      <c r="D5734" s="12" t="s">
        <v>122</v>
      </c>
      <c r="E5734" s="12" t="s">
        <v>65</v>
      </c>
      <c r="F5734">
        <v>1</v>
      </c>
      <c r="G5734">
        <v>2</v>
      </c>
      <c r="H5734">
        <v>1</v>
      </c>
      <c r="I5734" s="12" t="s">
        <v>310</v>
      </c>
      <c r="J5734" s="12" t="s">
        <v>311</v>
      </c>
      <c r="K5734" s="12" t="s">
        <v>81</v>
      </c>
      <c r="L5734" s="12" t="s">
        <v>69</v>
      </c>
      <c r="M5734">
        <v>28.3</v>
      </c>
      <c r="N5734" s="12" t="s">
        <v>70</v>
      </c>
      <c r="O5734" s="12" t="s">
        <v>71</v>
      </c>
      <c r="P5734" s="12" t="s">
        <v>72</v>
      </c>
      <c r="Q5734" s="13">
        <v>45924</v>
      </c>
      <c r="R5734" s="13">
        <v>45948</v>
      </c>
      <c r="S5734">
        <v>2025</v>
      </c>
      <c r="T5734" s="12" t="s">
        <v>6704</v>
      </c>
      <c r="U5734">
        <v>529</v>
      </c>
      <c r="V5734">
        <v>43.4407</v>
      </c>
      <c r="W5734">
        <v>537.91</v>
      </c>
      <c r="X5734">
        <v>0</v>
      </c>
      <c r="Y5734">
        <v>0</v>
      </c>
      <c r="Z5734">
        <v>22980.13</v>
      </c>
      <c r="AA5734">
        <v>23518.04</v>
      </c>
      <c r="AB5734" s="12" t="s">
        <v>6061</v>
      </c>
      <c r="AC5734">
        <v>43.4407</v>
      </c>
      <c r="AD5734">
        <v>1</v>
      </c>
      <c r="AE5734">
        <v>1</v>
      </c>
      <c r="AF5734">
        <v>0</v>
      </c>
      <c r="AG5734">
        <v>22980.13</v>
      </c>
      <c r="AH5734">
        <v>529</v>
      </c>
      <c r="AI5734">
        <v>525</v>
      </c>
      <c r="AJ5734">
        <v>4</v>
      </c>
      <c r="AK5734">
        <v>1</v>
      </c>
      <c r="AL5734">
        <v>1</v>
      </c>
      <c r="AM5734">
        <v>99.24</v>
      </c>
      <c r="AN5734">
        <v>44.796300000000002</v>
      </c>
      <c r="AO5734">
        <v>173.76</v>
      </c>
      <c r="AP5734" s="13">
        <v>45947</v>
      </c>
      <c r="AQ5734">
        <v>-1</v>
      </c>
      <c r="AR5734">
        <v>1</v>
      </c>
    </row>
    <row r="5735" spans="1:44" x14ac:dyDescent="0.35">
      <c r="A5735" s="12" t="s">
        <v>6842</v>
      </c>
      <c r="B5735" s="12" t="s">
        <v>454</v>
      </c>
      <c r="C5735" s="12" t="s">
        <v>455</v>
      </c>
      <c r="D5735" s="12" t="s">
        <v>122</v>
      </c>
      <c r="E5735" s="12" t="s">
        <v>104</v>
      </c>
      <c r="F5735">
        <v>3</v>
      </c>
      <c r="G5735">
        <v>1</v>
      </c>
      <c r="H5735">
        <v>0</v>
      </c>
      <c r="I5735" s="12" t="s">
        <v>87</v>
      </c>
      <c r="J5735" s="12" t="s">
        <v>88</v>
      </c>
      <c r="K5735" s="12" t="s">
        <v>89</v>
      </c>
      <c r="L5735" s="12" t="s">
        <v>69</v>
      </c>
      <c r="M5735">
        <v>14.93</v>
      </c>
      <c r="N5735" s="12" t="s">
        <v>70</v>
      </c>
      <c r="O5735" s="12" t="s">
        <v>71</v>
      </c>
      <c r="P5735" s="12" t="s">
        <v>72</v>
      </c>
      <c r="Q5735" s="13">
        <v>45924</v>
      </c>
      <c r="R5735" s="13">
        <v>45952</v>
      </c>
      <c r="S5735">
        <v>2025</v>
      </c>
      <c r="T5735" s="12" t="s">
        <v>6704</v>
      </c>
      <c r="U5735">
        <v>1892</v>
      </c>
      <c r="V5735">
        <v>21.032599999999999</v>
      </c>
      <c r="W5735">
        <v>919.68</v>
      </c>
      <c r="X5735">
        <v>0</v>
      </c>
      <c r="Y5735">
        <v>0</v>
      </c>
      <c r="Z5735">
        <v>39793.68</v>
      </c>
      <c r="AA5735">
        <v>40713.360000000001</v>
      </c>
      <c r="AB5735" s="12" t="s">
        <v>5456</v>
      </c>
      <c r="AC5735">
        <v>21.032599999999999</v>
      </c>
      <c r="AD5735">
        <v>1</v>
      </c>
      <c r="AE5735">
        <v>1</v>
      </c>
      <c r="AF5735">
        <v>0</v>
      </c>
      <c r="AG5735">
        <v>39793.68</v>
      </c>
      <c r="AH5735">
        <v>1892</v>
      </c>
      <c r="AI5735">
        <v>1877</v>
      </c>
      <c r="AJ5735">
        <v>15</v>
      </c>
      <c r="AK5735">
        <v>1</v>
      </c>
      <c r="AL5735">
        <v>1</v>
      </c>
      <c r="AM5735">
        <v>99.21</v>
      </c>
      <c r="AN5735">
        <v>21.6907</v>
      </c>
      <c r="AO5735">
        <v>315.49</v>
      </c>
      <c r="AP5735" s="13">
        <v>45953</v>
      </c>
      <c r="AQ5735">
        <v>1</v>
      </c>
      <c r="AR5735">
        <v>0</v>
      </c>
    </row>
    <row r="5736" spans="1:44" x14ac:dyDescent="0.35">
      <c r="A5736" s="12" t="s">
        <v>6843</v>
      </c>
      <c r="B5736" s="12" t="s">
        <v>732</v>
      </c>
      <c r="C5736" s="12" t="s">
        <v>733</v>
      </c>
      <c r="D5736" s="12" t="s">
        <v>114</v>
      </c>
      <c r="E5736" s="12" t="s">
        <v>104</v>
      </c>
      <c r="F5736">
        <v>3</v>
      </c>
      <c r="G5736">
        <v>1</v>
      </c>
      <c r="H5736">
        <v>0</v>
      </c>
      <c r="I5736" s="12" t="s">
        <v>359</v>
      </c>
      <c r="J5736" s="12" t="s">
        <v>360</v>
      </c>
      <c r="K5736" s="12" t="s">
        <v>133</v>
      </c>
      <c r="L5736" s="12" t="s">
        <v>82</v>
      </c>
      <c r="M5736">
        <v>12.65</v>
      </c>
      <c r="N5736" s="12" t="s">
        <v>97</v>
      </c>
      <c r="O5736" s="12" t="s">
        <v>98</v>
      </c>
      <c r="P5736" s="12" t="s">
        <v>72</v>
      </c>
      <c r="Q5736" s="13">
        <v>45924</v>
      </c>
      <c r="R5736" s="13">
        <v>45952</v>
      </c>
      <c r="S5736">
        <v>2025</v>
      </c>
      <c r="T5736" s="12" t="s">
        <v>6704</v>
      </c>
      <c r="U5736">
        <v>141</v>
      </c>
      <c r="V5736">
        <v>353.69159999999999</v>
      </c>
      <c r="W5736">
        <v>942.87</v>
      </c>
      <c r="X5736">
        <v>0</v>
      </c>
      <c r="Y5736">
        <v>0</v>
      </c>
      <c r="Z5736">
        <v>49870.52</v>
      </c>
      <c r="AA5736">
        <v>50813.39</v>
      </c>
      <c r="AB5736" s="12" t="s">
        <v>201</v>
      </c>
      <c r="AD5736">
        <v>0</v>
      </c>
      <c r="AE5736">
        <v>0</v>
      </c>
      <c r="AH5736">
        <v>141</v>
      </c>
      <c r="AI5736">
        <v>139</v>
      </c>
      <c r="AJ5736">
        <v>2</v>
      </c>
      <c r="AK5736">
        <v>1</v>
      </c>
      <c r="AL5736">
        <v>1</v>
      </c>
      <c r="AM5736">
        <v>98.58</v>
      </c>
      <c r="AN5736">
        <v>365.56389999999999</v>
      </c>
      <c r="AO5736">
        <v>707.38</v>
      </c>
      <c r="AP5736" s="13">
        <v>45956</v>
      </c>
      <c r="AQ5736">
        <v>4</v>
      </c>
      <c r="AR5736">
        <v>0</v>
      </c>
    </row>
    <row r="5737" spans="1:44" x14ac:dyDescent="0.35">
      <c r="A5737" s="12" t="s">
        <v>6844</v>
      </c>
      <c r="B5737" s="12" t="s">
        <v>231</v>
      </c>
      <c r="C5737" s="12" t="s">
        <v>232</v>
      </c>
      <c r="D5737" s="12" t="s">
        <v>130</v>
      </c>
      <c r="E5737" s="12" t="s">
        <v>65</v>
      </c>
      <c r="F5737">
        <v>1</v>
      </c>
      <c r="G5737">
        <v>2</v>
      </c>
      <c r="H5737">
        <v>1</v>
      </c>
      <c r="I5737" s="12" t="s">
        <v>233</v>
      </c>
      <c r="J5737" s="12" t="s">
        <v>234</v>
      </c>
      <c r="K5737" s="12" t="s">
        <v>125</v>
      </c>
      <c r="L5737" s="12" t="s">
        <v>96</v>
      </c>
      <c r="M5737">
        <v>3.73</v>
      </c>
      <c r="N5737" s="12" t="s">
        <v>135</v>
      </c>
      <c r="O5737" s="12" t="s">
        <v>136</v>
      </c>
      <c r="P5737" s="12" t="s">
        <v>137</v>
      </c>
      <c r="Q5737" s="13">
        <v>45924</v>
      </c>
      <c r="R5737" s="13">
        <v>45950</v>
      </c>
      <c r="S5737">
        <v>2025</v>
      </c>
      <c r="T5737" s="12" t="s">
        <v>6704</v>
      </c>
      <c r="U5737">
        <v>55</v>
      </c>
      <c r="V5737">
        <v>468.59500000000003</v>
      </c>
      <c r="W5737">
        <v>350.33</v>
      </c>
      <c r="X5737">
        <v>0</v>
      </c>
      <c r="Y5737">
        <v>0</v>
      </c>
      <c r="Z5737">
        <v>25772.73</v>
      </c>
      <c r="AA5737">
        <v>26123.06</v>
      </c>
      <c r="AB5737" s="12" t="s">
        <v>201</v>
      </c>
      <c r="AD5737">
        <v>0</v>
      </c>
      <c r="AE5737">
        <v>0</v>
      </c>
      <c r="AH5737">
        <v>55</v>
      </c>
      <c r="AI5737">
        <v>54</v>
      </c>
      <c r="AJ5737">
        <v>1</v>
      </c>
      <c r="AK5737">
        <v>1</v>
      </c>
      <c r="AL5737">
        <v>1</v>
      </c>
      <c r="AM5737">
        <v>98.18</v>
      </c>
      <c r="AN5737">
        <v>483.76029999999997</v>
      </c>
      <c r="AO5737">
        <v>468.6</v>
      </c>
      <c r="AP5737" s="13">
        <v>45947</v>
      </c>
      <c r="AQ5737">
        <v>-3</v>
      </c>
      <c r="AR5737">
        <v>1</v>
      </c>
    </row>
    <row r="5738" spans="1:44" x14ac:dyDescent="0.35">
      <c r="A5738" s="12" t="s">
        <v>6845</v>
      </c>
      <c r="B5738" s="12" t="s">
        <v>231</v>
      </c>
      <c r="C5738" s="12" t="s">
        <v>232</v>
      </c>
      <c r="D5738" s="12" t="s">
        <v>130</v>
      </c>
      <c r="E5738" s="12" t="s">
        <v>65</v>
      </c>
      <c r="F5738">
        <v>1</v>
      </c>
      <c r="G5738">
        <v>2</v>
      </c>
      <c r="H5738">
        <v>1</v>
      </c>
      <c r="I5738" s="12" t="s">
        <v>233</v>
      </c>
      <c r="J5738" s="12" t="s">
        <v>234</v>
      </c>
      <c r="K5738" s="12" t="s">
        <v>125</v>
      </c>
      <c r="L5738" s="12" t="s">
        <v>96</v>
      </c>
      <c r="M5738">
        <v>3.73</v>
      </c>
      <c r="N5738" s="12" t="s">
        <v>135</v>
      </c>
      <c r="O5738" s="12" t="s">
        <v>136</v>
      </c>
      <c r="P5738" s="12" t="s">
        <v>137</v>
      </c>
      <c r="Q5738" s="13">
        <v>45924</v>
      </c>
      <c r="R5738" s="13">
        <v>45958</v>
      </c>
      <c r="S5738">
        <v>2025</v>
      </c>
      <c r="T5738" s="12" t="s">
        <v>6704</v>
      </c>
      <c r="U5738">
        <v>117</v>
      </c>
      <c r="V5738">
        <v>448.44659999999999</v>
      </c>
      <c r="W5738">
        <v>1225.06</v>
      </c>
      <c r="X5738">
        <v>0</v>
      </c>
      <c r="Y5738">
        <v>0</v>
      </c>
      <c r="Z5738">
        <v>52468.25</v>
      </c>
      <c r="AA5738">
        <v>53693.31</v>
      </c>
      <c r="AB5738" s="12" t="s">
        <v>201</v>
      </c>
      <c r="AD5738">
        <v>0</v>
      </c>
      <c r="AE5738">
        <v>0</v>
      </c>
      <c r="AH5738">
        <v>117</v>
      </c>
      <c r="AI5738">
        <v>115</v>
      </c>
      <c r="AJ5738">
        <v>2</v>
      </c>
      <c r="AK5738">
        <v>1</v>
      </c>
      <c r="AL5738">
        <v>1</v>
      </c>
      <c r="AM5738">
        <v>98.29</v>
      </c>
      <c r="AN5738">
        <v>466.89839999999998</v>
      </c>
      <c r="AO5738">
        <v>896.89</v>
      </c>
      <c r="AP5738" s="13">
        <v>45956</v>
      </c>
      <c r="AQ5738">
        <v>-2</v>
      </c>
      <c r="AR5738">
        <v>1</v>
      </c>
    </row>
    <row r="5739" spans="1:44" x14ac:dyDescent="0.35">
      <c r="A5739" s="12" t="s">
        <v>6846</v>
      </c>
      <c r="B5739" s="12" t="s">
        <v>640</v>
      </c>
      <c r="C5739" s="12" t="s">
        <v>641</v>
      </c>
      <c r="D5739" s="12" t="s">
        <v>130</v>
      </c>
      <c r="E5739" s="12" t="s">
        <v>104</v>
      </c>
      <c r="F5739">
        <v>3</v>
      </c>
      <c r="G5739">
        <v>0</v>
      </c>
      <c r="H5739">
        <v>0</v>
      </c>
      <c r="I5739" s="12" t="s">
        <v>209</v>
      </c>
      <c r="J5739" s="12" t="s">
        <v>210</v>
      </c>
      <c r="K5739" s="12" t="s">
        <v>133</v>
      </c>
      <c r="L5739" s="12" t="s">
        <v>96</v>
      </c>
      <c r="M5739">
        <v>7.82</v>
      </c>
      <c r="N5739" s="12" t="s">
        <v>159</v>
      </c>
      <c r="O5739" s="12" t="s">
        <v>160</v>
      </c>
      <c r="P5739" s="12" t="s">
        <v>137</v>
      </c>
      <c r="Q5739" s="13">
        <v>45924</v>
      </c>
      <c r="R5739" s="13">
        <v>45942</v>
      </c>
      <c r="S5739">
        <v>2025</v>
      </c>
      <c r="T5739" s="12" t="s">
        <v>6704</v>
      </c>
      <c r="U5739">
        <v>61</v>
      </c>
      <c r="V5739">
        <v>947.05309999999997</v>
      </c>
      <c r="W5739">
        <v>479.63</v>
      </c>
      <c r="X5739">
        <v>0</v>
      </c>
      <c r="Y5739">
        <v>0</v>
      </c>
      <c r="Z5739">
        <v>57770.239999999998</v>
      </c>
      <c r="AA5739">
        <v>58249.87</v>
      </c>
      <c r="AB5739" s="12" t="s">
        <v>5727</v>
      </c>
      <c r="AC5739">
        <v>947.05309999999997</v>
      </c>
      <c r="AD5739">
        <v>1</v>
      </c>
      <c r="AE5739">
        <v>1</v>
      </c>
      <c r="AF5739">
        <v>0</v>
      </c>
      <c r="AG5739">
        <v>57770.239999999998</v>
      </c>
      <c r="AH5739">
        <v>61</v>
      </c>
      <c r="AI5739">
        <v>60</v>
      </c>
      <c r="AJ5739">
        <v>1</v>
      </c>
      <c r="AK5739">
        <v>1</v>
      </c>
      <c r="AL5739">
        <v>1</v>
      </c>
      <c r="AM5739">
        <v>98.36</v>
      </c>
      <c r="AN5739">
        <v>970.83119999999997</v>
      </c>
      <c r="AO5739">
        <v>947.05</v>
      </c>
      <c r="AP5739" s="13">
        <v>45940</v>
      </c>
      <c r="AQ5739">
        <v>-2</v>
      </c>
      <c r="AR5739">
        <v>1</v>
      </c>
    </row>
    <row r="5740" spans="1:44" x14ac:dyDescent="0.35">
      <c r="A5740" s="12" t="s">
        <v>6847</v>
      </c>
      <c r="B5740" s="12" t="s">
        <v>587</v>
      </c>
      <c r="C5740" s="12" t="s">
        <v>588</v>
      </c>
      <c r="D5740" s="12" t="s">
        <v>122</v>
      </c>
      <c r="E5740" s="12" t="s">
        <v>104</v>
      </c>
      <c r="F5740">
        <v>2</v>
      </c>
      <c r="G5740">
        <v>0</v>
      </c>
      <c r="H5740">
        <v>0</v>
      </c>
      <c r="I5740" s="12" t="s">
        <v>486</v>
      </c>
      <c r="J5740" s="12" t="s">
        <v>487</v>
      </c>
      <c r="K5740" s="12" t="s">
        <v>125</v>
      </c>
      <c r="L5740" s="12" t="s">
        <v>69</v>
      </c>
      <c r="M5740">
        <v>36.86</v>
      </c>
      <c r="N5740" s="12" t="s">
        <v>70</v>
      </c>
      <c r="O5740" s="12" t="s">
        <v>71</v>
      </c>
      <c r="P5740" s="12" t="s">
        <v>72</v>
      </c>
      <c r="Q5740" s="13">
        <v>45924</v>
      </c>
      <c r="R5740" s="13">
        <v>45950</v>
      </c>
      <c r="S5740">
        <v>2025</v>
      </c>
      <c r="T5740" s="12" t="s">
        <v>6704</v>
      </c>
      <c r="U5740">
        <v>1649</v>
      </c>
      <c r="V5740">
        <v>11.541600000000001</v>
      </c>
      <c r="W5740">
        <v>148.38</v>
      </c>
      <c r="X5740">
        <v>0</v>
      </c>
      <c r="Y5740">
        <v>0</v>
      </c>
      <c r="Z5740">
        <v>19032.099999999999</v>
      </c>
      <c r="AA5740">
        <v>19180.48</v>
      </c>
      <c r="AB5740" s="12" t="s">
        <v>201</v>
      </c>
      <c r="AD5740">
        <v>0</v>
      </c>
      <c r="AE5740">
        <v>0</v>
      </c>
      <c r="AH5740">
        <v>1649</v>
      </c>
      <c r="AI5740">
        <v>1636</v>
      </c>
      <c r="AJ5740">
        <v>13</v>
      </c>
      <c r="AK5740">
        <v>1</v>
      </c>
      <c r="AL5740">
        <v>1</v>
      </c>
      <c r="AM5740">
        <v>99.21</v>
      </c>
      <c r="AN5740">
        <v>11.724</v>
      </c>
      <c r="AO5740">
        <v>150.04</v>
      </c>
      <c r="AP5740" s="13">
        <v>45948</v>
      </c>
      <c r="AQ5740">
        <v>-2</v>
      </c>
      <c r="AR5740">
        <v>1</v>
      </c>
    </row>
    <row r="5741" spans="1:44" x14ac:dyDescent="0.35">
      <c r="A5741" s="12" t="s">
        <v>6848</v>
      </c>
      <c r="B5741" s="12" t="s">
        <v>1108</v>
      </c>
      <c r="C5741" s="12" t="s">
        <v>1109</v>
      </c>
      <c r="D5741" s="12" t="s">
        <v>103</v>
      </c>
      <c r="E5741" s="12" t="s">
        <v>65</v>
      </c>
      <c r="F5741">
        <v>3</v>
      </c>
      <c r="G5741">
        <v>4</v>
      </c>
      <c r="H5741">
        <v>0</v>
      </c>
      <c r="I5741" s="12" t="s">
        <v>79</v>
      </c>
      <c r="J5741" s="12" t="s">
        <v>80</v>
      </c>
      <c r="K5741" s="12" t="s">
        <v>81</v>
      </c>
      <c r="L5741" s="12" t="s">
        <v>82</v>
      </c>
      <c r="M5741">
        <v>12.07</v>
      </c>
      <c r="N5741" s="12" t="s">
        <v>107</v>
      </c>
      <c r="O5741" s="12" t="s">
        <v>108</v>
      </c>
      <c r="P5741" s="12" t="s">
        <v>109</v>
      </c>
      <c r="Q5741" s="13">
        <v>45925</v>
      </c>
      <c r="R5741" s="13">
        <v>45953</v>
      </c>
      <c r="S5741">
        <v>2025</v>
      </c>
      <c r="T5741" s="12" t="s">
        <v>6704</v>
      </c>
      <c r="U5741">
        <v>68</v>
      </c>
      <c r="V5741">
        <v>80.097099999999998</v>
      </c>
      <c r="W5741">
        <v>114.73</v>
      </c>
      <c r="X5741">
        <v>0</v>
      </c>
      <c r="Y5741">
        <v>0</v>
      </c>
      <c r="Z5741">
        <v>5446.6</v>
      </c>
      <c r="AA5741">
        <v>5561.33</v>
      </c>
      <c r="AB5741" s="12" t="s">
        <v>6252</v>
      </c>
      <c r="AC5741">
        <v>85.1721</v>
      </c>
      <c r="AD5741">
        <v>1</v>
      </c>
      <c r="AE5741">
        <v>1</v>
      </c>
      <c r="AF5741">
        <v>-345.1</v>
      </c>
      <c r="AG5741">
        <v>5791.7</v>
      </c>
      <c r="AH5741">
        <v>68</v>
      </c>
      <c r="AI5741">
        <v>68</v>
      </c>
      <c r="AJ5741">
        <v>0</v>
      </c>
      <c r="AK5741">
        <v>1</v>
      </c>
      <c r="AL5741">
        <v>1</v>
      </c>
      <c r="AM5741">
        <v>100</v>
      </c>
      <c r="AN5741">
        <v>81.784300000000002</v>
      </c>
      <c r="AO5741">
        <v>0</v>
      </c>
      <c r="AP5741" s="13">
        <v>45952</v>
      </c>
      <c r="AQ5741">
        <v>-1</v>
      </c>
      <c r="AR5741">
        <v>1</v>
      </c>
    </row>
    <row r="5742" spans="1:44" x14ac:dyDescent="0.35">
      <c r="A5742" s="12" t="s">
        <v>6849</v>
      </c>
      <c r="B5742" s="12" t="s">
        <v>273</v>
      </c>
      <c r="C5742" s="12" t="s">
        <v>274</v>
      </c>
      <c r="D5742" s="12" t="s">
        <v>175</v>
      </c>
      <c r="E5742" s="12" t="s">
        <v>104</v>
      </c>
      <c r="F5742">
        <v>3</v>
      </c>
      <c r="G5742">
        <v>1</v>
      </c>
      <c r="H5742">
        <v>0</v>
      </c>
      <c r="I5742" s="12" t="s">
        <v>275</v>
      </c>
      <c r="J5742" s="12" t="s">
        <v>276</v>
      </c>
      <c r="K5742" s="12" t="s">
        <v>89</v>
      </c>
      <c r="L5742" s="12" t="s">
        <v>82</v>
      </c>
      <c r="M5742">
        <v>14.26</v>
      </c>
      <c r="N5742" s="12" t="s">
        <v>107</v>
      </c>
      <c r="O5742" s="12" t="s">
        <v>108</v>
      </c>
      <c r="P5742" s="12" t="s">
        <v>109</v>
      </c>
      <c r="Q5742" s="13">
        <v>45925</v>
      </c>
      <c r="R5742" s="13">
        <v>45950</v>
      </c>
      <c r="S5742">
        <v>2025</v>
      </c>
      <c r="T5742" s="12" t="s">
        <v>6704</v>
      </c>
      <c r="U5742">
        <v>113</v>
      </c>
      <c r="V5742">
        <v>108.56229999999999</v>
      </c>
      <c r="W5742">
        <v>297.68</v>
      </c>
      <c r="X5742">
        <v>0</v>
      </c>
      <c r="Y5742">
        <v>0</v>
      </c>
      <c r="Z5742">
        <v>12267.54</v>
      </c>
      <c r="AA5742">
        <v>12565.22</v>
      </c>
      <c r="AB5742" s="12" t="s">
        <v>5782</v>
      </c>
      <c r="AC5742">
        <v>108.56229999999999</v>
      </c>
      <c r="AD5742">
        <v>1</v>
      </c>
      <c r="AE5742">
        <v>1</v>
      </c>
      <c r="AF5742">
        <v>0</v>
      </c>
      <c r="AG5742">
        <v>12267.54</v>
      </c>
      <c r="AH5742">
        <v>113</v>
      </c>
      <c r="AI5742">
        <v>112</v>
      </c>
      <c r="AJ5742">
        <v>1</v>
      </c>
      <c r="AK5742">
        <v>1</v>
      </c>
      <c r="AL5742">
        <v>1</v>
      </c>
      <c r="AM5742">
        <v>99.12</v>
      </c>
      <c r="AN5742">
        <v>112.1895</v>
      </c>
      <c r="AO5742">
        <v>108.56</v>
      </c>
      <c r="AP5742" s="13">
        <v>45947</v>
      </c>
      <c r="AQ5742">
        <v>-3</v>
      </c>
      <c r="AR5742">
        <v>1</v>
      </c>
    </row>
    <row r="5743" spans="1:44" x14ac:dyDescent="0.35">
      <c r="A5743" s="12" t="s">
        <v>6850</v>
      </c>
      <c r="B5743" s="12" t="s">
        <v>978</v>
      </c>
      <c r="C5743" s="12" t="s">
        <v>979</v>
      </c>
      <c r="D5743" s="12" t="s">
        <v>122</v>
      </c>
      <c r="E5743" s="12" t="s">
        <v>65</v>
      </c>
      <c r="F5743">
        <v>1</v>
      </c>
      <c r="G5743">
        <v>2</v>
      </c>
      <c r="H5743">
        <v>1</v>
      </c>
      <c r="I5743" s="12" t="s">
        <v>310</v>
      </c>
      <c r="J5743" s="12" t="s">
        <v>311</v>
      </c>
      <c r="K5743" s="12" t="s">
        <v>81</v>
      </c>
      <c r="L5743" s="12" t="s">
        <v>69</v>
      </c>
      <c r="M5743">
        <v>28.3</v>
      </c>
      <c r="N5743" s="12" t="s">
        <v>97</v>
      </c>
      <c r="O5743" s="12" t="s">
        <v>98</v>
      </c>
      <c r="P5743" s="12" t="s">
        <v>72</v>
      </c>
      <c r="Q5743" s="13">
        <v>45925</v>
      </c>
      <c r="R5743" s="13">
        <v>45951</v>
      </c>
      <c r="S5743">
        <v>2025</v>
      </c>
      <c r="T5743" s="12" t="s">
        <v>6704</v>
      </c>
      <c r="U5743">
        <v>703</v>
      </c>
      <c r="V5743">
        <v>43.4407</v>
      </c>
      <c r="W5743">
        <v>616.64</v>
      </c>
      <c r="X5743">
        <v>0</v>
      </c>
      <c r="Y5743">
        <v>0</v>
      </c>
      <c r="Z5743">
        <v>30538.81</v>
      </c>
      <c r="AA5743">
        <v>31155.45</v>
      </c>
      <c r="AB5743" s="12" t="s">
        <v>6061</v>
      </c>
      <c r="AC5743">
        <v>43.4407</v>
      </c>
      <c r="AD5743">
        <v>1</v>
      </c>
      <c r="AE5743">
        <v>1</v>
      </c>
      <c r="AF5743">
        <v>0</v>
      </c>
      <c r="AG5743">
        <v>30538.81</v>
      </c>
      <c r="AH5743">
        <v>703</v>
      </c>
      <c r="AI5743">
        <v>697</v>
      </c>
      <c r="AJ5743">
        <v>6</v>
      </c>
      <c r="AK5743">
        <v>1</v>
      </c>
      <c r="AL5743">
        <v>1</v>
      </c>
      <c r="AM5743">
        <v>99.15</v>
      </c>
      <c r="AN5743">
        <v>44.699399999999997</v>
      </c>
      <c r="AO5743">
        <v>260.64</v>
      </c>
      <c r="AP5743" s="13">
        <v>45948</v>
      </c>
      <c r="AQ5743">
        <v>-3</v>
      </c>
      <c r="AR5743">
        <v>1</v>
      </c>
    </row>
    <row r="5744" spans="1:44" x14ac:dyDescent="0.35">
      <c r="A5744" s="12" t="s">
        <v>6851</v>
      </c>
      <c r="B5744" s="12" t="s">
        <v>1013</v>
      </c>
      <c r="C5744" s="12" t="s">
        <v>1014</v>
      </c>
      <c r="D5744" s="12" t="s">
        <v>78</v>
      </c>
      <c r="E5744" s="12" t="s">
        <v>65</v>
      </c>
      <c r="F5744">
        <v>2</v>
      </c>
      <c r="G5744">
        <v>3</v>
      </c>
      <c r="H5744">
        <v>0</v>
      </c>
      <c r="I5744" s="12" t="s">
        <v>123</v>
      </c>
      <c r="J5744" s="12" t="s">
        <v>124</v>
      </c>
      <c r="K5744" s="12" t="s">
        <v>125</v>
      </c>
      <c r="L5744" s="12" t="s">
        <v>82</v>
      </c>
      <c r="M5744">
        <v>6.75</v>
      </c>
      <c r="N5744" s="12" t="s">
        <v>70</v>
      </c>
      <c r="O5744" s="12" t="s">
        <v>71</v>
      </c>
      <c r="P5744" s="12" t="s">
        <v>72</v>
      </c>
      <c r="Q5744" s="13">
        <v>45925</v>
      </c>
      <c r="R5744" s="13">
        <v>45947</v>
      </c>
      <c r="S5744">
        <v>2025</v>
      </c>
      <c r="T5744" s="12" t="s">
        <v>6704</v>
      </c>
      <c r="U5744">
        <v>57</v>
      </c>
      <c r="V5744">
        <v>124.94710000000001</v>
      </c>
      <c r="W5744">
        <v>149.22</v>
      </c>
      <c r="X5744">
        <v>0</v>
      </c>
      <c r="Y5744">
        <v>0</v>
      </c>
      <c r="Z5744">
        <v>7121.98</v>
      </c>
      <c r="AA5744">
        <v>7271.2</v>
      </c>
      <c r="AB5744" s="12" t="s">
        <v>6350</v>
      </c>
      <c r="AC5744">
        <v>124.94710000000001</v>
      </c>
      <c r="AD5744">
        <v>1</v>
      </c>
      <c r="AE5744">
        <v>1</v>
      </c>
      <c r="AF5744">
        <v>0</v>
      </c>
      <c r="AG5744">
        <v>7121.98</v>
      </c>
      <c r="AH5744">
        <v>57</v>
      </c>
      <c r="AI5744">
        <v>56</v>
      </c>
      <c r="AJ5744">
        <v>1</v>
      </c>
      <c r="AK5744">
        <v>1</v>
      </c>
      <c r="AL5744">
        <v>1</v>
      </c>
      <c r="AM5744">
        <v>98.25</v>
      </c>
      <c r="AN5744">
        <v>129.84289999999999</v>
      </c>
      <c r="AO5744">
        <v>124.95</v>
      </c>
      <c r="AP5744" s="13">
        <v>45954</v>
      </c>
      <c r="AQ5744">
        <v>7</v>
      </c>
      <c r="AR5744">
        <v>0</v>
      </c>
    </row>
    <row r="5745" spans="1:44" x14ac:dyDescent="0.35">
      <c r="A5745" s="12" t="s">
        <v>6852</v>
      </c>
      <c r="B5745" s="12" t="s">
        <v>85</v>
      </c>
      <c r="C5745" s="12" t="s">
        <v>86</v>
      </c>
      <c r="D5745" s="12" t="s">
        <v>78</v>
      </c>
      <c r="E5745" s="12" t="s">
        <v>65</v>
      </c>
      <c r="F5745">
        <v>3</v>
      </c>
      <c r="G5745">
        <v>5</v>
      </c>
      <c r="H5745">
        <v>0</v>
      </c>
      <c r="I5745" s="12" t="s">
        <v>87</v>
      </c>
      <c r="J5745" s="12" t="s">
        <v>88</v>
      </c>
      <c r="K5745" s="12" t="s">
        <v>89</v>
      </c>
      <c r="L5745" s="12" t="s">
        <v>69</v>
      </c>
      <c r="M5745">
        <v>14.93</v>
      </c>
      <c r="N5745" s="12" t="s">
        <v>70</v>
      </c>
      <c r="O5745" s="12" t="s">
        <v>71</v>
      </c>
      <c r="P5745" s="12" t="s">
        <v>72</v>
      </c>
      <c r="Q5745" s="13">
        <v>45925</v>
      </c>
      <c r="R5745" s="13">
        <v>45956</v>
      </c>
      <c r="S5745">
        <v>2025</v>
      </c>
      <c r="T5745" s="12" t="s">
        <v>6704</v>
      </c>
      <c r="U5745">
        <v>190</v>
      </c>
      <c r="V5745">
        <v>132.05160000000001</v>
      </c>
      <c r="W5745">
        <v>259.24</v>
      </c>
      <c r="X5745">
        <v>0</v>
      </c>
      <c r="Y5745">
        <v>0</v>
      </c>
      <c r="Z5745">
        <v>25089.8</v>
      </c>
      <c r="AA5745">
        <v>25349.040000000001</v>
      </c>
      <c r="AB5745" s="12" t="s">
        <v>5445</v>
      </c>
      <c r="AC5745">
        <v>132.05160000000001</v>
      </c>
      <c r="AD5745">
        <v>1</v>
      </c>
      <c r="AE5745">
        <v>1</v>
      </c>
      <c r="AF5745">
        <v>0</v>
      </c>
      <c r="AG5745">
        <v>25089.8</v>
      </c>
      <c r="AH5745">
        <v>190</v>
      </c>
      <c r="AI5745">
        <v>185</v>
      </c>
      <c r="AJ5745">
        <v>5</v>
      </c>
      <c r="AK5745">
        <v>1</v>
      </c>
      <c r="AL5745">
        <v>1</v>
      </c>
      <c r="AM5745">
        <v>97.37</v>
      </c>
      <c r="AN5745">
        <v>137.02189999999999</v>
      </c>
      <c r="AO5745">
        <v>660.26</v>
      </c>
      <c r="AP5745" s="13">
        <v>45954</v>
      </c>
      <c r="AQ5745">
        <v>-2</v>
      </c>
      <c r="AR5745">
        <v>1</v>
      </c>
    </row>
    <row r="5746" spans="1:44" x14ac:dyDescent="0.35">
      <c r="A5746" s="12" t="s">
        <v>6853</v>
      </c>
      <c r="B5746" s="12" t="s">
        <v>972</v>
      </c>
      <c r="C5746" s="12" t="s">
        <v>973</v>
      </c>
      <c r="D5746" s="12" t="s">
        <v>130</v>
      </c>
      <c r="E5746" s="12" t="s">
        <v>142</v>
      </c>
      <c r="F5746">
        <v>2</v>
      </c>
      <c r="G5746">
        <v>9</v>
      </c>
      <c r="H5746">
        <v>0</v>
      </c>
      <c r="I5746" s="12" t="s">
        <v>676</v>
      </c>
      <c r="J5746" s="12" t="s">
        <v>677</v>
      </c>
      <c r="K5746" s="12" t="s">
        <v>68</v>
      </c>
      <c r="L5746" s="12" t="s">
        <v>96</v>
      </c>
      <c r="M5746">
        <v>3.57</v>
      </c>
      <c r="N5746" s="12" t="s">
        <v>135</v>
      </c>
      <c r="O5746" s="12" t="s">
        <v>136</v>
      </c>
      <c r="P5746" s="12" t="s">
        <v>137</v>
      </c>
      <c r="Q5746" s="13">
        <v>45925</v>
      </c>
      <c r="R5746" s="13">
        <v>45968</v>
      </c>
      <c r="S5746">
        <v>2025</v>
      </c>
      <c r="T5746" s="12" t="s">
        <v>6704</v>
      </c>
      <c r="U5746">
        <v>79</v>
      </c>
      <c r="V5746">
        <v>839.82719999999995</v>
      </c>
      <c r="W5746">
        <v>733.05</v>
      </c>
      <c r="X5746">
        <v>0</v>
      </c>
      <c r="Y5746">
        <v>0</v>
      </c>
      <c r="Z5746">
        <v>66346.350000000006</v>
      </c>
      <c r="AA5746">
        <v>67079.399999999994</v>
      </c>
      <c r="AB5746" s="12" t="s">
        <v>6005</v>
      </c>
      <c r="AC5746">
        <v>839.82719999999995</v>
      </c>
      <c r="AD5746">
        <v>1</v>
      </c>
      <c r="AE5746">
        <v>1</v>
      </c>
      <c r="AF5746">
        <v>0</v>
      </c>
      <c r="AG5746">
        <v>66346.350000000006</v>
      </c>
      <c r="AH5746">
        <v>79</v>
      </c>
      <c r="AI5746">
        <v>79</v>
      </c>
      <c r="AJ5746">
        <v>0</v>
      </c>
      <c r="AK5746">
        <v>1</v>
      </c>
      <c r="AL5746">
        <v>1</v>
      </c>
      <c r="AM5746">
        <v>100</v>
      </c>
      <c r="AN5746">
        <v>849.10630000000003</v>
      </c>
      <c r="AO5746">
        <v>0</v>
      </c>
      <c r="AP5746" s="13">
        <v>45966</v>
      </c>
      <c r="AQ5746">
        <v>-2</v>
      </c>
      <c r="AR5746">
        <v>1</v>
      </c>
    </row>
    <row r="5747" spans="1:44" x14ac:dyDescent="0.35">
      <c r="A5747" s="12" t="s">
        <v>6854</v>
      </c>
      <c r="B5747" s="12" t="s">
        <v>447</v>
      </c>
      <c r="C5747" s="12" t="s">
        <v>448</v>
      </c>
      <c r="D5747" s="12" t="s">
        <v>269</v>
      </c>
      <c r="E5747" s="12" t="s">
        <v>65</v>
      </c>
      <c r="F5747">
        <v>2</v>
      </c>
      <c r="G5747">
        <v>2</v>
      </c>
      <c r="H5747">
        <v>0</v>
      </c>
      <c r="I5747" s="12" t="s">
        <v>94</v>
      </c>
      <c r="J5747" s="12" t="s">
        <v>95</v>
      </c>
      <c r="K5747" s="12" t="s">
        <v>81</v>
      </c>
      <c r="L5747" s="12" t="s">
        <v>96</v>
      </c>
      <c r="M5747">
        <v>4.8099999999999996</v>
      </c>
      <c r="N5747" s="12" t="s">
        <v>159</v>
      </c>
      <c r="O5747" s="12" t="s">
        <v>160</v>
      </c>
      <c r="P5747" s="12" t="s">
        <v>137</v>
      </c>
      <c r="Q5747" s="13">
        <v>45925</v>
      </c>
      <c r="R5747" s="13">
        <v>45959</v>
      </c>
      <c r="S5747">
        <v>2025</v>
      </c>
      <c r="T5747" s="12" t="s">
        <v>6704</v>
      </c>
      <c r="U5747">
        <v>118</v>
      </c>
      <c r="V5747">
        <v>367.30009999999999</v>
      </c>
      <c r="W5747">
        <v>780.1</v>
      </c>
      <c r="X5747">
        <v>0</v>
      </c>
      <c r="Y5747">
        <v>0</v>
      </c>
      <c r="Z5747">
        <v>43341.41</v>
      </c>
      <c r="AA5747">
        <v>44121.51</v>
      </c>
      <c r="AB5747" s="12" t="s">
        <v>5685</v>
      </c>
      <c r="AC5747">
        <v>367.30009999999999</v>
      </c>
      <c r="AD5747">
        <v>1</v>
      </c>
      <c r="AE5747">
        <v>1</v>
      </c>
      <c r="AF5747">
        <v>0</v>
      </c>
      <c r="AG5747">
        <v>43341.41</v>
      </c>
      <c r="AH5747">
        <v>118</v>
      </c>
      <c r="AI5747">
        <v>117</v>
      </c>
      <c r="AJ5747">
        <v>1</v>
      </c>
      <c r="AK5747">
        <v>1</v>
      </c>
      <c r="AL5747">
        <v>1</v>
      </c>
      <c r="AM5747">
        <v>99.15</v>
      </c>
      <c r="AN5747">
        <v>377.1069</v>
      </c>
      <c r="AO5747">
        <v>367.3</v>
      </c>
      <c r="AP5747" s="13">
        <v>45958</v>
      </c>
      <c r="AQ5747">
        <v>-1</v>
      </c>
      <c r="AR5747">
        <v>1</v>
      </c>
    </row>
    <row r="5748" spans="1:44" x14ac:dyDescent="0.35">
      <c r="A5748" s="12" t="s">
        <v>6855</v>
      </c>
      <c r="B5748" s="12" t="s">
        <v>149</v>
      </c>
      <c r="C5748" s="12" t="s">
        <v>150</v>
      </c>
      <c r="D5748" s="12" t="s">
        <v>78</v>
      </c>
      <c r="E5748" s="12" t="s">
        <v>65</v>
      </c>
      <c r="F5748">
        <v>2</v>
      </c>
      <c r="G5748">
        <v>2</v>
      </c>
      <c r="H5748">
        <v>0</v>
      </c>
      <c r="I5748" s="12" t="s">
        <v>151</v>
      </c>
      <c r="J5748" s="12" t="s">
        <v>152</v>
      </c>
      <c r="K5748" s="12" t="s">
        <v>125</v>
      </c>
      <c r="L5748" s="12" t="s">
        <v>69</v>
      </c>
      <c r="M5748">
        <v>36.479999999999997</v>
      </c>
      <c r="N5748" s="12" t="s">
        <v>97</v>
      </c>
      <c r="O5748" s="12" t="s">
        <v>98</v>
      </c>
      <c r="P5748" s="12" t="s">
        <v>72</v>
      </c>
      <c r="Q5748" s="13">
        <v>45926</v>
      </c>
      <c r="R5748" s="13">
        <v>45950</v>
      </c>
      <c r="S5748">
        <v>2025</v>
      </c>
      <c r="T5748" s="12" t="s">
        <v>6704</v>
      </c>
      <c r="U5748">
        <v>94</v>
      </c>
      <c r="V5748">
        <v>65.934700000000007</v>
      </c>
      <c r="W5748">
        <v>100.99</v>
      </c>
      <c r="X5748">
        <v>0</v>
      </c>
      <c r="Y5748">
        <v>0</v>
      </c>
      <c r="Z5748">
        <v>6197.86</v>
      </c>
      <c r="AA5748">
        <v>6298.85</v>
      </c>
      <c r="AB5748" s="12" t="s">
        <v>5076</v>
      </c>
      <c r="AC5748">
        <v>65.934700000000007</v>
      </c>
      <c r="AD5748">
        <v>1</v>
      </c>
      <c r="AE5748">
        <v>1</v>
      </c>
      <c r="AF5748">
        <v>0</v>
      </c>
      <c r="AG5748">
        <v>6197.86</v>
      </c>
      <c r="AH5748">
        <v>94</v>
      </c>
      <c r="AI5748">
        <v>92</v>
      </c>
      <c r="AJ5748">
        <v>2</v>
      </c>
      <c r="AK5748">
        <v>1</v>
      </c>
      <c r="AL5748">
        <v>1</v>
      </c>
      <c r="AM5748">
        <v>97.87</v>
      </c>
      <c r="AN5748">
        <v>68.465800000000002</v>
      </c>
      <c r="AO5748">
        <v>131.87</v>
      </c>
      <c r="AP5748" s="13">
        <v>45950</v>
      </c>
      <c r="AQ5748">
        <v>0</v>
      </c>
      <c r="AR5748">
        <v>1</v>
      </c>
    </row>
    <row r="5749" spans="1:44" x14ac:dyDescent="0.35">
      <c r="A5749" s="12" t="s">
        <v>6856</v>
      </c>
      <c r="B5749" s="12" t="s">
        <v>843</v>
      </c>
      <c r="C5749" s="12" t="s">
        <v>844</v>
      </c>
      <c r="D5749" s="12" t="s">
        <v>175</v>
      </c>
      <c r="E5749" s="12" t="s">
        <v>65</v>
      </c>
      <c r="F5749">
        <v>3</v>
      </c>
      <c r="G5749">
        <v>5</v>
      </c>
      <c r="H5749">
        <v>0</v>
      </c>
      <c r="I5749" s="12" t="s">
        <v>359</v>
      </c>
      <c r="J5749" s="12" t="s">
        <v>360</v>
      </c>
      <c r="K5749" s="12" t="s">
        <v>133</v>
      </c>
      <c r="L5749" s="12" t="s">
        <v>82</v>
      </c>
      <c r="M5749">
        <v>12.65</v>
      </c>
      <c r="N5749" s="12" t="s">
        <v>145</v>
      </c>
      <c r="O5749" s="12" t="s">
        <v>146</v>
      </c>
      <c r="P5749" s="12" t="s">
        <v>109</v>
      </c>
      <c r="Q5749" s="13">
        <v>45926</v>
      </c>
      <c r="R5749" s="13">
        <v>45948</v>
      </c>
      <c r="S5749">
        <v>2025</v>
      </c>
      <c r="T5749" s="12" t="s">
        <v>6704</v>
      </c>
      <c r="U5749">
        <v>23</v>
      </c>
      <c r="V5749">
        <v>237.4212</v>
      </c>
      <c r="W5749">
        <v>77.510000000000005</v>
      </c>
      <c r="X5749">
        <v>0</v>
      </c>
      <c r="Y5749">
        <v>0</v>
      </c>
      <c r="Z5749">
        <v>5460.69</v>
      </c>
      <c r="AA5749">
        <v>5538.2</v>
      </c>
      <c r="AB5749" s="12" t="s">
        <v>6075</v>
      </c>
      <c r="AC5749">
        <v>237.4212</v>
      </c>
      <c r="AD5749">
        <v>1</v>
      </c>
      <c r="AE5749">
        <v>1</v>
      </c>
      <c r="AF5749">
        <v>0</v>
      </c>
      <c r="AG5749">
        <v>5460.69</v>
      </c>
      <c r="AH5749">
        <v>23</v>
      </c>
      <c r="AI5749">
        <v>23</v>
      </c>
      <c r="AJ5749">
        <v>0</v>
      </c>
      <c r="AK5749">
        <v>1</v>
      </c>
      <c r="AL5749">
        <v>1</v>
      </c>
      <c r="AM5749">
        <v>100</v>
      </c>
      <c r="AN5749">
        <v>240.7912</v>
      </c>
      <c r="AO5749">
        <v>0</v>
      </c>
      <c r="AP5749" s="13">
        <v>45957</v>
      </c>
      <c r="AQ5749">
        <v>9</v>
      </c>
      <c r="AR5749">
        <v>0</v>
      </c>
    </row>
    <row r="5750" spans="1:44" x14ac:dyDescent="0.35">
      <c r="A5750" s="12" t="s">
        <v>6857</v>
      </c>
      <c r="B5750" s="12" t="s">
        <v>646</v>
      </c>
      <c r="C5750" s="12" t="s">
        <v>647</v>
      </c>
      <c r="D5750" s="12" t="s">
        <v>175</v>
      </c>
      <c r="E5750" s="12" t="s">
        <v>104</v>
      </c>
      <c r="F5750">
        <v>3</v>
      </c>
      <c r="G5750">
        <v>1</v>
      </c>
      <c r="H5750">
        <v>0</v>
      </c>
      <c r="I5750" s="12" t="s">
        <v>227</v>
      </c>
      <c r="J5750" s="12" t="s">
        <v>228</v>
      </c>
      <c r="K5750" s="12" t="s">
        <v>89</v>
      </c>
      <c r="L5750" s="12" t="s">
        <v>96</v>
      </c>
      <c r="M5750">
        <v>9.15</v>
      </c>
      <c r="N5750" s="12" t="s">
        <v>145</v>
      </c>
      <c r="O5750" s="12" t="s">
        <v>146</v>
      </c>
      <c r="P5750" s="12" t="s">
        <v>109</v>
      </c>
      <c r="Q5750" s="13">
        <v>45926</v>
      </c>
      <c r="R5750" s="13">
        <v>45948</v>
      </c>
      <c r="S5750">
        <v>2025</v>
      </c>
      <c r="T5750" s="12" t="s">
        <v>6704</v>
      </c>
      <c r="U5750">
        <v>92</v>
      </c>
      <c r="V5750">
        <v>196.08359999999999</v>
      </c>
      <c r="W5750">
        <v>133.80000000000001</v>
      </c>
      <c r="X5750">
        <v>0</v>
      </c>
      <c r="Y5750">
        <v>0</v>
      </c>
      <c r="Z5750">
        <v>18039.689999999999</v>
      </c>
      <c r="AA5750">
        <v>18173.490000000002</v>
      </c>
      <c r="AB5750" s="12" t="s">
        <v>5935</v>
      </c>
      <c r="AC5750">
        <v>191.95849999999999</v>
      </c>
      <c r="AD5750">
        <v>1</v>
      </c>
      <c r="AE5750">
        <v>1</v>
      </c>
      <c r="AF5750">
        <v>379.51</v>
      </c>
      <c r="AG5750">
        <v>17660.18</v>
      </c>
      <c r="AH5750">
        <v>92</v>
      </c>
      <c r="AI5750">
        <v>91</v>
      </c>
      <c r="AJ5750">
        <v>1</v>
      </c>
      <c r="AK5750">
        <v>1</v>
      </c>
      <c r="AL5750">
        <v>1</v>
      </c>
      <c r="AM5750">
        <v>98.91</v>
      </c>
      <c r="AN5750">
        <v>199.70869999999999</v>
      </c>
      <c r="AO5750">
        <v>196.08</v>
      </c>
      <c r="AP5750" s="13">
        <v>45945</v>
      </c>
      <c r="AQ5750">
        <v>-3</v>
      </c>
      <c r="AR5750">
        <v>1</v>
      </c>
    </row>
    <row r="5751" spans="1:44" x14ac:dyDescent="0.35">
      <c r="A5751" s="12" t="s">
        <v>6858</v>
      </c>
      <c r="B5751" s="12" t="s">
        <v>598</v>
      </c>
      <c r="C5751" s="12" t="s">
        <v>599</v>
      </c>
      <c r="D5751" s="12" t="s">
        <v>269</v>
      </c>
      <c r="E5751" s="12" t="s">
        <v>65</v>
      </c>
      <c r="F5751">
        <v>1</v>
      </c>
      <c r="G5751">
        <v>2</v>
      </c>
      <c r="H5751">
        <v>1</v>
      </c>
      <c r="I5751" s="12" t="s">
        <v>176</v>
      </c>
      <c r="J5751" s="12" t="s">
        <v>177</v>
      </c>
      <c r="K5751" s="12" t="s">
        <v>125</v>
      </c>
      <c r="L5751" s="12" t="s">
        <v>134</v>
      </c>
      <c r="M5751">
        <v>1.75</v>
      </c>
      <c r="N5751" s="12" t="s">
        <v>159</v>
      </c>
      <c r="O5751" s="12" t="s">
        <v>160</v>
      </c>
      <c r="P5751" s="12" t="s">
        <v>137</v>
      </c>
      <c r="Q5751" s="13">
        <v>45926</v>
      </c>
      <c r="R5751" s="13">
        <v>45948</v>
      </c>
      <c r="S5751">
        <v>2025</v>
      </c>
      <c r="T5751" s="12" t="s">
        <v>6704</v>
      </c>
      <c r="U5751">
        <v>24</v>
      </c>
      <c r="V5751">
        <v>490.07249999999999</v>
      </c>
      <c r="W5751">
        <v>184.95</v>
      </c>
      <c r="X5751">
        <v>0</v>
      </c>
      <c r="Y5751">
        <v>0</v>
      </c>
      <c r="Z5751">
        <v>11761.74</v>
      </c>
      <c r="AA5751">
        <v>11946.69</v>
      </c>
      <c r="AB5751" s="12" t="s">
        <v>201</v>
      </c>
      <c r="AD5751">
        <v>0</v>
      </c>
      <c r="AE5751">
        <v>0</v>
      </c>
      <c r="AH5751">
        <v>24</v>
      </c>
      <c r="AI5751">
        <v>24</v>
      </c>
      <c r="AJ5751">
        <v>0</v>
      </c>
      <c r="AK5751">
        <v>1</v>
      </c>
      <c r="AL5751">
        <v>1</v>
      </c>
      <c r="AM5751">
        <v>100</v>
      </c>
      <c r="AN5751">
        <v>497.77879999999999</v>
      </c>
      <c r="AO5751">
        <v>0</v>
      </c>
      <c r="AP5751" s="13">
        <v>45948</v>
      </c>
      <c r="AQ5751">
        <v>0</v>
      </c>
      <c r="AR5751">
        <v>1</v>
      </c>
    </row>
    <row r="5752" spans="1:44" x14ac:dyDescent="0.35">
      <c r="A5752" s="12" t="s">
        <v>6859</v>
      </c>
      <c r="B5752" s="12" t="s">
        <v>1075</v>
      </c>
      <c r="C5752" s="12" t="s">
        <v>1076</v>
      </c>
      <c r="D5752" s="12" t="s">
        <v>103</v>
      </c>
      <c r="E5752" s="12" t="s">
        <v>65</v>
      </c>
      <c r="F5752">
        <v>2</v>
      </c>
      <c r="G5752">
        <v>4</v>
      </c>
      <c r="H5752">
        <v>0</v>
      </c>
      <c r="I5752" s="12" t="s">
        <v>176</v>
      </c>
      <c r="J5752" s="12" t="s">
        <v>177</v>
      </c>
      <c r="K5752" s="12" t="s">
        <v>125</v>
      </c>
      <c r="L5752" s="12" t="s">
        <v>134</v>
      </c>
      <c r="M5752">
        <v>1.75</v>
      </c>
      <c r="N5752" s="12" t="s">
        <v>145</v>
      </c>
      <c r="O5752" s="12" t="s">
        <v>146</v>
      </c>
      <c r="P5752" s="12" t="s">
        <v>109</v>
      </c>
      <c r="Q5752" s="13">
        <v>45926</v>
      </c>
      <c r="R5752" s="13">
        <v>45962</v>
      </c>
      <c r="S5752">
        <v>2025</v>
      </c>
      <c r="T5752" s="12" t="s">
        <v>6704</v>
      </c>
      <c r="U5752">
        <v>127</v>
      </c>
      <c r="V5752">
        <v>67.238399999999999</v>
      </c>
      <c r="W5752">
        <v>144.74</v>
      </c>
      <c r="X5752">
        <v>0</v>
      </c>
      <c r="Y5752">
        <v>0</v>
      </c>
      <c r="Z5752">
        <v>8539.2800000000007</v>
      </c>
      <c r="AA5752">
        <v>8684.02</v>
      </c>
      <c r="AB5752" s="12" t="s">
        <v>6035</v>
      </c>
      <c r="AC5752">
        <v>67.238399999999999</v>
      </c>
      <c r="AD5752">
        <v>1</v>
      </c>
      <c r="AE5752">
        <v>1</v>
      </c>
      <c r="AF5752">
        <v>0</v>
      </c>
      <c r="AG5752">
        <v>8539.2800000000007</v>
      </c>
      <c r="AH5752">
        <v>127</v>
      </c>
      <c r="AI5752">
        <v>125</v>
      </c>
      <c r="AJ5752">
        <v>2</v>
      </c>
      <c r="AK5752">
        <v>1</v>
      </c>
      <c r="AL5752">
        <v>1</v>
      </c>
      <c r="AM5752">
        <v>98.43</v>
      </c>
      <c r="AN5752">
        <v>69.472099999999998</v>
      </c>
      <c r="AO5752">
        <v>134.47999999999999</v>
      </c>
      <c r="AP5752" s="13">
        <v>45962</v>
      </c>
      <c r="AQ5752">
        <v>0</v>
      </c>
      <c r="AR5752">
        <v>1</v>
      </c>
    </row>
    <row r="5753" spans="1:44" x14ac:dyDescent="0.35">
      <c r="A5753" s="12" t="s">
        <v>6860</v>
      </c>
      <c r="B5753" s="12" t="s">
        <v>193</v>
      </c>
      <c r="C5753" s="12" t="s">
        <v>194</v>
      </c>
      <c r="D5753" s="12" t="s">
        <v>114</v>
      </c>
      <c r="E5753" s="12" t="s">
        <v>65</v>
      </c>
      <c r="F5753">
        <v>3</v>
      </c>
      <c r="G5753">
        <v>4</v>
      </c>
      <c r="H5753">
        <v>0</v>
      </c>
      <c r="I5753" s="12" t="s">
        <v>195</v>
      </c>
      <c r="J5753" s="12" t="s">
        <v>196</v>
      </c>
      <c r="K5753" s="12" t="s">
        <v>117</v>
      </c>
      <c r="L5753" s="12" t="s">
        <v>134</v>
      </c>
      <c r="M5753">
        <v>4.7699999999999996</v>
      </c>
      <c r="N5753" s="12" t="s">
        <v>97</v>
      </c>
      <c r="O5753" s="12" t="s">
        <v>98</v>
      </c>
      <c r="P5753" s="12" t="s">
        <v>72</v>
      </c>
      <c r="Q5753" s="13">
        <v>45926</v>
      </c>
      <c r="R5753" s="13">
        <v>45951</v>
      </c>
      <c r="S5753">
        <v>2025</v>
      </c>
      <c r="T5753" s="12" t="s">
        <v>6704</v>
      </c>
      <c r="U5753">
        <v>46</v>
      </c>
      <c r="V5753">
        <v>104.5202</v>
      </c>
      <c r="W5753">
        <v>78.8</v>
      </c>
      <c r="X5753">
        <v>0</v>
      </c>
      <c r="Y5753">
        <v>0</v>
      </c>
      <c r="Z5753">
        <v>4807.93</v>
      </c>
      <c r="AA5753">
        <v>4886.7299999999996</v>
      </c>
      <c r="AB5753" s="12" t="s">
        <v>5258</v>
      </c>
      <c r="AC5753">
        <v>104.5202</v>
      </c>
      <c r="AD5753">
        <v>1</v>
      </c>
      <c r="AE5753">
        <v>1</v>
      </c>
      <c r="AF5753">
        <v>0</v>
      </c>
      <c r="AG5753">
        <v>4807.93</v>
      </c>
      <c r="AH5753">
        <v>46</v>
      </c>
      <c r="AI5753">
        <v>45</v>
      </c>
      <c r="AJ5753">
        <v>1</v>
      </c>
      <c r="AK5753">
        <v>1</v>
      </c>
      <c r="AL5753">
        <v>1</v>
      </c>
      <c r="AM5753">
        <v>97.83</v>
      </c>
      <c r="AN5753">
        <v>108.59399999999999</v>
      </c>
      <c r="AO5753">
        <v>104.52</v>
      </c>
      <c r="AP5753" s="13">
        <v>45957</v>
      </c>
      <c r="AQ5753">
        <v>6</v>
      </c>
      <c r="AR5753">
        <v>0</v>
      </c>
    </row>
    <row r="5754" spans="1:44" x14ac:dyDescent="0.35">
      <c r="A5754" s="12" t="s">
        <v>6861</v>
      </c>
      <c r="B5754" s="12" t="s">
        <v>532</v>
      </c>
      <c r="C5754" s="12" t="s">
        <v>533</v>
      </c>
      <c r="D5754" s="12" t="s">
        <v>114</v>
      </c>
      <c r="E5754" s="12" t="s">
        <v>65</v>
      </c>
      <c r="F5754">
        <v>2</v>
      </c>
      <c r="G5754">
        <v>3</v>
      </c>
      <c r="H5754">
        <v>0</v>
      </c>
      <c r="I5754" s="12" t="s">
        <v>105</v>
      </c>
      <c r="J5754" s="12" t="s">
        <v>106</v>
      </c>
      <c r="K5754" s="12" t="s">
        <v>81</v>
      </c>
      <c r="L5754" s="12" t="s">
        <v>96</v>
      </c>
      <c r="M5754">
        <v>5.01</v>
      </c>
      <c r="N5754" s="12" t="s">
        <v>97</v>
      </c>
      <c r="O5754" s="12" t="s">
        <v>98</v>
      </c>
      <c r="P5754" s="12" t="s">
        <v>72</v>
      </c>
      <c r="Q5754" s="13">
        <v>45926</v>
      </c>
      <c r="R5754" s="13">
        <v>45960</v>
      </c>
      <c r="S5754">
        <v>2025</v>
      </c>
      <c r="T5754" s="12" t="s">
        <v>6704</v>
      </c>
      <c r="U5754">
        <v>118</v>
      </c>
      <c r="V5754">
        <v>249.89959999999999</v>
      </c>
      <c r="W5754">
        <v>210.84</v>
      </c>
      <c r="X5754">
        <v>0</v>
      </c>
      <c r="Y5754">
        <v>0</v>
      </c>
      <c r="Z5754">
        <v>29488.15</v>
      </c>
      <c r="AA5754">
        <v>29698.99</v>
      </c>
      <c r="AB5754" s="12" t="s">
        <v>5676</v>
      </c>
      <c r="AC5754">
        <v>249.89959999999999</v>
      </c>
      <c r="AD5754">
        <v>1</v>
      </c>
      <c r="AE5754">
        <v>1</v>
      </c>
      <c r="AF5754">
        <v>0</v>
      </c>
      <c r="AG5754">
        <v>29488.15</v>
      </c>
      <c r="AH5754">
        <v>118</v>
      </c>
      <c r="AI5754">
        <v>116</v>
      </c>
      <c r="AJ5754">
        <v>2</v>
      </c>
      <c r="AK5754">
        <v>1</v>
      </c>
      <c r="AL5754">
        <v>1</v>
      </c>
      <c r="AM5754">
        <v>98.31</v>
      </c>
      <c r="AN5754">
        <v>256.0258</v>
      </c>
      <c r="AO5754">
        <v>499.8</v>
      </c>
      <c r="AP5754" s="13">
        <v>45958</v>
      </c>
      <c r="AQ5754">
        <v>-2</v>
      </c>
      <c r="AR5754">
        <v>1</v>
      </c>
    </row>
    <row r="5755" spans="1:44" x14ac:dyDescent="0.35">
      <c r="A5755" s="12" t="s">
        <v>6862</v>
      </c>
      <c r="B5755" s="12" t="s">
        <v>670</v>
      </c>
      <c r="C5755" s="12" t="s">
        <v>671</v>
      </c>
      <c r="D5755" s="12" t="s">
        <v>175</v>
      </c>
      <c r="E5755" s="12" t="s">
        <v>142</v>
      </c>
      <c r="F5755">
        <v>2</v>
      </c>
      <c r="G5755">
        <v>9</v>
      </c>
      <c r="H5755">
        <v>0</v>
      </c>
      <c r="I5755" s="12" t="s">
        <v>233</v>
      </c>
      <c r="J5755" s="12" t="s">
        <v>234</v>
      </c>
      <c r="K5755" s="12" t="s">
        <v>125</v>
      </c>
      <c r="L5755" s="12" t="s">
        <v>96</v>
      </c>
      <c r="M5755">
        <v>3.73</v>
      </c>
      <c r="N5755" s="12" t="s">
        <v>145</v>
      </c>
      <c r="O5755" s="12" t="s">
        <v>146</v>
      </c>
      <c r="P5755" s="12" t="s">
        <v>109</v>
      </c>
      <c r="Q5755" s="13">
        <v>45926</v>
      </c>
      <c r="R5755" s="13">
        <v>45978</v>
      </c>
      <c r="S5755">
        <v>2025</v>
      </c>
      <c r="T5755" s="12" t="s">
        <v>6704</v>
      </c>
      <c r="U5755">
        <v>143</v>
      </c>
      <c r="V5755">
        <v>144.0438</v>
      </c>
      <c r="W5755">
        <v>161.97999999999999</v>
      </c>
      <c r="X5755">
        <v>0</v>
      </c>
      <c r="Y5755">
        <v>0</v>
      </c>
      <c r="Z5755">
        <v>20598.259999999998</v>
      </c>
      <c r="AA5755">
        <v>20760.240000000002</v>
      </c>
      <c r="AB5755" s="12" t="s">
        <v>6098</v>
      </c>
      <c r="AC5755">
        <v>144.0438</v>
      </c>
      <c r="AD5755">
        <v>1</v>
      </c>
      <c r="AE5755">
        <v>1</v>
      </c>
      <c r="AF5755">
        <v>0</v>
      </c>
      <c r="AG5755">
        <v>20598.259999999998</v>
      </c>
      <c r="AH5755">
        <v>143</v>
      </c>
      <c r="AI5755">
        <v>141</v>
      </c>
      <c r="AJ5755">
        <v>2</v>
      </c>
      <c r="AK5755">
        <v>1</v>
      </c>
      <c r="AL5755">
        <v>1</v>
      </c>
      <c r="AM5755">
        <v>98.6</v>
      </c>
      <c r="AN5755">
        <v>147.23580000000001</v>
      </c>
      <c r="AO5755">
        <v>288.08999999999997</v>
      </c>
      <c r="AP5755" s="13">
        <v>45976</v>
      </c>
      <c r="AQ5755">
        <v>-2</v>
      </c>
      <c r="AR5755">
        <v>1</v>
      </c>
    </row>
    <row r="5756" spans="1:44" x14ac:dyDescent="0.35">
      <c r="A5756" s="12" t="s">
        <v>6863</v>
      </c>
      <c r="B5756" s="12" t="s">
        <v>843</v>
      </c>
      <c r="C5756" s="12" t="s">
        <v>844</v>
      </c>
      <c r="D5756" s="12" t="s">
        <v>175</v>
      </c>
      <c r="E5756" s="12" t="s">
        <v>65</v>
      </c>
      <c r="F5756">
        <v>3</v>
      </c>
      <c r="G5756">
        <v>5</v>
      </c>
      <c r="H5756">
        <v>0</v>
      </c>
      <c r="I5756" s="12" t="s">
        <v>359</v>
      </c>
      <c r="J5756" s="12" t="s">
        <v>360</v>
      </c>
      <c r="K5756" s="12" t="s">
        <v>133</v>
      </c>
      <c r="L5756" s="12" t="s">
        <v>82</v>
      </c>
      <c r="M5756">
        <v>12.65</v>
      </c>
      <c r="N5756" s="12" t="s">
        <v>107</v>
      </c>
      <c r="O5756" s="12" t="s">
        <v>108</v>
      </c>
      <c r="P5756" s="12" t="s">
        <v>109</v>
      </c>
      <c r="Q5756" s="13">
        <v>45929</v>
      </c>
      <c r="R5756" s="13">
        <v>45954</v>
      </c>
      <c r="S5756">
        <v>2025</v>
      </c>
      <c r="T5756" s="12" t="s">
        <v>6704</v>
      </c>
      <c r="U5756">
        <v>44</v>
      </c>
      <c r="V5756">
        <v>223.65559999999999</v>
      </c>
      <c r="W5756">
        <v>117.45</v>
      </c>
      <c r="X5756">
        <v>0</v>
      </c>
      <c r="Y5756">
        <v>0</v>
      </c>
      <c r="Z5756">
        <v>9840.85</v>
      </c>
      <c r="AA5756">
        <v>9958.2999999999993</v>
      </c>
      <c r="AB5756" s="12" t="s">
        <v>6075</v>
      </c>
      <c r="AC5756">
        <v>237.4212</v>
      </c>
      <c r="AD5756">
        <v>1</v>
      </c>
      <c r="AE5756">
        <v>1</v>
      </c>
      <c r="AF5756">
        <v>-605.69000000000005</v>
      </c>
      <c r="AG5756">
        <v>10446.530000000001</v>
      </c>
      <c r="AH5756">
        <v>44</v>
      </c>
      <c r="AI5756">
        <v>43</v>
      </c>
      <c r="AJ5756">
        <v>1</v>
      </c>
      <c r="AK5756">
        <v>1</v>
      </c>
      <c r="AL5756">
        <v>1</v>
      </c>
      <c r="AM5756">
        <v>97.73</v>
      </c>
      <c r="AN5756">
        <v>231.5883</v>
      </c>
      <c r="AO5756">
        <v>223.66</v>
      </c>
      <c r="AP5756" s="13">
        <v>45952</v>
      </c>
      <c r="AQ5756">
        <v>-2</v>
      </c>
      <c r="AR5756">
        <v>1</v>
      </c>
    </row>
    <row r="5757" spans="1:44" x14ac:dyDescent="0.35">
      <c r="A5757" s="12" t="s">
        <v>6864</v>
      </c>
      <c r="B5757" s="12" t="s">
        <v>284</v>
      </c>
      <c r="C5757" s="12" t="s">
        <v>285</v>
      </c>
      <c r="D5757" s="12" t="s">
        <v>269</v>
      </c>
      <c r="E5757" s="12" t="s">
        <v>104</v>
      </c>
      <c r="F5757">
        <v>3</v>
      </c>
      <c r="G5757">
        <v>1</v>
      </c>
      <c r="H5757">
        <v>0</v>
      </c>
      <c r="I5757" s="12" t="s">
        <v>199</v>
      </c>
      <c r="J5757" s="12" t="s">
        <v>200</v>
      </c>
      <c r="K5757" s="12" t="s">
        <v>68</v>
      </c>
      <c r="L5757" s="12" t="s">
        <v>96</v>
      </c>
      <c r="M5757">
        <v>9.4700000000000006</v>
      </c>
      <c r="N5757" s="12" t="s">
        <v>159</v>
      </c>
      <c r="O5757" s="12" t="s">
        <v>160</v>
      </c>
      <c r="P5757" s="12" t="s">
        <v>137</v>
      </c>
      <c r="Q5757" s="13">
        <v>45929</v>
      </c>
      <c r="R5757" s="13">
        <v>45953</v>
      </c>
      <c r="S5757">
        <v>2025</v>
      </c>
      <c r="T5757" s="12" t="s">
        <v>6704</v>
      </c>
      <c r="U5757">
        <v>106</v>
      </c>
      <c r="V5757">
        <v>365.89519999999999</v>
      </c>
      <c r="W5757">
        <v>274.73</v>
      </c>
      <c r="X5757">
        <v>0</v>
      </c>
      <c r="Y5757">
        <v>0</v>
      </c>
      <c r="Z5757">
        <v>38784.89</v>
      </c>
      <c r="AA5757">
        <v>39059.620000000003</v>
      </c>
      <c r="AB5757" s="12" t="s">
        <v>201</v>
      </c>
      <c r="AD5757">
        <v>0</v>
      </c>
      <c r="AE5757">
        <v>0</v>
      </c>
      <c r="AH5757">
        <v>106</v>
      </c>
      <c r="AI5757">
        <v>105</v>
      </c>
      <c r="AJ5757">
        <v>1</v>
      </c>
      <c r="AK5757">
        <v>1</v>
      </c>
      <c r="AL5757">
        <v>1</v>
      </c>
      <c r="AM5757">
        <v>99.06</v>
      </c>
      <c r="AN5757">
        <v>371.99639999999999</v>
      </c>
      <c r="AO5757">
        <v>365.9</v>
      </c>
      <c r="AP5757" s="13">
        <v>45962</v>
      </c>
      <c r="AQ5757">
        <v>9</v>
      </c>
      <c r="AR5757">
        <v>0</v>
      </c>
    </row>
    <row r="5758" spans="1:44" x14ac:dyDescent="0.35">
      <c r="A5758" s="12" t="s">
        <v>6865</v>
      </c>
      <c r="B5758" s="12" t="s">
        <v>465</v>
      </c>
      <c r="C5758" s="12" t="s">
        <v>466</v>
      </c>
      <c r="D5758" s="12" t="s">
        <v>78</v>
      </c>
      <c r="E5758" s="12" t="s">
        <v>142</v>
      </c>
      <c r="F5758">
        <v>3</v>
      </c>
      <c r="G5758">
        <v>11</v>
      </c>
      <c r="H5758">
        <v>0</v>
      </c>
      <c r="I5758" s="12" t="s">
        <v>195</v>
      </c>
      <c r="J5758" s="12" t="s">
        <v>196</v>
      </c>
      <c r="K5758" s="12" t="s">
        <v>117</v>
      </c>
      <c r="L5758" s="12" t="s">
        <v>134</v>
      </c>
      <c r="M5758">
        <v>4.7699999999999996</v>
      </c>
      <c r="N5758" s="12" t="s">
        <v>70</v>
      </c>
      <c r="O5758" s="12" t="s">
        <v>71</v>
      </c>
      <c r="P5758" s="12" t="s">
        <v>72</v>
      </c>
      <c r="Q5758" s="13">
        <v>45929</v>
      </c>
      <c r="R5758" s="13">
        <v>45971</v>
      </c>
      <c r="S5758">
        <v>2025</v>
      </c>
      <c r="T5758" s="12" t="s">
        <v>6704</v>
      </c>
      <c r="U5758">
        <v>144</v>
      </c>
      <c r="V5758">
        <v>105.56229999999999</v>
      </c>
      <c r="W5758">
        <v>137.44999999999999</v>
      </c>
      <c r="X5758">
        <v>0</v>
      </c>
      <c r="Y5758">
        <v>0</v>
      </c>
      <c r="Z5758">
        <v>15200.97</v>
      </c>
      <c r="AA5758">
        <v>15338.42</v>
      </c>
      <c r="AB5758" s="12" t="s">
        <v>5716</v>
      </c>
      <c r="AC5758">
        <v>105.56229999999999</v>
      </c>
      <c r="AD5758">
        <v>1</v>
      </c>
      <c r="AE5758">
        <v>1</v>
      </c>
      <c r="AF5758">
        <v>0</v>
      </c>
      <c r="AG5758">
        <v>15200.97</v>
      </c>
      <c r="AH5758">
        <v>144</v>
      </c>
      <c r="AI5758">
        <v>141</v>
      </c>
      <c r="AJ5758">
        <v>3</v>
      </c>
      <c r="AK5758">
        <v>1</v>
      </c>
      <c r="AL5758">
        <v>1</v>
      </c>
      <c r="AM5758">
        <v>97.92</v>
      </c>
      <c r="AN5758">
        <v>108.7831</v>
      </c>
      <c r="AO5758">
        <v>316.69</v>
      </c>
      <c r="AP5758" s="13">
        <v>45970</v>
      </c>
      <c r="AQ5758">
        <v>-1</v>
      </c>
      <c r="AR5758">
        <v>1</v>
      </c>
    </row>
    <row r="5759" spans="1:44" x14ac:dyDescent="0.35">
      <c r="A5759" s="12" t="s">
        <v>6866</v>
      </c>
      <c r="B5759" s="12" t="s">
        <v>694</v>
      </c>
      <c r="C5759" s="12" t="s">
        <v>695</v>
      </c>
      <c r="D5759" s="12" t="s">
        <v>103</v>
      </c>
      <c r="E5759" s="12" t="s">
        <v>65</v>
      </c>
      <c r="F5759">
        <v>2</v>
      </c>
      <c r="G5759">
        <v>3</v>
      </c>
      <c r="H5759">
        <v>0</v>
      </c>
      <c r="I5759" s="12" t="s">
        <v>94</v>
      </c>
      <c r="J5759" s="12" t="s">
        <v>95</v>
      </c>
      <c r="K5759" s="12" t="s">
        <v>81</v>
      </c>
      <c r="L5759" s="12" t="s">
        <v>96</v>
      </c>
      <c r="M5759">
        <v>4.8099999999999996</v>
      </c>
      <c r="N5759" s="12" t="s">
        <v>145</v>
      </c>
      <c r="O5759" s="12" t="s">
        <v>146</v>
      </c>
      <c r="P5759" s="12" t="s">
        <v>109</v>
      </c>
      <c r="Q5759" s="13">
        <v>45929</v>
      </c>
      <c r="R5759" s="13">
        <v>45952</v>
      </c>
      <c r="S5759">
        <v>2025</v>
      </c>
      <c r="T5759" s="12" t="s">
        <v>6704</v>
      </c>
      <c r="U5759">
        <v>33</v>
      </c>
      <c r="V5759">
        <v>244.67060000000001</v>
      </c>
      <c r="W5759">
        <v>82.3</v>
      </c>
      <c r="X5759">
        <v>0</v>
      </c>
      <c r="Y5759">
        <v>0</v>
      </c>
      <c r="Z5759">
        <v>8074.13</v>
      </c>
      <c r="AA5759">
        <v>8156.43</v>
      </c>
      <c r="AB5759" s="12" t="s">
        <v>201</v>
      </c>
      <c r="AD5759">
        <v>0</v>
      </c>
      <c r="AE5759">
        <v>0</v>
      </c>
      <c r="AH5759">
        <v>33</v>
      </c>
      <c r="AI5759">
        <v>33</v>
      </c>
      <c r="AJ5759">
        <v>0</v>
      </c>
      <c r="AK5759">
        <v>1</v>
      </c>
      <c r="AL5759">
        <v>1</v>
      </c>
      <c r="AM5759">
        <v>100</v>
      </c>
      <c r="AN5759">
        <v>247.1645</v>
      </c>
      <c r="AO5759">
        <v>0</v>
      </c>
      <c r="AP5759" s="13">
        <v>45952</v>
      </c>
      <c r="AQ5759">
        <v>0</v>
      </c>
      <c r="AR5759">
        <v>1</v>
      </c>
    </row>
    <row r="5760" spans="1:44" x14ac:dyDescent="0.35">
      <c r="A5760" s="12" t="s">
        <v>6867</v>
      </c>
      <c r="B5760" s="12" t="s">
        <v>120</v>
      </c>
      <c r="C5760" s="12" t="s">
        <v>121</v>
      </c>
      <c r="D5760" s="12" t="s">
        <v>122</v>
      </c>
      <c r="E5760" s="12" t="s">
        <v>65</v>
      </c>
      <c r="F5760">
        <v>3</v>
      </c>
      <c r="G5760">
        <v>4</v>
      </c>
      <c r="H5760">
        <v>0</v>
      </c>
      <c r="I5760" s="12" t="s">
        <v>123</v>
      </c>
      <c r="J5760" s="12" t="s">
        <v>124</v>
      </c>
      <c r="K5760" s="12" t="s">
        <v>125</v>
      </c>
      <c r="L5760" s="12" t="s">
        <v>82</v>
      </c>
      <c r="M5760">
        <v>6.75</v>
      </c>
      <c r="N5760" s="12" t="s">
        <v>70</v>
      </c>
      <c r="O5760" s="12" t="s">
        <v>71</v>
      </c>
      <c r="P5760" s="12" t="s">
        <v>72</v>
      </c>
      <c r="Q5760" s="13">
        <v>45929</v>
      </c>
      <c r="R5760" s="13">
        <v>45954</v>
      </c>
      <c r="S5760">
        <v>2025</v>
      </c>
      <c r="T5760" s="12" t="s">
        <v>6704</v>
      </c>
      <c r="U5760">
        <v>612</v>
      </c>
      <c r="V5760">
        <v>50.976100000000002</v>
      </c>
      <c r="W5760">
        <v>576.21</v>
      </c>
      <c r="X5760">
        <v>0</v>
      </c>
      <c r="Y5760">
        <v>0</v>
      </c>
      <c r="Z5760">
        <v>31197.37</v>
      </c>
      <c r="AA5760">
        <v>31773.58</v>
      </c>
      <c r="AB5760" s="12" t="s">
        <v>5139</v>
      </c>
      <c r="AC5760">
        <v>50.976100000000002</v>
      </c>
      <c r="AD5760">
        <v>1</v>
      </c>
      <c r="AE5760">
        <v>1</v>
      </c>
      <c r="AF5760">
        <v>0</v>
      </c>
      <c r="AG5760">
        <v>31197.37</v>
      </c>
      <c r="AH5760">
        <v>612</v>
      </c>
      <c r="AI5760">
        <v>605</v>
      </c>
      <c r="AJ5760">
        <v>7</v>
      </c>
      <c r="AK5760">
        <v>1</v>
      </c>
      <c r="AL5760">
        <v>1</v>
      </c>
      <c r="AM5760">
        <v>98.86</v>
      </c>
      <c r="AN5760">
        <v>52.518300000000004</v>
      </c>
      <c r="AO5760">
        <v>356.83</v>
      </c>
      <c r="AP5760" s="13">
        <v>45959</v>
      </c>
      <c r="AQ5760">
        <v>5</v>
      </c>
      <c r="AR5760">
        <v>0</v>
      </c>
    </row>
    <row r="5761" spans="1:44" x14ac:dyDescent="0.35">
      <c r="A5761" s="12" t="s">
        <v>6868</v>
      </c>
      <c r="B5761" s="12" t="s">
        <v>755</v>
      </c>
      <c r="C5761" s="12" t="s">
        <v>756</v>
      </c>
      <c r="D5761" s="12" t="s">
        <v>78</v>
      </c>
      <c r="E5761" s="12" t="s">
        <v>65</v>
      </c>
      <c r="F5761">
        <v>2</v>
      </c>
      <c r="G5761">
        <v>2</v>
      </c>
      <c r="H5761">
        <v>0</v>
      </c>
      <c r="I5761" s="12" t="s">
        <v>359</v>
      </c>
      <c r="J5761" s="12" t="s">
        <v>360</v>
      </c>
      <c r="K5761" s="12" t="s">
        <v>133</v>
      </c>
      <c r="L5761" s="12" t="s">
        <v>82</v>
      </c>
      <c r="M5761">
        <v>12.65</v>
      </c>
      <c r="N5761" s="12" t="s">
        <v>97</v>
      </c>
      <c r="O5761" s="12" t="s">
        <v>98</v>
      </c>
      <c r="P5761" s="12" t="s">
        <v>72</v>
      </c>
      <c r="Q5761" s="13">
        <v>45929</v>
      </c>
      <c r="R5761" s="13">
        <v>45961</v>
      </c>
      <c r="S5761">
        <v>2025</v>
      </c>
      <c r="T5761" s="12" t="s">
        <v>6704</v>
      </c>
      <c r="U5761">
        <v>200</v>
      </c>
      <c r="V5761">
        <v>40.900399999999998</v>
      </c>
      <c r="W5761">
        <v>173.88</v>
      </c>
      <c r="X5761">
        <v>0</v>
      </c>
      <c r="Y5761">
        <v>0</v>
      </c>
      <c r="Z5761">
        <v>8180.08</v>
      </c>
      <c r="AA5761">
        <v>8353.9599999999991</v>
      </c>
      <c r="AB5761" s="12" t="s">
        <v>6215</v>
      </c>
      <c r="AC5761">
        <v>40.900399999999998</v>
      </c>
      <c r="AD5761">
        <v>1</v>
      </c>
      <c r="AE5761">
        <v>1</v>
      </c>
      <c r="AF5761">
        <v>0</v>
      </c>
      <c r="AG5761">
        <v>8180.08</v>
      </c>
      <c r="AH5761">
        <v>200</v>
      </c>
      <c r="AI5761">
        <v>197</v>
      </c>
      <c r="AJ5761">
        <v>3</v>
      </c>
      <c r="AK5761">
        <v>1</v>
      </c>
      <c r="AL5761">
        <v>1</v>
      </c>
      <c r="AM5761">
        <v>98.5</v>
      </c>
      <c r="AN5761">
        <v>42.405900000000003</v>
      </c>
      <c r="AO5761">
        <v>122.7</v>
      </c>
      <c r="AP5761" s="13">
        <v>45960</v>
      </c>
      <c r="AQ5761">
        <v>-1</v>
      </c>
      <c r="AR5761">
        <v>1</v>
      </c>
    </row>
    <row r="5762" spans="1:44" x14ac:dyDescent="0.35">
      <c r="A5762" s="12" t="s">
        <v>6869</v>
      </c>
      <c r="B5762" s="12" t="s">
        <v>657</v>
      </c>
      <c r="C5762" s="12" t="s">
        <v>658</v>
      </c>
      <c r="D5762" s="12" t="s">
        <v>175</v>
      </c>
      <c r="E5762" s="12" t="s">
        <v>65</v>
      </c>
      <c r="F5762">
        <v>1</v>
      </c>
      <c r="G5762">
        <v>2</v>
      </c>
      <c r="H5762">
        <v>1</v>
      </c>
      <c r="I5762" s="12" t="s">
        <v>183</v>
      </c>
      <c r="J5762" s="12" t="s">
        <v>184</v>
      </c>
      <c r="K5762" s="12" t="s">
        <v>133</v>
      </c>
      <c r="L5762" s="12" t="s">
        <v>82</v>
      </c>
      <c r="M5762">
        <v>8.6199999999999992</v>
      </c>
      <c r="N5762" s="12" t="s">
        <v>107</v>
      </c>
      <c r="O5762" s="12" t="s">
        <v>108</v>
      </c>
      <c r="P5762" s="12" t="s">
        <v>109</v>
      </c>
      <c r="Q5762" s="13">
        <v>45929</v>
      </c>
      <c r="R5762" s="13">
        <v>45955</v>
      </c>
      <c r="S5762">
        <v>2025</v>
      </c>
      <c r="T5762" s="12" t="s">
        <v>6704</v>
      </c>
      <c r="U5762">
        <v>54</v>
      </c>
      <c r="V5762">
        <v>144.5094</v>
      </c>
      <c r="W5762">
        <v>54.36</v>
      </c>
      <c r="X5762">
        <v>0</v>
      </c>
      <c r="Y5762">
        <v>0</v>
      </c>
      <c r="Z5762">
        <v>7803.51</v>
      </c>
      <c r="AA5762">
        <v>7857.87</v>
      </c>
      <c r="AB5762" s="12" t="s">
        <v>5771</v>
      </c>
      <c r="AC5762">
        <v>144.5094</v>
      </c>
      <c r="AD5762">
        <v>1</v>
      </c>
      <c r="AE5762">
        <v>1</v>
      </c>
      <c r="AF5762">
        <v>0</v>
      </c>
      <c r="AG5762">
        <v>7803.51</v>
      </c>
      <c r="AH5762">
        <v>54</v>
      </c>
      <c r="AI5762">
        <v>54</v>
      </c>
      <c r="AJ5762">
        <v>0</v>
      </c>
      <c r="AK5762">
        <v>1</v>
      </c>
      <c r="AL5762">
        <v>1</v>
      </c>
      <c r="AM5762">
        <v>100</v>
      </c>
      <c r="AN5762">
        <v>145.51609999999999</v>
      </c>
      <c r="AO5762">
        <v>0</v>
      </c>
      <c r="AP5762" s="13">
        <v>45962</v>
      </c>
      <c r="AQ5762">
        <v>7</v>
      </c>
      <c r="AR5762">
        <v>0</v>
      </c>
    </row>
    <row r="5763" spans="1:44" x14ac:dyDescent="0.35">
      <c r="A5763" s="12" t="s">
        <v>6870</v>
      </c>
      <c r="B5763" s="12" t="s">
        <v>255</v>
      </c>
      <c r="C5763" s="12" t="s">
        <v>256</v>
      </c>
      <c r="D5763" s="12" t="s">
        <v>103</v>
      </c>
      <c r="E5763" s="12" t="s">
        <v>65</v>
      </c>
      <c r="F5763">
        <v>2</v>
      </c>
      <c r="G5763">
        <v>4</v>
      </c>
      <c r="H5763">
        <v>0</v>
      </c>
      <c r="I5763" s="12" t="s">
        <v>143</v>
      </c>
      <c r="J5763" s="12" t="s">
        <v>144</v>
      </c>
      <c r="K5763" s="12" t="s">
        <v>133</v>
      </c>
      <c r="L5763" s="12" t="s">
        <v>96</v>
      </c>
      <c r="M5763">
        <v>5.43</v>
      </c>
      <c r="N5763" s="12" t="s">
        <v>107</v>
      </c>
      <c r="O5763" s="12" t="s">
        <v>108</v>
      </c>
      <c r="P5763" s="12" t="s">
        <v>109</v>
      </c>
      <c r="Q5763" s="13">
        <v>45929</v>
      </c>
      <c r="R5763" s="13">
        <v>45964</v>
      </c>
      <c r="S5763">
        <v>2025</v>
      </c>
      <c r="T5763" s="12" t="s">
        <v>6704</v>
      </c>
      <c r="U5763">
        <v>119</v>
      </c>
      <c r="V5763">
        <v>95.061000000000007</v>
      </c>
      <c r="W5763">
        <v>122.55</v>
      </c>
      <c r="X5763">
        <v>0</v>
      </c>
      <c r="Y5763">
        <v>0</v>
      </c>
      <c r="Z5763">
        <v>11312.26</v>
      </c>
      <c r="AA5763">
        <v>11434.81</v>
      </c>
      <c r="AB5763" s="12" t="s">
        <v>5188</v>
      </c>
      <c r="AC5763">
        <v>95.061000000000007</v>
      </c>
      <c r="AD5763">
        <v>1</v>
      </c>
      <c r="AE5763">
        <v>1</v>
      </c>
      <c r="AF5763">
        <v>0</v>
      </c>
      <c r="AG5763">
        <v>11312.26</v>
      </c>
      <c r="AH5763">
        <v>119</v>
      </c>
      <c r="AI5763">
        <v>118</v>
      </c>
      <c r="AJ5763">
        <v>1</v>
      </c>
      <c r="AK5763">
        <v>1</v>
      </c>
      <c r="AL5763">
        <v>1</v>
      </c>
      <c r="AM5763">
        <v>99.16</v>
      </c>
      <c r="AN5763">
        <v>96.905199999999994</v>
      </c>
      <c r="AO5763">
        <v>95.06</v>
      </c>
      <c r="AP5763" s="13">
        <v>45961</v>
      </c>
      <c r="AQ5763">
        <v>-3</v>
      </c>
      <c r="AR5763">
        <v>1</v>
      </c>
    </row>
    <row r="5764" spans="1:44" x14ac:dyDescent="0.35">
      <c r="A5764" s="12" t="s">
        <v>6871</v>
      </c>
      <c r="B5764" s="12" t="s">
        <v>1179</v>
      </c>
      <c r="C5764" s="12" t="s">
        <v>1180</v>
      </c>
      <c r="D5764" s="12" t="s">
        <v>122</v>
      </c>
      <c r="E5764" s="12" t="s">
        <v>142</v>
      </c>
      <c r="F5764">
        <v>1</v>
      </c>
      <c r="G5764">
        <v>8</v>
      </c>
      <c r="H5764">
        <v>1</v>
      </c>
      <c r="I5764" s="12" t="s">
        <v>143</v>
      </c>
      <c r="J5764" s="12" t="s">
        <v>144</v>
      </c>
      <c r="K5764" s="12" t="s">
        <v>133</v>
      </c>
      <c r="L5764" s="12" t="s">
        <v>96</v>
      </c>
      <c r="M5764">
        <v>5.43</v>
      </c>
      <c r="N5764" s="12" t="s">
        <v>70</v>
      </c>
      <c r="O5764" s="12" t="s">
        <v>71</v>
      </c>
      <c r="P5764" s="12" t="s">
        <v>72</v>
      </c>
      <c r="Q5764" s="13">
        <v>45929</v>
      </c>
      <c r="R5764" s="13">
        <v>45970</v>
      </c>
      <c r="S5764">
        <v>2025</v>
      </c>
      <c r="T5764" s="12" t="s">
        <v>6704</v>
      </c>
      <c r="U5764">
        <v>808</v>
      </c>
      <c r="V5764">
        <v>49.219200000000001</v>
      </c>
      <c r="W5764">
        <v>416.69</v>
      </c>
      <c r="X5764">
        <v>0</v>
      </c>
      <c r="Y5764">
        <v>0</v>
      </c>
      <c r="Z5764">
        <v>39769.11</v>
      </c>
      <c r="AA5764">
        <v>40185.800000000003</v>
      </c>
      <c r="AB5764" s="12" t="s">
        <v>5533</v>
      </c>
      <c r="AC5764">
        <v>52.209899999999998</v>
      </c>
      <c r="AD5764">
        <v>1</v>
      </c>
      <c r="AE5764">
        <v>1</v>
      </c>
      <c r="AF5764">
        <v>-2416.4899999999998</v>
      </c>
      <c r="AG5764">
        <v>42185.599999999999</v>
      </c>
      <c r="AH5764">
        <v>808</v>
      </c>
      <c r="AI5764">
        <v>803</v>
      </c>
      <c r="AJ5764">
        <v>5</v>
      </c>
      <c r="AK5764">
        <v>1</v>
      </c>
      <c r="AL5764">
        <v>1</v>
      </c>
      <c r="AM5764">
        <v>99.38</v>
      </c>
      <c r="AN5764">
        <v>50.044600000000003</v>
      </c>
      <c r="AO5764">
        <v>246.1</v>
      </c>
      <c r="AP5764" s="13">
        <v>45968</v>
      </c>
      <c r="AQ5764">
        <v>-2</v>
      </c>
      <c r="AR5764">
        <v>1</v>
      </c>
    </row>
    <row r="5765" spans="1:44" x14ac:dyDescent="0.35">
      <c r="A5765" s="12" t="s">
        <v>6872</v>
      </c>
      <c r="B5765" s="12" t="s">
        <v>1166</v>
      </c>
      <c r="C5765" s="12" t="s">
        <v>1167</v>
      </c>
      <c r="D5765" s="12" t="s">
        <v>175</v>
      </c>
      <c r="E5765" s="12" t="s">
        <v>65</v>
      </c>
      <c r="F5765">
        <v>3</v>
      </c>
      <c r="G5765">
        <v>5</v>
      </c>
      <c r="H5765">
        <v>0</v>
      </c>
      <c r="I5765" s="12" t="s">
        <v>143</v>
      </c>
      <c r="J5765" s="12" t="s">
        <v>144</v>
      </c>
      <c r="K5765" s="12" t="s">
        <v>133</v>
      </c>
      <c r="L5765" s="12" t="s">
        <v>96</v>
      </c>
      <c r="M5765">
        <v>5.43</v>
      </c>
      <c r="N5765" s="12" t="s">
        <v>107</v>
      </c>
      <c r="O5765" s="12" t="s">
        <v>108</v>
      </c>
      <c r="P5765" s="12" t="s">
        <v>109</v>
      </c>
      <c r="Q5765" s="13">
        <v>45929</v>
      </c>
      <c r="R5765" s="13">
        <v>45958</v>
      </c>
      <c r="S5765">
        <v>2025</v>
      </c>
      <c r="T5765" s="12" t="s">
        <v>6704</v>
      </c>
      <c r="U5765">
        <v>72</v>
      </c>
      <c r="V5765">
        <v>251.94720000000001</v>
      </c>
      <c r="W5765">
        <v>266.44</v>
      </c>
      <c r="X5765">
        <v>0</v>
      </c>
      <c r="Y5765">
        <v>0</v>
      </c>
      <c r="Z5765">
        <v>18140.2</v>
      </c>
      <c r="AA5765">
        <v>18406.64</v>
      </c>
      <c r="AB5765" s="12" t="s">
        <v>201</v>
      </c>
      <c r="AD5765">
        <v>0</v>
      </c>
      <c r="AE5765">
        <v>0</v>
      </c>
      <c r="AH5765">
        <v>72</v>
      </c>
      <c r="AI5765">
        <v>71</v>
      </c>
      <c r="AJ5765">
        <v>1</v>
      </c>
      <c r="AK5765">
        <v>1</v>
      </c>
      <c r="AL5765">
        <v>1</v>
      </c>
      <c r="AM5765">
        <v>98.61</v>
      </c>
      <c r="AN5765">
        <v>259.2484</v>
      </c>
      <c r="AO5765">
        <v>251.95</v>
      </c>
      <c r="AP5765" s="13">
        <v>45954</v>
      </c>
      <c r="AQ5765">
        <v>-4</v>
      </c>
      <c r="AR5765">
        <v>1</v>
      </c>
    </row>
    <row r="5766" spans="1:44" x14ac:dyDescent="0.35">
      <c r="A5766" s="12" t="s">
        <v>6873</v>
      </c>
      <c r="B5766" s="12" t="s">
        <v>941</v>
      </c>
      <c r="C5766" s="12" t="s">
        <v>942</v>
      </c>
      <c r="D5766" s="12" t="s">
        <v>130</v>
      </c>
      <c r="E5766" s="12" t="s">
        <v>104</v>
      </c>
      <c r="F5766">
        <v>2</v>
      </c>
      <c r="G5766">
        <v>0</v>
      </c>
      <c r="H5766">
        <v>0</v>
      </c>
      <c r="I5766" s="12" t="s">
        <v>151</v>
      </c>
      <c r="J5766" s="12" t="s">
        <v>152</v>
      </c>
      <c r="K5766" s="12" t="s">
        <v>125</v>
      </c>
      <c r="L5766" s="12" t="s">
        <v>69</v>
      </c>
      <c r="M5766">
        <v>36.479999999999997</v>
      </c>
      <c r="N5766" s="12" t="s">
        <v>159</v>
      </c>
      <c r="O5766" s="12" t="s">
        <v>160</v>
      </c>
      <c r="P5766" s="12" t="s">
        <v>137</v>
      </c>
      <c r="Q5766" s="13">
        <v>45929</v>
      </c>
      <c r="R5766" s="13">
        <v>45942</v>
      </c>
      <c r="S5766">
        <v>2025</v>
      </c>
      <c r="T5766" s="12" t="s">
        <v>6704</v>
      </c>
      <c r="U5766">
        <v>24</v>
      </c>
      <c r="V5766">
        <v>919.21429999999998</v>
      </c>
      <c r="W5766">
        <v>490.94</v>
      </c>
      <c r="X5766">
        <v>0</v>
      </c>
      <c r="Y5766">
        <v>0</v>
      </c>
      <c r="Z5766">
        <v>22061.14</v>
      </c>
      <c r="AA5766">
        <v>22552.080000000002</v>
      </c>
      <c r="AB5766" s="12" t="s">
        <v>6874</v>
      </c>
      <c r="AC5766">
        <v>919.21429999999998</v>
      </c>
      <c r="AD5766">
        <v>1</v>
      </c>
      <c r="AE5766">
        <v>1</v>
      </c>
      <c r="AF5766">
        <v>0</v>
      </c>
      <c r="AG5766">
        <v>22061.14</v>
      </c>
      <c r="AH5766">
        <v>24</v>
      </c>
      <c r="AI5766">
        <v>24</v>
      </c>
      <c r="AJ5766">
        <v>0</v>
      </c>
      <c r="AK5766">
        <v>1</v>
      </c>
      <c r="AL5766">
        <v>1</v>
      </c>
      <c r="AM5766">
        <v>100</v>
      </c>
      <c r="AN5766">
        <v>939.67010000000005</v>
      </c>
      <c r="AO5766">
        <v>0</v>
      </c>
      <c r="AP5766" s="13">
        <v>45939</v>
      </c>
      <c r="AQ5766">
        <v>-3</v>
      </c>
      <c r="AR5766">
        <v>1</v>
      </c>
    </row>
    <row r="5767" spans="1:44" x14ac:dyDescent="0.35">
      <c r="A5767" s="12" t="s">
        <v>6875</v>
      </c>
      <c r="B5767" s="12" t="s">
        <v>293</v>
      </c>
      <c r="C5767" s="12" t="s">
        <v>294</v>
      </c>
      <c r="D5767" s="12" t="s">
        <v>114</v>
      </c>
      <c r="E5767" s="12" t="s">
        <v>142</v>
      </c>
      <c r="F5767">
        <v>1</v>
      </c>
      <c r="G5767">
        <v>6</v>
      </c>
      <c r="H5767">
        <v>1</v>
      </c>
      <c r="I5767" s="12" t="s">
        <v>195</v>
      </c>
      <c r="J5767" s="12" t="s">
        <v>196</v>
      </c>
      <c r="K5767" s="12" t="s">
        <v>117</v>
      </c>
      <c r="L5767" s="12" t="s">
        <v>134</v>
      </c>
      <c r="M5767">
        <v>4.7699999999999996</v>
      </c>
      <c r="N5767" s="12" t="s">
        <v>70</v>
      </c>
      <c r="O5767" s="12" t="s">
        <v>71</v>
      </c>
      <c r="P5767" s="12" t="s">
        <v>72</v>
      </c>
      <c r="Q5767" s="13">
        <v>45929</v>
      </c>
      <c r="R5767" s="13">
        <v>45981</v>
      </c>
      <c r="S5767">
        <v>2025</v>
      </c>
      <c r="T5767" s="12" t="s">
        <v>6704</v>
      </c>
      <c r="U5767">
        <v>144</v>
      </c>
      <c r="V5767">
        <v>199.8203</v>
      </c>
      <c r="W5767">
        <v>286.55</v>
      </c>
      <c r="X5767">
        <v>866.03</v>
      </c>
      <c r="Y5767">
        <v>1</v>
      </c>
      <c r="Z5767">
        <v>28774.12</v>
      </c>
      <c r="AA5767">
        <v>29926.7</v>
      </c>
      <c r="AB5767" s="12" t="s">
        <v>5190</v>
      </c>
      <c r="AC5767">
        <v>199.8203</v>
      </c>
      <c r="AD5767">
        <v>1</v>
      </c>
      <c r="AE5767">
        <v>1</v>
      </c>
      <c r="AF5767">
        <v>0</v>
      </c>
      <c r="AG5767">
        <v>28774.12</v>
      </c>
      <c r="AH5767">
        <v>144</v>
      </c>
      <c r="AI5767">
        <v>141</v>
      </c>
      <c r="AJ5767">
        <v>3</v>
      </c>
      <c r="AK5767">
        <v>1</v>
      </c>
      <c r="AL5767">
        <v>1</v>
      </c>
      <c r="AM5767">
        <v>97.92</v>
      </c>
      <c r="AN5767">
        <v>212.24610000000001</v>
      </c>
      <c r="AO5767">
        <v>599.46</v>
      </c>
      <c r="AP5767" s="13">
        <v>45981</v>
      </c>
      <c r="AQ5767">
        <v>0</v>
      </c>
      <c r="AR5767">
        <v>1</v>
      </c>
    </row>
    <row r="5768" spans="1:44" x14ac:dyDescent="0.35">
      <c r="A5768" s="12" t="s">
        <v>6876</v>
      </c>
      <c r="B5768" s="12" t="s">
        <v>891</v>
      </c>
      <c r="C5768" s="12" t="s">
        <v>892</v>
      </c>
      <c r="D5768" s="12" t="s">
        <v>122</v>
      </c>
      <c r="E5768" s="12" t="s">
        <v>65</v>
      </c>
      <c r="F5768">
        <v>3</v>
      </c>
      <c r="G5768">
        <v>5</v>
      </c>
      <c r="H5768">
        <v>0</v>
      </c>
      <c r="I5768" s="12" t="s">
        <v>169</v>
      </c>
      <c r="J5768" s="12" t="s">
        <v>170</v>
      </c>
      <c r="K5768" s="12" t="s">
        <v>89</v>
      </c>
      <c r="L5768" s="12" t="s">
        <v>134</v>
      </c>
      <c r="M5768">
        <v>1.37</v>
      </c>
      <c r="N5768" s="12" t="s">
        <v>97</v>
      </c>
      <c r="O5768" s="12" t="s">
        <v>98</v>
      </c>
      <c r="P5768" s="12" t="s">
        <v>72</v>
      </c>
      <c r="Q5768" s="13">
        <v>45930</v>
      </c>
      <c r="R5768" s="13">
        <v>45952</v>
      </c>
      <c r="S5768">
        <v>2025</v>
      </c>
      <c r="T5768" s="12" t="s">
        <v>6704</v>
      </c>
      <c r="U5768">
        <v>308</v>
      </c>
      <c r="V5768">
        <v>36.415999999999997</v>
      </c>
      <c r="W5768">
        <v>161.16</v>
      </c>
      <c r="X5768">
        <v>0</v>
      </c>
      <c r="Y5768">
        <v>0</v>
      </c>
      <c r="Z5768">
        <v>11216.13</v>
      </c>
      <c r="AA5768">
        <v>11377.29</v>
      </c>
      <c r="AB5768" s="12" t="s">
        <v>6516</v>
      </c>
      <c r="AC5768">
        <v>36.415999999999997</v>
      </c>
      <c r="AD5768">
        <v>1</v>
      </c>
      <c r="AE5768">
        <v>1</v>
      </c>
      <c r="AF5768">
        <v>0</v>
      </c>
      <c r="AG5768">
        <v>11216.13</v>
      </c>
      <c r="AH5768">
        <v>308</v>
      </c>
      <c r="AI5768">
        <v>306</v>
      </c>
      <c r="AJ5768">
        <v>2</v>
      </c>
      <c r="AK5768">
        <v>1</v>
      </c>
      <c r="AL5768">
        <v>1</v>
      </c>
      <c r="AM5768">
        <v>99.35</v>
      </c>
      <c r="AN5768">
        <v>37.180700000000002</v>
      </c>
      <c r="AO5768">
        <v>72.83</v>
      </c>
      <c r="AP5768" s="13">
        <v>45951</v>
      </c>
      <c r="AQ5768">
        <v>-1</v>
      </c>
      <c r="AR5768">
        <v>1</v>
      </c>
    </row>
    <row r="5769" spans="1:44" x14ac:dyDescent="0.35">
      <c r="A5769" s="12" t="s">
        <v>6877</v>
      </c>
      <c r="B5769" s="12" t="s">
        <v>1068</v>
      </c>
      <c r="C5769" s="12" t="s">
        <v>1069</v>
      </c>
      <c r="D5769" s="12" t="s">
        <v>122</v>
      </c>
      <c r="E5769" s="12" t="s">
        <v>65</v>
      </c>
      <c r="F5769">
        <v>2</v>
      </c>
      <c r="G5769">
        <v>2</v>
      </c>
      <c r="H5769">
        <v>0</v>
      </c>
      <c r="I5769" s="12" t="s">
        <v>79</v>
      </c>
      <c r="J5769" s="12" t="s">
        <v>80</v>
      </c>
      <c r="K5769" s="12" t="s">
        <v>81</v>
      </c>
      <c r="L5769" s="12" t="s">
        <v>82</v>
      </c>
      <c r="M5769">
        <v>12.07</v>
      </c>
      <c r="N5769" s="12" t="s">
        <v>97</v>
      </c>
      <c r="O5769" s="12" t="s">
        <v>98</v>
      </c>
      <c r="P5769" s="12" t="s">
        <v>72</v>
      </c>
      <c r="Q5769" s="13">
        <v>45930</v>
      </c>
      <c r="R5769" s="13">
        <v>45952</v>
      </c>
      <c r="S5769">
        <v>2025</v>
      </c>
      <c r="T5769" s="12" t="s">
        <v>6704</v>
      </c>
      <c r="U5769">
        <v>311</v>
      </c>
      <c r="V5769">
        <v>20.8949</v>
      </c>
      <c r="W5769">
        <v>54.89</v>
      </c>
      <c r="X5769">
        <v>0</v>
      </c>
      <c r="Y5769">
        <v>0</v>
      </c>
      <c r="Z5769">
        <v>6498.31</v>
      </c>
      <c r="AA5769">
        <v>6553.2</v>
      </c>
      <c r="AB5769" s="12" t="s">
        <v>5478</v>
      </c>
      <c r="AC5769">
        <v>20.8949</v>
      </c>
      <c r="AD5769">
        <v>1</v>
      </c>
      <c r="AE5769">
        <v>1</v>
      </c>
      <c r="AF5769">
        <v>0</v>
      </c>
      <c r="AG5769">
        <v>6498.31</v>
      </c>
      <c r="AH5769">
        <v>311</v>
      </c>
      <c r="AI5769">
        <v>309</v>
      </c>
      <c r="AJ5769">
        <v>2</v>
      </c>
      <c r="AK5769">
        <v>1</v>
      </c>
      <c r="AL5769">
        <v>1</v>
      </c>
      <c r="AM5769">
        <v>99.36</v>
      </c>
      <c r="AN5769">
        <v>21.207799999999999</v>
      </c>
      <c r="AO5769">
        <v>41.79</v>
      </c>
      <c r="AP5769" s="13">
        <v>45949</v>
      </c>
      <c r="AQ5769">
        <v>-3</v>
      </c>
      <c r="AR5769">
        <v>1</v>
      </c>
    </row>
    <row r="5770" spans="1:44" x14ac:dyDescent="0.35">
      <c r="A5770" s="12" t="s">
        <v>6878</v>
      </c>
      <c r="B5770" s="12" t="s">
        <v>378</v>
      </c>
      <c r="C5770" s="12" t="s">
        <v>379</v>
      </c>
      <c r="D5770" s="12" t="s">
        <v>64</v>
      </c>
      <c r="E5770" s="12" t="s">
        <v>104</v>
      </c>
      <c r="F5770">
        <v>3</v>
      </c>
      <c r="G5770">
        <v>1</v>
      </c>
      <c r="H5770">
        <v>0</v>
      </c>
      <c r="I5770" s="12" t="s">
        <v>380</v>
      </c>
      <c r="J5770" s="12" t="s">
        <v>381</v>
      </c>
      <c r="K5770" s="12" t="s">
        <v>89</v>
      </c>
      <c r="L5770" s="12" t="s">
        <v>96</v>
      </c>
      <c r="M5770">
        <v>10.210000000000001</v>
      </c>
      <c r="N5770" s="12" t="s">
        <v>70</v>
      </c>
      <c r="O5770" s="12" t="s">
        <v>71</v>
      </c>
      <c r="P5770" s="12" t="s">
        <v>72</v>
      </c>
      <c r="Q5770" s="13">
        <v>45930</v>
      </c>
      <c r="R5770" s="13">
        <v>45950</v>
      </c>
      <c r="S5770">
        <v>2025</v>
      </c>
      <c r="T5770" s="12" t="s">
        <v>6704</v>
      </c>
      <c r="U5770">
        <v>537</v>
      </c>
      <c r="V5770">
        <v>15.3193</v>
      </c>
      <c r="W5770">
        <v>162.82</v>
      </c>
      <c r="X5770">
        <v>0</v>
      </c>
      <c r="Y5770">
        <v>0</v>
      </c>
      <c r="Z5770">
        <v>8226.4599999999991</v>
      </c>
      <c r="AA5770">
        <v>8389.2800000000007</v>
      </c>
      <c r="AB5770" s="12" t="s">
        <v>5544</v>
      </c>
      <c r="AC5770">
        <v>15.3193</v>
      </c>
      <c r="AD5770">
        <v>1</v>
      </c>
      <c r="AE5770">
        <v>1</v>
      </c>
      <c r="AF5770">
        <v>0</v>
      </c>
      <c r="AG5770">
        <v>8226.4599999999991</v>
      </c>
      <c r="AH5770">
        <v>537</v>
      </c>
      <c r="AI5770">
        <v>529</v>
      </c>
      <c r="AJ5770">
        <v>8</v>
      </c>
      <c r="AK5770">
        <v>1</v>
      </c>
      <c r="AL5770">
        <v>1</v>
      </c>
      <c r="AM5770">
        <v>98.51</v>
      </c>
      <c r="AN5770">
        <v>15.8588</v>
      </c>
      <c r="AO5770">
        <v>122.55</v>
      </c>
      <c r="AP5770" s="13">
        <v>45947</v>
      </c>
      <c r="AQ5770">
        <v>-3</v>
      </c>
      <c r="AR5770">
        <v>1</v>
      </c>
    </row>
    <row r="5771" spans="1:44" x14ac:dyDescent="0.35">
      <c r="A5771" s="12" t="s">
        <v>6879</v>
      </c>
      <c r="B5771" s="12" t="s">
        <v>362</v>
      </c>
      <c r="C5771" s="12" t="s">
        <v>363</v>
      </c>
      <c r="D5771" s="12" t="s">
        <v>78</v>
      </c>
      <c r="E5771" s="12" t="s">
        <v>104</v>
      </c>
      <c r="F5771">
        <v>3</v>
      </c>
      <c r="G5771">
        <v>0</v>
      </c>
      <c r="H5771">
        <v>0</v>
      </c>
      <c r="I5771" s="12" t="s">
        <v>105</v>
      </c>
      <c r="J5771" s="12" t="s">
        <v>106</v>
      </c>
      <c r="K5771" s="12" t="s">
        <v>81</v>
      </c>
      <c r="L5771" s="12" t="s">
        <v>96</v>
      </c>
      <c r="M5771">
        <v>5.01</v>
      </c>
      <c r="N5771" s="12" t="s">
        <v>97</v>
      </c>
      <c r="O5771" s="12" t="s">
        <v>98</v>
      </c>
      <c r="P5771" s="12" t="s">
        <v>72</v>
      </c>
      <c r="Q5771" s="13">
        <v>45930</v>
      </c>
      <c r="R5771" s="13">
        <v>45951</v>
      </c>
      <c r="S5771">
        <v>2025</v>
      </c>
      <c r="T5771" s="12" t="s">
        <v>6704</v>
      </c>
      <c r="U5771">
        <v>183</v>
      </c>
      <c r="V5771">
        <v>59.036999999999999</v>
      </c>
      <c r="W5771">
        <v>273.26</v>
      </c>
      <c r="X5771">
        <v>0</v>
      </c>
      <c r="Y5771">
        <v>0</v>
      </c>
      <c r="Z5771">
        <v>10803.77</v>
      </c>
      <c r="AA5771">
        <v>11077.03</v>
      </c>
      <c r="AB5771" s="12" t="s">
        <v>5591</v>
      </c>
      <c r="AC5771">
        <v>56.555</v>
      </c>
      <c r="AD5771">
        <v>1</v>
      </c>
      <c r="AE5771">
        <v>1</v>
      </c>
      <c r="AF5771">
        <v>454.21</v>
      </c>
      <c r="AG5771">
        <v>10349.57</v>
      </c>
      <c r="AH5771">
        <v>183</v>
      </c>
      <c r="AI5771">
        <v>182</v>
      </c>
      <c r="AJ5771">
        <v>1</v>
      </c>
      <c r="AK5771">
        <v>1</v>
      </c>
      <c r="AL5771">
        <v>1</v>
      </c>
      <c r="AM5771">
        <v>99.45</v>
      </c>
      <c r="AN5771">
        <v>60.8628</v>
      </c>
      <c r="AO5771">
        <v>59.04</v>
      </c>
      <c r="AP5771" s="13">
        <v>45948</v>
      </c>
      <c r="AQ5771">
        <v>-3</v>
      </c>
      <c r="AR5771">
        <v>1</v>
      </c>
    </row>
    <row r="5772" spans="1:44" x14ac:dyDescent="0.35">
      <c r="A5772" s="12" t="s">
        <v>6880</v>
      </c>
      <c r="B5772" s="12" t="s">
        <v>302</v>
      </c>
      <c r="C5772" s="12" t="s">
        <v>303</v>
      </c>
      <c r="D5772" s="12" t="s">
        <v>78</v>
      </c>
      <c r="E5772" s="12" t="s">
        <v>65</v>
      </c>
      <c r="F5772">
        <v>2</v>
      </c>
      <c r="G5772">
        <v>3</v>
      </c>
      <c r="H5772">
        <v>0</v>
      </c>
      <c r="I5772" s="12" t="s">
        <v>335</v>
      </c>
      <c r="J5772" s="12" t="s">
        <v>336</v>
      </c>
      <c r="K5772" s="12" t="s">
        <v>89</v>
      </c>
      <c r="L5772" s="12" t="s">
        <v>82</v>
      </c>
      <c r="M5772">
        <v>16</v>
      </c>
      <c r="N5772" s="12" t="s">
        <v>97</v>
      </c>
      <c r="O5772" s="12" t="s">
        <v>98</v>
      </c>
      <c r="P5772" s="12" t="s">
        <v>72</v>
      </c>
      <c r="Q5772" s="13">
        <v>45930</v>
      </c>
      <c r="R5772" s="13">
        <v>45958</v>
      </c>
      <c r="S5772">
        <v>2025</v>
      </c>
      <c r="T5772" s="12" t="s">
        <v>6704</v>
      </c>
      <c r="U5772">
        <v>149</v>
      </c>
      <c r="V5772">
        <v>145.74700000000001</v>
      </c>
      <c r="W5772">
        <v>237.83</v>
      </c>
      <c r="X5772">
        <v>0</v>
      </c>
      <c r="Y5772">
        <v>0</v>
      </c>
      <c r="Z5772">
        <v>21716.3</v>
      </c>
      <c r="AA5772">
        <v>21954.13</v>
      </c>
      <c r="AB5772" s="12" t="s">
        <v>5763</v>
      </c>
      <c r="AC5772">
        <v>137.82220000000001</v>
      </c>
      <c r="AD5772">
        <v>1</v>
      </c>
      <c r="AE5772">
        <v>1</v>
      </c>
      <c r="AF5772">
        <v>1180.8</v>
      </c>
      <c r="AG5772">
        <v>20535.509999999998</v>
      </c>
      <c r="AH5772">
        <v>149</v>
      </c>
      <c r="AI5772">
        <v>148</v>
      </c>
      <c r="AJ5772">
        <v>1</v>
      </c>
      <c r="AK5772">
        <v>1</v>
      </c>
      <c r="AL5772">
        <v>1</v>
      </c>
      <c r="AM5772">
        <v>99.33</v>
      </c>
      <c r="AN5772">
        <v>148.33869999999999</v>
      </c>
      <c r="AO5772">
        <v>145.75</v>
      </c>
      <c r="AP5772" s="13">
        <v>45956</v>
      </c>
      <c r="AQ5772">
        <v>-2</v>
      </c>
      <c r="AR5772">
        <v>1</v>
      </c>
    </row>
    <row r="5773" spans="1:44" x14ac:dyDescent="0.35">
      <c r="A5773" s="12" t="s">
        <v>6881</v>
      </c>
      <c r="B5773" s="12" t="s">
        <v>482</v>
      </c>
      <c r="C5773" s="12" t="s">
        <v>483</v>
      </c>
      <c r="D5773" s="12" t="s">
        <v>78</v>
      </c>
      <c r="E5773" s="12" t="s">
        <v>142</v>
      </c>
      <c r="F5773">
        <v>2</v>
      </c>
      <c r="G5773">
        <v>9</v>
      </c>
      <c r="H5773">
        <v>0</v>
      </c>
      <c r="I5773" s="12" t="s">
        <v>87</v>
      </c>
      <c r="J5773" s="12" t="s">
        <v>88</v>
      </c>
      <c r="K5773" s="12" t="s">
        <v>89</v>
      </c>
      <c r="L5773" s="12" t="s">
        <v>69</v>
      </c>
      <c r="M5773">
        <v>14.93</v>
      </c>
      <c r="N5773" s="12" t="s">
        <v>70</v>
      </c>
      <c r="O5773" s="12" t="s">
        <v>71</v>
      </c>
      <c r="P5773" s="12" t="s">
        <v>72</v>
      </c>
      <c r="Q5773" s="13">
        <v>45930</v>
      </c>
      <c r="R5773" s="13">
        <v>45974</v>
      </c>
      <c r="S5773">
        <v>2025</v>
      </c>
      <c r="T5773" s="12" t="s">
        <v>6704</v>
      </c>
      <c r="U5773">
        <v>180</v>
      </c>
      <c r="V5773">
        <v>44.658099999999997</v>
      </c>
      <c r="W5773">
        <v>149.83000000000001</v>
      </c>
      <c r="X5773">
        <v>0</v>
      </c>
      <c r="Y5773">
        <v>0</v>
      </c>
      <c r="Z5773">
        <v>8038.46</v>
      </c>
      <c r="AA5773">
        <v>8188.29</v>
      </c>
      <c r="AB5773" s="12" t="s">
        <v>5658</v>
      </c>
      <c r="AC5773">
        <v>44.658099999999997</v>
      </c>
      <c r="AD5773">
        <v>1</v>
      </c>
      <c r="AE5773">
        <v>1</v>
      </c>
      <c r="AF5773">
        <v>0</v>
      </c>
      <c r="AG5773">
        <v>8038.46</v>
      </c>
      <c r="AH5773">
        <v>180</v>
      </c>
      <c r="AI5773">
        <v>178</v>
      </c>
      <c r="AJ5773">
        <v>2</v>
      </c>
      <c r="AK5773">
        <v>1</v>
      </c>
      <c r="AL5773">
        <v>1</v>
      </c>
      <c r="AM5773">
        <v>98.89</v>
      </c>
      <c r="AN5773">
        <v>46.001600000000003</v>
      </c>
      <c r="AO5773">
        <v>89.32</v>
      </c>
      <c r="AP5773" s="13">
        <v>45974</v>
      </c>
      <c r="AQ5773">
        <v>0</v>
      </c>
      <c r="AR5773">
        <v>1</v>
      </c>
    </row>
    <row r="5774" spans="1:44" x14ac:dyDescent="0.35">
      <c r="A5774" s="12" t="s">
        <v>6882</v>
      </c>
      <c r="B5774" s="12" t="s">
        <v>221</v>
      </c>
      <c r="C5774" s="12" t="s">
        <v>222</v>
      </c>
      <c r="D5774" s="12" t="s">
        <v>114</v>
      </c>
      <c r="E5774" s="12" t="s">
        <v>142</v>
      </c>
      <c r="F5774">
        <v>3</v>
      </c>
      <c r="G5774">
        <v>11</v>
      </c>
      <c r="H5774">
        <v>0</v>
      </c>
      <c r="I5774" s="12" t="s">
        <v>105</v>
      </c>
      <c r="J5774" s="12" t="s">
        <v>106</v>
      </c>
      <c r="K5774" s="12" t="s">
        <v>81</v>
      </c>
      <c r="L5774" s="12" t="s">
        <v>96</v>
      </c>
      <c r="M5774">
        <v>5.01</v>
      </c>
      <c r="N5774" s="12" t="s">
        <v>70</v>
      </c>
      <c r="O5774" s="12" t="s">
        <v>71</v>
      </c>
      <c r="P5774" s="12" t="s">
        <v>72</v>
      </c>
      <c r="Q5774" s="13">
        <v>45930</v>
      </c>
      <c r="R5774" s="13">
        <v>45966</v>
      </c>
      <c r="S5774">
        <v>2025</v>
      </c>
      <c r="T5774" s="12" t="s">
        <v>6704</v>
      </c>
      <c r="U5774">
        <v>21</v>
      </c>
      <c r="V5774">
        <v>263.76639999999998</v>
      </c>
      <c r="W5774">
        <v>61.46</v>
      </c>
      <c r="X5774">
        <v>0</v>
      </c>
      <c r="Y5774">
        <v>0</v>
      </c>
      <c r="Z5774">
        <v>5539.09</v>
      </c>
      <c r="AA5774">
        <v>5600.55</v>
      </c>
      <c r="AB5774" s="12" t="s">
        <v>201</v>
      </c>
      <c r="AD5774">
        <v>0</v>
      </c>
      <c r="AE5774">
        <v>0</v>
      </c>
      <c r="AH5774">
        <v>21</v>
      </c>
      <c r="AI5774">
        <v>20</v>
      </c>
      <c r="AJ5774">
        <v>1</v>
      </c>
      <c r="AK5774">
        <v>1</v>
      </c>
      <c r="AL5774">
        <v>1</v>
      </c>
      <c r="AM5774">
        <v>95.24</v>
      </c>
      <c r="AN5774">
        <v>280.02769999999998</v>
      </c>
      <c r="AO5774">
        <v>263.77</v>
      </c>
      <c r="AP5774" s="13">
        <v>45965</v>
      </c>
      <c r="AQ5774">
        <v>-1</v>
      </c>
      <c r="AR5774">
        <v>1</v>
      </c>
    </row>
    <row r="5775" spans="1:44" x14ac:dyDescent="0.35">
      <c r="A5775" s="12" t="s">
        <v>6883</v>
      </c>
      <c r="B5775" s="12" t="s">
        <v>963</v>
      </c>
      <c r="C5775" s="12" t="s">
        <v>964</v>
      </c>
      <c r="D5775" s="12" t="s">
        <v>114</v>
      </c>
      <c r="E5775" s="12" t="s">
        <v>142</v>
      </c>
      <c r="F5775">
        <v>1</v>
      </c>
      <c r="G5775">
        <v>6</v>
      </c>
      <c r="H5775">
        <v>1</v>
      </c>
      <c r="I5775" s="12" t="s">
        <v>176</v>
      </c>
      <c r="J5775" s="12" t="s">
        <v>177</v>
      </c>
      <c r="K5775" s="12" t="s">
        <v>125</v>
      </c>
      <c r="L5775" s="12" t="s">
        <v>134</v>
      </c>
      <c r="M5775">
        <v>1.75</v>
      </c>
      <c r="N5775" s="12" t="s">
        <v>97</v>
      </c>
      <c r="O5775" s="12" t="s">
        <v>98</v>
      </c>
      <c r="P5775" s="12" t="s">
        <v>72</v>
      </c>
      <c r="Q5775" s="13">
        <v>45931</v>
      </c>
      <c r="R5775" s="13">
        <v>45979</v>
      </c>
      <c r="S5775">
        <v>2025</v>
      </c>
      <c r="T5775" s="12" t="s">
        <v>6884</v>
      </c>
      <c r="U5775">
        <v>113</v>
      </c>
      <c r="V5775">
        <v>221.07300000000001</v>
      </c>
      <c r="W5775">
        <v>540.98</v>
      </c>
      <c r="X5775">
        <v>0</v>
      </c>
      <c r="Y5775">
        <v>0</v>
      </c>
      <c r="Z5775">
        <v>24981.25</v>
      </c>
      <c r="AA5775">
        <v>25522.23</v>
      </c>
      <c r="AB5775" s="12" t="s">
        <v>201</v>
      </c>
      <c r="AD5775">
        <v>0</v>
      </c>
      <c r="AE5775">
        <v>0</v>
      </c>
      <c r="AH5775">
        <v>113</v>
      </c>
      <c r="AI5775">
        <v>111</v>
      </c>
      <c r="AJ5775">
        <v>2</v>
      </c>
      <c r="AK5775">
        <v>1</v>
      </c>
      <c r="AL5775">
        <v>1</v>
      </c>
      <c r="AM5775">
        <v>98.23</v>
      </c>
      <c r="AN5775">
        <v>229.93</v>
      </c>
      <c r="AO5775">
        <v>442.15</v>
      </c>
      <c r="AP5775" s="13">
        <v>45975</v>
      </c>
      <c r="AQ5775">
        <v>-4</v>
      </c>
      <c r="AR5775">
        <v>1</v>
      </c>
    </row>
    <row r="5776" spans="1:44" x14ac:dyDescent="0.35">
      <c r="A5776" s="12" t="s">
        <v>6885</v>
      </c>
      <c r="B5776" s="12" t="s">
        <v>843</v>
      </c>
      <c r="C5776" s="12" t="s">
        <v>844</v>
      </c>
      <c r="D5776" s="12" t="s">
        <v>175</v>
      </c>
      <c r="E5776" s="12" t="s">
        <v>65</v>
      </c>
      <c r="F5776">
        <v>3</v>
      </c>
      <c r="G5776">
        <v>5</v>
      </c>
      <c r="H5776">
        <v>0</v>
      </c>
      <c r="I5776" s="12" t="s">
        <v>359</v>
      </c>
      <c r="J5776" s="12" t="s">
        <v>360</v>
      </c>
      <c r="K5776" s="12" t="s">
        <v>133</v>
      </c>
      <c r="L5776" s="12" t="s">
        <v>82</v>
      </c>
      <c r="M5776">
        <v>12.65</v>
      </c>
      <c r="N5776" s="12" t="s">
        <v>107</v>
      </c>
      <c r="O5776" s="12" t="s">
        <v>108</v>
      </c>
      <c r="P5776" s="12" t="s">
        <v>109</v>
      </c>
      <c r="Q5776" s="13">
        <v>45931</v>
      </c>
      <c r="R5776" s="13">
        <v>45955</v>
      </c>
      <c r="S5776">
        <v>2025</v>
      </c>
      <c r="T5776" s="12" t="s">
        <v>6884</v>
      </c>
      <c r="U5776">
        <v>35</v>
      </c>
      <c r="V5776">
        <v>237.4212</v>
      </c>
      <c r="W5776">
        <v>95.21</v>
      </c>
      <c r="X5776">
        <v>0</v>
      </c>
      <c r="Y5776">
        <v>0</v>
      </c>
      <c r="Z5776">
        <v>8309.74</v>
      </c>
      <c r="AA5776">
        <v>8404.9500000000007</v>
      </c>
      <c r="AB5776" s="12" t="s">
        <v>6075</v>
      </c>
      <c r="AC5776">
        <v>237.4212</v>
      </c>
      <c r="AD5776">
        <v>1</v>
      </c>
      <c r="AE5776">
        <v>1</v>
      </c>
      <c r="AF5776">
        <v>0</v>
      </c>
      <c r="AG5776">
        <v>8309.74</v>
      </c>
      <c r="AH5776">
        <v>35</v>
      </c>
      <c r="AI5776">
        <v>35</v>
      </c>
      <c r="AJ5776">
        <v>0</v>
      </c>
      <c r="AK5776">
        <v>1</v>
      </c>
      <c r="AL5776">
        <v>1</v>
      </c>
      <c r="AM5776">
        <v>100</v>
      </c>
      <c r="AN5776">
        <v>240.14150000000001</v>
      </c>
      <c r="AO5776">
        <v>0</v>
      </c>
      <c r="AP5776" s="13">
        <v>45953</v>
      </c>
      <c r="AQ5776">
        <v>-2</v>
      </c>
      <c r="AR5776">
        <v>1</v>
      </c>
    </row>
    <row r="5777" spans="1:44" x14ac:dyDescent="0.35">
      <c r="A5777" s="12" t="s">
        <v>6886</v>
      </c>
      <c r="B5777" s="12" t="s">
        <v>1013</v>
      </c>
      <c r="C5777" s="12" t="s">
        <v>1014</v>
      </c>
      <c r="D5777" s="12" t="s">
        <v>78</v>
      </c>
      <c r="E5777" s="12" t="s">
        <v>65</v>
      </c>
      <c r="F5777">
        <v>2</v>
      </c>
      <c r="G5777">
        <v>3</v>
      </c>
      <c r="H5777">
        <v>0</v>
      </c>
      <c r="I5777" s="12" t="s">
        <v>123</v>
      </c>
      <c r="J5777" s="12" t="s">
        <v>124</v>
      </c>
      <c r="K5777" s="12" t="s">
        <v>125</v>
      </c>
      <c r="L5777" s="12" t="s">
        <v>82</v>
      </c>
      <c r="M5777">
        <v>6.75</v>
      </c>
      <c r="N5777" s="12" t="s">
        <v>97</v>
      </c>
      <c r="O5777" s="12" t="s">
        <v>98</v>
      </c>
      <c r="P5777" s="12" t="s">
        <v>72</v>
      </c>
      <c r="Q5777" s="13">
        <v>45931</v>
      </c>
      <c r="R5777" s="13">
        <v>45954</v>
      </c>
      <c r="S5777">
        <v>2025</v>
      </c>
      <c r="T5777" s="12" t="s">
        <v>6884</v>
      </c>
      <c r="U5777">
        <v>74</v>
      </c>
      <c r="V5777">
        <v>117.4766</v>
      </c>
      <c r="W5777">
        <v>83.57</v>
      </c>
      <c r="X5777">
        <v>0</v>
      </c>
      <c r="Y5777">
        <v>0</v>
      </c>
      <c r="Z5777">
        <v>8693.27</v>
      </c>
      <c r="AA5777">
        <v>8776.84</v>
      </c>
      <c r="AB5777" s="12" t="s">
        <v>6350</v>
      </c>
      <c r="AC5777">
        <v>124.94710000000001</v>
      </c>
      <c r="AD5777">
        <v>1</v>
      </c>
      <c r="AE5777">
        <v>1</v>
      </c>
      <c r="AF5777">
        <v>-552.82000000000005</v>
      </c>
      <c r="AG5777">
        <v>9246.09</v>
      </c>
      <c r="AH5777">
        <v>74</v>
      </c>
      <c r="AI5777">
        <v>73</v>
      </c>
      <c r="AJ5777">
        <v>1</v>
      </c>
      <c r="AK5777">
        <v>1</v>
      </c>
      <c r="AL5777">
        <v>1</v>
      </c>
      <c r="AM5777">
        <v>98.65</v>
      </c>
      <c r="AN5777">
        <v>120.2307</v>
      </c>
      <c r="AO5777">
        <v>117.48</v>
      </c>
      <c r="AP5777" s="13">
        <v>45952</v>
      </c>
      <c r="AQ5777">
        <v>-2</v>
      </c>
      <c r="AR5777">
        <v>1</v>
      </c>
    </row>
    <row r="5778" spans="1:44" x14ac:dyDescent="0.35">
      <c r="A5778" s="12" t="s">
        <v>6887</v>
      </c>
      <c r="B5778" s="12" t="s">
        <v>1166</v>
      </c>
      <c r="C5778" s="12" t="s">
        <v>1167</v>
      </c>
      <c r="D5778" s="12" t="s">
        <v>175</v>
      </c>
      <c r="E5778" s="12" t="s">
        <v>65</v>
      </c>
      <c r="F5778">
        <v>3</v>
      </c>
      <c r="G5778">
        <v>5</v>
      </c>
      <c r="H5778">
        <v>0</v>
      </c>
      <c r="I5778" s="12" t="s">
        <v>143</v>
      </c>
      <c r="J5778" s="12" t="s">
        <v>144</v>
      </c>
      <c r="K5778" s="12" t="s">
        <v>133</v>
      </c>
      <c r="L5778" s="12" t="s">
        <v>96</v>
      </c>
      <c r="M5778">
        <v>5.43</v>
      </c>
      <c r="N5778" s="12" t="s">
        <v>107</v>
      </c>
      <c r="O5778" s="12" t="s">
        <v>108</v>
      </c>
      <c r="P5778" s="12" t="s">
        <v>109</v>
      </c>
      <c r="Q5778" s="13">
        <v>45931</v>
      </c>
      <c r="R5778" s="13">
        <v>45960</v>
      </c>
      <c r="S5778">
        <v>2025</v>
      </c>
      <c r="T5778" s="12" t="s">
        <v>6884</v>
      </c>
      <c r="U5778">
        <v>75</v>
      </c>
      <c r="V5778">
        <v>234.00630000000001</v>
      </c>
      <c r="W5778">
        <v>368.9</v>
      </c>
      <c r="X5778">
        <v>0</v>
      </c>
      <c r="Y5778">
        <v>0</v>
      </c>
      <c r="Z5778">
        <v>17550.47</v>
      </c>
      <c r="AA5778">
        <v>17919.37</v>
      </c>
      <c r="AB5778" s="12" t="s">
        <v>201</v>
      </c>
      <c r="AD5778">
        <v>0</v>
      </c>
      <c r="AE5778">
        <v>0</v>
      </c>
      <c r="AH5778">
        <v>75</v>
      </c>
      <c r="AI5778">
        <v>74</v>
      </c>
      <c r="AJ5778">
        <v>1</v>
      </c>
      <c r="AK5778">
        <v>1</v>
      </c>
      <c r="AL5778">
        <v>1</v>
      </c>
      <c r="AM5778">
        <v>98.67</v>
      </c>
      <c r="AN5778">
        <v>242.15369999999999</v>
      </c>
      <c r="AO5778">
        <v>234.01</v>
      </c>
      <c r="AP5778" s="13">
        <v>45960</v>
      </c>
      <c r="AQ5778">
        <v>0</v>
      </c>
      <c r="AR5778">
        <v>1</v>
      </c>
    </row>
    <row r="5779" spans="1:44" x14ac:dyDescent="0.35">
      <c r="A5779" s="12" t="s">
        <v>6888</v>
      </c>
      <c r="B5779" s="12" t="s">
        <v>706</v>
      </c>
      <c r="C5779" s="12" t="s">
        <v>707</v>
      </c>
      <c r="D5779" s="12" t="s">
        <v>130</v>
      </c>
      <c r="E5779" s="12" t="s">
        <v>142</v>
      </c>
      <c r="F5779">
        <v>1</v>
      </c>
      <c r="G5779">
        <v>8</v>
      </c>
      <c r="H5779">
        <v>1</v>
      </c>
      <c r="I5779" s="12" t="s">
        <v>263</v>
      </c>
      <c r="J5779" s="12" t="s">
        <v>264</v>
      </c>
      <c r="K5779" s="12" t="s">
        <v>125</v>
      </c>
      <c r="L5779" s="12" t="s">
        <v>82</v>
      </c>
      <c r="M5779">
        <v>10.210000000000001</v>
      </c>
      <c r="N5779" s="12" t="s">
        <v>159</v>
      </c>
      <c r="O5779" s="12" t="s">
        <v>160</v>
      </c>
      <c r="P5779" s="12" t="s">
        <v>137</v>
      </c>
      <c r="Q5779" s="13">
        <v>45932</v>
      </c>
      <c r="R5779" s="13">
        <v>45973</v>
      </c>
      <c r="S5779">
        <v>2025</v>
      </c>
      <c r="T5779" s="12" t="s">
        <v>6884</v>
      </c>
      <c r="U5779">
        <v>59</v>
      </c>
      <c r="V5779">
        <v>276.71809999999999</v>
      </c>
      <c r="W5779">
        <v>314.64999999999998</v>
      </c>
      <c r="X5779">
        <v>0</v>
      </c>
      <c r="Y5779">
        <v>0</v>
      </c>
      <c r="Z5779">
        <v>16326.37</v>
      </c>
      <c r="AA5779">
        <v>16641.02</v>
      </c>
      <c r="AB5779" s="12" t="s">
        <v>5735</v>
      </c>
      <c r="AC5779">
        <v>276.71809999999999</v>
      </c>
      <c r="AD5779">
        <v>1</v>
      </c>
      <c r="AE5779">
        <v>1</v>
      </c>
      <c r="AF5779">
        <v>0</v>
      </c>
      <c r="AG5779">
        <v>16326.37</v>
      </c>
      <c r="AH5779">
        <v>59</v>
      </c>
      <c r="AI5779">
        <v>59</v>
      </c>
      <c r="AJ5779">
        <v>0</v>
      </c>
      <c r="AK5779">
        <v>1</v>
      </c>
      <c r="AL5779">
        <v>1</v>
      </c>
      <c r="AM5779">
        <v>100</v>
      </c>
      <c r="AN5779">
        <v>282.05119999999999</v>
      </c>
      <c r="AO5779">
        <v>0</v>
      </c>
      <c r="AP5779" s="13">
        <v>45972</v>
      </c>
      <c r="AQ5779">
        <v>-1</v>
      </c>
      <c r="AR5779">
        <v>1</v>
      </c>
    </row>
    <row r="5780" spans="1:44" x14ac:dyDescent="0.35">
      <c r="A5780" s="12" t="s">
        <v>6889</v>
      </c>
      <c r="B5780" s="12" t="s">
        <v>112</v>
      </c>
      <c r="C5780" s="12" t="s">
        <v>113</v>
      </c>
      <c r="D5780" s="12" t="s">
        <v>114</v>
      </c>
      <c r="E5780" s="12" t="s">
        <v>104</v>
      </c>
      <c r="F5780">
        <v>3</v>
      </c>
      <c r="G5780">
        <v>1</v>
      </c>
      <c r="H5780">
        <v>0</v>
      </c>
      <c r="I5780" s="12" t="s">
        <v>227</v>
      </c>
      <c r="J5780" s="12" t="s">
        <v>228</v>
      </c>
      <c r="K5780" s="12" t="s">
        <v>89</v>
      </c>
      <c r="L5780" s="12" t="s">
        <v>96</v>
      </c>
      <c r="M5780">
        <v>9.15</v>
      </c>
      <c r="N5780" s="12" t="s">
        <v>70</v>
      </c>
      <c r="O5780" s="12" t="s">
        <v>71</v>
      </c>
      <c r="P5780" s="12" t="s">
        <v>72</v>
      </c>
      <c r="Q5780" s="13">
        <v>45932</v>
      </c>
      <c r="R5780" s="13">
        <v>45944</v>
      </c>
      <c r="S5780">
        <v>2025</v>
      </c>
      <c r="T5780" s="12" t="s">
        <v>6884</v>
      </c>
      <c r="U5780">
        <v>11</v>
      </c>
      <c r="V5780">
        <v>255.28739999999999</v>
      </c>
      <c r="W5780">
        <v>40.479999999999997</v>
      </c>
      <c r="X5780">
        <v>0</v>
      </c>
      <c r="Y5780">
        <v>0</v>
      </c>
      <c r="Z5780">
        <v>2808.16</v>
      </c>
      <c r="AA5780">
        <v>2848.64</v>
      </c>
      <c r="AB5780" s="12" t="s">
        <v>201</v>
      </c>
      <c r="AD5780">
        <v>0</v>
      </c>
      <c r="AE5780">
        <v>0</v>
      </c>
      <c r="AH5780">
        <v>11</v>
      </c>
      <c r="AI5780">
        <v>11</v>
      </c>
      <c r="AJ5780">
        <v>0</v>
      </c>
      <c r="AK5780">
        <v>1</v>
      </c>
      <c r="AL5780">
        <v>1</v>
      </c>
      <c r="AM5780">
        <v>100</v>
      </c>
      <c r="AN5780">
        <v>258.9674</v>
      </c>
      <c r="AO5780">
        <v>0</v>
      </c>
      <c r="AP5780" s="13">
        <v>45944</v>
      </c>
      <c r="AQ5780">
        <v>0</v>
      </c>
      <c r="AR5780">
        <v>1</v>
      </c>
    </row>
    <row r="5781" spans="1:44" x14ac:dyDescent="0.35">
      <c r="A5781" s="12" t="s">
        <v>6890</v>
      </c>
      <c r="B5781" s="12" t="s">
        <v>503</v>
      </c>
      <c r="C5781" s="12" t="s">
        <v>504</v>
      </c>
      <c r="D5781" s="12" t="s">
        <v>103</v>
      </c>
      <c r="E5781" s="12" t="s">
        <v>104</v>
      </c>
      <c r="F5781">
        <v>3</v>
      </c>
      <c r="G5781">
        <v>1</v>
      </c>
      <c r="H5781">
        <v>0</v>
      </c>
      <c r="I5781" s="12" t="s">
        <v>209</v>
      </c>
      <c r="J5781" s="12" t="s">
        <v>210</v>
      </c>
      <c r="K5781" s="12" t="s">
        <v>133</v>
      </c>
      <c r="L5781" s="12" t="s">
        <v>96</v>
      </c>
      <c r="M5781">
        <v>7.82</v>
      </c>
      <c r="N5781" s="12" t="s">
        <v>107</v>
      </c>
      <c r="O5781" s="12" t="s">
        <v>108</v>
      </c>
      <c r="P5781" s="12" t="s">
        <v>109</v>
      </c>
      <c r="Q5781" s="13">
        <v>45932</v>
      </c>
      <c r="R5781" s="13">
        <v>45946</v>
      </c>
      <c r="S5781">
        <v>2025</v>
      </c>
      <c r="T5781" s="12" t="s">
        <v>6884</v>
      </c>
      <c r="U5781">
        <v>28</v>
      </c>
      <c r="V5781">
        <v>167.70760000000001</v>
      </c>
      <c r="W5781">
        <v>114.74</v>
      </c>
      <c r="X5781">
        <v>0</v>
      </c>
      <c r="Y5781">
        <v>0</v>
      </c>
      <c r="Z5781">
        <v>4695.8100000000004</v>
      </c>
      <c r="AA5781">
        <v>4810.55</v>
      </c>
      <c r="AB5781" s="12" t="s">
        <v>201</v>
      </c>
      <c r="AD5781">
        <v>0</v>
      </c>
      <c r="AE5781">
        <v>0</v>
      </c>
      <c r="AH5781">
        <v>28</v>
      </c>
      <c r="AI5781">
        <v>28</v>
      </c>
      <c r="AJ5781">
        <v>0</v>
      </c>
      <c r="AK5781">
        <v>1</v>
      </c>
      <c r="AL5781">
        <v>1</v>
      </c>
      <c r="AM5781">
        <v>100</v>
      </c>
      <c r="AN5781">
        <v>171.80549999999999</v>
      </c>
      <c r="AO5781">
        <v>0</v>
      </c>
      <c r="AP5781" s="13">
        <v>45946</v>
      </c>
      <c r="AQ5781">
        <v>0</v>
      </c>
      <c r="AR5781">
        <v>1</v>
      </c>
    </row>
    <row r="5782" spans="1:44" x14ac:dyDescent="0.35">
      <c r="A5782" s="12" t="s">
        <v>6891</v>
      </c>
      <c r="B5782" s="12" t="s">
        <v>609</v>
      </c>
      <c r="C5782" s="12" t="s">
        <v>610</v>
      </c>
      <c r="D5782" s="12" t="s">
        <v>64</v>
      </c>
      <c r="E5782" s="12" t="s">
        <v>104</v>
      </c>
      <c r="F5782">
        <v>1</v>
      </c>
      <c r="G5782">
        <v>0</v>
      </c>
      <c r="H5782">
        <v>1</v>
      </c>
      <c r="I5782" s="12" t="s">
        <v>227</v>
      </c>
      <c r="J5782" s="12" t="s">
        <v>228</v>
      </c>
      <c r="K5782" s="12" t="s">
        <v>89</v>
      </c>
      <c r="L5782" s="12" t="s">
        <v>96</v>
      </c>
      <c r="M5782">
        <v>9.15</v>
      </c>
      <c r="N5782" s="12" t="s">
        <v>97</v>
      </c>
      <c r="O5782" s="12" t="s">
        <v>98</v>
      </c>
      <c r="P5782" s="12" t="s">
        <v>72</v>
      </c>
      <c r="Q5782" s="13">
        <v>45932</v>
      </c>
      <c r="R5782" s="13">
        <v>45955</v>
      </c>
      <c r="S5782">
        <v>2025</v>
      </c>
      <c r="T5782" s="12" t="s">
        <v>6884</v>
      </c>
      <c r="U5782">
        <v>697</v>
      </c>
      <c r="V5782">
        <v>19.4526</v>
      </c>
      <c r="W5782">
        <v>168.4</v>
      </c>
      <c r="X5782">
        <v>0</v>
      </c>
      <c r="Y5782">
        <v>0</v>
      </c>
      <c r="Z5782">
        <v>13558.46</v>
      </c>
      <c r="AA5782">
        <v>13726.86</v>
      </c>
      <c r="AB5782" s="12" t="s">
        <v>5573</v>
      </c>
      <c r="AC5782">
        <v>20.683900000000001</v>
      </c>
      <c r="AD5782">
        <v>1</v>
      </c>
      <c r="AE5782">
        <v>1</v>
      </c>
      <c r="AF5782">
        <v>-858.22</v>
      </c>
      <c r="AG5782">
        <v>14416.68</v>
      </c>
      <c r="AH5782">
        <v>697</v>
      </c>
      <c r="AI5782">
        <v>694</v>
      </c>
      <c r="AJ5782">
        <v>3</v>
      </c>
      <c r="AK5782">
        <v>1</v>
      </c>
      <c r="AL5782">
        <v>1</v>
      </c>
      <c r="AM5782">
        <v>99.57</v>
      </c>
      <c r="AN5782">
        <v>19.779299999999999</v>
      </c>
      <c r="AO5782">
        <v>58.36</v>
      </c>
      <c r="AP5782" s="13">
        <v>45955</v>
      </c>
      <c r="AQ5782">
        <v>0</v>
      </c>
      <c r="AR5782">
        <v>1</v>
      </c>
    </row>
    <row r="5783" spans="1:44" x14ac:dyDescent="0.35">
      <c r="A5783" s="12" t="s">
        <v>6892</v>
      </c>
      <c r="B5783" s="12" t="s">
        <v>613</v>
      </c>
      <c r="C5783" s="12" t="s">
        <v>614</v>
      </c>
      <c r="D5783" s="12" t="s">
        <v>130</v>
      </c>
      <c r="E5783" s="12" t="s">
        <v>104</v>
      </c>
      <c r="F5783">
        <v>3</v>
      </c>
      <c r="G5783">
        <v>1</v>
      </c>
      <c r="H5783">
        <v>0</v>
      </c>
      <c r="I5783" s="12" t="s">
        <v>66</v>
      </c>
      <c r="J5783" s="12" t="s">
        <v>67</v>
      </c>
      <c r="K5783" s="12" t="s">
        <v>68</v>
      </c>
      <c r="L5783" s="12" t="s">
        <v>69</v>
      </c>
      <c r="M5783">
        <v>17.66</v>
      </c>
      <c r="N5783" s="12" t="s">
        <v>135</v>
      </c>
      <c r="O5783" s="12" t="s">
        <v>136</v>
      </c>
      <c r="P5783" s="12" t="s">
        <v>137</v>
      </c>
      <c r="Q5783" s="13">
        <v>45932</v>
      </c>
      <c r="R5783" s="13">
        <v>45947</v>
      </c>
      <c r="S5783">
        <v>2025</v>
      </c>
      <c r="T5783" s="12" t="s">
        <v>6884</v>
      </c>
      <c r="U5783">
        <v>35</v>
      </c>
      <c r="V5783">
        <v>154.3064</v>
      </c>
      <c r="W5783">
        <v>131.27000000000001</v>
      </c>
      <c r="X5783">
        <v>0</v>
      </c>
      <c r="Y5783">
        <v>0</v>
      </c>
      <c r="Z5783">
        <v>5400.72</v>
      </c>
      <c r="AA5783">
        <v>5531.99</v>
      </c>
      <c r="AB5783" s="12" t="s">
        <v>5538</v>
      </c>
      <c r="AC5783">
        <v>154.3064</v>
      </c>
      <c r="AD5783">
        <v>1</v>
      </c>
      <c r="AE5783">
        <v>1</v>
      </c>
      <c r="AF5783">
        <v>0</v>
      </c>
      <c r="AG5783">
        <v>5400.72</v>
      </c>
      <c r="AH5783">
        <v>35</v>
      </c>
      <c r="AI5783">
        <v>35</v>
      </c>
      <c r="AJ5783">
        <v>0</v>
      </c>
      <c r="AK5783">
        <v>1</v>
      </c>
      <c r="AL5783">
        <v>1</v>
      </c>
      <c r="AM5783">
        <v>100</v>
      </c>
      <c r="AN5783">
        <v>158.05699999999999</v>
      </c>
      <c r="AO5783">
        <v>0</v>
      </c>
      <c r="AP5783" s="13">
        <v>45950</v>
      </c>
      <c r="AQ5783">
        <v>3</v>
      </c>
      <c r="AR5783">
        <v>0</v>
      </c>
    </row>
    <row r="5784" spans="1:44" x14ac:dyDescent="0.35">
      <c r="A5784" s="12" t="s">
        <v>6893</v>
      </c>
      <c r="B5784" s="12" t="s">
        <v>120</v>
      </c>
      <c r="C5784" s="12" t="s">
        <v>121</v>
      </c>
      <c r="D5784" s="12" t="s">
        <v>122</v>
      </c>
      <c r="E5784" s="12" t="s">
        <v>65</v>
      </c>
      <c r="F5784">
        <v>3</v>
      </c>
      <c r="G5784">
        <v>4</v>
      </c>
      <c r="H5784">
        <v>0</v>
      </c>
      <c r="I5784" s="12" t="s">
        <v>123</v>
      </c>
      <c r="J5784" s="12" t="s">
        <v>124</v>
      </c>
      <c r="K5784" s="12" t="s">
        <v>125</v>
      </c>
      <c r="L5784" s="12" t="s">
        <v>82</v>
      </c>
      <c r="M5784">
        <v>6.75</v>
      </c>
      <c r="N5784" s="12" t="s">
        <v>97</v>
      </c>
      <c r="O5784" s="12" t="s">
        <v>98</v>
      </c>
      <c r="P5784" s="12" t="s">
        <v>72</v>
      </c>
      <c r="Q5784" s="13">
        <v>45932</v>
      </c>
      <c r="R5784" s="13">
        <v>45969</v>
      </c>
      <c r="S5784">
        <v>2025</v>
      </c>
      <c r="T5784" s="12" t="s">
        <v>6884</v>
      </c>
      <c r="U5784">
        <v>1888</v>
      </c>
      <c r="V5784">
        <v>50.976100000000002</v>
      </c>
      <c r="W5784">
        <v>1933.07</v>
      </c>
      <c r="X5784">
        <v>0</v>
      </c>
      <c r="Y5784">
        <v>0</v>
      </c>
      <c r="Z5784">
        <v>96242.880000000005</v>
      </c>
      <c r="AA5784">
        <v>98175.95</v>
      </c>
      <c r="AB5784" s="12" t="s">
        <v>5139</v>
      </c>
      <c r="AC5784">
        <v>50.976100000000002</v>
      </c>
      <c r="AD5784">
        <v>1</v>
      </c>
      <c r="AE5784">
        <v>1</v>
      </c>
      <c r="AF5784">
        <v>0</v>
      </c>
      <c r="AG5784">
        <v>96242.880000000005</v>
      </c>
      <c r="AH5784">
        <v>1888</v>
      </c>
      <c r="AI5784">
        <v>1883</v>
      </c>
      <c r="AJ5784">
        <v>5</v>
      </c>
      <c r="AK5784">
        <v>1</v>
      </c>
      <c r="AL5784">
        <v>1</v>
      </c>
      <c r="AM5784">
        <v>99.74</v>
      </c>
      <c r="AN5784">
        <v>52.137999999999998</v>
      </c>
      <c r="AO5784">
        <v>254.88</v>
      </c>
      <c r="AP5784" s="13">
        <v>45968</v>
      </c>
      <c r="AQ5784">
        <v>-1</v>
      </c>
      <c r="AR5784">
        <v>1</v>
      </c>
    </row>
    <row r="5785" spans="1:44" x14ac:dyDescent="0.35">
      <c r="A5785" s="12" t="s">
        <v>6894</v>
      </c>
      <c r="B5785" s="12" t="s">
        <v>952</v>
      </c>
      <c r="C5785" s="12" t="s">
        <v>953</v>
      </c>
      <c r="D5785" s="12" t="s">
        <v>64</v>
      </c>
      <c r="E5785" s="12" t="s">
        <v>142</v>
      </c>
      <c r="F5785">
        <v>1</v>
      </c>
      <c r="G5785">
        <v>8</v>
      </c>
      <c r="H5785">
        <v>1</v>
      </c>
      <c r="I5785" s="12" t="s">
        <v>131</v>
      </c>
      <c r="J5785" s="12" t="s">
        <v>132</v>
      </c>
      <c r="K5785" s="12" t="s">
        <v>133</v>
      </c>
      <c r="L5785" s="12" t="s">
        <v>134</v>
      </c>
      <c r="M5785">
        <v>1.51</v>
      </c>
      <c r="N5785" s="12" t="s">
        <v>97</v>
      </c>
      <c r="O5785" s="12" t="s">
        <v>98</v>
      </c>
      <c r="P5785" s="12" t="s">
        <v>72</v>
      </c>
      <c r="Q5785" s="13">
        <v>45932</v>
      </c>
      <c r="R5785" s="13">
        <v>45971</v>
      </c>
      <c r="S5785">
        <v>2025</v>
      </c>
      <c r="T5785" s="12" t="s">
        <v>6884</v>
      </c>
      <c r="U5785">
        <v>301</v>
      </c>
      <c r="V5785">
        <v>29.2121</v>
      </c>
      <c r="W5785">
        <v>112.47</v>
      </c>
      <c r="X5785">
        <v>0</v>
      </c>
      <c r="Y5785">
        <v>0</v>
      </c>
      <c r="Z5785">
        <v>8792.84</v>
      </c>
      <c r="AA5785">
        <v>8905.31</v>
      </c>
      <c r="AB5785" s="12" t="s">
        <v>6001</v>
      </c>
      <c r="AC5785">
        <v>31.074300000000001</v>
      </c>
      <c r="AD5785">
        <v>1</v>
      </c>
      <c r="AE5785">
        <v>1</v>
      </c>
      <c r="AF5785">
        <v>-560.52</v>
      </c>
      <c r="AG5785">
        <v>9353.36</v>
      </c>
      <c r="AH5785">
        <v>301</v>
      </c>
      <c r="AI5785">
        <v>300</v>
      </c>
      <c r="AJ5785">
        <v>1</v>
      </c>
      <c r="AK5785">
        <v>1</v>
      </c>
      <c r="AL5785">
        <v>1</v>
      </c>
      <c r="AM5785">
        <v>99.67</v>
      </c>
      <c r="AN5785">
        <v>29.6844</v>
      </c>
      <c r="AO5785">
        <v>29.21</v>
      </c>
      <c r="AP5785" s="13">
        <v>45971</v>
      </c>
      <c r="AQ5785">
        <v>0</v>
      </c>
      <c r="AR5785">
        <v>1</v>
      </c>
    </row>
    <row r="5786" spans="1:44" x14ac:dyDescent="0.35">
      <c r="A5786" s="12" t="s">
        <v>6895</v>
      </c>
      <c r="B5786" s="12" t="s">
        <v>827</v>
      </c>
      <c r="C5786" s="12" t="s">
        <v>828</v>
      </c>
      <c r="D5786" s="12" t="s">
        <v>175</v>
      </c>
      <c r="E5786" s="12" t="s">
        <v>104</v>
      </c>
      <c r="F5786">
        <v>2</v>
      </c>
      <c r="G5786">
        <v>0</v>
      </c>
      <c r="H5786">
        <v>0</v>
      </c>
      <c r="I5786" s="12" t="s">
        <v>183</v>
      </c>
      <c r="J5786" s="12" t="s">
        <v>184</v>
      </c>
      <c r="K5786" s="12" t="s">
        <v>133</v>
      </c>
      <c r="L5786" s="12" t="s">
        <v>82</v>
      </c>
      <c r="M5786">
        <v>8.6199999999999992</v>
      </c>
      <c r="N5786" s="12" t="s">
        <v>107</v>
      </c>
      <c r="O5786" s="12" t="s">
        <v>108</v>
      </c>
      <c r="P5786" s="12" t="s">
        <v>109</v>
      </c>
      <c r="Q5786" s="13">
        <v>45932</v>
      </c>
      <c r="R5786" s="13">
        <v>45949</v>
      </c>
      <c r="S5786">
        <v>2025</v>
      </c>
      <c r="T5786" s="12" t="s">
        <v>6884</v>
      </c>
      <c r="U5786">
        <v>54</v>
      </c>
      <c r="V5786">
        <v>107.14830000000001</v>
      </c>
      <c r="W5786">
        <v>41.82</v>
      </c>
      <c r="X5786">
        <v>0</v>
      </c>
      <c r="Y5786">
        <v>0</v>
      </c>
      <c r="Z5786">
        <v>5786.01</v>
      </c>
      <c r="AA5786">
        <v>5827.83</v>
      </c>
      <c r="AB5786" s="12" t="s">
        <v>201</v>
      </c>
      <c r="AD5786">
        <v>0</v>
      </c>
      <c r="AE5786">
        <v>0</v>
      </c>
      <c r="AH5786">
        <v>54</v>
      </c>
      <c r="AI5786">
        <v>54</v>
      </c>
      <c r="AJ5786">
        <v>0</v>
      </c>
      <c r="AK5786">
        <v>1</v>
      </c>
      <c r="AL5786">
        <v>1</v>
      </c>
      <c r="AM5786">
        <v>100</v>
      </c>
      <c r="AN5786">
        <v>107.92270000000001</v>
      </c>
      <c r="AO5786">
        <v>0</v>
      </c>
      <c r="AP5786" s="13">
        <v>45947</v>
      </c>
      <c r="AQ5786">
        <v>-2</v>
      </c>
      <c r="AR5786">
        <v>1</v>
      </c>
    </row>
    <row r="5787" spans="1:44" x14ac:dyDescent="0.35">
      <c r="A5787" s="12" t="s">
        <v>6896</v>
      </c>
      <c r="B5787" s="12" t="s">
        <v>293</v>
      </c>
      <c r="C5787" s="12" t="s">
        <v>294</v>
      </c>
      <c r="D5787" s="12" t="s">
        <v>114</v>
      </c>
      <c r="E5787" s="12" t="s">
        <v>142</v>
      </c>
      <c r="F5787">
        <v>1</v>
      </c>
      <c r="G5787">
        <v>6</v>
      </c>
      <c r="H5787">
        <v>1</v>
      </c>
      <c r="I5787" s="12" t="s">
        <v>195</v>
      </c>
      <c r="J5787" s="12" t="s">
        <v>196</v>
      </c>
      <c r="K5787" s="12" t="s">
        <v>117</v>
      </c>
      <c r="L5787" s="12" t="s">
        <v>134</v>
      </c>
      <c r="M5787">
        <v>4.7699999999999996</v>
      </c>
      <c r="N5787" s="12" t="s">
        <v>70</v>
      </c>
      <c r="O5787" s="12" t="s">
        <v>71</v>
      </c>
      <c r="P5787" s="12" t="s">
        <v>72</v>
      </c>
      <c r="Q5787" s="13">
        <v>45932</v>
      </c>
      <c r="R5787" s="13">
        <v>45982</v>
      </c>
      <c r="S5787">
        <v>2025</v>
      </c>
      <c r="T5787" s="12" t="s">
        <v>6884</v>
      </c>
      <c r="U5787">
        <v>132</v>
      </c>
      <c r="V5787">
        <v>199.8203</v>
      </c>
      <c r="W5787">
        <v>207.98</v>
      </c>
      <c r="X5787">
        <v>0</v>
      </c>
      <c r="Y5787">
        <v>0</v>
      </c>
      <c r="Z5787">
        <v>26376.28</v>
      </c>
      <c r="AA5787">
        <v>26584.26</v>
      </c>
      <c r="AB5787" s="12" t="s">
        <v>5190</v>
      </c>
      <c r="AC5787">
        <v>199.8203</v>
      </c>
      <c r="AD5787">
        <v>1</v>
      </c>
      <c r="AE5787">
        <v>1</v>
      </c>
      <c r="AF5787">
        <v>0</v>
      </c>
      <c r="AG5787">
        <v>26376.28</v>
      </c>
      <c r="AH5787">
        <v>132</v>
      </c>
      <c r="AI5787">
        <v>129</v>
      </c>
      <c r="AJ5787">
        <v>3</v>
      </c>
      <c r="AK5787">
        <v>1</v>
      </c>
      <c r="AL5787">
        <v>1</v>
      </c>
      <c r="AM5787">
        <v>97.73</v>
      </c>
      <c r="AN5787">
        <v>206.0795</v>
      </c>
      <c r="AO5787">
        <v>599.46</v>
      </c>
      <c r="AP5787" s="13">
        <v>45985</v>
      </c>
      <c r="AQ5787">
        <v>3</v>
      </c>
      <c r="AR5787">
        <v>0</v>
      </c>
    </row>
    <row r="5788" spans="1:44" x14ac:dyDescent="0.35">
      <c r="A5788" s="12" t="s">
        <v>6897</v>
      </c>
      <c r="B5788" s="12" t="s">
        <v>837</v>
      </c>
      <c r="C5788" s="12" t="s">
        <v>838</v>
      </c>
      <c r="D5788" s="12" t="s">
        <v>114</v>
      </c>
      <c r="E5788" s="12" t="s">
        <v>104</v>
      </c>
      <c r="F5788">
        <v>2</v>
      </c>
      <c r="G5788">
        <v>0</v>
      </c>
      <c r="H5788">
        <v>0</v>
      </c>
      <c r="I5788" s="12" t="s">
        <v>79</v>
      </c>
      <c r="J5788" s="12" t="s">
        <v>80</v>
      </c>
      <c r="K5788" s="12" t="s">
        <v>81</v>
      </c>
      <c r="L5788" s="12" t="s">
        <v>82</v>
      </c>
      <c r="M5788">
        <v>12.07</v>
      </c>
      <c r="N5788" s="12" t="s">
        <v>97</v>
      </c>
      <c r="O5788" s="12" t="s">
        <v>98</v>
      </c>
      <c r="P5788" s="12" t="s">
        <v>72</v>
      </c>
      <c r="Q5788" s="13">
        <v>45933</v>
      </c>
      <c r="R5788" s="13">
        <v>45952</v>
      </c>
      <c r="S5788">
        <v>2025</v>
      </c>
      <c r="T5788" s="12" t="s">
        <v>6884</v>
      </c>
      <c r="U5788">
        <v>65</v>
      </c>
      <c r="V5788">
        <v>66.919799999999995</v>
      </c>
      <c r="W5788">
        <v>63.58</v>
      </c>
      <c r="X5788">
        <v>0</v>
      </c>
      <c r="Y5788">
        <v>0</v>
      </c>
      <c r="Z5788">
        <v>4349.79</v>
      </c>
      <c r="AA5788">
        <v>4413.37</v>
      </c>
      <c r="AB5788" s="12" t="s">
        <v>5905</v>
      </c>
      <c r="AC5788">
        <v>71.0244</v>
      </c>
      <c r="AD5788">
        <v>1</v>
      </c>
      <c r="AE5788">
        <v>1</v>
      </c>
      <c r="AF5788">
        <v>-266.8</v>
      </c>
      <c r="AG5788">
        <v>4616.59</v>
      </c>
      <c r="AH5788">
        <v>65</v>
      </c>
      <c r="AI5788">
        <v>63</v>
      </c>
      <c r="AJ5788">
        <v>2</v>
      </c>
      <c r="AK5788">
        <v>1</v>
      </c>
      <c r="AL5788">
        <v>1</v>
      </c>
      <c r="AM5788">
        <v>96.92</v>
      </c>
      <c r="AN5788">
        <v>70.053399999999996</v>
      </c>
      <c r="AO5788">
        <v>133.84</v>
      </c>
      <c r="AP5788" s="13">
        <v>45949</v>
      </c>
      <c r="AQ5788">
        <v>-3</v>
      </c>
      <c r="AR5788">
        <v>1</v>
      </c>
    </row>
    <row r="5789" spans="1:44" x14ac:dyDescent="0.35">
      <c r="A5789" s="12" t="s">
        <v>6898</v>
      </c>
      <c r="B5789" s="12" t="s">
        <v>317</v>
      </c>
      <c r="C5789" s="12" t="s">
        <v>318</v>
      </c>
      <c r="D5789" s="12" t="s">
        <v>64</v>
      </c>
      <c r="E5789" s="12" t="s">
        <v>104</v>
      </c>
      <c r="F5789">
        <v>2</v>
      </c>
      <c r="G5789">
        <v>0</v>
      </c>
      <c r="H5789">
        <v>0</v>
      </c>
      <c r="I5789" s="12" t="s">
        <v>169</v>
      </c>
      <c r="J5789" s="12" t="s">
        <v>170</v>
      </c>
      <c r="K5789" s="12" t="s">
        <v>89</v>
      </c>
      <c r="L5789" s="12" t="s">
        <v>134</v>
      </c>
      <c r="M5789">
        <v>1.37</v>
      </c>
      <c r="N5789" s="12" t="s">
        <v>70</v>
      </c>
      <c r="O5789" s="12" t="s">
        <v>71</v>
      </c>
      <c r="P5789" s="12" t="s">
        <v>72</v>
      </c>
      <c r="Q5789" s="13">
        <v>45933</v>
      </c>
      <c r="R5789" s="13">
        <v>45949</v>
      </c>
      <c r="S5789">
        <v>2025</v>
      </c>
      <c r="T5789" s="12" t="s">
        <v>6884</v>
      </c>
      <c r="U5789">
        <v>344</v>
      </c>
      <c r="V5789">
        <v>15.823399999999999</v>
      </c>
      <c r="W5789">
        <v>89.57</v>
      </c>
      <c r="X5789">
        <v>0</v>
      </c>
      <c r="Y5789">
        <v>0</v>
      </c>
      <c r="Z5789">
        <v>5443.25</v>
      </c>
      <c r="AA5789">
        <v>5532.82</v>
      </c>
      <c r="AB5789" s="12" t="s">
        <v>5518</v>
      </c>
      <c r="AC5789">
        <v>15.823399999999999</v>
      </c>
      <c r="AD5789">
        <v>1</v>
      </c>
      <c r="AE5789">
        <v>1</v>
      </c>
      <c r="AF5789">
        <v>0</v>
      </c>
      <c r="AG5789">
        <v>5443.25</v>
      </c>
      <c r="AH5789">
        <v>344</v>
      </c>
      <c r="AI5789">
        <v>341</v>
      </c>
      <c r="AJ5789">
        <v>3</v>
      </c>
      <c r="AK5789">
        <v>1</v>
      </c>
      <c r="AL5789">
        <v>1</v>
      </c>
      <c r="AM5789">
        <v>99.13</v>
      </c>
      <c r="AN5789">
        <v>16.225300000000001</v>
      </c>
      <c r="AO5789">
        <v>47.47</v>
      </c>
      <c r="AP5789" s="13">
        <v>45949</v>
      </c>
      <c r="AQ5789">
        <v>0</v>
      </c>
      <c r="AR5789">
        <v>1</v>
      </c>
    </row>
    <row r="5790" spans="1:44" x14ac:dyDescent="0.35">
      <c r="A5790" s="12" t="s">
        <v>6899</v>
      </c>
      <c r="B5790" s="12" t="s">
        <v>404</v>
      </c>
      <c r="C5790" s="12" t="s">
        <v>405</v>
      </c>
      <c r="D5790" s="12" t="s">
        <v>269</v>
      </c>
      <c r="E5790" s="12" t="s">
        <v>65</v>
      </c>
      <c r="F5790">
        <v>3</v>
      </c>
      <c r="G5790">
        <v>5</v>
      </c>
      <c r="H5790">
        <v>0</v>
      </c>
      <c r="I5790" s="12" t="s">
        <v>79</v>
      </c>
      <c r="J5790" s="12" t="s">
        <v>80</v>
      </c>
      <c r="K5790" s="12" t="s">
        <v>81</v>
      </c>
      <c r="L5790" s="12" t="s">
        <v>82</v>
      </c>
      <c r="M5790">
        <v>12.07</v>
      </c>
      <c r="N5790" s="12" t="s">
        <v>135</v>
      </c>
      <c r="O5790" s="12" t="s">
        <v>136</v>
      </c>
      <c r="P5790" s="12" t="s">
        <v>137</v>
      </c>
      <c r="Q5790" s="13">
        <v>45933</v>
      </c>
      <c r="R5790" s="13">
        <v>45959</v>
      </c>
      <c r="S5790">
        <v>2025</v>
      </c>
      <c r="T5790" s="12" t="s">
        <v>6884</v>
      </c>
      <c r="U5790">
        <v>55</v>
      </c>
      <c r="V5790">
        <v>430.10059999999999</v>
      </c>
      <c r="W5790">
        <v>197.06</v>
      </c>
      <c r="X5790">
        <v>0</v>
      </c>
      <c r="Y5790">
        <v>0</v>
      </c>
      <c r="Z5790">
        <v>23655.53</v>
      </c>
      <c r="AA5790">
        <v>23852.59</v>
      </c>
      <c r="AB5790" s="12" t="s">
        <v>5503</v>
      </c>
      <c r="AC5790">
        <v>430.10059999999999</v>
      </c>
      <c r="AD5790">
        <v>1</v>
      </c>
      <c r="AE5790">
        <v>1</v>
      </c>
      <c r="AF5790">
        <v>0</v>
      </c>
      <c r="AG5790">
        <v>23655.53</v>
      </c>
      <c r="AH5790">
        <v>55</v>
      </c>
      <c r="AI5790">
        <v>55</v>
      </c>
      <c r="AJ5790">
        <v>0</v>
      </c>
      <c r="AK5790">
        <v>1</v>
      </c>
      <c r="AL5790">
        <v>1</v>
      </c>
      <c r="AM5790">
        <v>100</v>
      </c>
      <c r="AN5790">
        <v>433.68349999999998</v>
      </c>
      <c r="AO5790">
        <v>0</v>
      </c>
      <c r="AP5790" s="13">
        <v>45959</v>
      </c>
      <c r="AQ5790">
        <v>0</v>
      </c>
      <c r="AR5790">
        <v>1</v>
      </c>
    </row>
    <row r="5791" spans="1:44" x14ac:dyDescent="0.35">
      <c r="A5791" s="12" t="s">
        <v>6900</v>
      </c>
      <c r="B5791" s="12" t="s">
        <v>1034</v>
      </c>
      <c r="C5791" s="12" t="s">
        <v>1035</v>
      </c>
      <c r="D5791" s="12" t="s">
        <v>64</v>
      </c>
      <c r="E5791" s="12" t="s">
        <v>104</v>
      </c>
      <c r="F5791">
        <v>2</v>
      </c>
      <c r="G5791">
        <v>0</v>
      </c>
      <c r="H5791">
        <v>0</v>
      </c>
      <c r="I5791" s="12" t="s">
        <v>157</v>
      </c>
      <c r="J5791" s="12" t="s">
        <v>158</v>
      </c>
      <c r="K5791" s="12" t="s">
        <v>117</v>
      </c>
      <c r="L5791" s="12" t="s">
        <v>96</v>
      </c>
      <c r="M5791">
        <v>4.72</v>
      </c>
      <c r="N5791" s="12" t="s">
        <v>70</v>
      </c>
      <c r="O5791" s="12" t="s">
        <v>71</v>
      </c>
      <c r="P5791" s="12" t="s">
        <v>72</v>
      </c>
      <c r="Q5791" s="13">
        <v>45933</v>
      </c>
      <c r="R5791" s="13">
        <v>45958</v>
      </c>
      <c r="S5791">
        <v>2025</v>
      </c>
      <c r="T5791" s="12" t="s">
        <v>6884</v>
      </c>
      <c r="U5791">
        <v>751</v>
      </c>
      <c r="V5791">
        <v>8.5963999999999992</v>
      </c>
      <c r="W5791">
        <v>96.59</v>
      </c>
      <c r="X5791">
        <v>0</v>
      </c>
      <c r="Y5791">
        <v>0</v>
      </c>
      <c r="Z5791">
        <v>6455.9</v>
      </c>
      <c r="AA5791">
        <v>6552.49</v>
      </c>
      <c r="AB5791" s="12" t="s">
        <v>5798</v>
      </c>
      <c r="AC5791">
        <v>8.5963999999999992</v>
      </c>
      <c r="AD5791">
        <v>1</v>
      </c>
      <c r="AE5791">
        <v>1</v>
      </c>
      <c r="AF5791">
        <v>0</v>
      </c>
      <c r="AG5791">
        <v>6455.9</v>
      </c>
      <c r="AH5791">
        <v>751</v>
      </c>
      <c r="AI5791">
        <v>748</v>
      </c>
      <c r="AJ5791">
        <v>3</v>
      </c>
      <c r="AK5791">
        <v>1</v>
      </c>
      <c r="AL5791">
        <v>1</v>
      </c>
      <c r="AM5791">
        <v>99.6</v>
      </c>
      <c r="AN5791">
        <v>8.76</v>
      </c>
      <c r="AO5791">
        <v>25.79</v>
      </c>
      <c r="AP5791" s="13">
        <v>45955</v>
      </c>
      <c r="AQ5791">
        <v>-3</v>
      </c>
      <c r="AR5791">
        <v>1</v>
      </c>
    </row>
    <row r="5792" spans="1:44" x14ac:dyDescent="0.35">
      <c r="A5792" s="12" t="s">
        <v>6901</v>
      </c>
      <c r="B5792" s="12" t="s">
        <v>472</v>
      </c>
      <c r="C5792" s="12" t="s">
        <v>473</v>
      </c>
      <c r="D5792" s="12" t="s">
        <v>122</v>
      </c>
      <c r="E5792" s="12" t="s">
        <v>142</v>
      </c>
      <c r="F5792">
        <v>2</v>
      </c>
      <c r="G5792">
        <v>9</v>
      </c>
      <c r="H5792">
        <v>0</v>
      </c>
      <c r="I5792" s="12" t="s">
        <v>209</v>
      </c>
      <c r="J5792" s="12" t="s">
        <v>210</v>
      </c>
      <c r="K5792" s="12" t="s">
        <v>133</v>
      </c>
      <c r="L5792" s="12" t="s">
        <v>96</v>
      </c>
      <c r="M5792">
        <v>7.82</v>
      </c>
      <c r="N5792" s="12" t="s">
        <v>70</v>
      </c>
      <c r="O5792" s="12" t="s">
        <v>71</v>
      </c>
      <c r="P5792" s="12" t="s">
        <v>72</v>
      </c>
      <c r="Q5792" s="13">
        <v>45933</v>
      </c>
      <c r="R5792" s="13">
        <v>45972</v>
      </c>
      <c r="S5792">
        <v>2025</v>
      </c>
      <c r="T5792" s="12" t="s">
        <v>6884</v>
      </c>
      <c r="U5792">
        <v>622</v>
      </c>
      <c r="V5792">
        <v>48.853200000000001</v>
      </c>
      <c r="W5792">
        <v>787.23</v>
      </c>
      <c r="X5792">
        <v>0</v>
      </c>
      <c r="Y5792">
        <v>0</v>
      </c>
      <c r="Z5792">
        <v>30386.69</v>
      </c>
      <c r="AA5792">
        <v>31173.919999999998</v>
      </c>
      <c r="AB5792" s="12" t="s">
        <v>201</v>
      </c>
      <c r="AD5792">
        <v>0</v>
      </c>
      <c r="AE5792">
        <v>0</v>
      </c>
      <c r="AH5792">
        <v>622</v>
      </c>
      <c r="AI5792">
        <v>619</v>
      </c>
      <c r="AJ5792">
        <v>3</v>
      </c>
      <c r="AK5792">
        <v>1</v>
      </c>
      <c r="AL5792">
        <v>1</v>
      </c>
      <c r="AM5792">
        <v>99.52</v>
      </c>
      <c r="AN5792">
        <v>50.361699999999999</v>
      </c>
      <c r="AO5792">
        <v>146.56</v>
      </c>
      <c r="AP5792" s="13">
        <v>45971</v>
      </c>
      <c r="AQ5792">
        <v>-1</v>
      </c>
      <c r="AR5792">
        <v>1</v>
      </c>
    </row>
    <row r="5793" spans="1:44" x14ac:dyDescent="0.35">
      <c r="A5793" s="12" t="s">
        <v>6902</v>
      </c>
      <c r="B5793" s="12" t="s">
        <v>909</v>
      </c>
      <c r="C5793" s="12" t="s">
        <v>910</v>
      </c>
      <c r="D5793" s="12" t="s">
        <v>269</v>
      </c>
      <c r="E5793" s="12" t="s">
        <v>65</v>
      </c>
      <c r="F5793">
        <v>3</v>
      </c>
      <c r="G5793">
        <v>4</v>
      </c>
      <c r="H5793">
        <v>0</v>
      </c>
      <c r="I5793" s="12" t="s">
        <v>199</v>
      </c>
      <c r="J5793" s="12" t="s">
        <v>200</v>
      </c>
      <c r="K5793" s="12" t="s">
        <v>68</v>
      </c>
      <c r="L5793" s="12" t="s">
        <v>96</v>
      </c>
      <c r="M5793">
        <v>9.4700000000000006</v>
      </c>
      <c r="N5793" s="12" t="s">
        <v>135</v>
      </c>
      <c r="O5793" s="12" t="s">
        <v>136</v>
      </c>
      <c r="P5793" s="12" t="s">
        <v>137</v>
      </c>
      <c r="Q5793" s="13">
        <v>45933</v>
      </c>
      <c r="R5793" s="13">
        <v>45963</v>
      </c>
      <c r="S5793">
        <v>2025</v>
      </c>
      <c r="T5793" s="12" t="s">
        <v>6884</v>
      </c>
      <c r="U5793">
        <v>82</v>
      </c>
      <c r="V5793">
        <v>103.0488</v>
      </c>
      <c r="W5793">
        <v>201.05</v>
      </c>
      <c r="X5793">
        <v>0</v>
      </c>
      <c r="Y5793">
        <v>0</v>
      </c>
      <c r="Z5793">
        <v>8450</v>
      </c>
      <c r="AA5793">
        <v>8651.0499999999993</v>
      </c>
      <c r="AB5793" s="12" t="s">
        <v>5939</v>
      </c>
      <c r="AC5793">
        <v>103.0488</v>
      </c>
      <c r="AD5793">
        <v>1</v>
      </c>
      <c r="AE5793">
        <v>1</v>
      </c>
      <c r="AF5793">
        <v>0</v>
      </c>
      <c r="AG5793">
        <v>8450</v>
      </c>
      <c r="AH5793">
        <v>82</v>
      </c>
      <c r="AI5793">
        <v>81</v>
      </c>
      <c r="AJ5793">
        <v>1</v>
      </c>
      <c r="AK5793">
        <v>1</v>
      </c>
      <c r="AL5793">
        <v>1</v>
      </c>
      <c r="AM5793">
        <v>98.78</v>
      </c>
      <c r="AN5793">
        <v>106.8031</v>
      </c>
      <c r="AO5793">
        <v>103.05</v>
      </c>
      <c r="AP5793" s="13">
        <v>45967</v>
      </c>
      <c r="AQ5793">
        <v>4</v>
      </c>
      <c r="AR5793">
        <v>0</v>
      </c>
    </row>
    <row r="5794" spans="1:44" x14ac:dyDescent="0.35">
      <c r="A5794" s="12" t="s">
        <v>6903</v>
      </c>
      <c r="B5794" s="12" t="s">
        <v>241</v>
      </c>
      <c r="C5794" s="12" t="s">
        <v>242</v>
      </c>
      <c r="D5794" s="12" t="s">
        <v>103</v>
      </c>
      <c r="E5794" s="12" t="s">
        <v>142</v>
      </c>
      <c r="F5794">
        <v>3</v>
      </c>
      <c r="G5794">
        <v>11</v>
      </c>
      <c r="H5794">
        <v>0</v>
      </c>
      <c r="I5794" s="12" t="s">
        <v>157</v>
      </c>
      <c r="J5794" s="12" t="s">
        <v>158</v>
      </c>
      <c r="K5794" s="12" t="s">
        <v>117</v>
      </c>
      <c r="L5794" s="12" t="s">
        <v>96</v>
      </c>
      <c r="M5794">
        <v>4.72</v>
      </c>
      <c r="N5794" s="12" t="s">
        <v>145</v>
      </c>
      <c r="O5794" s="12" t="s">
        <v>146</v>
      </c>
      <c r="P5794" s="12" t="s">
        <v>109</v>
      </c>
      <c r="Q5794" s="13">
        <v>45933</v>
      </c>
      <c r="R5794" s="13">
        <v>45969</v>
      </c>
      <c r="S5794">
        <v>2025</v>
      </c>
      <c r="T5794" s="12" t="s">
        <v>6884</v>
      </c>
      <c r="U5794">
        <v>19</v>
      </c>
      <c r="V5794">
        <v>162.2551</v>
      </c>
      <c r="W5794">
        <v>79.05</v>
      </c>
      <c r="X5794">
        <v>0</v>
      </c>
      <c r="Y5794">
        <v>0</v>
      </c>
      <c r="Z5794">
        <v>3082.85</v>
      </c>
      <c r="AA5794">
        <v>3161.9</v>
      </c>
      <c r="AB5794" s="12" t="s">
        <v>6904</v>
      </c>
      <c r="AC5794">
        <v>162.2551</v>
      </c>
      <c r="AD5794">
        <v>1</v>
      </c>
      <c r="AE5794">
        <v>1</v>
      </c>
      <c r="AF5794">
        <v>0</v>
      </c>
      <c r="AG5794">
        <v>3082.85</v>
      </c>
      <c r="AH5794">
        <v>19</v>
      </c>
      <c r="AI5794">
        <v>19</v>
      </c>
      <c r="AJ5794">
        <v>0</v>
      </c>
      <c r="AK5794">
        <v>1</v>
      </c>
      <c r="AL5794">
        <v>1</v>
      </c>
      <c r="AM5794">
        <v>100</v>
      </c>
      <c r="AN5794">
        <v>166.41560000000001</v>
      </c>
      <c r="AO5794">
        <v>0</v>
      </c>
      <c r="AP5794" s="13">
        <v>45966</v>
      </c>
      <c r="AQ5794">
        <v>-3</v>
      </c>
      <c r="AR5794">
        <v>1</v>
      </c>
    </row>
    <row r="5795" spans="1:44" x14ac:dyDescent="0.35">
      <c r="A5795" s="12" t="s">
        <v>6905</v>
      </c>
      <c r="B5795" s="12" t="s">
        <v>215</v>
      </c>
      <c r="C5795" s="12" t="s">
        <v>216</v>
      </c>
      <c r="D5795" s="12" t="s">
        <v>122</v>
      </c>
      <c r="E5795" s="12" t="s">
        <v>142</v>
      </c>
      <c r="F5795">
        <v>3</v>
      </c>
      <c r="G5795">
        <v>11</v>
      </c>
      <c r="H5795">
        <v>0</v>
      </c>
      <c r="I5795" s="12" t="s">
        <v>217</v>
      </c>
      <c r="J5795" s="12" t="s">
        <v>218</v>
      </c>
      <c r="K5795" s="12" t="s">
        <v>68</v>
      </c>
      <c r="L5795" s="12" t="s">
        <v>82</v>
      </c>
      <c r="M5795">
        <v>14.24</v>
      </c>
      <c r="N5795" s="12" t="s">
        <v>97</v>
      </c>
      <c r="O5795" s="12" t="s">
        <v>98</v>
      </c>
      <c r="P5795" s="12" t="s">
        <v>72</v>
      </c>
      <c r="Q5795" s="13">
        <v>45933</v>
      </c>
      <c r="R5795" s="13">
        <v>45980</v>
      </c>
      <c r="S5795">
        <v>2025</v>
      </c>
      <c r="T5795" s="12" t="s">
        <v>6884</v>
      </c>
      <c r="U5795">
        <v>1487</v>
      </c>
      <c r="V5795">
        <v>14.1587</v>
      </c>
      <c r="W5795">
        <v>183.74</v>
      </c>
      <c r="X5795">
        <v>0</v>
      </c>
      <c r="Y5795">
        <v>0</v>
      </c>
      <c r="Z5795">
        <v>21053.99</v>
      </c>
      <c r="AA5795">
        <v>21237.73</v>
      </c>
      <c r="AB5795" s="12" t="s">
        <v>5706</v>
      </c>
      <c r="AC5795">
        <v>14.1587</v>
      </c>
      <c r="AD5795">
        <v>1</v>
      </c>
      <c r="AE5795">
        <v>1</v>
      </c>
      <c r="AF5795">
        <v>0</v>
      </c>
      <c r="AG5795">
        <v>21053.99</v>
      </c>
      <c r="AH5795">
        <v>1487</v>
      </c>
      <c r="AI5795">
        <v>1477</v>
      </c>
      <c r="AJ5795">
        <v>10</v>
      </c>
      <c r="AK5795">
        <v>1</v>
      </c>
      <c r="AL5795">
        <v>1</v>
      </c>
      <c r="AM5795">
        <v>99.33</v>
      </c>
      <c r="AN5795">
        <v>14.379</v>
      </c>
      <c r="AO5795">
        <v>141.59</v>
      </c>
      <c r="AP5795" s="13">
        <v>45988</v>
      </c>
      <c r="AQ5795">
        <v>8</v>
      </c>
      <c r="AR5795">
        <v>0</v>
      </c>
    </row>
    <row r="5796" spans="1:44" x14ac:dyDescent="0.35">
      <c r="A5796" s="12" t="s">
        <v>6906</v>
      </c>
      <c r="B5796" s="12" t="s">
        <v>494</v>
      </c>
      <c r="C5796" s="12" t="s">
        <v>495</v>
      </c>
      <c r="D5796" s="12" t="s">
        <v>175</v>
      </c>
      <c r="E5796" s="12" t="s">
        <v>65</v>
      </c>
      <c r="F5796">
        <v>2</v>
      </c>
      <c r="G5796">
        <v>3</v>
      </c>
      <c r="H5796">
        <v>0</v>
      </c>
      <c r="I5796" s="12" t="s">
        <v>515</v>
      </c>
      <c r="J5796" s="12" t="s">
        <v>516</v>
      </c>
      <c r="K5796" s="12" t="s">
        <v>68</v>
      </c>
      <c r="L5796" s="12" t="s">
        <v>134</v>
      </c>
      <c r="M5796">
        <v>3.69</v>
      </c>
      <c r="N5796" s="12" t="s">
        <v>145</v>
      </c>
      <c r="O5796" s="12" t="s">
        <v>146</v>
      </c>
      <c r="P5796" s="12" t="s">
        <v>109</v>
      </c>
      <c r="Q5796" s="13">
        <v>45933</v>
      </c>
      <c r="R5796" s="13">
        <v>45954</v>
      </c>
      <c r="S5796">
        <v>2025</v>
      </c>
      <c r="T5796" s="12" t="s">
        <v>6884</v>
      </c>
      <c r="U5796">
        <v>13</v>
      </c>
      <c r="V5796">
        <v>153.36940000000001</v>
      </c>
      <c r="W5796">
        <v>43.2</v>
      </c>
      <c r="X5796">
        <v>0</v>
      </c>
      <c r="Y5796">
        <v>0</v>
      </c>
      <c r="Z5796">
        <v>1993.8</v>
      </c>
      <c r="AA5796">
        <v>2037</v>
      </c>
      <c r="AB5796" s="12" t="s">
        <v>5442</v>
      </c>
      <c r="AC5796">
        <v>153.36940000000001</v>
      </c>
      <c r="AD5796">
        <v>1</v>
      </c>
      <c r="AE5796">
        <v>1</v>
      </c>
      <c r="AF5796">
        <v>0</v>
      </c>
      <c r="AG5796">
        <v>1993.8</v>
      </c>
      <c r="AH5796">
        <v>13</v>
      </c>
      <c r="AI5796">
        <v>13</v>
      </c>
      <c r="AJ5796">
        <v>0</v>
      </c>
      <c r="AK5796">
        <v>1</v>
      </c>
      <c r="AL5796">
        <v>1</v>
      </c>
      <c r="AM5796">
        <v>100</v>
      </c>
      <c r="AN5796">
        <v>156.6925</v>
      </c>
      <c r="AO5796">
        <v>0</v>
      </c>
      <c r="AP5796" s="13">
        <v>45959</v>
      </c>
      <c r="AQ5796">
        <v>5</v>
      </c>
      <c r="AR5796">
        <v>0</v>
      </c>
    </row>
    <row r="5797" spans="1:44" x14ac:dyDescent="0.35">
      <c r="A5797" s="12" t="s">
        <v>6907</v>
      </c>
      <c r="B5797" s="12" t="s">
        <v>792</v>
      </c>
      <c r="C5797" s="12" t="s">
        <v>793</v>
      </c>
      <c r="D5797" s="12" t="s">
        <v>103</v>
      </c>
      <c r="E5797" s="12" t="s">
        <v>65</v>
      </c>
      <c r="F5797">
        <v>2</v>
      </c>
      <c r="G5797">
        <v>3</v>
      </c>
      <c r="H5797">
        <v>0</v>
      </c>
      <c r="I5797" s="12" t="s">
        <v>359</v>
      </c>
      <c r="J5797" s="12" t="s">
        <v>360</v>
      </c>
      <c r="K5797" s="12" t="s">
        <v>133</v>
      </c>
      <c r="L5797" s="12" t="s">
        <v>82</v>
      </c>
      <c r="M5797">
        <v>12.65</v>
      </c>
      <c r="N5797" s="12" t="s">
        <v>145</v>
      </c>
      <c r="O5797" s="12" t="s">
        <v>146</v>
      </c>
      <c r="P5797" s="12" t="s">
        <v>109</v>
      </c>
      <c r="Q5797" s="13">
        <v>45933</v>
      </c>
      <c r="R5797" s="13">
        <v>45961</v>
      </c>
      <c r="S5797">
        <v>2025</v>
      </c>
      <c r="T5797" s="12" t="s">
        <v>6884</v>
      </c>
      <c r="U5797">
        <v>70</v>
      </c>
      <c r="V5797">
        <v>97.418599999999998</v>
      </c>
      <c r="W5797">
        <v>164.41</v>
      </c>
      <c r="X5797">
        <v>0</v>
      </c>
      <c r="Y5797">
        <v>0</v>
      </c>
      <c r="Z5797">
        <v>6819.3</v>
      </c>
      <c r="AA5797">
        <v>6983.71</v>
      </c>
      <c r="AB5797" s="12" t="s">
        <v>6085</v>
      </c>
      <c r="AC5797">
        <v>97.418599999999998</v>
      </c>
      <c r="AD5797">
        <v>1</v>
      </c>
      <c r="AE5797">
        <v>1</v>
      </c>
      <c r="AF5797">
        <v>0</v>
      </c>
      <c r="AG5797">
        <v>6819.3</v>
      </c>
      <c r="AH5797">
        <v>70</v>
      </c>
      <c r="AI5797">
        <v>69</v>
      </c>
      <c r="AJ5797">
        <v>1</v>
      </c>
      <c r="AK5797">
        <v>1</v>
      </c>
      <c r="AL5797">
        <v>1</v>
      </c>
      <c r="AM5797">
        <v>98.57</v>
      </c>
      <c r="AN5797">
        <v>101.2132</v>
      </c>
      <c r="AO5797">
        <v>97.42</v>
      </c>
      <c r="AP5797" s="13">
        <v>45959</v>
      </c>
      <c r="AQ5797">
        <v>-2</v>
      </c>
      <c r="AR5797">
        <v>1</v>
      </c>
    </row>
    <row r="5798" spans="1:44" x14ac:dyDescent="0.35">
      <c r="A5798" s="12" t="s">
        <v>6908</v>
      </c>
      <c r="B5798" s="12" t="s">
        <v>1068</v>
      </c>
      <c r="C5798" s="12" t="s">
        <v>1069</v>
      </c>
      <c r="D5798" s="12" t="s">
        <v>122</v>
      </c>
      <c r="E5798" s="12" t="s">
        <v>65</v>
      </c>
      <c r="F5798">
        <v>2</v>
      </c>
      <c r="G5798">
        <v>2</v>
      </c>
      <c r="H5798">
        <v>0</v>
      </c>
      <c r="I5798" s="12" t="s">
        <v>79</v>
      </c>
      <c r="J5798" s="12" t="s">
        <v>80</v>
      </c>
      <c r="K5798" s="12" t="s">
        <v>81</v>
      </c>
      <c r="L5798" s="12" t="s">
        <v>82</v>
      </c>
      <c r="M5798">
        <v>12.07</v>
      </c>
      <c r="N5798" s="12" t="s">
        <v>97</v>
      </c>
      <c r="O5798" s="12" t="s">
        <v>98</v>
      </c>
      <c r="P5798" s="12" t="s">
        <v>72</v>
      </c>
      <c r="Q5798" s="13">
        <v>45936</v>
      </c>
      <c r="R5798" s="13">
        <v>45963</v>
      </c>
      <c r="S5798">
        <v>2025</v>
      </c>
      <c r="T5798" s="12" t="s">
        <v>6884</v>
      </c>
      <c r="U5798">
        <v>821</v>
      </c>
      <c r="V5798">
        <v>20.8949</v>
      </c>
      <c r="W5798">
        <v>125.62</v>
      </c>
      <c r="X5798">
        <v>0</v>
      </c>
      <c r="Y5798">
        <v>0</v>
      </c>
      <c r="Z5798">
        <v>17154.71</v>
      </c>
      <c r="AA5798">
        <v>17280.330000000002</v>
      </c>
      <c r="AB5798" s="12" t="s">
        <v>5478</v>
      </c>
      <c r="AC5798">
        <v>20.8949</v>
      </c>
      <c r="AD5798">
        <v>1</v>
      </c>
      <c r="AE5798">
        <v>1</v>
      </c>
      <c r="AF5798">
        <v>0</v>
      </c>
      <c r="AG5798">
        <v>17154.71</v>
      </c>
      <c r="AH5798">
        <v>821</v>
      </c>
      <c r="AI5798">
        <v>818</v>
      </c>
      <c r="AJ5798">
        <v>3</v>
      </c>
      <c r="AK5798">
        <v>1</v>
      </c>
      <c r="AL5798">
        <v>1</v>
      </c>
      <c r="AM5798">
        <v>99.63</v>
      </c>
      <c r="AN5798">
        <v>21.1251</v>
      </c>
      <c r="AO5798">
        <v>62.68</v>
      </c>
      <c r="AP5798" s="13">
        <v>45961</v>
      </c>
      <c r="AQ5798">
        <v>-2</v>
      </c>
      <c r="AR5798">
        <v>1</v>
      </c>
    </row>
    <row r="5799" spans="1:44" x14ac:dyDescent="0.35">
      <c r="A5799" s="12" t="s">
        <v>6909</v>
      </c>
      <c r="B5799" s="12" t="s">
        <v>420</v>
      </c>
      <c r="C5799" s="12" t="s">
        <v>421</v>
      </c>
      <c r="D5799" s="12" t="s">
        <v>269</v>
      </c>
      <c r="E5799" s="12" t="s">
        <v>104</v>
      </c>
      <c r="F5799">
        <v>2</v>
      </c>
      <c r="G5799">
        <v>0</v>
      </c>
      <c r="H5799">
        <v>0</v>
      </c>
      <c r="I5799" s="12" t="s">
        <v>380</v>
      </c>
      <c r="J5799" s="12" t="s">
        <v>381</v>
      </c>
      <c r="K5799" s="12" t="s">
        <v>89</v>
      </c>
      <c r="L5799" s="12" t="s">
        <v>96</v>
      </c>
      <c r="M5799">
        <v>10.210000000000001</v>
      </c>
      <c r="N5799" s="12" t="s">
        <v>135</v>
      </c>
      <c r="O5799" s="12" t="s">
        <v>136</v>
      </c>
      <c r="P5799" s="12" t="s">
        <v>137</v>
      </c>
      <c r="Q5799" s="13">
        <v>45936</v>
      </c>
      <c r="R5799" s="13">
        <v>45954</v>
      </c>
      <c r="S5799">
        <v>2025</v>
      </c>
      <c r="T5799" s="12" t="s">
        <v>6884</v>
      </c>
      <c r="U5799">
        <v>62</v>
      </c>
      <c r="V5799">
        <v>137.98429999999999</v>
      </c>
      <c r="W5799">
        <v>185.22</v>
      </c>
      <c r="X5799">
        <v>0</v>
      </c>
      <c r="Y5799">
        <v>0</v>
      </c>
      <c r="Z5799">
        <v>8555.0300000000007</v>
      </c>
      <c r="AA5799">
        <v>8740.25</v>
      </c>
      <c r="AB5799" s="12" t="s">
        <v>5648</v>
      </c>
      <c r="AC5799">
        <v>137.98429999999999</v>
      </c>
      <c r="AD5799">
        <v>1</v>
      </c>
      <c r="AE5799">
        <v>1</v>
      </c>
      <c r="AF5799">
        <v>0</v>
      </c>
      <c r="AG5799">
        <v>8555.0300000000007</v>
      </c>
      <c r="AH5799">
        <v>62</v>
      </c>
      <c r="AI5799">
        <v>61</v>
      </c>
      <c r="AJ5799">
        <v>1</v>
      </c>
      <c r="AK5799">
        <v>1</v>
      </c>
      <c r="AL5799">
        <v>1</v>
      </c>
      <c r="AM5799">
        <v>98.39</v>
      </c>
      <c r="AN5799">
        <v>143.28270000000001</v>
      </c>
      <c r="AO5799">
        <v>137.97999999999999</v>
      </c>
      <c r="AP5799" s="13">
        <v>45951</v>
      </c>
      <c r="AQ5799">
        <v>-3</v>
      </c>
      <c r="AR5799">
        <v>1</v>
      </c>
    </row>
    <row r="5800" spans="1:44" x14ac:dyDescent="0.35">
      <c r="A5800" s="12" t="s">
        <v>6910</v>
      </c>
      <c r="B5800" s="12" t="s">
        <v>221</v>
      </c>
      <c r="C5800" s="12" t="s">
        <v>222</v>
      </c>
      <c r="D5800" s="12" t="s">
        <v>114</v>
      </c>
      <c r="E5800" s="12" t="s">
        <v>142</v>
      </c>
      <c r="F5800">
        <v>3</v>
      </c>
      <c r="G5800">
        <v>11</v>
      </c>
      <c r="H5800">
        <v>0</v>
      </c>
      <c r="I5800" s="12" t="s">
        <v>223</v>
      </c>
      <c r="J5800" s="12" t="s">
        <v>224</v>
      </c>
      <c r="K5800" s="12" t="s">
        <v>81</v>
      </c>
      <c r="L5800" s="12" t="s">
        <v>134</v>
      </c>
      <c r="M5800">
        <v>2.4900000000000002</v>
      </c>
      <c r="N5800" s="12" t="s">
        <v>97</v>
      </c>
      <c r="O5800" s="12" t="s">
        <v>98</v>
      </c>
      <c r="P5800" s="12" t="s">
        <v>72</v>
      </c>
      <c r="Q5800" s="13">
        <v>45936</v>
      </c>
      <c r="R5800" s="13">
        <v>45987</v>
      </c>
      <c r="S5800">
        <v>2025</v>
      </c>
      <c r="T5800" s="12" t="s">
        <v>6884</v>
      </c>
      <c r="U5800">
        <v>137</v>
      </c>
      <c r="V5800">
        <v>262.55119999999999</v>
      </c>
      <c r="W5800">
        <v>504.02</v>
      </c>
      <c r="X5800">
        <v>0</v>
      </c>
      <c r="Y5800">
        <v>0</v>
      </c>
      <c r="Z5800">
        <v>35969.51</v>
      </c>
      <c r="AA5800">
        <v>36473.53</v>
      </c>
      <c r="AB5800" s="12" t="s">
        <v>201</v>
      </c>
      <c r="AD5800">
        <v>0</v>
      </c>
      <c r="AE5800">
        <v>0</v>
      </c>
      <c r="AH5800">
        <v>137</v>
      </c>
      <c r="AI5800">
        <v>136</v>
      </c>
      <c r="AJ5800">
        <v>1</v>
      </c>
      <c r="AK5800">
        <v>1</v>
      </c>
      <c r="AL5800">
        <v>1</v>
      </c>
      <c r="AM5800">
        <v>99.27</v>
      </c>
      <c r="AN5800">
        <v>268.18779999999998</v>
      </c>
      <c r="AO5800">
        <v>262.55</v>
      </c>
      <c r="AP5800" s="13">
        <v>45987</v>
      </c>
      <c r="AQ5800">
        <v>0</v>
      </c>
      <c r="AR5800">
        <v>1</v>
      </c>
    </row>
    <row r="5801" spans="1:44" x14ac:dyDescent="0.35">
      <c r="A5801" s="12" t="s">
        <v>6911</v>
      </c>
      <c r="B5801" s="12" t="s">
        <v>561</v>
      </c>
      <c r="C5801" s="12" t="s">
        <v>562</v>
      </c>
      <c r="D5801" s="12" t="s">
        <v>130</v>
      </c>
      <c r="E5801" s="12" t="s">
        <v>142</v>
      </c>
      <c r="F5801">
        <v>1</v>
      </c>
      <c r="G5801">
        <v>9</v>
      </c>
      <c r="H5801">
        <v>1</v>
      </c>
      <c r="I5801" s="12" t="s">
        <v>223</v>
      </c>
      <c r="J5801" s="12" t="s">
        <v>224</v>
      </c>
      <c r="K5801" s="12" t="s">
        <v>81</v>
      </c>
      <c r="L5801" s="12" t="s">
        <v>134</v>
      </c>
      <c r="M5801">
        <v>2.4900000000000002</v>
      </c>
      <c r="N5801" s="12" t="s">
        <v>135</v>
      </c>
      <c r="O5801" s="12" t="s">
        <v>136</v>
      </c>
      <c r="P5801" s="12" t="s">
        <v>137</v>
      </c>
      <c r="Q5801" s="13">
        <v>45936</v>
      </c>
      <c r="R5801" s="13">
        <v>45976</v>
      </c>
      <c r="S5801">
        <v>2025</v>
      </c>
      <c r="T5801" s="12" t="s">
        <v>6884</v>
      </c>
      <c r="U5801">
        <v>56</v>
      </c>
      <c r="V5801">
        <v>485.89800000000002</v>
      </c>
      <c r="W5801">
        <v>684.42</v>
      </c>
      <c r="X5801">
        <v>0</v>
      </c>
      <c r="Y5801">
        <v>0</v>
      </c>
      <c r="Z5801">
        <v>27210.29</v>
      </c>
      <c r="AA5801">
        <v>27894.71</v>
      </c>
      <c r="AB5801" s="12" t="s">
        <v>201</v>
      </c>
      <c r="AD5801">
        <v>0</v>
      </c>
      <c r="AE5801">
        <v>0</v>
      </c>
      <c r="AH5801">
        <v>56</v>
      </c>
      <c r="AI5801">
        <v>56</v>
      </c>
      <c r="AJ5801">
        <v>0</v>
      </c>
      <c r="AK5801">
        <v>1</v>
      </c>
      <c r="AL5801">
        <v>1</v>
      </c>
      <c r="AM5801">
        <v>100</v>
      </c>
      <c r="AN5801">
        <v>498.1198</v>
      </c>
      <c r="AO5801">
        <v>0</v>
      </c>
      <c r="AP5801" s="13">
        <v>45982</v>
      </c>
      <c r="AQ5801">
        <v>6</v>
      </c>
      <c r="AR5801">
        <v>0</v>
      </c>
    </row>
    <row r="5802" spans="1:44" x14ac:dyDescent="0.35">
      <c r="A5802" s="12" t="s">
        <v>6912</v>
      </c>
      <c r="B5802" s="12" t="s">
        <v>433</v>
      </c>
      <c r="C5802" s="12" t="s">
        <v>434</v>
      </c>
      <c r="D5802" s="12" t="s">
        <v>78</v>
      </c>
      <c r="E5802" s="12" t="s">
        <v>65</v>
      </c>
      <c r="F5802">
        <v>2</v>
      </c>
      <c r="G5802">
        <v>4</v>
      </c>
      <c r="H5802">
        <v>0</v>
      </c>
      <c r="I5802" s="12" t="s">
        <v>105</v>
      </c>
      <c r="J5802" s="12" t="s">
        <v>106</v>
      </c>
      <c r="K5802" s="12" t="s">
        <v>81</v>
      </c>
      <c r="L5802" s="12" t="s">
        <v>96</v>
      </c>
      <c r="M5802">
        <v>5.01</v>
      </c>
      <c r="N5802" s="12" t="s">
        <v>70</v>
      </c>
      <c r="O5802" s="12" t="s">
        <v>71</v>
      </c>
      <c r="P5802" s="12" t="s">
        <v>72</v>
      </c>
      <c r="Q5802" s="13">
        <v>45936</v>
      </c>
      <c r="R5802" s="13">
        <v>45957</v>
      </c>
      <c r="S5802">
        <v>2025</v>
      </c>
      <c r="T5802" s="12" t="s">
        <v>6884</v>
      </c>
      <c r="U5802">
        <v>51</v>
      </c>
      <c r="V5802">
        <v>68.594099999999997</v>
      </c>
      <c r="W5802">
        <v>64.8</v>
      </c>
      <c r="X5802">
        <v>0</v>
      </c>
      <c r="Y5802">
        <v>0</v>
      </c>
      <c r="Z5802">
        <v>3498.3</v>
      </c>
      <c r="AA5802">
        <v>3563.1</v>
      </c>
      <c r="AB5802" s="12" t="s">
        <v>5436</v>
      </c>
      <c r="AC5802">
        <v>68.594099999999997</v>
      </c>
      <c r="AD5802">
        <v>1</v>
      </c>
      <c r="AE5802">
        <v>1</v>
      </c>
      <c r="AF5802">
        <v>0</v>
      </c>
      <c r="AG5802">
        <v>3498.3</v>
      </c>
      <c r="AH5802">
        <v>51</v>
      </c>
      <c r="AI5802">
        <v>51</v>
      </c>
      <c r="AJ5802">
        <v>0</v>
      </c>
      <c r="AK5802">
        <v>1</v>
      </c>
      <c r="AL5802">
        <v>1</v>
      </c>
      <c r="AM5802">
        <v>100</v>
      </c>
      <c r="AN5802">
        <v>69.864699999999999</v>
      </c>
      <c r="AO5802">
        <v>0</v>
      </c>
      <c r="AP5802" s="13">
        <v>45957</v>
      </c>
      <c r="AQ5802">
        <v>0</v>
      </c>
      <c r="AR5802">
        <v>1</v>
      </c>
    </row>
    <row r="5803" spans="1:44" x14ac:dyDescent="0.35">
      <c r="A5803" s="12" t="s">
        <v>6913</v>
      </c>
      <c r="B5803" s="12" t="s">
        <v>674</v>
      </c>
      <c r="C5803" s="12" t="s">
        <v>675</v>
      </c>
      <c r="D5803" s="12" t="s">
        <v>269</v>
      </c>
      <c r="E5803" s="12" t="s">
        <v>142</v>
      </c>
      <c r="F5803">
        <v>1</v>
      </c>
      <c r="G5803">
        <v>7</v>
      </c>
      <c r="H5803">
        <v>1</v>
      </c>
      <c r="I5803" s="12" t="s">
        <v>676</v>
      </c>
      <c r="J5803" s="12" t="s">
        <v>677</v>
      </c>
      <c r="K5803" s="12" t="s">
        <v>68</v>
      </c>
      <c r="L5803" s="12" t="s">
        <v>96</v>
      </c>
      <c r="M5803">
        <v>3.57</v>
      </c>
      <c r="N5803" s="12" t="s">
        <v>135</v>
      </c>
      <c r="O5803" s="12" t="s">
        <v>136</v>
      </c>
      <c r="P5803" s="12" t="s">
        <v>137</v>
      </c>
      <c r="Q5803" s="13">
        <v>45937</v>
      </c>
      <c r="R5803" s="13">
        <v>45989</v>
      </c>
      <c r="S5803">
        <v>2025</v>
      </c>
      <c r="T5803" s="12" t="s">
        <v>6884</v>
      </c>
      <c r="U5803">
        <v>148</v>
      </c>
      <c r="V5803">
        <v>338.5763</v>
      </c>
      <c r="W5803">
        <v>747.24</v>
      </c>
      <c r="X5803">
        <v>0</v>
      </c>
      <c r="Y5803">
        <v>0</v>
      </c>
      <c r="Z5803">
        <v>50109.29</v>
      </c>
      <c r="AA5803">
        <v>50856.53</v>
      </c>
      <c r="AB5803" s="12" t="s">
        <v>201</v>
      </c>
      <c r="AD5803">
        <v>0</v>
      </c>
      <c r="AE5803">
        <v>0</v>
      </c>
      <c r="AH5803">
        <v>148</v>
      </c>
      <c r="AI5803">
        <v>146</v>
      </c>
      <c r="AJ5803">
        <v>2</v>
      </c>
      <c r="AK5803">
        <v>1</v>
      </c>
      <c r="AL5803">
        <v>1</v>
      </c>
      <c r="AM5803">
        <v>98.65</v>
      </c>
      <c r="AN5803">
        <v>348.33240000000001</v>
      </c>
      <c r="AO5803">
        <v>677.15</v>
      </c>
      <c r="AP5803" s="13">
        <v>45987</v>
      </c>
      <c r="AQ5803">
        <v>-2</v>
      </c>
      <c r="AR5803">
        <v>1</v>
      </c>
    </row>
    <row r="5804" spans="1:44" x14ac:dyDescent="0.35">
      <c r="A5804" s="12" t="s">
        <v>6914</v>
      </c>
      <c r="B5804" s="12" t="s">
        <v>472</v>
      </c>
      <c r="C5804" s="12" t="s">
        <v>473</v>
      </c>
      <c r="D5804" s="12" t="s">
        <v>122</v>
      </c>
      <c r="E5804" s="12" t="s">
        <v>142</v>
      </c>
      <c r="F5804">
        <v>2</v>
      </c>
      <c r="G5804">
        <v>9</v>
      </c>
      <c r="H5804">
        <v>0</v>
      </c>
      <c r="I5804" s="12" t="s">
        <v>209</v>
      </c>
      <c r="J5804" s="12" t="s">
        <v>210</v>
      </c>
      <c r="K5804" s="12" t="s">
        <v>133</v>
      </c>
      <c r="L5804" s="12" t="s">
        <v>96</v>
      </c>
      <c r="M5804">
        <v>7.82</v>
      </c>
      <c r="N5804" s="12" t="s">
        <v>70</v>
      </c>
      <c r="O5804" s="12" t="s">
        <v>71</v>
      </c>
      <c r="P5804" s="12" t="s">
        <v>72</v>
      </c>
      <c r="Q5804" s="13">
        <v>45937</v>
      </c>
      <c r="R5804" s="13">
        <v>45982</v>
      </c>
      <c r="S5804">
        <v>2025</v>
      </c>
      <c r="T5804" s="12" t="s">
        <v>6884</v>
      </c>
      <c r="U5804">
        <v>1280</v>
      </c>
      <c r="V5804">
        <v>47.545200000000001</v>
      </c>
      <c r="W5804">
        <v>1553.06</v>
      </c>
      <c r="X5804">
        <v>0</v>
      </c>
      <c r="Y5804">
        <v>0</v>
      </c>
      <c r="Z5804">
        <v>60857.86</v>
      </c>
      <c r="AA5804">
        <v>62410.92</v>
      </c>
      <c r="AB5804" s="12" t="s">
        <v>201</v>
      </c>
      <c r="AD5804">
        <v>0</v>
      </c>
      <c r="AE5804">
        <v>0</v>
      </c>
      <c r="AH5804">
        <v>1280</v>
      </c>
      <c r="AI5804">
        <v>1266</v>
      </c>
      <c r="AJ5804">
        <v>14</v>
      </c>
      <c r="AK5804">
        <v>1</v>
      </c>
      <c r="AL5804">
        <v>1</v>
      </c>
      <c r="AM5804">
        <v>98.91</v>
      </c>
      <c r="AN5804">
        <v>49.297699999999999</v>
      </c>
      <c r="AO5804">
        <v>665.63</v>
      </c>
      <c r="AP5804" s="13">
        <v>45980</v>
      </c>
      <c r="AQ5804">
        <v>-2</v>
      </c>
      <c r="AR5804">
        <v>1</v>
      </c>
    </row>
    <row r="5805" spans="1:44" x14ac:dyDescent="0.35">
      <c r="A5805" s="12" t="s">
        <v>6915</v>
      </c>
      <c r="B5805" s="12" t="s">
        <v>76</v>
      </c>
      <c r="C5805" s="12" t="s">
        <v>77</v>
      </c>
      <c r="D5805" s="12" t="s">
        <v>78</v>
      </c>
      <c r="E5805" s="12" t="s">
        <v>65</v>
      </c>
      <c r="F5805">
        <v>2</v>
      </c>
      <c r="G5805">
        <v>4</v>
      </c>
      <c r="H5805">
        <v>0</v>
      </c>
      <c r="I5805" s="12" t="s">
        <v>79</v>
      </c>
      <c r="J5805" s="12" t="s">
        <v>80</v>
      </c>
      <c r="K5805" s="12" t="s">
        <v>81</v>
      </c>
      <c r="L5805" s="12" t="s">
        <v>82</v>
      </c>
      <c r="M5805">
        <v>12.07</v>
      </c>
      <c r="N5805" s="12" t="s">
        <v>70</v>
      </c>
      <c r="O5805" s="12" t="s">
        <v>71</v>
      </c>
      <c r="P5805" s="12" t="s">
        <v>72</v>
      </c>
      <c r="Q5805" s="13">
        <v>45937</v>
      </c>
      <c r="R5805" s="13">
        <v>45966</v>
      </c>
      <c r="S5805">
        <v>2025</v>
      </c>
      <c r="T5805" s="12" t="s">
        <v>6884</v>
      </c>
      <c r="U5805">
        <v>155</v>
      </c>
      <c r="V5805">
        <v>44.0946</v>
      </c>
      <c r="W5805">
        <v>50.29</v>
      </c>
      <c r="X5805">
        <v>0</v>
      </c>
      <c r="Y5805">
        <v>0</v>
      </c>
      <c r="Z5805">
        <v>6834.66</v>
      </c>
      <c r="AA5805">
        <v>6884.95</v>
      </c>
      <c r="AB5805" s="12" t="s">
        <v>5427</v>
      </c>
      <c r="AC5805">
        <v>44.0946</v>
      </c>
      <c r="AD5805">
        <v>1</v>
      </c>
      <c r="AE5805">
        <v>1</v>
      </c>
      <c r="AF5805">
        <v>0</v>
      </c>
      <c r="AG5805">
        <v>6834.66</v>
      </c>
      <c r="AH5805">
        <v>155</v>
      </c>
      <c r="AI5805">
        <v>153</v>
      </c>
      <c r="AJ5805">
        <v>2</v>
      </c>
      <c r="AK5805">
        <v>1</v>
      </c>
      <c r="AL5805">
        <v>1</v>
      </c>
      <c r="AM5805">
        <v>98.71</v>
      </c>
      <c r="AN5805">
        <v>44.999699999999997</v>
      </c>
      <c r="AO5805">
        <v>88.19</v>
      </c>
      <c r="AP5805" s="13">
        <v>45965</v>
      </c>
      <c r="AQ5805">
        <v>-1</v>
      </c>
      <c r="AR5805">
        <v>1</v>
      </c>
    </row>
    <row r="5806" spans="1:44" x14ac:dyDescent="0.35">
      <c r="A5806" s="12" t="s">
        <v>6916</v>
      </c>
      <c r="B5806" s="12" t="s">
        <v>339</v>
      </c>
      <c r="C5806" s="12" t="s">
        <v>340</v>
      </c>
      <c r="D5806" s="12" t="s">
        <v>103</v>
      </c>
      <c r="E5806" s="12" t="s">
        <v>142</v>
      </c>
      <c r="F5806">
        <v>2</v>
      </c>
      <c r="G5806">
        <v>9</v>
      </c>
      <c r="H5806">
        <v>0</v>
      </c>
      <c r="I5806" s="12" t="s">
        <v>169</v>
      </c>
      <c r="J5806" s="12" t="s">
        <v>170</v>
      </c>
      <c r="K5806" s="12" t="s">
        <v>89</v>
      </c>
      <c r="L5806" s="12" t="s">
        <v>134</v>
      </c>
      <c r="M5806">
        <v>1.37</v>
      </c>
      <c r="N5806" s="12" t="s">
        <v>145</v>
      </c>
      <c r="O5806" s="12" t="s">
        <v>146</v>
      </c>
      <c r="P5806" s="12" t="s">
        <v>109</v>
      </c>
      <c r="Q5806" s="13">
        <v>45937</v>
      </c>
      <c r="R5806" s="13">
        <v>45985</v>
      </c>
      <c r="S5806">
        <v>2025</v>
      </c>
      <c r="T5806" s="12" t="s">
        <v>6884</v>
      </c>
      <c r="U5806">
        <v>116</v>
      </c>
      <c r="V5806">
        <v>236.3116</v>
      </c>
      <c r="W5806">
        <v>321.52</v>
      </c>
      <c r="X5806">
        <v>0</v>
      </c>
      <c r="Y5806">
        <v>0</v>
      </c>
      <c r="Z5806">
        <v>27412.15</v>
      </c>
      <c r="AA5806">
        <v>27733.67</v>
      </c>
      <c r="AB5806" s="12" t="s">
        <v>5394</v>
      </c>
      <c r="AC5806">
        <v>236.3116</v>
      </c>
      <c r="AD5806">
        <v>1</v>
      </c>
      <c r="AE5806">
        <v>1</v>
      </c>
      <c r="AF5806">
        <v>0</v>
      </c>
      <c r="AG5806">
        <v>27412.15</v>
      </c>
      <c r="AH5806">
        <v>116</v>
      </c>
      <c r="AI5806">
        <v>116</v>
      </c>
      <c r="AJ5806">
        <v>0</v>
      </c>
      <c r="AK5806">
        <v>1</v>
      </c>
      <c r="AL5806">
        <v>1</v>
      </c>
      <c r="AM5806">
        <v>100</v>
      </c>
      <c r="AN5806">
        <v>239.08330000000001</v>
      </c>
      <c r="AO5806">
        <v>0</v>
      </c>
      <c r="AP5806" s="13">
        <v>45982</v>
      </c>
      <c r="AQ5806">
        <v>-3</v>
      </c>
      <c r="AR5806">
        <v>1</v>
      </c>
    </row>
    <row r="5807" spans="1:44" x14ac:dyDescent="0.35">
      <c r="A5807" s="12" t="s">
        <v>6917</v>
      </c>
      <c r="B5807" s="12" t="s">
        <v>978</v>
      </c>
      <c r="C5807" s="12" t="s">
        <v>979</v>
      </c>
      <c r="D5807" s="12" t="s">
        <v>122</v>
      </c>
      <c r="E5807" s="12" t="s">
        <v>65</v>
      </c>
      <c r="F5807">
        <v>1</v>
      </c>
      <c r="G5807">
        <v>2</v>
      </c>
      <c r="H5807">
        <v>1</v>
      </c>
      <c r="I5807" s="12" t="s">
        <v>310</v>
      </c>
      <c r="J5807" s="12" t="s">
        <v>311</v>
      </c>
      <c r="K5807" s="12" t="s">
        <v>81</v>
      </c>
      <c r="L5807" s="12" t="s">
        <v>69</v>
      </c>
      <c r="M5807">
        <v>28.3</v>
      </c>
      <c r="N5807" s="12" t="s">
        <v>70</v>
      </c>
      <c r="O5807" s="12" t="s">
        <v>71</v>
      </c>
      <c r="P5807" s="12" t="s">
        <v>72</v>
      </c>
      <c r="Q5807" s="13">
        <v>45937</v>
      </c>
      <c r="R5807" s="13">
        <v>45963</v>
      </c>
      <c r="S5807">
        <v>2025</v>
      </c>
      <c r="T5807" s="12" t="s">
        <v>6884</v>
      </c>
      <c r="U5807">
        <v>758</v>
      </c>
      <c r="V5807">
        <v>43.4407</v>
      </c>
      <c r="W5807">
        <v>630.08000000000004</v>
      </c>
      <c r="X5807">
        <v>1156.79</v>
      </c>
      <c r="Y5807">
        <v>1</v>
      </c>
      <c r="Z5807">
        <v>32928.050000000003</v>
      </c>
      <c r="AA5807">
        <v>34714.92</v>
      </c>
      <c r="AB5807" s="12" t="s">
        <v>6061</v>
      </c>
      <c r="AC5807">
        <v>43.4407</v>
      </c>
      <c r="AD5807">
        <v>1</v>
      </c>
      <c r="AE5807">
        <v>1</v>
      </c>
      <c r="AF5807">
        <v>0</v>
      </c>
      <c r="AG5807">
        <v>32928.050000000003</v>
      </c>
      <c r="AH5807">
        <v>758</v>
      </c>
      <c r="AI5807">
        <v>749</v>
      </c>
      <c r="AJ5807">
        <v>9</v>
      </c>
      <c r="AK5807">
        <v>1</v>
      </c>
      <c r="AL5807">
        <v>1</v>
      </c>
      <c r="AM5807">
        <v>98.81</v>
      </c>
      <c r="AN5807">
        <v>46.348399999999998</v>
      </c>
      <c r="AO5807">
        <v>390.97</v>
      </c>
      <c r="AP5807" s="13">
        <v>45963</v>
      </c>
      <c r="AQ5807">
        <v>0</v>
      </c>
      <c r="AR5807">
        <v>1</v>
      </c>
    </row>
    <row r="5808" spans="1:44" x14ac:dyDescent="0.35">
      <c r="A5808" s="12" t="s">
        <v>6918</v>
      </c>
      <c r="B5808" s="12" t="s">
        <v>490</v>
      </c>
      <c r="C5808" s="12" t="s">
        <v>491</v>
      </c>
      <c r="D5808" s="12" t="s">
        <v>130</v>
      </c>
      <c r="E5808" s="12" t="s">
        <v>104</v>
      </c>
      <c r="F5808">
        <v>3</v>
      </c>
      <c r="G5808">
        <v>1</v>
      </c>
      <c r="H5808">
        <v>0</v>
      </c>
      <c r="I5808" s="12" t="s">
        <v>176</v>
      </c>
      <c r="J5808" s="12" t="s">
        <v>177</v>
      </c>
      <c r="K5808" s="12" t="s">
        <v>125</v>
      </c>
      <c r="L5808" s="12" t="s">
        <v>134</v>
      </c>
      <c r="M5808">
        <v>1.75</v>
      </c>
      <c r="N5808" s="12" t="s">
        <v>135</v>
      </c>
      <c r="O5808" s="12" t="s">
        <v>136</v>
      </c>
      <c r="P5808" s="12" t="s">
        <v>137</v>
      </c>
      <c r="Q5808" s="13">
        <v>45937</v>
      </c>
      <c r="R5808" s="13">
        <v>45958</v>
      </c>
      <c r="S5808">
        <v>2025</v>
      </c>
      <c r="T5808" s="12" t="s">
        <v>6884</v>
      </c>
      <c r="U5808">
        <v>83</v>
      </c>
      <c r="V5808">
        <v>234.9982</v>
      </c>
      <c r="W5808">
        <v>386.36</v>
      </c>
      <c r="X5808">
        <v>0</v>
      </c>
      <c r="Y5808">
        <v>0</v>
      </c>
      <c r="Z5808">
        <v>19504.849999999999</v>
      </c>
      <c r="AA5808">
        <v>19891.21</v>
      </c>
      <c r="AB5808" s="12" t="s">
        <v>5760</v>
      </c>
      <c r="AC5808">
        <v>234.9982</v>
      </c>
      <c r="AD5808">
        <v>1</v>
      </c>
      <c r="AE5808">
        <v>1</v>
      </c>
      <c r="AF5808">
        <v>0</v>
      </c>
      <c r="AG5808">
        <v>19504.849999999999</v>
      </c>
      <c r="AH5808">
        <v>83</v>
      </c>
      <c r="AI5808">
        <v>82</v>
      </c>
      <c r="AJ5808">
        <v>1</v>
      </c>
      <c r="AK5808">
        <v>1</v>
      </c>
      <c r="AL5808">
        <v>1</v>
      </c>
      <c r="AM5808">
        <v>98.8</v>
      </c>
      <c r="AN5808">
        <v>242.57570000000001</v>
      </c>
      <c r="AO5808">
        <v>235</v>
      </c>
      <c r="AP5808" s="13">
        <v>45957</v>
      </c>
      <c r="AQ5808">
        <v>-1</v>
      </c>
      <c r="AR5808">
        <v>1</v>
      </c>
    </row>
    <row r="5809" spans="1:44" x14ac:dyDescent="0.35">
      <c r="A5809" s="12" t="s">
        <v>6919</v>
      </c>
      <c r="B5809" s="12" t="s">
        <v>231</v>
      </c>
      <c r="C5809" s="12" t="s">
        <v>232</v>
      </c>
      <c r="D5809" s="12" t="s">
        <v>130</v>
      </c>
      <c r="E5809" s="12" t="s">
        <v>65</v>
      </c>
      <c r="F5809">
        <v>1</v>
      </c>
      <c r="G5809">
        <v>2</v>
      </c>
      <c r="H5809">
        <v>1</v>
      </c>
      <c r="I5809" s="12" t="s">
        <v>233</v>
      </c>
      <c r="J5809" s="12" t="s">
        <v>234</v>
      </c>
      <c r="K5809" s="12" t="s">
        <v>125</v>
      </c>
      <c r="L5809" s="12" t="s">
        <v>96</v>
      </c>
      <c r="M5809">
        <v>3.73</v>
      </c>
      <c r="N5809" s="12" t="s">
        <v>159</v>
      </c>
      <c r="O5809" s="12" t="s">
        <v>160</v>
      </c>
      <c r="P5809" s="12" t="s">
        <v>137</v>
      </c>
      <c r="Q5809" s="13">
        <v>45937</v>
      </c>
      <c r="R5809" s="13">
        <v>45960</v>
      </c>
      <c r="S5809">
        <v>2025</v>
      </c>
      <c r="T5809" s="12" t="s">
        <v>6884</v>
      </c>
      <c r="U5809">
        <v>26</v>
      </c>
      <c r="V5809">
        <v>432.67770000000002</v>
      </c>
      <c r="W5809">
        <v>196.42</v>
      </c>
      <c r="X5809">
        <v>0</v>
      </c>
      <c r="Y5809">
        <v>0</v>
      </c>
      <c r="Z5809">
        <v>11249.62</v>
      </c>
      <c r="AA5809">
        <v>11446.04</v>
      </c>
      <c r="AB5809" s="12" t="s">
        <v>201</v>
      </c>
      <c r="AD5809">
        <v>0</v>
      </c>
      <c r="AE5809">
        <v>0</v>
      </c>
      <c r="AH5809">
        <v>26</v>
      </c>
      <c r="AI5809">
        <v>26</v>
      </c>
      <c r="AJ5809">
        <v>0</v>
      </c>
      <c r="AK5809">
        <v>1</v>
      </c>
      <c r="AL5809">
        <v>1</v>
      </c>
      <c r="AM5809">
        <v>100</v>
      </c>
      <c r="AN5809">
        <v>440.23230000000001</v>
      </c>
      <c r="AO5809">
        <v>0</v>
      </c>
      <c r="AP5809" s="13">
        <v>45958</v>
      </c>
      <c r="AQ5809">
        <v>-2</v>
      </c>
      <c r="AR5809">
        <v>1</v>
      </c>
    </row>
    <row r="5810" spans="1:44" x14ac:dyDescent="0.35">
      <c r="A5810" s="12" t="s">
        <v>6920</v>
      </c>
      <c r="B5810" s="12" t="s">
        <v>532</v>
      </c>
      <c r="C5810" s="12" t="s">
        <v>533</v>
      </c>
      <c r="D5810" s="12" t="s">
        <v>114</v>
      </c>
      <c r="E5810" s="12" t="s">
        <v>65</v>
      </c>
      <c r="F5810">
        <v>2</v>
      </c>
      <c r="G5810">
        <v>3</v>
      </c>
      <c r="H5810">
        <v>0</v>
      </c>
      <c r="I5810" s="12" t="s">
        <v>105</v>
      </c>
      <c r="J5810" s="12" t="s">
        <v>106</v>
      </c>
      <c r="K5810" s="12" t="s">
        <v>81</v>
      </c>
      <c r="L5810" s="12" t="s">
        <v>96</v>
      </c>
      <c r="M5810">
        <v>5.01</v>
      </c>
      <c r="N5810" s="12" t="s">
        <v>97</v>
      </c>
      <c r="O5810" s="12" t="s">
        <v>98</v>
      </c>
      <c r="P5810" s="12" t="s">
        <v>72</v>
      </c>
      <c r="Q5810" s="13">
        <v>45937</v>
      </c>
      <c r="R5810" s="13">
        <v>45970</v>
      </c>
      <c r="S5810">
        <v>2025</v>
      </c>
      <c r="T5810" s="12" t="s">
        <v>6884</v>
      </c>
      <c r="U5810">
        <v>103</v>
      </c>
      <c r="V5810">
        <v>249.89959999999999</v>
      </c>
      <c r="W5810">
        <v>388.25</v>
      </c>
      <c r="X5810">
        <v>0</v>
      </c>
      <c r="Y5810">
        <v>0</v>
      </c>
      <c r="Z5810">
        <v>25739.66</v>
      </c>
      <c r="AA5810">
        <v>26127.91</v>
      </c>
      <c r="AB5810" s="12" t="s">
        <v>5676</v>
      </c>
      <c r="AC5810">
        <v>249.89959999999999</v>
      </c>
      <c r="AD5810">
        <v>1</v>
      </c>
      <c r="AE5810">
        <v>1</v>
      </c>
      <c r="AF5810">
        <v>0</v>
      </c>
      <c r="AG5810">
        <v>25739.66</v>
      </c>
      <c r="AH5810">
        <v>103</v>
      </c>
      <c r="AI5810">
        <v>102</v>
      </c>
      <c r="AJ5810">
        <v>1</v>
      </c>
      <c r="AK5810">
        <v>1</v>
      </c>
      <c r="AL5810">
        <v>1</v>
      </c>
      <c r="AM5810">
        <v>99.03</v>
      </c>
      <c r="AN5810">
        <v>256.15600000000001</v>
      </c>
      <c r="AO5810">
        <v>249.9</v>
      </c>
      <c r="AP5810" s="13">
        <v>45970</v>
      </c>
      <c r="AQ5810">
        <v>0</v>
      </c>
      <c r="AR5810">
        <v>1</v>
      </c>
    </row>
    <row r="5811" spans="1:44" x14ac:dyDescent="0.35">
      <c r="A5811" s="12" t="s">
        <v>6921</v>
      </c>
      <c r="B5811" s="12" t="s">
        <v>140</v>
      </c>
      <c r="C5811" s="12" t="s">
        <v>141</v>
      </c>
      <c r="D5811" s="12" t="s">
        <v>103</v>
      </c>
      <c r="E5811" s="12" t="s">
        <v>142</v>
      </c>
      <c r="F5811">
        <v>1</v>
      </c>
      <c r="G5811">
        <v>7</v>
      </c>
      <c r="H5811">
        <v>1</v>
      </c>
      <c r="I5811" s="12" t="s">
        <v>143</v>
      </c>
      <c r="J5811" s="12" t="s">
        <v>144</v>
      </c>
      <c r="K5811" s="12" t="s">
        <v>133</v>
      </c>
      <c r="L5811" s="12" t="s">
        <v>96</v>
      </c>
      <c r="M5811">
        <v>5.43</v>
      </c>
      <c r="N5811" s="12" t="s">
        <v>145</v>
      </c>
      <c r="O5811" s="12" t="s">
        <v>146</v>
      </c>
      <c r="P5811" s="12" t="s">
        <v>109</v>
      </c>
      <c r="Q5811" s="13">
        <v>45937</v>
      </c>
      <c r="R5811" s="13">
        <v>45974</v>
      </c>
      <c r="S5811">
        <v>2025</v>
      </c>
      <c r="T5811" s="12" t="s">
        <v>6884</v>
      </c>
      <c r="U5811">
        <v>30</v>
      </c>
      <c r="V5811">
        <v>210.93029999999999</v>
      </c>
      <c r="W5811">
        <v>48.54</v>
      </c>
      <c r="X5811">
        <v>0</v>
      </c>
      <c r="Y5811">
        <v>0</v>
      </c>
      <c r="Z5811">
        <v>6327.91</v>
      </c>
      <c r="AA5811">
        <v>6376.45</v>
      </c>
      <c r="AB5811" s="12" t="s">
        <v>5126</v>
      </c>
      <c r="AC5811">
        <v>210.93029999999999</v>
      </c>
      <c r="AD5811">
        <v>1</v>
      </c>
      <c r="AE5811">
        <v>1</v>
      </c>
      <c r="AF5811">
        <v>0</v>
      </c>
      <c r="AG5811">
        <v>6327.91</v>
      </c>
      <c r="AH5811">
        <v>30</v>
      </c>
      <c r="AI5811">
        <v>30</v>
      </c>
      <c r="AJ5811">
        <v>0</v>
      </c>
      <c r="AK5811">
        <v>1</v>
      </c>
      <c r="AL5811">
        <v>1</v>
      </c>
      <c r="AM5811">
        <v>100</v>
      </c>
      <c r="AN5811">
        <v>212.54830000000001</v>
      </c>
      <c r="AO5811">
        <v>0</v>
      </c>
      <c r="AP5811" s="13">
        <v>45973</v>
      </c>
      <c r="AQ5811">
        <v>-1</v>
      </c>
      <c r="AR5811">
        <v>1</v>
      </c>
    </row>
    <row r="5812" spans="1:44" x14ac:dyDescent="0.35">
      <c r="A5812" s="12" t="s">
        <v>6922</v>
      </c>
      <c r="B5812" s="12" t="s">
        <v>447</v>
      </c>
      <c r="C5812" s="12" t="s">
        <v>448</v>
      </c>
      <c r="D5812" s="12" t="s">
        <v>269</v>
      </c>
      <c r="E5812" s="12" t="s">
        <v>65</v>
      </c>
      <c r="F5812">
        <v>2</v>
      </c>
      <c r="G5812">
        <v>2</v>
      </c>
      <c r="H5812">
        <v>0</v>
      </c>
      <c r="I5812" s="12" t="s">
        <v>94</v>
      </c>
      <c r="J5812" s="12" t="s">
        <v>95</v>
      </c>
      <c r="K5812" s="12" t="s">
        <v>81</v>
      </c>
      <c r="L5812" s="12" t="s">
        <v>96</v>
      </c>
      <c r="M5812">
        <v>4.8099999999999996</v>
      </c>
      <c r="N5812" s="12" t="s">
        <v>135</v>
      </c>
      <c r="O5812" s="12" t="s">
        <v>136</v>
      </c>
      <c r="P5812" s="12" t="s">
        <v>137</v>
      </c>
      <c r="Q5812" s="13">
        <v>45937</v>
      </c>
      <c r="R5812" s="13">
        <v>45962</v>
      </c>
      <c r="S5812">
        <v>2025</v>
      </c>
      <c r="T5812" s="12" t="s">
        <v>6884</v>
      </c>
      <c r="U5812">
        <v>46</v>
      </c>
      <c r="V5812">
        <v>367.30009999999999</v>
      </c>
      <c r="W5812">
        <v>394.64</v>
      </c>
      <c r="X5812">
        <v>0</v>
      </c>
      <c r="Y5812">
        <v>0</v>
      </c>
      <c r="Z5812">
        <v>16895.8</v>
      </c>
      <c r="AA5812">
        <v>17290.439999999999</v>
      </c>
      <c r="AB5812" s="12" t="s">
        <v>5685</v>
      </c>
      <c r="AC5812">
        <v>367.30009999999999</v>
      </c>
      <c r="AD5812">
        <v>1</v>
      </c>
      <c r="AE5812">
        <v>1</v>
      </c>
      <c r="AF5812">
        <v>0</v>
      </c>
      <c r="AG5812">
        <v>16895.8</v>
      </c>
      <c r="AH5812">
        <v>46</v>
      </c>
      <c r="AI5812">
        <v>45</v>
      </c>
      <c r="AJ5812">
        <v>1</v>
      </c>
      <c r="AK5812">
        <v>1</v>
      </c>
      <c r="AL5812">
        <v>1</v>
      </c>
      <c r="AM5812">
        <v>97.83</v>
      </c>
      <c r="AN5812">
        <v>384.2321</v>
      </c>
      <c r="AO5812">
        <v>367.3</v>
      </c>
      <c r="AP5812" s="13">
        <v>45962</v>
      </c>
      <c r="AQ5812">
        <v>0</v>
      </c>
      <c r="AR5812">
        <v>1</v>
      </c>
    </row>
    <row r="5813" spans="1:44" x14ac:dyDescent="0.35">
      <c r="A5813" s="12" t="s">
        <v>6923</v>
      </c>
      <c r="B5813" s="12" t="s">
        <v>602</v>
      </c>
      <c r="C5813" s="12" t="s">
        <v>603</v>
      </c>
      <c r="D5813" s="12" t="s">
        <v>114</v>
      </c>
      <c r="E5813" s="12" t="s">
        <v>142</v>
      </c>
      <c r="F5813">
        <v>2</v>
      </c>
      <c r="G5813">
        <v>10</v>
      </c>
      <c r="H5813">
        <v>0</v>
      </c>
      <c r="I5813" s="12" t="s">
        <v>263</v>
      </c>
      <c r="J5813" s="12" t="s">
        <v>264</v>
      </c>
      <c r="K5813" s="12" t="s">
        <v>125</v>
      </c>
      <c r="L5813" s="12" t="s">
        <v>82</v>
      </c>
      <c r="M5813">
        <v>10.210000000000001</v>
      </c>
      <c r="N5813" s="12" t="s">
        <v>70</v>
      </c>
      <c r="O5813" s="12" t="s">
        <v>71</v>
      </c>
      <c r="P5813" s="12" t="s">
        <v>72</v>
      </c>
      <c r="Q5813" s="13">
        <v>45937</v>
      </c>
      <c r="R5813" s="13">
        <v>45982</v>
      </c>
      <c r="S5813">
        <v>2025</v>
      </c>
      <c r="T5813" s="12" t="s">
        <v>6884</v>
      </c>
      <c r="U5813">
        <v>90</v>
      </c>
      <c r="V5813">
        <v>207.9658</v>
      </c>
      <c r="W5813">
        <v>162.94999999999999</v>
      </c>
      <c r="X5813">
        <v>0</v>
      </c>
      <c r="Y5813">
        <v>0</v>
      </c>
      <c r="Z5813">
        <v>18716.919999999998</v>
      </c>
      <c r="AA5813">
        <v>18879.87</v>
      </c>
      <c r="AB5813" s="12" t="s">
        <v>5373</v>
      </c>
      <c r="AC5813">
        <v>207.9658</v>
      </c>
      <c r="AD5813">
        <v>1</v>
      </c>
      <c r="AE5813">
        <v>1</v>
      </c>
      <c r="AF5813">
        <v>0</v>
      </c>
      <c r="AG5813">
        <v>18716.919999999998</v>
      </c>
      <c r="AH5813">
        <v>90</v>
      </c>
      <c r="AI5813">
        <v>88</v>
      </c>
      <c r="AJ5813">
        <v>2</v>
      </c>
      <c r="AK5813">
        <v>1</v>
      </c>
      <c r="AL5813">
        <v>1</v>
      </c>
      <c r="AM5813">
        <v>97.78</v>
      </c>
      <c r="AN5813">
        <v>214.54400000000001</v>
      </c>
      <c r="AO5813">
        <v>415.93</v>
      </c>
      <c r="AP5813" s="13">
        <v>45981</v>
      </c>
      <c r="AQ5813">
        <v>-1</v>
      </c>
      <c r="AR5813">
        <v>1</v>
      </c>
    </row>
    <row r="5814" spans="1:44" x14ac:dyDescent="0.35">
      <c r="A5814" s="12" t="s">
        <v>6924</v>
      </c>
      <c r="B5814" s="12" t="s">
        <v>101</v>
      </c>
      <c r="C5814" s="12" t="s">
        <v>102</v>
      </c>
      <c r="D5814" s="12" t="s">
        <v>103</v>
      </c>
      <c r="E5814" s="12" t="s">
        <v>104</v>
      </c>
      <c r="F5814">
        <v>1</v>
      </c>
      <c r="G5814">
        <v>0</v>
      </c>
      <c r="H5814">
        <v>1</v>
      </c>
      <c r="I5814" s="12" t="s">
        <v>105</v>
      </c>
      <c r="J5814" s="12" t="s">
        <v>106</v>
      </c>
      <c r="K5814" s="12" t="s">
        <v>81</v>
      </c>
      <c r="L5814" s="12" t="s">
        <v>96</v>
      </c>
      <c r="M5814">
        <v>5.01</v>
      </c>
      <c r="N5814" s="12" t="s">
        <v>107</v>
      </c>
      <c r="O5814" s="12" t="s">
        <v>108</v>
      </c>
      <c r="P5814" s="12" t="s">
        <v>109</v>
      </c>
      <c r="Q5814" s="13">
        <v>45938</v>
      </c>
      <c r="R5814" s="13">
        <v>45955</v>
      </c>
      <c r="S5814">
        <v>2025</v>
      </c>
      <c r="T5814" s="12" t="s">
        <v>6884</v>
      </c>
      <c r="U5814">
        <v>49</v>
      </c>
      <c r="V5814">
        <v>191.209</v>
      </c>
      <c r="W5814">
        <v>155.79</v>
      </c>
      <c r="X5814">
        <v>0</v>
      </c>
      <c r="Y5814">
        <v>0</v>
      </c>
      <c r="Z5814">
        <v>9369.24</v>
      </c>
      <c r="AA5814">
        <v>9525.0300000000007</v>
      </c>
      <c r="AB5814" s="12" t="s">
        <v>5173</v>
      </c>
      <c r="AC5814">
        <v>203.18520000000001</v>
      </c>
      <c r="AD5814">
        <v>1</v>
      </c>
      <c r="AE5814">
        <v>1</v>
      </c>
      <c r="AF5814">
        <v>-586.83000000000004</v>
      </c>
      <c r="AG5814">
        <v>9956.07</v>
      </c>
      <c r="AH5814">
        <v>49</v>
      </c>
      <c r="AI5814">
        <v>49</v>
      </c>
      <c r="AJ5814">
        <v>0</v>
      </c>
      <c r="AK5814">
        <v>1</v>
      </c>
      <c r="AL5814">
        <v>1</v>
      </c>
      <c r="AM5814">
        <v>100</v>
      </c>
      <c r="AN5814">
        <v>194.38839999999999</v>
      </c>
      <c r="AO5814">
        <v>0</v>
      </c>
      <c r="AP5814" s="13">
        <v>45959</v>
      </c>
      <c r="AQ5814">
        <v>4</v>
      </c>
      <c r="AR5814">
        <v>0</v>
      </c>
    </row>
    <row r="5815" spans="1:44" x14ac:dyDescent="0.35">
      <c r="A5815" s="12" t="s">
        <v>6925</v>
      </c>
      <c r="B5815" s="12" t="s">
        <v>416</v>
      </c>
      <c r="C5815" s="12" t="s">
        <v>417</v>
      </c>
      <c r="D5815" s="12" t="s">
        <v>78</v>
      </c>
      <c r="E5815" s="12" t="s">
        <v>65</v>
      </c>
      <c r="F5815">
        <v>3</v>
      </c>
      <c r="G5815">
        <v>5</v>
      </c>
      <c r="H5815">
        <v>0</v>
      </c>
      <c r="I5815" s="12" t="s">
        <v>169</v>
      </c>
      <c r="J5815" s="12" t="s">
        <v>170</v>
      </c>
      <c r="K5815" s="12" t="s">
        <v>89</v>
      </c>
      <c r="L5815" s="12" t="s">
        <v>134</v>
      </c>
      <c r="M5815">
        <v>1.37</v>
      </c>
      <c r="N5815" s="12" t="s">
        <v>97</v>
      </c>
      <c r="O5815" s="12" t="s">
        <v>98</v>
      </c>
      <c r="P5815" s="12" t="s">
        <v>72</v>
      </c>
      <c r="Q5815" s="13">
        <v>45938</v>
      </c>
      <c r="R5815" s="13">
        <v>45966</v>
      </c>
      <c r="S5815">
        <v>2025</v>
      </c>
      <c r="T5815" s="12" t="s">
        <v>6884</v>
      </c>
      <c r="U5815">
        <v>143</v>
      </c>
      <c r="V5815">
        <v>129.0615</v>
      </c>
      <c r="W5815">
        <v>126.43</v>
      </c>
      <c r="X5815">
        <v>0</v>
      </c>
      <c r="Y5815">
        <v>0</v>
      </c>
      <c r="Z5815">
        <v>18455.79</v>
      </c>
      <c r="AA5815">
        <v>18582.22</v>
      </c>
      <c r="AB5815" s="12" t="s">
        <v>5522</v>
      </c>
      <c r="AC5815">
        <v>129.0615</v>
      </c>
      <c r="AD5815">
        <v>1</v>
      </c>
      <c r="AE5815">
        <v>1</v>
      </c>
      <c r="AF5815">
        <v>0</v>
      </c>
      <c r="AG5815">
        <v>18455.79</v>
      </c>
      <c r="AH5815">
        <v>143</v>
      </c>
      <c r="AI5815">
        <v>142</v>
      </c>
      <c r="AJ5815">
        <v>1</v>
      </c>
      <c r="AK5815">
        <v>1</v>
      </c>
      <c r="AL5815">
        <v>1</v>
      </c>
      <c r="AM5815">
        <v>99.3</v>
      </c>
      <c r="AN5815">
        <v>130.86070000000001</v>
      </c>
      <c r="AO5815">
        <v>129.06</v>
      </c>
      <c r="AP5815" s="13">
        <v>45966</v>
      </c>
      <c r="AQ5815">
        <v>0</v>
      </c>
      <c r="AR5815">
        <v>1</v>
      </c>
    </row>
    <row r="5816" spans="1:44" x14ac:dyDescent="0.35">
      <c r="A5816" s="12" t="s">
        <v>6926</v>
      </c>
      <c r="B5816" s="12" t="s">
        <v>193</v>
      </c>
      <c r="C5816" s="12" t="s">
        <v>194</v>
      </c>
      <c r="D5816" s="12" t="s">
        <v>114</v>
      </c>
      <c r="E5816" s="12" t="s">
        <v>65</v>
      </c>
      <c r="F5816">
        <v>3</v>
      </c>
      <c r="G5816">
        <v>4</v>
      </c>
      <c r="H5816">
        <v>0</v>
      </c>
      <c r="I5816" s="12" t="s">
        <v>143</v>
      </c>
      <c r="J5816" s="12" t="s">
        <v>144</v>
      </c>
      <c r="K5816" s="12" t="s">
        <v>133</v>
      </c>
      <c r="L5816" s="12" t="s">
        <v>96</v>
      </c>
      <c r="M5816">
        <v>5.43</v>
      </c>
      <c r="N5816" s="12" t="s">
        <v>97</v>
      </c>
      <c r="O5816" s="12" t="s">
        <v>98</v>
      </c>
      <c r="P5816" s="12" t="s">
        <v>72</v>
      </c>
      <c r="Q5816" s="13">
        <v>45938</v>
      </c>
      <c r="R5816" s="13">
        <v>45967</v>
      </c>
      <c r="S5816">
        <v>2025</v>
      </c>
      <c r="T5816" s="12" t="s">
        <v>6884</v>
      </c>
      <c r="U5816">
        <v>75</v>
      </c>
      <c r="V5816">
        <v>104.46510000000001</v>
      </c>
      <c r="W5816">
        <v>191.72</v>
      </c>
      <c r="X5816">
        <v>0</v>
      </c>
      <c r="Y5816">
        <v>0</v>
      </c>
      <c r="Z5816">
        <v>7834.88</v>
      </c>
      <c r="AA5816">
        <v>8026.6</v>
      </c>
      <c r="AB5816" s="12" t="s">
        <v>6191</v>
      </c>
      <c r="AC5816">
        <v>104.46510000000001</v>
      </c>
      <c r="AD5816">
        <v>1</v>
      </c>
      <c r="AE5816">
        <v>1</v>
      </c>
      <c r="AF5816">
        <v>0</v>
      </c>
      <c r="AG5816">
        <v>7834.88</v>
      </c>
      <c r="AH5816">
        <v>75</v>
      </c>
      <c r="AI5816">
        <v>74</v>
      </c>
      <c r="AJ5816">
        <v>1</v>
      </c>
      <c r="AK5816">
        <v>1</v>
      </c>
      <c r="AL5816">
        <v>1</v>
      </c>
      <c r="AM5816">
        <v>98.67</v>
      </c>
      <c r="AN5816">
        <v>108.4676</v>
      </c>
      <c r="AO5816">
        <v>104.47</v>
      </c>
      <c r="AP5816" s="13">
        <v>45967</v>
      </c>
      <c r="AQ5816">
        <v>0</v>
      </c>
      <c r="AR5816">
        <v>1</v>
      </c>
    </row>
    <row r="5817" spans="1:44" x14ac:dyDescent="0.35">
      <c r="A5817" s="12" t="s">
        <v>6927</v>
      </c>
      <c r="B5817" s="12" t="s">
        <v>972</v>
      </c>
      <c r="C5817" s="12" t="s">
        <v>973</v>
      </c>
      <c r="D5817" s="12" t="s">
        <v>130</v>
      </c>
      <c r="E5817" s="12" t="s">
        <v>142</v>
      </c>
      <c r="F5817">
        <v>2</v>
      </c>
      <c r="G5817">
        <v>9</v>
      </c>
      <c r="H5817">
        <v>0</v>
      </c>
      <c r="I5817" s="12" t="s">
        <v>676</v>
      </c>
      <c r="J5817" s="12" t="s">
        <v>677</v>
      </c>
      <c r="K5817" s="12" t="s">
        <v>68</v>
      </c>
      <c r="L5817" s="12" t="s">
        <v>96</v>
      </c>
      <c r="M5817">
        <v>3.57</v>
      </c>
      <c r="N5817" s="12" t="s">
        <v>135</v>
      </c>
      <c r="O5817" s="12" t="s">
        <v>136</v>
      </c>
      <c r="P5817" s="12" t="s">
        <v>137</v>
      </c>
      <c r="Q5817" s="13">
        <v>45938</v>
      </c>
      <c r="R5817" s="13">
        <v>45973</v>
      </c>
      <c r="S5817">
        <v>2025</v>
      </c>
      <c r="T5817" s="12" t="s">
        <v>6884</v>
      </c>
      <c r="U5817">
        <v>14</v>
      </c>
      <c r="V5817">
        <v>839.82719999999995</v>
      </c>
      <c r="W5817">
        <v>85.08</v>
      </c>
      <c r="X5817">
        <v>0</v>
      </c>
      <c r="Y5817">
        <v>0</v>
      </c>
      <c r="Z5817">
        <v>11757.58</v>
      </c>
      <c r="AA5817">
        <v>11842.66</v>
      </c>
      <c r="AB5817" s="12" t="s">
        <v>6005</v>
      </c>
      <c r="AC5817">
        <v>839.82719999999995</v>
      </c>
      <c r="AD5817">
        <v>1</v>
      </c>
      <c r="AE5817">
        <v>1</v>
      </c>
      <c r="AF5817">
        <v>0</v>
      </c>
      <c r="AG5817">
        <v>11757.58</v>
      </c>
      <c r="AH5817">
        <v>14</v>
      </c>
      <c r="AI5817">
        <v>14</v>
      </c>
      <c r="AJ5817">
        <v>0</v>
      </c>
      <c r="AK5817">
        <v>1</v>
      </c>
      <c r="AL5817">
        <v>1</v>
      </c>
      <c r="AM5817">
        <v>100</v>
      </c>
      <c r="AN5817">
        <v>845.90430000000003</v>
      </c>
      <c r="AO5817">
        <v>0</v>
      </c>
      <c r="AP5817" s="13">
        <v>45973</v>
      </c>
      <c r="AQ5817">
        <v>0</v>
      </c>
      <c r="AR5817">
        <v>1</v>
      </c>
    </row>
    <row r="5818" spans="1:44" x14ac:dyDescent="0.35">
      <c r="A5818" s="12" t="s">
        <v>6928</v>
      </c>
      <c r="B5818" s="12" t="s">
        <v>891</v>
      </c>
      <c r="C5818" s="12" t="s">
        <v>892</v>
      </c>
      <c r="D5818" s="12" t="s">
        <v>122</v>
      </c>
      <c r="E5818" s="12" t="s">
        <v>65</v>
      </c>
      <c r="F5818">
        <v>3</v>
      </c>
      <c r="G5818">
        <v>5</v>
      </c>
      <c r="H5818">
        <v>0</v>
      </c>
      <c r="I5818" s="12" t="s">
        <v>195</v>
      </c>
      <c r="J5818" s="12" t="s">
        <v>196</v>
      </c>
      <c r="K5818" s="12" t="s">
        <v>117</v>
      </c>
      <c r="L5818" s="12" t="s">
        <v>134</v>
      </c>
      <c r="M5818">
        <v>4.7699999999999996</v>
      </c>
      <c r="N5818" s="12" t="s">
        <v>70</v>
      </c>
      <c r="O5818" s="12" t="s">
        <v>71</v>
      </c>
      <c r="P5818" s="12" t="s">
        <v>72</v>
      </c>
      <c r="Q5818" s="13">
        <v>45939</v>
      </c>
      <c r="R5818" s="13">
        <v>45961</v>
      </c>
      <c r="S5818">
        <v>2025</v>
      </c>
      <c r="T5818" s="12" t="s">
        <v>6884</v>
      </c>
      <c r="U5818">
        <v>312</v>
      </c>
      <c r="V5818">
        <v>36.331099999999999</v>
      </c>
      <c r="W5818">
        <v>234.01</v>
      </c>
      <c r="X5818">
        <v>0</v>
      </c>
      <c r="Y5818">
        <v>0</v>
      </c>
      <c r="Z5818">
        <v>11335.3</v>
      </c>
      <c r="AA5818">
        <v>11569.31</v>
      </c>
      <c r="AB5818" s="12" t="s">
        <v>5810</v>
      </c>
      <c r="AC5818">
        <v>36.331099999999999</v>
      </c>
      <c r="AD5818">
        <v>1</v>
      </c>
      <c r="AE5818">
        <v>1</v>
      </c>
      <c r="AF5818">
        <v>0</v>
      </c>
      <c r="AG5818">
        <v>11335.3</v>
      </c>
      <c r="AH5818">
        <v>312</v>
      </c>
      <c r="AI5818">
        <v>311</v>
      </c>
      <c r="AJ5818">
        <v>1</v>
      </c>
      <c r="AK5818">
        <v>1</v>
      </c>
      <c r="AL5818">
        <v>1</v>
      </c>
      <c r="AM5818">
        <v>99.68</v>
      </c>
      <c r="AN5818">
        <v>37.200400000000002</v>
      </c>
      <c r="AO5818">
        <v>36.33</v>
      </c>
      <c r="AP5818" s="13">
        <v>45970</v>
      </c>
      <c r="AQ5818">
        <v>9</v>
      </c>
      <c r="AR5818">
        <v>0</v>
      </c>
    </row>
    <row r="5819" spans="1:44" x14ac:dyDescent="0.35">
      <c r="A5819" s="12" t="s">
        <v>6929</v>
      </c>
      <c r="B5819" s="12" t="s">
        <v>766</v>
      </c>
      <c r="C5819" s="12" t="s">
        <v>767</v>
      </c>
      <c r="D5819" s="12" t="s">
        <v>175</v>
      </c>
      <c r="E5819" s="12" t="s">
        <v>65</v>
      </c>
      <c r="F5819">
        <v>3</v>
      </c>
      <c r="G5819">
        <v>5</v>
      </c>
      <c r="H5819">
        <v>0</v>
      </c>
      <c r="I5819" s="12" t="s">
        <v>87</v>
      </c>
      <c r="J5819" s="12" t="s">
        <v>88</v>
      </c>
      <c r="K5819" s="12" t="s">
        <v>89</v>
      </c>
      <c r="L5819" s="12" t="s">
        <v>69</v>
      </c>
      <c r="M5819">
        <v>14.93</v>
      </c>
      <c r="N5819" s="12" t="s">
        <v>107</v>
      </c>
      <c r="O5819" s="12" t="s">
        <v>108</v>
      </c>
      <c r="P5819" s="12" t="s">
        <v>109</v>
      </c>
      <c r="Q5819" s="13">
        <v>45939</v>
      </c>
      <c r="R5819" s="13">
        <v>45968</v>
      </c>
      <c r="S5819">
        <v>2025</v>
      </c>
      <c r="T5819" s="12" t="s">
        <v>6884</v>
      </c>
      <c r="U5819">
        <v>74</v>
      </c>
      <c r="V5819">
        <v>76.991200000000006</v>
      </c>
      <c r="W5819">
        <v>127.9</v>
      </c>
      <c r="X5819">
        <v>0</v>
      </c>
      <c r="Y5819">
        <v>0</v>
      </c>
      <c r="Z5819">
        <v>5697.35</v>
      </c>
      <c r="AA5819">
        <v>5825.25</v>
      </c>
      <c r="AB5819" s="12" t="s">
        <v>5662</v>
      </c>
      <c r="AC5819">
        <v>76.991200000000006</v>
      </c>
      <c r="AD5819">
        <v>1</v>
      </c>
      <c r="AE5819">
        <v>1</v>
      </c>
      <c r="AF5819">
        <v>0</v>
      </c>
      <c r="AG5819">
        <v>5697.35</v>
      </c>
      <c r="AH5819">
        <v>74</v>
      </c>
      <c r="AI5819">
        <v>73</v>
      </c>
      <c r="AJ5819">
        <v>1</v>
      </c>
      <c r="AK5819">
        <v>1</v>
      </c>
      <c r="AL5819">
        <v>1</v>
      </c>
      <c r="AM5819">
        <v>98.65</v>
      </c>
      <c r="AN5819">
        <v>79.797899999999998</v>
      </c>
      <c r="AO5819">
        <v>76.989999999999995</v>
      </c>
      <c r="AP5819" s="13">
        <v>45965</v>
      </c>
      <c r="AQ5819">
        <v>-3</v>
      </c>
      <c r="AR5819">
        <v>1</v>
      </c>
    </row>
    <row r="5820" spans="1:44" x14ac:dyDescent="0.35">
      <c r="A5820" s="12" t="s">
        <v>6930</v>
      </c>
      <c r="B5820" s="12" t="s">
        <v>1034</v>
      </c>
      <c r="C5820" s="12" t="s">
        <v>1035</v>
      </c>
      <c r="D5820" s="12" t="s">
        <v>64</v>
      </c>
      <c r="E5820" s="12" t="s">
        <v>104</v>
      </c>
      <c r="F5820">
        <v>2</v>
      </c>
      <c r="G5820">
        <v>0</v>
      </c>
      <c r="H5820">
        <v>0</v>
      </c>
      <c r="I5820" s="12" t="s">
        <v>157</v>
      </c>
      <c r="J5820" s="12" t="s">
        <v>158</v>
      </c>
      <c r="K5820" s="12" t="s">
        <v>117</v>
      </c>
      <c r="L5820" s="12" t="s">
        <v>96</v>
      </c>
      <c r="M5820">
        <v>4.72</v>
      </c>
      <c r="N5820" s="12" t="s">
        <v>70</v>
      </c>
      <c r="O5820" s="12" t="s">
        <v>71</v>
      </c>
      <c r="P5820" s="12" t="s">
        <v>72</v>
      </c>
      <c r="Q5820" s="13">
        <v>45939</v>
      </c>
      <c r="R5820" s="13">
        <v>45967</v>
      </c>
      <c r="S5820">
        <v>2025</v>
      </c>
      <c r="T5820" s="12" t="s">
        <v>6884</v>
      </c>
      <c r="U5820">
        <v>928</v>
      </c>
      <c r="V5820">
        <v>8.5963999999999992</v>
      </c>
      <c r="W5820">
        <v>190.89</v>
      </c>
      <c r="X5820">
        <v>0</v>
      </c>
      <c r="Y5820">
        <v>0</v>
      </c>
      <c r="Z5820">
        <v>7977.46</v>
      </c>
      <c r="AA5820">
        <v>8168.35</v>
      </c>
      <c r="AB5820" s="12" t="s">
        <v>5798</v>
      </c>
      <c r="AC5820">
        <v>8.5963999999999992</v>
      </c>
      <c r="AD5820">
        <v>1</v>
      </c>
      <c r="AE5820">
        <v>1</v>
      </c>
      <c r="AF5820">
        <v>0</v>
      </c>
      <c r="AG5820">
        <v>7977.46</v>
      </c>
      <c r="AH5820">
        <v>928</v>
      </c>
      <c r="AI5820">
        <v>920</v>
      </c>
      <c r="AJ5820">
        <v>8</v>
      </c>
      <c r="AK5820">
        <v>1</v>
      </c>
      <c r="AL5820">
        <v>1</v>
      </c>
      <c r="AM5820">
        <v>99.14</v>
      </c>
      <c r="AN5820">
        <v>8.8786000000000005</v>
      </c>
      <c r="AO5820">
        <v>68.77</v>
      </c>
      <c r="AP5820" s="13">
        <v>45965</v>
      </c>
      <c r="AQ5820">
        <v>-2</v>
      </c>
      <c r="AR5820">
        <v>1</v>
      </c>
    </row>
    <row r="5821" spans="1:44" x14ac:dyDescent="0.35">
      <c r="A5821" s="12" t="s">
        <v>6931</v>
      </c>
      <c r="B5821" s="12" t="s">
        <v>1054</v>
      </c>
      <c r="C5821" s="12" t="s">
        <v>1055</v>
      </c>
      <c r="D5821" s="12" t="s">
        <v>122</v>
      </c>
      <c r="E5821" s="12" t="s">
        <v>65</v>
      </c>
      <c r="F5821">
        <v>1</v>
      </c>
      <c r="G5821">
        <v>2</v>
      </c>
      <c r="H5821">
        <v>1</v>
      </c>
      <c r="I5821" s="12" t="s">
        <v>176</v>
      </c>
      <c r="J5821" s="12" t="s">
        <v>177</v>
      </c>
      <c r="K5821" s="12" t="s">
        <v>125</v>
      </c>
      <c r="L5821" s="12" t="s">
        <v>134</v>
      </c>
      <c r="M5821">
        <v>1.75</v>
      </c>
      <c r="N5821" s="12" t="s">
        <v>97</v>
      </c>
      <c r="O5821" s="12" t="s">
        <v>98</v>
      </c>
      <c r="P5821" s="12" t="s">
        <v>72</v>
      </c>
      <c r="Q5821" s="13">
        <v>45939</v>
      </c>
      <c r="R5821" s="13">
        <v>45966</v>
      </c>
      <c r="S5821">
        <v>2025</v>
      </c>
      <c r="T5821" s="12" t="s">
        <v>6884</v>
      </c>
      <c r="U5821">
        <v>836</v>
      </c>
      <c r="V5821">
        <v>44.811300000000003</v>
      </c>
      <c r="W5821">
        <v>911.47</v>
      </c>
      <c r="X5821">
        <v>0</v>
      </c>
      <c r="Y5821">
        <v>0</v>
      </c>
      <c r="Z5821">
        <v>37462.25</v>
      </c>
      <c r="AA5821">
        <v>38373.72</v>
      </c>
      <c r="AB5821" s="12" t="s">
        <v>5608</v>
      </c>
      <c r="AC5821">
        <v>44.811300000000003</v>
      </c>
      <c r="AD5821">
        <v>1</v>
      </c>
      <c r="AE5821">
        <v>1</v>
      </c>
      <c r="AF5821">
        <v>0</v>
      </c>
      <c r="AG5821">
        <v>37462.25</v>
      </c>
      <c r="AH5821">
        <v>836</v>
      </c>
      <c r="AI5821">
        <v>826</v>
      </c>
      <c r="AJ5821">
        <v>10</v>
      </c>
      <c r="AK5821">
        <v>1</v>
      </c>
      <c r="AL5821">
        <v>1</v>
      </c>
      <c r="AM5821">
        <v>98.8</v>
      </c>
      <c r="AN5821">
        <v>46.457299999999996</v>
      </c>
      <c r="AO5821">
        <v>448.11</v>
      </c>
      <c r="AP5821" s="13">
        <v>45965</v>
      </c>
      <c r="AQ5821">
        <v>-1</v>
      </c>
      <c r="AR5821">
        <v>1</v>
      </c>
    </row>
    <row r="5822" spans="1:44" x14ac:dyDescent="0.35">
      <c r="A5822" s="12" t="s">
        <v>6932</v>
      </c>
      <c r="B5822" s="12" t="s">
        <v>120</v>
      </c>
      <c r="C5822" s="12" t="s">
        <v>121</v>
      </c>
      <c r="D5822" s="12" t="s">
        <v>122</v>
      </c>
      <c r="E5822" s="12" t="s">
        <v>65</v>
      </c>
      <c r="F5822">
        <v>3</v>
      </c>
      <c r="G5822">
        <v>4</v>
      </c>
      <c r="H5822">
        <v>0</v>
      </c>
      <c r="I5822" s="12" t="s">
        <v>209</v>
      </c>
      <c r="J5822" s="12" t="s">
        <v>210</v>
      </c>
      <c r="K5822" s="12" t="s">
        <v>133</v>
      </c>
      <c r="L5822" s="12" t="s">
        <v>96</v>
      </c>
      <c r="M5822">
        <v>7.82</v>
      </c>
      <c r="N5822" s="12" t="s">
        <v>97</v>
      </c>
      <c r="O5822" s="12" t="s">
        <v>98</v>
      </c>
      <c r="P5822" s="12" t="s">
        <v>72</v>
      </c>
      <c r="Q5822" s="13">
        <v>45939</v>
      </c>
      <c r="R5822" s="13">
        <v>45963</v>
      </c>
      <c r="S5822">
        <v>2025</v>
      </c>
      <c r="T5822" s="12" t="s">
        <v>6884</v>
      </c>
      <c r="U5822">
        <v>571</v>
      </c>
      <c r="V5822">
        <v>51.403799999999997</v>
      </c>
      <c r="W5822">
        <v>375.43</v>
      </c>
      <c r="X5822">
        <v>0</v>
      </c>
      <c r="Y5822">
        <v>0</v>
      </c>
      <c r="Z5822">
        <v>29351.57</v>
      </c>
      <c r="AA5822">
        <v>29727</v>
      </c>
      <c r="AB5822" s="12" t="s">
        <v>201</v>
      </c>
      <c r="AD5822">
        <v>0</v>
      </c>
      <c r="AE5822">
        <v>0</v>
      </c>
      <c r="AH5822">
        <v>571</v>
      </c>
      <c r="AI5822">
        <v>568</v>
      </c>
      <c r="AJ5822">
        <v>3</v>
      </c>
      <c r="AK5822">
        <v>1</v>
      </c>
      <c r="AL5822">
        <v>1</v>
      </c>
      <c r="AM5822">
        <v>99.47</v>
      </c>
      <c r="AN5822">
        <v>52.336300000000001</v>
      </c>
      <c r="AO5822">
        <v>154.21</v>
      </c>
      <c r="AP5822" s="13">
        <v>45962</v>
      </c>
      <c r="AQ5822">
        <v>-1</v>
      </c>
      <c r="AR5822">
        <v>1</v>
      </c>
    </row>
    <row r="5823" spans="1:44" x14ac:dyDescent="0.35">
      <c r="A5823" s="12" t="s">
        <v>6933</v>
      </c>
      <c r="B5823" s="12" t="s">
        <v>755</v>
      </c>
      <c r="C5823" s="12" t="s">
        <v>756</v>
      </c>
      <c r="D5823" s="12" t="s">
        <v>78</v>
      </c>
      <c r="E5823" s="12" t="s">
        <v>65</v>
      </c>
      <c r="F5823">
        <v>2</v>
      </c>
      <c r="G5823">
        <v>2</v>
      </c>
      <c r="H5823">
        <v>0</v>
      </c>
      <c r="I5823" s="12" t="s">
        <v>359</v>
      </c>
      <c r="J5823" s="12" t="s">
        <v>360</v>
      </c>
      <c r="K5823" s="12" t="s">
        <v>133</v>
      </c>
      <c r="L5823" s="12" t="s">
        <v>82</v>
      </c>
      <c r="M5823">
        <v>12.65</v>
      </c>
      <c r="N5823" s="12" t="s">
        <v>97</v>
      </c>
      <c r="O5823" s="12" t="s">
        <v>98</v>
      </c>
      <c r="P5823" s="12" t="s">
        <v>72</v>
      </c>
      <c r="Q5823" s="13">
        <v>45939</v>
      </c>
      <c r="R5823" s="13">
        <v>45970</v>
      </c>
      <c r="S5823">
        <v>2025</v>
      </c>
      <c r="T5823" s="12" t="s">
        <v>6884</v>
      </c>
      <c r="U5823">
        <v>193</v>
      </c>
      <c r="V5823">
        <v>40.900399999999998</v>
      </c>
      <c r="W5823">
        <v>165.69</v>
      </c>
      <c r="X5823">
        <v>0</v>
      </c>
      <c r="Y5823">
        <v>0</v>
      </c>
      <c r="Z5823">
        <v>7893.78</v>
      </c>
      <c r="AA5823">
        <v>8059.47</v>
      </c>
      <c r="AB5823" s="12" t="s">
        <v>6215</v>
      </c>
      <c r="AC5823">
        <v>40.900399999999998</v>
      </c>
      <c r="AD5823">
        <v>1</v>
      </c>
      <c r="AE5823">
        <v>1</v>
      </c>
      <c r="AF5823">
        <v>0</v>
      </c>
      <c r="AG5823">
        <v>7893.78</v>
      </c>
      <c r="AH5823">
        <v>193</v>
      </c>
      <c r="AI5823">
        <v>190</v>
      </c>
      <c r="AJ5823">
        <v>3</v>
      </c>
      <c r="AK5823">
        <v>1</v>
      </c>
      <c r="AL5823">
        <v>1</v>
      </c>
      <c r="AM5823">
        <v>98.45</v>
      </c>
      <c r="AN5823">
        <v>42.418199999999999</v>
      </c>
      <c r="AO5823">
        <v>122.7</v>
      </c>
      <c r="AP5823" s="13">
        <v>45974</v>
      </c>
      <c r="AQ5823">
        <v>4</v>
      </c>
      <c r="AR5823">
        <v>0</v>
      </c>
    </row>
    <row r="5824" spans="1:44" x14ac:dyDescent="0.35">
      <c r="A5824" s="12" t="s">
        <v>6934</v>
      </c>
      <c r="B5824" s="12" t="s">
        <v>1075</v>
      </c>
      <c r="C5824" s="12" t="s">
        <v>1076</v>
      </c>
      <c r="D5824" s="12" t="s">
        <v>103</v>
      </c>
      <c r="E5824" s="12" t="s">
        <v>65</v>
      </c>
      <c r="F5824">
        <v>2</v>
      </c>
      <c r="G5824">
        <v>4</v>
      </c>
      <c r="H5824">
        <v>0</v>
      </c>
      <c r="I5824" s="12" t="s">
        <v>183</v>
      </c>
      <c r="J5824" s="12" t="s">
        <v>184</v>
      </c>
      <c r="K5824" s="12" t="s">
        <v>133</v>
      </c>
      <c r="L5824" s="12" t="s">
        <v>82</v>
      </c>
      <c r="M5824">
        <v>8.6199999999999992</v>
      </c>
      <c r="N5824" s="12" t="s">
        <v>107</v>
      </c>
      <c r="O5824" s="12" t="s">
        <v>108</v>
      </c>
      <c r="P5824" s="12" t="s">
        <v>109</v>
      </c>
      <c r="Q5824" s="13">
        <v>45939</v>
      </c>
      <c r="R5824" s="13">
        <v>45974</v>
      </c>
      <c r="S5824">
        <v>2025</v>
      </c>
      <c r="T5824" s="12" t="s">
        <v>6884</v>
      </c>
      <c r="U5824">
        <v>120</v>
      </c>
      <c r="V5824">
        <v>73.722700000000003</v>
      </c>
      <c r="W5824">
        <v>114.26</v>
      </c>
      <c r="X5824">
        <v>0</v>
      </c>
      <c r="Y5824">
        <v>0</v>
      </c>
      <c r="Z5824">
        <v>8846.7199999999993</v>
      </c>
      <c r="AA5824">
        <v>8960.98</v>
      </c>
      <c r="AB5824" s="12" t="s">
        <v>201</v>
      </c>
      <c r="AD5824">
        <v>0</v>
      </c>
      <c r="AE5824">
        <v>0</v>
      </c>
      <c r="AH5824">
        <v>120</v>
      </c>
      <c r="AI5824">
        <v>119</v>
      </c>
      <c r="AJ5824">
        <v>1</v>
      </c>
      <c r="AK5824">
        <v>1</v>
      </c>
      <c r="AL5824">
        <v>1</v>
      </c>
      <c r="AM5824">
        <v>99.17</v>
      </c>
      <c r="AN5824">
        <v>75.302400000000006</v>
      </c>
      <c r="AO5824">
        <v>73.72</v>
      </c>
      <c r="AP5824" s="13">
        <v>45971</v>
      </c>
      <c r="AQ5824">
        <v>-3</v>
      </c>
      <c r="AR5824">
        <v>1</v>
      </c>
    </row>
    <row r="5825" spans="1:44" x14ac:dyDescent="0.35">
      <c r="A5825" s="12" t="s">
        <v>6935</v>
      </c>
      <c r="B5825" s="12" t="s">
        <v>990</v>
      </c>
      <c r="C5825" s="12" t="s">
        <v>991</v>
      </c>
      <c r="D5825" s="12" t="s">
        <v>122</v>
      </c>
      <c r="E5825" s="12" t="s">
        <v>142</v>
      </c>
      <c r="F5825">
        <v>1</v>
      </c>
      <c r="G5825">
        <v>6</v>
      </c>
      <c r="H5825">
        <v>1</v>
      </c>
      <c r="I5825" s="12" t="s">
        <v>217</v>
      </c>
      <c r="J5825" s="12" t="s">
        <v>218</v>
      </c>
      <c r="K5825" s="12" t="s">
        <v>68</v>
      </c>
      <c r="L5825" s="12" t="s">
        <v>82</v>
      </c>
      <c r="M5825">
        <v>14.24</v>
      </c>
      <c r="N5825" s="12" t="s">
        <v>97</v>
      </c>
      <c r="O5825" s="12" t="s">
        <v>98</v>
      </c>
      <c r="P5825" s="12" t="s">
        <v>72</v>
      </c>
      <c r="Q5825" s="13">
        <v>45939</v>
      </c>
      <c r="R5825" s="13">
        <v>45979</v>
      </c>
      <c r="S5825">
        <v>2025</v>
      </c>
      <c r="T5825" s="12" t="s">
        <v>6884</v>
      </c>
      <c r="U5825">
        <v>735</v>
      </c>
      <c r="V5825">
        <v>33.5533</v>
      </c>
      <c r="W5825">
        <v>435.31</v>
      </c>
      <c r="X5825">
        <v>0</v>
      </c>
      <c r="Y5825">
        <v>0</v>
      </c>
      <c r="Z5825">
        <v>24661.68</v>
      </c>
      <c r="AA5825">
        <v>25096.99</v>
      </c>
      <c r="AB5825" s="12" t="s">
        <v>5831</v>
      </c>
      <c r="AC5825">
        <v>33.5533</v>
      </c>
      <c r="AD5825">
        <v>1</v>
      </c>
      <c r="AE5825">
        <v>1</v>
      </c>
      <c r="AF5825">
        <v>0</v>
      </c>
      <c r="AG5825">
        <v>24661.68</v>
      </c>
      <c r="AH5825">
        <v>735</v>
      </c>
      <c r="AI5825">
        <v>727</v>
      </c>
      <c r="AJ5825">
        <v>8</v>
      </c>
      <c r="AK5825">
        <v>1</v>
      </c>
      <c r="AL5825">
        <v>1</v>
      </c>
      <c r="AM5825">
        <v>98.91</v>
      </c>
      <c r="AN5825">
        <v>34.521299999999997</v>
      </c>
      <c r="AO5825">
        <v>268.43</v>
      </c>
      <c r="AP5825" s="13">
        <v>45977</v>
      </c>
      <c r="AQ5825">
        <v>-2</v>
      </c>
      <c r="AR5825">
        <v>1</v>
      </c>
    </row>
    <row r="5826" spans="1:44" x14ac:dyDescent="0.35">
      <c r="A5826" s="12" t="s">
        <v>6936</v>
      </c>
      <c r="B5826" s="12" t="s">
        <v>454</v>
      </c>
      <c r="C5826" s="12" t="s">
        <v>455</v>
      </c>
      <c r="D5826" s="12" t="s">
        <v>122</v>
      </c>
      <c r="E5826" s="12" t="s">
        <v>104</v>
      </c>
      <c r="F5826">
        <v>3</v>
      </c>
      <c r="G5826">
        <v>1</v>
      </c>
      <c r="H5826">
        <v>0</v>
      </c>
      <c r="I5826" s="12" t="s">
        <v>243</v>
      </c>
      <c r="J5826" s="12" t="s">
        <v>244</v>
      </c>
      <c r="K5826" s="12" t="s">
        <v>81</v>
      </c>
      <c r="L5826" s="12" t="s">
        <v>82</v>
      </c>
      <c r="M5826">
        <v>9.2200000000000006</v>
      </c>
      <c r="N5826" s="12" t="s">
        <v>97</v>
      </c>
      <c r="O5826" s="12" t="s">
        <v>98</v>
      </c>
      <c r="P5826" s="12" t="s">
        <v>72</v>
      </c>
      <c r="Q5826" s="13">
        <v>45939</v>
      </c>
      <c r="R5826" s="13">
        <v>45956</v>
      </c>
      <c r="S5826">
        <v>2025</v>
      </c>
      <c r="T5826" s="12" t="s">
        <v>6884</v>
      </c>
      <c r="U5826">
        <v>721</v>
      </c>
      <c r="V5826">
        <v>21.268699999999999</v>
      </c>
      <c r="W5826">
        <v>221.92</v>
      </c>
      <c r="X5826">
        <v>0</v>
      </c>
      <c r="Y5826">
        <v>0</v>
      </c>
      <c r="Z5826">
        <v>15334.73</v>
      </c>
      <c r="AA5826">
        <v>15556.65</v>
      </c>
      <c r="AB5826" s="12" t="s">
        <v>201</v>
      </c>
      <c r="AD5826">
        <v>0</v>
      </c>
      <c r="AE5826">
        <v>0</v>
      </c>
      <c r="AH5826">
        <v>721</v>
      </c>
      <c r="AI5826">
        <v>713</v>
      </c>
      <c r="AJ5826">
        <v>8</v>
      </c>
      <c r="AK5826">
        <v>1</v>
      </c>
      <c r="AL5826">
        <v>1</v>
      </c>
      <c r="AM5826">
        <v>98.89</v>
      </c>
      <c r="AN5826">
        <v>21.8186</v>
      </c>
      <c r="AO5826">
        <v>170.15</v>
      </c>
      <c r="AP5826" s="13">
        <v>45955</v>
      </c>
      <c r="AQ5826">
        <v>-1</v>
      </c>
      <c r="AR5826">
        <v>1</v>
      </c>
    </row>
    <row r="5827" spans="1:44" x14ac:dyDescent="0.35">
      <c r="A5827" s="12" t="s">
        <v>6937</v>
      </c>
      <c r="B5827" s="12" t="s">
        <v>609</v>
      </c>
      <c r="C5827" s="12" t="s">
        <v>610</v>
      </c>
      <c r="D5827" s="12" t="s">
        <v>64</v>
      </c>
      <c r="E5827" s="12" t="s">
        <v>104</v>
      </c>
      <c r="F5827">
        <v>1</v>
      </c>
      <c r="G5827">
        <v>0</v>
      </c>
      <c r="H5827">
        <v>1</v>
      </c>
      <c r="I5827" s="12" t="s">
        <v>227</v>
      </c>
      <c r="J5827" s="12" t="s">
        <v>228</v>
      </c>
      <c r="K5827" s="12" t="s">
        <v>89</v>
      </c>
      <c r="L5827" s="12" t="s">
        <v>96</v>
      </c>
      <c r="M5827">
        <v>9.15</v>
      </c>
      <c r="N5827" s="12" t="s">
        <v>70</v>
      </c>
      <c r="O5827" s="12" t="s">
        <v>71</v>
      </c>
      <c r="P5827" s="12" t="s">
        <v>72</v>
      </c>
      <c r="Q5827" s="13">
        <v>45940</v>
      </c>
      <c r="R5827" s="13">
        <v>45961</v>
      </c>
      <c r="S5827">
        <v>2025</v>
      </c>
      <c r="T5827" s="12" t="s">
        <v>6884</v>
      </c>
      <c r="U5827">
        <v>571</v>
      </c>
      <c r="V5827">
        <v>20.683900000000001</v>
      </c>
      <c r="W5827">
        <v>106.77</v>
      </c>
      <c r="X5827">
        <v>0</v>
      </c>
      <c r="Y5827">
        <v>0</v>
      </c>
      <c r="Z5827">
        <v>11810.51</v>
      </c>
      <c r="AA5827">
        <v>11917.28</v>
      </c>
      <c r="AB5827" s="12" t="s">
        <v>5573</v>
      </c>
      <c r="AC5827">
        <v>20.683900000000001</v>
      </c>
      <c r="AD5827">
        <v>1</v>
      </c>
      <c r="AE5827">
        <v>1</v>
      </c>
      <c r="AF5827">
        <v>0</v>
      </c>
      <c r="AG5827">
        <v>11810.51</v>
      </c>
      <c r="AH5827">
        <v>571</v>
      </c>
      <c r="AI5827">
        <v>568</v>
      </c>
      <c r="AJ5827">
        <v>3</v>
      </c>
      <c r="AK5827">
        <v>1</v>
      </c>
      <c r="AL5827">
        <v>1</v>
      </c>
      <c r="AM5827">
        <v>99.47</v>
      </c>
      <c r="AN5827">
        <v>20.981100000000001</v>
      </c>
      <c r="AO5827">
        <v>62.05</v>
      </c>
      <c r="AP5827" s="13">
        <v>45961</v>
      </c>
      <c r="AQ5827">
        <v>0</v>
      </c>
      <c r="AR5827">
        <v>1</v>
      </c>
    </row>
    <row r="5828" spans="1:44" x14ac:dyDescent="0.35">
      <c r="A5828" s="12" t="s">
        <v>6938</v>
      </c>
      <c r="B5828" s="12" t="s">
        <v>555</v>
      </c>
      <c r="C5828" s="12" t="s">
        <v>556</v>
      </c>
      <c r="D5828" s="12" t="s">
        <v>114</v>
      </c>
      <c r="E5828" s="12" t="s">
        <v>142</v>
      </c>
      <c r="F5828">
        <v>1</v>
      </c>
      <c r="G5828">
        <v>6</v>
      </c>
      <c r="H5828">
        <v>1</v>
      </c>
      <c r="I5828" s="12" t="s">
        <v>151</v>
      </c>
      <c r="J5828" s="12" t="s">
        <v>152</v>
      </c>
      <c r="K5828" s="12" t="s">
        <v>125</v>
      </c>
      <c r="L5828" s="12" t="s">
        <v>69</v>
      </c>
      <c r="M5828">
        <v>36.479999999999997</v>
      </c>
      <c r="N5828" s="12" t="s">
        <v>70</v>
      </c>
      <c r="O5828" s="12" t="s">
        <v>71</v>
      </c>
      <c r="P5828" s="12" t="s">
        <v>72</v>
      </c>
      <c r="Q5828" s="13">
        <v>45940</v>
      </c>
      <c r="R5828" s="13">
        <v>45981</v>
      </c>
      <c r="S5828">
        <v>2025</v>
      </c>
      <c r="T5828" s="12" t="s">
        <v>6884</v>
      </c>
      <c r="U5828">
        <v>61</v>
      </c>
      <c r="V5828">
        <v>250.9366</v>
      </c>
      <c r="W5828">
        <v>175.32</v>
      </c>
      <c r="X5828">
        <v>0</v>
      </c>
      <c r="Y5828">
        <v>0</v>
      </c>
      <c r="Z5828">
        <v>15307.13</v>
      </c>
      <c r="AA5828">
        <v>15482.45</v>
      </c>
      <c r="AB5828" s="12" t="s">
        <v>6121</v>
      </c>
      <c r="AC5828">
        <v>266.68439999999998</v>
      </c>
      <c r="AD5828">
        <v>1</v>
      </c>
      <c r="AE5828">
        <v>1</v>
      </c>
      <c r="AF5828">
        <v>-960.62</v>
      </c>
      <c r="AG5828">
        <v>16267.75</v>
      </c>
      <c r="AH5828">
        <v>61</v>
      </c>
      <c r="AI5828">
        <v>60</v>
      </c>
      <c r="AJ5828">
        <v>1</v>
      </c>
      <c r="AK5828">
        <v>1</v>
      </c>
      <c r="AL5828">
        <v>1</v>
      </c>
      <c r="AM5828">
        <v>98.36</v>
      </c>
      <c r="AN5828">
        <v>258.04090000000002</v>
      </c>
      <c r="AO5828">
        <v>250.94</v>
      </c>
      <c r="AP5828" s="13">
        <v>45979</v>
      </c>
      <c r="AQ5828">
        <v>-2</v>
      </c>
      <c r="AR5828">
        <v>1</v>
      </c>
    </row>
    <row r="5829" spans="1:44" x14ac:dyDescent="0.35">
      <c r="A5829" s="12" t="s">
        <v>6939</v>
      </c>
      <c r="B5829" s="12" t="s">
        <v>569</v>
      </c>
      <c r="C5829" s="12" t="s">
        <v>570</v>
      </c>
      <c r="D5829" s="12" t="s">
        <v>114</v>
      </c>
      <c r="E5829" s="12" t="s">
        <v>142</v>
      </c>
      <c r="F5829">
        <v>1</v>
      </c>
      <c r="G5829">
        <v>6</v>
      </c>
      <c r="H5829">
        <v>1</v>
      </c>
      <c r="I5829" s="12" t="s">
        <v>123</v>
      </c>
      <c r="J5829" s="12" t="s">
        <v>124</v>
      </c>
      <c r="K5829" s="12" t="s">
        <v>125</v>
      </c>
      <c r="L5829" s="12" t="s">
        <v>82</v>
      </c>
      <c r="M5829">
        <v>6.75</v>
      </c>
      <c r="N5829" s="12" t="s">
        <v>70</v>
      </c>
      <c r="O5829" s="12" t="s">
        <v>71</v>
      </c>
      <c r="P5829" s="12" t="s">
        <v>72</v>
      </c>
      <c r="Q5829" s="13">
        <v>45940</v>
      </c>
      <c r="R5829" s="13">
        <v>45987</v>
      </c>
      <c r="S5829">
        <v>2025</v>
      </c>
      <c r="T5829" s="12" t="s">
        <v>6884</v>
      </c>
      <c r="U5829">
        <v>107</v>
      </c>
      <c r="V5829">
        <v>348.21159999999998</v>
      </c>
      <c r="W5829">
        <v>295.79000000000002</v>
      </c>
      <c r="X5829">
        <v>0</v>
      </c>
      <c r="Y5829">
        <v>0</v>
      </c>
      <c r="Z5829">
        <v>37258.639999999999</v>
      </c>
      <c r="AA5829">
        <v>37554.43</v>
      </c>
      <c r="AB5829" s="12" t="s">
        <v>5817</v>
      </c>
      <c r="AC5829">
        <v>348.21159999999998</v>
      </c>
      <c r="AD5829">
        <v>1</v>
      </c>
      <c r="AE5829">
        <v>1</v>
      </c>
      <c r="AF5829">
        <v>0</v>
      </c>
      <c r="AG5829">
        <v>37258.639999999999</v>
      </c>
      <c r="AH5829">
        <v>107</v>
      </c>
      <c r="AI5829">
        <v>106</v>
      </c>
      <c r="AJ5829">
        <v>1</v>
      </c>
      <c r="AK5829">
        <v>1</v>
      </c>
      <c r="AL5829">
        <v>1</v>
      </c>
      <c r="AM5829">
        <v>99.07</v>
      </c>
      <c r="AN5829">
        <v>354.28710000000001</v>
      </c>
      <c r="AO5829">
        <v>348.21</v>
      </c>
      <c r="AP5829" s="13">
        <v>45984</v>
      </c>
      <c r="AQ5829">
        <v>-3</v>
      </c>
      <c r="AR5829">
        <v>1</v>
      </c>
    </row>
    <row r="5830" spans="1:44" x14ac:dyDescent="0.35">
      <c r="A5830" s="12" t="s">
        <v>6940</v>
      </c>
      <c r="B5830" s="12" t="s">
        <v>437</v>
      </c>
      <c r="C5830" s="12" t="s">
        <v>438</v>
      </c>
      <c r="D5830" s="12" t="s">
        <v>269</v>
      </c>
      <c r="E5830" s="12" t="s">
        <v>65</v>
      </c>
      <c r="F5830">
        <v>2</v>
      </c>
      <c r="G5830">
        <v>4</v>
      </c>
      <c r="H5830">
        <v>0</v>
      </c>
      <c r="I5830" s="12" t="s">
        <v>115</v>
      </c>
      <c r="J5830" s="12" t="s">
        <v>116</v>
      </c>
      <c r="K5830" s="12" t="s">
        <v>117</v>
      </c>
      <c r="L5830" s="12" t="s">
        <v>82</v>
      </c>
      <c r="M5830">
        <v>17.170000000000002</v>
      </c>
      <c r="N5830" s="12" t="s">
        <v>135</v>
      </c>
      <c r="O5830" s="12" t="s">
        <v>136</v>
      </c>
      <c r="P5830" s="12" t="s">
        <v>137</v>
      </c>
      <c r="Q5830" s="13">
        <v>45943</v>
      </c>
      <c r="R5830" s="13">
        <v>45979</v>
      </c>
      <c r="S5830">
        <v>2025</v>
      </c>
      <c r="T5830" s="12" t="s">
        <v>6884</v>
      </c>
      <c r="U5830">
        <v>133</v>
      </c>
      <c r="V5830">
        <v>409.1377</v>
      </c>
      <c r="W5830">
        <v>455.68</v>
      </c>
      <c r="X5830">
        <v>0</v>
      </c>
      <c r="Y5830">
        <v>0</v>
      </c>
      <c r="Z5830">
        <v>54415.31</v>
      </c>
      <c r="AA5830">
        <v>54870.99</v>
      </c>
      <c r="AB5830" s="12" t="s">
        <v>5505</v>
      </c>
      <c r="AC5830">
        <v>409.1377</v>
      </c>
      <c r="AD5830">
        <v>1</v>
      </c>
      <c r="AE5830">
        <v>1</v>
      </c>
      <c r="AF5830">
        <v>0</v>
      </c>
      <c r="AG5830">
        <v>54415.31</v>
      </c>
      <c r="AH5830">
        <v>133</v>
      </c>
      <c r="AI5830">
        <v>131</v>
      </c>
      <c r="AJ5830">
        <v>2</v>
      </c>
      <c r="AK5830">
        <v>1</v>
      </c>
      <c r="AL5830">
        <v>1</v>
      </c>
      <c r="AM5830">
        <v>98.5</v>
      </c>
      <c r="AN5830">
        <v>418.86259999999999</v>
      </c>
      <c r="AO5830">
        <v>818.28</v>
      </c>
      <c r="AP5830" s="13">
        <v>45976</v>
      </c>
      <c r="AQ5830">
        <v>-3</v>
      </c>
      <c r="AR5830">
        <v>1</v>
      </c>
    </row>
    <row r="5831" spans="1:44" x14ac:dyDescent="0.35">
      <c r="A5831" s="12" t="s">
        <v>6941</v>
      </c>
      <c r="B5831" s="12" t="s">
        <v>843</v>
      </c>
      <c r="C5831" s="12" t="s">
        <v>844</v>
      </c>
      <c r="D5831" s="12" t="s">
        <v>175</v>
      </c>
      <c r="E5831" s="12" t="s">
        <v>65</v>
      </c>
      <c r="F5831">
        <v>3</v>
      </c>
      <c r="G5831">
        <v>5</v>
      </c>
      <c r="H5831">
        <v>0</v>
      </c>
      <c r="I5831" s="12" t="s">
        <v>359</v>
      </c>
      <c r="J5831" s="12" t="s">
        <v>360</v>
      </c>
      <c r="K5831" s="12" t="s">
        <v>133</v>
      </c>
      <c r="L5831" s="12" t="s">
        <v>82</v>
      </c>
      <c r="M5831">
        <v>12.65</v>
      </c>
      <c r="N5831" s="12" t="s">
        <v>107</v>
      </c>
      <c r="O5831" s="12" t="s">
        <v>108</v>
      </c>
      <c r="P5831" s="12" t="s">
        <v>109</v>
      </c>
      <c r="Q5831" s="13">
        <v>45943</v>
      </c>
      <c r="R5831" s="13">
        <v>45975</v>
      </c>
      <c r="S5831">
        <v>2025</v>
      </c>
      <c r="T5831" s="12" t="s">
        <v>6884</v>
      </c>
      <c r="U5831">
        <v>97</v>
      </c>
      <c r="V5831">
        <v>237.4212</v>
      </c>
      <c r="W5831">
        <v>297.43</v>
      </c>
      <c r="X5831">
        <v>0</v>
      </c>
      <c r="Y5831">
        <v>0</v>
      </c>
      <c r="Z5831">
        <v>23029.86</v>
      </c>
      <c r="AA5831">
        <v>23327.29</v>
      </c>
      <c r="AB5831" s="12" t="s">
        <v>6075</v>
      </c>
      <c r="AC5831">
        <v>237.4212</v>
      </c>
      <c r="AD5831">
        <v>1</v>
      </c>
      <c r="AE5831">
        <v>1</v>
      </c>
      <c r="AF5831">
        <v>0</v>
      </c>
      <c r="AG5831">
        <v>23029.86</v>
      </c>
      <c r="AH5831">
        <v>97</v>
      </c>
      <c r="AI5831">
        <v>95</v>
      </c>
      <c r="AJ5831">
        <v>2</v>
      </c>
      <c r="AK5831">
        <v>1</v>
      </c>
      <c r="AL5831">
        <v>1</v>
      </c>
      <c r="AM5831">
        <v>97.94</v>
      </c>
      <c r="AN5831">
        <v>245.5504</v>
      </c>
      <c r="AO5831">
        <v>474.84</v>
      </c>
      <c r="AP5831" s="13">
        <v>45975</v>
      </c>
      <c r="AQ5831">
        <v>0</v>
      </c>
      <c r="AR5831">
        <v>1</v>
      </c>
    </row>
    <row r="5832" spans="1:44" x14ac:dyDescent="0.35">
      <c r="A5832" s="12" t="s">
        <v>6942</v>
      </c>
      <c r="B5832" s="12" t="s">
        <v>513</v>
      </c>
      <c r="C5832" s="12" t="s">
        <v>514</v>
      </c>
      <c r="D5832" s="12" t="s">
        <v>269</v>
      </c>
      <c r="E5832" s="12" t="s">
        <v>65</v>
      </c>
      <c r="F5832">
        <v>1</v>
      </c>
      <c r="G5832">
        <v>2</v>
      </c>
      <c r="H5832">
        <v>1</v>
      </c>
      <c r="I5832" s="12" t="s">
        <v>515</v>
      </c>
      <c r="J5832" s="12" t="s">
        <v>516</v>
      </c>
      <c r="K5832" s="12" t="s">
        <v>68</v>
      </c>
      <c r="L5832" s="12" t="s">
        <v>134</v>
      </c>
      <c r="M5832">
        <v>3.69</v>
      </c>
      <c r="N5832" s="12" t="s">
        <v>135</v>
      </c>
      <c r="O5832" s="12" t="s">
        <v>136</v>
      </c>
      <c r="P5832" s="12" t="s">
        <v>137</v>
      </c>
      <c r="Q5832" s="13">
        <v>45943</v>
      </c>
      <c r="R5832" s="13">
        <v>45971</v>
      </c>
      <c r="S5832">
        <v>2025</v>
      </c>
      <c r="T5832" s="12" t="s">
        <v>6884</v>
      </c>
      <c r="U5832">
        <v>67</v>
      </c>
      <c r="V5832">
        <v>197.49959999999999</v>
      </c>
      <c r="W5832">
        <v>311.20999999999998</v>
      </c>
      <c r="X5832">
        <v>0</v>
      </c>
      <c r="Y5832">
        <v>0</v>
      </c>
      <c r="Z5832">
        <v>13232.47</v>
      </c>
      <c r="AA5832">
        <v>13543.68</v>
      </c>
      <c r="AB5832" s="12" t="s">
        <v>201</v>
      </c>
      <c r="AD5832">
        <v>0</v>
      </c>
      <c r="AE5832">
        <v>0</v>
      </c>
      <c r="AH5832">
        <v>67</v>
      </c>
      <c r="AI5832">
        <v>66</v>
      </c>
      <c r="AJ5832">
        <v>1</v>
      </c>
      <c r="AK5832">
        <v>1</v>
      </c>
      <c r="AL5832">
        <v>1</v>
      </c>
      <c r="AM5832">
        <v>98.51</v>
      </c>
      <c r="AN5832">
        <v>205.2073</v>
      </c>
      <c r="AO5832">
        <v>197.5</v>
      </c>
      <c r="AP5832" s="13">
        <v>45969</v>
      </c>
      <c r="AQ5832">
        <v>-2</v>
      </c>
      <c r="AR5832">
        <v>1</v>
      </c>
    </row>
    <row r="5833" spans="1:44" x14ac:dyDescent="0.35">
      <c r="A5833" s="12" t="s">
        <v>6943</v>
      </c>
      <c r="B5833" s="12" t="s">
        <v>378</v>
      </c>
      <c r="C5833" s="12" t="s">
        <v>379</v>
      </c>
      <c r="D5833" s="12" t="s">
        <v>64</v>
      </c>
      <c r="E5833" s="12" t="s">
        <v>104</v>
      </c>
      <c r="F5833">
        <v>3</v>
      </c>
      <c r="G5833">
        <v>1</v>
      </c>
      <c r="H5833">
        <v>0</v>
      </c>
      <c r="I5833" s="12" t="s">
        <v>380</v>
      </c>
      <c r="J5833" s="12" t="s">
        <v>381</v>
      </c>
      <c r="K5833" s="12" t="s">
        <v>89</v>
      </c>
      <c r="L5833" s="12" t="s">
        <v>96</v>
      </c>
      <c r="M5833">
        <v>10.210000000000001</v>
      </c>
      <c r="N5833" s="12" t="s">
        <v>97</v>
      </c>
      <c r="O5833" s="12" t="s">
        <v>98</v>
      </c>
      <c r="P5833" s="12" t="s">
        <v>72</v>
      </c>
      <c r="Q5833" s="13">
        <v>45943</v>
      </c>
      <c r="R5833" s="13">
        <v>45967</v>
      </c>
      <c r="S5833">
        <v>2025</v>
      </c>
      <c r="T5833" s="12" t="s">
        <v>6884</v>
      </c>
      <c r="U5833">
        <v>742</v>
      </c>
      <c r="V5833">
        <v>15.3193</v>
      </c>
      <c r="W5833">
        <v>200.35</v>
      </c>
      <c r="X5833">
        <v>0</v>
      </c>
      <c r="Y5833">
        <v>0</v>
      </c>
      <c r="Z5833">
        <v>11366.92</v>
      </c>
      <c r="AA5833">
        <v>11567.27</v>
      </c>
      <c r="AB5833" s="12" t="s">
        <v>5544</v>
      </c>
      <c r="AC5833">
        <v>15.3193</v>
      </c>
      <c r="AD5833">
        <v>1</v>
      </c>
      <c r="AE5833">
        <v>1</v>
      </c>
      <c r="AF5833">
        <v>0</v>
      </c>
      <c r="AG5833">
        <v>11366.92</v>
      </c>
      <c r="AH5833">
        <v>742</v>
      </c>
      <c r="AI5833">
        <v>732</v>
      </c>
      <c r="AJ5833">
        <v>10</v>
      </c>
      <c r="AK5833">
        <v>1</v>
      </c>
      <c r="AL5833">
        <v>1</v>
      </c>
      <c r="AM5833">
        <v>98.65</v>
      </c>
      <c r="AN5833">
        <v>15.802300000000001</v>
      </c>
      <c r="AO5833">
        <v>153.19</v>
      </c>
      <c r="AP5833" s="13">
        <v>45965</v>
      </c>
      <c r="AQ5833">
        <v>-2</v>
      </c>
      <c r="AR5833">
        <v>1</v>
      </c>
    </row>
    <row r="5834" spans="1:44" x14ac:dyDescent="0.35">
      <c r="A5834" s="12" t="s">
        <v>6944</v>
      </c>
      <c r="B5834" s="12" t="s">
        <v>855</v>
      </c>
      <c r="C5834" s="12" t="s">
        <v>856</v>
      </c>
      <c r="D5834" s="12" t="s">
        <v>269</v>
      </c>
      <c r="E5834" s="12" t="s">
        <v>65</v>
      </c>
      <c r="F5834">
        <v>3</v>
      </c>
      <c r="G5834">
        <v>5</v>
      </c>
      <c r="H5834">
        <v>0</v>
      </c>
      <c r="I5834" s="12" t="s">
        <v>94</v>
      </c>
      <c r="J5834" s="12" t="s">
        <v>95</v>
      </c>
      <c r="K5834" s="12" t="s">
        <v>81</v>
      </c>
      <c r="L5834" s="12" t="s">
        <v>96</v>
      </c>
      <c r="M5834">
        <v>4.8099999999999996</v>
      </c>
      <c r="N5834" s="12" t="s">
        <v>135</v>
      </c>
      <c r="O5834" s="12" t="s">
        <v>136</v>
      </c>
      <c r="P5834" s="12" t="s">
        <v>137</v>
      </c>
      <c r="Q5834" s="13">
        <v>45943</v>
      </c>
      <c r="R5834" s="13">
        <v>45979</v>
      </c>
      <c r="S5834">
        <v>2025</v>
      </c>
      <c r="T5834" s="12" t="s">
        <v>6884</v>
      </c>
      <c r="U5834">
        <v>130</v>
      </c>
      <c r="V5834">
        <v>466.4701</v>
      </c>
      <c r="W5834">
        <v>1137.79</v>
      </c>
      <c r="X5834">
        <v>0</v>
      </c>
      <c r="Y5834">
        <v>0</v>
      </c>
      <c r="Z5834">
        <v>60641.11</v>
      </c>
      <c r="AA5834">
        <v>61778.9</v>
      </c>
      <c r="AB5834" s="12" t="s">
        <v>5774</v>
      </c>
      <c r="AC5834">
        <v>466.4701</v>
      </c>
      <c r="AD5834">
        <v>1</v>
      </c>
      <c r="AE5834">
        <v>1</v>
      </c>
      <c r="AF5834">
        <v>0</v>
      </c>
      <c r="AG5834">
        <v>60641.11</v>
      </c>
      <c r="AH5834">
        <v>130</v>
      </c>
      <c r="AI5834">
        <v>129</v>
      </c>
      <c r="AJ5834">
        <v>1</v>
      </c>
      <c r="AK5834">
        <v>1</v>
      </c>
      <c r="AL5834">
        <v>1</v>
      </c>
      <c r="AM5834">
        <v>99.23</v>
      </c>
      <c r="AN5834">
        <v>478.90620000000001</v>
      </c>
      <c r="AO5834">
        <v>466.47</v>
      </c>
      <c r="AP5834" s="13">
        <v>45979</v>
      </c>
      <c r="AQ5834">
        <v>0</v>
      </c>
      <c r="AR5834">
        <v>1</v>
      </c>
    </row>
    <row r="5835" spans="1:44" x14ac:dyDescent="0.35">
      <c r="A5835" s="12" t="s">
        <v>6945</v>
      </c>
      <c r="B5835" s="12" t="s">
        <v>1013</v>
      </c>
      <c r="C5835" s="12" t="s">
        <v>1014</v>
      </c>
      <c r="D5835" s="12" t="s">
        <v>78</v>
      </c>
      <c r="E5835" s="12" t="s">
        <v>65</v>
      </c>
      <c r="F5835">
        <v>2</v>
      </c>
      <c r="G5835">
        <v>3</v>
      </c>
      <c r="H5835">
        <v>0</v>
      </c>
      <c r="I5835" s="12" t="s">
        <v>123</v>
      </c>
      <c r="J5835" s="12" t="s">
        <v>124</v>
      </c>
      <c r="K5835" s="12" t="s">
        <v>125</v>
      </c>
      <c r="L5835" s="12" t="s">
        <v>82</v>
      </c>
      <c r="M5835">
        <v>6.75</v>
      </c>
      <c r="N5835" s="12" t="s">
        <v>70</v>
      </c>
      <c r="O5835" s="12" t="s">
        <v>71</v>
      </c>
      <c r="P5835" s="12" t="s">
        <v>72</v>
      </c>
      <c r="Q5835" s="13">
        <v>45943</v>
      </c>
      <c r="R5835" s="13">
        <v>45972</v>
      </c>
      <c r="S5835">
        <v>2025</v>
      </c>
      <c r="T5835" s="12" t="s">
        <v>6884</v>
      </c>
      <c r="U5835">
        <v>160</v>
      </c>
      <c r="V5835">
        <v>124.94710000000001</v>
      </c>
      <c r="W5835">
        <v>488.7</v>
      </c>
      <c r="X5835">
        <v>0</v>
      </c>
      <c r="Y5835">
        <v>0</v>
      </c>
      <c r="Z5835">
        <v>19991.54</v>
      </c>
      <c r="AA5835">
        <v>20480.240000000002</v>
      </c>
      <c r="AB5835" s="12" t="s">
        <v>6350</v>
      </c>
      <c r="AC5835">
        <v>124.94710000000001</v>
      </c>
      <c r="AD5835">
        <v>1</v>
      </c>
      <c r="AE5835">
        <v>1</v>
      </c>
      <c r="AF5835">
        <v>0</v>
      </c>
      <c r="AG5835">
        <v>19991.54</v>
      </c>
      <c r="AH5835">
        <v>160</v>
      </c>
      <c r="AI5835">
        <v>158</v>
      </c>
      <c r="AJ5835">
        <v>2</v>
      </c>
      <c r="AK5835">
        <v>1</v>
      </c>
      <c r="AL5835">
        <v>1</v>
      </c>
      <c r="AM5835">
        <v>98.75</v>
      </c>
      <c r="AN5835">
        <v>129.6217</v>
      </c>
      <c r="AO5835">
        <v>249.89</v>
      </c>
      <c r="AP5835" s="13">
        <v>45978</v>
      </c>
      <c r="AQ5835">
        <v>6</v>
      </c>
      <c r="AR5835">
        <v>0</v>
      </c>
    </row>
    <row r="5836" spans="1:44" x14ac:dyDescent="0.35">
      <c r="A5836" s="12" t="s">
        <v>6946</v>
      </c>
      <c r="B5836" s="12" t="s">
        <v>261</v>
      </c>
      <c r="C5836" s="12" t="s">
        <v>262</v>
      </c>
      <c r="D5836" s="12" t="s">
        <v>114</v>
      </c>
      <c r="E5836" s="12" t="s">
        <v>142</v>
      </c>
      <c r="F5836">
        <v>1</v>
      </c>
      <c r="G5836">
        <v>8</v>
      </c>
      <c r="H5836">
        <v>1</v>
      </c>
      <c r="I5836" s="12" t="s">
        <v>263</v>
      </c>
      <c r="J5836" s="12" t="s">
        <v>264</v>
      </c>
      <c r="K5836" s="12" t="s">
        <v>125</v>
      </c>
      <c r="L5836" s="12" t="s">
        <v>82</v>
      </c>
      <c r="M5836">
        <v>10.210000000000001</v>
      </c>
      <c r="N5836" s="12" t="s">
        <v>70</v>
      </c>
      <c r="O5836" s="12" t="s">
        <v>71</v>
      </c>
      <c r="P5836" s="12" t="s">
        <v>72</v>
      </c>
      <c r="Q5836" s="13">
        <v>45944</v>
      </c>
      <c r="R5836" s="13">
        <v>45983</v>
      </c>
      <c r="S5836">
        <v>2025</v>
      </c>
      <c r="T5836" s="12" t="s">
        <v>6884</v>
      </c>
      <c r="U5836">
        <v>45</v>
      </c>
      <c r="V5836">
        <v>155.77619999999999</v>
      </c>
      <c r="W5836">
        <v>99.77</v>
      </c>
      <c r="X5836">
        <v>0</v>
      </c>
      <c r="Y5836">
        <v>0</v>
      </c>
      <c r="Z5836">
        <v>7009.93</v>
      </c>
      <c r="AA5836">
        <v>7109.7</v>
      </c>
      <c r="AB5836" s="12" t="s">
        <v>201</v>
      </c>
      <c r="AD5836">
        <v>0</v>
      </c>
      <c r="AE5836">
        <v>0</v>
      </c>
      <c r="AH5836">
        <v>45</v>
      </c>
      <c r="AI5836">
        <v>44</v>
      </c>
      <c r="AJ5836">
        <v>1</v>
      </c>
      <c r="AK5836">
        <v>1</v>
      </c>
      <c r="AL5836">
        <v>1</v>
      </c>
      <c r="AM5836">
        <v>97.78</v>
      </c>
      <c r="AN5836">
        <v>161.58410000000001</v>
      </c>
      <c r="AO5836">
        <v>155.78</v>
      </c>
      <c r="AP5836" s="13">
        <v>45991</v>
      </c>
      <c r="AQ5836">
        <v>8</v>
      </c>
      <c r="AR5836">
        <v>0</v>
      </c>
    </row>
    <row r="5837" spans="1:44" x14ac:dyDescent="0.35">
      <c r="A5837" s="12" t="s">
        <v>6947</v>
      </c>
      <c r="B5837" s="12" t="s">
        <v>569</v>
      </c>
      <c r="C5837" s="12" t="s">
        <v>570</v>
      </c>
      <c r="D5837" s="12" t="s">
        <v>114</v>
      </c>
      <c r="E5837" s="12" t="s">
        <v>142</v>
      </c>
      <c r="F5837">
        <v>1</v>
      </c>
      <c r="G5837">
        <v>6</v>
      </c>
      <c r="H5837">
        <v>1</v>
      </c>
      <c r="I5837" s="12" t="s">
        <v>123</v>
      </c>
      <c r="J5837" s="12" t="s">
        <v>124</v>
      </c>
      <c r="K5837" s="12" t="s">
        <v>125</v>
      </c>
      <c r="L5837" s="12" t="s">
        <v>82</v>
      </c>
      <c r="M5837">
        <v>6.75</v>
      </c>
      <c r="N5837" s="12" t="s">
        <v>97</v>
      </c>
      <c r="O5837" s="12" t="s">
        <v>98</v>
      </c>
      <c r="P5837" s="12" t="s">
        <v>72</v>
      </c>
      <c r="Q5837" s="13">
        <v>45944</v>
      </c>
      <c r="R5837" s="13">
        <v>45989</v>
      </c>
      <c r="S5837">
        <v>2025</v>
      </c>
      <c r="T5837" s="12" t="s">
        <v>6884</v>
      </c>
      <c r="U5837">
        <v>92</v>
      </c>
      <c r="V5837">
        <v>348.21159999999998</v>
      </c>
      <c r="W5837">
        <v>265.48</v>
      </c>
      <c r="X5837">
        <v>0</v>
      </c>
      <c r="Y5837">
        <v>0</v>
      </c>
      <c r="Z5837">
        <v>32035.47</v>
      </c>
      <c r="AA5837">
        <v>32300.95</v>
      </c>
      <c r="AB5837" s="12" t="s">
        <v>5817</v>
      </c>
      <c r="AC5837">
        <v>348.21159999999998</v>
      </c>
      <c r="AD5837">
        <v>1</v>
      </c>
      <c r="AE5837">
        <v>1</v>
      </c>
      <c r="AF5837">
        <v>0</v>
      </c>
      <c r="AG5837">
        <v>32035.47</v>
      </c>
      <c r="AH5837">
        <v>92</v>
      </c>
      <c r="AI5837">
        <v>91</v>
      </c>
      <c r="AJ5837">
        <v>1</v>
      </c>
      <c r="AK5837">
        <v>1</v>
      </c>
      <c r="AL5837">
        <v>1</v>
      </c>
      <c r="AM5837">
        <v>98.91</v>
      </c>
      <c r="AN5837">
        <v>354.95549999999997</v>
      </c>
      <c r="AO5837">
        <v>348.21</v>
      </c>
      <c r="AP5837" s="13">
        <v>45989</v>
      </c>
      <c r="AQ5837">
        <v>0</v>
      </c>
      <c r="AR5837">
        <v>1</v>
      </c>
    </row>
    <row r="5838" spans="1:44" x14ac:dyDescent="0.35">
      <c r="A5838" s="12" t="s">
        <v>6948</v>
      </c>
      <c r="B5838" s="12" t="s">
        <v>827</v>
      </c>
      <c r="C5838" s="12" t="s">
        <v>828</v>
      </c>
      <c r="D5838" s="12" t="s">
        <v>175</v>
      </c>
      <c r="E5838" s="12" t="s">
        <v>104</v>
      </c>
      <c r="F5838">
        <v>2</v>
      </c>
      <c r="G5838">
        <v>0</v>
      </c>
      <c r="H5838">
        <v>0</v>
      </c>
      <c r="I5838" s="12" t="s">
        <v>310</v>
      </c>
      <c r="J5838" s="12" t="s">
        <v>311</v>
      </c>
      <c r="K5838" s="12" t="s">
        <v>81</v>
      </c>
      <c r="L5838" s="12" t="s">
        <v>69</v>
      </c>
      <c r="M5838">
        <v>28.3</v>
      </c>
      <c r="N5838" s="12" t="s">
        <v>145</v>
      </c>
      <c r="O5838" s="12" t="s">
        <v>146</v>
      </c>
      <c r="P5838" s="12" t="s">
        <v>109</v>
      </c>
      <c r="Q5838" s="13">
        <v>45944</v>
      </c>
      <c r="R5838" s="13">
        <v>45963</v>
      </c>
      <c r="S5838">
        <v>2025</v>
      </c>
      <c r="T5838" s="12" t="s">
        <v>6884</v>
      </c>
      <c r="U5838">
        <v>67</v>
      </c>
      <c r="V5838">
        <v>102.1298</v>
      </c>
      <c r="W5838">
        <v>141.28</v>
      </c>
      <c r="X5838">
        <v>209.34</v>
      </c>
      <c r="Y5838">
        <v>1</v>
      </c>
      <c r="Z5838">
        <v>6842.7</v>
      </c>
      <c r="AA5838">
        <v>7193.32</v>
      </c>
      <c r="AB5838" s="12" t="s">
        <v>6949</v>
      </c>
      <c r="AC5838">
        <v>102.1298</v>
      </c>
      <c r="AD5838">
        <v>1</v>
      </c>
      <c r="AE5838">
        <v>1</v>
      </c>
      <c r="AF5838">
        <v>0</v>
      </c>
      <c r="AG5838">
        <v>6842.7</v>
      </c>
      <c r="AH5838">
        <v>67</v>
      </c>
      <c r="AI5838">
        <v>66</v>
      </c>
      <c r="AJ5838">
        <v>1</v>
      </c>
      <c r="AK5838">
        <v>1</v>
      </c>
      <c r="AL5838">
        <v>1</v>
      </c>
      <c r="AM5838">
        <v>98.51</v>
      </c>
      <c r="AN5838">
        <v>108.9896</v>
      </c>
      <c r="AO5838">
        <v>102.13</v>
      </c>
      <c r="AP5838" s="13">
        <v>45963</v>
      </c>
      <c r="AQ5838">
        <v>0</v>
      </c>
      <c r="AR5838">
        <v>1</v>
      </c>
    </row>
    <row r="5839" spans="1:44" x14ac:dyDescent="0.35">
      <c r="A5839" s="12" t="s">
        <v>6950</v>
      </c>
      <c r="B5839" s="12" t="s">
        <v>362</v>
      </c>
      <c r="C5839" s="12" t="s">
        <v>363</v>
      </c>
      <c r="D5839" s="12" t="s">
        <v>78</v>
      </c>
      <c r="E5839" s="12" t="s">
        <v>104</v>
      </c>
      <c r="F5839">
        <v>3</v>
      </c>
      <c r="G5839">
        <v>0</v>
      </c>
      <c r="H5839">
        <v>0</v>
      </c>
      <c r="I5839" s="12" t="s">
        <v>157</v>
      </c>
      <c r="J5839" s="12" t="s">
        <v>158</v>
      </c>
      <c r="K5839" s="12" t="s">
        <v>117</v>
      </c>
      <c r="L5839" s="12" t="s">
        <v>96</v>
      </c>
      <c r="M5839">
        <v>4.72</v>
      </c>
      <c r="N5839" s="12" t="s">
        <v>70</v>
      </c>
      <c r="O5839" s="12" t="s">
        <v>71</v>
      </c>
      <c r="P5839" s="12" t="s">
        <v>72</v>
      </c>
      <c r="Q5839" s="13">
        <v>45944</v>
      </c>
      <c r="R5839" s="13">
        <v>45965</v>
      </c>
      <c r="S5839">
        <v>2025</v>
      </c>
      <c r="T5839" s="12" t="s">
        <v>6884</v>
      </c>
      <c r="U5839">
        <v>176</v>
      </c>
      <c r="V5839">
        <v>60.968400000000003</v>
      </c>
      <c r="W5839">
        <v>248.97</v>
      </c>
      <c r="X5839">
        <v>0</v>
      </c>
      <c r="Y5839">
        <v>0</v>
      </c>
      <c r="Z5839">
        <v>10730.44</v>
      </c>
      <c r="AA5839">
        <v>10979.41</v>
      </c>
      <c r="AB5839" s="12" t="s">
        <v>201</v>
      </c>
      <c r="AD5839">
        <v>0</v>
      </c>
      <c r="AE5839">
        <v>0</v>
      </c>
      <c r="AH5839">
        <v>176</v>
      </c>
      <c r="AI5839">
        <v>172</v>
      </c>
      <c r="AJ5839">
        <v>4</v>
      </c>
      <c r="AK5839">
        <v>1</v>
      </c>
      <c r="AL5839">
        <v>1</v>
      </c>
      <c r="AM5839">
        <v>97.73</v>
      </c>
      <c r="AN5839">
        <v>63.833799999999997</v>
      </c>
      <c r="AO5839">
        <v>243.87</v>
      </c>
      <c r="AP5839" s="13">
        <v>45965</v>
      </c>
      <c r="AQ5839">
        <v>0</v>
      </c>
      <c r="AR5839">
        <v>1</v>
      </c>
    </row>
    <row r="5840" spans="1:44" x14ac:dyDescent="0.35">
      <c r="A5840" s="12" t="s">
        <v>6951</v>
      </c>
      <c r="B5840" s="12" t="s">
        <v>255</v>
      </c>
      <c r="C5840" s="12" t="s">
        <v>256</v>
      </c>
      <c r="D5840" s="12" t="s">
        <v>103</v>
      </c>
      <c r="E5840" s="12" t="s">
        <v>65</v>
      </c>
      <c r="F5840">
        <v>2</v>
      </c>
      <c r="G5840">
        <v>4</v>
      </c>
      <c r="H5840">
        <v>0</v>
      </c>
      <c r="I5840" s="12" t="s">
        <v>143</v>
      </c>
      <c r="J5840" s="12" t="s">
        <v>144</v>
      </c>
      <c r="K5840" s="12" t="s">
        <v>133</v>
      </c>
      <c r="L5840" s="12" t="s">
        <v>96</v>
      </c>
      <c r="M5840">
        <v>5.43</v>
      </c>
      <c r="N5840" s="12" t="s">
        <v>145</v>
      </c>
      <c r="O5840" s="12" t="s">
        <v>146</v>
      </c>
      <c r="P5840" s="12" t="s">
        <v>109</v>
      </c>
      <c r="Q5840" s="13">
        <v>45944</v>
      </c>
      <c r="R5840" s="13">
        <v>45976</v>
      </c>
      <c r="S5840">
        <v>2025</v>
      </c>
      <c r="T5840" s="12" t="s">
        <v>6884</v>
      </c>
      <c r="U5840">
        <v>101</v>
      </c>
      <c r="V5840">
        <v>95.061000000000007</v>
      </c>
      <c r="W5840">
        <v>163</v>
      </c>
      <c r="X5840">
        <v>0</v>
      </c>
      <c r="Y5840">
        <v>0</v>
      </c>
      <c r="Z5840">
        <v>9601.16</v>
      </c>
      <c r="AA5840">
        <v>9764.16</v>
      </c>
      <c r="AB5840" s="12" t="s">
        <v>5188</v>
      </c>
      <c r="AC5840">
        <v>95.061000000000007</v>
      </c>
      <c r="AD5840">
        <v>1</v>
      </c>
      <c r="AE5840">
        <v>1</v>
      </c>
      <c r="AF5840">
        <v>0</v>
      </c>
      <c r="AG5840">
        <v>9601.16</v>
      </c>
      <c r="AH5840">
        <v>101</v>
      </c>
      <c r="AI5840">
        <v>100</v>
      </c>
      <c r="AJ5840">
        <v>1</v>
      </c>
      <c r="AK5840">
        <v>1</v>
      </c>
      <c r="AL5840">
        <v>1</v>
      </c>
      <c r="AM5840">
        <v>99.01</v>
      </c>
      <c r="AN5840">
        <v>97.641599999999997</v>
      </c>
      <c r="AO5840">
        <v>95.06</v>
      </c>
      <c r="AP5840" s="13">
        <v>45973</v>
      </c>
      <c r="AQ5840">
        <v>-3</v>
      </c>
      <c r="AR5840">
        <v>1</v>
      </c>
    </row>
    <row r="5841" spans="1:44" x14ac:dyDescent="0.35">
      <c r="A5841" s="12" t="s">
        <v>6952</v>
      </c>
      <c r="B5841" s="12" t="s">
        <v>428</v>
      </c>
      <c r="C5841" s="12" t="s">
        <v>429</v>
      </c>
      <c r="D5841" s="12" t="s">
        <v>64</v>
      </c>
      <c r="E5841" s="12" t="s">
        <v>65</v>
      </c>
      <c r="F5841">
        <v>3</v>
      </c>
      <c r="G5841">
        <v>4</v>
      </c>
      <c r="H5841">
        <v>0</v>
      </c>
      <c r="I5841" s="12" t="s">
        <v>380</v>
      </c>
      <c r="J5841" s="12" t="s">
        <v>381</v>
      </c>
      <c r="K5841" s="12" t="s">
        <v>89</v>
      </c>
      <c r="L5841" s="12" t="s">
        <v>96</v>
      </c>
      <c r="M5841">
        <v>10.210000000000001</v>
      </c>
      <c r="N5841" s="12" t="s">
        <v>70</v>
      </c>
      <c r="O5841" s="12" t="s">
        <v>71</v>
      </c>
      <c r="P5841" s="12" t="s">
        <v>72</v>
      </c>
      <c r="Q5841" s="13">
        <v>45944</v>
      </c>
      <c r="R5841" s="13">
        <v>45969</v>
      </c>
      <c r="S5841">
        <v>2025</v>
      </c>
      <c r="T5841" s="12" t="s">
        <v>6884</v>
      </c>
      <c r="U5841">
        <v>328</v>
      </c>
      <c r="V5841">
        <v>12.879099999999999</v>
      </c>
      <c r="W5841">
        <v>94.03</v>
      </c>
      <c r="X5841">
        <v>0</v>
      </c>
      <c r="Y5841">
        <v>0</v>
      </c>
      <c r="Z5841">
        <v>4224.34</v>
      </c>
      <c r="AA5841">
        <v>4318.37</v>
      </c>
      <c r="AB5841" s="12" t="s">
        <v>5501</v>
      </c>
      <c r="AC5841">
        <v>12.879099999999999</v>
      </c>
      <c r="AD5841">
        <v>1</v>
      </c>
      <c r="AE5841">
        <v>1</v>
      </c>
      <c r="AF5841">
        <v>0</v>
      </c>
      <c r="AG5841">
        <v>4224.34</v>
      </c>
      <c r="AH5841">
        <v>328</v>
      </c>
      <c r="AI5841">
        <v>326</v>
      </c>
      <c r="AJ5841">
        <v>2</v>
      </c>
      <c r="AK5841">
        <v>1</v>
      </c>
      <c r="AL5841">
        <v>1</v>
      </c>
      <c r="AM5841">
        <v>99.39</v>
      </c>
      <c r="AN5841">
        <v>13.246499999999999</v>
      </c>
      <c r="AO5841">
        <v>25.76</v>
      </c>
      <c r="AP5841" s="13">
        <v>45966</v>
      </c>
      <c r="AQ5841">
        <v>-3</v>
      </c>
      <c r="AR5841">
        <v>1</v>
      </c>
    </row>
    <row r="5842" spans="1:44" x14ac:dyDescent="0.35">
      <c r="A5842" s="12" t="s">
        <v>6953</v>
      </c>
      <c r="B5842" s="12" t="s">
        <v>630</v>
      </c>
      <c r="C5842" s="12" t="s">
        <v>631</v>
      </c>
      <c r="D5842" s="12" t="s">
        <v>130</v>
      </c>
      <c r="E5842" s="12" t="s">
        <v>65</v>
      </c>
      <c r="F5842">
        <v>1</v>
      </c>
      <c r="G5842">
        <v>2</v>
      </c>
      <c r="H5842">
        <v>1</v>
      </c>
      <c r="I5842" s="12" t="s">
        <v>335</v>
      </c>
      <c r="J5842" s="12" t="s">
        <v>336</v>
      </c>
      <c r="K5842" s="12" t="s">
        <v>89</v>
      </c>
      <c r="L5842" s="12" t="s">
        <v>82</v>
      </c>
      <c r="M5842">
        <v>16</v>
      </c>
      <c r="N5842" s="12" t="s">
        <v>159</v>
      </c>
      <c r="O5842" s="12" t="s">
        <v>160</v>
      </c>
      <c r="P5842" s="12" t="s">
        <v>137</v>
      </c>
      <c r="Q5842" s="13">
        <v>45945</v>
      </c>
      <c r="R5842" s="13">
        <v>45970</v>
      </c>
      <c r="S5842">
        <v>2025</v>
      </c>
      <c r="T5842" s="12" t="s">
        <v>6884</v>
      </c>
      <c r="U5842">
        <v>48</v>
      </c>
      <c r="V5842">
        <v>444.29629999999997</v>
      </c>
      <c r="W5842">
        <v>131.72</v>
      </c>
      <c r="X5842">
        <v>0</v>
      </c>
      <c r="Y5842">
        <v>0</v>
      </c>
      <c r="Z5842">
        <v>21326.22</v>
      </c>
      <c r="AA5842">
        <v>21457.94</v>
      </c>
      <c r="AB5842" s="12" t="s">
        <v>5553</v>
      </c>
      <c r="AC5842">
        <v>444.29629999999997</v>
      </c>
      <c r="AD5842">
        <v>1</v>
      </c>
      <c r="AE5842">
        <v>1</v>
      </c>
      <c r="AF5842">
        <v>0</v>
      </c>
      <c r="AG5842">
        <v>21326.22</v>
      </c>
      <c r="AH5842">
        <v>48</v>
      </c>
      <c r="AI5842">
        <v>48</v>
      </c>
      <c r="AJ5842">
        <v>0</v>
      </c>
      <c r="AK5842">
        <v>1</v>
      </c>
      <c r="AL5842">
        <v>1</v>
      </c>
      <c r="AM5842">
        <v>100</v>
      </c>
      <c r="AN5842">
        <v>447.04050000000001</v>
      </c>
      <c r="AO5842">
        <v>0</v>
      </c>
      <c r="AP5842" s="13">
        <v>45967</v>
      </c>
      <c r="AQ5842">
        <v>-3</v>
      </c>
      <c r="AR5842">
        <v>1</v>
      </c>
    </row>
    <row r="5843" spans="1:44" x14ac:dyDescent="0.35">
      <c r="A5843" s="12" t="s">
        <v>6954</v>
      </c>
      <c r="B5843" s="12" t="s">
        <v>112</v>
      </c>
      <c r="C5843" s="12" t="s">
        <v>113</v>
      </c>
      <c r="D5843" s="12" t="s">
        <v>114</v>
      </c>
      <c r="E5843" s="12" t="s">
        <v>104</v>
      </c>
      <c r="F5843">
        <v>3</v>
      </c>
      <c r="G5843">
        <v>1</v>
      </c>
      <c r="H5843">
        <v>0</v>
      </c>
      <c r="I5843" s="12" t="s">
        <v>227</v>
      </c>
      <c r="J5843" s="12" t="s">
        <v>228</v>
      </c>
      <c r="K5843" s="12" t="s">
        <v>89</v>
      </c>
      <c r="L5843" s="12" t="s">
        <v>96</v>
      </c>
      <c r="M5843">
        <v>9.15</v>
      </c>
      <c r="N5843" s="12" t="s">
        <v>70</v>
      </c>
      <c r="O5843" s="12" t="s">
        <v>71</v>
      </c>
      <c r="P5843" s="12" t="s">
        <v>72</v>
      </c>
      <c r="Q5843" s="13">
        <v>45945</v>
      </c>
      <c r="R5843" s="13">
        <v>45965</v>
      </c>
      <c r="S5843">
        <v>2025</v>
      </c>
      <c r="T5843" s="12" t="s">
        <v>6884</v>
      </c>
      <c r="U5843">
        <v>73</v>
      </c>
      <c r="V5843">
        <v>262.05250000000001</v>
      </c>
      <c r="W5843">
        <v>148.38999999999999</v>
      </c>
      <c r="X5843">
        <v>0</v>
      </c>
      <c r="Y5843">
        <v>0</v>
      </c>
      <c r="Z5843">
        <v>19129.830000000002</v>
      </c>
      <c r="AA5843">
        <v>19278.22</v>
      </c>
      <c r="AB5843" s="12" t="s">
        <v>201</v>
      </c>
      <c r="AD5843">
        <v>0</v>
      </c>
      <c r="AE5843">
        <v>0</v>
      </c>
      <c r="AH5843">
        <v>73</v>
      </c>
      <c r="AI5843">
        <v>72</v>
      </c>
      <c r="AJ5843">
        <v>1</v>
      </c>
      <c r="AK5843">
        <v>1</v>
      </c>
      <c r="AL5843">
        <v>1</v>
      </c>
      <c r="AM5843">
        <v>98.63</v>
      </c>
      <c r="AN5843">
        <v>267.75310000000002</v>
      </c>
      <c r="AO5843">
        <v>262.05</v>
      </c>
      <c r="AP5843" s="13">
        <v>45964</v>
      </c>
      <c r="AQ5843">
        <v>-1</v>
      </c>
      <c r="AR5843">
        <v>1</v>
      </c>
    </row>
    <row r="5844" spans="1:44" x14ac:dyDescent="0.35">
      <c r="A5844" s="12" t="s">
        <v>6955</v>
      </c>
      <c r="B5844" s="12" t="s">
        <v>646</v>
      </c>
      <c r="C5844" s="12" t="s">
        <v>647</v>
      </c>
      <c r="D5844" s="12" t="s">
        <v>175</v>
      </c>
      <c r="E5844" s="12" t="s">
        <v>104</v>
      </c>
      <c r="F5844">
        <v>3</v>
      </c>
      <c r="G5844">
        <v>1</v>
      </c>
      <c r="H5844">
        <v>0</v>
      </c>
      <c r="I5844" s="12" t="s">
        <v>227</v>
      </c>
      <c r="J5844" s="12" t="s">
        <v>228</v>
      </c>
      <c r="K5844" s="12" t="s">
        <v>89</v>
      </c>
      <c r="L5844" s="12" t="s">
        <v>96</v>
      </c>
      <c r="M5844">
        <v>9.15</v>
      </c>
      <c r="N5844" s="12" t="s">
        <v>107</v>
      </c>
      <c r="O5844" s="12" t="s">
        <v>108</v>
      </c>
      <c r="P5844" s="12" t="s">
        <v>109</v>
      </c>
      <c r="Q5844" s="13">
        <v>45945</v>
      </c>
      <c r="R5844" s="13">
        <v>45957</v>
      </c>
      <c r="S5844">
        <v>2025</v>
      </c>
      <c r="T5844" s="12" t="s">
        <v>6884</v>
      </c>
      <c r="U5844">
        <v>15</v>
      </c>
      <c r="V5844">
        <v>191.95849999999999</v>
      </c>
      <c r="W5844">
        <v>51.71</v>
      </c>
      <c r="X5844">
        <v>0</v>
      </c>
      <c r="Y5844">
        <v>0</v>
      </c>
      <c r="Z5844">
        <v>2879.38</v>
      </c>
      <c r="AA5844">
        <v>2931.09</v>
      </c>
      <c r="AB5844" s="12" t="s">
        <v>5935</v>
      </c>
      <c r="AC5844">
        <v>191.95849999999999</v>
      </c>
      <c r="AD5844">
        <v>1</v>
      </c>
      <c r="AE5844">
        <v>1</v>
      </c>
      <c r="AF5844">
        <v>0</v>
      </c>
      <c r="AG5844">
        <v>2879.38</v>
      </c>
      <c r="AH5844">
        <v>15</v>
      </c>
      <c r="AI5844">
        <v>15</v>
      </c>
      <c r="AJ5844">
        <v>0</v>
      </c>
      <c r="AK5844">
        <v>1</v>
      </c>
      <c r="AL5844">
        <v>1</v>
      </c>
      <c r="AM5844">
        <v>100</v>
      </c>
      <c r="AN5844">
        <v>195.4058</v>
      </c>
      <c r="AO5844">
        <v>0</v>
      </c>
      <c r="AP5844" s="13">
        <v>45957</v>
      </c>
      <c r="AQ5844">
        <v>0</v>
      </c>
      <c r="AR5844">
        <v>1</v>
      </c>
    </row>
    <row r="5845" spans="1:44" x14ac:dyDescent="0.35">
      <c r="A5845" s="12" t="s">
        <v>6956</v>
      </c>
      <c r="B5845" s="12" t="s">
        <v>694</v>
      </c>
      <c r="C5845" s="12" t="s">
        <v>695</v>
      </c>
      <c r="D5845" s="12" t="s">
        <v>103</v>
      </c>
      <c r="E5845" s="12" t="s">
        <v>65</v>
      </c>
      <c r="F5845">
        <v>2</v>
      </c>
      <c r="G5845">
        <v>3</v>
      </c>
      <c r="H5845">
        <v>0</v>
      </c>
      <c r="I5845" s="12" t="s">
        <v>263</v>
      </c>
      <c r="J5845" s="12" t="s">
        <v>264</v>
      </c>
      <c r="K5845" s="12" t="s">
        <v>125</v>
      </c>
      <c r="L5845" s="12" t="s">
        <v>82</v>
      </c>
      <c r="M5845">
        <v>10.210000000000001</v>
      </c>
      <c r="N5845" s="12" t="s">
        <v>107</v>
      </c>
      <c r="O5845" s="12" t="s">
        <v>108</v>
      </c>
      <c r="P5845" s="12" t="s">
        <v>109</v>
      </c>
      <c r="Q5845" s="13">
        <v>45945</v>
      </c>
      <c r="R5845" s="13">
        <v>45971</v>
      </c>
      <c r="S5845">
        <v>2025</v>
      </c>
      <c r="T5845" s="12" t="s">
        <v>6884</v>
      </c>
      <c r="U5845">
        <v>53</v>
      </c>
      <c r="V5845">
        <v>206.7869</v>
      </c>
      <c r="W5845">
        <v>277.07</v>
      </c>
      <c r="X5845">
        <v>0</v>
      </c>
      <c r="Y5845">
        <v>0</v>
      </c>
      <c r="Z5845">
        <v>10959.71</v>
      </c>
      <c r="AA5845">
        <v>11236.78</v>
      </c>
      <c r="AB5845" s="12" t="s">
        <v>5721</v>
      </c>
      <c r="AC5845">
        <v>206.7869</v>
      </c>
      <c r="AD5845">
        <v>1</v>
      </c>
      <c r="AE5845">
        <v>1</v>
      </c>
      <c r="AF5845">
        <v>0</v>
      </c>
      <c r="AG5845">
        <v>10959.71</v>
      </c>
      <c r="AH5845">
        <v>53</v>
      </c>
      <c r="AI5845">
        <v>52</v>
      </c>
      <c r="AJ5845">
        <v>1</v>
      </c>
      <c r="AK5845">
        <v>1</v>
      </c>
      <c r="AL5845">
        <v>1</v>
      </c>
      <c r="AM5845">
        <v>98.11</v>
      </c>
      <c r="AN5845">
        <v>216.09180000000001</v>
      </c>
      <c r="AO5845">
        <v>206.79</v>
      </c>
      <c r="AP5845" s="13">
        <v>45969</v>
      </c>
      <c r="AQ5845">
        <v>-2</v>
      </c>
      <c r="AR5845">
        <v>1</v>
      </c>
    </row>
    <row r="5846" spans="1:44" x14ac:dyDescent="0.35">
      <c r="A5846" s="12" t="s">
        <v>6957</v>
      </c>
      <c r="B5846" s="12" t="s">
        <v>747</v>
      </c>
      <c r="C5846" s="12" t="s">
        <v>748</v>
      </c>
      <c r="D5846" s="12" t="s">
        <v>114</v>
      </c>
      <c r="E5846" s="12" t="s">
        <v>104</v>
      </c>
      <c r="F5846">
        <v>2</v>
      </c>
      <c r="G5846">
        <v>0</v>
      </c>
      <c r="H5846">
        <v>0</v>
      </c>
      <c r="I5846" s="12" t="s">
        <v>380</v>
      </c>
      <c r="J5846" s="12" t="s">
        <v>381</v>
      </c>
      <c r="K5846" s="12" t="s">
        <v>89</v>
      </c>
      <c r="L5846" s="12" t="s">
        <v>96</v>
      </c>
      <c r="M5846">
        <v>10.210000000000001</v>
      </c>
      <c r="N5846" s="12" t="s">
        <v>70</v>
      </c>
      <c r="O5846" s="12" t="s">
        <v>71</v>
      </c>
      <c r="P5846" s="12" t="s">
        <v>72</v>
      </c>
      <c r="Q5846" s="13">
        <v>45945</v>
      </c>
      <c r="R5846" s="13">
        <v>45961</v>
      </c>
      <c r="S5846">
        <v>2025</v>
      </c>
      <c r="T5846" s="12" t="s">
        <v>6884</v>
      </c>
      <c r="U5846">
        <v>44</v>
      </c>
      <c r="V5846">
        <v>250.64769999999999</v>
      </c>
      <c r="W5846">
        <v>94.9</v>
      </c>
      <c r="X5846">
        <v>0</v>
      </c>
      <c r="Y5846">
        <v>0</v>
      </c>
      <c r="Z5846">
        <v>11028.5</v>
      </c>
      <c r="AA5846">
        <v>11123.4</v>
      </c>
      <c r="AB5846" s="12" t="s">
        <v>201</v>
      </c>
      <c r="AD5846">
        <v>0</v>
      </c>
      <c r="AE5846">
        <v>0</v>
      </c>
      <c r="AH5846">
        <v>44</v>
      </c>
      <c r="AI5846">
        <v>43</v>
      </c>
      <c r="AJ5846">
        <v>1</v>
      </c>
      <c r="AK5846">
        <v>1</v>
      </c>
      <c r="AL5846">
        <v>1</v>
      </c>
      <c r="AM5846">
        <v>97.73</v>
      </c>
      <c r="AN5846">
        <v>258.68369999999999</v>
      </c>
      <c r="AO5846">
        <v>250.65</v>
      </c>
      <c r="AP5846" s="13">
        <v>45961</v>
      </c>
      <c r="AQ5846">
        <v>0</v>
      </c>
      <c r="AR5846">
        <v>1</v>
      </c>
    </row>
    <row r="5847" spans="1:44" x14ac:dyDescent="0.35">
      <c r="A5847" s="12" t="s">
        <v>6958</v>
      </c>
      <c r="B5847" s="12" t="s">
        <v>978</v>
      </c>
      <c r="C5847" s="12" t="s">
        <v>979</v>
      </c>
      <c r="D5847" s="12" t="s">
        <v>122</v>
      </c>
      <c r="E5847" s="12" t="s">
        <v>65</v>
      </c>
      <c r="F5847">
        <v>1</v>
      </c>
      <c r="G5847">
        <v>2</v>
      </c>
      <c r="H5847">
        <v>1</v>
      </c>
      <c r="I5847" s="12" t="s">
        <v>310</v>
      </c>
      <c r="J5847" s="12" t="s">
        <v>311</v>
      </c>
      <c r="K5847" s="12" t="s">
        <v>81</v>
      </c>
      <c r="L5847" s="12" t="s">
        <v>69</v>
      </c>
      <c r="M5847">
        <v>28.3</v>
      </c>
      <c r="N5847" s="12" t="s">
        <v>70</v>
      </c>
      <c r="O5847" s="12" t="s">
        <v>71</v>
      </c>
      <c r="P5847" s="12" t="s">
        <v>72</v>
      </c>
      <c r="Q5847" s="13">
        <v>45945</v>
      </c>
      <c r="R5847" s="13">
        <v>45974</v>
      </c>
      <c r="S5847">
        <v>2025</v>
      </c>
      <c r="T5847" s="12" t="s">
        <v>6884</v>
      </c>
      <c r="U5847">
        <v>1075</v>
      </c>
      <c r="V5847">
        <v>43.4407</v>
      </c>
      <c r="W5847">
        <v>632.11</v>
      </c>
      <c r="X5847">
        <v>1566.15</v>
      </c>
      <c r="Y5847">
        <v>1</v>
      </c>
      <c r="Z5847">
        <v>46698.75</v>
      </c>
      <c r="AA5847">
        <v>48897.01</v>
      </c>
      <c r="AB5847" s="12" t="s">
        <v>6061</v>
      </c>
      <c r="AC5847">
        <v>43.4407</v>
      </c>
      <c r="AD5847">
        <v>1</v>
      </c>
      <c r="AE5847">
        <v>1</v>
      </c>
      <c r="AF5847">
        <v>0</v>
      </c>
      <c r="AG5847">
        <v>46698.75</v>
      </c>
      <c r="AH5847">
        <v>1075</v>
      </c>
      <c r="AI5847">
        <v>1068</v>
      </c>
      <c r="AJ5847">
        <v>7</v>
      </c>
      <c r="AK5847">
        <v>1</v>
      </c>
      <c r="AL5847">
        <v>1</v>
      </c>
      <c r="AM5847">
        <v>99.35</v>
      </c>
      <c r="AN5847">
        <v>45.783700000000003</v>
      </c>
      <c r="AO5847">
        <v>304.08</v>
      </c>
      <c r="AP5847" s="13">
        <v>45972</v>
      </c>
      <c r="AQ5847">
        <v>-2</v>
      </c>
      <c r="AR5847">
        <v>1</v>
      </c>
    </row>
    <row r="5848" spans="1:44" x14ac:dyDescent="0.35">
      <c r="A5848" s="12" t="s">
        <v>6959</v>
      </c>
      <c r="B5848" s="12" t="s">
        <v>302</v>
      </c>
      <c r="C5848" s="12" t="s">
        <v>303</v>
      </c>
      <c r="D5848" s="12" t="s">
        <v>78</v>
      </c>
      <c r="E5848" s="12" t="s">
        <v>65</v>
      </c>
      <c r="F5848">
        <v>2</v>
      </c>
      <c r="G5848">
        <v>3</v>
      </c>
      <c r="H5848">
        <v>0</v>
      </c>
      <c r="I5848" s="12" t="s">
        <v>335</v>
      </c>
      <c r="J5848" s="12" t="s">
        <v>336</v>
      </c>
      <c r="K5848" s="12" t="s">
        <v>89</v>
      </c>
      <c r="L5848" s="12" t="s">
        <v>82</v>
      </c>
      <c r="M5848">
        <v>16</v>
      </c>
      <c r="N5848" s="12" t="s">
        <v>70</v>
      </c>
      <c r="O5848" s="12" t="s">
        <v>71</v>
      </c>
      <c r="P5848" s="12" t="s">
        <v>72</v>
      </c>
      <c r="Q5848" s="13">
        <v>45945</v>
      </c>
      <c r="R5848" s="13">
        <v>45968</v>
      </c>
      <c r="S5848">
        <v>2025</v>
      </c>
      <c r="T5848" s="12" t="s">
        <v>6884</v>
      </c>
      <c r="U5848">
        <v>79</v>
      </c>
      <c r="V5848">
        <v>137.82220000000001</v>
      </c>
      <c r="W5848">
        <v>243.1</v>
      </c>
      <c r="X5848">
        <v>0</v>
      </c>
      <c r="Y5848">
        <v>0</v>
      </c>
      <c r="Z5848">
        <v>10887.95</v>
      </c>
      <c r="AA5848">
        <v>11131.05</v>
      </c>
      <c r="AB5848" s="12" t="s">
        <v>5763</v>
      </c>
      <c r="AC5848">
        <v>137.82220000000001</v>
      </c>
      <c r="AD5848">
        <v>1</v>
      </c>
      <c r="AE5848">
        <v>1</v>
      </c>
      <c r="AF5848">
        <v>0</v>
      </c>
      <c r="AG5848">
        <v>10887.95</v>
      </c>
      <c r="AH5848">
        <v>79</v>
      </c>
      <c r="AI5848">
        <v>78</v>
      </c>
      <c r="AJ5848">
        <v>1</v>
      </c>
      <c r="AK5848">
        <v>1</v>
      </c>
      <c r="AL5848">
        <v>1</v>
      </c>
      <c r="AM5848">
        <v>98.73</v>
      </c>
      <c r="AN5848">
        <v>142.70580000000001</v>
      </c>
      <c r="AO5848">
        <v>137.82</v>
      </c>
      <c r="AP5848" s="13">
        <v>45970</v>
      </c>
      <c r="AQ5848">
        <v>2</v>
      </c>
      <c r="AR5848">
        <v>0</v>
      </c>
    </row>
    <row r="5849" spans="1:44" x14ac:dyDescent="0.35">
      <c r="A5849" s="12" t="s">
        <v>6960</v>
      </c>
      <c r="B5849" s="12" t="s">
        <v>561</v>
      </c>
      <c r="C5849" s="12" t="s">
        <v>562</v>
      </c>
      <c r="D5849" s="12" t="s">
        <v>130</v>
      </c>
      <c r="E5849" s="12" t="s">
        <v>142</v>
      </c>
      <c r="F5849">
        <v>1</v>
      </c>
      <c r="G5849">
        <v>9</v>
      </c>
      <c r="H5849">
        <v>1</v>
      </c>
      <c r="I5849" s="12" t="s">
        <v>223</v>
      </c>
      <c r="J5849" s="12" t="s">
        <v>224</v>
      </c>
      <c r="K5849" s="12" t="s">
        <v>81</v>
      </c>
      <c r="L5849" s="12" t="s">
        <v>134</v>
      </c>
      <c r="M5849">
        <v>2.4900000000000002</v>
      </c>
      <c r="N5849" s="12" t="s">
        <v>159</v>
      </c>
      <c r="O5849" s="12" t="s">
        <v>160</v>
      </c>
      <c r="P5849" s="12" t="s">
        <v>137</v>
      </c>
      <c r="Q5849" s="13">
        <v>45945</v>
      </c>
      <c r="R5849" s="13">
        <v>45987</v>
      </c>
      <c r="S5849">
        <v>2025</v>
      </c>
      <c r="T5849" s="12" t="s">
        <v>6884</v>
      </c>
      <c r="U5849">
        <v>67</v>
      </c>
      <c r="V5849">
        <v>508.2912</v>
      </c>
      <c r="W5849">
        <v>746.89</v>
      </c>
      <c r="X5849">
        <v>0</v>
      </c>
      <c r="Y5849">
        <v>0</v>
      </c>
      <c r="Z5849">
        <v>34055.51</v>
      </c>
      <c r="AA5849">
        <v>34802.400000000001</v>
      </c>
      <c r="AB5849" s="12" t="s">
        <v>201</v>
      </c>
      <c r="AD5849">
        <v>0</v>
      </c>
      <c r="AE5849">
        <v>0</v>
      </c>
      <c r="AH5849">
        <v>67</v>
      </c>
      <c r="AI5849">
        <v>67</v>
      </c>
      <c r="AJ5849">
        <v>0</v>
      </c>
      <c r="AK5849">
        <v>1</v>
      </c>
      <c r="AL5849">
        <v>1</v>
      </c>
      <c r="AM5849">
        <v>100</v>
      </c>
      <c r="AN5849">
        <v>519.43880000000001</v>
      </c>
      <c r="AO5849">
        <v>0</v>
      </c>
      <c r="AP5849" s="13">
        <v>45985</v>
      </c>
      <c r="AQ5849">
        <v>-2</v>
      </c>
      <c r="AR5849">
        <v>1</v>
      </c>
    </row>
    <row r="5850" spans="1:44" x14ac:dyDescent="0.35">
      <c r="A5850" s="12" t="s">
        <v>6961</v>
      </c>
      <c r="B5850" s="12" t="s">
        <v>963</v>
      </c>
      <c r="C5850" s="12" t="s">
        <v>964</v>
      </c>
      <c r="D5850" s="12" t="s">
        <v>114</v>
      </c>
      <c r="E5850" s="12" t="s">
        <v>142</v>
      </c>
      <c r="F5850">
        <v>1</v>
      </c>
      <c r="G5850">
        <v>6</v>
      </c>
      <c r="H5850">
        <v>1</v>
      </c>
      <c r="I5850" s="12" t="s">
        <v>176</v>
      </c>
      <c r="J5850" s="12" t="s">
        <v>177</v>
      </c>
      <c r="K5850" s="12" t="s">
        <v>125</v>
      </c>
      <c r="L5850" s="12" t="s">
        <v>134</v>
      </c>
      <c r="M5850">
        <v>1.75</v>
      </c>
      <c r="N5850" s="12" t="s">
        <v>97</v>
      </c>
      <c r="O5850" s="12" t="s">
        <v>98</v>
      </c>
      <c r="P5850" s="12" t="s">
        <v>72</v>
      </c>
      <c r="Q5850" s="13">
        <v>45946</v>
      </c>
      <c r="R5850" s="13">
        <v>45994</v>
      </c>
      <c r="S5850">
        <v>2025</v>
      </c>
      <c r="T5850" s="12" t="s">
        <v>6884</v>
      </c>
      <c r="U5850">
        <v>113</v>
      </c>
      <c r="V5850">
        <v>207.529</v>
      </c>
      <c r="W5850">
        <v>294.27999999999997</v>
      </c>
      <c r="X5850">
        <v>795.46</v>
      </c>
      <c r="Y5850">
        <v>1</v>
      </c>
      <c r="Z5850">
        <v>23450.78</v>
      </c>
      <c r="AA5850">
        <v>24540.52</v>
      </c>
      <c r="AB5850" s="12" t="s">
        <v>201</v>
      </c>
      <c r="AD5850">
        <v>0</v>
      </c>
      <c r="AE5850">
        <v>0</v>
      </c>
      <c r="AH5850">
        <v>113</v>
      </c>
      <c r="AI5850">
        <v>112</v>
      </c>
      <c r="AJ5850">
        <v>1</v>
      </c>
      <c r="AK5850">
        <v>1</v>
      </c>
      <c r="AL5850">
        <v>1</v>
      </c>
      <c r="AM5850">
        <v>99.12</v>
      </c>
      <c r="AN5850">
        <v>219.11179999999999</v>
      </c>
      <c r="AO5850">
        <v>207.53</v>
      </c>
      <c r="AP5850" s="13">
        <v>45992</v>
      </c>
      <c r="AQ5850">
        <v>-2</v>
      </c>
      <c r="AR5850">
        <v>1</v>
      </c>
    </row>
    <row r="5851" spans="1:44" x14ac:dyDescent="0.35">
      <c r="A5851" s="12" t="s">
        <v>6962</v>
      </c>
      <c r="B5851" s="12" t="s">
        <v>412</v>
      </c>
      <c r="C5851" s="12" t="s">
        <v>413</v>
      </c>
      <c r="D5851" s="12" t="s">
        <v>269</v>
      </c>
      <c r="E5851" s="12" t="s">
        <v>65</v>
      </c>
      <c r="F5851">
        <v>1</v>
      </c>
      <c r="G5851">
        <v>2</v>
      </c>
      <c r="H5851">
        <v>1</v>
      </c>
      <c r="I5851" s="12" t="s">
        <v>233</v>
      </c>
      <c r="J5851" s="12" t="s">
        <v>234</v>
      </c>
      <c r="K5851" s="12" t="s">
        <v>125</v>
      </c>
      <c r="L5851" s="12" t="s">
        <v>96</v>
      </c>
      <c r="M5851">
        <v>3.73</v>
      </c>
      <c r="N5851" s="12" t="s">
        <v>135</v>
      </c>
      <c r="O5851" s="12" t="s">
        <v>136</v>
      </c>
      <c r="P5851" s="12" t="s">
        <v>137</v>
      </c>
      <c r="Q5851" s="13">
        <v>45946</v>
      </c>
      <c r="R5851" s="13">
        <v>45969</v>
      </c>
      <c r="S5851">
        <v>2025</v>
      </c>
      <c r="T5851" s="12" t="s">
        <v>6884</v>
      </c>
      <c r="U5851">
        <v>27</v>
      </c>
      <c r="V5851">
        <v>103.87350000000001</v>
      </c>
      <c r="W5851">
        <v>39.06</v>
      </c>
      <c r="X5851">
        <v>0</v>
      </c>
      <c r="Y5851">
        <v>0</v>
      </c>
      <c r="Z5851">
        <v>2804.58</v>
      </c>
      <c r="AA5851">
        <v>2843.64</v>
      </c>
      <c r="AB5851" s="12" t="s">
        <v>5424</v>
      </c>
      <c r="AC5851">
        <v>103.87350000000001</v>
      </c>
      <c r="AD5851">
        <v>1</v>
      </c>
      <c r="AE5851">
        <v>1</v>
      </c>
      <c r="AF5851">
        <v>0</v>
      </c>
      <c r="AG5851">
        <v>2804.58</v>
      </c>
      <c r="AH5851">
        <v>27</v>
      </c>
      <c r="AI5851">
        <v>27</v>
      </c>
      <c r="AJ5851">
        <v>0</v>
      </c>
      <c r="AK5851">
        <v>1</v>
      </c>
      <c r="AL5851">
        <v>1</v>
      </c>
      <c r="AM5851">
        <v>100</v>
      </c>
      <c r="AN5851">
        <v>105.3202</v>
      </c>
      <c r="AO5851">
        <v>0</v>
      </c>
      <c r="AP5851" s="13">
        <v>45968</v>
      </c>
      <c r="AQ5851">
        <v>-1</v>
      </c>
      <c r="AR5851">
        <v>1</v>
      </c>
    </row>
    <row r="5852" spans="1:44" x14ac:dyDescent="0.35">
      <c r="A5852" s="12" t="s">
        <v>6963</v>
      </c>
      <c r="B5852" s="12" t="s">
        <v>399</v>
      </c>
      <c r="C5852" s="12" t="s">
        <v>400</v>
      </c>
      <c r="D5852" s="12" t="s">
        <v>114</v>
      </c>
      <c r="E5852" s="12" t="s">
        <v>65</v>
      </c>
      <c r="F5852">
        <v>1</v>
      </c>
      <c r="G5852">
        <v>2</v>
      </c>
      <c r="H5852">
        <v>1</v>
      </c>
      <c r="I5852" s="12" t="s">
        <v>151</v>
      </c>
      <c r="J5852" s="12" t="s">
        <v>152</v>
      </c>
      <c r="K5852" s="12" t="s">
        <v>125</v>
      </c>
      <c r="L5852" s="12" t="s">
        <v>69</v>
      </c>
      <c r="M5852">
        <v>36.479999999999997</v>
      </c>
      <c r="N5852" s="12" t="s">
        <v>97</v>
      </c>
      <c r="O5852" s="12" t="s">
        <v>98</v>
      </c>
      <c r="P5852" s="12" t="s">
        <v>72</v>
      </c>
      <c r="Q5852" s="13">
        <v>45946</v>
      </c>
      <c r="R5852" s="13">
        <v>45982</v>
      </c>
      <c r="S5852">
        <v>2025</v>
      </c>
      <c r="T5852" s="12" t="s">
        <v>6884</v>
      </c>
      <c r="U5852">
        <v>131</v>
      </c>
      <c r="V5852">
        <v>318.94049999999999</v>
      </c>
      <c r="W5852">
        <v>581.72</v>
      </c>
      <c r="X5852">
        <v>0</v>
      </c>
      <c r="Y5852">
        <v>0</v>
      </c>
      <c r="Z5852">
        <v>41781.21</v>
      </c>
      <c r="AA5852">
        <v>42362.93</v>
      </c>
      <c r="AB5852" s="12" t="s">
        <v>201</v>
      </c>
      <c r="AD5852">
        <v>0</v>
      </c>
      <c r="AE5852">
        <v>0</v>
      </c>
      <c r="AH5852">
        <v>131</v>
      </c>
      <c r="AI5852">
        <v>129</v>
      </c>
      <c r="AJ5852">
        <v>2</v>
      </c>
      <c r="AK5852">
        <v>1</v>
      </c>
      <c r="AL5852">
        <v>1</v>
      </c>
      <c r="AM5852">
        <v>98.47</v>
      </c>
      <c r="AN5852">
        <v>328.39479999999998</v>
      </c>
      <c r="AO5852">
        <v>637.88</v>
      </c>
      <c r="AP5852" s="13">
        <v>45982</v>
      </c>
      <c r="AQ5852">
        <v>0</v>
      </c>
      <c r="AR5852">
        <v>1</v>
      </c>
    </row>
    <row r="5853" spans="1:44" x14ac:dyDescent="0.35">
      <c r="A5853" s="12" t="s">
        <v>6964</v>
      </c>
      <c r="B5853" s="12" t="s">
        <v>490</v>
      </c>
      <c r="C5853" s="12" t="s">
        <v>491</v>
      </c>
      <c r="D5853" s="12" t="s">
        <v>130</v>
      </c>
      <c r="E5853" s="12" t="s">
        <v>104</v>
      </c>
      <c r="F5853">
        <v>3</v>
      </c>
      <c r="G5853">
        <v>1</v>
      </c>
      <c r="H5853">
        <v>0</v>
      </c>
      <c r="I5853" s="12" t="s">
        <v>176</v>
      </c>
      <c r="J5853" s="12" t="s">
        <v>177</v>
      </c>
      <c r="K5853" s="12" t="s">
        <v>125</v>
      </c>
      <c r="L5853" s="12" t="s">
        <v>134</v>
      </c>
      <c r="M5853">
        <v>1.75</v>
      </c>
      <c r="N5853" s="12" t="s">
        <v>135</v>
      </c>
      <c r="O5853" s="12" t="s">
        <v>136</v>
      </c>
      <c r="P5853" s="12" t="s">
        <v>137</v>
      </c>
      <c r="Q5853" s="13">
        <v>45946</v>
      </c>
      <c r="R5853" s="13">
        <v>45964</v>
      </c>
      <c r="S5853">
        <v>2025</v>
      </c>
      <c r="T5853" s="12" t="s">
        <v>6884</v>
      </c>
      <c r="U5853">
        <v>60</v>
      </c>
      <c r="V5853">
        <v>234.9982</v>
      </c>
      <c r="W5853">
        <v>160.83000000000001</v>
      </c>
      <c r="X5853">
        <v>0</v>
      </c>
      <c r="Y5853">
        <v>0</v>
      </c>
      <c r="Z5853">
        <v>14099.89</v>
      </c>
      <c r="AA5853">
        <v>14260.72</v>
      </c>
      <c r="AB5853" s="12" t="s">
        <v>5760</v>
      </c>
      <c r="AC5853">
        <v>234.9982</v>
      </c>
      <c r="AD5853">
        <v>1</v>
      </c>
      <c r="AE5853">
        <v>1</v>
      </c>
      <c r="AF5853">
        <v>0</v>
      </c>
      <c r="AG5853">
        <v>14099.89</v>
      </c>
      <c r="AH5853">
        <v>60</v>
      </c>
      <c r="AI5853">
        <v>60</v>
      </c>
      <c r="AJ5853">
        <v>0</v>
      </c>
      <c r="AK5853">
        <v>1</v>
      </c>
      <c r="AL5853">
        <v>1</v>
      </c>
      <c r="AM5853">
        <v>100</v>
      </c>
      <c r="AN5853">
        <v>237.67869999999999</v>
      </c>
      <c r="AO5853">
        <v>0</v>
      </c>
      <c r="AP5853" s="13">
        <v>45963</v>
      </c>
      <c r="AQ5853">
        <v>-1</v>
      </c>
      <c r="AR5853">
        <v>1</v>
      </c>
    </row>
    <row r="5854" spans="1:44" x14ac:dyDescent="0.35">
      <c r="A5854" s="12" t="s">
        <v>6965</v>
      </c>
      <c r="B5854" s="12" t="s">
        <v>454</v>
      </c>
      <c r="C5854" s="12" t="s">
        <v>455</v>
      </c>
      <c r="D5854" s="12" t="s">
        <v>122</v>
      </c>
      <c r="E5854" s="12" t="s">
        <v>104</v>
      </c>
      <c r="F5854">
        <v>3</v>
      </c>
      <c r="G5854">
        <v>1</v>
      </c>
      <c r="H5854">
        <v>0</v>
      </c>
      <c r="I5854" s="12" t="s">
        <v>87</v>
      </c>
      <c r="J5854" s="12" t="s">
        <v>88</v>
      </c>
      <c r="K5854" s="12" t="s">
        <v>89</v>
      </c>
      <c r="L5854" s="12" t="s">
        <v>69</v>
      </c>
      <c r="M5854">
        <v>14.93</v>
      </c>
      <c r="N5854" s="12" t="s">
        <v>97</v>
      </c>
      <c r="O5854" s="12" t="s">
        <v>98</v>
      </c>
      <c r="P5854" s="12" t="s">
        <v>72</v>
      </c>
      <c r="Q5854" s="13">
        <v>45946</v>
      </c>
      <c r="R5854" s="13">
        <v>45968</v>
      </c>
      <c r="S5854">
        <v>2025</v>
      </c>
      <c r="T5854" s="12" t="s">
        <v>6884</v>
      </c>
      <c r="U5854">
        <v>1265</v>
      </c>
      <c r="V5854">
        <v>21.032599999999999</v>
      </c>
      <c r="W5854">
        <v>178.18</v>
      </c>
      <c r="X5854">
        <v>0</v>
      </c>
      <c r="Y5854">
        <v>0</v>
      </c>
      <c r="Z5854">
        <v>26606.240000000002</v>
      </c>
      <c r="AA5854">
        <v>26784.42</v>
      </c>
      <c r="AB5854" s="12" t="s">
        <v>5456</v>
      </c>
      <c r="AC5854">
        <v>21.032599999999999</v>
      </c>
      <c r="AD5854">
        <v>1</v>
      </c>
      <c r="AE5854">
        <v>1</v>
      </c>
      <c r="AF5854">
        <v>0</v>
      </c>
      <c r="AG5854">
        <v>26606.240000000002</v>
      </c>
      <c r="AH5854">
        <v>1265</v>
      </c>
      <c r="AI5854">
        <v>1258</v>
      </c>
      <c r="AJ5854">
        <v>7</v>
      </c>
      <c r="AK5854">
        <v>1</v>
      </c>
      <c r="AL5854">
        <v>1</v>
      </c>
      <c r="AM5854">
        <v>99.45</v>
      </c>
      <c r="AN5854">
        <v>21.2913</v>
      </c>
      <c r="AO5854">
        <v>147.22999999999999</v>
      </c>
      <c r="AP5854" s="13">
        <v>45972</v>
      </c>
      <c r="AQ5854">
        <v>4</v>
      </c>
      <c r="AR5854">
        <v>0</v>
      </c>
    </row>
    <row r="5855" spans="1:44" x14ac:dyDescent="0.35">
      <c r="A5855" s="12" t="s">
        <v>6966</v>
      </c>
      <c r="B5855" s="12" t="s">
        <v>362</v>
      </c>
      <c r="C5855" s="12" t="s">
        <v>363</v>
      </c>
      <c r="D5855" s="12" t="s">
        <v>78</v>
      </c>
      <c r="E5855" s="12" t="s">
        <v>104</v>
      </c>
      <c r="F5855">
        <v>3</v>
      </c>
      <c r="G5855">
        <v>0</v>
      </c>
      <c r="H5855">
        <v>0</v>
      </c>
      <c r="I5855" s="12" t="s">
        <v>157</v>
      </c>
      <c r="J5855" s="12" t="s">
        <v>158</v>
      </c>
      <c r="K5855" s="12" t="s">
        <v>117</v>
      </c>
      <c r="L5855" s="12" t="s">
        <v>96</v>
      </c>
      <c r="M5855">
        <v>4.72</v>
      </c>
      <c r="N5855" s="12" t="s">
        <v>70</v>
      </c>
      <c r="O5855" s="12" t="s">
        <v>71</v>
      </c>
      <c r="P5855" s="12" t="s">
        <v>72</v>
      </c>
      <c r="Q5855" s="13">
        <v>45946</v>
      </c>
      <c r="R5855" s="13">
        <v>45959</v>
      </c>
      <c r="S5855">
        <v>2025</v>
      </c>
      <c r="T5855" s="12" t="s">
        <v>6884</v>
      </c>
      <c r="U5855">
        <v>66</v>
      </c>
      <c r="V5855">
        <v>64.374600000000001</v>
      </c>
      <c r="W5855">
        <v>81.260000000000005</v>
      </c>
      <c r="X5855">
        <v>0</v>
      </c>
      <c r="Y5855">
        <v>0</v>
      </c>
      <c r="Z5855">
        <v>4248.72</v>
      </c>
      <c r="AA5855">
        <v>4329.9799999999996</v>
      </c>
      <c r="AB5855" s="12" t="s">
        <v>201</v>
      </c>
      <c r="AD5855">
        <v>0</v>
      </c>
      <c r="AE5855">
        <v>0</v>
      </c>
      <c r="AH5855">
        <v>66</v>
      </c>
      <c r="AI5855">
        <v>65</v>
      </c>
      <c r="AJ5855">
        <v>1</v>
      </c>
      <c r="AK5855">
        <v>1</v>
      </c>
      <c r="AL5855">
        <v>1</v>
      </c>
      <c r="AM5855">
        <v>98.48</v>
      </c>
      <c r="AN5855">
        <v>66.615099999999998</v>
      </c>
      <c r="AO5855">
        <v>64.37</v>
      </c>
      <c r="AP5855" s="13">
        <v>45957</v>
      </c>
      <c r="AQ5855">
        <v>-2</v>
      </c>
      <c r="AR5855">
        <v>1</v>
      </c>
    </row>
    <row r="5856" spans="1:44" x14ac:dyDescent="0.35">
      <c r="A5856" s="12" t="s">
        <v>6967</v>
      </c>
      <c r="B5856" s="12" t="s">
        <v>1026</v>
      </c>
      <c r="C5856" s="12" t="s">
        <v>1027</v>
      </c>
      <c r="D5856" s="12" t="s">
        <v>122</v>
      </c>
      <c r="E5856" s="12" t="s">
        <v>104</v>
      </c>
      <c r="F5856">
        <v>3</v>
      </c>
      <c r="G5856">
        <v>1</v>
      </c>
      <c r="H5856">
        <v>0</v>
      </c>
      <c r="I5856" s="12" t="s">
        <v>183</v>
      </c>
      <c r="J5856" s="12" t="s">
        <v>184</v>
      </c>
      <c r="K5856" s="12" t="s">
        <v>133</v>
      </c>
      <c r="L5856" s="12" t="s">
        <v>82</v>
      </c>
      <c r="M5856">
        <v>8.6199999999999992</v>
      </c>
      <c r="N5856" s="12" t="s">
        <v>70</v>
      </c>
      <c r="O5856" s="12" t="s">
        <v>71</v>
      </c>
      <c r="P5856" s="12" t="s">
        <v>72</v>
      </c>
      <c r="Q5856" s="13">
        <v>45946</v>
      </c>
      <c r="R5856" s="13">
        <v>45963</v>
      </c>
      <c r="S5856">
        <v>2025</v>
      </c>
      <c r="T5856" s="12" t="s">
        <v>6884</v>
      </c>
      <c r="U5856">
        <v>794</v>
      </c>
      <c r="V5856">
        <v>41.107599999999998</v>
      </c>
      <c r="W5856">
        <v>432.81</v>
      </c>
      <c r="X5856">
        <v>0</v>
      </c>
      <c r="Y5856">
        <v>0</v>
      </c>
      <c r="Z5856">
        <v>32639.43</v>
      </c>
      <c r="AA5856">
        <v>33072.239999999998</v>
      </c>
      <c r="AB5856" s="12" t="s">
        <v>201</v>
      </c>
      <c r="AD5856">
        <v>0</v>
      </c>
      <c r="AE5856">
        <v>0</v>
      </c>
      <c r="AH5856">
        <v>794</v>
      </c>
      <c r="AI5856">
        <v>788</v>
      </c>
      <c r="AJ5856">
        <v>6</v>
      </c>
      <c r="AK5856">
        <v>1</v>
      </c>
      <c r="AL5856">
        <v>1</v>
      </c>
      <c r="AM5856">
        <v>99.24</v>
      </c>
      <c r="AN5856">
        <v>41.969900000000003</v>
      </c>
      <c r="AO5856">
        <v>246.65</v>
      </c>
      <c r="AP5856" s="13">
        <v>45960</v>
      </c>
      <c r="AQ5856">
        <v>-3</v>
      </c>
      <c r="AR5856">
        <v>1</v>
      </c>
    </row>
    <row r="5857" spans="1:44" x14ac:dyDescent="0.35">
      <c r="A5857" s="12" t="s">
        <v>6968</v>
      </c>
      <c r="B5857" s="12" t="s">
        <v>1026</v>
      </c>
      <c r="C5857" s="12" t="s">
        <v>1027</v>
      </c>
      <c r="D5857" s="12" t="s">
        <v>122</v>
      </c>
      <c r="E5857" s="12" t="s">
        <v>104</v>
      </c>
      <c r="F5857">
        <v>3</v>
      </c>
      <c r="G5857">
        <v>1</v>
      </c>
      <c r="H5857">
        <v>0</v>
      </c>
      <c r="I5857" s="12" t="s">
        <v>515</v>
      </c>
      <c r="J5857" s="12" t="s">
        <v>516</v>
      </c>
      <c r="K5857" s="12" t="s">
        <v>68</v>
      </c>
      <c r="L5857" s="12" t="s">
        <v>134</v>
      </c>
      <c r="M5857">
        <v>3.69</v>
      </c>
      <c r="N5857" s="12" t="s">
        <v>97</v>
      </c>
      <c r="O5857" s="12" t="s">
        <v>98</v>
      </c>
      <c r="P5857" s="12" t="s">
        <v>72</v>
      </c>
      <c r="Q5857" s="13">
        <v>45946</v>
      </c>
      <c r="R5857" s="13">
        <v>45959</v>
      </c>
      <c r="S5857">
        <v>2025</v>
      </c>
      <c r="T5857" s="12" t="s">
        <v>6884</v>
      </c>
      <c r="U5857">
        <v>302</v>
      </c>
      <c r="V5857">
        <v>40.803699999999999</v>
      </c>
      <c r="W5857">
        <v>210.26</v>
      </c>
      <c r="X5857">
        <v>0</v>
      </c>
      <c r="Y5857">
        <v>0</v>
      </c>
      <c r="Z5857">
        <v>12322.72</v>
      </c>
      <c r="AA5857">
        <v>12532.98</v>
      </c>
      <c r="AB5857" s="12" t="s">
        <v>201</v>
      </c>
      <c r="AD5857">
        <v>0</v>
      </c>
      <c r="AE5857">
        <v>0</v>
      </c>
      <c r="AH5857">
        <v>302</v>
      </c>
      <c r="AI5857">
        <v>299</v>
      </c>
      <c r="AJ5857">
        <v>3</v>
      </c>
      <c r="AK5857">
        <v>1</v>
      </c>
      <c r="AL5857">
        <v>1</v>
      </c>
      <c r="AM5857">
        <v>99.01</v>
      </c>
      <c r="AN5857">
        <v>41.9163</v>
      </c>
      <c r="AO5857">
        <v>122.41</v>
      </c>
      <c r="AP5857" s="13">
        <v>45959</v>
      </c>
      <c r="AQ5857">
        <v>0</v>
      </c>
      <c r="AR5857">
        <v>1</v>
      </c>
    </row>
    <row r="5858" spans="1:44" x14ac:dyDescent="0.35">
      <c r="A5858" s="12" t="s">
        <v>6969</v>
      </c>
      <c r="B5858" s="12" t="s">
        <v>494</v>
      </c>
      <c r="C5858" s="12" t="s">
        <v>495</v>
      </c>
      <c r="D5858" s="12" t="s">
        <v>175</v>
      </c>
      <c r="E5858" s="12" t="s">
        <v>65</v>
      </c>
      <c r="F5858">
        <v>2</v>
      </c>
      <c r="G5858">
        <v>3</v>
      </c>
      <c r="H5858">
        <v>0</v>
      </c>
      <c r="I5858" s="12" t="s">
        <v>515</v>
      </c>
      <c r="J5858" s="12" t="s">
        <v>516</v>
      </c>
      <c r="K5858" s="12" t="s">
        <v>68</v>
      </c>
      <c r="L5858" s="12" t="s">
        <v>134</v>
      </c>
      <c r="M5858">
        <v>3.69</v>
      </c>
      <c r="N5858" s="12" t="s">
        <v>145</v>
      </c>
      <c r="O5858" s="12" t="s">
        <v>146</v>
      </c>
      <c r="P5858" s="12" t="s">
        <v>109</v>
      </c>
      <c r="Q5858" s="13">
        <v>45946</v>
      </c>
      <c r="R5858" s="13">
        <v>45976</v>
      </c>
      <c r="S5858">
        <v>2025</v>
      </c>
      <c r="T5858" s="12" t="s">
        <v>6884</v>
      </c>
      <c r="U5858">
        <v>81</v>
      </c>
      <c r="V5858">
        <v>153.36940000000001</v>
      </c>
      <c r="W5858">
        <v>119.94</v>
      </c>
      <c r="X5858">
        <v>0</v>
      </c>
      <c r="Y5858">
        <v>0</v>
      </c>
      <c r="Z5858">
        <v>12422.92</v>
      </c>
      <c r="AA5858">
        <v>12542.86</v>
      </c>
      <c r="AB5858" s="12" t="s">
        <v>5442</v>
      </c>
      <c r="AC5858">
        <v>153.36940000000001</v>
      </c>
      <c r="AD5858">
        <v>1</v>
      </c>
      <c r="AE5858">
        <v>1</v>
      </c>
      <c r="AF5858">
        <v>0</v>
      </c>
      <c r="AG5858">
        <v>12422.92</v>
      </c>
      <c r="AH5858">
        <v>81</v>
      </c>
      <c r="AI5858">
        <v>80</v>
      </c>
      <c r="AJ5858">
        <v>1</v>
      </c>
      <c r="AK5858">
        <v>1</v>
      </c>
      <c r="AL5858">
        <v>1</v>
      </c>
      <c r="AM5858">
        <v>98.77</v>
      </c>
      <c r="AN5858">
        <v>156.78579999999999</v>
      </c>
      <c r="AO5858">
        <v>153.37</v>
      </c>
      <c r="AP5858" s="13">
        <v>45974</v>
      </c>
      <c r="AQ5858">
        <v>-2</v>
      </c>
      <c r="AR5858">
        <v>1</v>
      </c>
    </row>
    <row r="5859" spans="1:44" x14ac:dyDescent="0.35">
      <c r="A5859" s="12" t="s">
        <v>6970</v>
      </c>
      <c r="B5859" s="12" t="s">
        <v>902</v>
      </c>
      <c r="C5859" s="12" t="s">
        <v>903</v>
      </c>
      <c r="D5859" s="12" t="s">
        <v>122</v>
      </c>
      <c r="E5859" s="12" t="s">
        <v>142</v>
      </c>
      <c r="F5859">
        <v>1</v>
      </c>
      <c r="G5859">
        <v>6</v>
      </c>
      <c r="H5859">
        <v>1</v>
      </c>
      <c r="I5859" s="12" t="s">
        <v>105</v>
      </c>
      <c r="J5859" s="12" t="s">
        <v>106</v>
      </c>
      <c r="K5859" s="12" t="s">
        <v>81</v>
      </c>
      <c r="L5859" s="12" t="s">
        <v>96</v>
      </c>
      <c r="M5859">
        <v>5.01</v>
      </c>
      <c r="N5859" s="12" t="s">
        <v>70</v>
      </c>
      <c r="O5859" s="12" t="s">
        <v>71</v>
      </c>
      <c r="P5859" s="12" t="s">
        <v>72</v>
      </c>
      <c r="Q5859" s="13">
        <v>45946</v>
      </c>
      <c r="R5859" s="13">
        <v>45985</v>
      </c>
      <c r="S5859">
        <v>2025</v>
      </c>
      <c r="T5859" s="12" t="s">
        <v>6884</v>
      </c>
      <c r="U5859">
        <v>608</v>
      </c>
      <c r="V5859">
        <v>41.5184</v>
      </c>
      <c r="W5859">
        <v>524.85</v>
      </c>
      <c r="X5859">
        <v>0</v>
      </c>
      <c r="Y5859">
        <v>0</v>
      </c>
      <c r="Z5859">
        <v>25243.19</v>
      </c>
      <c r="AA5859">
        <v>25768.04</v>
      </c>
      <c r="AB5859" s="12" t="s">
        <v>5824</v>
      </c>
      <c r="AC5859">
        <v>41.5184</v>
      </c>
      <c r="AD5859">
        <v>1</v>
      </c>
      <c r="AE5859">
        <v>1</v>
      </c>
      <c r="AF5859">
        <v>0</v>
      </c>
      <c r="AG5859">
        <v>25243.19</v>
      </c>
      <c r="AH5859">
        <v>608</v>
      </c>
      <c r="AI5859">
        <v>602</v>
      </c>
      <c r="AJ5859">
        <v>6</v>
      </c>
      <c r="AK5859">
        <v>1</v>
      </c>
      <c r="AL5859">
        <v>1</v>
      </c>
      <c r="AM5859">
        <v>99.01</v>
      </c>
      <c r="AN5859">
        <v>42.804000000000002</v>
      </c>
      <c r="AO5859">
        <v>249.11</v>
      </c>
      <c r="AP5859" s="13">
        <v>45983</v>
      </c>
      <c r="AQ5859">
        <v>-2</v>
      </c>
      <c r="AR5859">
        <v>1</v>
      </c>
    </row>
    <row r="5860" spans="1:44" x14ac:dyDescent="0.35">
      <c r="A5860" s="12" t="s">
        <v>6971</v>
      </c>
      <c r="B5860" s="12" t="s">
        <v>323</v>
      </c>
      <c r="C5860" s="12" t="s">
        <v>324</v>
      </c>
      <c r="D5860" s="12" t="s">
        <v>64</v>
      </c>
      <c r="E5860" s="12" t="s">
        <v>142</v>
      </c>
      <c r="F5860">
        <v>1</v>
      </c>
      <c r="G5860">
        <v>7</v>
      </c>
      <c r="H5860">
        <v>1</v>
      </c>
      <c r="I5860" s="12" t="s">
        <v>143</v>
      </c>
      <c r="J5860" s="12" t="s">
        <v>144</v>
      </c>
      <c r="K5860" s="12" t="s">
        <v>133</v>
      </c>
      <c r="L5860" s="12" t="s">
        <v>96</v>
      </c>
      <c r="M5860">
        <v>5.43</v>
      </c>
      <c r="N5860" s="12" t="s">
        <v>97</v>
      </c>
      <c r="O5860" s="12" t="s">
        <v>98</v>
      </c>
      <c r="P5860" s="12" t="s">
        <v>72</v>
      </c>
      <c r="Q5860" s="13">
        <v>45946</v>
      </c>
      <c r="R5860" s="13">
        <v>45981</v>
      </c>
      <c r="S5860">
        <v>2025</v>
      </c>
      <c r="T5860" s="12" t="s">
        <v>6884</v>
      </c>
      <c r="U5860">
        <v>139</v>
      </c>
      <c r="V5860">
        <v>39.226399999999998</v>
      </c>
      <c r="W5860">
        <v>57.43</v>
      </c>
      <c r="X5860">
        <v>0</v>
      </c>
      <c r="Y5860">
        <v>0</v>
      </c>
      <c r="Z5860">
        <v>5452.47</v>
      </c>
      <c r="AA5860">
        <v>5509.9</v>
      </c>
      <c r="AB5860" s="12" t="s">
        <v>5324</v>
      </c>
      <c r="AC5860">
        <v>39.226399999999998</v>
      </c>
      <c r="AD5860">
        <v>1</v>
      </c>
      <c r="AE5860">
        <v>1</v>
      </c>
      <c r="AF5860">
        <v>0</v>
      </c>
      <c r="AG5860">
        <v>5452.47</v>
      </c>
      <c r="AH5860">
        <v>139</v>
      </c>
      <c r="AI5860">
        <v>139</v>
      </c>
      <c r="AJ5860">
        <v>0</v>
      </c>
      <c r="AK5860">
        <v>1</v>
      </c>
      <c r="AL5860">
        <v>1</v>
      </c>
      <c r="AM5860">
        <v>100</v>
      </c>
      <c r="AN5860">
        <v>39.639600000000002</v>
      </c>
      <c r="AO5860">
        <v>0</v>
      </c>
      <c r="AP5860" s="13">
        <v>45980</v>
      </c>
      <c r="AQ5860">
        <v>-1</v>
      </c>
      <c r="AR5860">
        <v>1</v>
      </c>
    </row>
    <row r="5861" spans="1:44" x14ac:dyDescent="0.35">
      <c r="A5861" s="12" t="s">
        <v>6972</v>
      </c>
      <c r="B5861" s="12" t="s">
        <v>101</v>
      </c>
      <c r="C5861" s="12" t="s">
        <v>102</v>
      </c>
      <c r="D5861" s="12" t="s">
        <v>103</v>
      </c>
      <c r="E5861" s="12" t="s">
        <v>104</v>
      </c>
      <c r="F5861">
        <v>1</v>
      </c>
      <c r="G5861">
        <v>0</v>
      </c>
      <c r="H5861">
        <v>1</v>
      </c>
      <c r="I5861" s="12" t="s">
        <v>105</v>
      </c>
      <c r="J5861" s="12" t="s">
        <v>106</v>
      </c>
      <c r="K5861" s="12" t="s">
        <v>81</v>
      </c>
      <c r="L5861" s="12" t="s">
        <v>96</v>
      </c>
      <c r="M5861">
        <v>5.01</v>
      </c>
      <c r="N5861" s="12" t="s">
        <v>107</v>
      </c>
      <c r="O5861" s="12" t="s">
        <v>108</v>
      </c>
      <c r="P5861" s="12" t="s">
        <v>109</v>
      </c>
      <c r="Q5861" s="13">
        <v>45947</v>
      </c>
      <c r="R5861" s="13">
        <v>45961</v>
      </c>
      <c r="S5861">
        <v>2025</v>
      </c>
      <c r="T5861" s="12" t="s">
        <v>6884</v>
      </c>
      <c r="U5861">
        <v>32</v>
      </c>
      <c r="V5861">
        <v>203.18520000000001</v>
      </c>
      <c r="W5861">
        <v>157.84</v>
      </c>
      <c r="X5861">
        <v>224.73</v>
      </c>
      <c r="Y5861">
        <v>1</v>
      </c>
      <c r="Z5861">
        <v>6501.93</v>
      </c>
      <c r="AA5861">
        <v>6884.5</v>
      </c>
      <c r="AB5861" s="12" t="s">
        <v>5173</v>
      </c>
      <c r="AC5861">
        <v>203.18520000000001</v>
      </c>
      <c r="AD5861">
        <v>1</v>
      </c>
      <c r="AE5861">
        <v>1</v>
      </c>
      <c r="AF5861">
        <v>0</v>
      </c>
      <c r="AG5861">
        <v>6501.93</v>
      </c>
      <c r="AH5861">
        <v>32</v>
      </c>
      <c r="AI5861">
        <v>32</v>
      </c>
      <c r="AJ5861">
        <v>0</v>
      </c>
      <c r="AK5861">
        <v>1</v>
      </c>
      <c r="AL5861">
        <v>1</v>
      </c>
      <c r="AM5861">
        <v>100</v>
      </c>
      <c r="AN5861">
        <v>215.1405</v>
      </c>
      <c r="AO5861">
        <v>0</v>
      </c>
      <c r="AP5861" s="13">
        <v>45960</v>
      </c>
      <c r="AQ5861">
        <v>-1</v>
      </c>
      <c r="AR5861">
        <v>1</v>
      </c>
    </row>
    <row r="5862" spans="1:44" x14ac:dyDescent="0.35">
      <c r="A5862" s="12" t="s">
        <v>6973</v>
      </c>
      <c r="B5862" s="12" t="s">
        <v>412</v>
      </c>
      <c r="C5862" s="12" t="s">
        <v>413</v>
      </c>
      <c r="D5862" s="12" t="s">
        <v>269</v>
      </c>
      <c r="E5862" s="12" t="s">
        <v>65</v>
      </c>
      <c r="F5862">
        <v>1</v>
      </c>
      <c r="G5862">
        <v>2</v>
      </c>
      <c r="H5862">
        <v>1</v>
      </c>
      <c r="I5862" s="12" t="s">
        <v>233</v>
      </c>
      <c r="J5862" s="12" t="s">
        <v>234</v>
      </c>
      <c r="K5862" s="12" t="s">
        <v>125</v>
      </c>
      <c r="L5862" s="12" t="s">
        <v>96</v>
      </c>
      <c r="M5862">
        <v>3.73</v>
      </c>
      <c r="N5862" s="12" t="s">
        <v>135</v>
      </c>
      <c r="O5862" s="12" t="s">
        <v>136</v>
      </c>
      <c r="P5862" s="12" t="s">
        <v>137</v>
      </c>
      <c r="Q5862" s="13">
        <v>45947</v>
      </c>
      <c r="R5862" s="13">
        <v>45975</v>
      </c>
      <c r="S5862">
        <v>2025</v>
      </c>
      <c r="T5862" s="12" t="s">
        <v>6884</v>
      </c>
      <c r="U5862">
        <v>70</v>
      </c>
      <c r="V5862">
        <v>103.87350000000001</v>
      </c>
      <c r="W5862">
        <v>124.41</v>
      </c>
      <c r="X5862">
        <v>239.96</v>
      </c>
      <c r="Y5862">
        <v>1</v>
      </c>
      <c r="Z5862">
        <v>7271.15</v>
      </c>
      <c r="AA5862">
        <v>7635.52</v>
      </c>
      <c r="AB5862" s="12" t="s">
        <v>5424</v>
      </c>
      <c r="AC5862">
        <v>103.87350000000001</v>
      </c>
      <c r="AD5862">
        <v>1</v>
      </c>
      <c r="AE5862">
        <v>1</v>
      </c>
      <c r="AF5862">
        <v>0</v>
      </c>
      <c r="AG5862">
        <v>7271.15</v>
      </c>
      <c r="AH5862">
        <v>70</v>
      </c>
      <c r="AI5862">
        <v>70</v>
      </c>
      <c r="AJ5862">
        <v>0</v>
      </c>
      <c r="AK5862">
        <v>1</v>
      </c>
      <c r="AL5862">
        <v>1</v>
      </c>
      <c r="AM5862">
        <v>100</v>
      </c>
      <c r="AN5862">
        <v>109.0788</v>
      </c>
      <c r="AO5862">
        <v>0</v>
      </c>
      <c r="AP5862" s="13">
        <v>45975</v>
      </c>
      <c r="AQ5862">
        <v>0</v>
      </c>
      <c r="AR5862">
        <v>1</v>
      </c>
    </row>
    <row r="5863" spans="1:44" x14ac:dyDescent="0.35">
      <c r="A5863" s="12" t="s">
        <v>6974</v>
      </c>
      <c r="B5863" s="12" t="s">
        <v>465</v>
      </c>
      <c r="C5863" s="12" t="s">
        <v>466</v>
      </c>
      <c r="D5863" s="12" t="s">
        <v>78</v>
      </c>
      <c r="E5863" s="12" t="s">
        <v>142</v>
      </c>
      <c r="F5863">
        <v>3</v>
      </c>
      <c r="G5863">
        <v>11</v>
      </c>
      <c r="H5863">
        <v>0</v>
      </c>
      <c r="I5863" s="12" t="s">
        <v>195</v>
      </c>
      <c r="J5863" s="12" t="s">
        <v>196</v>
      </c>
      <c r="K5863" s="12" t="s">
        <v>117</v>
      </c>
      <c r="L5863" s="12" t="s">
        <v>134</v>
      </c>
      <c r="M5863">
        <v>4.7699999999999996</v>
      </c>
      <c r="N5863" s="12" t="s">
        <v>70</v>
      </c>
      <c r="O5863" s="12" t="s">
        <v>71</v>
      </c>
      <c r="P5863" s="12" t="s">
        <v>72</v>
      </c>
      <c r="Q5863" s="13">
        <v>45947</v>
      </c>
      <c r="R5863" s="13">
        <v>45985</v>
      </c>
      <c r="S5863">
        <v>2025</v>
      </c>
      <c r="T5863" s="12" t="s">
        <v>6884</v>
      </c>
      <c r="U5863">
        <v>94</v>
      </c>
      <c r="V5863">
        <v>105.56229999999999</v>
      </c>
      <c r="W5863">
        <v>206.32</v>
      </c>
      <c r="X5863">
        <v>0</v>
      </c>
      <c r="Y5863">
        <v>0</v>
      </c>
      <c r="Z5863">
        <v>9922.86</v>
      </c>
      <c r="AA5863">
        <v>10129.18</v>
      </c>
      <c r="AB5863" s="12" t="s">
        <v>5716</v>
      </c>
      <c r="AC5863">
        <v>105.56229999999999</v>
      </c>
      <c r="AD5863">
        <v>1</v>
      </c>
      <c r="AE5863">
        <v>1</v>
      </c>
      <c r="AF5863">
        <v>0</v>
      </c>
      <c r="AG5863">
        <v>9922.86</v>
      </c>
      <c r="AH5863">
        <v>94</v>
      </c>
      <c r="AI5863">
        <v>92</v>
      </c>
      <c r="AJ5863">
        <v>2</v>
      </c>
      <c r="AK5863">
        <v>1</v>
      </c>
      <c r="AL5863">
        <v>1</v>
      </c>
      <c r="AM5863">
        <v>97.87</v>
      </c>
      <c r="AN5863">
        <v>110.0997</v>
      </c>
      <c r="AO5863">
        <v>211.12</v>
      </c>
      <c r="AP5863" s="13">
        <v>45985</v>
      </c>
      <c r="AQ5863">
        <v>0</v>
      </c>
      <c r="AR5863">
        <v>1</v>
      </c>
    </row>
    <row r="5864" spans="1:44" x14ac:dyDescent="0.35">
      <c r="A5864" s="12" t="s">
        <v>6975</v>
      </c>
      <c r="B5864" s="12" t="s">
        <v>62</v>
      </c>
      <c r="C5864" s="12" t="s">
        <v>63</v>
      </c>
      <c r="D5864" s="12" t="s">
        <v>64</v>
      </c>
      <c r="E5864" s="12" t="s">
        <v>65</v>
      </c>
      <c r="F5864">
        <v>1</v>
      </c>
      <c r="G5864">
        <v>2</v>
      </c>
      <c r="H5864">
        <v>1</v>
      </c>
      <c r="I5864" s="12" t="s">
        <v>66</v>
      </c>
      <c r="J5864" s="12" t="s">
        <v>67</v>
      </c>
      <c r="K5864" s="12" t="s">
        <v>68</v>
      </c>
      <c r="L5864" s="12" t="s">
        <v>69</v>
      </c>
      <c r="M5864">
        <v>17.66</v>
      </c>
      <c r="N5864" s="12" t="s">
        <v>70</v>
      </c>
      <c r="O5864" s="12" t="s">
        <v>71</v>
      </c>
      <c r="P5864" s="12" t="s">
        <v>72</v>
      </c>
      <c r="Q5864" s="13">
        <v>45947</v>
      </c>
      <c r="R5864" s="13">
        <v>45975</v>
      </c>
      <c r="S5864">
        <v>2025</v>
      </c>
      <c r="T5864" s="12" t="s">
        <v>6884</v>
      </c>
      <c r="U5864">
        <v>452</v>
      </c>
      <c r="V5864">
        <v>23.718</v>
      </c>
      <c r="W5864">
        <v>200.91</v>
      </c>
      <c r="X5864">
        <v>0</v>
      </c>
      <c r="Y5864">
        <v>0</v>
      </c>
      <c r="Z5864">
        <v>10720.54</v>
      </c>
      <c r="AA5864">
        <v>10921.45</v>
      </c>
      <c r="AB5864" s="12" t="s">
        <v>201</v>
      </c>
      <c r="AD5864">
        <v>0</v>
      </c>
      <c r="AE5864">
        <v>0</v>
      </c>
      <c r="AH5864">
        <v>452</v>
      </c>
      <c r="AI5864">
        <v>450</v>
      </c>
      <c r="AJ5864">
        <v>2</v>
      </c>
      <c r="AK5864">
        <v>1</v>
      </c>
      <c r="AL5864">
        <v>1</v>
      </c>
      <c r="AM5864">
        <v>99.56</v>
      </c>
      <c r="AN5864">
        <v>24.2699</v>
      </c>
      <c r="AO5864">
        <v>47.44</v>
      </c>
      <c r="AP5864" s="13">
        <v>45973</v>
      </c>
      <c r="AQ5864">
        <v>-2</v>
      </c>
      <c r="AR5864">
        <v>1</v>
      </c>
    </row>
    <row r="5865" spans="1:44" x14ac:dyDescent="0.35">
      <c r="A5865" s="12" t="s">
        <v>6976</v>
      </c>
      <c r="B5865" s="12" t="s">
        <v>555</v>
      </c>
      <c r="C5865" s="12" t="s">
        <v>556</v>
      </c>
      <c r="D5865" s="12" t="s">
        <v>114</v>
      </c>
      <c r="E5865" s="12" t="s">
        <v>142</v>
      </c>
      <c r="F5865">
        <v>1</v>
      </c>
      <c r="G5865">
        <v>6</v>
      </c>
      <c r="H5865">
        <v>1</v>
      </c>
      <c r="I5865" s="12" t="s">
        <v>151</v>
      </c>
      <c r="J5865" s="12" t="s">
        <v>152</v>
      </c>
      <c r="K5865" s="12" t="s">
        <v>125</v>
      </c>
      <c r="L5865" s="12" t="s">
        <v>69</v>
      </c>
      <c r="M5865">
        <v>36.479999999999997</v>
      </c>
      <c r="N5865" s="12" t="s">
        <v>97</v>
      </c>
      <c r="O5865" s="12" t="s">
        <v>98</v>
      </c>
      <c r="P5865" s="12" t="s">
        <v>72</v>
      </c>
      <c r="Q5865" s="13">
        <v>45947</v>
      </c>
      <c r="R5865" s="13">
        <v>45991</v>
      </c>
      <c r="S5865">
        <v>2025</v>
      </c>
      <c r="T5865" s="12" t="s">
        <v>6884</v>
      </c>
      <c r="U5865">
        <v>82</v>
      </c>
      <c r="V5865">
        <v>272.19150000000002</v>
      </c>
      <c r="W5865">
        <v>368.91</v>
      </c>
      <c r="X5865">
        <v>750.4</v>
      </c>
      <c r="Y5865">
        <v>1</v>
      </c>
      <c r="Z5865">
        <v>22319.7</v>
      </c>
      <c r="AA5865">
        <v>23439.01</v>
      </c>
      <c r="AB5865" s="12" t="s">
        <v>6121</v>
      </c>
      <c r="AC5865">
        <v>266.68439999999998</v>
      </c>
      <c r="AD5865">
        <v>1</v>
      </c>
      <c r="AE5865">
        <v>1</v>
      </c>
      <c r="AF5865">
        <v>451.58</v>
      </c>
      <c r="AG5865">
        <v>21868.12</v>
      </c>
      <c r="AH5865">
        <v>82</v>
      </c>
      <c r="AI5865">
        <v>81</v>
      </c>
      <c r="AJ5865">
        <v>1</v>
      </c>
      <c r="AK5865">
        <v>1</v>
      </c>
      <c r="AL5865">
        <v>1</v>
      </c>
      <c r="AM5865">
        <v>98.78</v>
      </c>
      <c r="AN5865">
        <v>289.37049999999999</v>
      </c>
      <c r="AO5865">
        <v>272.19</v>
      </c>
      <c r="AP5865" s="13">
        <v>45991</v>
      </c>
      <c r="AQ5865">
        <v>0</v>
      </c>
      <c r="AR5865">
        <v>1</v>
      </c>
    </row>
    <row r="5866" spans="1:44" x14ac:dyDescent="0.35">
      <c r="A5866" s="12" t="s">
        <v>6977</v>
      </c>
      <c r="B5866" s="12" t="s">
        <v>827</v>
      </c>
      <c r="C5866" s="12" t="s">
        <v>828</v>
      </c>
      <c r="D5866" s="12" t="s">
        <v>175</v>
      </c>
      <c r="E5866" s="12" t="s">
        <v>104</v>
      </c>
      <c r="F5866">
        <v>2</v>
      </c>
      <c r="G5866">
        <v>0</v>
      </c>
      <c r="H5866">
        <v>0</v>
      </c>
      <c r="I5866" s="12" t="s">
        <v>183</v>
      </c>
      <c r="J5866" s="12" t="s">
        <v>184</v>
      </c>
      <c r="K5866" s="12" t="s">
        <v>133</v>
      </c>
      <c r="L5866" s="12" t="s">
        <v>82</v>
      </c>
      <c r="M5866">
        <v>8.6199999999999992</v>
      </c>
      <c r="N5866" s="12" t="s">
        <v>145</v>
      </c>
      <c r="O5866" s="12" t="s">
        <v>146</v>
      </c>
      <c r="P5866" s="12" t="s">
        <v>109</v>
      </c>
      <c r="Q5866" s="13">
        <v>45947</v>
      </c>
      <c r="R5866" s="13">
        <v>45962</v>
      </c>
      <c r="S5866">
        <v>2025</v>
      </c>
      <c r="T5866" s="12" t="s">
        <v>6884</v>
      </c>
      <c r="U5866">
        <v>35</v>
      </c>
      <c r="V5866">
        <v>98.427899999999994</v>
      </c>
      <c r="W5866">
        <v>57.74</v>
      </c>
      <c r="X5866">
        <v>113.96</v>
      </c>
      <c r="Y5866">
        <v>1</v>
      </c>
      <c r="Z5866">
        <v>3444.98</v>
      </c>
      <c r="AA5866">
        <v>3616.68</v>
      </c>
      <c r="AB5866" s="12" t="s">
        <v>201</v>
      </c>
      <c r="AD5866">
        <v>0</v>
      </c>
      <c r="AE5866">
        <v>0</v>
      </c>
      <c r="AH5866">
        <v>35</v>
      </c>
      <c r="AI5866">
        <v>35</v>
      </c>
      <c r="AJ5866">
        <v>0</v>
      </c>
      <c r="AK5866">
        <v>1</v>
      </c>
      <c r="AL5866">
        <v>1</v>
      </c>
      <c r="AM5866">
        <v>100</v>
      </c>
      <c r="AN5866">
        <v>103.3336</v>
      </c>
      <c r="AO5866">
        <v>0</v>
      </c>
      <c r="AP5866" s="13">
        <v>45959</v>
      </c>
      <c r="AQ5866">
        <v>-3</v>
      </c>
      <c r="AR5866">
        <v>1</v>
      </c>
    </row>
    <row r="5867" spans="1:44" x14ac:dyDescent="0.35">
      <c r="A5867" s="12" t="s">
        <v>6978</v>
      </c>
      <c r="B5867" s="12" t="s">
        <v>255</v>
      </c>
      <c r="C5867" s="12" t="s">
        <v>256</v>
      </c>
      <c r="D5867" s="12" t="s">
        <v>103</v>
      </c>
      <c r="E5867" s="12" t="s">
        <v>65</v>
      </c>
      <c r="F5867">
        <v>2</v>
      </c>
      <c r="G5867">
        <v>4</v>
      </c>
      <c r="H5867">
        <v>0</v>
      </c>
      <c r="I5867" s="12" t="s">
        <v>251</v>
      </c>
      <c r="J5867" s="12" t="s">
        <v>252</v>
      </c>
      <c r="K5867" s="12" t="s">
        <v>133</v>
      </c>
      <c r="L5867" s="12" t="s">
        <v>69</v>
      </c>
      <c r="M5867">
        <v>34.49</v>
      </c>
      <c r="N5867" s="12" t="s">
        <v>145</v>
      </c>
      <c r="O5867" s="12" t="s">
        <v>146</v>
      </c>
      <c r="P5867" s="12" t="s">
        <v>109</v>
      </c>
      <c r="Q5867" s="13">
        <v>45947</v>
      </c>
      <c r="R5867" s="13">
        <v>45973</v>
      </c>
      <c r="S5867">
        <v>2025</v>
      </c>
      <c r="T5867" s="12" t="s">
        <v>6884</v>
      </c>
      <c r="U5867">
        <v>50</v>
      </c>
      <c r="V5867">
        <v>93.480699999999999</v>
      </c>
      <c r="W5867">
        <v>38.69</v>
      </c>
      <c r="X5867">
        <v>161.12</v>
      </c>
      <c r="Y5867">
        <v>1</v>
      </c>
      <c r="Z5867">
        <v>4674.04</v>
      </c>
      <c r="AA5867">
        <v>4873.8500000000004</v>
      </c>
      <c r="AB5867" s="12" t="s">
        <v>5410</v>
      </c>
      <c r="AC5867">
        <v>93.480699999999999</v>
      </c>
      <c r="AD5867">
        <v>1</v>
      </c>
      <c r="AE5867">
        <v>1</v>
      </c>
      <c r="AF5867">
        <v>0</v>
      </c>
      <c r="AG5867">
        <v>4674.04</v>
      </c>
      <c r="AH5867">
        <v>50</v>
      </c>
      <c r="AI5867">
        <v>50</v>
      </c>
      <c r="AJ5867">
        <v>0</v>
      </c>
      <c r="AK5867">
        <v>1</v>
      </c>
      <c r="AL5867">
        <v>1</v>
      </c>
      <c r="AM5867">
        <v>100</v>
      </c>
      <c r="AN5867">
        <v>97.476900000000001</v>
      </c>
      <c r="AO5867">
        <v>0</v>
      </c>
      <c r="AP5867" s="13">
        <v>45976</v>
      </c>
      <c r="AQ5867">
        <v>3</v>
      </c>
      <c r="AR5867">
        <v>0</v>
      </c>
    </row>
    <row r="5868" spans="1:44" x14ac:dyDescent="0.35">
      <c r="A5868" s="12" t="s">
        <v>6979</v>
      </c>
      <c r="B5868" s="12" t="s">
        <v>458</v>
      </c>
      <c r="C5868" s="12" t="s">
        <v>459</v>
      </c>
      <c r="D5868" s="12" t="s">
        <v>64</v>
      </c>
      <c r="E5868" s="12" t="s">
        <v>104</v>
      </c>
      <c r="F5868">
        <v>2</v>
      </c>
      <c r="G5868">
        <v>0</v>
      </c>
      <c r="H5868">
        <v>0</v>
      </c>
      <c r="I5868" s="12" t="s">
        <v>143</v>
      </c>
      <c r="J5868" s="12" t="s">
        <v>144</v>
      </c>
      <c r="K5868" s="12" t="s">
        <v>133</v>
      </c>
      <c r="L5868" s="12" t="s">
        <v>96</v>
      </c>
      <c r="M5868">
        <v>5.43</v>
      </c>
      <c r="N5868" s="12" t="s">
        <v>97</v>
      </c>
      <c r="O5868" s="12" t="s">
        <v>98</v>
      </c>
      <c r="P5868" s="12" t="s">
        <v>72</v>
      </c>
      <c r="Q5868" s="13">
        <v>45947</v>
      </c>
      <c r="R5868" s="13">
        <v>45968</v>
      </c>
      <c r="S5868">
        <v>2025</v>
      </c>
      <c r="T5868" s="12" t="s">
        <v>6884</v>
      </c>
      <c r="U5868">
        <v>581</v>
      </c>
      <c r="V5868">
        <v>23.3566</v>
      </c>
      <c r="W5868">
        <v>217.43</v>
      </c>
      <c r="X5868">
        <v>0</v>
      </c>
      <c r="Y5868">
        <v>0</v>
      </c>
      <c r="Z5868">
        <v>13570.18</v>
      </c>
      <c r="AA5868">
        <v>13787.61</v>
      </c>
      <c r="AB5868" s="12" t="s">
        <v>5547</v>
      </c>
      <c r="AC5868">
        <v>23.3566</v>
      </c>
      <c r="AD5868">
        <v>1</v>
      </c>
      <c r="AE5868">
        <v>1</v>
      </c>
      <c r="AF5868">
        <v>0</v>
      </c>
      <c r="AG5868">
        <v>13570.18</v>
      </c>
      <c r="AH5868">
        <v>581</v>
      </c>
      <c r="AI5868">
        <v>574</v>
      </c>
      <c r="AJ5868">
        <v>7</v>
      </c>
      <c r="AK5868">
        <v>1</v>
      </c>
      <c r="AL5868">
        <v>1</v>
      </c>
      <c r="AM5868">
        <v>98.8</v>
      </c>
      <c r="AN5868">
        <v>24.020199999999999</v>
      </c>
      <c r="AO5868">
        <v>163.5</v>
      </c>
      <c r="AP5868" s="13">
        <v>45968</v>
      </c>
      <c r="AQ5868">
        <v>0</v>
      </c>
      <c r="AR5868">
        <v>1</v>
      </c>
    </row>
    <row r="5869" spans="1:44" x14ac:dyDescent="0.35">
      <c r="A5869" s="12" t="s">
        <v>6980</v>
      </c>
      <c r="B5869" s="12" t="s">
        <v>215</v>
      </c>
      <c r="C5869" s="12" t="s">
        <v>216</v>
      </c>
      <c r="D5869" s="12" t="s">
        <v>122</v>
      </c>
      <c r="E5869" s="12" t="s">
        <v>142</v>
      </c>
      <c r="F5869">
        <v>3</v>
      </c>
      <c r="G5869">
        <v>11</v>
      </c>
      <c r="H5869">
        <v>0</v>
      </c>
      <c r="I5869" s="12" t="s">
        <v>217</v>
      </c>
      <c r="J5869" s="12" t="s">
        <v>218</v>
      </c>
      <c r="K5869" s="12" t="s">
        <v>68</v>
      </c>
      <c r="L5869" s="12" t="s">
        <v>82</v>
      </c>
      <c r="M5869">
        <v>14.24</v>
      </c>
      <c r="N5869" s="12" t="s">
        <v>70</v>
      </c>
      <c r="O5869" s="12" t="s">
        <v>71</v>
      </c>
      <c r="P5869" s="12" t="s">
        <v>72</v>
      </c>
      <c r="Q5869" s="13">
        <v>45947</v>
      </c>
      <c r="R5869" s="13">
        <v>45984</v>
      </c>
      <c r="S5869">
        <v>2025</v>
      </c>
      <c r="T5869" s="12" t="s">
        <v>6884</v>
      </c>
      <c r="U5869">
        <v>470</v>
      </c>
      <c r="V5869">
        <v>14.1587</v>
      </c>
      <c r="W5869">
        <v>127.64</v>
      </c>
      <c r="X5869">
        <v>0</v>
      </c>
      <c r="Y5869">
        <v>0</v>
      </c>
      <c r="Z5869">
        <v>6654.59</v>
      </c>
      <c r="AA5869">
        <v>6782.23</v>
      </c>
      <c r="AB5869" s="12" t="s">
        <v>5706</v>
      </c>
      <c r="AC5869">
        <v>14.1587</v>
      </c>
      <c r="AD5869">
        <v>1</v>
      </c>
      <c r="AE5869">
        <v>1</v>
      </c>
      <c r="AF5869">
        <v>0</v>
      </c>
      <c r="AG5869">
        <v>6654.59</v>
      </c>
      <c r="AH5869">
        <v>470</v>
      </c>
      <c r="AI5869">
        <v>465</v>
      </c>
      <c r="AJ5869">
        <v>5</v>
      </c>
      <c r="AK5869">
        <v>1</v>
      </c>
      <c r="AL5869">
        <v>1</v>
      </c>
      <c r="AM5869">
        <v>98.94</v>
      </c>
      <c r="AN5869">
        <v>14.5854</v>
      </c>
      <c r="AO5869">
        <v>70.790000000000006</v>
      </c>
      <c r="AP5869" s="13">
        <v>45984</v>
      </c>
      <c r="AQ5869">
        <v>0</v>
      </c>
      <c r="AR5869">
        <v>1</v>
      </c>
    </row>
    <row r="5870" spans="1:44" x14ac:dyDescent="0.35">
      <c r="A5870" s="12" t="s">
        <v>6981</v>
      </c>
      <c r="B5870" s="12" t="s">
        <v>740</v>
      </c>
      <c r="C5870" s="12" t="s">
        <v>741</v>
      </c>
      <c r="D5870" s="12" t="s">
        <v>64</v>
      </c>
      <c r="E5870" s="12" t="s">
        <v>104</v>
      </c>
      <c r="F5870">
        <v>2</v>
      </c>
      <c r="G5870">
        <v>0</v>
      </c>
      <c r="H5870">
        <v>0</v>
      </c>
      <c r="I5870" s="12" t="s">
        <v>183</v>
      </c>
      <c r="J5870" s="12" t="s">
        <v>184</v>
      </c>
      <c r="K5870" s="12" t="s">
        <v>133</v>
      </c>
      <c r="L5870" s="12" t="s">
        <v>82</v>
      </c>
      <c r="M5870">
        <v>8.6199999999999992</v>
      </c>
      <c r="N5870" s="12" t="s">
        <v>97</v>
      </c>
      <c r="O5870" s="12" t="s">
        <v>98</v>
      </c>
      <c r="P5870" s="12" t="s">
        <v>72</v>
      </c>
      <c r="Q5870" s="13">
        <v>45947</v>
      </c>
      <c r="R5870" s="13">
        <v>45966</v>
      </c>
      <c r="S5870">
        <v>2025</v>
      </c>
      <c r="T5870" s="12" t="s">
        <v>6884</v>
      </c>
      <c r="U5870">
        <v>452</v>
      </c>
      <c r="V5870">
        <v>41.1374</v>
      </c>
      <c r="W5870">
        <v>343.82</v>
      </c>
      <c r="X5870">
        <v>0</v>
      </c>
      <c r="Y5870">
        <v>0</v>
      </c>
      <c r="Z5870">
        <v>18594.099999999999</v>
      </c>
      <c r="AA5870">
        <v>18937.919999999998</v>
      </c>
      <c r="AB5870" s="12" t="s">
        <v>5789</v>
      </c>
      <c r="AC5870">
        <v>41.1374</v>
      </c>
      <c r="AD5870">
        <v>1</v>
      </c>
      <c r="AE5870">
        <v>1</v>
      </c>
      <c r="AF5870">
        <v>0</v>
      </c>
      <c r="AG5870">
        <v>18594.099999999999</v>
      </c>
      <c r="AH5870">
        <v>452</v>
      </c>
      <c r="AI5870">
        <v>447</v>
      </c>
      <c r="AJ5870">
        <v>5</v>
      </c>
      <c r="AK5870">
        <v>1</v>
      </c>
      <c r="AL5870">
        <v>1</v>
      </c>
      <c r="AM5870">
        <v>98.89</v>
      </c>
      <c r="AN5870">
        <v>42.366700000000002</v>
      </c>
      <c r="AO5870">
        <v>205.69</v>
      </c>
      <c r="AP5870" s="13">
        <v>45966</v>
      </c>
      <c r="AQ5870">
        <v>0</v>
      </c>
      <c r="AR5870">
        <v>1</v>
      </c>
    </row>
    <row r="5871" spans="1:44" x14ac:dyDescent="0.35">
      <c r="A5871" s="12" t="s">
        <v>6982</v>
      </c>
      <c r="B5871" s="12" t="s">
        <v>902</v>
      </c>
      <c r="C5871" s="12" t="s">
        <v>903</v>
      </c>
      <c r="D5871" s="12" t="s">
        <v>122</v>
      </c>
      <c r="E5871" s="12" t="s">
        <v>142</v>
      </c>
      <c r="F5871">
        <v>1</v>
      </c>
      <c r="G5871">
        <v>6</v>
      </c>
      <c r="H5871">
        <v>1</v>
      </c>
      <c r="I5871" s="12" t="s">
        <v>105</v>
      </c>
      <c r="J5871" s="12" t="s">
        <v>106</v>
      </c>
      <c r="K5871" s="12" t="s">
        <v>81</v>
      </c>
      <c r="L5871" s="12" t="s">
        <v>96</v>
      </c>
      <c r="M5871">
        <v>5.01</v>
      </c>
      <c r="N5871" s="12" t="s">
        <v>70</v>
      </c>
      <c r="O5871" s="12" t="s">
        <v>71</v>
      </c>
      <c r="P5871" s="12" t="s">
        <v>72</v>
      </c>
      <c r="Q5871" s="13">
        <v>45947</v>
      </c>
      <c r="R5871" s="13">
        <v>45995</v>
      </c>
      <c r="S5871">
        <v>2025</v>
      </c>
      <c r="T5871" s="12" t="s">
        <v>6884</v>
      </c>
      <c r="U5871">
        <v>1575</v>
      </c>
      <c r="V5871">
        <v>41.5184</v>
      </c>
      <c r="W5871">
        <v>525.62</v>
      </c>
      <c r="X5871">
        <v>0</v>
      </c>
      <c r="Y5871">
        <v>0</v>
      </c>
      <c r="Z5871">
        <v>65391.48</v>
      </c>
      <c r="AA5871">
        <v>65917.100000000006</v>
      </c>
      <c r="AB5871" s="12" t="s">
        <v>5824</v>
      </c>
      <c r="AC5871">
        <v>41.5184</v>
      </c>
      <c r="AD5871">
        <v>1</v>
      </c>
      <c r="AE5871">
        <v>1</v>
      </c>
      <c r="AF5871">
        <v>0</v>
      </c>
      <c r="AG5871">
        <v>65391.48</v>
      </c>
      <c r="AH5871">
        <v>1575</v>
      </c>
      <c r="AI5871">
        <v>1567</v>
      </c>
      <c r="AJ5871">
        <v>8</v>
      </c>
      <c r="AK5871">
        <v>1</v>
      </c>
      <c r="AL5871">
        <v>1</v>
      </c>
      <c r="AM5871">
        <v>99.49</v>
      </c>
      <c r="AN5871">
        <v>42.065800000000003</v>
      </c>
      <c r="AO5871">
        <v>332.15</v>
      </c>
      <c r="AP5871" s="13">
        <v>45994</v>
      </c>
      <c r="AQ5871">
        <v>-1</v>
      </c>
      <c r="AR5871">
        <v>1</v>
      </c>
    </row>
    <row r="5872" spans="1:44" x14ac:dyDescent="0.35">
      <c r="A5872" s="12" t="s">
        <v>6983</v>
      </c>
      <c r="B5872" s="12" t="s">
        <v>537</v>
      </c>
      <c r="C5872" s="12" t="s">
        <v>538</v>
      </c>
      <c r="D5872" s="12" t="s">
        <v>103</v>
      </c>
      <c r="E5872" s="12" t="s">
        <v>104</v>
      </c>
      <c r="F5872">
        <v>3</v>
      </c>
      <c r="G5872">
        <v>0</v>
      </c>
      <c r="H5872">
        <v>0</v>
      </c>
      <c r="I5872" s="12" t="s">
        <v>380</v>
      </c>
      <c r="J5872" s="12" t="s">
        <v>381</v>
      </c>
      <c r="K5872" s="12" t="s">
        <v>89</v>
      </c>
      <c r="L5872" s="12" t="s">
        <v>96</v>
      </c>
      <c r="M5872">
        <v>10.210000000000001</v>
      </c>
      <c r="N5872" s="12" t="s">
        <v>107</v>
      </c>
      <c r="O5872" s="12" t="s">
        <v>108</v>
      </c>
      <c r="P5872" s="12" t="s">
        <v>109</v>
      </c>
      <c r="Q5872" s="13">
        <v>45950</v>
      </c>
      <c r="R5872" s="13">
        <v>45975</v>
      </c>
      <c r="S5872">
        <v>2025</v>
      </c>
      <c r="T5872" s="12" t="s">
        <v>6884</v>
      </c>
      <c r="U5872">
        <v>113</v>
      </c>
      <c r="V5872">
        <v>242.47130000000001</v>
      </c>
      <c r="W5872">
        <v>545.67999999999995</v>
      </c>
      <c r="X5872">
        <v>0</v>
      </c>
      <c r="Y5872">
        <v>0</v>
      </c>
      <c r="Z5872">
        <v>27399.26</v>
      </c>
      <c r="AA5872">
        <v>27944.94</v>
      </c>
      <c r="AB5872" s="12" t="s">
        <v>6070</v>
      </c>
      <c r="AC5872">
        <v>242.47130000000001</v>
      </c>
      <c r="AD5872">
        <v>1</v>
      </c>
      <c r="AE5872">
        <v>1</v>
      </c>
      <c r="AF5872">
        <v>0</v>
      </c>
      <c r="AG5872">
        <v>27399.26</v>
      </c>
      <c r="AH5872">
        <v>113</v>
      </c>
      <c r="AI5872">
        <v>112</v>
      </c>
      <c r="AJ5872">
        <v>1</v>
      </c>
      <c r="AK5872">
        <v>1</v>
      </c>
      <c r="AL5872">
        <v>1</v>
      </c>
      <c r="AM5872">
        <v>99.12</v>
      </c>
      <c r="AN5872">
        <v>249.50839999999999</v>
      </c>
      <c r="AO5872">
        <v>242.47</v>
      </c>
      <c r="AP5872" s="13">
        <v>45974</v>
      </c>
      <c r="AQ5872">
        <v>-1</v>
      </c>
      <c r="AR5872">
        <v>1</v>
      </c>
    </row>
    <row r="5873" spans="1:44" x14ac:dyDescent="0.35">
      <c r="A5873" s="12" t="s">
        <v>6984</v>
      </c>
      <c r="B5873" s="12" t="s">
        <v>548</v>
      </c>
      <c r="C5873" s="12" t="s">
        <v>549</v>
      </c>
      <c r="D5873" s="12" t="s">
        <v>78</v>
      </c>
      <c r="E5873" s="12" t="s">
        <v>104</v>
      </c>
      <c r="F5873">
        <v>3</v>
      </c>
      <c r="G5873">
        <v>1</v>
      </c>
      <c r="H5873">
        <v>0</v>
      </c>
      <c r="I5873" s="12" t="s">
        <v>223</v>
      </c>
      <c r="J5873" s="12" t="s">
        <v>224</v>
      </c>
      <c r="K5873" s="12" t="s">
        <v>81</v>
      </c>
      <c r="L5873" s="12" t="s">
        <v>134</v>
      </c>
      <c r="M5873">
        <v>2.4900000000000002</v>
      </c>
      <c r="N5873" s="12" t="s">
        <v>70</v>
      </c>
      <c r="O5873" s="12" t="s">
        <v>71</v>
      </c>
      <c r="P5873" s="12" t="s">
        <v>72</v>
      </c>
      <c r="Q5873" s="13">
        <v>45950</v>
      </c>
      <c r="R5873" s="13">
        <v>45968</v>
      </c>
      <c r="S5873">
        <v>2025</v>
      </c>
      <c r="T5873" s="12" t="s">
        <v>6884</v>
      </c>
      <c r="U5873">
        <v>133</v>
      </c>
      <c r="V5873">
        <v>56.384999999999998</v>
      </c>
      <c r="W5873">
        <v>45.56</v>
      </c>
      <c r="X5873">
        <v>0</v>
      </c>
      <c r="Y5873">
        <v>0</v>
      </c>
      <c r="Z5873">
        <v>7499.21</v>
      </c>
      <c r="AA5873">
        <v>7544.77</v>
      </c>
      <c r="AB5873" s="12" t="s">
        <v>6116</v>
      </c>
      <c r="AC5873">
        <v>56.384999999999998</v>
      </c>
      <c r="AD5873">
        <v>1</v>
      </c>
      <c r="AE5873">
        <v>1</v>
      </c>
      <c r="AF5873">
        <v>0</v>
      </c>
      <c r="AG5873">
        <v>7499.21</v>
      </c>
      <c r="AH5873">
        <v>133</v>
      </c>
      <c r="AI5873">
        <v>132</v>
      </c>
      <c r="AJ5873">
        <v>1</v>
      </c>
      <c r="AK5873">
        <v>1</v>
      </c>
      <c r="AL5873">
        <v>1</v>
      </c>
      <c r="AM5873">
        <v>99.25</v>
      </c>
      <c r="AN5873">
        <v>57.157299999999999</v>
      </c>
      <c r="AO5873">
        <v>56.39</v>
      </c>
      <c r="AP5873" s="13">
        <v>45965</v>
      </c>
      <c r="AQ5873">
        <v>-3</v>
      </c>
      <c r="AR5873">
        <v>1</v>
      </c>
    </row>
    <row r="5874" spans="1:44" x14ac:dyDescent="0.35">
      <c r="A5874" s="12" t="s">
        <v>6985</v>
      </c>
      <c r="B5874" s="12" t="s">
        <v>613</v>
      </c>
      <c r="C5874" s="12" t="s">
        <v>614</v>
      </c>
      <c r="D5874" s="12" t="s">
        <v>130</v>
      </c>
      <c r="E5874" s="12" t="s">
        <v>104</v>
      </c>
      <c r="F5874">
        <v>3</v>
      </c>
      <c r="G5874">
        <v>1</v>
      </c>
      <c r="H5874">
        <v>0</v>
      </c>
      <c r="I5874" s="12" t="s">
        <v>676</v>
      </c>
      <c r="J5874" s="12" t="s">
        <v>677</v>
      </c>
      <c r="K5874" s="12" t="s">
        <v>68</v>
      </c>
      <c r="L5874" s="12" t="s">
        <v>96</v>
      </c>
      <c r="M5874">
        <v>3.57</v>
      </c>
      <c r="N5874" s="12" t="s">
        <v>159</v>
      </c>
      <c r="O5874" s="12" t="s">
        <v>160</v>
      </c>
      <c r="P5874" s="12" t="s">
        <v>137</v>
      </c>
      <c r="Q5874" s="13">
        <v>45950</v>
      </c>
      <c r="R5874" s="13">
        <v>45967</v>
      </c>
      <c r="S5874">
        <v>2025</v>
      </c>
      <c r="T5874" s="12" t="s">
        <v>6884</v>
      </c>
      <c r="U5874">
        <v>54</v>
      </c>
      <c r="V5874">
        <v>157.54730000000001</v>
      </c>
      <c r="W5874">
        <v>144.78</v>
      </c>
      <c r="X5874">
        <v>0</v>
      </c>
      <c r="Y5874">
        <v>0</v>
      </c>
      <c r="Z5874">
        <v>8507.5499999999993</v>
      </c>
      <c r="AA5874">
        <v>8652.33</v>
      </c>
      <c r="AB5874" s="12" t="s">
        <v>201</v>
      </c>
      <c r="AD5874">
        <v>0</v>
      </c>
      <c r="AE5874">
        <v>0</v>
      </c>
      <c r="AH5874">
        <v>54</v>
      </c>
      <c r="AI5874">
        <v>53</v>
      </c>
      <c r="AJ5874">
        <v>1</v>
      </c>
      <c r="AK5874">
        <v>1</v>
      </c>
      <c r="AL5874">
        <v>1</v>
      </c>
      <c r="AM5874">
        <v>98.15</v>
      </c>
      <c r="AN5874">
        <v>163.2516</v>
      </c>
      <c r="AO5874">
        <v>157.55000000000001</v>
      </c>
      <c r="AP5874" s="13">
        <v>45967</v>
      </c>
      <c r="AQ5874">
        <v>0</v>
      </c>
      <c r="AR5874">
        <v>1</v>
      </c>
    </row>
    <row r="5875" spans="1:44" x14ac:dyDescent="0.35">
      <c r="A5875" s="12" t="s">
        <v>6986</v>
      </c>
      <c r="B5875" s="12" t="s">
        <v>617</v>
      </c>
      <c r="C5875" s="12" t="s">
        <v>618</v>
      </c>
      <c r="D5875" s="12" t="s">
        <v>78</v>
      </c>
      <c r="E5875" s="12" t="s">
        <v>65</v>
      </c>
      <c r="F5875">
        <v>2</v>
      </c>
      <c r="G5875">
        <v>4</v>
      </c>
      <c r="H5875">
        <v>0</v>
      </c>
      <c r="I5875" s="12" t="s">
        <v>341</v>
      </c>
      <c r="J5875" s="12" t="s">
        <v>342</v>
      </c>
      <c r="K5875" s="12" t="s">
        <v>117</v>
      </c>
      <c r="L5875" s="12" t="s">
        <v>82</v>
      </c>
      <c r="M5875">
        <v>18.36</v>
      </c>
      <c r="N5875" s="12" t="s">
        <v>97</v>
      </c>
      <c r="O5875" s="12" t="s">
        <v>98</v>
      </c>
      <c r="P5875" s="12" t="s">
        <v>72</v>
      </c>
      <c r="Q5875" s="13">
        <v>45950</v>
      </c>
      <c r="R5875" s="13">
        <v>45982</v>
      </c>
      <c r="S5875">
        <v>2025</v>
      </c>
      <c r="T5875" s="12" t="s">
        <v>6884</v>
      </c>
      <c r="U5875">
        <v>205</v>
      </c>
      <c r="V5875">
        <v>97.033799999999999</v>
      </c>
      <c r="W5875">
        <v>509.98</v>
      </c>
      <c r="X5875">
        <v>0</v>
      </c>
      <c r="Y5875">
        <v>0</v>
      </c>
      <c r="Z5875">
        <v>19891.93</v>
      </c>
      <c r="AA5875">
        <v>20401.91</v>
      </c>
      <c r="AB5875" s="12" t="s">
        <v>5541</v>
      </c>
      <c r="AC5875">
        <v>97.033799999999999</v>
      </c>
      <c r="AD5875">
        <v>1</v>
      </c>
      <c r="AE5875">
        <v>1</v>
      </c>
      <c r="AF5875">
        <v>0</v>
      </c>
      <c r="AG5875">
        <v>19891.93</v>
      </c>
      <c r="AH5875">
        <v>205</v>
      </c>
      <c r="AI5875">
        <v>204</v>
      </c>
      <c r="AJ5875">
        <v>1</v>
      </c>
      <c r="AK5875">
        <v>1</v>
      </c>
      <c r="AL5875">
        <v>1</v>
      </c>
      <c r="AM5875">
        <v>99.51</v>
      </c>
      <c r="AN5875">
        <v>100.0094</v>
      </c>
      <c r="AO5875">
        <v>97.03</v>
      </c>
      <c r="AP5875" s="13">
        <v>45982</v>
      </c>
      <c r="AQ5875">
        <v>0</v>
      </c>
      <c r="AR5875">
        <v>1</v>
      </c>
    </row>
    <row r="5876" spans="1:44" x14ac:dyDescent="0.35">
      <c r="A5876" s="12" t="s">
        <v>6987</v>
      </c>
      <c r="B5876" s="12" t="s">
        <v>755</v>
      </c>
      <c r="C5876" s="12" t="s">
        <v>756</v>
      </c>
      <c r="D5876" s="12" t="s">
        <v>78</v>
      </c>
      <c r="E5876" s="12" t="s">
        <v>65</v>
      </c>
      <c r="F5876">
        <v>2</v>
      </c>
      <c r="G5876">
        <v>2</v>
      </c>
      <c r="H5876">
        <v>0</v>
      </c>
      <c r="I5876" s="12" t="s">
        <v>359</v>
      </c>
      <c r="J5876" s="12" t="s">
        <v>360</v>
      </c>
      <c r="K5876" s="12" t="s">
        <v>133</v>
      </c>
      <c r="L5876" s="12" t="s">
        <v>82</v>
      </c>
      <c r="M5876">
        <v>12.65</v>
      </c>
      <c r="N5876" s="12" t="s">
        <v>70</v>
      </c>
      <c r="O5876" s="12" t="s">
        <v>71</v>
      </c>
      <c r="P5876" s="12" t="s">
        <v>72</v>
      </c>
      <c r="Q5876" s="13">
        <v>45950</v>
      </c>
      <c r="R5876" s="13">
        <v>45982</v>
      </c>
      <c r="S5876">
        <v>2025</v>
      </c>
      <c r="T5876" s="12" t="s">
        <v>6884</v>
      </c>
      <c r="U5876">
        <v>209</v>
      </c>
      <c r="V5876">
        <v>40.900399999999998</v>
      </c>
      <c r="W5876">
        <v>143.66</v>
      </c>
      <c r="X5876">
        <v>0</v>
      </c>
      <c r="Y5876">
        <v>0</v>
      </c>
      <c r="Z5876">
        <v>8548.18</v>
      </c>
      <c r="AA5876">
        <v>8691.84</v>
      </c>
      <c r="AB5876" s="12" t="s">
        <v>6215</v>
      </c>
      <c r="AC5876">
        <v>40.900399999999998</v>
      </c>
      <c r="AD5876">
        <v>1</v>
      </c>
      <c r="AE5876">
        <v>1</v>
      </c>
      <c r="AF5876">
        <v>0</v>
      </c>
      <c r="AG5876">
        <v>8548.18</v>
      </c>
      <c r="AH5876">
        <v>209</v>
      </c>
      <c r="AI5876">
        <v>204</v>
      </c>
      <c r="AJ5876">
        <v>5</v>
      </c>
      <c r="AK5876">
        <v>1</v>
      </c>
      <c r="AL5876">
        <v>1</v>
      </c>
      <c r="AM5876">
        <v>97.61</v>
      </c>
      <c r="AN5876">
        <v>42.607100000000003</v>
      </c>
      <c r="AO5876">
        <v>204.5</v>
      </c>
      <c r="AP5876" s="13">
        <v>45981</v>
      </c>
      <c r="AQ5876">
        <v>-1</v>
      </c>
      <c r="AR5876">
        <v>1</v>
      </c>
    </row>
    <row r="5877" spans="1:44" x14ac:dyDescent="0.35">
      <c r="A5877" s="12" t="s">
        <v>6988</v>
      </c>
      <c r="B5877" s="12" t="s">
        <v>732</v>
      </c>
      <c r="C5877" s="12" t="s">
        <v>733</v>
      </c>
      <c r="D5877" s="12" t="s">
        <v>114</v>
      </c>
      <c r="E5877" s="12" t="s">
        <v>104</v>
      </c>
      <c r="F5877">
        <v>3</v>
      </c>
      <c r="G5877">
        <v>1</v>
      </c>
      <c r="H5877">
        <v>0</v>
      </c>
      <c r="I5877" s="12" t="s">
        <v>199</v>
      </c>
      <c r="J5877" s="12" t="s">
        <v>200</v>
      </c>
      <c r="K5877" s="12" t="s">
        <v>68</v>
      </c>
      <c r="L5877" s="12" t="s">
        <v>96</v>
      </c>
      <c r="M5877">
        <v>9.4700000000000006</v>
      </c>
      <c r="N5877" s="12" t="s">
        <v>70</v>
      </c>
      <c r="O5877" s="12" t="s">
        <v>71</v>
      </c>
      <c r="P5877" s="12" t="s">
        <v>72</v>
      </c>
      <c r="Q5877" s="13">
        <v>45950</v>
      </c>
      <c r="R5877" s="13">
        <v>45969</v>
      </c>
      <c r="S5877">
        <v>2025</v>
      </c>
      <c r="T5877" s="12" t="s">
        <v>6884</v>
      </c>
      <c r="U5877">
        <v>69</v>
      </c>
      <c r="V5877">
        <v>301.35410000000002</v>
      </c>
      <c r="W5877">
        <v>167.39</v>
      </c>
      <c r="X5877">
        <v>671.4</v>
      </c>
      <c r="Y5877">
        <v>1</v>
      </c>
      <c r="Z5877">
        <v>20793.43</v>
      </c>
      <c r="AA5877">
        <v>21632.22</v>
      </c>
      <c r="AB5877" s="12" t="s">
        <v>6494</v>
      </c>
      <c r="AC5877">
        <v>294.74509999999998</v>
      </c>
      <c r="AD5877">
        <v>1</v>
      </c>
      <c r="AE5877">
        <v>1</v>
      </c>
      <c r="AF5877">
        <v>456.02</v>
      </c>
      <c r="AG5877">
        <v>20337.41</v>
      </c>
      <c r="AH5877">
        <v>69</v>
      </c>
      <c r="AI5877">
        <v>68</v>
      </c>
      <c r="AJ5877">
        <v>1</v>
      </c>
      <c r="AK5877">
        <v>1</v>
      </c>
      <c r="AL5877">
        <v>1</v>
      </c>
      <c r="AM5877">
        <v>98.55</v>
      </c>
      <c r="AN5877">
        <v>318.12090000000001</v>
      </c>
      <c r="AO5877">
        <v>301.35000000000002</v>
      </c>
      <c r="AP5877" s="13">
        <v>45976</v>
      </c>
      <c r="AQ5877">
        <v>7</v>
      </c>
      <c r="AR5877">
        <v>0</v>
      </c>
    </row>
    <row r="5878" spans="1:44" x14ac:dyDescent="0.35">
      <c r="A5878" s="12" t="s">
        <v>6989</v>
      </c>
      <c r="B5878" s="12" t="s">
        <v>1179</v>
      </c>
      <c r="C5878" s="12" t="s">
        <v>1180</v>
      </c>
      <c r="D5878" s="12" t="s">
        <v>122</v>
      </c>
      <c r="E5878" s="12" t="s">
        <v>142</v>
      </c>
      <c r="F5878">
        <v>1</v>
      </c>
      <c r="G5878">
        <v>8</v>
      </c>
      <c r="H5878">
        <v>1</v>
      </c>
      <c r="I5878" s="12" t="s">
        <v>143</v>
      </c>
      <c r="J5878" s="12" t="s">
        <v>144</v>
      </c>
      <c r="K5878" s="12" t="s">
        <v>133</v>
      </c>
      <c r="L5878" s="12" t="s">
        <v>96</v>
      </c>
      <c r="M5878">
        <v>5.43</v>
      </c>
      <c r="N5878" s="12" t="s">
        <v>97</v>
      </c>
      <c r="O5878" s="12" t="s">
        <v>98</v>
      </c>
      <c r="P5878" s="12" t="s">
        <v>72</v>
      </c>
      <c r="Q5878" s="13">
        <v>45950</v>
      </c>
      <c r="R5878" s="13">
        <v>46001</v>
      </c>
      <c r="S5878">
        <v>2025</v>
      </c>
      <c r="T5878" s="12" t="s">
        <v>6884</v>
      </c>
      <c r="U5878">
        <v>1821</v>
      </c>
      <c r="V5878">
        <v>52.209899999999998</v>
      </c>
      <c r="W5878">
        <v>2194.38</v>
      </c>
      <c r="X5878">
        <v>0</v>
      </c>
      <c r="Y5878">
        <v>0</v>
      </c>
      <c r="Z5878">
        <v>95074.23</v>
      </c>
      <c r="AA5878">
        <v>97268.61</v>
      </c>
      <c r="AB5878" s="12" t="s">
        <v>5533</v>
      </c>
      <c r="AC5878">
        <v>52.209899999999998</v>
      </c>
      <c r="AD5878">
        <v>1</v>
      </c>
      <c r="AE5878">
        <v>1</v>
      </c>
      <c r="AF5878">
        <v>0</v>
      </c>
      <c r="AG5878">
        <v>95074.23</v>
      </c>
      <c r="AH5878">
        <v>1821</v>
      </c>
      <c r="AI5878">
        <v>1816</v>
      </c>
      <c r="AJ5878">
        <v>5</v>
      </c>
      <c r="AK5878">
        <v>1</v>
      </c>
      <c r="AL5878">
        <v>1</v>
      </c>
      <c r="AM5878">
        <v>99.73</v>
      </c>
      <c r="AN5878">
        <v>53.561999999999998</v>
      </c>
      <c r="AO5878">
        <v>261.05</v>
      </c>
      <c r="AP5878" s="13">
        <v>46001</v>
      </c>
      <c r="AQ5878">
        <v>0</v>
      </c>
      <c r="AR5878">
        <v>1</v>
      </c>
    </row>
    <row r="5879" spans="1:44" x14ac:dyDescent="0.35">
      <c r="A5879" s="12" t="s">
        <v>6990</v>
      </c>
      <c r="B5879" s="12" t="s">
        <v>941</v>
      </c>
      <c r="C5879" s="12" t="s">
        <v>942</v>
      </c>
      <c r="D5879" s="12" t="s">
        <v>130</v>
      </c>
      <c r="E5879" s="12" t="s">
        <v>104</v>
      </c>
      <c r="F5879">
        <v>2</v>
      </c>
      <c r="G5879">
        <v>0</v>
      </c>
      <c r="H5879">
        <v>0</v>
      </c>
      <c r="I5879" s="12" t="s">
        <v>131</v>
      </c>
      <c r="J5879" s="12" t="s">
        <v>132</v>
      </c>
      <c r="K5879" s="12" t="s">
        <v>133</v>
      </c>
      <c r="L5879" s="12" t="s">
        <v>134</v>
      </c>
      <c r="M5879">
        <v>1.51</v>
      </c>
      <c r="N5879" s="12" t="s">
        <v>159</v>
      </c>
      <c r="O5879" s="12" t="s">
        <v>160</v>
      </c>
      <c r="P5879" s="12" t="s">
        <v>137</v>
      </c>
      <c r="Q5879" s="13">
        <v>45950</v>
      </c>
      <c r="R5879" s="13">
        <v>45976</v>
      </c>
      <c r="S5879">
        <v>2025</v>
      </c>
      <c r="T5879" s="12" t="s">
        <v>6884</v>
      </c>
      <c r="U5879">
        <v>118</v>
      </c>
      <c r="V5879">
        <v>711.96100000000001</v>
      </c>
      <c r="W5879">
        <v>770.28</v>
      </c>
      <c r="X5879">
        <v>0</v>
      </c>
      <c r="Y5879">
        <v>0</v>
      </c>
      <c r="Z5879">
        <v>84011.4</v>
      </c>
      <c r="AA5879">
        <v>84781.68</v>
      </c>
      <c r="AB5879" s="12" t="s">
        <v>5945</v>
      </c>
      <c r="AC5879">
        <v>711.96100000000001</v>
      </c>
      <c r="AD5879">
        <v>1</v>
      </c>
      <c r="AE5879">
        <v>1</v>
      </c>
      <c r="AF5879">
        <v>0</v>
      </c>
      <c r="AG5879">
        <v>84011.4</v>
      </c>
      <c r="AH5879">
        <v>118</v>
      </c>
      <c r="AI5879">
        <v>109</v>
      </c>
      <c r="AJ5879">
        <v>9</v>
      </c>
      <c r="AK5879">
        <v>1</v>
      </c>
      <c r="AL5879">
        <v>1</v>
      </c>
      <c r="AM5879">
        <v>92.37</v>
      </c>
      <c r="AN5879">
        <v>777.81359999999995</v>
      </c>
      <c r="AO5879">
        <v>6407.65</v>
      </c>
      <c r="AP5879" s="13">
        <v>45974</v>
      </c>
      <c r="AQ5879">
        <v>-2</v>
      </c>
      <c r="AR5879">
        <v>1</v>
      </c>
    </row>
    <row r="5880" spans="1:44" x14ac:dyDescent="0.35">
      <c r="A5880" s="12" t="s">
        <v>6991</v>
      </c>
      <c r="B5880" s="12" t="s">
        <v>902</v>
      </c>
      <c r="C5880" s="12" t="s">
        <v>903</v>
      </c>
      <c r="D5880" s="12" t="s">
        <v>122</v>
      </c>
      <c r="E5880" s="12" t="s">
        <v>142</v>
      </c>
      <c r="F5880">
        <v>1</v>
      </c>
      <c r="G5880">
        <v>6</v>
      </c>
      <c r="H5880">
        <v>1</v>
      </c>
      <c r="I5880" s="12" t="s">
        <v>105</v>
      </c>
      <c r="J5880" s="12" t="s">
        <v>106</v>
      </c>
      <c r="K5880" s="12" t="s">
        <v>81</v>
      </c>
      <c r="L5880" s="12" t="s">
        <v>96</v>
      </c>
      <c r="M5880">
        <v>5.01</v>
      </c>
      <c r="N5880" s="12" t="s">
        <v>97</v>
      </c>
      <c r="O5880" s="12" t="s">
        <v>98</v>
      </c>
      <c r="P5880" s="12" t="s">
        <v>72</v>
      </c>
      <c r="Q5880" s="13">
        <v>45950</v>
      </c>
      <c r="R5880" s="13">
        <v>45988</v>
      </c>
      <c r="S5880">
        <v>2025</v>
      </c>
      <c r="T5880" s="12" t="s">
        <v>6884</v>
      </c>
      <c r="U5880">
        <v>580</v>
      </c>
      <c r="V5880">
        <v>41.5184</v>
      </c>
      <c r="W5880">
        <v>193.78</v>
      </c>
      <c r="X5880">
        <v>0</v>
      </c>
      <c r="Y5880">
        <v>0</v>
      </c>
      <c r="Z5880">
        <v>24080.67</v>
      </c>
      <c r="AA5880">
        <v>24274.45</v>
      </c>
      <c r="AB5880" s="12" t="s">
        <v>5824</v>
      </c>
      <c r="AC5880">
        <v>41.5184</v>
      </c>
      <c r="AD5880">
        <v>1</v>
      </c>
      <c r="AE5880">
        <v>1</v>
      </c>
      <c r="AF5880">
        <v>0</v>
      </c>
      <c r="AG5880">
        <v>24080.67</v>
      </c>
      <c r="AH5880">
        <v>580</v>
      </c>
      <c r="AI5880">
        <v>573</v>
      </c>
      <c r="AJ5880">
        <v>7</v>
      </c>
      <c r="AK5880">
        <v>1</v>
      </c>
      <c r="AL5880">
        <v>1</v>
      </c>
      <c r="AM5880">
        <v>98.79</v>
      </c>
      <c r="AN5880">
        <v>42.363799999999998</v>
      </c>
      <c r="AO5880">
        <v>290.63</v>
      </c>
      <c r="AP5880" s="13">
        <v>45986</v>
      </c>
      <c r="AQ5880">
        <v>-2</v>
      </c>
      <c r="AR5880">
        <v>1</v>
      </c>
    </row>
    <row r="5881" spans="1:44" x14ac:dyDescent="0.35">
      <c r="A5881" s="12" t="s">
        <v>6992</v>
      </c>
      <c r="B5881" s="12" t="s">
        <v>323</v>
      </c>
      <c r="C5881" s="12" t="s">
        <v>324</v>
      </c>
      <c r="D5881" s="12" t="s">
        <v>64</v>
      </c>
      <c r="E5881" s="12" t="s">
        <v>142</v>
      </c>
      <c r="F5881">
        <v>1</v>
      </c>
      <c r="G5881">
        <v>7</v>
      </c>
      <c r="H5881">
        <v>1</v>
      </c>
      <c r="I5881" s="12" t="s">
        <v>143</v>
      </c>
      <c r="J5881" s="12" t="s">
        <v>144</v>
      </c>
      <c r="K5881" s="12" t="s">
        <v>133</v>
      </c>
      <c r="L5881" s="12" t="s">
        <v>96</v>
      </c>
      <c r="M5881">
        <v>5.43</v>
      </c>
      <c r="N5881" s="12" t="s">
        <v>70</v>
      </c>
      <c r="O5881" s="12" t="s">
        <v>71</v>
      </c>
      <c r="P5881" s="12" t="s">
        <v>72</v>
      </c>
      <c r="Q5881" s="13">
        <v>45950</v>
      </c>
      <c r="R5881" s="13">
        <v>45990</v>
      </c>
      <c r="S5881">
        <v>2025</v>
      </c>
      <c r="T5881" s="12" t="s">
        <v>6884</v>
      </c>
      <c r="U5881">
        <v>372</v>
      </c>
      <c r="V5881">
        <v>39.226399999999998</v>
      </c>
      <c r="W5881">
        <v>88.59</v>
      </c>
      <c r="X5881">
        <v>0</v>
      </c>
      <c r="Y5881">
        <v>0</v>
      </c>
      <c r="Z5881">
        <v>14592.22</v>
      </c>
      <c r="AA5881">
        <v>14680.81</v>
      </c>
      <c r="AB5881" s="12" t="s">
        <v>5324</v>
      </c>
      <c r="AC5881">
        <v>39.226399999999998</v>
      </c>
      <c r="AD5881">
        <v>1</v>
      </c>
      <c r="AE5881">
        <v>1</v>
      </c>
      <c r="AF5881">
        <v>0</v>
      </c>
      <c r="AG5881">
        <v>14592.22</v>
      </c>
      <c r="AH5881">
        <v>372</v>
      </c>
      <c r="AI5881">
        <v>371</v>
      </c>
      <c r="AJ5881">
        <v>1</v>
      </c>
      <c r="AK5881">
        <v>1</v>
      </c>
      <c r="AL5881">
        <v>1</v>
      </c>
      <c r="AM5881">
        <v>99.73</v>
      </c>
      <c r="AN5881">
        <v>39.570900000000002</v>
      </c>
      <c r="AO5881">
        <v>39.229999999999997</v>
      </c>
      <c r="AP5881" s="13">
        <v>45987</v>
      </c>
      <c r="AQ5881">
        <v>-3</v>
      </c>
      <c r="AR5881">
        <v>1</v>
      </c>
    </row>
    <row r="5882" spans="1:44" x14ac:dyDescent="0.35">
      <c r="A5882" s="12" t="s">
        <v>6993</v>
      </c>
      <c r="B5882" s="12" t="s">
        <v>609</v>
      </c>
      <c r="C5882" s="12" t="s">
        <v>610</v>
      </c>
      <c r="D5882" s="12" t="s">
        <v>64</v>
      </c>
      <c r="E5882" s="12" t="s">
        <v>104</v>
      </c>
      <c r="F5882">
        <v>1</v>
      </c>
      <c r="G5882">
        <v>0</v>
      </c>
      <c r="H5882">
        <v>1</v>
      </c>
      <c r="I5882" s="12" t="s">
        <v>227</v>
      </c>
      <c r="J5882" s="12" t="s">
        <v>228</v>
      </c>
      <c r="K5882" s="12" t="s">
        <v>89</v>
      </c>
      <c r="L5882" s="12" t="s">
        <v>96</v>
      </c>
      <c r="M5882">
        <v>9.15</v>
      </c>
      <c r="N5882" s="12" t="s">
        <v>97</v>
      </c>
      <c r="O5882" s="12" t="s">
        <v>98</v>
      </c>
      <c r="P5882" s="12" t="s">
        <v>72</v>
      </c>
      <c r="Q5882" s="13">
        <v>45951</v>
      </c>
      <c r="R5882" s="13">
        <v>45969</v>
      </c>
      <c r="S5882">
        <v>2025</v>
      </c>
      <c r="T5882" s="12" t="s">
        <v>6884</v>
      </c>
      <c r="U5882">
        <v>447</v>
      </c>
      <c r="V5882">
        <v>20.683900000000001</v>
      </c>
      <c r="W5882">
        <v>131.51</v>
      </c>
      <c r="X5882">
        <v>0</v>
      </c>
      <c r="Y5882">
        <v>0</v>
      </c>
      <c r="Z5882">
        <v>9245.7000000000007</v>
      </c>
      <c r="AA5882">
        <v>9377.2099999999991</v>
      </c>
      <c r="AB5882" s="12" t="s">
        <v>5573</v>
      </c>
      <c r="AC5882">
        <v>20.683900000000001</v>
      </c>
      <c r="AD5882">
        <v>1</v>
      </c>
      <c r="AE5882">
        <v>1</v>
      </c>
      <c r="AF5882">
        <v>0</v>
      </c>
      <c r="AG5882">
        <v>9245.7000000000007</v>
      </c>
      <c r="AH5882">
        <v>447</v>
      </c>
      <c r="AI5882">
        <v>446</v>
      </c>
      <c r="AJ5882">
        <v>1</v>
      </c>
      <c r="AK5882">
        <v>1</v>
      </c>
      <c r="AL5882">
        <v>1</v>
      </c>
      <c r="AM5882">
        <v>99.78</v>
      </c>
      <c r="AN5882">
        <v>21.025099999999998</v>
      </c>
      <c r="AO5882">
        <v>20.68</v>
      </c>
      <c r="AP5882" s="13">
        <v>45967</v>
      </c>
      <c r="AQ5882">
        <v>-2</v>
      </c>
      <c r="AR5882">
        <v>1</v>
      </c>
    </row>
    <row r="5883" spans="1:44" x14ac:dyDescent="0.35">
      <c r="A5883" s="12" t="s">
        <v>6994</v>
      </c>
      <c r="B5883" s="12" t="s">
        <v>261</v>
      </c>
      <c r="C5883" s="12" t="s">
        <v>262</v>
      </c>
      <c r="D5883" s="12" t="s">
        <v>114</v>
      </c>
      <c r="E5883" s="12" t="s">
        <v>142</v>
      </c>
      <c r="F5883">
        <v>1</v>
      </c>
      <c r="G5883">
        <v>8</v>
      </c>
      <c r="H5883">
        <v>1</v>
      </c>
      <c r="I5883" s="12" t="s">
        <v>263</v>
      </c>
      <c r="J5883" s="12" t="s">
        <v>264</v>
      </c>
      <c r="K5883" s="12" t="s">
        <v>125</v>
      </c>
      <c r="L5883" s="12" t="s">
        <v>82</v>
      </c>
      <c r="M5883">
        <v>10.210000000000001</v>
      </c>
      <c r="N5883" s="12" t="s">
        <v>70</v>
      </c>
      <c r="O5883" s="12" t="s">
        <v>71</v>
      </c>
      <c r="P5883" s="12" t="s">
        <v>72</v>
      </c>
      <c r="Q5883" s="13">
        <v>45951</v>
      </c>
      <c r="R5883" s="13">
        <v>46003</v>
      </c>
      <c r="S5883">
        <v>2025</v>
      </c>
      <c r="T5883" s="12" t="s">
        <v>6884</v>
      </c>
      <c r="U5883">
        <v>142</v>
      </c>
      <c r="V5883">
        <v>154.14320000000001</v>
      </c>
      <c r="W5883">
        <v>336.34</v>
      </c>
      <c r="X5883">
        <v>0</v>
      </c>
      <c r="Y5883">
        <v>0</v>
      </c>
      <c r="Z5883">
        <v>21888.33</v>
      </c>
      <c r="AA5883">
        <v>22224.67</v>
      </c>
      <c r="AB5883" s="12" t="s">
        <v>201</v>
      </c>
      <c r="AD5883">
        <v>0</v>
      </c>
      <c r="AE5883">
        <v>0</v>
      </c>
      <c r="AH5883">
        <v>142</v>
      </c>
      <c r="AI5883">
        <v>138</v>
      </c>
      <c r="AJ5883">
        <v>4</v>
      </c>
      <c r="AK5883">
        <v>1</v>
      </c>
      <c r="AL5883">
        <v>1</v>
      </c>
      <c r="AM5883">
        <v>97.18</v>
      </c>
      <c r="AN5883">
        <v>161.04839999999999</v>
      </c>
      <c r="AO5883">
        <v>616.57000000000005</v>
      </c>
      <c r="AP5883" s="13">
        <v>46000</v>
      </c>
      <c r="AQ5883">
        <v>-3</v>
      </c>
      <c r="AR5883">
        <v>1</v>
      </c>
    </row>
    <row r="5884" spans="1:44" x14ac:dyDescent="0.35">
      <c r="A5884" s="12" t="s">
        <v>6995</v>
      </c>
      <c r="B5884" s="12" t="s">
        <v>399</v>
      </c>
      <c r="C5884" s="12" t="s">
        <v>400</v>
      </c>
      <c r="D5884" s="12" t="s">
        <v>114</v>
      </c>
      <c r="E5884" s="12" t="s">
        <v>65</v>
      </c>
      <c r="F5884">
        <v>1</v>
      </c>
      <c r="G5884">
        <v>2</v>
      </c>
      <c r="H5884">
        <v>1</v>
      </c>
      <c r="I5884" s="12" t="s">
        <v>151</v>
      </c>
      <c r="J5884" s="12" t="s">
        <v>152</v>
      </c>
      <c r="K5884" s="12" t="s">
        <v>125</v>
      </c>
      <c r="L5884" s="12" t="s">
        <v>69</v>
      </c>
      <c r="M5884">
        <v>36.479999999999997</v>
      </c>
      <c r="N5884" s="12" t="s">
        <v>70</v>
      </c>
      <c r="O5884" s="12" t="s">
        <v>71</v>
      </c>
      <c r="P5884" s="12" t="s">
        <v>72</v>
      </c>
      <c r="Q5884" s="13">
        <v>45951</v>
      </c>
      <c r="R5884" s="13">
        <v>45972</v>
      </c>
      <c r="S5884">
        <v>2025</v>
      </c>
      <c r="T5884" s="12" t="s">
        <v>6884</v>
      </c>
      <c r="U5884">
        <v>13</v>
      </c>
      <c r="V5884">
        <v>318.62220000000002</v>
      </c>
      <c r="W5884">
        <v>26.18</v>
      </c>
      <c r="X5884">
        <v>0</v>
      </c>
      <c r="Y5884">
        <v>0</v>
      </c>
      <c r="Z5884">
        <v>4142.09</v>
      </c>
      <c r="AA5884">
        <v>4168.2700000000004</v>
      </c>
      <c r="AB5884" s="12" t="s">
        <v>201</v>
      </c>
      <c r="AD5884">
        <v>0</v>
      </c>
      <c r="AE5884">
        <v>0</v>
      </c>
      <c r="AH5884">
        <v>13</v>
      </c>
      <c r="AI5884">
        <v>13</v>
      </c>
      <c r="AJ5884">
        <v>0</v>
      </c>
      <c r="AK5884">
        <v>1</v>
      </c>
      <c r="AL5884">
        <v>1</v>
      </c>
      <c r="AM5884">
        <v>100</v>
      </c>
      <c r="AN5884">
        <v>320.63600000000002</v>
      </c>
      <c r="AO5884">
        <v>0</v>
      </c>
      <c r="AP5884" s="13">
        <v>45974</v>
      </c>
      <c r="AQ5884">
        <v>2</v>
      </c>
      <c r="AR5884">
        <v>0</v>
      </c>
    </row>
    <row r="5885" spans="1:44" x14ac:dyDescent="0.35">
      <c r="A5885" s="12" t="s">
        <v>6996</v>
      </c>
      <c r="B5885" s="12" t="s">
        <v>694</v>
      </c>
      <c r="C5885" s="12" t="s">
        <v>695</v>
      </c>
      <c r="D5885" s="12" t="s">
        <v>103</v>
      </c>
      <c r="E5885" s="12" t="s">
        <v>65</v>
      </c>
      <c r="F5885">
        <v>2</v>
      </c>
      <c r="G5885">
        <v>3</v>
      </c>
      <c r="H5885">
        <v>0</v>
      </c>
      <c r="I5885" s="12" t="s">
        <v>263</v>
      </c>
      <c r="J5885" s="12" t="s">
        <v>264</v>
      </c>
      <c r="K5885" s="12" t="s">
        <v>125</v>
      </c>
      <c r="L5885" s="12" t="s">
        <v>82</v>
      </c>
      <c r="M5885">
        <v>10.210000000000001</v>
      </c>
      <c r="N5885" s="12" t="s">
        <v>145</v>
      </c>
      <c r="O5885" s="12" t="s">
        <v>146</v>
      </c>
      <c r="P5885" s="12" t="s">
        <v>109</v>
      </c>
      <c r="Q5885" s="13">
        <v>45951</v>
      </c>
      <c r="R5885" s="13">
        <v>45985</v>
      </c>
      <c r="S5885">
        <v>2025</v>
      </c>
      <c r="T5885" s="12" t="s">
        <v>6884</v>
      </c>
      <c r="U5885">
        <v>112</v>
      </c>
      <c r="V5885">
        <v>194.91050000000001</v>
      </c>
      <c r="W5885">
        <v>200.06</v>
      </c>
      <c r="X5885">
        <v>0</v>
      </c>
      <c r="Y5885">
        <v>0</v>
      </c>
      <c r="Z5885">
        <v>21829.98</v>
      </c>
      <c r="AA5885">
        <v>22030.04</v>
      </c>
      <c r="AB5885" s="12" t="s">
        <v>5721</v>
      </c>
      <c r="AC5885">
        <v>206.7869</v>
      </c>
      <c r="AD5885">
        <v>1</v>
      </c>
      <c r="AE5885">
        <v>1</v>
      </c>
      <c r="AF5885">
        <v>-1330.16</v>
      </c>
      <c r="AG5885">
        <v>23160.13</v>
      </c>
      <c r="AH5885">
        <v>112</v>
      </c>
      <c r="AI5885">
        <v>111</v>
      </c>
      <c r="AJ5885">
        <v>1</v>
      </c>
      <c r="AK5885">
        <v>1</v>
      </c>
      <c r="AL5885">
        <v>1</v>
      </c>
      <c r="AM5885">
        <v>99.11</v>
      </c>
      <c r="AN5885">
        <v>198.46879999999999</v>
      </c>
      <c r="AO5885">
        <v>194.91</v>
      </c>
      <c r="AP5885" s="13">
        <v>45985</v>
      </c>
      <c r="AQ5885">
        <v>0</v>
      </c>
      <c r="AR5885">
        <v>1</v>
      </c>
    </row>
    <row r="5886" spans="1:44" x14ac:dyDescent="0.35">
      <c r="A5886" s="12" t="s">
        <v>6997</v>
      </c>
      <c r="B5886" s="12" t="s">
        <v>408</v>
      </c>
      <c r="C5886" s="12" t="s">
        <v>409</v>
      </c>
      <c r="D5886" s="12" t="s">
        <v>130</v>
      </c>
      <c r="E5886" s="12" t="s">
        <v>65</v>
      </c>
      <c r="F5886">
        <v>3</v>
      </c>
      <c r="G5886">
        <v>5</v>
      </c>
      <c r="H5886">
        <v>0</v>
      </c>
      <c r="I5886" s="12" t="s">
        <v>105</v>
      </c>
      <c r="J5886" s="12" t="s">
        <v>106</v>
      </c>
      <c r="K5886" s="12" t="s">
        <v>81</v>
      </c>
      <c r="L5886" s="12" t="s">
        <v>96</v>
      </c>
      <c r="M5886">
        <v>5.01</v>
      </c>
      <c r="N5886" s="12" t="s">
        <v>135</v>
      </c>
      <c r="O5886" s="12" t="s">
        <v>136</v>
      </c>
      <c r="P5886" s="12" t="s">
        <v>137</v>
      </c>
      <c r="Q5886" s="13">
        <v>45951</v>
      </c>
      <c r="R5886" s="13">
        <v>45985</v>
      </c>
      <c r="S5886">
        <v>2025</v>
      </c>
      <c r="T5886" s="12" t="s">
        <v>6884</v>
      </c>
      <c r="U5886">
        <v>115</v>
      </c>
      <c r="V5886">
        <v>724.06979999999999</v>
      </c>
      <c r="W5886">
        <v>1078.72</v>
      </c>
      <c r="X5886">
        <v>0</v>
      </c>
      <c r="Y5886">
        <v>0</v>
      </c>
      <c r="Z5886">
        <v>83268.03</v>
      </c>
      <c r="AA5886">
        <v>84346.75</v>
      </c>
      <c r="AB5886" s="12" t="s">
        <v>5490</v>
      </c>
      <c r="AC5886">
        <v>724.06979999999999</v>
      </c>
      <c r="AD5886">
        <v>1</v>
      </c>
      <c r="AE5886">
        <v>1</v>
      </c>
      <c r="AF5886">
        <v>0</v>
      </c>
      <c r="AG5886">
        <v>83268.03</v>
      </c>
      <c r="AH5886">
        <v>115</v>
      </c>
      <c r="AI5886">
        <v>114</v>
      </c>
      <c r="AJ5886">
        <v>1</v>
      </c>
      <c r="AK5886">
        <v>1</v>
      </c>
      <c r="AL5886">
        <v>1</v>
      </c>
      <c r="AM5886">
        <v>99.13</v>
      </c>
      <c r="AN5886">
        <v>739.88369999999998</v>
      </c>
      <c r="AO5886">
        <v>724.07</v>
      </c>
      <c r="AP5886" s="13">
        <v>45983</v>
      </c>
      <c r="AQ5886">
        <v>-2</v>
      </c>
      <c r="AR5886">
        <v>1</v>
      </c>
    </row>
    <row r="5887" spans="1:44" x14ac:dyDescent="0.35">
      <c r="A5887" s="12" t="s">
        <v>6998</v>
      </c>
      <c r="B5887" s="12" t="s">
        <v>519</v>
      </c>
      <c r="C5887" s="12" t="s">
        <v>520</v>
      </c>
      <c r="D5887" s="12" t="s">
        <v>78</v>
      </c>
      <c r="E5887" s="12" t="s">
        <v>65</v>
      </c>
      <c r="F5887">
        <v>2</v>
      </c>
      <c r="G5887">
        <v>3</v>
      </c>
      <c r="H5887">
        <v>0</v>
      </c>
      <c r="I5887" s="12" t="s">
        <v>143</v>
      </c>
      <c r="J5887" s="12" t="s">
        <v>144</v>
      </c>
      <c r="K5887" s="12" t="s">
        <v>133</v>
      </c>
      <c r="L5887" s="12" t="s">
        <v>96</v>
      </c>
      <c r="M5887">
        <v>5.43</v>
      </c>
      <c r="N5887" s="12" t="s">
        <v>70</v>
      </c>
      <c r="O5887" s="12" t="s">
        <v>71</v>
      </c>
      <c r="P5887" s="12" t="s">
        <v>72</v>
      </c>
      <c r="Q5887" s="13">
        <v>45951</v>
      </c>
      <c r="R5887" s="13">
        <v>45975</v>
      </c>
      <c r="S5887">
        <v>2025</v>
      </c>
      <c r="T5887" s="12" t="s">
        <v>6884</v>
      </c>
      <c r="U5887">
        <v>96</v>
      </c>
      <c r="V5887">
        <v>28.570399999999999</v>
      </c>
      <c r="W5887">
        <v>47.71</v>
      </c>
      <c r="X5887">
        <v>0</v>
      </c>
      <c r="Y5887">
        <v>0</v>
      </c>
      <c r="Z5887">
        <v>2742.76</v>
      </c>
      <c r="AA5887">
        <v>2790.47</v>
      </c>
      <c r="AB5887" s="12" t="s">
        <v>5619</v>
      </c>
      <c r="AC5887">
        <v>28.570399999999999</v>
      </c>
      <c r="AD5887">
        <v>1</v>
      </c>
      <c r="AE5887">
        <v>1</v>
      </c>
      <c r="AF5887">
        <v>0</v>
      </c>
      <c r="AG5887">
        <v>2742.76</v>
      </c>
      <c r="AH5887">
        <v>96</v>
      </c>
      <c r="AI5887">
        <v>95</v>
      </c>
      <c r="AJ5887">
        <v>1</v>
      </c>
      <c r="AK5887">
        <v>1</v>
      </c>
      <c r="AL5887">
        <v>1</v>
      </c>
      <c r="AM5887">
        <v>98.96</v>
      </c>
      <c r="AN5887">
        <v>29.3734</v>
      </c>
      <c r="AO5887">
        <v>28.57</v>
      </c>
      <c r="AP5887" s="13">
        <v>45972</v>
      </c>
      <c r="AQ5887">
        <v>-3</v>
      </c>
      <c r="AR5887">
        <v>1</v>
      </c>
    </row>
    <row r="5888" spans="1:44" x14ac:dyDescent="0.35">
      <c r="A5888" s="12" t="s">
        <v>6999</v>
      </c>
      <c r="B5888" s="12" t="s">
        <v>621</v>
      </c>
      <c r="C5888" s="12" t="s">
        <v>622</v>
      </c>
      <c r="D5888" s="12" t="s">
        <v>103</v>
      </c>
      <c r="E5888" s="12" t="s">
        <v>65</v>
      </c>
      <c r="F5888">
        <v>1</v>
      </c>
      <c r="G5888">
        <v>2</v>
      </c>
      <c r="H5888">
        <v>1</v>
      </c>
      <c r="I5888" s="12" t="s">
        <v>486</v>
      </c>
      <c r="J5888" s="12" t="s">
        <v>487</v>
      </c>
      <c r="K5888" s="12" t="s">
        <v>125</v>
      </c>
      <c r="L5888" s="12" t="s">
        <v>69</v>
      </c>
      <c r="M5888">
        <v>36.86</v>
      </c>
      <c r="N5888" s="12" t="s">
        <v>145</v>
      </c>
      <c r="O5888" s="12" t="s">
        <v>146</v>
      </c>
      <c r="P5888" s="12" t="s">
        <v>109</v>
      </c>
      <c r="Q5888" s="13">
        <v>45951</v>
      </c>
      <c r="R5888" s="13">
        <v>45986</v>
      </c>
      <c r="S5888">
        <v>2025</v>
      </c>
      <c r="T5888" s="12" t="s">
        <v>6884</v>
      </c>
      <c r="U5888">
        <v>122</v>
      </c>
      <c r="V5888">
        <v>188.87090000000001</v>
      </c>
      <c r="W5888">
        <v>177.54</v>
      </c>
      <c r="X5888">
        <v>0</v>
      </c>
      <c r="Y5888">
        <v>0</v>
      </c>
      <c r="Z5888">
        <v>23042.25</v>
      </c>
      <c r="AA5888">
        <v>23219.79</v>
      </c>
      <c r="AB5888" s="12" t="s">
        <v>5123</v>
      </c>
      <c r="AC5888">
        <v>200.7516</v>
      </c>
      <c r="AD5888">
        <v>1</v>
      </c>
      <c r="AE5888">
        <v>1</v>
      </c>
      <c r="AF5888">
        <v>-1449.45</v>
      </c>
      <c r="AG5888">
        <v>24491.7</v>
      </c>
      <c r="AH5888">
        <v>122</v>
      </c>
      <c r="AI5888">
        <v>120</v>
      </c>
      <c r="AJ5888">
        <v>2</v>
      </c>
      <c r="AK5888">
        <v>1</v>
      </c>
      <c r="AL5888">
        <v>1</v>
      </c>
      <c r="AM5888">
        <v>98.36</v>
      </c>
      <c r="AN5888">
        <v>193.4982</v>
      </c>
      <c r="AO5888">
        <v>377.74</v>
      </c>
      <c r="AP5888" s="13">
        <v>45984</v>
      </c>
      <c r="AQ5888">
        <v>-2</v>
      </c>
      <c r="AR5888">
        <v>1</v>
      </c>
    </row>
    <row r="5889" spans="1:44" x14ac:dyDescent="0.35">
      <c r="A5889" s="12" t="s">
        <v>7000</v>
      </c>
      <c r="B5889" s="12" t="s">
        <v>809</v>
      </c>
      <c r="C5889" s="12" t="s">
        <v>810</v>
      </c>
      <c r="D5889" s="12" t="s">
        <v>114</v>
      </c>
      <c r="E5889" s="12" t="s">
        <v>65</v>
      </c>
      <c r="F5889">
        <v>3</v>
      </c>
      <c r="G5889">
        <v>5</v>
      </c>
      <c r="H5889">
        <v>0</v>
      </c>
      <c r="I5889" s="12" t="s">
        <v>804</v>
      </c>
      <c r="J5889" s="12" t="s">
        <v>342</v>
      </c>
      <c r="K5889" s="12" t="s">
        <v>117</v>
      </c>
      <c r="L5889" s="12" t="s">
        <v>69</v>
      </c>
      <c r="M5889">
        <v>30.07</v>
      </c>
      <c r="N5889" s="12" t="s">
        <v>70</v>
      </c>
      <c r="O5889" s="12" t="s">
        <v>71</v>
      </c>
      <c r="P5889" s="12" t="s">
        <v>72</v>
      </c>
      <c r="Q5889" s="13">
        <v>45951</v>
      </c>
      <c r="R5889" s="13">
        <v>45977</v>
      </c>
      <c r="S5889">
        <v>2025</v>
      </c>
      <c r="T5889" s="12" t="s">
        <v>6884</v>
      </c>
      <c r="U5889">
        <v>55</v>
      </c>
      <c r="V5889">
        <v>302.71480000000003</v>
      </c>
      <c r="W5889">
        <v>206.3</v>
      </c>
      <c r="X5889">
        <v>0</v>
      </c>
      <c r="Y5889">
        <v>0</v>
      </c>
      <c r="Z5889">
        <v>16649.310000000001</v>
      </c>
      <c r="AA5889">
        <v>16855.61</v>
      </c>
      <c r="AB5889" s="12" t="s">
        <v>5511</v>
      </c>
      <c r="AC5889">
        <v>302.71480000000003</v>
      </c>
      <c r="AD5889">
        <v>1</v>
      </c>
      <c r="AE5889">
        <v>1</v>
      </c>
      <c r="AF5889">
        <v>0</v>
      </c>
      <c r="AG5889">
        <v>16649.310000000001</v>
      </c>
      <c r="AH5889">
        <v>55</v>
      </c>
      <c r="AI5889">
        <v>54</v>
      </c>
      <c r="AJ5889">
        <v>1</v>
      </c>
      <c r="AK5889">
        <v>1</v>
      </c>
      <c r="AL5889">
        <v>1</v>
      </c>
      <c r="AM5889">
        <v>98.18</v>
      </c>
      <c r="AN5889">
        <v>312.14100000000002</v>
      </c>
      <c r="AO5889">
        <v>302.70999999999998</v>
      </c>
      <c r="AP5889" s="13">
        <v>45975</v>
      </c>
      <c r="AQ5889">
        <v>-2</v>
      </c>
      <c r="AR5889">
        <v>1</v>
      </c>
    </row>
    <row r="5890" spans="1:44" x14ac:dyDescent="0.35">
      <c r="A5890" s="12" t="s">
        <v>7001</v>
      </c>
      <c r="B5890" s="12" t="s">
        <v>809</v>
      </c>
      <c r="C5890" s="12" t="s">
        <v>810</v>
      </c>
      <c r="D5890" s="12" t="s">
        <v>114</v>
      </c>
      <c r="E5890" s="12" t="s">
        <v>65</v>
      </c>
      <c r="F5890">
        <v>3</v>
      </c>
      <c r="G5890">
        <v>5</v>
      </c>
      <c r="H5890">
        <v>0</v>
      </c>
      <c r="I5890" s="12" t="s">
        <v>811</v>
      </c>
      <c r="J5890" s="12" t="s">
        <v>812</v>
      </c>
      <c r="K5890" s="12" t="s">
        <v>117</v>
      </c>
      <c r="L5890" s="12" t="s">
        <v>69</v>
      </c>
      <c r="M5890">
        <v>26.4</v>
      </c>
      <c r="N5890" s="12" t="s">
        <v>97</v>
      </c>
      <c r="O5890" s="12" t="s">
        <v>98</v>
      </c>
      <c r="P5890" s="12" t="s">
        <v>72</v>
      </c>
      <c r="Q5890" s="13">
        <v>45951</v>
      </c>
      <c r="R5890" s="13">
        <v>45975</v>
      </c>
      <c r="S5890">
        <v>2025</v>
      </c>
      <c r="T5890" s="12" t="s">
        <v>6884</v>
      </c>
      <c r="U5890">
        <v>38</v>
      </c>
      <c r="V5890">
        <v>315.6524</v>
      </c>
      <c r="W5890">
        <v>298.86</v>
      </c>
      <c r="X5890">
        <v>0</v>
      </c>
      <c r="Y5890">
        <v>0</v>
      </c>
      <c r="Z5890">
        <v>11994.79</v>
      </c>
      <c r="AA5890">
        <v>12293.65</v>
      </c>
      <c r="AB5890" s="12" t="s">
        <v>5977</v>
      </c>
      <c r="AC5890">
        <v>315.6524</v>
      </c>
      <c r="AD5890">
        <v>1</v>
      </c>
      <c r="AE5890">
        <v>1</v>
      </c>
      <c r="AF5890">
        <v>0</v>
      </c>
      <c r="AG5890">
        <v>11994.79</v>
      </c>
      <c r="AH5890">
        <v>38</v>
      </c>
      <c r="AI5890">
        <v>38</v>
      </c>
      <c r="AJ5890">
        <v>0</v>
      </c>
      <c r="AK5890">
        <v>1</v>
      </c>
      <c r="AL5890">
        <v>1</v>
      </c>
      <c r="AM5890">
        <v>100</v>
      </c>
      <c r="AN5890">
        <v>323.51710000000003</v>
      </c>
      <c r="AO5890">
        <v>0</v>
      </c>
      <c r="AP5890" s="13">
        <v>45971</v>
      </c>
      <c r="AQ5890">
        <v>-4</v>
      </c>
      <c r="AR5890">
        <v>1</v>
      </c>
    </row>
    <row r="5891" spans="1:44" x14ac:dyDescent="0.35">
      <c r="A5891" s="12" t="s">
        <v>7002</v>
      </c>
      <c r="B5891" s="12" t="s">
        <v>827</v>
      </c>
      <c r="C5891" s="12" t="s">
        <v>828</v>
      </c>
      <c r="D5891" s="12" t="s">
        <v>175</v>
      </c>
      <c r="E5891" s="12" t="s">
        <v>104</v>
      </c>
      <c r="F5891">
        <v>2</v>
      </c>
      <c r="G5891">
        <v>0</v>
      </c>
      <c r="H5891">
        <v>0</v>
      </c>
      <c r="I5891" s="12" t="s">
        <v>183</v>
      </c>
      <c r="J5891" s="12" t="s">
        <v>184</v>
      </c>
      <c r="K5891" s="12" t="s">
        <v>133</v>
      </c>
      <c r="L5891" s="12" t="s">
        <v>82</v>
      </c>
      <c r="M5891">
        <v>8.6199999999999992</v>
      </c>
      <c r="N5891" s="12" t="s">
        <v>107</v>
      </c>
      <c r="O5891" s="12" t="s">
        <v>108</v>
      </c>
      <c r="P5891" s="12" t="s">
        <v>109</v>
      </c>
      <c r="Q5891" s="13">
        <v>45951</v>
      </c>
      <c r="R5891" s="13">
        <v>45973</v>
      </c>
      <c r="S5891">
        <v>2025</v>
      </c>
      <c r="T5891" s="12" t="s">
        <v>6884</v>
      </c>
      <c r="U5891">
        <v>92</v>
      </c>
      <c r="V5891">
        <v>99.244399999999999</v>
      </c>
      <c r="W5891">
        <v>213.93</v>
      </c>
      <c r="X5891">
        <v>0</v>
      </c>
      <c r="Y5891">
        <v>0</v>
      </c>
      <c r="Z5891">
        <v>9130.48</v>
      </c>
      <c r="AA5891">
        <v>9344.41</v>
      </c>
      <c r="AB5891" s="12" t="s">
        <v>201</v>
      </c>
      <c r="AD5891">
        <v>0</v>
      </c>
      <c r="AE5891">
        <v>0</v>
      </c>
      <c r="AH5891">
        <v>92</v>
      </c>
      <c r="AI5891">
        <v>92</v>
      </c>
      <c r="AJ5891">
        <v>0</v>
      </c>
      <c r="AK5891">
        <v>1</v>
      </c>
      <c r="AL5891">
        <v>1</v>
      </c>
      <c r="AM5891">
        <v>100</v>
      </c>
      <c r="AN5891">
        <v>101.5697</v>
      </c>
      <c r="AO5891">
        <v>0</v>
      </c>
      <c r="AP5891" s="13">
        <v>45970</v>
      </c>
      <c r="AQ5891">
        <v>-3</v>
      </c>
      <c r="AR5891">
        <v>1</v>
      </c>
    </row>
    <row r="5892" spans="1:44" x14ac:dyDescent="0.35">
      <c r="A5892" s="12" t="s">
        <v>7003</v>
      </c>
      <c r="B5892" s="12" t="s">
        <v>787</v>
      </c>
      <c r="C5892" s="12" t="s">
        <v>788</v>
      </c>
      <c r="D5892" s="12" t="s">
        <v>269</v>
      </c>
      <c r="E5892" s="12" t="s">
        <v>65</v>
      </c>
      <c r="F5892">
        <v>2</v>
      </c>
      <c r="G5892">
        <v>3</v>
      </c>
      <c r="H5892">
        <v>0</v>
      </c>
      <c r="I5892" s="12" t="s">
        <v>143</v>
      </c>
      <c r="J5892" s="12" t="s">
        <v>144</v>
      </c>
      <c r="K5892" s="12" t="s">
        <v>133</v>
      </c>
      <c r="L5892" s="12" t="s">
        <v>96</v>
      </c>
      <c r="M5892">
        <v>5.43</v>
      </c>
      <c r="N5892" s="12" t="s">
        <v>159</v>
      </c>
      <c r="O5892" s="12" t="s">
        <v>160</v>
      </c>
      <c r="P5892" s="12" t="s">
        <v>137</v>
      </c>
      <c r="Q5892" s="13">
        <v>45951</v>
      </c>
      <c r="R5892" s="13">
        <v>45986</v>
      </c>
      <c r="S5892">
        <v>2025</v>
      </c>
      <c r="T5892" s="12" t="s">
        <v>6884</v>
      </c>
      <c r="U5892">
        <v>120</v>
      </c>
      <c r="V5892">
        <v>312.8519</v>
      </c>
      <c r="W5892">
        <v>927.39</v>
      </c>
      <c r="X5892">
        <v>0</v>
      </c>
      <c r="Y5892">
        <v>0</v>
      </c>
      <c r="Z5892">
        <v>37542.230000000003</v>
      </c>
      <c r="AA5892">
        <v>38469.620000000003</v>
      </c>
      <c r="AB5892" s="12" t="s">
        <v>5902</v>
      </c>
      <c r="AC5892">
        <v>331.79969999999997</v>
      </c>
      <c r="AD5892">
        <v>1</v>
      </c>
      <c r="AE5892">
        <v>1</v>
      </c>
      <c r="AF5892">
        <v>-2273.7399999999998</v>
      </c>
      <c r="AG5892">
        <v>39815.96</v>
      </c>
      <c r="AH5892">
        <v>120</v>
      </c>
      <c r="AI5892">
        <v>119</v>
      </c>
      <c r="AJ5892">
        <v>1</v>
      </c>
      <c r="AK5892">
        <v>1</v>
      </c>
      <c r="AL5892">
        <v>1</v>
      </c>
      <c r="AM5892">
        <v>99.17</v>
      </c>
      <c r="AN5892">
        <v>323.27409999999998</v>
      </c>
      <c r="AO5892">
        <v>312.85000000000002</v>
      </c>
      <c r="AP5892" s="13">
        <v>45985</v>
      </c>
      <c r="AQ5892">
        <v>-1</v>
      </c>
      <c r="AR5892">
        <v>1</v>
      </c>
    </row>
    <row r="5893" spans="1:44" x14ac:dyDescent="0.35">
      <c r="A5893" s="12" t="s">
        <v>7004</v>
      </c>
      <c r="B5893" s="12" t="s">
        <v>924</v>
      </c>
      <c r="C5893" s="12" t="s">
        <v>925</v>
      </c>
      <c r="D5893" s="12" t="s">
        <v>103</v>
      </c>
      <c r="E5893" s="12" t="s">
        <v>104</v>
      </c>
      <c r="F5893">
        <v>2</v>
      </c>
      <c r="G5893">
        <v>0</v>
      </c>
      <c r="H5893">
        <v>0</v>
      </c>
      <c r="I5893" s="12" t="s">
        <v>335</v>
      </c>
      <c r="J5893" s="12" t="s">
        <v>336</v>
      </c>
      <c r="K5893" s="12" t="s">
        <v>89</v>
      </c>
      <c r="L5893" s="12" t="s">
        <v>82</v>
      </c>
      <c r="M5893">
        <v>16</v>
      </c>
      <c r="N5893" s="12" t="s">
        <v>107</v>
      </c>
      <c r="O5893" s="12" t="s">
        <v>108</v>
      </c>
      <c r="P5893" s="12" t="s">
        <v>109</v>
      </c>
      <c r="Q5893" s="13">
        <v>45951</v>
      </c>
      <c r="R5893" s="13">
        <v>45979</v>
      </c>
      <c r="S5893">
        <v>2025</v>
      </c>
      <c r="T5893" s="12" t="s">
        <v>6884</v>
      </c>
      <c r="U5893">
        <v>136</v>
      </c>
      <c r="V5893">
        <v>169.60659999999999</v>
      </c>
      <c r="W5893">
        <v>435.85</v>
      </c>
      <c r="X5893">
        <v>0</v>
      </c>
      <c r="Y5893">
        <v>0</v>
      </c>
      <c r="Z5893">
        <v>23066.5</v>
      </c>
      <c r="AA5893">
        <v>23502.35</v>
      </c>
      <c r="AB5893" s="12" t="s">
        <v>201</v>
      </c>
      <c r="AD5893">
        <v>0</v>
      </c>
      <c r="AE5893">
        <v>0</v>
      </c>
      <c r="AH5893">
        <v>136</v>
      </c>
      <c r="AI5893">
        <v>135</v>
      </c>
      <c r="AJ5893">
        <v>1</v>
      </c>
      <c r="AK5893">
        <v>1</v>
      </c>
      <c r="AL5893">
        <v>1</v>
      </c>
      <c r="AM5893">
        <v>99.26</v>
      </c>
      <c r="AN5893">
        <v>174.0915</v>
      </c>
      <c r="AO5893">
        <v>169.61</v>
      </c>
      <c r="AP5893" s="13">
        <v>45981</v>
      </c>
      <c r="AQ5893">
        <v>2</v>
      </c>
      <c r="AR5893">
        <v>0</v>
      </c>
    </row>
    <row r="5894" spans="1:44" x14ac:dyDescent="0.35">
      <c r="A5894" s="12" t="s">
        <v>7005</v>
      </c>
      <c r="B5894" s="12" t="s">
        <v>323</v>
      </c>
      <c r="C5894" s="12" t="s">
        <v>324</v>
      </c>
      <c r="D5894" s="12" t="s">
        <v>64</v>
      </c>
      <c r="E5894" s="12" t="s">
        <v>142</v>
      </c>
      <c r="F5894">
        <v>1</v>
      </c>
      <c r="G5894">
        <v>7</v>
      </c>
      <c r="H5894">
        <v>1</v>
      </c>
      <c r="I5894" s="12" t="s">
        <v>143</v>
      </c>
      <c r="J5894" s="12" t="s">
        <v>144</v>
      </c>
      <c r="K5894" s="12" t="s">
        <v>133</v>
      </c>
      <c r="L5894" s="12" t="s">
        <v>96</v>
      </c>
      <c r="M5894">
        <v>5.43</v>
      </c>
      <c r="N5894" s="12" t="s">
        <v>97</v>
      </c>
      <c r="O5894" s="12" t="s">
        <v>98</v>
      </c>
      <c r="P5894" s="12" t="s">
        <v>72</v>
      </c>
      <c r="Q5894" s="13">
        <v>45951</v>
      </c>
      <c r="R5894" s="13">
        <v>45990</v>
      </c>
      <c r="S5894">
        <v>2025</v>
      </c>
      <c r="T5894" s="12" t="s">
        <v>6884</v>
      </c>
      <c r="U5894">
        <v>336</v>
      </c>
      <c r="V5894">
        <v>39.226399999999998</v>
      </c>
      <c r="W5894">
        <v>331.89</v>
      </c>
      <c r="X5894">
        <v>0</v>
      </c>
      <c r="Y5894">
        <v>0</v>
      </c>
      <c r="Z5894">
        <v>13180.07</v>
      </c>
      <c r="AA5894">
        <v>13511.96</v>
      </c>
      <c r="AB5894" s="12" t="s">
        <v>5324</v>
      </c>
      <c r="AC5894">
        <v>39.226399999999998</v>
      </c>
      <c r="AD5894">
        <v>1</v>
      </c>
      <c r="AE5894">
        <v>1</v>
      </c>
      <c r="AF5894">
        <v>0</v>
      </c>
      <c r="AG5894">
        <v>13180.07</v>
      </c>
      <c r="AH5894">
        <v>336</v>
      </c>
      <c r="AI5894">
        <v>335</v>
      </c>
      <c r="AJ5894">
        <v>1</v>
      </c>
      <c r="AK5894">
        <v>1</v>
      </c>
      <c r="AL5894">
        <v>1</v>
      </c>
      <c r="AM5894">
        <v>99.7</v>
      </c>
      <c r="AN5894">
        <v>40.334200000000003</v>
      </c>
      <c r="AO5894">
        <v>39.229999999999997</v>
      </c>
      <c r="AP5894" s="13">
        <v>45988</v>
      </c>
      <c r="AQ5894">
        <v>-2</v>
      </c>
      <c r="AR5894">
        <v>1</v>
      </c>
    </row>
    <row r="5895" spans="1:44" x14ac:dyDescent="0.35">
      <c r="A5895" s="12" t="s">
        <v>7006</v>
      </c>
      <c r="B5895" s="12" t="s">
        <v>674</v>
      </c>
      <c r="C5895" s="12" t="s">
        <v>675</v>
      </c>
      <c r="D5895" s="12" t="s">
        <v>269</v>
      </c>
      <c r="E5895" s="12" t="s">
        <v>142</v>
      </c>
      <c r="F5895">
        <v>1</v>
      </c>
      <c r="G5895">
        <v>7</v>
      </c>
      <c r="H5895">
        <v>1</v>
      </c>
      <c r="I5895" s="12" t="s">
        <v>676</v>
      </c>
      <c r="J5895" s="12" t="s">
        <v>677</v>
      </c>
      <c r="K5895" s="12" t="s">
        <v>68</v>
      </c>
      <c r="L5895" s="12" t="s">
        <v>96</v>
      </c>
      <c r="M5895">
        <v>3.57</v>
      </c>
      <c r="N5895" s="12" t="s">
        <v>159</v>
      </c>
      <c r="O5895" s="12" t="s">
        <v>160</v>
      </c>
      <c r="P5895" s="12" t="s">
        <v>137</v>
      </c>
      <c r="Q5895" s="13">
        <v>45952</v>
      </c>
      <c r="R5895" s="13">
        <v>45991</v>
      </c>
      <c r="S5895">
        <v>2025</v>
      </c>
      <c r="T5895" s="12" t="s">
        <v>6884</v>
      </c>
      <c r="U5895">
        <v>48</v>
      </c>
      <c r="V5895">
        <v>341.68259999999998</v>
      </c>
      <c r="W5895">
        <v>328.38</v>
      </c>
      <c r="X5895">
        <v>0</v>
      </c>
      <c r="Y5895">
        <v>0</v>
      </c>
      <c r="Z5895">
        <v>16400.759999999998</v>
      </c>
      <c r="AA5895">
        <v>16729.14</v>
      </c>
      <c r="AB5895" s="12" t="s">
        <v>201</v>
      </c>
      <c r="AD5895">
        <v>0</v>
      </c>
      <c r="AE5895">
        <v>0</v>
      </c>
      <c r="AH5895">
        <v>48</v>
      </c>
      <c r="AI5895">
        <v>48</v>
      </c>
      <c r="AJ5895">
        <v>0</v>
      </c>
      <c r="AK5895">
        <v>1</v>
      </c>
      <c r="AL5895">
        <v>1</v>
      </c>
      <c r="AM5895">
        <v>100</v>
      </c>
      <c r="AN5895">
        <v>348.52390000000003</v>
      </c>
      <c r="AO5895">
        <v>0</v>
      </c>
      <c r="AP5895" s="13">
        <v>45989</v>
      </c>
      <c r="AQ5895">
        <v>-2</v>
      </c>
      <c r="AR5895">
        <v>1</v>
      </c>
    </row>
    <row r="5896" spans="1:44" x14ac:dyDescent="0.35">
      <c r="A5896" s="12" t="s">
        <v>7007</v>
      </c>
      <c r="B5896" s="12" t="s">
        <v>395</v>
      </c>
      <c r="C5896" s="12" t="s">
        <v>396</v>
      </c>
      <c r="D5896" s="12" t="s">
        <v>130</v>
      </c>
      <c r="E5896" s="12" t="s">
        <v>104</v>
      </c>
      <c r="F5896">
        <v>3</v>
      </c>
      <c r="G5896">
        <v>1</v>
      </c>
      <c r="H5896">
        <v>0</v>
      </c>
      <c r="I5896" s="12" t="s">
        <v>341</v>
      </c>
      <c r="J5896" s="12" t="s">
        <v>342</v>
      </c>
      <c r="K5896" s="12" t="s">
        <v>117</v>
      </c>
      <c r="L5896" s="12" t="s">
        <v>82</v>
      </c>
      <c r="M5896">
        <v>18.36</v>
      </c>
      <c r="N5896" s="12" t="s">
        <v>135</v>
      </c>
      <c r="O5896" s="12" t="s">
        <v>136</v>
      </c>
      <c r="P5896" s="12" t="s">
        <v>137</v>
      </c>
      <c r="Q5896" s="13">
        <v>45952</v>
      </c>
      <c r="R5896" s="13">
        <v>45979</v>
      </c>
      <c r="S5896">
        <v>2025</v>
      </c>
      <c r="T5896" s="12" t="s">
        <v>6884</v>
      </c>
      <c r="U5896">
        <v>129</v>
      </c>
      <c r="V5896">
        <v>159.31549999999999</v>
      </c>
      <c r="W5896">
        <v>464.69</v>
      </c>
      <c r="X5896">
        <v>0</v>
      </c>
      <c r="Y5896">
        <v>0</v>
      </c>
      <c r="Z5896">
        <v>20551.7</v>
      </c>
      <c r="AA5896">
        <v>21016.39</v>
      </c>
      <c r="AB5896" s="12" t="s">
        <v>5282</v>
      </c>
      <c r="AC5896">
        <v>159.31549999999999</v>
      </c>
      <c r="AD5896">
        <v>1</v>
      </c>
      <c r="AE5896">
        <v>1</v>
      </c>
      <c r="AF5896">
        <v>0</v>
      </c>
      <c r="AG5896">
        <v>20551.7</v>
      </c>
      <c r="AH5896">
        <v>129</v>
      </c>
      <c r="AI5896">
        <v>128</v>
      </c>
      <c r="AJ5896">
        <v>1</v>
      </c>
      <c r="AK5896">
        <v>1</v>
      </c>
      <c r="AL5896">
        <v>1</v>
      </c>
      <c r="AM5896">
        <v>99.22</v>
      </c>
      <c r="AN5896">
        <v>164.19049999999999</v>
      </c>
      <c r="AO5896">
        <v>159.32</v>
      </c>
      <c r="AP5896" s="13">
        <v>45978</v>
      </c>
      <c r="AQ5896">
        <v>-1</v>
      </c>
      <c r="AR5896">
        <v>1</v>
      </c>
    </row>
    <row r="5897" spans="1:44" x14ac:dyDescent="0.35">
      <c r="A5897" s="12" t="s">
        <v>7008</v>
      </c>
      <c r="B5897" s="12" t="s">
        <v>451</v>
      </c>
      <c r="C5897" s="12" t="s">
        <v>452</v>
      </c>
      <c r="D5897" s="12" t="s">
        <v>175</v>
      </c>
      <c r="E5897" s="12" t="s">
        <v>104</v>
      </c>
      <c r="F5897">
        <v>3</v>
      </c>
      <c r="G5897">
        <v>1</v>
      </c>
      <c r="H5897">
        <v>0</v>
      </c>
      <c r="I5897" s="12" t="s">
        <v>176</v>
      </c>
      <c r="J5897" s="12" t="s">
        <v>177</v>
      </c>
      <c r="K5897" s="12" t="s">
        <v>125</v>
      </c>
      <c r="L5897" s="12" t="s">
        <v>134</v>
      </c>
      <c r="M5897">
        <v>1.75</v>
      </c>
      <c r="N5897" s="12" t="s">
        <v>145</v>
      </c>
      <c r="O5897" s="12" t="s">
        <v>146</v>
      </c>
      <c r="P5897" s="12" t="s">
        <v>109</v>
      </c>
      <c r="Q5897" s="13">
        <v>45952</v>
      </c>
      <c r="R5897" s="13">
        <v>45971</v>
      </c>
      <c r="S5897">
        <v>2025</v>
      </c>
      <c r="T5897" s="12" t="s">
        <v>6884</v>
      </c>
      <c r="U5897">
        <v>68</v>
      </c>
      <c r="V5897">
        <v>261.15809999999999</v>
      </c>
      <c r="W5897">
        <v>293.11</v>
      </c>
      <c r="X5897">
        <v>0</v>
      </c>
      <c r="Y5897">
        <v>0</v>
      </c>
      <c r="Z5897">
        <v>17758.75</v>
      </c>
      <c r="AA5897">
        <v>18051.86</v>
      </c>
      <c r="AB5897" s="12" t="s">
        <v>5406</v>
      </c>
      <c r="AC5897">
        <v>254.13499999999999</v>
      </c>
      <c r="AD5897">
        <v>1</v>
      </c>
      <c r="AE5897">
        <v>1</v>
      </c>
      <c r="AF5897">
        <v>477.57</v>
      </c>
      <c r="AG5897">
        <v>17281.18</v>
      </c>
      <c r="AH5897">
        <v>68</v>
      </c>
      <c r="AI5897">
        <v>68</v>
      </c>
      <c r="AJ5897">
        <v>0</v>
      </c>
      <c r="AK5897">
        <v>1</v>
      </c>
      <c r="AL5897">
        <v>1</v>
      </c>
      <c r="AM5897">
        <v>100</v>
      </c>
      <c r="AN5897">
        <v>265.46850000000001</v>
      </c>
      <c r="AO5897">
        <v>0</v>
      </c>
      <c r="AP5897" s="13">
        <v>45971</v>
      </c>
      <c r="AQ5897">
        <v>0</v>
      </c>
      <c r="AR5897">
        <v>1</v>
      </c>
    </row>
    <row r="5898" spans="1:44" x14ac:dyDescent="0.35">
      <c r="A5898" s="12" t="s">
        <v>7009</v>
      </c>
      <c r="B5898" s="12" t="s">
        <v>331</v>
      </c>
      <c r="C5898" s="12" t="s">
        <v>332</v>
      </c>
      <c r="D5898" s="12" t="s">
        <v>122</v>
      </c>
      <c r="E5898" s="12" t="s">
        <v>142</v>
      </c>
      <c r="F5898">
        <v>3</v>
      </c>
      <c r="G5898">
        <v>11</v>
      </c>
      <c r="H5898">
        <v>0</v>
      </c>
      <c r="I5898" s="12" t="s">
        <v>263</v>
      </c>
      <c r="J5898" s="12" t="s">
        <v>264</v>
      </c>
      <c r="K5898" s="12" t="s">
        <v>125</v>
      </c>
      <c r="L5898" s="12" t="s">
        <v>82</v>
      </c>
      <c r="M5898">
        <v>10.210000000000001</v>
      </c>
      <c r="N5898" s="12" t="s">
        <v>70</v>
      </c>
      <c r="O5898" s="12" t="s">
        <v>71</v>
      </c>
      <c r="P5898" s="12" t="s">
        <v>72</v>
      </c>
      <c r="Q5898" s="13">
        <v>45952</v>
      </c>
      <c r="R5898" s="13">
        <v>45995</v>
      </c>
      <c r="S5898">
        <v>2025</v>
      </c>
      <c r="T5898" s="12" t="s">
        <v>6884</v>
      </c>
      <c r="U5898">
        <v>1030</v>
      </c>
      <c r="V5898">
        <v>23.006</v>
      </c>
      <c r="W5898">
        <v>416.72</v>
      </c>
      <c r="X5898">
        <v>0</v>
      </c>
      <c r="Y5898">
        <v>0</v>
      </c>
      <c r="Z5898">
        <v>23696.18</v>
      </c>
      <c r="AA5898">
        <v>24112.9</v>
      </c>
      <c r="AB5898" s="12" t="s">
        <v>5234</v>
      </c>
      <c r="AC5898">
        <v>23.006</v>
      </c>
      <c r="AD5898">
        <v>1</v>
      </c>
      <c r="AE5898">
        <v>1</v>
      </c>
      <c r="AF5898">
        <v>0</v>
      </c>
      <c r="AG5898">
        <v>23696.18</v>
      </c>
      <c r="AH5898">
        <v>1030</v>
      </c>
      <c r="AI5898">
        <v>1024</v>
      </c>
      <c r="AJ5898">
        <v>6</v>
      </c>
      <c r="AK5898">
        <v>1</v>
      </c>
      <c r="AL5898">
        <v>1</v>
      </c>
      <c r="AM5898">
        <v>99.42</v>
      </c>
      <c r="AN5898">
        <v>23.547799999999999</v>
      </c>
      <c r="AO5898">
        <v>138.04</v>
      </c>
      <c r="AP5898" s="13">
        <v>45992</v>
      </c>
      <c r="AQ5898">
        <v>-3</v>
      </c>
      <c r="AR5898">
        <v>1</v>
      </c>
    </row>
    <row r="5899" spans="1:44" x14ac:dyDescent="0.35">
      <c r="A5899" s="12" t="s">
        <v>7010</v>
      </c>
      <c r="B5899" s="12" t="s">
        <v>661</v>
      </c>
      <c r="C5899" s="12" t="s">
        <v>662</v>
      </c>
      <c r="D5899" s="12" t="s">
        <v>175</v>
      </c>
      <c r="E5899" s="12" t="s">
        <v>104</v>
      </c>
      <c r="F5899">
        <v>1</v>
      </c>
      <c r="G5899">
        <v>0</v>
      </c>
      <c r="H5899">
        <v>1</v>
      </c>
      <c r="I5899" s="12" t="s">
        <v>183</v>
      </c>
      <c r="J5899" s="12" t="s">
        <v>184</v>
      </c>
      <c r="K5899" s="12" t="s">
        <v>133</v>
      </c>
      <c r="L5899" s="12" t="s">
        <v>82</v>
      </c>
      <c r="M5899">
        <v>8.6199999999999992</v>
      </c>
      <c r="N5899" s="12" t="s">
        <v>145</v>
      </c>
      <c r="O5899" s="12" t="s">
        <v>146</v>
      </c>
      <c r="P5899" s="12" t="s">
        <v>109</v>
      </c>
      <c r="Q5899" s="13">
        <v>45952</v>
      </c>
      <c r="R5899" s="13">
        <v>45973</v>
      </c>
      <c r="S5899">
        <v>2025</v>
      </c>
      <c r="T5899" s="12" t="s">
        <v>6884</v>
      </c>
      <c r="U5899">
        <v>83</v>
      </c>
      <c r="V5899">
        <v>166.30070000000001</v>
      </c>
      <c r="W5899">
        <v>347.21</v>
      </c>
      <c r="X5899">
        <v>0</v>
      </c>
      <c r="Y5899">
        <v>0</v>
      </c>
      <c r="Z5899">
        <v>13802.96</v>
      </c>
      <c r="AA5899">
        <v>14150.17</v>
      </c>
      <c r="AB5899" s="12" t="s">
        <v>5336</v>
      </c>
      <c r="AC5899">
        <v>166.30070000000001</v>
      </c>
      <c r="AD5899">
        <v>1</v>
      </c>
      <c r="AE5899">
        <v>1</v>
      </c>
      <c r="AF5899">
        <v>0</v>
      </c>
      <c r="AG5899">
        <v>13802.96</v>
      </c>
      <c r="AH5899">
        <v>83</v>
      </c>
      <c r="AI5899">
        <v>82</v>
      </c>
      <c r="AJ5899">
        <v>1</v>
      </c>
      <c r="AK5899">
        <v>1</v>
      </c>
      <c r="AL5899">
        <v>1</v>
      </c>
      <c r="AM5899">
        <v>98.8</v>
      </c>
      <c r="AN5899">
        <v>172.56299999999999</v>
      </c>
      <c r="AO5899">
        <v>166.3</v>
      </c>
      <c r="AP5899" s="13">
        <v>45971</v>
      </c>
      <c r="AQ5899">
        <v>-2</v>
      </c>
      <c r="AR5899">
        <v>1</v>
      </c>
    </row>
    <row r="5900" spans="1:44" x14ac:dyDescent="0.35">
      <c r="A5900" s="12" t="s">
        <v>7011</v>
      </c>
      <c r="B5900" s="12" t="s">
        <v>680</v>
      </c>
      <c r="C5900" s="12" t="s">
        <v>681</v>
      </c>
      <c r="D5900" s="12" t="s">
        <v>122</v>
      </c>
      <c r="E5900" s="12" t="s">
        <v>104</v>
      </c>
      <c r="F5900">
        <v>3</v>
      </c>
      <c r="G5900">
        <v>1</v>
      </c>
      <c r="H5900">
        <v>0</v>
      </c>
      <c r="I5900" s="12" t="s">
        <v>243</v>
      </c>
      <c r="J5900" s="12" t="s">
        <v>244</v>
      </c>
      <c r="K5900" s="12" t="s">
        <v>81</v>
      </c>
      <c r="L5900" s="12" t="s">
        <v>82</v>
      </c>
      <c r="M5900">
        <v>9.2200000000000006</v>
      </c>
      <c r="N5900" s="12" t="s">
        <v>97</v>
      </c>
      <c r="O5900" s="12" t="s">
        <v>98</v>
      </c>
      <c r="P5900" s="12" t="s">
        <v>72</v>
      </c>
      <c r="Q5900" s="13">
        <v>45953</v>
      </c>
      <c r="R5900" s="13">
        <v>45970</v>
      </c>
      <c r="S5900">
        <v>2025</v>
      </c>
      <c r="T5900" s="12" t="s">
        <v>6884</v>
      </c>
      <c r="U5900">
        <v>723</v>
      </c>
      <c r="V5900">
        <v>22.526</v>
      </c>
      <c r="W5900">
        <v>241.27</v>
      </c>
      <c r="X5900">
        <v>0</v>
      </c>
      <c r="Y5900">
        <v>0</v>
      </c>
      <c r="Z5900">
        <v>16286.3</v>
      </c>
      <c r="AA5900">
        <v>16527.57</v>
      </c>
      <c r="AB5900" s="12" t="s">
        <v>7012</v>
      </c>
      <c r="AC5900">
        <v>22.526</v>
      </c>
      <c r="AD5900">
        <v>1</v>
      </c>
      <c r="AE5900">
        <v>1</v>
      </c>
      <c r="AF5900">
        <v>0</v>
      </c>
      <c r="AG5900">
        <v>16286.3</v>
      </c>
      <c r="AH5900">
        <v>723</v>
      </c>
      <c r="AI5900">
        <v>715</v>
      </c>
      <c r="AJ5900">
        <v>8</v>
      </c>
      <c r="AK5900">
        <v>1</v>
      </c>
      <c r="AL5900">
        <v>1</v>
      </c>
      <c r="AM5900">
        <v>98.89</v>
      </c>
      <c r="AN5900">
        <v>23.115500000000001</v>
      </c>
      <c r="AO5900">
        <v>180.21</v>
      </c>
      <c r="AP5900" s="13">
        <v>45967</v>
      </c>
      <c r="AQ5900">
        <v>-3</v>
      </c>
      <c r="AR5900">
        <v>1</v>
      </c>
    </row>
    <row r="5901" spans="1:44" x14ac:dyDescent="0.35">
      <c r="A5901" s="12" t="s">
        <v>7013</v>
      </c>
      <c r="B5901" s="12" t="s">
        <v>891</v>
      </c>
      <c r="C5901" s="12" t="s">
        <v>892</v>
      </c>
      <c r="D5901" s="12" t="s">
        <v>122</v>
      </c>
      <c r="E5901" s="12" t="s">
        <v>65</v>
      </c>
      <c r="F5901">
        <v>3</v>
      </c>
      <c r="G5901">
        <v>5</v>
      </c>
      <c r="H5901">
        <v>0</v>
      </c>
      <c r="I5901" s="12" t="s">
        <v>195</v>
      </c>
      <c r="J5901" s="12" t="s">
        <v>196</v>
      </c>
      <c r="K5901" s="12" t="s">
        <v>117</v>
      </c>
      <c r="L5901" s="12" t="s">
        <v>134</v>
      </c>
      <c r="M5901">
        <v>4.7699999999999996</v>
      </c>
      <c r="N5901" s="12" t="s">
        <v>70</v>
      </c>
      <c r="O5901" s="12" t="s">
        <v>71</v>
      </c>
      <c r="P5901" s="12" t="s">
        <v>72</v>
      </c>
      <c r="Q5901" s="13">
        <v>45953</v>
      </c>
      <c r="R5901" s="13">
        <v>45974</v>
      </c>
      <c r="S5901">
        <v>2025</v>
      </c>
      <c r="T5901" s="12" t="s">
        <v>6884</v>
      </c>
      <c r="U5901">
        <v>216</v>
      </c>
      <c r="V5901">
        <v>36.331099999999999</v>
      </c>
      <c r="W5901">
        <v>48.8</v>
      </c>
      <c r="X5901">
        <v>0</v>
      </c>
      <c r="Y5901">
        <v>0</v>
      </c>
      <c r="Z5901">
        <v>7847.52</v>
      </c>
      <c r="AA5901">
        <v>7896.32</v>
      </c>
      <c r="AB5901" s="12" t="s">
        <v>5810</v>
      </c>
      <c r="AC5901">
        <v>36.331099999999999</v>
      </c>
      <c r="AD5901">
        <v>1</v>
      </c>
      <c r="AE5901">
        <v>1</v>
      </c>
      <c r="AF5901">
        <v>0</v>
      </c>
      <c r="AG5901">
        <v>7847.52</v>
      </c>
      <c r="AH5901">
        <v>216</v>
      </c>
      <c r="AI5901">
        <v>214</v>
      </c>
      <c r="AJ5901">
        <v>2</v>
      </c>
      <c r="AK5901">
        <v>1</v>
      </c>
      <c r="AL5901">
        <v>1</v>
      </c>
      <c r="AM5901">
        <v>99.07</v>
      </c>
      <c r="AN5901">
        <v>36.898699999999998</v>
      </c>
      <c r="AO5901">
        <v>72.66</v>
      </c>
      <c r="AP5901" s="13">
        <v>45973</v>
      </c>
      <c r="AQ5901">
        <v>-1</v>
      </c>
      <c r="AR5901">
        <v>1</v>
      </c>
    </row>
    <row r="5902" spans="1:44" x14ac:dyDescent="0.35">
      <c r="A5902" s="12" t="s">
        <v>7014</v>
      </c>
      <c r="B5902" s="12" t="s">
        <v>706</v>
      </c>
      <c r="C5902" s="12" t="s">
        <v>707</v>
      </c>
      <c r="D5902" s="12" t="s">
        <v>130</v>
      </c>
      <c r="E5902" s="12" t="s">
        <v>142</v>
      </c>
      <c r="F5902">
        <v>1</v>
      </c>
      <c r="G5902">
        <v>8</v>
      </c>
      <c r="H5902">
        <v>1</v>
      </c>
      <c r="I5902" s="12" t="s">
        <v>263</v>
      </c>
      <c r="J5902" s="12" t="s">
        <v>264</v>
      </c>
      <c r="K5902" s="12" t="s">
        <v>125</v>
      </c>
      <c r="L5902" s="12" t="s">
        <v>82</v>
      </c>
      <c r="M5902">
        <v>10.210000000000001</v>
      </c>
      <c r="N5902" s="12" t="s">
        <v>159</v>
      </c>
      <c r="O5902" s="12" t="s">
        <v>160</v>
      </c>
      <c r="P5902" s="12" t="s">
        <v>137</v>
      </c>
      <c r="Q5902" s="13">
        <v>45953</v>
      </c>
      <c r="R5902" s="13">
        <v>45994</v>
      </c>
      <c r="S5902">
        <v>2025</v>
      </c>
      <c r="T5902" s="12" t="s">
        <v>6884</v>
      </c>
      <c r="U5902">
        <v>57</v>
      </c>
      <c r="V5902">
        <v>276.71809999999999</v>
      </c>
      <c r="W5902">
        <v>200.32</v>
      </c>
      <c r="X5902">
        <v>0</v>
      </c>
      <c r="Y5902">
        <v>0</v>
      </c>
      <c r="Z5902">
        <v>15772.93</v>
      </c>
      <c r="AA5902">
        <v>15973.25</v>
      </c>
      <c r="AB5902" s="12" t="s">
        <v>5735</v>
      </c>
      <c r="AC5902">
        <v>276.71809999999999</v>
      </c>
      <c r="AD5902">
        <v>1</v>
      </c>
      <c r="AE5902">
        <v>1</v>
      </c>
      <c r="AF5902">
        <v>0</v>
      </c>
      <c r="AG5902">
        <v>15772.93</v>
      </c>
      <c r="AH5902">
        <v>57</v>
      </c>
      <c r="AI5902">
        <v>57</v>
      </c>
      <c r="AJ5902">
        <v>0</v>
      </c>
      <c r="AK5902">
        <v>1</v>
      </c>
      <c r="AL5902">
        <v>1</v>
      </c>
      <c r="AM5902">
        <v>100</v>
      </c>
      <c r="AN5902">
        <v>280.23250000000002</v>
      </c>
      <c r="AO5902">
        <v>0</v>
      </c>
      <c r="AP5902" s="13">
        <v>45994</v>
      </c>
      <c r="AQ5902">
        <v>0</v>
      </c>
      <c r="AR5902">
        <v>1</v>
      </c>
    </row>
    <row r="5903" spans="1:44" x14ac:dyDescent="0.35">
      <c r="A5903" s="12" t="s">
        <v>7015</v>
      </c>
      <c r="B5903" s="12" t="s">
        <v>1034</v>
      </c>
      <c r="C5903" s="12" t="s">
        <v>1035</v>
      </c>
      <c r="D5903" s="12" t="s">
        <v>64</v>
      </c>
      <c r="E5903" s="12" t="s">
        <v>104</v>
      </c>
      <c r="F5903">
        <v>2</v>
      </c>
      <c r="G5903">
        <v>0</v>
      </c>
      <c r="H5903">
        <v>0</v>
      </c>
      <c r="I5903" s="12" t="s">
        <v>676</v>
      </c>
      <c r="J5903" s="12" t="s">
        <v>677</v>
      </c>
      <c r="K5903" s="12" t="s">
        <v>68</v>
      </c>
      <c r="L5903" s="12" t="s">
        <v>96</v>
      </c>
      <c r="M5903">
        <v>3.57</v>
      </c>
      <c r="N5903" s="12" t="s">
        <v>97</v>
      </c>
      <c r="O5903" s="12" t="s">
        <v>98</v>
      </c>
      <c r="P5903" s="12" t="s">
        <v>72</v>
      </c>
      <c r="Q5903" s="13">
        <v>45953</v>
      </c>
      <c r="R5903" s="13">
        <v>45969</v>
      </c>
      <c r="S5903">
        <v>2025</v>
      </c>
      <c r="T5903" s="12" t="s">
        <v>6884</v>
      </c>
      <c r="U5903">
        <v>341</v>
      </c>
      <c r="V5903">
        <v>9.9461999999999993</v>
      </c>
      <c r="W5903">
        <v>84</v>
      </c>
      <c r="X5903">
        <v>0</v>
      </c>
      <c r="Y5903">
        <v>0</v>
      </c>
      <c r="Z5903">
        <v>3391.65</v>
      </c>
      <c r="AA5903">
        <v>3475.65</v>
      </c>
      <c r="AB5903" s="12" t="s">
        <v>5908</v>
      </c>
      <c r="AC5903">
        <v>9.9461999999999993</v>
      </c>
      <c r="AD5903">
        <v>1</v>
      </c>
      <c r="AE5903">
        <v>1</v>
      </c>
      <c r="AF5903">
        <v>0</v>
      </c>
      <c r="AG5903">
        <v>3391.65</v>
      </c>
      <c r="AH5903">
        <v>341</v>
      </c>
      <c r="AI5903">
        <v>338</v>
      </c>
      <c r="AJ5903">
        <v>3</v>
      </c>
      <c r="AK5903">
        <v>1</v>
      </c>
      <c r="AL5903">
        <v>1</v>
      </c>
      <c r="AM5903">
        <v>99.12</v>
      </c>
      <c r="AN5903">
        <v>10.282999999999999</v>
      </c>
      <c r="AO5903">
        <v>29.84</v>
      </c>
      <c r="AP5903" s="13">
        <v>45968</v>
      </c>
      <c r="AQ5903">
        <v>-1</v>
      </c>
      <c r="AR5903">
        <v>1</v>
      </c>
    </row>
    <row r="5904" spans="1:44" x14ac:dyDescent="0.35">
      <c r="A5904" s="12" t="s">
        <v>7016</v>
      </c>
      <c r="B5904" s="12" t="s">
        <v>472</v>
      </c>
      <c r="C5904" s="12" t="s">
        <v>473</v>
      </c>
      <c r="D5904" s="12" t="s">
        <v>122</v>
      </c>
      <c r="E5904" s="12" t="s">
        <v>142</v>
      </c>
      <c r="F5904">
        <v>2</v>
      </c>
      <c r="G5904">
        <v>9</v>
      </c>
      <c r="H5904">
        <v>0</v>
      </c>
      <c r="I5904" s="12" t="s">
        <v>87</v>
      </c>
      <c r="J5904" s="12" t="s">
        <v>88</v>
      </c>
      <c r="K5904" s="12" t="s">
        <v>89</v>
      </c>
      <c r="L5904" s="12" t="s">
        <v>69</v>
      </c>
      <c r="M5904">
        <v>14.93</v>
      </c>
      <c r="N5904" s="12" t="s">
        <v>97</v>
      </c>
      <c r="O5904" s="12" t="s">
        <v>98</v>
      </c>
      <c r="P5904" s="12" t="s">
        <v>72</v>
      </c>
      <c r="Q5904" s="13">
        <v>45953</v>
      </c>
      <c r="R5904" s="13">
        <v>46001</v>
      </c>
      <c r="S5904">
        <v>2025</v>
      </c>
      <c r="T5904" s="12" t="s">
        <v>6884</v>
      </c>
      <c r="U5904">
        <v>1562</v>
      </c>
      <c r="V5904">
        <v>46.924199999999999</v>
      </c>
      <c r="W5904">
        <v>1263.3800000000001</v>
      </c>
      <c r="X5904">
        <v>0</v>
      </c>
      <c r="Y5904">
        <v>0</v>
      </c>
      <c r="Z5904">
        <v>73295.600000000006</v>
      </c>
      <c r="AA5904">
        <v>74558.98</v>
      </c>
      <c r="AB5904" s="12" t="s">
        <v>5714</v>
      </c>
      <c r="AC5904">
        <v>46.924199999999999</v>
      </c>
      <c r="AD5904">
        <v>1</v>
      </c>
      <c r="AE5904">
        <v>1</v>
      </c>
      <c r="AF5904">
        <v>0</v>
      </c>
      <c r="AG5904">
        <v>73295.600000000006</v>
      </c>
      <c r="AH5904">
        <v>1562</v>
      </c>
      <c r="AI5904">
        <v>1551</v>
      </c>
      <c r="AJ5904">
        <v>11</v>
      </c>
      <c r="AK5904">
        <v>1</v>
      </c>
      <c r="AL5904">
        <v>1</v>
      </c>
      <c r="AM5904">
        <v>99.3</v>
      </c>
      <c r="AN5904">
        <v>48.071599999999997</v>
      </c>
      <c r="AO5904">
        <v>516.16999999999996</v>
      </c>
      <c r="AP5904" s="13">
        <v>45998</v>
      </c>
      <c r="AQ5904">
        <v>-3</v>
      </c>
      <c r="AR5904">
        <v>1</v>
      </c>
    </row>
    <row r="5905" spans="1:44" x14ac:dyDescent="0.35">
      <c r="A5905" s="12" t="s">
        <v>7017</v>
      </c>
      <c r="B5905" s="12" t="s">
        <v>350</v>
      </c>
      <c r="C5905" s="12" t="s">
        <v>351</v>
      </c>
      <c r="D5905" s="12" t="s">
        <v>64</v>
      </c>
      <c r="E5905" s="12" t="s">
        <v>104</v>
      </c>
      <c r="F5905">
        <v>3</v>
      </c>
      <c r="G5905">
        <v>1</v>
      </c>
      <c r="H5905">
        <v>0</v>
      </c>
      <c r="I5905" s="12" t="s">
        <v>486</v>
      </c>
      <c r="J5905" s="12" t="s">
        <v>487</v>
      </c>
      <c r="K5905" s="12" t="s">
        <v>125</v>
      </c>
      <c r="L5905" s="12" t="s">
        <v>69</v>
      </c>
      <c r="M5905">
        <v>36.86</v>
      </c>
      <c r="N5905" s="12" t="s">
        <v>97</v>
      </c>
      <c r="O5905" s="12" t="s">
        <v>98</v>
      </c>
      <c r="P5905" s="12" t="s">
        <v>72</v>
      </c>
      <c r="Q5905" s="13">
        <v>45953</v>
      </c>
      <c r="R5905" s="13">
        <v>45978</v>
      </c>
      <c r="S5905">
        <v>2025</v>
      </c>
      <c r="T5905" s="12" t="s">
        <v>6884</v>
      </c>
      <c r="U5905">
        <v>773</v>
      </c>
      <c r="V5905">
        <v>8.2452000000000005</v>
      </c>
      <c r="W5905">
        <v>161.63999999999999</v>
      </c>
      <c r="X5905">
        <v>0</v>
      </c>
      <c r="Y5905">
        <v>0</v>
      </c>
      <c r="Z5905">
        <v>6373.54</v>
      </c>
      <c r="AA5905">
        <v>6535.18</v>
      </c>
      <c r="AB5905" s="12" t="s">
        <v>5628</v>
      </c>
      <c r="AC5905">
        <v>8.2452000000000005</v>
      </c>
      <c r="AD5905">
        <v>1</v>
      </c>
      <c r="AE5905">
        <v>1</v>
      </c>
      <c r="AF5905">
        <v>0</v>
      </c>
      <c r="AG5905">
        <v>6373.54</v>
      </c>
      <c r="AH5905">
        <v>773</v>
      </c>
      <c r="AI5905">
        <v>765</v>
      </c>
      <c r="AJ5905">
        <v>8</v>
      </c>
      <c r="AK5905">
        <v>1</v>
      </c>
      <c r="AL5905">
        <v>1</v>
      </c>
      <c r="AM5905">
        <v>98.97</v>
      </c>
      <c r="AN5905">
        <v>8.5427</v>
      </c>
      <c r="AO5905">
        <v>65.959999999999994</v>
      </c>
      <c r="AP5905" s="13">
        <v>45978</v>
      </c>
      <c r="AQ5905">
        <v>0</v>
      </c>
      <c r="AR5905">
        <v>1</v>
      </c>
    </row>
    <row r="5906" spans="1:44" x14ac:dyDescent="0.35">
      <c r="A5906" s="12" t="s">
        <v>7018</v>
      </c>
      <c r="B5906" s="12" t="s">
        <v>617</v>
      </c>
      <c r="C5906" s="12" t="s">
        <v>618</v>
      </c>
      <c r="D5906" s="12" t="s">
        <v>78</v>
      </c>
      <c r="E5906" s="12" t="s">
        <v>65</v>
      </c>
      <c r="F5906">
        <v>2</v>
      </c>
      <c r="G5906">
        <v>4</v>
      </c>
      <c r="H5906">
        <v>0</v>
      </c>
      <c r="I5906" s="12" t="s">
        <v>341</v>
      </c>
      <c r="J5906" s="12" t="s">
        <v>342</v>
      </c>
      <c r="K5906" s="12" t="s">
        <v>117</v>
      </c>
      <c r="L5906" s="12" t="s">
        <v>82</v>
      </c>
      <c r="M5906">
        <v>18.36</v>
      </c>
      <c r="N5906" s="12" t="s">
        <v>70</v>
      </c>
      <c r="O5906" s="12" t="s">
        <v>71</v>
      </c>
      <c r="P5906" s="12" t="s">
        <v>72</v>
      </c>
      <c r="Q5906" s="13">
        <v>45953</v>
      </c>
      <c r="R5906" s="13">
        <v>45991</v>
      </c>
      <c r="S5906">
        <v>2025</v>
      </c>
      <c r="T5906" s="12" t="s">
        <v>6884</v>
      </c>
      <c r="U5906">
        <v>289</v>
      </c>
      <c r="V5906">
        <v>97.033799999999999</v>
      </c>
      <c r="W5906">
        <v>658.57</v>
      </c>
      <c r="X5906">
        <v>0</v>
      </c>
      <c r="Y5906">
        <v>0</v>
      </c>
      <c r="Z5906">
        <v>28042.77</v>
      </c>
      <c r="AA5906">
        <v>28701.34</v>
      </c>
      <c r="AB5906" s="12" t="s">
        <v>5541</v>
      </c>
      <c r="AC5906">
        <v>97.033799999999999</v>
      </c>
      <c r="AD5906">
        <v>1</v>
      </c>
      <c r="AE5906">
        <v>1</v>
      </c>
      <c r="AF5906">
        <v>0</v>
      </c>
      <c r="AG5906">
        <v>28042.77</v>
      </c>
      <c r="AH5906">
        <v>289</v>
      </c>
      <c r="AI5906">
        <v>285</v>
      </c>
      <c r="AJ5906">
        <v>4</v>
      </c>
      <c r="AK5906">
        <v>1</v>
      </c>
      <c r="AL5906">
        <v>1</v>
      </c>
      <c r="AM5906">
        <v>98.62</v>
      </c>
      <c r="AN5906">
        <v>100.7064</v>
      </c>
      <c r="AO5906">
        <v>388.14</v>
      </c>
      <c r="AP5906" s="13">
        <v>46000</v>
      </c>
      <c r="AQ5906">
        <v>9</v>
      </c>
      <c r="AR5906">
        <v>0</v>
      </c>
    </row>
    <row r="5907" spans="1:44" x14ac:dyDescent="0.35">
      <c r="A5907" s="12" t="s">
        <v>7019</v>
      </c>
      <c r="B5907" s="12" t="s">
        <v>1075</v>
      </c>
      <c r="C5907" s="12" t="s">
        <v>1076</v>
      </c>
      <c r="D5907" s="12" t="s">
        <v>103</v>
      </c>
      <c r="E5907" s="12" t="s">
        <v>65</v>
      </c>
      <c r="F5907">
        <v>2</v>
      </c>
      <c r="G5907">
        <v>4</v>
      </c>
      <c r="H5907">
        <v>0</v>
      </c>
      <c r="I5907" s="12" t="s">
        <v>176</v>
      </c>
      <c r="J5907" s="12" t="s">
        <v>177</v>
      </c>
      <c r="K5907" s="12" t="s">
        <v>125</v>
      </c>
      <c r="L5907" s="12" t="s">
        <v>134</v>
      </c>
      <c r="M5907">
        <v>1.75</v>
      </c>
      <c r="N5907" s="12" t="s">
        <v>145</v>
      </c>
      <c r="O5907" s="12" t="s">
        <v>146</v>
      </c>
      <c r="P5907" s="12" t="s">
        <v>109</v>
      </c>
      <c r="Q5907" s="13">
        <v>45953</v>
      </c>
      <c r="R5907" s="13">
        <v>45974</v>
      </c>
      <c r="S5907">
        <v>2025</v>
      </c>
      <c r="T5907" s="12" t="s">
        <v>6884</v>
      </c>
      <c r="U5907">
        <v>17</v>
      </c>
      <c r="V5907">
        <v>70.407200000000003</v>
      </c>
      <c r="W5907">
        <v>21.04</v>
      </c>
      <c r="X5907">
        <v>0</v>
      </c>
      <c r="Y5907">
        <v>0</v>
      </c>
      <c r="Z5907">
        <v>1196.92</v>
      </c>
      <c r="AA5907">
        <v>1217.96</v>
      </c>
      <c r="AB5907" s="12" t="s">
        <v>6035</v>
      </c>
      <c r="AC5907">
        <v>67.238399999999999</v>
      </c>
      <c r="AD5907">
        <v>1</v>
      </c>
      <c r="AE5907">
        <v>1</v>
      </c>
      <c r="AF5907">
        <v>53.87</v>
      </c>
      <c r="AG5907">
        <v>1143.05</v>
      </c>
      <c r="AH5907">
        <v>17</v>
      </c>
      <c r="AI5907">
        <v>17</v>
      </c>
      <c r="AJ5907">
        <v>0</v>
      </c>
      <c r="AK5907">
        <v>1</v>
      </c>
      <c r="AL5907">
        <v>1</v>
      </c>
      <c r="AM5907">
        <v>100</v>
      </c>
      <c r="AN5907">
        <v>71.644800000000004</v>
      </c>
      <c r="AO5907">
        <v>0</v>
      </c>
      <c r="AP5907" s="13">
        <v>45971</v>
      </c>
      <c r="AQ5907">
        <v>-3</v>
      </c>
      <c r="AR5907">
        <v>1</v>
      </c>
    </row>
    <row r="5908" spans="1:44" x14ac:dyDescent="0.35">
      <c r="A5908" s="12" t="s">
        <v>7020</v>
      </c>
      <c r="B5908" s="12" t="s">
        <v>490</v>
      </c>
      <c r="C5908" s="12" t="s">
        <v>491</v>
      </c>
      <c r="D5908" s="12" t="s">
        <v>130</v>
      </c>
      <c r="E5908" s="12" t="s">
        <v>104</v>
      </c>
      <c r="F5908">
        <v>3</v>
      </c>
      <c r="G5908">
        <v>1</v>
      </c>
      <c r="H5908">
        <v>0</v>
      </c>
      <c r="I5908" s="12" t="s">
        <v>176</v>
      </c>
      <c r="J5908" s="12" t="s">
        <v>177</v>
      </c>
      <c r="K5908" s="12" t="s">
        <v>125</v>
      </c>
      <c r="L5908" s="12" t="s">
        <v>134</v>
      </c>
      <c r="M5908">
        <v>1.75</v>
      </c>
      <c r="N5908" s="12" t="s">
        <v>159</v>
      </c>
      <c r="O5908" s="12" t="s">
        <v>160</v>
      </c>
      <c r="P5908" s="12" t="s">
        <v>137</v>
      </c>
      <c r="Q5908" s="13">
        <v>45953</v>
      </c>
      <c r="R5908" s="13">
        <v>45971</v>
      </c>
      <c r="S5908">
        <v>2025</v>
      </c>
      <c r="T5908" s="12" t="s">
        <v>6884</v>
      </c>
      <c r="U5908">
        <v>64</v>
      </c>
      <c r="V5908">
        <v>234.9982</v>
      </c>
      <c r="W5908">
        <v>193.39</v>
      </c>
      <c r="X5908">
        <v>0</v>
      </c>
      <c r="Y5908">
        <v>0</v>
      </c>
      <c r="Z5908">
        <v>15039.88</v>
      </c>
      <c r="AA5908">
        <v>15233.27</v>
      </c>
      <c r="AB5908" s="12" t="s">
        <v>5760</v>
      </c>
      <c r="AC5908">
        <v>234.9982</v>
      </c>
      <c r="AD5908">
        <v>1</v>
      </c>
      <c r="AE5908">
        <v>1</v>
      </c>
      <c r="AF5908">
        <v>0</v>
      </c>
      <c r="AG5908">
        <v>15039.88</v>
      </c>
      <c r="AH5908">
        <v>64</v>
      </c>
      <c r="AI5908">
        <v>64</v>
      </c>
      <c r="AJ5908">
        <v>0</v>
      </c>
      <c r="AK5908">
        <v>1</v>
      </c>
      <c r="AL5908">
        <v>1</v>
      </c>
      <c r="AM5908">
        <v>100</v>
      </c>
      <c r="AN5908">
        <v>238.01990000000001</v>
      </c>
      <c r="AO5908">
        <v>0</v>
      </c>
      <c r="AP5908" s="13">
        <v>45970</v>
      </c>
      <c r="AQ5908">
        <v>-1</v>
      </c>
      <c r="AR5908">
        <v>1</v>
      </c>
    </row>
    <row r="5909" spans="1:44" x14ac:dyDescent="0.35">
      <c r="A5909" s="12" t="s">
        <v>7021</v>
      </c>
      <c r="B5909" s="12" t="s">
        <v>792</v>
      </c>
      <c r="C5909" s="12" t="s">
        <v>793</v>
      </c>
      <c r="D5909" s="12" t="s">
        <v>103</v>
      </c>
      <c r="E5909" s="12" t="s">
        <v>65</v>
      </c>
      <c r="F5909">
        <v>2</v>
      </c>
      <c r="G5909">
        <v>3</v>
      </c>
      <c r="H5909">
        <v>0</v>
      </c>
      <c r="I5909" s="12" t="s">
        <v>115</v>
      </c>
      <c r="J5909" s="12" t="s">
        <v>116</v>
      </c>
      <c r="K5909" s="12" t="s">
        <v>117</v>
      </c>
      <c r="L5909" s="12" t="s">
        <v>82</v>
      </c>
      <c r="M5909">
        <v>17.170000000000002</v>
      </c>
      <c r="N5909" s="12" t="s">
        <v>107</v>
      </c>
      <c r="O5909" s="12" t="s">
        <v>108</v>
      </c>
      <c r="P5909" s="12" t="s">
        <v>109</v>
      </c>
      <c r="Q5909" s="13">
        <v>45953</v>
      </c>
      <c r="R5909" s="13">
        <v>45984</v>
      </c>
      <c r="S5909">
        <v>2025</v>
      </c>
      <c r="T5909" s="12" t="s">
        <v>6884</v>
      </c>
      <c r="U5909">
        <v>94</v>
      </c>
      <c r="V5909">
        <v>97.497299999999996</v>
      </c>
      <c r="W5909">
        <v>181.38</v>
      </c>
      <c r="X5909">
        <v>0</v>
      </c>
      <c r="Y5909">
        <v>0</v>
      </c>
      <c r="Z5909">
        <v>9164.75</v>
      </c>
      <c r="AA5909">
        <v>9346.1299999999992</v>
      </c>
      <c r="AB5909" s="12" t="s">
        <v>6160</v>
      </c>
      <c r="AC5909">
        <v>97.497299999999996</v>
      </c>
      <c r="AD5909">
        <v>1</v>
      </c>
      <c r="AE5909">
        <v>1</v>
      </c>
      <c r="AF5909">
        <v>0</v>
      </c>
      <c r="AG5909">
        <v>9164.75</v>
      </c>
      <c r="AH5909">
        <v>94</v>
      </c>
      <c r="AI5909">
        <v>93</v>
      </c>
      <c r="AJ5909">
        <v>1</v>
      </c>
      <c r="AK5909">
        <v>1</v>
      </c>
      <c r="AL5909">
        <v>1</v>
      </c>
      <c r="AM5909">
        <v>98.94</v>
      </c>
      <c r="AN5909">
        <v>100.496</v>
      </c>
      <c r="AO5909">
        <v>97.5</v>
      </c>
      <c r="AP5909" s="13">
        <v>45987</v>
      </c>
      <c r="AQ5909">
        <v>3</v>
      </c>
      <c r="AR5909">
        <v>0</v>
      </c>
    </row>
    <row r="5910" spans="1:44" x14ac:dyDescent="0.35">
      <c r="A5910" s="12" t="s">
        <v>7022</v>
      </c>
      <c r="B5910" s="12" t="s">
        <v>238</v>
      </c>
      <c r="C5910" s="12" t="s">
        <v>239</v>
      </c>
      <c r="D5910" s="12" t="s">
        <v>122</v>
      </c>
      <c r="E5910" s="12" t="s">
        <v>65</v>
      </c>
      <c r="F5910">
        <v>3</v>
      </c>
      <c r="G5910">
        <v>4</v>
      </c>
      <c r="H5910">
        <v>0</v>
      </c>
      <c r="I5910" s="12" t="s">
        <v>79</v>
      </c>
      <c r="J5910" s="12" t="s">
        <v>80</v>
      </c>
      <c r="K5910" s="12" t="s">
        <v>81</v>
      </c>
      <c r="L5910" s="12" t="s">
        <v>82</v>
      </c>
      <c r="M5910">
        <v>12.07</v>
      </c>
      <c r="N5910" s="12" t="s">
        <v>70</v>
      </c>
      <c r="O5910" s="12" t="s">
        <v>71</v>
      </c>
      <c r="P5910" s="12" t="s">
        <v>72</v>
      </c>
      <c r="Q5910" s="13">
        <v>45953</v>
      </c>
      <c r="R5910" s="13">
        <v>45989</v>
      </c>
      <c r="S5910">
        <v>2025</v>
      </c>
      <c r="T5910" s="12" t="s">
        <v>6884</v>
      </c>
      <c r="U5910">
        <v>1759</v>
      </c>
      <c r="V5910">
        <v>34.205399999999997</v>
      </c>
      <c r="W5910">
        <v>1345.3</v>
      </c>
      <c r="X5910">
        <v>0</v>
      </c>
      <c r="Y5910">
        <v>0</v>
      </c>
      <c r="Z5910">
        <v>60167.3</v>
      </c>
      <c r="AA5910">
        <v>61512.6</v>
      </c>
      <c r="AB5910" s="12" t="s">
        <v>5214</v>
      </c>
      <c r="AC5910">
        <v>34.205399999999997</v>
      </c>
      <c r="AD5910">
        <v>1</v>
      </c>
      <c r="AE5910">
        <v>1</v>
      </c>
      <c r="AF5910">
        <v>0</v>
      </c>
      <c r="AG5910">
        <v>60167.3</v>
      </c>
      <c r="AH5910">
        <v>1759</v>
      </c>
      <c r="AI5910">
        <v>1744</v>
      </c>
      <c r="AJ5910">
        <v>15</v>
      </c>
      <c r="AK5910">
        <v>1</v>
      </c>
      <c r="AL5910">
        <v>1</v>
      </c>
      <c r="AM5910">
        <v>99.15</v>
      </c>
      <c r="AN5910">
        <v>35.271000000000001</v>
      </c>
      <c r="AO5910">
        <v>513.08000000000004</v>
      </c>
      <c r="AP5910" s="13">
        <v>45988</v>
      </c>
      <c r="AQ5910">
        <v>-1</v>
      </c>
      <c r="AR5910">
        <v>1</v>
      </c>
    </row>
    <row r="5911" spans="1:44" x14ac:dyDescent="0.35">
      <c r="A5911" s="12" t="s">
        <v>7023</v>
      </c>
      <c r="B5911" s="12" t="s">
        <v>317</v>
      </c>
      <c r="C5911" s="12" t="s">
        <v>318</v>
      </c>
      <c r="D5911" s="12" t="s">
        <v>64</v>
      </c>
      <c r="E5911" s="12" t="s">
        <v>104</v>
      </c>
      <c r="F5911">
        <v>2</v>
      </c>
      <c r="G5911">
        <v>0</v>
      </c>
      <c r="H5911">
        <v>0</v>
      </c>
      <c r="I5911" s="12" t="s">
        <v>169</v>
      </c>
      <c r="J5911" s="12" t="s">
        <v>170</v>
      </c>
      <c r="K5911" s="12" t="s">
        <v>89</v>
      </c>
      <c r="L5911" s="12" t="s">
        <v>134</v>
      </c>
      <c r="M5911">
        <v>1.37</v>
      </c>
      <c r="N5911" s="12" t="s">
        <v>97</v>
      </c>
      <c r="O5911" s="12" t="s">
        <v>98</v>
      </c>
      <c r="P5911" s="12" t="s">
        <v>72</v>
      </c>
      <c r="Q5911" s="13">
        <v>45954</v>
      </c>
      <c r="R5911" s="13">
        <v>45974</v>
      </c>
      <c r="S5911">
        <v>2025</v>
      </c>
      <c r="T5911" s="12" t="s">
        <v>6884</v>
      </c>
      <c r="U5911">
        <v>500</v>
      </c>
      <c r="V5911">
        <v>15.823399999999999</v>
      </c>
      <c r="W5911">
        <v>190.16</v>
      </c>
      <c r="X5911">
        <v>0</v>
      </c>
      <c r="Y5911">
        <v>0</v>
      </c>
      <c r="Z5911">
        <v>7911.7</v>
      </c>
      <c r="AA5911">
        <v>8101.86</v>
      </c>
      <c r="AB5911" s="12" t="s">
        <v>5518</v>
      </c>
      <c r="AC5911">
        <v>15.823399999999999</v>
      </c>
      <c r="AD5911">
        <v>1</v>
      </c>
      <c r="AE5911">
        <v>1</v>
      </c>
      <c r="AF5911">
        <v>0</v>
      </c>
      <c r="AG5911">
        <v>7911.7</v>
      </c>
      <c r="AH5911">
        <v>500</v>
      </c>
      <c r="AI5911">
        <v>496</v>
      </c>
      <c r="AJ5911">
        <v>4</v>
      </c>
      <c r="AK5911">
        <v>1</v>
      </c>
      <c r="AL5911">
        <v>1</v>
      </c>
      <c r="AM5911">
        <v>99.2</v>
      </c>
      <c r="AN5911">
        <v>16.334399999999999</v>
      </c>
      <c r="AO5911">
        <v>63.29</v>
      </c>
      <c r="AP5911" s="13">
        <v>45982</v>
      </c>
      <c r="AQ5911">
        <v>8</v>
      </c>
      <c r="AR5911">
        <v>0</v>
      </c>
    </row>
    <row r="5912" spans="1:44" x14ac:dyDescent="0.35">
      <c r="A5912" s="12" t="s">
        <v>7024</v>
      </c>
      <c r="B5912" s="12" t="s">
        <v>465</v>
      </c>
      <c r="C5912" s="12" t="s">
        <v>466</v>
      </c>
      <c r="D5912" s="12" t="s">
        <v>78</v>
      </c>
      <c r="E5912" s="12" t="s">
        <v>142</v>
      </c>
      <c r="F5912">
        <v>3</v>
      </c>
      <c r="G5912">
        <v>11</v>
      </c>
      <c r="H5912">
        <v>0</v>
      </c>
      <c r="I5912" s="12" t="s">
        <v>195</v>
      </c>
      <c r="J5912" s="12" t="s">
        <v>196</v>
      </c>
      <c r="K5912" s="12" t="s">
        <v>117</v>
      </c>
      <c r="L5912" s="12" t="s">
        <v>134</v>
      </c>
      <c r="M5912">
        <v>4.7699999999999996</v>
      </c>
      <c r="N5912" s="12" t="s">
        <v>70</v>
      </c>
      <c r="O5912" s="12" t="s">
        <v>71</v>
      </c>
      <c r="P5912" s="12" t="s">
        <v>72</v>
      </c>
      <c r="Q5912" s="13">
        <v>45954</v>
      </c>
      <c r="R5912" s="13">
        <v>46001</v>
      </c>
      <c r="S5912">
        <v>2025</v>
      </c>
      <c r="T5912" s="12" t="s">
        <v>6884</v>
      </c>
      <c r="U5912">
        <v>222</v>
      </c>
      <c r="V5912">
        <v>105.56229999999999</v>
      </c>
      <c r="W5912">
        <v>370.19</v>
      </c>
      <c r="X5912">
        <v>0</v>
      </c>
      <c r="Y5912">
        <v>0</v>
      </c>
      <c r="Z5912">
        <v>23434.83</v>
      </c>
      <c r="AA5912">
        <v>23805.02</v>
      </c>
      <c r="AB5912" s="12" t="s">
        <v>5716</v>
      </c>
      <c r="AC5912">
        <v>105.56229999999999</v>
      </c>
      <c r="AD5912">
        <v>1</v>
      </c>
      <c r="AE5912">
        <v>1</v>
      </c>
      <c r="AF5912">
        <v>0</v>
      </c>
      <c r="AG5912">
        <v>23434.83</v>
      </c>
      <c r="AH5912">
        <v>222</v>
      </c>
      <c r="AI5912">
        <v>220</v>
      </c>
      <c r="AJ5912">
        <v>2</v>
      </c>
      <c r="AK5912">
        <v>1</v>
      </c>
      <c r="AL5912">
        <v>1</v>
      </c>
      <c r="AM5912">
        <v>99.1</v>
      </c>
      <c r="AN5912">
        <v>108.2046</v>
      </c>
      <c r="AO5912">
        <v>211.12</v>
      </c>
      <c r="AP5912" s="13">
        <v>45998</v>
      </c>
      <c r="AQ5912">
        <v>-3</v>
      </c>
      <c r="AR5912">
        <v>1</v>
      </c>
    </row>
    <row r="5913" spans="1:44" x14ac:dyDescent="0.35">
      <c r="A5913" s="12" t="s">
        <v>7025</v>
      </c>
      <c r="B5913" s="12" t="s">
        <v>241</v>
      </c>
      <c r="C5913" s="12" t="s">
        <v>242</v>
      </c>
      <c r="D5913" s="12" t="s">
        <v>103</v>
      </c>
      <c r="E5913" s="12" t="s">
        <v>142</v>
      </c>
      <c r="F5913">
        <v>3</v>
      </c>
      <c r="G5913">
        <v>11</v>
      </c>
      <c r="H5913">
        <v>0</v>
      </c>
      <c r="I5913" s="12" t="s">
        <v>243</v>
      </c>
      <c r="J5913" s="12" t="s">
        <v>244</v>
      </c>
      <c r="K5913" s="12" t="s">
        <v>81</v>
      </c>
      <c r="L5913" s="12" t="s">
        <v>82</v>
      </c>
      <c r="M5913">
        <v>9.2200000000000006</v>
      </c>
      <c r="N5913" s="12" t="s">
        <v>107</v>
      </c>
      <c r="O5913" s="12" t="s">
        <v>108</v>
      </c>
      <c r="P5913" s="12" t="s">
        <v>109</v>
      </c>
      <c r="Q5913" s="13">
        <v>45954</v>
      </c>
      <c r="R5913" s="13">
        <v>46000</v>
      </c>
      <c r="S5913">
        <v>2025</v>
      </c>
      <c r="T5913" s="12" t="s">
        <v>6884</v>
      </c>
      <c r="U5913">
        <v>99</v>
      </c>
      <c r="V5913">
        <v>172.98150000000001</v>
      </c>
      <c r="W5913">
        <v>380.4</v>
      </c>
      <c r="X5913">
        <v>0</v>
      </c>
      <c r="Y5913">
        <v>0</v>
      </c>
      <c r="Z5913">
        <v>17125.169999999998</v>
      </c>
      <c r="AA5913">
        <v>17505.57</v>
      </c>
      <c r="AB5913" s="12" t="s">
        <v>201</v>
      </c>
      <c r="AD5913">
        <v>0</v>
      </c>
      <c r="AE5913">
        <v>0</v>
      </c>
      <c r="AH5913">
        <v>99</v>
      </c>
      <c r="AI5913">
        <v>99</v>
      </c>
      <c r="AJ5913">
        <v>0</v>
      </c>
      <c r="AK5913">
        <v>1</v>
      </c>
      <c r="AL5913">
        <v>1</v>
      </c>
      <c r="AM5913">
        <v>100</v>
      </c>
      <c r="AN5913">
        <v>176.82390000000001</v>
      </c>
      <c r="AO5913">
        <v>0</v>
      </c>
      <c r="AP5913" s="13">
        <v>45999</v>
      </c>
      <c r="AQ5913">
        <v>-1</v>
      </c>
      <c r="AR5913">
        <v>1</v>
      </c>
    </row>
    <row r="5914" spans="1:44" x14ac:dyDescent="0.35">
      <c r="A5914" s="12" t="s">
        <v>7026</v>
      </c>
      <c r="B5914" s="12" t="s">
        <v>747</v>
      </c>
      <c r="C5914" s="12" t="s">
        <v>748</v>
      </c>
      <c r="D5914" s="12" t="s">
        <v>114</v>
      </c>
      <c r="E5914" s="12" t="s">
        <v>104</v>
      </c>
      <c r="F5914">
        <v>2</v>
      </c>
      <c r="G5914">
        <v>0</v>
      </c>
      <c r="H5914">
        <v>0</v>
      </c>
      <c r="I5914" s="12" t="s">
        <v>380</v>
      </c>
      <c r="J5914" s="12" t="s">
        <v>381</v>
      </c>
      <c r="K5914" s="12" t="s">
        <v>89</v>
      </c>
      <c r="L5914" s="12" t="s">
        <v>96</v>
      </c>
      <c r="M5914">
        <v>10.210000000000001</v>
      </c>
      <c r="N5914" s="12" t="s">
        <v>70</v>
      </c>
      <c r="O5914" s="12" t="s">
        <v>71</v>
      </c>
      <c r="P5914" s="12" t="s">
        <v>72</v>
      </c>
      <c r="Q5914" s="13">
        <v>45954</v>
      </c>
      <c r="R5914" s="13">
        <v>45967</v>
      </c>
      <c r="S5914">
        <v>2025</v>
      </c>
      <c r="T5914" s="12" t="s">
        <v>6884</v>
      </c>
      <c r="U5914">
        <v>23</v>
      </c>
      <c r="V5914">
        <v>254.489</v>
      </c>
      <c r="W5914">
        <v>50.02</v>
      </c>
      <c r="X5914">
        <v>0</v>
      </c>
      <c r="Y5914">
        <v>0</v>
      </c>
      <c r="Z5914">
        <v>5853.25</v>
      </c>
      <c r="AA5914">
        <v>5903.27</v>
      </c>
      <c r="AB5914" s="12" t="s">
        <v>201</v>
      </c>
      <c r="AD5914">
        <v>0</v>
      </c>
      <c r="AE5914">
        <v>0</v>
      </c>
      <c r="AH5914">
        <v>23</v>
      </c>
      <c r="AI5914">
        <v>23</v>
      </c>
      <c r="AJ5914">
        <v>0</v>
      </c>
      <c r="AK5914">
        <v>1</v>
      </c>
      <c r="AL5914">
        <v>1</v>
      </c>
      <c r="AM5914">
        <v>100</v>
      </c>
      <c r="AN5914">
        <v>256.66379999999998</v>
      </c>
      <c r="AO5914">
        <v>0</v>
      </c>
      <c r="AP5914" s="13">
        <v>45965</v>
      </c>
      <c r="AQ5914">
        <v>-2</v>
      </c>
      <c r="AR5914">
        <v>1</v>
      </c>
    </row>
    <row r="5915" spans="1:44" x14ac:dyDescent="0.35">
      <c r="A5915" s="12" t="s">
        <v>7027</v>
      </c>
      <c r="B5915" s="12" t="s">
        <v>331</v>
      </c>
      <c r="C5915" s="12" t="s">
        <v>332</v>
      </c>
      <c r="D5915" s="12" t="s">
        <v>122</v>
      </c>
      <c r="E5915" s="12" t="s">
        <v>142</v>
      </c>
      <c r="F5915">
        <v>3</v>
      </c>
      <c r="G5915">
        <v>11</v>
      </c>
      <c r="H5915">
        <v>0</v>
      </c>
      <c r="I5915" s="12" t="s">
        <v>263</v>
      </c>
      <c r="J5915" s="12" t="s">
        <v>264</v>
      </c>
      <c r="K5915" s="12" t="s">
        <v>125</v>
      </c>
      <c r="L5915" s="12" t="s">
        <v>82</v>
      </c>
      <c r="M5915">
        <v>10.210000000000001</v>
      </c>
      <c r="N5915" s="12" t="s">
        <v>97</v>
      </c>
      <c r="O5915" s="12" t="s">
        <v>98</v>
      </c>
      <c r="P5915" s="12" t="s">
        <v>72</v>
      </c>
      <c r="Q5915" s="13">
        <v>45954</v>
      </c>
      <c r="R5915" s="13">
        <v>46005</v>
      </c>
      <c r="S5915">
        <v>2025</v>
      </c>
      <c r="T5915" s="12" t="s">
        <v>6884</v>
      </c>
      <c r="U5915">
        <v>1860</v>
      </c>
      <c r="V5915">
        <v>23.006</v>
      </c>
      <c r="W5915">
        <v>501.04</v>
      </c>
      <c r="X5915">
        <v>0</v>
      </c>
      <c r="Y5915">
        <v>0</v>
      </c>
      <c r="Z5915">
        <v>42791.16</v>
      </c>
      <c r="AA5915">
        <v>43292.2</v>
      </c>
      <c r="AB5915" s="12" t="s">
        <v>5234</v>
      </c>
      <c r="AC5915">
        <v>23.006</v>
      </c>
      <c r="AD5915">
        <v>1</v>
      </c>
      <c r="AE5915">
        <v>1</v>
      </c>
      <c r="AF5915">
        <v>0</v>
      </c>
      <c r="AG5915">
        <v>42791.16</v>
      </c>
      <c r="AH5915">
        <v>1860</v>
      </c>
      <c r="AI5915">
        <v>1847</v>
      </c>
      <c r="AJ5915">
        <v>13</v>
      </c>
      <c r="AK5915">
        <v>1</v>
      </c>
      <c r="AL5915">
        <v>1</v>
      </c>
      <c r="AM5915">
        <v>99.3</v>
      </c>
      <c r="AN5915">
        <v>23.4392</v>
      </c>
      <c r="AO5915">
        <v>299.08</v>
      </c>
      <c r="AP5915" s="13">
        <v>46003</v>
      </c>
      <c r="AQ5915">
        <v>-2</v>
      </c>
      <c r="AR5915">
        <v>1</v>
      </c>
    </row>
    <row r="5916" spans="1:44" x14ac:dyDescent="0.35">
      <c r="A5916" s="12" t="s">
        <v>7028</v>
      </c>
      <c r="B5916" s="12" t="s">
        <v>1075</v>
      </c>
      <c r="C5916" s="12" t="s">
        <v>1076</v>
      </c>
      <c r="D5916" s="12" t="s">
        <v>103</v>
      </c>
      <c r="E5916" s="12" t="s">
        <v>65</v>
      </c>
      <c r="F5916">
        <v>2</v>
      </c>
      <c r="G5916">
        <v>4</v>
      </c>
      <c r="H5916">
        <v>0</v>
      </c>
      <c r="I5916" s="12" t="s">
        <v>183</v>
      </c>
      <c r="J5916" s="12" t="s">
        <v>184</v>
      </c>
      <c r="K5916" s="12" t="s">
        <v>133</v>
      </c>
      <c r="L5916" s="12" t="s">
        <v>82</v>
      </c>
      <c r="M5916">
        <v>8.6199999999999992</v>
      </c>
      <c r="N5916" s="12" t="s">
        <v>107</v>
      </c>
      <c r="O5916" s="12" t="s">
        <v>108</v>
      </c>
      <c r="P5916" s="12" t="s">
        <v>109</v>
      </c>
      <c r="Q5916" s="13">
        <v>45954</v>
      </c>
      <c r="R5916" s="13">
        <v>45985</v>
      </c>
      <c r="S5916">
        <v>2025</v>
      </c>
      <c r="T5916" s="12" t="s">
        <v>6884</v>
      </c>
      <c r="U5916">
        <v>92</v>
      </c>
      <c r="V5916">
        <v>75.191199999999995</v>
      </c>
      <c r="W5916">
        <v>164.5</v>
      </c>
      <c r="X5916">
        <v>0</v>
      </c>
      <c r="Y5916">
        <v>0</v>
      </c>
      <c r="Z5916">
        <v>6917.59</v>
      </c>
      <c r="AA5916">
        <v>7082.09</v>
      </c>
      <c r="AB5916" s="12" t="s">
        <v>201</v>
      </c>
      <c r="AD5916">
        <v>0</v>
      </c>
      <c r="AE5916">
        <v>0</v>
      </c>
      <c r="AH5916">
        <v>92</v>
      </c>
      <c r="AI5916">
        <v>91</v>
      </c>
      <c r="AJ5916">
        <v>1</v>
      </c>
      <c r="AK5916">
        <v>1</v>
      </c>
      <c r="AL5916">
        <v>1</v>
      </c>
      <c r="AM5916">
        <v>98.91</v>
      </c>
      <c r="AN5916">
        <v>77.825199999999995</v>
      </c>
      <c r="AO5916">
        <v>75.19</v>
      </c>
      <c r="AP5916" s="13">
        <v>45985</v>
      </c>
      <c r="AQ5916">
        <v>0</v>
      </c>
      <c r="AR5916">
        <v>1</v>
      </c>
    </row>
    <row r="5917" spans="1:44" x14ac:dyDescent="0.35">
      <c r="A5917" s="12" t="s">
        <v>7029</v>
      </c>
      <c r="B5917" s="12" t="s">
        <v>773</v>
      </c>
      <c r="C5917" s="12" t="s">
        <v>774</v>
      </c>
      <c r="D5917" s="12" t="s">
        <v>64</v>
      </c>
      <c r="E5917" s="12" t="s">
        <v>142</v>
      </c>
      <c r="F5917">
        <v>1</v>
      </c>
      <c r="G5917">
        <v>7</v>
      </c>
      <c r="H5917">
        <v>1</v>
      </c>
      <c r="I5917" s="12" t="s">
        <v>251</v>
      </c>
      <c r="J5917" s="12" t="s">
        <v>252</v>
      </c>
      <c r="K5917" s="12" t="s">
        <v>133</v>
      </c>
      <c r="L5917" s="12" t="s">
        <v>69</v>
      </c>
      <c r="M5917">
        <v>34.49</v>
      </c>
      <c r="N5917" s="12" t="s">
        <v>97</v>
      </c>
      <c r="O5917" s="12" t="s">
        <v>98</v>
      </c>
      <c r="P5917" s="12" t="s">
        <v>72</v>
      </c>
      <c r="Q5917" s="13">
        <v>45954</v>
      </c>
      <c r="R5917" s="13">
        <v>45993</v>
      </c>
      <c r="S5917">
        <v>2025</v>
      </c>
      <c r="T5917" s="12" t="s">
        <v>6884</v>
      </c>
      <c r="U5917">
        <v>313</v>
      </c>
      <c r="V5917">
        <v>9.4006000000000007</v>
      </c>
      <c r="W5917">
        <v>69.67</v>
      </c>
      <c r="X5917">
        <v>0</v>
      </c>
      <c r="Y5917">
        <v>0</v>
      </c>
      <c r="Z5917">
        <v>2942.39</v>
      </c>
      <c r="AA5917">
        <v>3012.06</v>
      </c>
      <c r="AB5917" s="12" t="s">
        <v>5613</v>
      </c>
      <c r="AC5917">
        <v>9.9849999999999994</v>
      </c>
      <c r="AD5917">
        <v>1</v>
      </c>
      <c r="AE5917">
        <v>1</v>
      </c>
      <c r="AF5917">
        <v>-182.92</v>
      </c>
      <c r="AG5917">
        <v>3125.31</v>
      </c>
      <c r="AH5917">
        <v>313</v>
      </c>
      <c r="AI5917">
        <v>311</v>
      </c>
      <c r="AJ5917">
        <v>2</v>
      </c>
      <c r="AK5917">
        <v>1</v>
      </c>
      <c r="AL5917">
        <v>1</v>
      </c>
      <c r="AM5917">
        <v>99.36</v>
      </c>
      <c r="AN5917">
        <v>9.6851000000000003</v>
      </c>
      <c r="AO5917">
        <v>18.8</v>
      </c>
      <c r="AP5917" s="13">
        <v>45992</v>
      </c>
      <c r="AQ5917">
        <v>-1</v>
      </c>
      <c r="AR5917">
        <v>1</v>
      </c>
    </row>
    <row r="5918" spans="1:44" x14ac:dyDescent="0.35">
      <c r="A5918" s="12" t="s">
        <v>7030</v>
      </c>
      <c r="B5918" s="12" t="s">
        <v>773</v>
      </c>
      <c r="C5918" s="12" t="s">
        <v>774</v>
      </c>
      <c r="D5918" s="12" t="s">
        <v>64</v>
      </c>
      <c r="E5918" s="12" t="s">
        <v>142</v>
      </c>
      <c r="F5918">
        <v>1</v>
      </c>
      <c r="G5918">
        <v>7</v>
      </c>
      <c r="H5918">
        <v>1</v>
      </c>
      <c r="I5918" s="12" t="s">
        <v>251</v>
      </c>
      <c r="J5918" s="12" t="s">
        <v>252</v>
      </c>
      <c r="K5918" s="12" t="s">
        <v>133</v>
      </c>
      <c r="L5918" s="12" t="s">
        <v>69</v>
      </c>
      <c r="M5918">
        <v>34.49</v>
      </c>
      <c r="N5918" s="12" t="s">
        <v>97</v>
      </c>
      <c r="O5918" s="12" t="s">
        <v>98</v>
      </c>
      <c r="P5918" s="12" t="s">
        <v>72</v>
      </c>
      <c r="Q5918" s="13">
        <v>45954</v>
      </c>
      <c r="R5918" s="13">
        <v>46006</v>
      </c>
      <c r="S5918">
        <v>2025</v>
      </c>
      <c r="T5918" s="12" t="s">
        <v>6884</v>
      </c>
      <c r="U5918">
        <v>977</v>
      </c>
      <c r="V5918">
        <v>9.9849999999999994</v>
      </c>
      <c r="W5918">
        <v>199.98</v>
      </c>
      <c r="X5918">
        <v>0</v>
      </c>
      <c r="Y5918">
        <v>0</v>
      </c>
      <c r="Z5918">
        <v>9755.35</v>
      </c>
      <c r="AA5918">
        <v>9955.33</v>
      </c>
      <c r="AB5918" s="12" t="s">
        <v>5613</v>
      </c>
      <c r="AC5918">
        <v>9.9849999999999994</v>
      </c>
      <c r="AD5918">
        <v>1</v>
      </c>
      <c r="AE5918">
        <v>1</v>
      </c>
      <c r="AF5918">
        <v>0</v>
      </c>
      <c r="AG5918">
        <v>9755.35</v>
      </c>
      <c r="AH5918">
        <v>977</v>
      </c>
      <c r="AI5918">
        <v>973</v>
      </c>
      <c r="AJ5918">
        <v>4</v>
      </c>
      <c r="AK5918">
        <v>1</v>
      </c>
      <c r="AL5918">
        <v>1</v>
      </c>
      <c r="AM5918">
        <v>99.59</v>
      </c>
      <c r="AN5918">
        <v>10.2316</v>
      </c>
      <c r="AO5918">
        <v>39.94</v>
      </c>
      <c r="AP5918" s="13">
        <v>46006</v>
      </c>
      <c r="AQ5918">
        <v>0</v>
      </c>
      <c r="AR5918">
        <v>1</v>
      </c>
    </row>
    <row r="5919" spans="1:44" x14ac:dyDescent="0.35">
      <c r="A5919" s="12" t="s">
        <v>7031</v>
      </c>
      <c r="B5919" s="12" t="s">
        <v>728</v>
      </c>
      <c r="C5919" s="12" t="s">
        <v>729</v>
      </c>
      <c r="D5919" s="12" t="s">
        <v>269</v>
      </c>
      <c r="E5919" s="12" t="s">
        <v>65</v>
      </c>
      <c r="F5919">
        <v>2</v>
      </c>
      <c r="G5919">
        <v>3</v>
      </c>
      <c r="H5919">
        <v>0</v>
      </c>
      <c r="I5919" s="12" t="s">
        <v>310</v>
      </c>
      <c r="J5919" s="12" t="s">
        <v>311</v>
      </c>
      <c r="K5919" s="12" t="s">
        <v>81</v>
      </c>
      <c r="L5919" s="12" t="s">
        <v>69</v>
      </c>
      <c r="M5919">
        <v>28.3</v>
      </c>
      <c r="N5919" s="12" t="s">
        <v>135</v>
      </c>
      <c r="O5919" s="12" t="s">
        <v>136</v>
      </c>
      <c r="P5919" s="12" t="s">
        <v>137</v>
      </c>
      <c r="Q5919" s="13">
        <v>45954</v>
      </c>
      <c r="R5919" s="13">
        <v>45985</v>
      </c>
      <c r="S5919">
        <v>2025</v>
      </c>
      <c r="T5919" s="12" t="s">
        <v>6884</v>
      </c>
      <c r="U5919">
        <v>88</v>
      </c>
      <c r="V5919">
        <v>354.43099999999998</v>
      </c>
      <c r="W5919">
        <v>539.75</v>
      </c>
      <c r="X5919">
        <v>0</v>
      </c>
      <c r="Y5919">
        <v>0</v>
      </c>
      <c r="Z5919">
        <v>31189.93</v>
      </c>
      <c r="AA5919">
        <v>31729.68</v>
      </c>
      <c r="AB5919" s="12" t="s">
        <v>5820</v>
      </c>
      <c r="AC5919">
        <v>354.43099999999998</v>
      </c>
      <c r="AD5919">
        <v>1</v>
      </c>
      <c r="AE5919">
        <v>1</v>
      </c>
      <c r="AF5919">
        <v>0</v>
      </c>
      <c r="AG5919">
        <v>31189.93</v>
      </c>
      <c r="AH5919">
        <v>88</v>
      </c>
      <c r="AI5919">
        <v>87</v>
      </c>
      <c r="AJ5919">
        <v>1</v>
      </c>
      <c r="AK5919">
        <v>1</v>
      </c>
      <c r="AL5919">
        <v>1</v>
      </c>
      <c r="AM5919">
        <v>98.86</v>
      </c>
      <c r="AN5919">
        <v>364.70890000000003</v>
      </c>
      <c r="AO5919">
        <v>354.43</v>
      </c>
      <c r="AP5919" s="13">
        <v>45982</v>
      </c>
      <c r="AQ5919">
        <v>-3</v>
      </c>
      <c r="AR5919">
        <v>1</v>
      </c>
    </row>
    <row r="5920" spans="1:44" x14ac:dyDescent="0.35">
      <c r="A5920" s="12" t="s">
        <v>7032</v>
      </c>
      <c r="B5920" s="12" t="s">
        <v>532</v>
      </c>
      <c r="C5920" s="12" t="s">
        <v>533</v>
      </c>
      <c r="D5920" s="12" t="s">
        <v>114</v>
      </c>
      <c r="E5920" s="12" t="s">
        <v>65</v>
      </c>
      <c r="F5920">
        <v>2</v>
      </c>
      <c r="G5920">
        <v>3</v>
      </c>
      <c r="H5920">
        <v>0</v>
      </c>
      <c r="I5920" s="12" t="s">
        <v>105</v>
      </c>
      <c r="J5920" s="12" t="s">
        <v>106</v>
      </c>
      <c r="K5920" s="12" t="s">
        <v>81</v>
      </c>
      <c r="L5920" s="12" t="s">
        <v>96</v>
      </c>
      <c r="M5920">
        <v>5.01</v>
      </c>
      <c r="N5920" s="12" t="s">
        <v>70</v>
      </c>
      <c r="O5920" s="12" t="s">
        <v>71</v>
      </c>
      <c r="P5920" s="12" t="s">
        <v>72</v>
      </c>
      <c r="Q5920" s="13">
        <v>45954</v>
      </c>
      <c r="R5920" s="13">
        <v>45988</v>
      </c>
      <c r="S5920">
        <v>2025</v>
      </c>
      <c r="T5920" s="12" t="s">
        <v>6884</v>
      </c>
      <c r="U5920">
        <v>112</v>
      </c>
      <c r="V5920">
        <v>249.89959999999999</v>
      </c>
      <c r="W5920">
        <v>334.7</v>
      </c>
      <c r="X5920">
        <v>0</v>
      </c>
      <c r="Y5920">
        <v>0</v>
      </c>
      <c r="Z5920">
        <v>27988.76</v>
      </c>
      <c r="AA5920">
        <v>28323.46</v>
      </c>
      <c r="AB5920" s="12" t="s">
        <v>5676</v>
      </c>
      <c r="AC5920">
        <v>249.89959999999999</v>
      </c>
      <c r="AD5920">
        <v>1</v>
      </c>
      <c r="AE5920">
        <v>1</v>
      </c>
      <c r="AF5920">
        <v>0</v>
      </c>
      <c r="AG5920">
        <v>27988.76</v>
      </c>
      <c r="AH5920">
        <v>112</v>
      </c>
      <c r="AI5920">
        <v>109</v>
      </c>
      <c r="AJ5920">
        <v>3</v>
      </c>
      <c r="AK5920">
        <v>1</v>
      </c>
      <c r="AL5920">
        <v>1</v>
      </c>
      <c r="AM5920">
        <v>97.32</v>
      </c>
      <c r="AN5920">
        <v>259.84820000000002</v>
      </c>
      <c r="AO5920">
        <v>749.7</v>
      </c>
      <c r="AP5920" s="13">
        <v>45985</v>
      </c>
      <c r="AQ5920">
        <v>-3</v>
      </c>
      <c r="AR5920">
        <v>1</v>
      </c>
    </row>
    <row r="5921" spans="1:44" x14ac:dyDescent="0.35">
      <c r="A5921" s="12" t="s">
        <v>7033</v>
      </c>
      <c r="B5921" s="12" t="s">
        <v>736</v>
      </c>
      <c r="C5921" s="12" t="s">
        <v>737</v>
      </c>
      <c r="D5921" s="12" t="s">
        <v>64</v>
      </c>
      <c r="E5921" s="12" t="s">
        <v>104</v>
      </c>
      <c r="F5921">
        <v>3</v>
      </c>
      <c r="G5921">
        <v>1</v>
      </c>
      <c r="H5921">
        <v>0</v>
      </c>
      <c r="I5921" s="12" t="s">
        <v>94</v>
      </c>
      <c r="J5921" s="12" t="s">
        <v>95</v>
      </c>
      <c r="K5921" s="12" t="s">
        <v>81</v>
      </c>
      <c r="L5921" s="12" t="s">
        <v>96</v>
      </c>
      <c r="M5921">
        <v>4.8099999999999996</v>
      </c>
      <c r="N5921" s="12" t="s">
        <v>70</v>
      </c>
      <c r="O5921" s="12" t="s">
        <v>71</v>
      </c>
      <c r="P5921" s="12" t="s">
        <v>72</v>
      </c>
      <c r="Q5921" s="13">
        <v>45954</v>
      </c>
      <c r="R5921" s="13">
        <v>45973</v>
      </c>
      <c r="S5921">
        <v>2025</v>
      </c>
      <c r="T5921" s="12" t="s">
        <v>6884</v>
      </c>
      <c r="U5921">
        <v>459</v>
      </c>
      <c r="V5921">
        <v>21.2288</v>
      </c>
      <c r="W5921">
        <v>223.34</v>
      </c>
      <c r="X5921">
        <v>0</v>
      </c>
      <c r="Y5921">
        <v>0</v>
      </c>
      <c r="Z5921">
        <v>9744.02</v>
      </c>
      <c r="AA5921">
        <v>9967.36</v>
      </c>
      <c r="AB5921" s="12" t="s">
        <v>5992</v>
      </c>
      <c r="AC5921">
        <v>21.2288</v>
      </c>
      <c r="AD5921">
        <v>1</v>
      </c>
      <c r="AE5921">
        <v>1</v>
      </c>
      <c r="AF5921">
        <v>0</v>
      </c>
      <c r="AG5921">
        <v>9744.02</v>
      </c>
      <c r="AH5921">
        <v>459</v>
      </c>
      <c r="AI5921">
        <v>455</v>
      </c>
      <c r="AJ5921">
        <v>4</v>
      </c>
      <c r="AK5921">
        <v>1</v>
      </c>
      <c r="AL5921">
        <v>1</v>
      </c>
      <c r="AM5921">
        <v>99.13</v>
      </c>
      <c r="AN5921">
        <v>21.906300000000002</v>
      </c>
      <c r="AO5921">
        <v>84.92</v>
      </c>
      <c r="AP5921" s="13">
        <v>45973</v>
      </c>
      <c r="AQ5921">
        <v>0</v>
      </c>
      <c r="AR5921">
        <v>1</v>
      </c>
    </row>
    <row r="5922" spans="1:44" x14ac:dyDescent="0.35">
      <c r="A5922" s="12" t="s">
        <v>7034</v>
      </c>
      <c r="B5922" s="12" t="s">
        <v>215</v>
      </c>
      <c r="C5922" s="12" t="s">
        <v>216</v>
      </c>
      <c r="D5922" s="12" t="s">
        <v>122</v>
      </c>
      <c r="E5922" s="12" t="s">
        <v>142</v>
      </c>
      <c r="F5922">
        <v>3</v>
      </c>
      <c r="G5922">
        <v>11</v>
      </c>
      <c r="H5922">
        <v>0</v>
      </c>
      <c r="I5922" s="12" t="s">
        <v>310</v>
      </c>
      <c r="J5922" s="12" t="s">
        <v>311</v>
      </c>
      <c r="K5922" s="12" t="s">
        <v>81</v>
      </c>
      <c r="L5922" s="12" t="s">
        <v>69</v>
      </c>
      <c r="M5922">
        <v>28.3</v>
      </c>
      <c r="N5922" s="12" t="s">
        <v>97</v>
      </c>
      <c r="O5922" s="12" t="s">
        <v>98</v>
      </c>
      <c r="P5922" s="12" t="s">
        <v>72</v>
      </c>
      <c r="Q5922" s="13">
        <v>45954</v>
      </c>
      <c r="R5922" s="13">
        <v>45994</v>
      </c>
      <c r="S5922">
        <v>2025</v>
      </c>
      <c r="T5922" s="12" t="s">
        <v>6884</v>
      </c>
      <c r="U5922">
        <v>765</v>
      </c>
      <c r="V5922">
        <v>14.9389</v>
      </c>
      <c r="W5922">
        <v>126.92</v>
      </c>
      <c r="X5922">
        <v>0</v>
      </c>
      <c r="Y5922">
        <v>0</v>
      </c>
      <c r="Z5922">
        <v>11428.26</v>
      </c>
      <c r="AA5922">
        <v>11555.18</v>
      </c>
      <c r="AB5922" s="12" t="s">
        <v>201</v>
      </c>
      <c r="AD5922">
        <v>0</v>
      </c>
      <c r="AE5922">
        <v>0</v>
      </c>
      <c r="AH5922">
        <v>765</v>
      </c>
      <c r="AI5922">
        <v>758</v>
      </c>
      <c r="AJ5922">
        <v>7</v>
      </c>
      <c r="AK5922">
        <v>1</v>
      </c>
      <c r="AL5922">
        <v>1</v>
      </c>
      <c r="AM5922">
        <v>99.08</v>
      </c>
      <c r="AN5922">
        <v>15.244300000000001</v>
      </c>
      <c r="AO5922">
        <v>104.57</v>
      </c>
      <c r="AP5922" s="13">
        <v>45992</v>
      </c>
      <c r="AQ5922">
        <v>-2</v>
      </c>
      <c r="AR5922">
        <v>1</v>
      </c>
    </row>
    <row r="5923" spans="1:44" x14ac:dyDescent="0.35">
      <c r="A5923" s="12" t="s">
        <v>7035</v>
      </c>
      <c r="B5923" s="12" t="s">
        <v>482</v>
      </c>
      <c r="C5923" s="12" t="s">
        <v>483</v>
      </c>
      <c r="D5923" s="12" t="s">
        <v>78</v>
      </c>
      <c r="E5923" s="12" t="s">
        <v>142</v>
      </c>
      <c r="F5923">
        <v>2</v>
      </c>
      <c r="G5923">
        <v>9</v>
      </c>
      <c r="H5923">
        <v>0</v>
      </c>
      <c r="I5923" s="12" t="s">
        <v>87</v>
      </c>
      <c r="J5923" s="12" t="s">
        <v>88</v>
      </c>
      <c r="K5923" s="12" t="s">
        <v>89</v>
      </c>
      <c r="L5923" s="12" t="s">
        <v>69</v>
      </c>
      <c r="M5923">
        <v>14.93</v>
      </c>
      <c r="N5923" s="12" t="s">
        <v>70</v>
      </c>
      <c r="O5923" s="12" t="s">
        <v>71</v>
      </c>
      <c r="P5923" s="12" t="s">
        <v>72</v>
      </c>
      <c r="Q5923" s="13">
        <v>45954</v>
      </c>
      <c r="R5923" s="13">
        <v>45990</v>
      </c>
      <c r="S5923">
        <v>2025</v>
      </c>
      <c r="T5923" s="12" t="s">
        <v>6884</v>
      </c>
      <c r="U5923">
        <v>66</v>
      </c>
      <c r="V5923">
        <v>44.658099999999997</v>
      </c>
      <c r="W5923">
        <v>75.2</v>
      </c>
      <c r="X5923">
        <v>0</v>
      </c>
      <c r="Y5923">
        <v>0</v>
      </c>
      <c r="Z5923">
        <v>2947.43</v>
      </c>
      <c r="AA5923">
        <v>3022.63</v>
      </c>
      <c r="AB5923" s="12" t="s">
        <v>5658</v>
      </c>
      <c r="AC5923">
        <v>44.658099999999997</v>
      </c>
      <c r="AD5923">
        <v>1</v>
      </c>
      <c r="AE5923">
        <v>1</v>
      </c>
      <c r="AF5923">
        <v>0</v>
      </c>
      <c r="AG5923">
        <v>2947.43</v>
      </c>
      <c r="AH5923">
        <v>66</v>
      </c>
      <c r="AI5923">
        <v>65</v>
      </c>
      <c r="AJ5923">
        <v>1</v>
      </c>
      <c r="AK5923">
        <v>1</v>
      </c>
      <c r="AL5923">
        <v>1</v>
      </c>
      <c r="AM5923">
        <v>98.48</v>
      </c>
      <c r="AN5923">
        <v>46.502099999999999</v>
      </c>
      <c r="AO5923">
        <v>44.66</v>
      </c>
      <c r="AP5923" s="13">
        <v>45986</v>
      </c>
      <c r="AQ5923">
        <v>-4</v>
      </c>
      <c r="AR5923">
        <v>1</v>
      </c>
    </row>
    <row r="5924" spans="1:44" x14ac:dyDescent="0.35">
      <c r="A5924" s="12" t="s">
        <v>7036</v>
      </c>
      <c r="B5924" s="12" t="s">
        <v>670</v>
      </c>
      <c r="C5924" s="12" t="s">
        <v>671</v>
      </c>
      <c r="D5924" s="12" t="s">
        <v>175</v>
      </c>
      <c r="E5924" s="12" t="s">
        <v>142</v>
      </c>
      <c r="F5924">
        <v>2</v>
      </c>
      <c r="G5924">
        <v>9</v>
      </c>
      <c r="H5924">
        <v>0</v>
      </c>
      <c r="I5924" s="12" t="s">
        <v>105</v>
      </c>
      <c r="J5924" s="12" t="s">
        <v>106</v>
      </c>
      <c r="K5924" s="12" t="s">
        <v>81</v>
      </c>
      <c r="L5924" s="12" t="s">
        <v>96</v>
      </c>
      <c r="M5924">
        <v>5.01</v>
      </c>
      <c r="N5924" s="12" t="s">
        <v>107</v>
      </c>
      <c r="O5924" s="12" t="s">
        <v>108</v>
      </c>
      <c r="P5924" s="12" t="s">
        <v>109</v>
      </c>
      <c r="Q5924" s="13">
        <v>45954</v>
      </c>
      <c r="R5924" s="13">
        <v>45990</v>
      </c>
      <c r="S5924">
        <v>2025</v>
      </c>
      <c r="T5924" s="12" t="s">
        <v>6884</v>
      </c>
      <c r="U5924">
        <v>23</v>
      </c>
      <c r="V5924">
        <v>160.93360000000001</v>
      </c>
      <c r="W5924">
        <v>42.58</v>
      </c>
      <c r="X5924">
        <v>0</v>
      </c>
      <c r="Y5924">
        <v>0</v>
      </c>
      <c r="Z5924">
        <v>3701.47</v>
      </c>
      <c r="AA5924">
        <v>3744.05</v>
      </c>
      <c r="AB5924" s="12" t="s">
        <v>201</v>
      </c>
      <c r="AD5924">
        <v>0</v>
      </c>
      <c r="AE5924">
        <v>0</v>
      </c>
      <c r="AH5924">
        <v>23</v>
      </c>
      <c r="AI5924">
        <v>23</v>
      </c>
      <c r="AJ5924">
        <v>0</v>
      </c>
      <c r="AK5924">
        <v>1</v>
      </c>
      <c r="AL5924">
        <v>1</v>
      </c>
      <c r="AM5924">
        <v>100</v>
      </c>
      <c r="AN5924">
        <v>162.78489999999999</v>
      </c>
      <c r="AO5924">
        <v>0</v>
      </c>
      <c r="AP5924" s="13">
        <v>45995</v>
      </c>
      <c r="AQ5924">
        <v>5</v>
      </c>
      <c r="AR5924">
        <v>0</v>
      </c>
    </row>
    <row r="5925" spans="1:44" x14ac:dyDescent="0.35">
      <c r="A5925" s="12" t="s">
        <v>7037</v>
      </c>
      <c r="B5925" s="12" t="s">
        <v>837</v>
      </c>
      <c r="C5925" s="12" t="s">
        <v>838</v>
      </c>
      <c r="D5925" s="12" t="s">
        <v>114</v>
      </c>
      <c r="E5925" s="12" t="s">
        <v>104</v>
      </c>
      <c r="F5925">
        <v>2</v>
      </c>
      <c r="G5925">
        <v>0</v>
      </c>
      <c r="H5925">
        <v>0</v>
      </c>
      <c r="I5925" s="12" t="s">
        <v>199</v>
      </c>
      <c r="J5925" s="12" t="s">
        <v>200</v>
      </c>
      <c r="K5925" s="12" t="s">
        <v>68</v>
      </c>
      <c r="L5925" s="12" t="s">
        <v>96</v>
      </c>
      <c r="M5925">
        <v>9.4700000000000006</v>
      </c>
      <c r="N5925" s="12" t="s">
        <v>97</v>
      </c>
      <c r="O5925" s="12" t="s">
        <v>98</v>
      </c>
      <c r="P5925" s="12" t="s">
        <v>72</v>
      </c>
      <c r="Q5925" s="13">
        <v>45957</v>
      </c>
      <c r="R5925" s="13">
        <v>45981</v>
      </c>
      <c r="S5925">
        <v>2025</v>
      </c>
      <c r="T5925" s="12" t="s">
        <v>6884</v>
      </c>
      <c r="U5925">
        <v>109</v>
      </c>
      <c r="V5925">
        <v>66.785399999999996</v>
      </c>
      <c r="W5925">
        <v>178.52</v>
      </c>
      <c r="X5925">
        <v>0</v>
      </c>
      <c r="Y5925">
        <v>0</v>
      </c>
      <c r="Z5925">
        <v>7279.61</v>
      </c>
      <c r="AA5925">
        <v>7458.13</v>
      </c>
      <c r="AB5925" s="12" t="s">
        <v>5895</v>
      </c>
      <c r="AC5925">
        <v>66.785399999999996</v>
      </c>
      <c r="AD5925">
        <v>1</v>
      </c>
      <c r="AE5925">
        <v>1</v>
      </c>
      <c r="AF5925">
        <v>0</v>
      </c>
      <c r="AG5925">
        <v>7279.61</v>
      </c>
      <c r="AH5925">
        <v>109</v>
      </c>
      <c r="AI5925">
        <v>107</v>
      </c>
      <c r="AJ5925">
        <v>2</v>
      </c>
      <c r="AK5925">
        <v>1</v>
      </c>
      <c r="AL5925">
        <v>1</v>
      </c>
      <c r="AM5925">
        <v>98.17</v>
      </c>
      <c r="AN5925">
        <v>69.702100000000002</v>
      </c>
      <c r="AO5925">
        <v>133.57</v>
      </c>
      <c r="AP5925" s="13">
        <v>45990</v>
      </c>
      <c r="AQ5925">
        <v>9</v>
      </c>
      <c r="AR5925">
        <v>0</v>
      </c>
    </row>
    <row r="5926" spans="1:44" x14ac:dyDescent="0.35">
      <c r="A5926" s="12" t="s">
        <v>7038</v>
      </c>
      <c r="B5926" s="12" t="s">
        <v>837</v>
      </c>
      <c r="C5926" s="12" t="s">
        <v>838</v>
      </c>
      <c r="D5926" s="12" t="s">
        <v>114</v>
      </c>
      <c r="E5926" s="12" t="s">
        <v>104</v>
      </c>
      <c r="F5926">
        <v>2</v>
      </c>
      <c r="G5926">
        <v>0</v>
      </c>
      <c r="H5926">
        <v>0</v>
      </c>
      <c r="I5926" s="12" t="s">
        <v>79</v>
      </c>
      <c r="J5926" s="12" t="s">
        <v>80</v>
      </c>
      <c r="K5926" s="12" t="s">
        <v>81</v>
      </c>
      <c r="L5926" s="12" t="s">
        <v>82</v>
      </c>
      <c r="M5926">
        <v>12.07</v>
      </c>
      <c r="N5926" s="12" t="s">
        <v>97</v>
      </c>
      <c r="O5926" s="12" t="s">
        <v>98</v>
      </c>
      <c r="P5926" s="12" t="s">
        <v>72</v>
      </c>
      <c r="Q5926" s="13">
        <v>45957</v>
      </c>
      <c r="R5926" s="13">
        <v>45980</v>
      </c>
      <c r="S5926">
        <v>2025</v>
      </c>
      <c r="T5926" s="12" t="s">
        <v>6884</v>
      </c>
      <c r="U5926">
        <v>101</v>
      </c>
      <c r="V5926">
        <v>71.0244</v>
      </c>
      <c r="W5926">
        <v>104.62</v>
      </c>
      <c r="X5926">
        <v>0</v>
      </c>
      <c r="Y5926">
        <v>0</v>
      </c>
      <c r="Z5926">
        <v>7173.46</v>
      </c>
      <c r="AA5926">
        <v>7278.08</v>
      </c>
      <c r="AB5926" s="12" t="s">
        <v>5905</v>
      </c>
      <c r="AC5926">
        <v>71.0244</v>
      </c>
      <c r="AD5926">
        <v>1</v>
      </c>
      <c r="AE5926">
        <v>1</v>
      </c>
      <c r="AF5926">
        <v>0</v>
      </c>
      <c r="AG5926">
        <v>7173.46</v>
      </c>
      <c r="AH5926">
        <v>101</v>
      </c>
      <c r="AI5926">
        <v>99</v>
      </c>
      <c r="AJ5926">
        <v>2</v>
      </c>
      <c r="AK5926">
        <v>1</v>
      </c>
      <c r="AL5926">
        <v>1</v>
      </c>
      <c r="AM5926">
        <v>98.02</v>
      </c>
      <c r="AN5926">
        <v>73.516000000000005</v>
      </c>
      <c r="AO5926">
        <v>142.05000000000001</v>
      </c>
      <c r="AP5926" s="13">
        <v>45980</v>
      </c>
      <c r="AQ5926">
        <v>0</v>
      </c>
      <c r="AR5926">
        <v>1</v>
      </c>
    </row>
    <row r="5927" spans="1:44" x14ac:dyDescent="0.35">
      <c r="A5927" s="12" t="s">
        <v>7039</v>
      </c>
      <c r="B5927" s="12" t="s">
        <v>339</v>
      </c>
      <c r="C5927" s="12" t="s">
        <v>340</v>
      </c>
      <c r="D5927" s="12" t="s">
        <v>103</v>
      </c>
      <c r="E5927" s="12" t="s">
        <v>142</v>
      </c>
      <c r="F5927">
        <v>2</v>
      </c>
      <c r="G5927">
        <v>9</v>
      </c>
      <c r="H5927">
        <v>0</v>
      </c>
      <c r="I5927" s="12" t="s">
        <v>169</v>
      </c>
      <c r="J5927" s="12" t="s">
        <v>170</v>
      </c>
      <c r="K5927" s="12" t="s">
        <v>89</v>
      </c>
      <c r="L5927" s="12" t="s">
        <v>134</v>
      </c>
      <c r="M5927">
        <v>1.37</v>
      </c>
      <c r="N5927" s="12" t="s">
        <v>145</v>
      </c>
      <c r="O5927" s="12" t="s">
        <v>146</v>
      </c>
      <c r="P5927" s="12" t="s">
        <v>109</v>
      </c>
      <c r="Q5927" s="13">
        <v>45957</v>
      </c>
      <c r="R5927" s="13">
        <v>45994</v>
      </c>
      <c r="S5927">
        <v>2025</v>
      </c>
      <c r="T5927" s="12" t="s">
        <v>6884</v>
      </c>
      <c r="U5927">
        <v>29</v>
      </c>
      <c r="V5927">
        <v>236.3116</v>
      </c>
      <c r="W5927">
        <v>122.13</v>
      </c>
      <c r="X5927">
        <v>0</v>
      </c>
      <c r="Y5927">
        <v>0</v>
      </c>
      <c r="Z5927">
        <v>6853.04</v>
      </c>
      <c r="AA5927">
        <v>6975.17</v>
      </c>
      <c r="AB5927" s="12" t="s">
        <v>5394</v>
      </c>
      <c r="AC5927">
        <v>236.3116</v>
      </c>
      <c r="AD5927">
        <v>1</v>
      </c>
      <c r="AE5927">
        <v>1</v>
      </c>
      <c r="AF5927">
        <v>0</v>
      </c>
      <c r="AG5927">
        <v>6853.04</v>
      </c>
      <c r="AH5927">
        <v>29</v>
      </c>
      <c r="AI5927">
        <v>29</v>
      </c>
      <c r="AJ5927">
        <v>0</v>
      </c>
      <c r="AK5927">
        <v>1</v>
      </c>
      <c r="AL5927">
        <v>1</v>
      </c>
      <c r="AM5927">
        <v>100</v>
      </c>
      <c r="AN5927">
        <v>240.523</v>
      </c>
      <c r="AO5927">
        <v>0</v>
      </c>
      <c r="AP5927" s="13">
        <v>45992</v>
      </c>
      <c r="AQ5927">
        <v>-2</v>
      </c>
      <c r="AR5927">
        <v>1</v>
      </c>
    </row>
    <row r="5928" spans="1:44" x14ac:dyDescent="0.35">
      <c r="A5928" s="12" t="s">
        <v>7040</v>
      </c>
      <c r="B5928" s="12" t="s">
        <v>1026</v>
      </c>
      <c r="C5928" s="12" t="s">
        <v>1027</v>
      </c>
      <c r="D5928" s="12" t="s">
        <v>122</v>
      </c>
      <c r="E5928" s="12" t="s">
        <v>104</v>
      </c>
      <c r="F5928">
        <v>3</v>
      </c>
      <c r="G5928">
        <v>1</v>
      </c>
      <c r="H5928">
        <v>0</v>
      </c>
      <c r="I5928" s="12" t="s">
        <v>183</v>
      </c>
      <c r="J5928" s="12" t="s">
        <v>184</v>
      </c>
      <c r="K5928" s="12" t="s">
        <v>133</v>
      </c>
      <c r="L5928" s="12" t="s">
        <v>82</v>
      </c>
      <c r="M5928">
        <v>8.6199999999999992</v>
      </c>
      <c r="N5928" s="12" t="s">
        <v>70</v>
      </c>
      <c r="O5928" s="12" t="s">
        <v>71</v>
      </c>
      <c r="P5928" s="12" t="s">
        <v>72</v>
      </c>
      <c r="Q5928" s="13">
        <v>45957</v>
      </c>
      <c r="R5928" s="13">
        <v>45970</v>
      </c>
      <c r="S5928">
        <v>2025</v>
      </c>
      <c r="T5928" s="12" t="s">
        <v>6884</v>
      </c>
      <c r="U5928">
        <v>340</v>
      </c>
      <c r="V5928">
        <v>40.668500000000002</v>
      </c>
      <c r="W5928">
        <v>306.51</v>
      </c>
      <c r="X5928">
        <v>0</v>
      </c>
      <c r="Y5928">
        <v>0</v>
      </c>
      <c r="Z5928">
        <v>13827.29</v>
      </c>
      <c r="AA5928">
        <v>14133.8</v>
      </c>
      <c r="AB5928" s="12" t="s">
        <v>201</v>
      </c>
      <c r="AD5928">
        <v>0</v>
      </c>
      <c r="AE5928">
        <v>0</v>
      </c>
      <c r="AH5928">
        <v>340</v>
      </c>
      <c r="AI5928">
        <v>339</v>
      </c>
      <c r="AJ5928">
        <v>1</v>
      </c>
      <c r="AK5928">
        <v>1</v>
      </c>
      <c r="AL5928">
        <v>1</v>
      </c>
      <c r="AM5928">
        <v>99.71</v>
      </c>
      <c r="AN5928">
        <v>41.692599999999999</v>
      </c>
      <c r="AO5928">
        <v>40.67</v>
      </c>
      <c r="AP5928" s="13">
        <v>45967</v>
      </c>
      <c r="AQ5928">
        <v>-3</v>
      </c>
      <c r="AR5928">
        <v>1</v>
      </c>
    </row>
    <row r="5929" spans="1:44" x14ac:dyDescent="0.35">
      <c r="A5929" s="12" t="s">
        <v>7041</v>
      </c>
      <c r="B5929" s="12" t="s">
        <v>972</v>
      </c>
      <c r="C5929" s="12" t="s">
        <v>973</v>
      </c>
      <c r="D5929" s="12" t="s">
        <v>130</v>
      </c>
      <c r="E5929" s="12" t="s">
        <v>142</v>
      </c>
      <c r="F5929">
        <v>2</v>
      </c>
      <c r="G5929">
        <v>9</v>
      </c>
      <c r="H5929">
        <v>0</v>
      </c>
      <c r="I5929" s="12" t="s">
        <v>676</v>
      </c>
      <c r="J5929" s="12" t="s">
        <v>677</v>
      </c>
      <c r="K5929" s="12" t="s">
        <v>68</v>
      </c>
      <c r="L5929" s="12" t="s">
        <v>96</v>
      </c>
      <c r="M5929">
        <v>3.57</v>
      </c>
      <c r="N5929" s="12" t="s">
        <v>159</v>
      </c>
      <c r="O5929" s="12" t="s">
        <v>160</v>
      </c>
      <c r="P5929" s="12" t="s">
        <v>137</v>
      </c>
      <c r="Q5929" s="13">
        <v>45957</v>
      </c>
      <c r="R5929" s="13">
        <v>45998</v>
      </c>
      <c r="S5929">
        <v>2025</v>
      </c>
      <c r="T5929" s="12" t="s">
        <v>6884</v>
      </c>
      <c r="U5929">
        <v>63</v>
      </c>
      <c r="V5929">
        <v>839.82719999999995</v>
      </c>
      <c r="W5929">
        <v>934.15</v>
      </c>
      <c r="X5929">
        <v>0</v>
      </c>
      <c r="Y5929">
        <v>0</v>
      </c>
      <c r="Z5929">
        <v>52909.11</v>
      </c>
      <c r="AA5929">
        <v>53843.26</v>
      </c>
      <c r="AB5929" s="12" t="s">
        <v>6005</v>
      </c>
      <c r="AC5929">
        <v>839.82719999999995</v>
      </c>
      <c r="AD5929">
        <v>1</v>
      </c>
      <c r="AE5929">
        <v>1</v>
      </c>
      <c r="AF5929">
        <v>0</v>
      </c>
      <c r="AG5929">
        <v>52909.11</v>
      </c>
      <c r="AH5929">
        <v>63</v>
      </c>
      <c r="AI5929">
        <v>63</v>
      </c>
      <c r="AJ5929">
        <v>0</v>
      </c>
      <c r="AK5929">
        <v>1</v>
      </c>
      <c r="AL5929">
        <v>1</v>
      </c>
      <c r="AM5929">
        <v>100</v>
      </c>
      <c r="AN5929">
        <v>854.65499999999997</v>
      </c>
      <c r="AO5929">
        <v>0</v>
      </c>
      <c r="AP5929" s="13">
        <v>45997</v>
      </c>
      <c r="AQ5929">
        <v>-1</v>
      </c>
      <c r="AR5929">
        <v>1</v>
      </c>
    </row>
    <row r="5930" spans="1:44" x14ac:dyDescent="0.35">
      <c r="A5930" s="12" t="s">
        <v>7042</v>
      </c>
      <c r="B5930" s="12" t="s">
        <v>327</v>
      </c>
      <c r="C5930" s="12" t="s">
        <v>328</v>
      </c>
      <c r="D5930" s="12" t="s">
        <v>130</v>
      </c>
      <c r="E5930" s="12" t="s">
        <v>104</v>
      </c>
      <c r="F5930">
        <v>2</v>
      </c>
      <c r="G5930">
        <v>0</v>
      </c>
      <c r="H5930">
        <v>0</v>
      </c>
      <c r="I5930" s="12" t="s">
        <v>123</v>
      </c>
      <c r="J5930" s="12" t="s">
        <v>124</v>
      </c>
      <c r="K5930" s="12" t="s">
        <v>125</v>
      </c>
      <c r="L5930" s="12" t="s">
        <v>82</v>
      </c>
      <c r="M5930">
        <v>6.75</v>
      </c>
      <c r="N5930" s="12" t="s">
        <v>159</v>
      </c>
      <c r="O5930" s="12" t="s">
        <v>160</v>
      </c>
      <c r="P5930" s="12" t="s">
        <v>137</v>
      </c>
      <c r="Q5930" s="13">
        <v>45958</v>
      </c>
      <c r="R5930" s="13">
        <v>45970</v>
      </c>
      <c r="S5930">
        <v>2025</v>
      </c>
      <c r="T5930" s="12" t="s">
        <v>6884</v>
      </c>
      <c r="U5930">
        <v>11</v>
      </c>
      <c r="V5930">
        <v>781.31640000000004</v>
      </c>
      <c r="W5930">
        <v>193.55</v>
      </c>
      <c r="X5930">
        <v>0</v>
      </c>
      <c r="Y5930">
        <v>0</v>
      </c>
      <c r="Z5930">
        <v>8594.48</v>
      </c>
      <c r="AA5930">
        <v>8788.0300000000007</v>
      </c>
      <c r="AB5930" s="12" t="s">
        <v>201</v>
      </c>
      <c r="AD5930">
        <v>0</v>
      </c>
      <c r="AE5930">
        <v>0</v>
      </c>
      <c r="AH5930">
        <v>11</v>
      </c>
      <c r="AI5930">
        <v>11</v>
      </c>
      <c r="AJ5930">
        <v>0</v>
      </c>
      <c r="AK5930">
        <v>1</v>
      </c>
      <c r="AL5930">
        <v>1</v>
      </c>
      <c r="AM5930">
        <v>100</v>
      </c>
      <c r="AN5930">
        <v>798.91189999999995</v>
      </c>
      <c r="AO5930">
        <v>0</v>
      </c>
      <c r="AP5930" s="13">
        <v>45967</v>
      </c>
      <c r="AQ5930">
        <v>-3</v>
      </c>
      <c r="AR5930">
        <v>1</v>
      </c>
    </row>
    <row r="5931" spans="1:44" x14ac:dyDescent="0.35">
      <c r="A5931" s="12" t="s">
        <v>7043</v>
      </c>
      <c r="B5931" s="12" t="s">
        <v>1108</v>
      </c>
      <c r="C5931" s="12" t="s">
        <v>1109</v>
      </c>
      <c r="D5931" s="12" t="s">
        <v>103</v>
      </c>
      <c r="E5931" s="12" t="s">
        <v>65</v>
      </c>
      <c r="F5931">
        <v>3</v>
      </c>
      <c r="G5931">
        <v>4</v>
      </c>
      <c r="H5931">
        <v>0</v>
      </c>
      <c r="I5931" s="12" t="s">
        <v>79</v>
      </c>
      <c r="J5931" s="12" t="s">
        <v>80</v>
      </c>
      <c r="K5931" s="12" t="s">
        <v>81</v>
      </c>
      <c r="L5931" s="12" t="s">
        <v>82</v>
      </c>
      <c r="M5931">
        <v>12.07</v>
      </c>
      <c r="N5931" s="12" t="s">
        <v>107</v>
      </c>
      <c r="O5931" s="12" t="s">
        <v>108</v>
      </c>
      <c r="P5931" s="12" t="s">
        <v>109</v>
      </c>
      <c r="Q5931" s="13">
        <v>45958</v>
      </c>
      <c r="R5931" s="13">
        <v>45995</v>
      </c>
      <c r="S5931">
        <v>2025</v>
      </c>
      <c r="T5931" s="12" t="s">
        <v>6884</v>
      </c>
      <c r="U5931">
        <v>140</v>
      </c>
      <c r="V5931">
        <v>85.1721</v>
      </c>
      <c r="W5931">
        <v>266.79000000000002</v>
      </c>
      <c r="X5931">
        <v>399.87</v>
      </c>
      <c r="Y5931">
        <v>1</v>
      </c>
      <c r="Z5931">
        <v>11924.09</v>
      </c>
      <c r="AA5931">
        <v>12590.75</v>
      </c>
      <c r="AB5931" s="12" t="s">
        <v>6252</v>
      </c>
      <c r="AC5931">
        <v>85.1721</v>
      </c>
      <c r="AD5931">
        <v>1</v>
      </c>
      <c r="AE5931">
        <v>1</v>
      </c>
      <c r="AF5931">
        <v>0</v>
      </c>
      <c r="AG5931">
        <v>11924.09</v>
      </c>
      <c r="AH5931">
        <v>140</v>
      </c>
      <c r="AI5931">
        <v>138</v>
      </c>
      <c r="AJ5931">
        <v>2</v>
      </c>
      <c r="AK5931">
        <v>1</v>
      </c>
      <c r="AL5931">
        <v>1</v>
      </c>
      <c r="AM5931">
        <v>98.57</v>
      </c>
      <c r="AN5931">
        <v>91.237300000000005</v>
      </c>
      <c r="AO5931">
        <v>170.34</v>
      </c>
      <c r="AP5931" s="13">
        <v>45993</v>
      </c>
      <c r="AQ5931">
        <v>-2</v>
      </c>
      <c r="AR5931">
        <v>1</v>
      </c>
    </row>
    <row r="5932" spans="1:44" x14ac:dyDescent="0.35">
      <c r="A5932" s="12" t="s">
        <v>7044</v>
      </c>
      <c r="B5932" s="12" t="s">
        <v>630</v>
      </c>
      <c r="C5932" s="12" t="s">
        <v>631</v>
      </c>
      <c r="D5932" s="12" t="s">
        <v>130</v>
      </c>
      <c r="E5932" s="12" t="s">
        <v>65</v>
      </c>
      <c r="F5932">
        <v>1</v>
      </c>
      <c r="G5932">
        <v>2</v>
      </c>
      <c r="H5932">
        <v>1</v>
      </c>
      <c r="I5932" s="12" t="s">
        <v>335</v>
      </c>
      <c r="J5932" s="12" t="s">
        <v>336</v>
      </c>
      <c r="K5932" s="12" t="s">
        <v>89</v>
      </c>
      <c r="L5932" s="12" t="s">
        <v>82</v>
      </c>
      <c r="M5932">
        <v>16</v>
      </c>
      <c r="N5932" s="12" t="s">
        <v>135</v>
      </c>
      <c r="O5932" s="12" t="s">
        <v>136</v>
      </c>
      <c r="P5932" s="12" t="s">
        <v>137</v>
      </c>
      <c r="Q5932" s="13">
        <v>45958</v>
      </c>
      <c r="R5932" s="13">
        <v>45979</v>
      </c>
      <c r="S5932">
        <v>2025</v>
      </c>
      <c r="T5932" s="12" t="s">
        <v>6884</v>
      </c>
      <c r="U5932">
        <v>14</v>
      </c>
      <c r="V5932">
        <v>444.29629999999997</v>
      </c>
      <c r="W5932">
        <v>101.17</v>
      </c>
      <c r="X5932">
        <v>202.87</v>
      </c>
      <c r="Y5932">
        <v>1</v>
      </c>
      <c r="Z5932">
        <v>6220.15</v>
      </c>
      <c r="AA5932">
        <v>6524.19</v>
      </c>
      <c r="AB5932" s="12" t="s">
        <v>5553</v>
      </c>
      <c r="AC5932">
        <v>444.29629999999997</v>
      </c>
      <c r="AD5932">
        <v>1</v>
      </c>
      <c r="AE5932">
        <v>1</v>
      </c>
      <c r="AF5932">
        <v>0</v>
      </c>
      <c r="AG5932">
        <v>6220.15</v>
      </c>
      <c r="AH5932">
        <v>14</v>
      </c>
      <c r="AI5932">
        <v>14</v>
      </c>
      <c r="AJ5932">
        <v>0</v>
      </c>
      <c r="AK5932">
        <v>1</v>
      </c>
      <c r="AL5932">
        <v>1</v>
      </c>
      <c r="AM5932">
        <v>100</v>
      </c>
      <c r="AN5932">
        <v>466.01339999999999</v>
      </c>
      <c r="AO5932">
        <v>0</v>
      </c>
      <c r="AP5932" s="13">
        <v>45978</v>
      </c>
      <c r="AQ5932">
        <v>-1</v>
      </c>
      <c r="AR5932">
        <v>1</v>
      </c>
    </row>
    <row r="5933" spans="1:44" x14ac:dyDescent="0.35">
      <c r="A5933" s="12" t="s">
        <v>7045</v>
      </c>
      <c r="B5933" s="12" t="s">
        <v>416</v>
      </c>
      <c r="C5933" s="12" t="s">
        <v>417</v>
      </c>
      <c r="D5933" s="12" t="s">
        <v>78</v>
      </c>
      <c r="E5933" s="12" t="s">
        <v>65</v>
      </c>
      <c r="F5933">
        <v>3</v>
      </c>
      <c r="G5933">
        <v>5</v>
      </c>
      <c r="H5933">
        <v>0</v>
      </c>
      <c r="I5933" s="12" t="s">
        <v>87</v>
      </c>
      <c r="J5933" s="12" t="s">
        <v>88</v>
      </c>
      <c r="K5933" s="12" t="s">
        <v>89</v>
      </c>
      <c r="L5933" s="12" t="s">
        <v>69</v>
      </c>
      <c r="M5933">
        <v>14.93</v>
      </c>
      <c r="N5933" s="12" t="s">
        <v>97</v>
      </c>
      <c r="O5933" s="12" t="s">
        <v>98</v>
      </c>
      <c r="P5933" s="12" t="s">
        <v>72</v>
      </c>
      <c r="Q5933" s="13">
        <v>45958</v>
      </c>
      <c r="R5933" s="13">
        <v>45990</v>
      </c>
      <c r="S5933">
        <v>2025</v>
      </c>
      <c r="T5933" s="12" t="s">
        <v>6884</v>
      </c>
      <c r="U5933">
        <v>200</v>
      </c>
      <c r="V5933">
        <v>153.97069999999999</v>
      </c>
      <c r="W5933">
        <v>781.63</v>
      </c>
      <c r="X5933">
        <v>0</v>
      </c>
      <c r="Y5933">
        <v>0</v>
      </c>
      <c r="Z5933">
        <v>30794.14</v>
      </c>
      <c r="AA5933">
        <v>31575.77</v>
      </c>
      <c r="AB5933" s="12" t="s">
        <v>201</v>
      </c>
      <c r="AD5933">
        <v>0</v>
      </c>
      <c r="AE5933">
        <v>0</v>
      </c>
      <c r="AH5933">
        <v>200</v>
      </c>
      <c r="AI5933">
        <v>196</v>
      </c>
      <c r="AJ5933">
        <v>4</v>
      </c>
      <c r="AK5933">
        <v>1</v>
      </c>
      <c r="AL5933">
        <v>1</v>
      </c>
      <c r="AM5933">
        <v>98</v>
      </c>
      <c r="AN5933">
        <v>161.1009</v>
      </c>
      <c r="AO5933">
        <v>615.88</v>
      </c>
      <c r="AP5933" s="13">
        <v>45987</v>
      </c>
      <c r="AQ5933">
        <v>-3</v>
      </c>
      <c r="AR5933">
        <v>1</v>
      </c>
    </row>
    <row r="5934" spans="1:44" x14ac:dyDescent="0.35">
      <c r="A5934" s="12" t="s">
        <v>7046</v>
      </c>
      <c r="B5934" s="12" t="s">
        <v>454</v>
      </c>
      <c r="C5934" s="12" t="s">
        <v>455</v>
      </c>
      <c r="D5934" s="12" t="s">
        <v>122</v>
      </c>
      <c r="E5934" s="12" t="s">
        <v>104</v>
      </c>
      <c r="F5934">
        <v>3</v>
      </c>
      <c r="G5934">
        <v>1</v>
      </c>
      <c r="H5934">
        <v>0</v>
      </c>
      <c r="I5934" s="12" t="s">
        <v>243</v>
      </c>
      <c r="J5934" s="12" t="s">
        <v>244</v>
      </c>
      <c r="K5934" s="12" t="s">
        <v>81</v>
      </c>
      <c r="L5934" s="12" t="s">
        <v>82</v>
      </c>
      <c r="M5934">
        <v>9.2200000000000006</v>
      </c>
      <c r="N5934" s="12" t="s">
        <v>97</v>
      </c>
      <c r="O5934" s="12" t="s">
        <v>98</v>
      </c>
      <c r="P5934" s="12" t="s">
        <v>72</v>
      </c>
      <c r="Q5934" s="13">
        <v>45958</v>
      </c>
      <c r="R5934" s="13">
        <v>45979</v>
      </c>
      <c r="S5934">
        <v>2025</v>
      </c>
      <c r="T5934" s="12" t="s">
        <v>6884</v>
      </c>
      <c r="U5934">
        <v>1105</v>
      </c>
      <c r="V5934">
        <v>20.445900000000002</v>
      </c>
      <c r="W5934">
        <v>263.18</v>
      </c>
      <c r="X5934">
        <v>0</v>
      </c>
      <c r="Y5934">
        <v>0</v>
      </c>
      <c r="Z5934">
        <v>22592.720000000001</v>
      </c>
      <c r="AA5934">
        <v>22855.9</v>
      </c>
      <c r="AB5934" s="12" t="s">
        <v>201</v>
      </c>
      <c r="AD5934">
        <v>0</v>
      </c>
      <c r="AE5934">
        <v>0</v>
      </c>
      <c r="AH5934">
        <v>1105</v>
      </c>
      <c r="AI5934">
        <v>1092</v>
      </c>
      <c r="AJ5934">
        <v>13</v>
      </c>
      <c r="AK5934">
        <v>1</v>
      </c>
      <c r="AL5934">
        <v>1</v>
      </c>
      <c r="AM5934">
        <v>98.82</v>
      </c>
      <c r="AN5934">
        <v>20.930299999999999</v>
      </c>
      <c r="AO5934">
        <v>265.8</v>
      </c>
      <c r="AP5934" s="13">
        <v>45978</v>
      </c>
      <c r="AQ5934">
        <v>-1</v>
      </c>
      <c r="AR5934">
        <v>1</v>
      </c>
    </row>
    <row r="5935" spans="1:44" x14ac:dyDescent="0.35">
      <c r="A5935" s="12" t="s">
        <v>7047</v>
      </c>
      <c r="B5935" s="12" t="s">
        <v>193</v>
      </c>
      <c r="C5935" s="12" t="s">
        <v>194</v>
      </c>
      <c r="D5935" s="12" t="s">
        <v>114</v>
      </c>
      <c r="E5935" s="12" t="s">
        <v>65</v>
      </c>
      <c r="F5935">
        <v>3</v>
      </c>
      <c r="G5935">
        <v>4</v>
      </c>
      <c r="H5935">
        <v>0</v>
      </c>
      <c r="I5935" s="12" t="s">
        <v>195</v>
      </c>
      <c r="J5935" s="12" t="s">
        <v>196</v>
      </c>
      <c r="K5935" s="12" t="s">
        <v>117</v>
      </c>
      <c r="L5935" s="12" t="s">
        <v>134</v>
      </c>
      <c r="M5935">
        <v>4.7699999999999996</v>
      </c>
      <c r="N5935" s="12" t="s">
        <v>70</v>
      </c>
      <c r="O5935" s="12" t="s">
        <v>71</v>
      </c>
      <c r="P5935" s="12" t="s">
        <v>72</v>
      </c>
      <c r="Q5935" s="13">
        <v>45958</v>
      </c>
      <c r="R5935" s="13">
        <v>45989</v>
      </c>
      <c r="S5935">
        <v>2025</v>
      </c>
      <c r="T5935" s="12" t="s">
        <v>6884</v>
      </c>
      <c r="U5935">
        <v>88</v>
      </c>
      <c r="V5935">
        <v>104.5202</v>
      </c>
      <c r="W5935">
        <v>96.98</v>
      </c>
      <c r="X5935">
        <v>0</v>
      </c>
      <c r="Y5935">
        <v>0</v>
      </c>
      <c r="Z5935">
        <v>9197.7800000000007</v>
      </c>
      <c r="AA5935">
        <v>9294.76</v>
      </c>
      <c r="AB5935" s="12" t="s">
        <v>5258</v>
      </c>
      <c r="AC5935">
        <v>104.5202</v>
      </c>
      <c r="AD5935">
        <v>1</v>
      </c>
      <c r="AE5935">
        <v>1</v>
      </c>
      <c r="AF5935">
        <v>0</v>
      </c>
      <c r="AG5935">
        <v>9197.7800000000007</v>
      </c>
      <c r="AH5935">
        <v>88</v>
      </c>
      <c r="AI5935">
        <v>86</v>
      </c>
      <c r="AJ5935">
        <v>2</v>
      </c>
      <c r="AK5935">
        <v>1</v>
      </c>
      <c r="AL5935">
        <v>1</v>
      </c>
      <c r="AM5935">
        <v>97.73</v>
      </c>
      <c r="AN5935">
        <v>108.07859999999999</v>
      </c>
      <c r="AO5935">
        <v>209.04</v>
      </c>
      <c r="AP5935" s="13">
        <v>45990</v>
      </c>
      <c r="AQ5935">
        <v>1</v>
      </c>
      <c r="AR5935">
        <v>0</v>
      </c>
    </row>
    <row r="5936" spans="1:44" x14ac:dyDescent="0.35">
      <c r="A5936" s="12" t="s">
        <v>7048</v>
      </c>
      <c r="B5936" s="12" t="s">
        <v>302</v>
      </c>
      <c r="C5936" s="12" t="s">
        <v>303</v>
      </c>
      <c r="D5936" s="12" t="s">
        <v>78</v>
      </c>
      <c r="E5936" s="12" t="s">
        <v>65</v>
      </c>
      <c r="F5936">
        <v>2</v>
      </c>
      <c r="G5936">
        <v>3</v>
      </c>
      <c r="H5936">
        <v>0</v>
      </c>
      <c r="I5936" s="12" t="s">
        <v>335</v>
      </c>
      <c r="J5936" s="12" t="s">
        <v>336</v>
      </c>
      <c r="K5936" s="12" t="s">
        <v>89</v>
      </c>
      <c r="L5936" s="12" t="s">
        <v>82</v>
      </c>
      <c r="M5936">
        <v>16</v>
      </c>
      <c r="N5936" s="12" t="s">
        <v>70</v>
      </c>
      <c r="O5936" s="12" t="s">
        <v>71</v>
      </c>
      <c r="P5936" s="12" t="s">
        <v>72</v>
      </c>
      <c r="Q5936" s="13">
        <v>45958</v>
      </c>
      <c r="R5936" s="13">
        <v>45983</v>
      </c>
      <c r="S5936">
        <v>2025</v>
      </c>
      <c r="T5936" s="12" t="s">
        <v>6884</v>
      </c>
      <c r="U5936">
        <v>100</v>
      </c>
      <c r="V5936">
        <v>137.82220000000001</v>
      </c>
      <c r="W5936">
        <v>335.01</v>
      </c>
      <c r="X5936">
        <v>0</v>
      </c>
      <c r="Y5936">
        <v>0</v>
      </c>
      <c r="Z5936">
        <v>13782.22</v>
      </c>
      <c r="AA5936">
        <v>14117.23</v>
      </c>
      <c r="AB5936" s="12" t="s">
        <v>5763</v>
      </c>
      <c r="AC5936">
        <v>137.82220000000001</v>
      </c>
      <c r="AD5936">
        <v>1</v>
      </c>
      <c r="AE5936">
        <v>1</v>
      </c>
      <c r="AF5936">
        <v>0</v>
      </c>
      <c r="AG5936">
        <v>13782.22</v>
      </c>
      <c r="AH5936">
        <v>100</v>
      </c>
      <c r="AI5936">
        <v>97</v>
      </c>
      <c r="AJ5936">
        <v>3</v>
      </c>
      <c r="AK5936">
        <v>1</v>
      </c>
      <c r="AL5936">
        <v>1</v>
      </c>
      <c r="AM5936">
        <v>97</v>
      </c>
      <c r="AN5936">
        <v>145.5385</v>
      </c>
      <c r="AO5936">
        <v>413.47</v>
      </c>
      <c r="AP5936" s="13">
        <v>45983</v>
      </c>
      <c r="AQ5936">
        <v>0</v>
      </c>
      <c r="AR5936">
        <v>1</v>
      </c>
    </row>
    <row r="5937" spans="1:44" x14ac:dyDescent="0.35">
      <c r="A5937" s="12" t="s">
        <v>7049</v>
      </c>
      <c r="B5937" s="12" t="s">
        <v>85</v>
      </c>
      <c r="C5937" s="12" t="s">
        <v>86</v>
      </c>
      <c r="D5937" s="12" t="s">
        <v>78</v>
      </c>
      <c r="E5937" s="12" t="s">
        <v>65</v>
      </c>
      <c r="F5937">
        <v>3</v>
      </c>
      <c r="G5937">
        <v>5</v>
      </c>
      <c r="H5937">
        <v>0</v>
      </c>
      <c r="I5937" s="12" t="s">
        <v>195</v>
      </c>
      <c r="J5937" s="12" t="s">
        <v>196</v>
      </c>
      <c r="K5937" s="12" t="s">
        <v>117</v>
      </c>
      <c r="L5937" s="12" t="s">
        <v>134</v>
      </c>
      <c r="M5937">
        <v>4.7699999999999996</v>
      </c>
      <c r="N5937" s="12" t="s">
        <v>97</v>
      </c>
      <c r="O5937" s="12" t="s">
        <v>98</v>
      </c>
      <c r="P5937" s="12" t="s">
        <v>72</v>
      </c>
      <c r="Q5937" s="13">
        <v>45958</v>
      </c>
      <c r="R5937" s="13">
        <v>45985</v>
      </c>
      <c r="S5937">
        <v>2025</v>
      </c>
      <c r="T5937" s="12" t="s">
        <v>6884</v>
      </c>
      <c r="U5937">
        <v>129</v>
      </c>
      <c r="V5937">
        <v>132.72290000000001</v>
      </c>
      <c r="W5937">
        <v>284.81</v>
      </c>
      <c r="X5937">
        <v>0</v>
      </c>
      <c r="Y5937">
        <v>0</v>
      </c>
      <c r="Z5937">
        <v>17121.25</v>
      </c>
      <c r="AA5937">
        <v>17406.060000000001</v>
      </c>
      <c r="AB5937" s="12" t="s">
        <v>5150</v>
      </c>
      <c r="AC5937">
        <v>132.72290000000001</v>
      </c>
      <c r="AD5937">
        <v>1</v>
      </c>
      <c r="AE5937">
        <v>1</v>
      </c>
      <c r="AF5937">
        <v>0</v>
      </c>
      <c r="AG5937">
        <v>17121.25</v>
      </c>
      <c r="AH5937">
        <v>129</v>
      </c>
      <c r="AI5937">
        <v>128</v>
      </c>
      <c r="AJ5937">
        <v>1</v>
      </c>
      <c r="AK5937">
        <v>1</v>
      </c>
      <c r="AL5937">
        <v>1</v>
      </c>
      <c r="AM5937">
        <v>99.22</v>
      </c>
      <c r="AN5937">
        <v>135.98490000000001</v>
      </c>
      <c r="AO5937">
        <v>132.72</v>
      </c>
      <c r="AP5937" s="13">
        <v>45983</v>
      </c>
      <c r="AQ5937">
        <v>-2</v>
      </c>
      <c r="AR5937">
        <v>1</v>
      </c>
    </row>
    <row r="5938" spans="1:44" x14ac:dyDescent="0.35">
      <c r="A5938" s="12" t="s">
        <v>7050</v>
      </c>
      <c r="B5938" s="12" t="s">
        <v>712</v>
      </c>
      <c r="C5938" s="12" t="s">
        <v>713</v>
      </c>
      <c r="D5938" s="12" t="s">
        <v>103</v>
      </c>
      <c r="E5938" s="12" t="s">
        <v>104</v>
      </c>
      <c r="F5938">
        <v>2</v>
      </c>
      <c r="G5938">
        <v>0</v>
      </c>
      <c r="H5938">
        <v>0</v>
      </c>
      <c r="I5938" s="12" t="s">
        <v>199</v>
      </c>
      <c r="J5938" s="12" t="s">
        <v>200</v>
      </c>
      <c r="K5938" s="12" t="s">
        <v>68</v>
      </c>
      <c r="L5938" s="12" t="s">
        <v>96</v>
      </c>
      <c r="M5938">
        <v>9.4700000000000006</v>
      </c>
      <c r="N5938" s="12" t="s">
        <v>107</v>
      </c>
      <c r="O5938" s="12" t="s">
        <v>108</v>
      </c>
      <c r="P5938" s="12" t="s">
        <v>109</v>
      </c>
      <c r="Q5938" s="13">
        <v>45958</v>
      </c>
      <c r="R5938" s="13">
        <v>45978</v>
      </c>
      <c r="S5938">
        <v>2025</v>
      </c>
      <c r="T5938" s="12" t="s">
        <v>6884</v>
      </c>
      <c r="U5938">
        <v>73</v>
      </c>
      <c r="V5938">
        <v>228.51169999999999</v>
      </c>
      <c r="W5938">
        <v>326.94</v>
      </c>
      <c r="X5938">
        <v>0</v>
      </c>
      <c r="Y5938">
        <v>0</v>
      </c>
      <c r="Z5938">
        <v>16681.349999999999</v>
      </c>
      <c r="AA5938">
        <v>17008.29</v>
      </c>
      <c r="AB5938" s="12" t="s">
        <v>201</v>
      </c>
      <c r="AD5938">
        <v>0</v>
      </c>
      <c r="AE5938">
        <v>0</v>
      </c>
      <c r="AH5938">
        <v>73</v>
      </c>
      <c r="AI5938">
        <v>72</v>
      </c>
      <c r="AJ5938">
        <v>1</v>
      </c>
      <c r="AK5938">
        <v>1</v>
      </c>
      <c r="AL5938">
        <v>1</v>
      </c>
      <c r="AM5938">
        <v>98.63</v>
      </c>
      <c r="AN5938">
        <v>236.22630000000001</v>
      </c>
      <c r="AO5938">
        <v>228.51</v>
      </c>
      <c r="AP5938" s="13">
        <v>45977</v>
      </c>
      <c r="AQ5938">
        <v>-1</v>
      </c>
      <c r="AR5938">
        <v>1</v>
      </c>
    </row>
    <row r="5939" spans="1:44" x14ac:dyDescent="0.35">
      <c r="A5939" s="12" t="s">
        <v>7051</v>
      </c>
      <c r="B5939" s="12" t="s">
        <v>498</v>
      </c>
      <c r="C5939" s="12" t="s">
        <v>499</v>
      </c>
      <c r="D5939" s="12" t="s">
        <v>175</v>
      </c>
      <c r="E5939" s="12" t="s">
        <v>104</v>
      </c>
      <c r="F5939">
        <v>3</v>
      </c>
      <c r="G5939">
        <v>1</v>
      </c>
      <c r="H5939">
        <v>0</v>
      </c>
      <c r="I5939" s="12" t="s">
        <v>233</v>
      </c>
      <c r="J5939" s="12" t="s">
        <v>234</v>
      </c>
      <c r="K5939" s="12" t="s">
        <v>125</v>
      </c>
      <c r="L5939" s="12" t="s">
        <v>96</v>
      </c>
      <c r="M5939">
        <v>3.73</v>
      </c>
      <c r="N5939" s="12" t="s">
        <v>145</v>
      </c>
      <c r="O5939" s="12" t="s">
        <v>146</v>
      </c>
      <c r="P5939" s="12" t="s">
        <v>109</v>
      </c>
      <c r="Q5939" s="13">
        <v>45958</v>
      </c>
      <c r="R5939" s="13">
        <v>45975</v>
      </c>
      <c r="S5939">
        <v>2025</v>
      </c>
      <c r="T5939" s="12" t="s">
        <v>6884</v>
      </c>
      <c r="U5939">
        <v>53</v>
      </c>
      <c r="V5939">
        <v>262.52229999999997</v>
      </c>
      <c r="W5939">
        <v>355.08</v>
      </c>
      <c r="X5939">
        <v>0</v>
      </c>
      <c r="Y5939">
        <v>0</v>
      </c>
      <c r="Z5939">
        <v>13913.68</v>
      </c>
      <c r="AA5939">
        <v>14268.76</v>
      </c>
      <c r="AB5939" s="12" t="s">
        <v>5729</v>
      </c>
      <c r="AC5939">
        <v>262.52229999999997</v>
      </c>
      <c r="AD5939">
        <v>1</v>
      </c>
      <c r="AE5939">
        <v>1</v>
      </c>
      <c r="AF5939">
        <v>0</v>
      </c>
      <c r="AG5939">
        <v>13913.68</v>
      </c>
      <c r="AH5939">
        <v>53</v>
      </c>
      <c r="AI5939">
        <v>52</v>
      </c>
      <c r="AJ5939">
        <v>1</v>
      </c>
      <c r="AK5939">
        <v>1</v>
      </c>
      <c r="AL5939">
        <v>1</v>
      </c>
      <c r="AM5939">
        <v>98.11</v>
      </c>
      <c r="AN5939">
        <v>274.39929999999998</v>
      </c>
      <c r="AO5939">
        <v>262.52</v>
      </c>
      <c r="AP5939" s="13">
        <v>45985</v>
      </c>
      <c r="AQ5939">
        <v>10</v>
      </c>
      <c r="AR5939">
        <v>0</v>
      </c>
    </row>
    <row r="5940" spans="1:44" x14ac:dyDescent="0.35">
      <c r="A5940" s="12" t="s">
        <v>7052</v>
      </c>
      <c r="B5940" s="12" t="s">
        <v>327</v>
      </c>
      <c r="C5940" s="12" t="s">
        <v>328</v>
      </c>
      <c r="D5940" s="12" t="s">
        <v>130</v>
      </c>
      <c r="E5940" s="12" t="s">
        <v>104</v>
      </c>
      <c r="F5940">
        <v>2</v>
      </c>
      <c r="G5940">
        <v>0</v>
      </c>
      <c r="H5940">
        <v>0</v>
      </c>
      <c r="I5940" s="12" t="s">
        <v>94</v>
      </c>
      <c r="J5940" s="12" t="s">
        <v>95</v>
      </c>
      <c r="K5940" s="12" t="s">
        <v>81</v>
      </c>
      <c r="L5940" s="12" t="s">
        <v>96</v>
      </c>
      <c r="M5940">
        <v>4.8099999999999996</v>
      </c>
      <c r="N5940" s="12" t="s">
        <v>135</v>
      </c>
      <c r="O5940" s="12" t="s">
        <v>136</v>
      </c>
      <c r="P5940" s="12" t="s">
        <v>137</v>
      </c>
      <c r="Q5940" s="13">
        <v>45959</v>
      </c>
      <c r="R5940" s="13">
        <v>45979</v>
      </c>
      <c r="S5940">
        <v>2025</v>
      </c>
      <c r="T5940" s="12" t="s">
        <v>6884</v>
      </c>
      <c r="U5940">
        <v>76</v>
      </c>
      <c r="V5940">
        <v>650.46439999999996</v>
      </c>
      <c r="W5940">
        <v>512.25</v>
      </c>
      <c r="X5940">
        <v>0</v>
      </c>
      <c r="Y5940">
        <v>0</v>
      </c>
      <c r="Z5940">
        <v>49435.29</v>
      </c>
      <c r="AA5940">
        <v>49947.54</v>
      </c>
      <c r="AB5940" s="12" t="s">
        <v>5449</v>
      </c>
      <c r="AC5940">
        <v>637.04729999999995</v>
      </c>
      <c r="AD5940">
        <v>1</v>
      </c>
      <c r="AE5940">
        <v>1</v>
      </c>
      <c r="AF5940">
        <v>1019.7</v>
      </c>
      <c r="AG5940">
        <v>48415.59</v>
      </c>
      <c r="AH5940">
        <v>76</v>
      </c>
      <c r="AI5940">
        <v>76</v>
      </c>
      <c r="AJ5940">
        <v>0</v>
      </c>
      <c r="AK5940">
        <v>1</v>
      </c>
      <c r="AL5940">
        <v>1</v>
      </c>
      <c r="AM5940">
        <v>100</v>
      </c>
      <c r="AN5940">
        <v>657.20450000000005</v>
      </c>
      <c r="AO5940">
        <v>0</v>
      </c>
      <c r="AP5940" s="13">
        <v>45976</v>
      </c>
      <c r="AQ5940">
        <v>-3</v>
      </c>
      <c r="AR5940">
        <v>1</v>
      </c>
    </row>
    <row r="5941" spans="1:44" x14ac:dyDescent="0.35">
      <c r="A5941" s="12" t="s">
        <v>7053</v>
      </c>
      <c r="B5941" s="12" t="s">
        <v>773</v>
      </c>
      <c r="C5941" s="12" t="s">
        <v>774</v>
      </c>
      <c r="D5941" s="12" t="s">
        <v>64</v>
      </c>
      <c r="E5941" s="12" t="s">
        <v>142</v>
      </c>
      <c r="F5941">
        <v>1</v>
      </c>
      <c r="G5941">
        <v>7</v>
      </c>
      <c r="H5941">
        <v>1</v>
      </c>
      <c r="I5941" s="12" t="s">
        <v>251</v>
      </c>
      <c r="J5941" s="12" t="s">
        <v>252</v>
      </c>
      <c r="K5941" s="12" t="s">
        <v>133</v>
      </c>
      <c r="L5941" s="12" t="s">
        <v>69</v>
      </c>
      <c r="M5941">
        <v>34.49</v>
      </c>
      <c r="N5941" s="12" t="s">
        <v>97</v>
      </c>
      <c r="O5941" s="12" t="s">
        <v>98</v>
      </c>
      <c r="P5941" s="12" t="s">
        <v>72</v>
      </c>
      <c r="Q5941" s="13">
        <v>45959</v>
      </c>
      <c r="R5941" s="13">
        <v>46003</v>
      </c>
      <c r="S5941">
        <v>2025</v>
      </c>
      <c r="T5941" s="12" t="s">
        <v>6884</v>
      </c>
      <c r="U5941">
        <v>551</v>
      </c>
      <c r="V5941">
        <v>9.9849999999999994</v>
      </c>
      <c r="W5941">
        <v>72.400000000000006</v>
      </c>
      <c r="X5941">
        <v>0</v>
      </c>
      <c r="Y5941">
        <v>0</v>
      </c>
      <c r="Z5941">
        <v>5501.74</v>
      </c>
      <c r="AA5941">
        <v>5574.14</v>
      </c>
      <c r="AB5941" s="12" t="s">
        <v>5613</v>
      </c>
      <c r="AC5941">
        <v>9.9849999999999994</v>
      </c>
      <c r="AD5941">
        <v>1</v>
      </c>
      <c r="AE5941">
        <v>1</v>
      </c>
      <c r="AF5941">
        <v>0</v>
      </c>
      <c r="AG5941">
        <v>5501.74</v>
      </c>
      <c r="AH5941">
        <v>551</v>
      </c>
      <c r="AI5941">
        <v>546</v>
      </c>
      <c r="AJ5941">
        <v>5</v>
      </c>
      <c r="AK5941">
        <v>1</v>
      </c>
      <c r="AL5941">
        <v>1</v>
      </c>
      <c r="AM5941">
        <v>99.09</v>
      </c>
      <c r="AN5941">
        <v>10.209</v>
      </c>
      <c r="AO5941">
        <v>49.93</v>
      </c>
      <c r="AP5941" s="13">
        <v>46001</v>
      </c>
      <c r="AQ5941">
        <v>-2</v>
      </c>
      <c r="AR5941">
        <v>1</v>
      </c>
    </row>
    <row r="5942" spans="1:44" x14ac:dyDescent="0.35">
      <c r="A5942" s="12" t="s">
        <v>7054</v>
      </c>
      <c r="B5942" s="12" t="s">
        <v>869</v>
      </c>
      <c r="C5942" s="12" t="s">
        <v>870</v>
      </c>
      <c r="D5942" s="12" t="s">
        <v>130</v>
      </c>
      <c r="E5942" s="12" t="s">
        <v>104</v>
      </c>
      <c r="F5942">
        <v>2</v>
      </c>
      <c r="G5942">
        <v>0</v>
      </c>
      <c r="H5942">
        <v>0</v>
      </c>
      <c r="I5942" s="12" t="s">
        <v>359</v>
      </c>
      <c r="J5942" s="12" t="s">
        <v>360</v>
      </c>
      <c r="K5942" s="12" t="s">
        <v>133</v>
      </c>
      <c r="L5942" s="12" t="s">
        <v>82</v>
      </c>
      <c r="M5942">
        <v>12.65</v>
      </c>
      <c r="N5942" s="12" t="s">
        <v>159</v>
      </c>
      <c r="O5942" s="12" t="s">
        <v>160</v>
      </c>
      <c r="P5942" s="12" t="s">
        <v>137</v>
      </c>
      <c r="Q5942" s="13">
        <v>45959</v>
      </c>
      <c r="R5942" s="13">
        <v>45981</v>
      </c>
      <c r="S5942">
        <v>2025</v>
      </c>
      <c r="T5942" s="12" t="s">
        <v>6884</v>
      </c>
      <c r="U5942">
        <v>91</v>
      </c>
      <c r="V5942">
        <v>583.10879999999997</v>
      </c>
      <c r="W5942">
        <v>971.99</v>
      </c>
      <c r="X5942">
        <v>0</v>
      </c>
      <c r="Y5942">
        <v>0</v>
      </c>
      <c r="Z5942">
        <v>53062.9</v>
      </c>
      <c r="AA5942">
        <v>54034.89</v>
      </c>
      <c r="AB5942" s="12" t="s">
        <v>6426</v>
      </c>
      <c r="AC5942">
        <v>583.10879999999997</v>
      </c>
      <c r="AD5942">
        <v>1</v>
      </c>
      <c r="AE5942">
        <v>1</v>
      </c>
      <c r="AF5942">
        <v>0</v>
      </c>
      <c r="AG5942">
        <v>53062.9</v>
      </c>
      <c r="AH5942">
        <v>91</v>
      </c>
      <c r="AI5942">
        <v>90</v>
      </c>
      <c r="AJ5942">
        <v>1</v>
      </c>
      <c r="AK5942">
        <v>1</v>
      </c>
      <c r="AL5942">
        <v>1</v>
      </c>
      <c r="AM5942">
        <v>98.9</v>
      </c>
      <c r="AN5942">
        <v>600.3877</v>
      </c>
      <c r="AO5942">
        <v>583.11</v>
      </c>
      <c r="AP5942" s="13">
        <v>45981</v>
      </c>
      <c r="AQ5942">
        <v>0</v>
      </c>
      <c r="AR5942">
        <v>1</v>
      </c>
    </row>
    <row r="5943" spans="1:44" x14ac:dyDescent="0.35">
      <c r="A5943" s="12" t="s">
        <v>7055</v>
      </c>
      <c r="B5943" s="12" t="s">
        <v>766</v>
      </c>
      <c r="C5943" s="12" t="s">
        <v>767</v>
      </c>
      <c r="D5943" s="12" t="s">
        <v>175</v>
      </c>
      <c r="E5943" s="12" t="s">
        <v>65</v>
      </c>
      <c r="F5943">
        <v>3</v>
      </c>
      <c r="G5943">
        <v>5</v>
      </c>
      <c r="H5943">
        <v>0</v>
      </c>
      <c r="I5943" s="12" t="s">
        <v>87</v>
      </c>
      <c r="J5943" s="12" t="s">
        <v>88</v>
      </c>
      <c r="K5943" s="12" t="s">
        <v>89</v>
      </c>
      <c r="L5943" s="12" t="s">
        <v>69</v>
      </c>
      <c r="M5943">
        <v>14.93</v>
      </c>
      <c r="N5943" s="12" t="s">
        <v>107</v>
      </c>
      <c r="O5943" s="12" t="s">
        <v>108</v>
      </c>
      <c r="P5943" s="12" t="s">
        <v>109</v>
      </c>
      <c r="Q5943" s="13">
        <v>45960</v>
      </c>
      <c r="R5943" s="13">
        <v>45984</v>
      </c>
      <c r="S5943">
        <v>2025</v>
      </c>
      <c r="T5943" s="12" t="s">
        <v>6884</v>
      </c>
      <c r="U5943">
        <v>40</v>
      </c>
      <c r="V5943">
        <v>76.991200000000006</v>
      </c>
      <c r="W5943">
        <v>19.57</v>
      </c>
      <c r="X5943">
        <v>0</v>
      </c>
      <c r="Y5943">
        <v>0</v>
      </c>
      <c r="Z5943">
        <v>3079.65</v>
      </c>
      <c r="AA5943">
        <v>3099.22</v>
      </c>
      <c r="AB5943" s="12" t="s">
        <v>5662</v>
      </c>
      <c r="AC5943">
        <v>76.991200000000006</v>
      </c>
      <c r="AD5943">
        <v>1</v>
      </c>
      <c r="AE5943">
        <v>1</v>
      </c>
      <c r="AF5943">
        <v>0</v>
      </c>
      <c r="AG5943">
        <v>3079.65</v>
      </c>
      <c r="AH5943">
        <v>40</v>
      </c>
      <c r="AI5943">
        <v>39</v>
      </c>
      <c r="AJ5943">
        <v>1</v>
      </c>
      <c r="AK5943">
        <v>1</v>
      </c>
      <c r="AL5943">
        <v>1</v>
      </c>
      <c r="AM5943">
        <v>97.5</v>
      </c>
      <c r="AN5943">
        <v>79.467100000000002</v>
      </c>
      <c r="AO5943">
        <v>76.989999999999995</v>
      </c>
      <c r="AP5943" s="13">
        <v>45981</v>
      </c>
      <c r="AQ5943">
        <v>-3</v>
      </c>
      <c r="AR5943">
        <v>1</v>
      </c>
    </row>
    <row r="5944" spans="1:44" x14ac:dyDescent="0.35">
      <c r="A5944" s="12" t="s">
        <v>7056</v>
      </c>
      <c r="B5944" s="12" t="s">
        <v>477</v>
      </c>
      <c r="C5944" s="12" t="s">
        <v>478</v>
      </c>
      <c r="D5944" s="12" t="s">
        <v>130</v>
      </c>
      <c r="E5944" s="12" t="s">
        <v>104</v>
      </c>
      <c r="F5944">
        <v>3</v>
      </c>
      <c r="G5944">
        <v>1</v>
      </c>
      <c r="H5944">
        <v>0</v>
      </c>
      <c r="I5944" s="12" t="s">
        <v>380</v>
      </c>
      <c r="J5944" s="12" t="s">
        <v>381</v>
      </c>
      <c r="K5944" s="12" t="s">
        <v>89</v>
      </c>
      <c r="L5944" s="12" t="s">
        <v>96</v>
      </c>
      <c r="M5944">
        <v>10.210000000000001</v>
      </c>
      <c r="N5944" s="12" t="s">
        <v>135</v>
      </c>
      <c r="O5944" s="12" t="s">
        <v>136</v>
      </c>
      <c r="P5944" s="12" t="s">
        <v>137</v>
      </c>
      <c r="Q5944" s="13">
        <v>45960</v>
      </c>
      <c r="R5944" s="13">
        <v>45976</v>
      </c>
      <c r="S5944">
        <v>2025</v>
      </c>
      <c r="T5944" s="12" t="s">
        <v>6884</v>
      </c>
      <c r="U5944">
        <v>42</v>
      </c>
      <c r="V5944">
        <v>656.68050000000005</v>
      </c>
      <c r="W5944">
        <v>408.58</v>
      </c>
      <c r="X5944">
        <v>0</v>
      </c>
      <c r="Y5944">
        <v>0</v>
      </c>
      <c r="Z5944">
        <v>27580.58</v>
      </c>
      <c r="AA5944">
        <v>27989.16</v>
      </c>
      <c r="AB5944" s="12" t="s">
        <v>5872</v>
      </c>
      <c r="AC5944">
        <v>656.68050000000005</v>
      </c>
      <c r="AD5944">
        <v>1</v>
      </c>
      <c r="AE5944">
        <v>1</v>
      </c>
      <c r="AF5944">
        <v>0</v>
      </c>
      <c r="AG5944">
        <v>27580.58</v>
      </c>
      <c r="AH5944">
        <v>42</v>
      </c>
      <c r="AI5944">
        <v>42</v>
      </c>
      <c r="AJ5944">
        <v>0</v>
      </c>
      <c r="AK5944">
        <v>1</v>
      </c>
      <c r="AL5944">
        <v>1</v>
      </c>
      <c r="AM5944">
        <v>100</v>
      </c>
      <c r="AN5944">
        <v>666.40859999999998</v>
      </c>
      <c r="AO5944">
        <v>0</v>
      </c>
      <c r="AP5944" s="13">
        <v>45979</v>
      </c>
      <c r="AQ5944">
        <v>3</v>
      </c>
      <c r="AR5944">
        <v>0</v>
      </c>
    </row>
    <row r="5945" spans="1:44" x14ac:dyDescent="0.35">
      <c r="A5945" s="12" t="s">
        <v>7057</v>
      </c>
      <c r="B5945" s="12" t="s">
        <v>773</v>
      </c>
      <c r="C5945" s="12" t="s">
        <v>774</v>
      </c>
      <c r="D5945" s="12" t="s">
        <v>64</v>
      </c>
      <c r="E5945" s="12" t="s">
        <v>142</v>
      </c>
      <c r="F5945">
        <v>1</v>
      </c>
      <c r="G5945">
        <v>7</v>
      </c>
      <c r="H5945">
        <v>1</v>
      </c>
      <c r="I5945" s="12" t="s">
        <v>251</v>
      </c>
      <c r="J5945" s="12" t="s">
        <v>252</v>
      </c>
      <c r="K5945" s="12" t="s">
        <v>133</v>
      </c>
      <c r="L5945" s="12" t="s">
        <v>69</v>
      </c>
      <c r="M5945">
        <v>34.49</v>
      </c>
      <c r="N5945" s="12" t="s">
        <v>97</v>
      </c>
      <c r="O5945" s="12" t="s">
        <v>98</v>
      </c>
      <c r="P5945" s="12" t="s">
        <v>72</v>
      </c>
      <c r="Q5945" s="13">
        <v>45960</v>
      </c>
      <c r="R5945" s="13">
        <v>46008</v>
      </c>
      <c r="S5945">
        <v>2025</v>
      </c>
      <c r="T5945" s="12" t="s">
        <v>6884</v>
      </c>
      <c r="U5945">
        <v>777</v>
      </c>
      <c r="V5945">
        <v>9.9849999999999994</v>
      </c>
      <c r="W5945">
        <v>200.14</v>
      </c>
      <c r="X5945">
        <v>0</v>
      </c>
      <c r="Y5945">
        <v>0</v>
      </c>
      <c r="Z5945">
        <v>7758.35</v>
      </c>
      <c r="AA5945">
        <v>7958.49</v>
      </c>
      <c r="AB5945" s="12" t="s">
        <v>5613</v>
      </c>
      <c r="AC5945">
        <v>9.9849999999999994</v>
      </c>
      <c r="AD5945">
        <v>1</v>
      </c>
      <c r="AE5945">
        <v>1</v>
      </c>
      <c r="AF5945">
        <v>0</v>
      </c>
      <c r="AG5945">
        <v>7758.35</v>
      </c>
      <c r="AH5945">
        <v>777</v>
      </c>
      <c r="AI5945">
        <v>770</v>
      </c>
      <c r="AJ5945">
        <v>7</v>
      </c>
      <c r="AK5945">
        <v>1</v>
      </c>
      <c r="AL5945">
        <v>1</v>
      </c>
      <c r="AM5945">
        <v>99.1</v>
      </c>
      <c r="AN5945">
        <v>10.335699999999999</v>
      </c>
      <c r="AO5945">
        <v>69.900000000000006</v>
      </c>
      <c r="AP5945" s="13">
        <v>46010</v>
      </c>
      <c r="AQ5945">
        <v>2</v>
      </c>
      <c r="AR5945">
        <v>0</v>
      </c>
    </row>
    <row r="5946" spans="1:44" x14ac:dyDescent="0.35">
      <c r="A5946" s="12" t="s">
        <v>7058</v>
      </c>
      <c r="B5946" s="12" t="s">
        <v>661</v>
      </c>
      <c r="C5946" s="12" t="s">
        <v>662</v>
      </c>
      <c r="D5946" s="12" t="s">
        <v>175</v>
      </c>
      <c r="E5946" s="12" t="s">
        <v>104</v>
      </c>
      <c r="F5946">
        <v>1</v>
      </c>
      <c r="G5946">
        <v>0</v>
      </c>
      <c r="H5946">
        <v>1</v>
      </c>
      <c r="I5946" s="12" t="s">
        <v>183</v>
      </c>
      <c r="J5946" s="12" t="s">
        <v>184</v>
      </c>
      <c r="K5946" s="12" t="s">
        <v>133</v>
      </c>
      <c r="L5946" s="12" t="s">
        <v>82</v>
      </c>
      <c r="M5946">
        <v>8.6199999999999992</v>
      </c>
      <c r="N5946" s="12" t="s">
        <v>145</v>
      </c>
      <c r="O5946" s="12" t="s">
        <v>146</v>
      </c>
      <c r="P5946" s="12" t="s">
        <v>109</v>
      </c>
      <c r="Q5946" s="13">
        <v>45960</v>
      </c>
      <c r="R5946" s="13">
        <v>45972</v>
      </c>
      <c r="S5946">
        <v>2025</v>
      </c>
      <c r="T5946" s="12" t="s">
        <v>6884</v>
      </c>
      <c r="U5946">
        <v>15</v>
      </c>
      <c r="V5946">
        <v>166.30070000000001</v>
      </c>
      <c r="W5946">
        <v>47.03</v>
      </c>
      <c r="X5946">
        <v>0</v>
      </c>
      <c r="Y5946">
        <v>0</v>
      </c>
      <c r="Z5946">
        <v>2494.5100000000002</v>
      </c>
      <c r="AA5946">
        <v>2541.54</v>
      </c>
      <c r="AB5946" s="12" t="s">
        <v>5336</v>
      </c>
      <c r="AC5946">
        <v>166.30070000000001</v>
      </c>
      <c r="AD5946">
        <v>1</v>
      </c>
      <c r="AE5946">
        <v>1</v>
      </c>
      <c r="AF5946">
        <v>0</v>
      </c>
      <c r="AG5946">
        <v>2494.5100000000002</v>
      </c>
      <c r="AH5946">
        <v>15</v>
      </c>
      <c r="AI5946">
        <v>15</v>
      </c>
      <c r="AJ5946">
        <v>0</v>
      </c>
      <c r="AK5946">
        <v>1</v>
      </c>
      <c r="AL5946">
        <v>1</v>
      </c>
      <c r="AM5946">
        <v>100</v>
      </c>
      <c r="AN5946">
        <v>169.43600000000001</v>
      </c>
      <c r="AO5946">
        <v>0</v>
      </c>
      <c r="AP5946" s="13">
        <v>45978</v>
      </c>
      <c r="AQ5946">
        <v>6</v>
      </c>
      <c r="AR5946">
        <v>0</v>
      </c>
    </row>
    <row r="5947" spans="1:44" x14ac:dyDescent="0.35">
      <c r="A5947" s="12" t="s">
        <v>7059</v>
      </c>
      <c r="B5947" s="12" t="s">
        <v>482</v>
      </c>
      <c r="C5947" s="12" t="s">
        <v>483</v>
      </c>
      <c r="D5947" s="12" t="s">
        <v>78</v>
      </c>
      <c r="E5947" s="12" t="s">
        <v>142</v>
      </c>
      <c r="F5947">
        <v>2</v>
      </c>
      <c r="G5947">
        <v>9</v>
      </c>
      <c r="H5947">
        <v>0</v>
      </c>
      <c r="I5947" s="12" t="s">
        <v>87</v>
      </c>
      <c r="J5947" s="12" t="s">
        <v>88</v>
      </c>
      <c r="K5947" s="12" t="s">
        <v>89</v>
      </c>
      <c r="L5947" s="12" t="s">
        <v>69</v>
      </c>
      <c r="M5947">
        <v>14.93</v>
      </c>
      <c r="N5947" s="12" t="s">
        <v>97</v>
      </c>
      <c r="O5947" s="12" t="s">
        <v>98</v>
      </c>
      <c r="P5947" s="12" t="s">
        <v>72</v>
      </c>
      <c r="Q5947" s="13">
        <v>45960</v>
      </c>
      <c r="R5947" s="13">
        <v>46011</v>
      </c>
      <c r="S5947">
        <v>2025</v>
      </c>
      <c r="T5947" s="12" t="s">
        <v>6884</v>
      </c>
      <c r="U5947">
        <v>280</v>
      </c>
      <c r="V5947">
        <v>44.658099999999997</v>
      </c>
      <c r="W5947">
        <v>247.07</v>
      </c>
      <c r="X5947">
        <v>0</v>
      </c>
      <c r="Y5947">
        <v>0</v>
      </c>
      <c r="Z5947">
        <v>12504.27</v>
      </c>
      <c r="AA5947">
        <v>12751.34</v>
      </c>
      <c r="AB5947" s="12" t="s">
        <v>5658</v>
      </c>
      <c r="AC5947">
        <v>44.658099999999997</v>
      </c>
      <c r="AD5947">
        <v>1</v>
      </c>
      <c r="AE5947">
        <v>1</v>
      </c>
      <c r="AF5947">
        <v>0</v>
      </c>
      <c r="AG5947">
        <v>12504.27</v>
      </c>
      <c r="AH5947">
        <v>280</v>
      </c>
      <c r="AI5947">
        <v>275</v>
      </c>
      <c r="AJ5947">
        <v>5</v>
      </c>
      <c r="AK5947">
        <v>1</v>
      </c>
      <c r="AL5947">
        <v>1</v>
      </c>
      <c r="AM5947">
        <v>98.21</v>
      </c>
      <c r="AN5947">
        <v>46.368499999999997</v>
      </c>
      <c r="AO5947">
        <v>223.29</v>
      </c>
      <c r="AP5947" s="13">
        <v>46010</v>
      </c>
      <c r="AQ5947">
        <v>-1</v>
      </c>
      <c r="AR5947">
        <v>1</v>
      </c>
    </row>
    <row r="5948" spans="1:44" x14ac:dyDescent="0.35">
      <c r="A5948" s="12" t="s">
        <v>7060</v>
      </c>
      <c r="B5948" s="12" t="s">
        <v>924</v>
      </c>
      <c r="C5948" s="12" t="s">
        <v>925</v>
      </c>
      <c r="D5948" s="12" t="s">
        <v>103</v>
      </c>
      <c r="E5948" s="12" t="s">
        <v>104</v>
      </c>
      <c r="F5948">
        <v>2</v>
      </c>
      <c r="G5948">
        <v>0</v>
      </c>
      <c r="H5948">
        <v>0</v>
      </c>
      <c r="I5948" s="12" t="s">
        <v>335</v>
      </c>
      <c r="J5948" s="12" t="s">
        <v>336</v>
      </c>
      <c r="K5948" s="12" t="s">
        <v>89</v>
      </c>
      <c r="L5948" s="12" t="s">
        <v>82</v>
      </c>
      <c r="M5948">
        <v>16</v>
      </c>
      <c r="N5948" s="12" t="s">
        <v>145</v>
      </c>
      <c r="O5948" s="12" t="s">
        <v>146</v>
      </c>
      <c r="P5948" s="12" t="s">
        <v>109</v>
      </c>
      <c r="Q5948" s="13">
        <v>45960</v>
      </c>
      <c r="R5948" s="13">
        <v>45982</v>
      </c>
      <c r="S5948">
        <v>2025</v>
      </c>
      <c r="T5948" s="12" t="s">
        <v>6884</v>
      </c>
      <c r="U5948">
        <v>94</v>
      </c>
      <c r="V5948">
        <v>162.79220000000001</v>
      </c>
      <c r="W5948">
        <v>133.62</v>
      </c>
      <c r="X5948">
        <v>0</v>
      </c>
      <c r="Y5948">
        <v>0</v>
      </c>
      <c r="Z5948">
        <v>15302.47</v>
      </c>
      <c r="AA5948">
        <v>15436.09</v>
      </c>
      <c r="AB5948" s="12" t="s">
        <v>201</v>
      </c>
      <c r="AD5948">
        <v>0</v>
      </c>
      <c r="AE5948">
        <v>0</v>
      </c>
      <c r="AH5948">
        <v>94</v>
      </c>
      <c r="AI5948">
        <v>93</v>
      </c>
      <c r="AJ5948">
        <v>1</v>
      </c>
      <c r="AK5948">
        <v>1</v>
      </c>
      <c r="AL5948">
        <v>1</v>
      </c>
      <c r="AM5948">
        <v>98.94</v>
      </c>
      <c r="AN5948">
        <v>165.9794</v>
      </c>
      <c r="AO5948">
        <v>162.79</v>
      </c>
      <c r="AP5948" s="13">
        <v>45979</v>
      </c>
      <c r="AQ5948">
        <v>-3</v>
      </c>
      <c r="AR5948">
        <v>1</v>
      </c>
    </row>
    <row r="5949" spans="1:44" x14ac:dyDescent="0.35">
      <c r="A5949" s="12" t="s">
        <v>7061</v>
      </c>
      <c r="B5949" s="12" t="s">
        <v>670</v>
      </c>
      <c r="C5949" s="12" t="s">
        <v>671</v>
      </c>
      <c r="D5949" s="12" t="s">
        <v>175</v>
      </c>
      <c r="E5949" s="12" t="s">
        <v>142</v>
      </c>
      <c r="F5949">
        <v>2</v>
      </c>
      <c r="G5949">
        <v>9</v>
      </c>
      <c r="H5949">
        <v>0</v>
      </c>
      <c r="I5949" s="12" t="s">
        <v>105</v>
      </c>
      <c r="J5949" s="12" t="s">
        <v>106</v>
      </c>
      <c r="K5949" s="12" t="s">
        <v>81</v>
      </c>
      <c r="L5949" s="12" t="s">
        <v>96</v>
      </c>
      <c r="M5949">
        <v>5.01</v>
      </c>
      <c r="N5949" s="12" t="s">
        <v>107</v>
      </c>
      <c r="O5949" s="12" t="s">
        <v>108</v>
      </c>
      <c r="P5949" s="12" t="s">
        <v>109</v>
      </c>
      <c r="Q5949" s="13">
        <v>45960</v>
      </c>
      <c r="R5949" s="13">
        <v>46000</v>
      </c>
      <c r="S5949">
        <v>2025</v>
      </c>
      <c r="T5949" s="12" t="s">
        <v>6884</v>
      </c>
      <c r="U5949">
        <v>54</v>
      </c>
      <c r="V5949">
        <v>167.61330000000001</v>
      </c>
      <c r="W5949">
        <v>210.34</v>
      </c>
      <c r="X5949">
        <v>0</v>
      </c>
      <c r="Y5949">
        <v>0</v>
      </c>
      <c r="Z5949">
        <v>9051.1200000000008</v>
      </c>
      <c r="AA5949">
        <v>9261.4599999999991</v>
      </c>
      <c r="AB5949" s="12" t="s">
        <v>201</v>
      </c>
      <c r="AD5949">
        <v>0</v>
      </c>
      <c r="AE5949">
        <v>0</v>
      </c>
      <c r="AH5949">
        <v>54</v>
      </c>
      <c r="AI5949">
        <v>54</v>
      </c>
      <c r="AJ5949">
        <v>0</v>
      </c>
      <c r="AK5949">
        <v>1</v>
      </c>
      <c r="AL5949">
        <v>1</v>
      </c>
      <c r="AM5949">
        <v>100</v>
      </c>
      <c r="AN5949">
        <v>171.5085</v>
      </c>
      <c r="AO5949">
        <v>0</v>
      </c>
      <c r="AP5949" s="13">
        <v>45998</v>
      </c>
      <c r="AQ5949">
        <v>-2</v>
      </c>
      <c r="AR5949">
        <v>1</v>
      </c>
    </row>
    <row r="5950" spans="1:44" x14ac:dyDescent="0.35">
      <c r="A5950" s="12" t="s">
        <v>7062</v>
      </c>
      <c r="B5950" s="12" t="s">
        <v>509</v>
      </c>
      <c r="C5950" s="12" t="s">
        <v>510</v>
      </c>
      <c r="D5950" s="12" t="s">
        <v>78</v>
      </c>
      <c r="E5950" s="12" t="s">
        <v>142</v>
      </c>
      <c r="F5950">
        <v>3</v>
      </c>
      <c r="G5950">
        <v>11</v>
      </c>
      <c r="H5950">
        <v>0</v>
      </c>
      <c r="I5950" s="12" t="s">
        <v>176</v>
      </c>
      <c r="J5950" s="12" t="s">
        <v>177</v>
      </c>
      <c r="K5950" s="12" t="s">
        <v>125</v>
      </c>
      <c r="L5950" s="12" t="s">
        <v>134</v>
      </c>
      <c r="M5950">
        <v>1.75</v>
      </c>
      <c r="N5950" s="12" t="s">
        <v>97</v>
      </c>
      <c r="O5950" s="12" t="s">
        <v>98</v>
      </c>
      <c r="P5950" s="12" t="s">
        <v>72</v>
      </c>
      <c r="Q5950" s="13">
        <v>45960</v>
      </c>
      <c r="R5950" s="13">
        <v>45996</v>
      </c>
      <c r="S5950">
        <v>2025</v>
      </c>
      <c r="T5950" s="12" t="s">
        <v>6884</v>
      </c>
      <c r="U5950">
        <v>57</v>
      </c>
      <c r="V5950">
        <v>146.22450000000001</v>
      </c>
      <c r="W5950">
        <v>185.3</v>
      </c>
      <c r="X5950">
        <v>0</v>
      </c>
      <c r="Y5950">
        <v>0</v>
      </c>
      <c r="Z5950">
        <v>8334.7999999999993</v>
      </c>
      <c r="AA5950">
        <v>8520.1</v>
      </c>
      <c r="AB5950" s="12" t="s">
        <v>201</v>
      </c>
      <c r="AD5950">
        <v>0</v>
      </c>
      <c r="AE5950">
        <v>0</v>
      </c>
      <c r="AH5950">
        <v>57</v>
      </c>
      <c r="AI5950">
        <v>57</v>
      </c>
      <c r="AJ5950">
        <v>0</v>
      </c>
      <c r="AK5950">
        <v>1</v>
      </c>
      <c r="AL5950">
        <v>1</v>
      </c>
      <c r="AM5950">
        <v>100</v>
      </c>
      <c r="AN5950">
        <v>149.47540000000001</v>
      </c>
      <c r="AO5950">
        <v>0</v>
      </c>
      <c r="AP5950" s="13">
        <v>46005</v>
      </c>
      <c r="AQ5950">
        <v>9</v>
      </c>
      <c r="AR5950">
        <v>0</v>
      </c>
    </row>
    <row r="5951" spans="1:44" x14ac:dyDescent="0.35">
      <c r="A5951" s="12" t="s">
        <v>7063</v>
      </c>
      <c r="B5951" s="12" t="s">
        <v>323</v>
      </c>
      <c r="C5951" s="12" t="s">
        <v>324</v>
      </c>
      <c r="D5951" s="12" t="s">
        <v>64</v>
      </c>
      <c r="E5951" s="12" t="s">
        <v>142</v>
      </c>
      <c r="F5951">
        <v>1</v>
      </c>
      <c r="G5951">
        <v>7</v>
      </c>
      <c r="H5951">
        <v>1</v>
      </c>
      <c r="I5951" s="12" t="s">
        <v>143</v>
      </c>
      <c r="J5951" s="12" t="s">
        <v>144</v>
      </c>
      <c r="K5951" s="12" t="s">
        <v>133</v>
      </c>
      <c r="L5951" s="12" t="s">
        <v>96</v>
      </c>
      <c r="M5951">
        <v>5.43</v>
      </c>
      <c r="N5951" s="12" t="s">
        <v>70</v>
      </c>
      <c r="O5951" s="12" t="s">
        <v>71</v>
      </c>
      <c r="P5951" s="12" t="s">
        <v>72</v>
      </c>
      <c r="Q5951" s="13">
        <v>45960</v>
      </c>
      <c r="R5951" s="13">
        <v>46000</v>
      </c>
      <c r="S5951">
        <v>2025</v>
      </c>
      <c r="T5951" s="12" t="s">
        <v>6884</v>
      </c>
      <c r="U5951">
        <v>372</v>
      </c>
      <c r="V5951">
        <v>39.226399999999998</v>
      </c>
      <c r="W5951">
        <v>373.98</v>
      </c>
      <c r="X5951">
        <v>0</v>
      </c>
      <c r="Y5951">
        <v>0</v>
      </c>
      <c r="Z5951">
        <v>14592.22</v>
      </c>
      <c r="AA5951">
        <v>14966.2</v>
      </c>
      <c r="AB5951" s="12" t="s">
        <v>5324</v>
      </c>
      <c r="AC5951">
        <v>39.226399999999998</v>
      </c>
      <c r="AD5951">
        <v>1</v>
      </c>
      <c r="AE5951">
        <v>1</v>
      </c>
      <c r="AF5951">
        <v>0</v>
      </c>
      <c r="AG5951">
        <v>14592.22</v>
      </c>
      <c r="AH5951">
        <v>372</v>
      </c>
      <c r="AI5951">
        <v>370</v>
      </c>
      <c r="AJ5951">
        <v>2</v>
      </c>
      <c r="AK5951">
        <v>1</v>
      </c>
      <c r="AL5951">
        <v>1</v>
      </c>
      <c r="AM5951">
        <v>99.46</v>
      </c>
      <c r="AN5951">
        <v>40.449199999999998</v>
      </c>
      <c r="AO5951">
        <v>78.45</v>
      </c>
      <c r="AP5951" s="13">
        <v>46000</v>
      </c>
      <c r="AQ5951">
        <v>0</v>
      </c>
      <c r="AR5951">
        <v>1</v>
      </c>
    </row>
    <row r="5952" spans="1:44" x14ac:dyDescent="0.35">
      <c r="A5952" s="12" t="s">
        <v>7064</v>
      </c>
      <c r="B5952" s="12" t="s">
        <v>477</v>
      </c>
      <c r="C5952" s="12" t="s">
        <v>478</v>
      </c>
      <c r="D5952" s="12" t="s">
        <v>130</v>
      </c>
      <c r="E5952" s="12" t="s">
        <v>104</v>
      </c>
      <c r="F5952">
        <v>3</v>
      </c>
      <c r="G5952">
        <v>1</v>
      </c>
      <c r="H5952">
        <v>0</v>
      </c>
      <c r="I5952" s="12" t="s">
        <v>380</v>
      </c>
      <c r="J5952" s="12" t="s">
        <v>381</v>
      </c>
      <c r="K5952" s="12" t="s">
        <v>89</v>
      </c>
      <c r="L5952" s="12" t="s">
        <v>96</v>
      </c>
      <c r="M5952">
        <v>10.210000000000001</v>
      </c>
      <c r="N5952" s="12" t="s">
        <v>135</v>
      </c>
      <c r="O5952" s="12" t="s">
        <v>136</v>
      </c>
      <c r="P5952" s="12" t="s">
        <v>137</v>
      </c>
      <c r="Q5952" s="13">
        <v>45960</v>
      </c>
      <c r="R5952" s="13">
        <v>45976</v>
      </c>
      <c r="S5952">
        <v>2025</v>
      </c>
      <c r="T5952" s="12" t="s">
        <v>6884</v>
      </c>
      <c r="U5952">
        <v>42</v>
      </c>
      <c r="V5952">
        <v>656.68050000000005</v>
      </c>
      <c r="W5952">
        <v>408.58</v>
      </c>
      <c r="X5952">
        <v>0</v>
      </c>
      <c r="Y5952">
        <v>0</v>
      </c>
      <c r="Z5952">
        <v>27580.58</v>
      </c>
      <c r="AA5952">
        <v>27989.16</v>
      </c>
      <c r="AB5952" s="12" t="s">
        <v>5872</v>
      </c>
      <c r="AC5952">
        <v>656.68050000000005</v>
      </c>
      <c r="AD5952">
        <v>1</v>
      </c>
      <c r="AE5952">
        <v>1</v>
      </c>
      <c r="AF5952">
        <v>0</v>
      </c>
      <c r="AG5952">
        <v>27580.58</v>
      </c>
      <c r="AK5952">
        <v>0</v>
      </c>
      <c r="AL5952">
        <v>0</v>
      </c>
      <c r="AO5952">
        <v>0</v>
      </c>
      <c r="AP5952" s="13"/>
    </row>
    <row r="5953" spans="1:44" x14ac:dyDescent="0.35">
      <c r="A5953" s="12" t="s">
        <v>7065</v>
      </c>
      <c r="B5953" s="12" t="s">
        <v>661</v>
      </c>
      <c r="C5953" s="12" t="s">
        <v>662</v>
      </c>
      <c r="D5953" s="12" t="s">
        <v>175</v>
      </c>
      <c r="E5953" s="12" t="s">
        <v>104</v>
      </c>
      <c r="F5953">
        <v>1</v>
      </c>
      <c r="G5953">
        <v>0</v>
      </c>
      <c r="H5953">
        <v>1</v>
      </c>
      <c r="I5953" s="12" t="s">
        <v>183</v>
      </c>
      <c r="J5953" s="12" t="s">
        <v>184</v>
      </c>
      <c r="K5953" s="12" t="s">
        <v>133</v>
      </c>
      <c r="L5953" s="12" t="s">
        <v>82</v>
      </c>
      <c r="M5953">
        <v>8.6199999999999992</v>
      </c>
      <c r="N5953" s="12" t="s">
        <v>145</v>
      </c>
      <c r="O5953" s="12" t="s">
        <v>146</v>
      </c>
      <c r="P5953" s="12" t="s">
        <v>109</v>
      </c>
      <c r="Q5953" s="13">
        <v>45960</v>
      </c>
      <c r="R5953" s="13">
        <v>45972</v>
      </c>
      <c r="S5953">
        <v>2025</v>
      </c>
      <c r="T5953" s="12" t="s">
        <v>6884</v>
      </c>
      <c r="U5953">
        <v>15</v>
      </c>
      <c r="V5953">
        <v>166.30070000000001</v>
      </c>
      <c r="W5953">
        <v>47.03</v>
      </c>
      <c r="X5953">
        <v>0</v>
      </c>
      <c r="Y5953">
        <v>0</v>
      </c>
      <c r="Z5953">
        <v>2494.5100000000002</v>
      </c>
      <c r="AA5953">
        <v>2541.54</v>
      </c>
      <c r="AB5953" s="12" t="s">
        <v>5336</v>
      </c>
      <c r="AC5953">
        <v>166.30070000000001</v>
      </c>
      <c r="AD5953">
        <v>1</v>
      </c>
      <c r="AE5953">
        <v>1</v>
      </c>
      <c r="AF5953">
        <v>0</v>
      </c>
      <c r="AG5953">
        <v>2494.5100000000002</v>
      </c>
      <c r="AK5953">
        <v>0</v>
      </c>
      <c r="AL5953">
        <v>0</v>
      </c>
      <c r="AO5953">
        <v>0</v>
      </c>
      <c r="AP5953" s="13"/>
    </row>
    <row r="5954" spans="1:44" x14ac:dyDescent="0.35">
      <c r="A5954" s="12" t="s">
        <v>7066</v>
      </c>
      <c r="B5954" s="12" t="s">
        <v>1220</v>
      </c>
      <c r="C5954" s="12" t="s">
        <v>1221</v>
      </c>
      <c r="D5954" s="12" t="s">
        <v>175</v>
      </c>
      <c r="E5954" s="12" t="s">
        <v>104</v>
      </c>
      <c r="F5954">
        <v>3</v>
      </c>
      <c r="G5954">
        <v>1</v>
      </c>
      <c r="H5954">
        <v>0</v>
      </c>
      <c r="I5954" s="12" t="s">
        <v>676</v>
      </c>
      <c r="J5954" s="12" t="s">
        <v>677</v>
      </c>
      <c r="K5954" s="12" t="s">
        <v>68</v>
      </c>
      <c r="L5954" s="12" t="s">
        <v>96</v>
      </c>
      <c r="M5954">
        <v>3.57</v>
      </c>
      <c r="N5954" s="12" t="s">
        <v>145</v>
      </c>
      <c r="O5954" s="12" t="s">
        <v>146</v>
      </c>
      <c r="P5954" s="12" t="s">
        <v>109</v>
      </c>
      <c r="Q5954" s="13">
        <v>45961</v>
      </c>
      <c r="R5954" s="13">
        <v>45974</v>
      </c>
      <c r="S5954">
        <v>2025</v>
      </c>
      <c r="T5954" s="12" t="s">
        <v>6884</v>
      </c>
      <c r="U5954">
        <v>22</v>
      </c>
      <c r="V5954">
        <v>120.2958</v>
      </c>
      <c r="W5954">
        <v>57.28</v>
      </c>
      <c r="X5954">
        <v>0</v>
      </c>
      <c r="Y5954">
        <v>0</v>
      </c>
      <c r="Z5954">
        <v>2646.51</v>
      </c>
      <c r="AA5954">
        <v>2703.79</v>
      </c>
      <c r="AB5954" s="12" t="s">
        <v>201</v>
      </c>
      <c r="AD5954">
        <v>0</v>
      </c>
      <c r="AE5954">
        <v>0</v>
      </c>
      <c r="AH5954">
        <v>22</v>
      </c>
      <c r="AI5954">
        <v>22</v>
      </c>
      <c r="AJ5954">
        <v>0</v>
      </c>
      <c r="AK5954">
        <v>1</v>
      </c>
      <c r="AL5954">
        <v>1</v>
      </c>
      <c r="AM5954">
        <v>100</v>
      </c>
      <c r="AN5954">
        <v>122.8994</v>
      </c>
      <c r="AO5954">
        <v>0</v>
      </c>
      <c r="AP5954" s="13">
        <v>45972</v>
      </c>
      <c r="AQ5954">
        <v>-2</v>
      </c>
      <c r="AR5954">
        <v>1</v>
      </c>
    </row>
    <row r="5955" spans="1:44" x14ac:dyDescent="0.35">
      <c r="A5955" s="12" t="s">
        <v>7067</v>
      </c>
      <c r="B5955" s="12" t="s">
        <v>395</v>
      </c>
      <c r="C5955" s="12" t="s">
        <v>396</v>
      </c>
      <c r="D5955" s="12" t="s">
        <v>130</v>
      </c>
      <c r="E5955" s="12" t="s">
        <v>104</v>
      </c>
      <c r="F5955">
        <v>3</v>
      </c>
      <c r="G5955">
        <v>1</v>
      </c>
      <c r="H5955">
        <v>0</v>
      </c>
      <c r="I5955" s="12" t="s">
        <v>341</v>
      </c>
      <c r="J5955" s="12" t="s">
        <v>342</v>
      </c>
      <c r="K5955" s="12" t="s">
        <v>117</v>
      </c>
      <c r="L5955" s="12" t="s">
        <v>82</v>
      </c>
      <c r="M5955">
        <v>18.36</v>
      </c>
      <c r="N5955" s="12" t="s">
        <v>159</v>
      </c>
      <c r="O5955" s="12" t="s">
        <v>160</v>
      </c>
      <c r="P5955" s="12" t="s">
        <v>137</v>
      </c>
      <c r="Q5955" s="13">
        <v>45961</v>
      </c>
      <c r="R5955" s="13">
        <v>45986</v>
      </c>
      <c r="S5955">
        <v>2025</v>
      </c>
      <c r="T5955" s="12" t="s">
        <v>6884</v>
      </c>
      <c r="U5955">
        <v>114</v>
      </c>
      <c r="V5955">
        <v>159.31549999999999</v>
      </c>
      <c r="W5955">
        <v>361.98</v>
      </c>
      <c r="X5955">
        <v>0</v>
      </c>
      <c r="Y5955">
        <v>0</v>
      </c>
      <c r="Z5955">
        <v>18161.97</v>
      </c>
      <c r="AA5955">
        <v>18523.95</v>
      </c>
      <c r="AB5955" s="12" t="s">
        <v>5282</v>
      </c>
      <c r="AC5955">
        <v>159.31549999999999</v>
      </c>
      <c r="AD5955">
        <v>1</v>
      </c>
      <c r="AE5955">
        <v>1</v>
      </c>
      <c r="AF5955">
        <v>0</v>
      </c>
      <c r="AG5955">
        <v>18161.97</v>
      </c>
      <c r="AH5955">
        <v>114</v>
      </c>
      <c r="AI5955">
        <v>113</v>
      </c>
      <c r="AJ5955">
        <v>1</v>
      </c>
      <c r="AK5955">
        <v>1</v>
      </c>
      <c r="AL5955">
        <v>1</v>
      </c>
      <c r="AM5955">
        <v>99.12</v>
      </c>
      <c r="AN5955">
        <v>163.92869999999999</v>
      </c>
      <c r="AO5955">
        <v>159.32</v>
      </c>
      <c r="AP5955" s="13">
        <v>45989</v>
      </c>
      <c r="AQ5955">
        <v>3</v>
      </c>
      <c r="AR5955">
        <v>0</v>
      </c>
    </row>
    <row r="5956" spans="1:44" x14ac:dyDescent="0.35">
      <c r="A5956" s="12" t="s">
        <v>7068</v>
      </c>
      <c r="B5956" s="12" t="s">
        <v>1666</v>
      </c>
      <c r="C5956" s="12" t="s">
        <v>1667</v>
      </c>
      <c r="D5956" s="12" t="s">
        <v>78</v>
      </c>
      <c r="E5956" s="12" t="s">
        <v>65</v>
      </c>
      <c r="F5956">
        <v>2</v>
      </c>
      <c r="G5956">
        <v>3</v>
      </c>
      <c r="H5956">
        <v>0</v>
      </c>
      <c r="I5956" s="12" t="s">
        <v>176</v>
      </c>
      <c r="J5956" s="12" t="s">
        <v>177</v>
      </c>
      <c r="K5956" s="12" t="s">
        <v>125</v>
      </c>
      <c r="L5956" s="12" t="s">
        <v>134</v>
      </c>
      <c r="M5956">
        <v>1.75</v>
      </c>
      <c r="N5956" s="12" t="s">
        <v>97</v>
      </c>
      <c r="O5956" s="12" t="s">
        <v>98</v>
      </c>
      <c r="P5956" s="12" t="s">
        <v>72</v>
      </c>
      <c r="Q5956" s="13">
        <v>45961</v>
      </c>
      <c r="R5956" s="13">
        <v>45986</v>
      </c>
      <c r="S5956">
        <v>2025</v>
      </c>
      <c r="T5956" s="12" t="s">
        <v>6884</v>
      </c>
      <c r="U5956">
        <v>100</v>
      </c>
      <c r="V5956">
        <v>67.594700000000003</v>
      </c>
      <c r="W5956">
        <v>106.08</v>
      </c>
      <c r="X5956">
        <v>0</v>
      </c>
      <c r="Y5956">
        <v>0</v>
      </c>
      <c r="Z5956">
        <v>6759.47</v>
      </c>
      <c r="AA5956">
        <v>6865.55</v>
      </c>
      <c r="AB5956" s="12" t="s">
        <v>6125</v>
      </c>
      <c r="AC5956">
        <v>67.594700000000003</v>
      </c>
      <c r="AD5956">
        <v>1</v>
      </c>
      <c r="AE5956">
        <v>1</v>
      </c>
      <c r="AF5956">
        <v>0</v>
      </c>
      <c r="AG5956">
        <v>6759.47</v>
      </c>
      <c r="AH5956">
        <v>100</v>
      </c>
      <c r="AI5956">
        <v>98</v>
      </c>
      <c r="AJ5956">
        <v>2</v>
      </c>
      <c r="AK5956">
        <v>1</v>
      </c>
      <c r="AL5956">
        <v>1</v>
      </c>
      <c r="AM5956">
        <v>98</v>
      </c>
      <c r="AN5956">
        <v>70.056600000000003</v>
      </c>
      <c r="AO5956">
        <v>135.19</v>
      </c>
      <c r="AP5956" s="13">
        <v>45995</v>
      </c>
      <c r="AQ5956">
        <v>9</v>
      </c>
      <c r="AR5956">
        <v>0</v>
      </c>
    </row>
    <row r="5957" spans="1:44" x14ac:dyDescent="0.35">
      <c r="A5957" s="12" t="s">
        <v>7069</v>
      </c>
      <c r="B5957" s="12" t="s">
        <v>428</v>
      </c>
      <c r="C5957" s="12" t="s">
        <v>429</v>
      </c>
      <c r="D5957" s="12" t="s">
        <v>64</v>
      </c>
      <c r="E5957" s="12" t="s">
        <v>65</v>
      </c>
      <c r="F5957">
        <v>3</v>
      </c>
      <c r="G5957">
        <v>4</v>
      </c>
      <c r="H5957">
        <v>0</v>
      </c>
      <c r="I5957" s="12" t="s">
        <v>380</v>
      </c>
      <c r="J5957" s="12" t="s">
        <v>381</v>
      </c>
      <c r="K5957" s="12" t="s">
        <v>89</v>
      </c>
      <c r="L5957" s="12" t="s">
        <v>96</v>
      </c>
      <c r="M5957">
        <v>10.210000000000001</v>
      </c>
      <c r="N5957" s="12" t="s">
        <v>70</v>
      </c>
      <c r="O5957" s="12" t="s">
        <v>71</v>
      </c>
      <c r="P5957" s="12" t="s">
        <v>72</v>
      </c>
      <c r="Q5957" s="13">
        <v>45961</v>
      </c>
      <c r="R5957" s="13">
        <v>45991</v>
      </c>
      <c r="S5957">
        <v>2025</v>
      </c>
      <c r="T5957" s="12" t="s">
        <v>6884</v>
      </c>
      <c r="U5957">
        <v>569</v>
      </c>
      <c r="V5957">
        <v>12.879099999999999</v>
      </c>
      <c r="W5957">
        <v>184.7</v>
      </c>
      <c r="X5957">
        <v>0</v>
      </c>
      <c r="Y5957">
        <v>0</v>
      </c>
      <c r="Z5957">
        <v>7328.21</v>
      </c>
      <c r="AA5957">
        <v>7512.91</v>
      </c>
      <c r="AB5957" s="12" t="s">
        <v>5501</v>
      </c>
      <c r="AC5957">
        <v>12.879099999999999</v>
      </c>
      <c r="AD5957">
        <v>1</v>
      </c>
      <c r="AE5957">
        <v>1</v>
      </c>
      <c r="AF5957">
        <v>0</v>
      </c>
      <c r="AG5957">
        <v>7328.21</v>
      </c>
      <c r="AH5957">
        <v>569</v>
      </c>
      <c r="AI5957">
        <v>561</v>
      </c>
      <c r="AJ5957">
        <v>8</v>
      </c>
      <c r="AK5957">
        <v>1</v>
      </c>
      <c r="AL5957">
        <v>1</v>
      </c>
      <c r="AM5957">
        <v>98.59</v>
      </c>
      <c r="AN5957">
        <v>13.391999999999999</v>
      </c>
      <c r="AO5957">
        <v>103.03</v>
      </c>
      <c r="AP5957" s="13">
        <v>45991</v>
      </c>
      <c r="AQ5957">
        <v>0</v>
      </c>
      <c r="AR5957">
        <v>1</v>
      </c>
    </row>
    <row r="5958" spans="1:44" x14ac:dyDescent="0.35">
      <c r="A5958" s="12" t="s">
        <v>7070</v>
      </c>
      <c r="B5958" s="12" t="s">
        <v>674</v>
      </c>
      <c r="C5958" s="12" t="s">
        <v>675</v>
      </c>
      <c r="D5958" s="12" t="s">
        <v>269</v>
      </c>
      <c r="E5958" s="12" t="s">
        <v>142</v>
      </c>
      <c r="F5958">
        <v>1</v>
      </c>
      <c r="G5958">
        <v>7</v>
      </c>
      <c r="H5958">
        <v>1</v>
      </c>
      <c r="I5958" s="12" t="s">
        <v>676</v>
      </c>
      <c r="J5958" s="12" t="s">
        <v>677</v>
      </c>
      <c r="K5958" s="12" t="s">
        <v>68</v>
      </c>
      <c r="L5958" s="12" t="s">
        <v>96</v>
      </c>
      <c r="M5958">
        <v>3.57</v>
      </c>
      <c r="N5958" s="12" t="s">
        <v>159</v>
      </c>
      <c r="O5958" s="12" t="s">
        <v>160</v>
      </c>
      <c r="P5958" s="12" t="s">
        <v>137</v>
      </c>
      <c r="Q5958" s="13">
        <v>45964</v>
      </c>
      <c r="R5958" s="13">
        <v>46014</v>
      </c>
      <c r="S5958">
        <v>2025</v>
      </c>
      <c r="T5958" s="12" t="s">
        <v>7071</v>
      </c>
      <c r="U5958">
        <v>128</v>
      </c>
      <c r="V5958">
        <v>371.53179999999998</v>
      </c>
      <c r="W5958">
        <v>776.72</v>
      </c>
      <c r="X5958">
        <v>0</v>
      </c>
      <c r="Y5958">
        <v>0</v>
      </c>
      <c r="Z5958">
        <v>47556.07</v>
      </c>
      <c r="AA5958">
        <v>48332.79</v>
      </c>
      <c r="AB5958" s="12" t="s">
        <v>201</v>
      </c>
      <c r="AD5958">
        <v>0</v>
      </c>
      <c r="AE5958">
        <v>0</v>
      </c>
      <c r="AH5958">
        <v>128</v>
      </c>
      <c r="AI5958">
        <v>127</v>
      </c>
      <c r="AJ5958">
        <v>1</v>
      </c>
      <c r="AK5958">
        <v>1</v>
      </c>
      <c r="AL5958">
        <v>1</v>
      </c>
      <c r="AM5958">
        <v>99.22</v>
      </c>
      <c r="AN5958">
        <v>380.57319999999999</v>
      </c>
      <c r="AO5958">
        <v>371.53</v>
      </c>
      <c r="AP5958" s="13">
        <v>46021</v>
      </c>
      <c r="AQ5958">
        <v>7</v>
      </c>
      <c r="AR5958">
        <v>0</v>
      </c>
    </row>
    <row r="5959" spans="1:44" x14ac:dyDescent="0.35">
      <c r="A5959" s="12" t="s">
        <v>7072</v>
      </c>
      <c r="B5959" s="12" t="s">
        <v>544</v>
      </c>
      <c r="C5959" s="12" t="s">
        <v>545</v>
      </c>
      <c r="D5959" s="12" t="s">
        <v>175</v>
      </c>
      <c r="E5959" s="12" t="s">
        <v>65</v>
      </c>
      <c r="F5959">
        <v>3</v>
      </c>
      <c r="G5959">
        <v>5</v>
      </c>
      <c r="H5959">
        <v>0</v>
      </c>
      <c r="I5959" s="12" t="s">
        <v>359</v>
      </c>
      <c r="J5959" s="12" t="s">
        <v>360</v>
      </c>
      <c r="K5959" s="12" t="s">
        <v>133</v>
      </c>
      <c r="L5959" s="12" t="s">
        <v>82</v>
      </c>
      <c r="M5959">
        <v>12.65</v>
      </c>
      <c r="N5959" s="12" t="s">
        <v>145</v>
      </c>
      <c r="O5959" s="12" t="s">
        <v>146</v>
      </c>
      <c r="P5959" s="12" t="s">
        <v>109</v>
      </c>
      <c r="Q5959" s="13">
        <v>45964</v>
      </c>
      <c r="R5959" s="13">
        <v>45997</v>
      </c>
      <c r="S5959">
        <v>2025</v>
      </c>
      <c r="T5959" s="12" t="s">
        <v>7071</v>
      </c>
      <c r="U5959">
        <v>103</v>
      </c>
      <c r="V5959">
        <v>138.72919999999999</v>
      </c>
      <c r="W5959">
        <v>344.2</v>
      </c>
      <c r="X5959">
        <v>0</v>
      </c>
      <c r="Y5959">
        <v>0</v>
      </c>
      <c r="Z5959">
        <v>14289.11</v>
      </c>
      <c r="AA5959">
        <v>14633.31</v>
      </c>
      <c r="AB5959" s="12" t="s">
        <v>5827</v>
      </c>
      <c r="AC5959">
        <v>138.72919999999999</v>
      </c>
      <c r="AD5959">
        <v>1</v>
      </c>
      <c r="AE5959">
        <v>1</v>
      </c>
      <c r="AF5959">
        <v>0</v>
      </c>
      <c r="AG5959">
        <v>14289.11</v>
      </c>
      <c r="AH5959">
        <v>103</v>
      </c>
      <c r="AI5959">
        <v>102</v>
      </c>
      <c r="AJ5959">
        <v>1</v>
      </c>
      <c r="AK5959">
        <v>1</v>
      </c>
      <c r="AL5959">
        <v>1</v>
      </c>
      <c r="AM5959">
        <v>99.03</v>
      </c>
      <c r="AN5959">
        <v>143.46379999999999</v>
      </c>
      <c r="AO5959">
        <v>138.72999999999999</v>
      </c>
      <c r="AP5959" s="13">
        <v>45995</v>
      </c>
      <c r="AQ5959">
        <v>-2</v>
      </c>
      <c r="AR5959">
        <v>1</v>
      </c>
    </row>
    <row r="5960" spans="1:44" x14ac:dyDescent="0.35">
      <c r="A5960" s="12" t="s">
        <v>7073</v>
      </c>
      <c r="B5960" s="12" t="s">
        <v>327</v>
      </c>
      <c r="C5960" s="12" t="s">
        <v>328</v>
      </c>
      <c r="D5960" s="12" t="s">
        <v>130</v>
      </c>
      <c r="E5960" s="12" t="s">
        <v>104</v>
      </c>
      <c r="F5960">
        <v>2</v>
      </c>
      <c r="G5960">
        <v>0</v>
      </c>
      <c r="H5960">
        <v>0</v>
      </c>
      <c r="I5960" s="12" t="s">
        <v>123</v>
      </c>
      <c r="J5960" s="12" t="s">
        <v>124</v>
      </c>
      <c r="K5960" s="12" t="s">
        <v>125</v>
      </c>
      <c r="L5960" s="12" t="s">
        <v>82</v>
      </c>
      <c r="M5960">
        <v>6.75</v>
      </c>
      <c r="N5960" s="12" t="s">
        <v>159</v>
      </c>
      <c r="O5960" s="12" t="s">
        <v>160</v>
      </c>
      <c r="P5960" s="12" t="s">
        <v>137</v>
      </c>
      <c r="Q5960" s="13">
        <v>45964</v>
      </c>
      <c r="R5960" s="13">
        <v>45977</v>
      </c>
      <c r="S5960">
        <v>2025</v>
      </c>
      <c r="T5960" s="12" t="s">
        <v>7071</v>
      </c>
      <c r="U5960">
        <v>24</v>
      </c>
      <c r="V5960">
        <v>764.76639999999998</v>
      </c>
      <c r="W5960">
        <v>183.33</v>
      </c>
      <c r="X5960">
        <v>0</v>
      </c>
      <c r="Y5960">
        <v>0</v>
      </c>
      <c r="Z5960">
        <v>18354.39</v>
      </c>
      <c r="AA5960">
        <v>18537.72</v>
      </c>
      <c r="AB5960" s="12" t="s">
        <v>201</v>
      </c>
      <c r="AD5960">
        <v>0</v>
      </c>
      <c r="AE5960">
        <v>0</v>
      </c>
      <c r="AH5960">
        <v>24</v>
      </c>
      <c r="AI5960">
        <v>24</v>
      </c>
      <c r="AJ5960">
        <v>0</v>
      </c>
      <c r="AK5960">
        <v>1</v>
      </c>
      <c r="AL5960">
        <v>1</v>
      </c>
      <c r="AM5960">
        <v>100</v>
      </c>
      <c r="AN5960">
        <v>772.40520000000004</v>
      </c>
      <c r="AO5960">
        <v>0</v>
      </c>
      <c r="AP5960" s="13">
        <v>45975</v>
      </c>
      <c r="AQ5960">
        <v>-2</v>
      </c>
      <c r="AR5960">
        <v>1</v>
      </c>
    </row>
    <row r="5961" spans="1:44" x14ac:dyDescent="0.35">
      <c r="A5961" s="12" t="s">
        <v>7074</v>
      </c>
      <c r="B5961" s="12" t="s">
        <v>404</v>
      </c>
      <c r="C5961" s="12" t="s">
        <v>405</v>
      </c>
      <c r="D5961" s="12" t="s">
        <v>269</v>
      </c>
      <c r="E5961" s="12" t="s">
        <v>65</v>
      </c>
      <c r="F5961">
        <v>3</v>
      </c>
      <c r="G5961">
        <v>5</v>
      </c>
      <c r="H5961">
        <v>0</v>
      </c>
      <c r="I5961" s="12" t="s">
        <v>79</v>
      </c>
      <c r="J5961" s="12" t="s">
        <v>80</v>
      </c>
      <c r="K5961" s="12" t="s">
        <v>81</v>
      </c>
      <c r="L5961" s="12" t="s">
        <v>82</v>
      </c>
      <c r="M5961">
        <v>12.07</v>
      </c>
      <c r="N5961" s="12" t="s">
        <v>135</v>
      </c>
      <c r="O5961" s="12" t="s">
        <v>136</v>
      </c>
      <c r="P5961" s="12" t="s">
        <v>137</v>
      </c>
      <c r="Q5961" s="13">
        <v>45964</v>
      </c>
      <c r="R5961" s="13">
        <v>45995</v>
      </c>
      <c r="S5961">
        <v>2025</v>
      </c>
      <c r="T5961" s="12" t="s">
        <v>7071</v>
      </c>
      <c r="U5961">
        <v>95</v>
      </c>
      <c r="V5961">
        <v>430.10059999999999</v>
      </c>
      <c r="W5961">
        <v>893.81</v>
      </c>
      <c r="X5961">
        <v>0</v>
      </c>
      <c r="Y5961">
        <v>0</v>
      </c>
      <c r="Z5961">
        <v>40859.56</v>
      </c>
      <c r="AA5961">
        <v>41753.370000000003</v>
      </c>
      <c r="AB5961" s="12" t="s">
        <v>5503</v>
      </c>
      <c r="AC5961">
        <v>430.10059999999999</v>
      </c>
      <c r="AD5961">
        <v>1</v>
      </c>
      <c r="AE5961">
        <v>1</v>
      </c>
      <c r="AF5961">
        <v>0</v>
      </c>
      <c r="AG5961">
        <v>40859.56</v>
      </c>
      <c r="AH5961">
        <v>95</v>
      </c>
      <c r="AI5961">
        <v>94</v>
      </c>
      <c r="AJ5961">
        <v>1</v>
      </c>
      <c r="AK5961">
        <v>1</v>
      </c>
      <c r="AL5961">
        <v>1</v>
      </c>
      <c r="AM5961">
        <v>98.95</v>
      </c>
      <c r="AN5961">
        <v>444.1848</v>
      </c>
      <c r="AO5961">
        <v>430.1</v>
      </c>
      <c r="AP5961" s="13">
        <v>45995</v>
      </c>
      <c r="AQ5961">
        <v>0</v>
      </c>
      <c r="AR5961">
        <v>1</v>
      </c>
    </row>
    <row r="5962" spans="1:44" x14ac:dyDescent="0.35">
      <c r="A5962" s="12" t="s">
        <v>7075</v>
      </c>
      <c r="B5962" s="12" t="s">
        <v>1034</v>
      </c>
      <c r="C5962" s="12" t="s">
        <v>1035</v>
      </c>
      <c r="D5962" s="12" t="s">
        <v>64</v>
      </c>
      <c r="E5962" s="12" t="s">
        <v>104</v>
      </c>
      <c r="F5962">
        <v>2</v>
      </c>
      <c r="G5962">
        <v>0</v>
      </c>
      <c r="H5962">
        <v>0</v>
      </c>
      <c r="I5962" s="12" t="s">
        <v>676</v>
      </c>
      <c r="J5962" s="12" t="s">
        <v>677</v>
      </c>
      <c r="K5962" s="12" t="s">
        <v>68</v>
      </c>
      <c r="L5962" s="12" t="s">
        <v>96</v>
      </c>
      <c r="M5962">
        <v>3.57</v>
      </c>
      <c r="N5962" s="12" t="s">
        <v>97</v>
      </c>
      <c r="O5962" s="12" t="s">
        <v>98</v>
      </c>
      <c r="P5962" s="12" t="s">
        <v>72</v>
      </c>
      <c r="Q5962" s="13">
        <v>45964</v>
      </c>
      <c r="R5962" s="13">
        <v>45984</v>
      </c>
      <c r="S5962">
        <v>2025</v>
      </c>
      <c r="T5962" s="12" t="s">
        <v>7071</v>
      </c>
      <c r="U5962">
        <v>526</v>
      </c>
      <c r="V5962">
        <v>9.9461999999999993</v>
      </c>
      <c r="W5962">
        <v>94.16</v>
      </c>
      <c r="X5962">
        <v>0</v>
      </c>
      <c r="Y5962">
        <v>0</v>
      </c>
      <c r="Z5962">
        <v>5231.7</v>
      </c>
      <c r="AA5962">
        <v>5325.86</v>
      </c>
      <c r="AB5962" s="12" t="s">
        <v>5908</v>
      </c>
      <c r="AC5962">
        <v>9.9461999999999993</v>
      </c>
      <c r="AD5962">
        <v>1</v>
      </c>
      <c r="AE5962">
        <v>1</v>
      </c>
      <c r="AF5962">
        <v>0</v>
      </c>
      <c r="AG5962">
        <v>5231.7</v>
      </c>
      <c r="AH5962">
        <v>526</v>
      </c>
      <c r="AI5962">
        <v>519</v>
      </c>
      <c r="AJ5962">
        <v>7</v>
      </c>
      <c r="AK5962">
        <v>1</v>
      </c>
      <c r="AL5962">
        <v>1</v>
      </c>
      <c r="AM5962">
        <v>98.67</v>
      </c>
      <c r="AN5962">
        <v>10.261799999999999</v>
      </c>
      <c r="AO5962">
        <v>69.62</v>
      </c>
      <c r="AP5962" s="13">
        <v>45983</v>
      </c>
      <c r="AQ5962">
        <v>-1</v>
      </c>
      <c r="AR5962">
        <v>1</v>
      </c>
    </row>
    <row r="5963" spans="1:44" x14ac:dyDescent="0.35">
      <c r="A5963" s="12" t="s">
        <v>7076</v>
      </c>
      <c r="B5963" s="12" t="s">
        <v>621</v>
      </c>
      <c r="C5963" s="12" t="s">
        <v>622</v>
      </c>
      <c r="D5963" s="12" t="s">
        <v>103</v>
      </c>
      <c r="E5963" s="12" t="s">
        <v>65</v>
      </c>
      <c r="F5963">
        <v>1</v>
      </c>
      <c r="G5963">
        <v>2</v>
      </c>
      <c r="H5963">
        <v>1</v>
      </c>
      <c r="I5963" s="12" t="s">
        <v>486</v>
      </c>
      <c r="J5963" s="12" t="s">
        <v>487</v>
      </c>
      <c r="K5963" s="12" t="s">
        <v>125</v>
      </c>
      <c r="L5963" s="12" t="s">
        <v>69</v>
      </c>
      <c r="M5963">
        <v>36.86</v>
      </c>
      <c r="N5963" s="12" t="s">
        <v>145</v>
      </c>
      <c r="O5963" s="12" t="s">
        <v>146</v>
      </c>
      <c r="P5963" s="12" t="s">
        <v>109</v>
      </c>
      <c r="Q5963" s="13">
        <v>45964</v>
      </c>
      <c r="R5963" s="13">
        <v>45999</v>
      </c>
      <c r="S5963">
        <v>2025</v>
      </c>
      <c r="T5963" s="12" t="s">
        <v>7071</v>
      </c>
      <c r="U5963">
        <v>123</v>
      </c>
      <c r="V5963">
        <v>200.7516</v>
      </c>
      <c r="W5963">
        <v>545.29</v>
      </c>
      <c r="X5963">
        <v>0</v>
      </c>
      <c r="Y5963">
        <v>0</v>
      </c>
      <c r="Z5963">
        <v>24692.45</v>
      </c>
      <c r="AA5963">
        <v>25237.74</v>
      </c>
      <c r="AB5963" s="12" t="s">
        <v>5123</v>
      </c>
      <c r="AC5963">
        <v>200.7516</v>
      </c>
      <c r="AD5963">
        <v>1</v>
      </c>
      <c r="AE5963">
        <v>1</v>
      </c>
      <c r="AF5963">
        <v>0</v>
      </c>
      <c r="AG5963">
        <v>24692.45</v>
      </c>
      <c r="AH5963">
        <v>123</v>
      </c>
      <c r="AI5963">
        <v>121</v>
      </c>
      <c r="AJ5963">
        <v>2</v>
      </c>
      <c r="AK5963">
        <v>1</v>
      </c>
      <c r="AL5963">
        <v>1</v>
      </c>
      <c r="AM5963">
        <v>98.37</v>
      </c>
      <c r="AN5963">
        <v>208.5763</v>
      </c>
      <c r="AO5963">
        <v>401.5</v>
      </c>
      <c r="AP5963" s="13">
        <v>45998</v>
      </c>
      <c r="AQ5963">
        <v>-1</v>
      </c>
      <c r="AR5963">
        <v>1</v>
      </c>
    </row>
    <row r="5964" spans="1:44" x14ac:dyDescent="0.35">
      <c r="A5964" s="12" t="s">
        <v>7077</v>
      </c>
      <c r="B5964" s="12" t="s">
        <v>249</v>
      </c>
      <c r="C5964" s="12" t="s">
        <v>250</v>
      </c>
      <c r="D5964" s="12" t="s">
        <v>64</v>
      </c>
      <c r="E5964" s="12" t="s">
        <v>65</v>
      </c>
      <c r="F5964">
        <v>2</v>
      </c>
      <c r="G5964">
        <v>3</v>
      </c>
      <c r="H5964">
        <v>0</v>
      </c>
      <c r="I5964" s="12" t="s">
        <v>183</v>
      </c>
      <c r="J5964" s="12" t="s">
        <v>184</v>
      </c>
      <c r="K5964" s="12" t="s">
        <v>133</v>
      </c>
      <c r="L5964" s="12" t="s">
        <v>82</v>
      </c>
      <c r="M5964">
        <v>8.6199999999999992</v>
      </c>
      <c r="N5964" s="12" t="s">
        <v>97</v>
      </c>
      <c r="O5964" s="12" t="s">
        <v>98</v>
      </c>
      <c r="P5964" s="12" t="s">
        <v>72</v>
      </c>
      <c r="Q5964" s="13">
        <v>45964</v>
      </c>
      <c r="R5964" s="13">
        <v>46001</v>
      </c>
      <c r="S5964">
        <v>2025</v>
      </c>
      <c r="T5964" s="12" t="s">
        <v>7071</v>
      </c>
      <c r="U5964">
        <v>905</v>
      </c>
      <c r="V5964">
        <v>9.1478999999999999</v>
      </c>
      <c r="W5964">
        <v>106.24</v>
      </c>
      <c r="X5964">
        <v>0</v>
      </c>
      <c r="Y5964">
        <v>0</v>
      </c>
      <c r="Z5964">
        <v>8278.85</v>
      </c>
      <c r="AA5964">
        <v>8385.09</v>
      </c>
      <c r="AB5964" s="12" t="s">
        <v>5480</v>
      </c>
      <c r="AC5964">
        <v>9.1478999999999999</v>
      </c>
      <c r="AD5964">
        <v>1</v>
      </c>
      <c r="AE5964">
        <v>1</v>
      </c>
      <c r="AF5964">
        <v>0</v>
      </c>
      <c r="AG5964">
        <v>8278.85</v>
      </c>
      <c r="AH5964">
        <v>905</v>
      </c>
      <c r="AI5964">
        <v>898</v>
      </c>
      <c r="AJ5964">
        <v>7</v>
      </c>
      <c r="AK5964">
        <v>1</v>
      </c>
      <c r="AL5964">
        <v>1</v>
      </c>
      <c r="AM5964">
        <v>99.23</v>
      </c>
      <c r="AN5964">
        <v>9.3375000000000004</v>
      </c>
      <c r="AO5964">
        <v>64.040000000000006</v>
      </c>
      <c r="AP5964" s="13">
        <v>46006</v>
      </c>
      <c r="AQ5964">
        <v>5</v>
      </c>
      <c r="AR5964">
        <v>0</v>
      </c>
    </row>
    <row r="5965" spans="1:44" x14ac:dyDescent="0.35">
      <c r="A5965" s="12" t="s">
        <v>7078</v>
      </c>
      <c r="B5965" s="12" t="s">
        <v>876</v>
      </c>
      <c r="C5965" s="12" t="s">
        <v>877</v>
      </c>
      <c r="D5965" s="12" t="s">
        <v>269</v>
      </c>
      <c r="E5965" s="12" t="s">
        <v>142</v>
      </c>
      <c r="F5965">
        <v>3</v>
      </c>
      <c r="G5965">
        <v>11</v>
      </c>
      <c r="H5965">
        <v>0</v>
      </c>
      <c r="I5965" s="12" t="s">
        <v>515</v>
      </c>
      <c r="J5965" s="12" t="s">
        <v>516</v>
      </c>
      <c r="K5965" s="12" t="s">
        <v>68</v>
      </c>
      <c r="L5965" s="12" t="s">
        <v>134</v>
      </c>
      <c r="M5965">
        <v>3.69</v>
      </c>
      <c r="N5965" s="12" t="s">
        <v>135</v>
      </c>
      <c r="O5965" s="12" t="s">
        <v>136</v>
      </c>
      <c r="P5965" s="12" t="s">
        <v>137</v>
      </c>
      <c r="Q5965" s="13">
        <v>45964</v>
      </c>
      <c r="R5965" s="13">
        <v>46010</v>
      </c>
      <c r="S5965">
        <v>2025</v>
      </c>
      <c r="T5965" s="12" t="s">
        <v>7071</v>
      </c>
      <c r="U5965">
        <v>100</v>
      </c>
      <c r="V5965">
        <v>179.24969999999999</v>
      </c>
      <c r="W5965">
        <v>338.78</v>
      </c>
      <c r="X5965">
        <v>623.55999999999995</v>
      </c>
      <c r="Y5965">
        <v>1</v>
      </c>
      <c r="Z5965">
        <v>17924.97</v>
      </c>
      <c r="AA5965">
        <v>18887.310000000001</v>
      </c>
      <c r="AB5965" s="12" t="s">
        <v>5961</v>
      </c>
      <c r="AC5965">
        <v>179.24969999999999</v>
      </c>
      <c r="AD5965">
        <v>1</v>
      </c>
      <c r="AE5965">
        <v>1</v>
      </c>
      <c r="AF5965">
        <v>0</v>
      </c>
      <c r="AG5965">
        <v>17924.97</v>
      </c>
      <c r="AH5965">
        <v>100</v>
      </c>
      <c r="AI5965">
        <v>99</v>
      </c>
      <c r="AJ5965">
        <v>1</v>
      </c>
      <c r="AK5965">
        <v>1</v>
      </c>
      <c r="AL5965">
        <v>1</v>
      </c>
      <c r="AM5965">
        <v>99</v>
      </c>
      <c r="AN5965">
        <v>190.7809</v>
      </c>
      <c r="AO5965">
        <v>179.25</v>
      </c>
      <c r="AP5965" s="13">
        <v>46009</v>
      </c>
      <c r="AQ5965">
        <v>-1</v>
      </c>
      <c r="AR5965">
        <v>1</v>
      </c>
    </row>
    <row r="5966" spans="1:44" x14ac:dyDescent="0.35">
      <c r="A5966" s="12" t="s">
        <v>7079</v>
      </c>
      <c r="B5966" s="12" t="s">
        <v>155</v>
      </c>
      <c r="C5966" s="12" t="s">
        <v>156</v>
      </c>
      <c r="D5966" s="12" t="s">
        <v>130</v>
      </c>
      <c r="E5966" s="12" t="s">
        <v>104</v>
      </c>
      <c r="F5966">
        <v>3</v>
      </c>
      <c r="G5966">
        <v>1</v>
      </c>
      <c r="H5966">
        <v>0</v>
      </c>
      <c r="I5966" s="12" t="s">
        <v>157</v>
      </c>
      <c r="J5966" s="12" t="s">
        <v>158</v>
      </c>
      <c r="K5966" s="12" t="s">
        <v>117</v>
      </c>
      <c r="L5966" s="12" t="s">
        <v>96</v>
      </c>
      <c r="M5966">
        <v>4.72</v>
      </c>
      <c r="N5966" s="12" t="s">
        <v>135</v>
      </c>
      <c r="O5966" s="12" t="s">
        <v>136</v>
      </c>
      <c r="P5966" s="12" t="s">
        <v>137</v>
      </c>
      <c r="Q5966" s="13">
        <v>45964</v>
      </c>
      <c r="R5966" s="13">
        <v>45989</v>
      </c>
      <c r="S5966">
        <v>2025</v>
      </c>
      <c r="T5966" s="12" t="s">
        <v>7071</v>
      </c>
      <c r="U5966">
        <v>114</v>
      </c>
      <c r="V5966">
        <v>185.41139999999999</v>
      </c>
      <c r="W5966">
        <v>507.05</v>
      </c>
      <c r="X5966">
        <v>0</v>
      </c>
      <c r="Y5966">
        <v>0</v>
      </c>
      <c r="Z5966">
        <v>21136.9</v>
      </c>
      <c r="AA5966">
        <v>21643.95</v>
      </c>
      <c r="AB5966" s="12" t="s">
        <v>201</v>
      </c>
      <c r="AD5966">
        <v>0</v>
      </c>
      <c r="AE5966">
        <v>0</v>
      </c>
      <c r="AH5966">
        <v>114</v>
      </c>
      <c r="AI5966">
        <v>113</v>
      </c>
      <c r="AJ5966">
        <v>1</v>
      </c>
      <c r="AK5966">
        <v>1</v>
      </c>
      <c r="AL5966">
        <v>1</v>
      </c>
      <c r="AM5966">
        <v>99.12</v>
      </c>
      <c r="AN5966">
        <v>191.5394</v>
      </c>
      <c r="AO5966">
        <v>185.41</v>
      </c>
      <c r="AP5966" s="13">
        <v>45999</v>
      </c>
      <c r="AQ5966">
        <v>10</v>
      </c>
      <c r="AR5966">
        <v>0</v>
      </c>
    </row>
    <row r="5967" spans="1:44" x14ac:dyDescent="0.35">
      <c r="A5967" s="12" t="s">
        <v>7080</v>
      </c>
      <c r="B5967" s="12" t="s">
        <v>1179</v>
      </c>
      <c r="C5967" s="12" t="s">
        <v>1180</v>
      </c>
      <c r="D5967" s="12" t="s">
        <v>122</v>
      </c>
      <c r="E5967" s="12" t="s">
        <v>142</v>
      </c>
      <c r="F5967">
        <v>1</v>
      </c>
      <c r="G5967">
        <v>8</v>
      </c>
      <c r="H5967">
        <v>1</v>
      </c>
      <c r="I5967" s="12" t="s">
        <v>143</v>
      </c>
      <c r="J5967" s="12" t="s">
        <v>144</v>
      </c>
      <c r="K5967" s="12" t="s">
        <v>133</v>
      </c>
      <c r="L5967" s="12" t="s">
        <v>96</v>
      </c>
      <c r="M5967">
        <v>5.43</v>
      </c>
      <c r="N5967" s="12" t="s">
        <v>97</v>
      </c>
      <c r="O5967" s="12" t="s">
        <v>98</v>
      </c>
      <c r="P5967" s="12" t="s">
        <v>72</v>
      </c>
      <c r="Q5967" s="13">
        <v>45964</v>
      </c>
      <c r="R5967" s="13">
        <v>46013</v>
      </c>
      <c r="S5967">
        <v>2025</v>
      </c>
      <c r="T5967" s="12" t="s">
        <v>7071</v>
      </c>
      <c r="U5967">
        <v>1654</v>
      </c>
      <c r="V5967">
        <v>52.209899999999998</v>
      </c>
      <c r="W5967">
        <v>1421.92</v>
      </c>
      <c r="X5967">
        <v>0</v>
      </c>
      <c r="Y5967">
        <v>0</v>
      </c>
      <c r="Z5967">
        <v>86355.17</v>
      </c>
      <c r="AA5967">
        <v>87777.09</v>
      </c>
      <c r="AB5967" s="12" t="s">
        <v>5533</v>
      </c>
      <c r="AC5967">
        <v>52.209899999999998</v>
      </c>
      <c r="AD5967">
        <v>1</v>
      </c>
      <c r="AE5967">
        <v>1</v>
      </c>
      <c r="AF5967">
        <v>0</v>
      </c>
      <c r="AG5967">
        <v>86355.17</v>
      </c>
      <c r="AH5967">
        <v>1654</v>
      </c>
      <c r="AI5967">
        <v>1638</v>
      </c>
      <c r="AJ5967">
        <v>16</v>
      </c>
      <c r="AK5967">
        <v>1</v>
      </c>
      <c r="AL5967">
        <v>1</v>
      </c>
      <c r="AM5967">
        <v>99.03</v>
      </c>
      <c r="AN5967">
        <v>53.588000000000001</v>
      </c>
      <c r="AO5967">
        <v>835.36</v>
      </c>
      <c r="AP5967" s="13">
        <v>46013</v>
      </c>
      <c r="AQ5967">
        <v>0</v>
      </c>
      <c r="AR5967">
        <v>1</v>
      </c>
    </row>
    <row r="5968" spans="1:44" x14ac:dyDescent="0.35">
      <c r="A5968" s="12" t="s">
        <v>7081</v>
      </c>
      <c r="B5968" s="12" t="s">
        <v>494</v>
      </c>
      <c r="C5968" s="12" t="s">
        <v>495</v>
      </c>
      <c r="D5968" s="12" t="s">
        <v>175</v>
      </c>
      <c r="E5968" s="12" t="s">
        <v>65</v>
      </c>
      <c r="F5968">
        <v>2</v>
      </c>
      <c r="G5968">
        <v>3</v>
      </c>
      <c r="H5968">
        <v>0</v>
      </c>
      <c r="I5968" s="12" t="s">
        <v>275</v>
      </c>
      <c r="J5968" s="12" t="s">
        <v>276</v>
      </c>
      <c r="K5968" s="12" t="s">
        <v>89</v>
      </c>
      <c r="L5968" s="12" t="s">
        <v>82</v>
      </c>
      <c r="M5968">
        <v>14.26</v>
      </c>
      <c r="N5968" s="12" t="s">
        <v>145</v>
      </c>
      <c r="O5968" s="12" t="s">
        <v>146</v>
      </c>
      <c r="P5968" s="12" t="s">
        <v>109</v>
      </c>
      <c r="Q5968" s="13">
        <v>45964</v>
      </c>
      <c r="R5968" s="13">
        <v>45995</v>
      </c>
      <c r="S5968">
        <v>2025</v>
      </c>
      <c r="T5968" s="12" t="s">
        <v>7071</v>
      </c>
      <c r="U5968">
        <v>91</v>
      </c>
      <c r="V5968">
        <v>179.28049999999999</v>
      </c>
      <c r="W5968">
        <v>329.11</v>
      </c>
      <c r="X5968">
        <v>0</v>
      </c>
      <c r="Y5968">
        <v>0</v>
      </c>
      <c r="Z5968">
        <v>16314.53</v>
      </c>
      <c r="AA5968">
        <v>16643.64</v>
      </c>
      <c r="AB5968" s="12" t="s">
        <v>201</v>
      </c>
      <c r="AD5968">
        <v>0</v>
      </c>
      <c r="AE5968">
        <v>0</v>
      </c>
      <c r="AH5968">
        <v>91</v>
      </c>
      <c r="AI5968">
        <v>90</v>
      </c>
      <c r="AJ5968">
        <v>1</v>
      </c>
      <c r="AK5968">
        <v>1</v>
      </c>
      <c r="AL5968">
        <v>1</v>
      </c>
      <c r="AM5968">
        <v>98.9</v>
      </c>
      <c r="AN5968">
        <v>184.92930000000001</v>
      </c>
      <c r="AO5968">
        <v>179.28</v>
      </c>
      <c r="AP5968" s="13">
        <v>45995</v>
      </c>
      <c r="AQ5968">
        <v>0</v>
      </c>
      <c r="AR5968">
        <v>1</v>
      </c>
    </row>
    <row r="5969" spans="1:44" x14ac:dyDescent="0.35">
      <c r="A5969" s="12" t="s">
        <v>7082</v>
      </c>
      <c r="B5969" s="12" t="s">
        <v>428</v>
      </c>
      <c r="C5969" s="12" t="s">
        <v>429</v>
      </c>
      <c r="D5969" s="12" t="s">
        <v>64</v>
      </c>
      <c r="E5969" s="12" t="s">
        <v>65</v>
      </c>
      <c r="F5969">
        <v>3</v>
      </c>
      <c r="G5969">
        <v>4</v>
      </c>
      <c r="H5969">
        <v>0</v>
      </c>
      <c r="I5969" s="12" t="s">
        <v>380</v>
      </c>
      <c r="J5969" s="12" t="s">
        <v>381</v>
      </c>
      <c r="K5969" s="12" t="s">
        <v>89</v>
      </c>
      <c r="L5969" s="12" t="s">
        <v>96</v>
      </c>
      <c r="M5969">
        <v>10.210000000000001</v>
      </c>
      <c r="N5969" s="12" t="s">
        <v>70</v>
      </c>
      <c r="O5969" s="12" t="s">
        <v>71</v>
      </c>
      <c r="P5969" s="12" t="s">
        <v>72</v>
      </c>
      <c r="Q5969" s="13">
        <v>45964</v>
      </c>
      <c r="R5969" s="13">
        <v>46000</v>
      </c>
      <c r="S5969">
        <v>2025</v>
      </c>
      <c r="T5969" s="12" t="s">
        <v>7071</v>
      </c>
      <c r="U5969">
        <v>874</v>
      </c>
      <c r="V5969">
        <v>13.606999999999999</v>
      </c>
      <c r="W5969">
        <v>308.14999999999998</v>
      </c>
      <c r="X5969">
        <v>0</v>
      </c>
      <c r="Y5969">
        <v>0</v>
      </c>
      <c r="Z5969">
        <v>11892.52</v>
      </c>
      <c r="AA5969">
        <v>12200.67</v>
      </c>
      <c r="AB5969" s="12" t="s">
        <v>5501</v>
      </c>
      <c r="AC5969">
        <v>12.879099999999999</v>
      </c>
      <c r="AD5969">
        <v>1</v>
      </c>
      <c r="AE5969">
        <v>1</v>
      </c>
      <c r="AF5969">
        <v>636.17999999999995</v>
      </c>
      <c r="AG5969">
        <v>11256.33</v>
      </c>
      <c r="AH5969">
        <v>874</v>
      </c>
      <c r="AI5969">
        <v>869</v>
      </c>
      <c r="AJ5969">
        <v>5</v>
      </c>
      <c r="AK5969">
        <v>1</v>
      </c>
      <c r="AL5969">
        <v>1</v>
      </c>
      <c r="AM5969">
        <v>99.43</v>
      </c>
      <c r="AN5969">
        <v>14.039899999999999</v>
      </c>
      <c r="AO5969">
        <v>68.040000000000006</v>
      </c>
      <c r="AP5969" s="13">
        <v>45999</v>
      </c>
      <c r="AQ5969">
        <v>-1</v>
      </c>
      <c r="AR5969">
        <v>1</v>
      </c>
    </row>
    <row r="5970" spans="1:44" x14ac:dyDescent="0.35">
      <c r="A5970" s="12" t="s">
        <v>7083</v>
      </c>
      <c r="B5970" s="12" t="s">
        <v>1433</v>
      </c>
      <c r="C5970" s="12" t="s">
        <v>1434</v>
      </c>
      <c r="D5970" s="12" t="s">
        <v>269</v>
      </c>
      <c r="E5970" s="12" t="s">
        <v>65</v>
      </c>
      <c r="F5970">
        <v>3</v>
      </c>
      <c r="G5970">
        <v>5</v>
      </c>
      <c r="H5970">
        <v>0</v>
      </c>
      <c r="I5970" s="12" t="s">
        <v>223</v>
      </c>
      <c r="J5970" s="12" t="s">
        <v>224</v>
      </c>
      <c r="K5970" s="12" t="s">
        <v>81</v>
      </c>
      <c r="L5970" s="12" t="s">
        <v>134</v>
      </c>
      <c r="M5970">
        <v>2.4900000000000002</v>
      </c>
      <c r="N5970" s="12" t="s">
        <v>135</v>
      </c>
      <c r="O5970" s="12" t="s">
        <v>136</v>
      </c>
      <c r="P5970" s="12" t="s">
        <v>137</v>
      </c>
      <c r="Q5970" s="13">
        <v>45964</v>
      </c>
      <c r="R5970" s="13">
        <v>45998</v>
      </c>
      <c r="S5970">
        <v>2025</v>
      </c>
      <c r="T5970" s="12" t="s">
        <v>7071</v>
      </c>
      <c r="U5970">
        <v>118</v>
      </c>
      <c r="V5970">
        <v>496.68369999999999</v>
      </c>
      <c r="W5970">
        <v>1317.46</v>
      </c>
      <c r="X5970">
        <v>1960.26</v>
      </c>
      <c r="Y5970">
        <v>1</v>
      </c>
      <c r="Z5970">
        <v>58608.68</v>
      </c>
      <c r="AA5970">
        <v>61886.400000000001</v>
      </c>
      <c r="AB5970" s="12" t="s">
        <v>201</v>
      </c>
      <c r="AD5970">
        <v>0</v>
      </c>
      <c r="AE5970">
        <v>0</v>
      </c>
      <c r="AH5970">
        <v>118</v>
      </c>
      <c r="AI5970">
        <v>117</v>
      </c>
      <c r="AJ5970">
        <v>1</v>
      </c>
      <c r="AK5970">
        <v>1</v>
      </c>
      <c r="AL5970">
        <v>1</v>
      </c>
      <c r="AM5970">
        <v>99.15</v>
      </c>
      <c r="AN5970">
        <v>528.94359999999995</v>
      </c>
      <c r="AO5970">
        <v>496.68</v>
      </c>
      <c r="AP5970" s="13">
        <v>45996</v>
      </c>
      <c r="AQ5970">
        <v>-2</v>
      </c>
      <c r="AR5970">
        <v>1</v>
      </c>
    </row>
    <row r="5971" spans="1:44" x14ac:dyDescent="0.35">
      <c r="A5971" s="12" t="s">
        <v>7084</v>
      </c>
      <c r="B5971" s="12" t="s">
        <v>537</v>
      </c>
      <c r="C5971" s="12" t="s">
        <v>538</v>
      </c>
      <c r="D5971" s="12" t="s">
        <v>103</v>
      </c>
      <c r="E5971" s="12" t="s">
        <v>104</v>
      </c>
      <c r="F5971">
        <v>3</v>
      </c>
      <c r="G5971">
        <v>0</v>
      </c>
      <c r="H5971">
        <v>0</v>
      </c>
      <c r="I5971" s="12" t="s">
        <v>380</v>
      </c>
      <c r="J5971" s="12" t="s">
        <v>381</v>
      </c>
      <c r="K5971" s="12" t="s">
        <v>89</v>
      </c>
      <c r="L5971" s="12" t="s">
        <v>96</v>
      </c>
      <c r="M5971">
        <v>10.210000000000001</v>
      </c>
      <c r="N5971" s="12" t="s">
        <v>145</v>
      </c>
      <c r="O5971" s="12" t="s">
        <v>146</v>
      </c>
      <c r="P5971" s="12" t="s">
        <v>109</v>
      </c>
      <c r="Q5971" s="13">
        <v>45965</v>
      </c>
      <c r="R5971" s="13">
        <v>45993</v>
      </c>
      <c r="S5971">
        <v>2025</v>
      </c>
      <c r="T5971" s="12" t="s">
        <v>7071</v>
      </c>
      <c r="U5971">
        <v>137</v>
      </c>
      <c r="V5971">
        <v>254.01169999999999</v>
      </c>
      <c r="W5971">
        <v>442.41</v>
      </c>
      <c r="X5971">
        <v>0</v>
      </c>
      <c r="Y5971">
        <v>0</v>
      </c>
      <c r="Z5971">
        <v>34799.599999999999</v>
      </c>
      <c r="AA5971">
        <v>35242.01</v>
      </c>
      <c r="AB5971" s="12" t="s">
        <v>6070</v>
      </c>
      <c r="AC5971">
        <v>242.47130000000001</v>
      </c>
      <c r="AD5971">
        <v>1</v>
      </c>
      <c r="AE5971">
        <v>1</v>
      </c>
      <c r="AF5971">
        <v>1581.03</v>
      </c>
      <c r="AG5971">
        <v>33218.57</v>
      </c>
      <c r="AH5971">
        <v>137</v>
      </c>
      <c r="AI5971">
        <v>136</v>
      </c>
      <c r="AJ5971">
        <v>1</v>
      </c>
      <c r="AK5971">
        <v>1</v>
      </c>
      <c r="AL5971">
        <v>1</v>
      </c>
      <c r="AM5971">
        <v>99.27</v>
      </c>
      <c r="AN5971">
        <v>259.13240000000002</v>
      </c>
      <c r="AO5971">
        <v>254.01</v>
      </c>
      <c r="AP5971" s="13">
        <v>45990</v>
      </c>
      <c r="AQ5971">
        <v>-3</v>
      </c>
      <c r="AR5971">
        <v>1</v>
      </c>
    </row>
    <row r="5972" spans="1:44" x14ac:dyDescent="0.35">
      <c r="A5972" s="12" t="s">
        <v>7085</v>
      </c>
      <c r="B5972" s="12" t="s">
        <v>544</v>
      </c>
      <c r="C5972" s="12" t="s">
        <v>545</v>
      </c>
      <c r="D5972" s="12" t="s">
        <v>175</v>
      </c>
      <c r="E5972" s="12" t="s">
        <v>65</v>
      </c>
      <c r="F5972">
        <v>3</v>
      </c>
      <c r="G5972">
        <v>5</v>
      </c>
      <c r="H5972">
        <v>0</v>
      </c>
      <c r="I5972" s="12" t="s">
        <v>66</v>
      </c>
      <c r="J5972" s="12" t="s">
        <v>67</v>
      </c>
      <c r="K5972" s="12" t="s">
        <v>68</v>
      </c>
      <c r="L5972" s="12" t="s">
        <v>69</v>
      </c>
      <c r="M5972">
        <v>17.66</v>
      </c>
      <c r="N5972" s="12" t="s">
        <v>107</v>
      </c>
      <c r="O5972" s="12" t="s">
        <v>108</v>
      </c>
      <c r="P5972" s="12" t="s">
        <v>109</v>
      </c>
      <c r="Q5972" s="13">
        <v>45965</v>
      </c>
      <c r="R5972" s="13">
        <v>46002</v>
      </c>
      <c r="S5972">
        <v>2025</v>
      </c>
      <c r="T5972" s="12" t="s">
        <v>7071</v>
      </c>
      <c r="U5972">
        <v>139</v>
      </c>
      <c r="V5972">
        <v>155.82159999999999</v>
      </c>
      <c r="W5972">
        <v>366.27</v>
      </c>
      <c r="X5972">
        <v>0</v>
      </c>
      <c r="Y5972">
        <v>0</v>
      </c>
      <c r="Z5972">
        <v>21659.200000000001</v>
      </c>
      <c r="AA5972">
        <v>22025.47</v>
      </c>
      <c r="AB5972" s="12" t="s">
        <v>201</v>
      </c>
      <c r="AD5972">
        <v>0</v>
      </c>
      <c r="AE5972">
        <v>0</v>
      </c>
      <c r="AH5972">
        <v>139</v>
      </c>
      <c r="AI5972">
        <v>137</v>
      </c>
      <c r="AJ5972">
        <v>2</v>
      </c>
      <c r="AK5972">
        <v>1</v>
      </c>
      <c r="AL5972">
        <v>1</v>
      </c>
      <c r="AM5972">
        <v>98.56</v>
      </c>
      <c r="AN5972">
        <v>160.76990000000001</v>
      </c>
      <c r="AO5972">
        <v>311.64</v>
      </c>
      <c r="AP5972" s="13">
        <v>46000</v>
      </c>
      <c r="AQ5972">
        <v>-2</v>
      </c>
      <c r="AR5972">
        <v>1</v>
      </c>
    </row>
    <row r="5973" spans="1:44" x14ac:dyDescent="0.35">
      <c r="A5973" s="12" t="s">
        <v>7086</v>
      </c>
      <c r="B5973" s="12" t="s">
        <v>437</v>
      </c>
      <c r="C5973" s="12" t="s">
        <v>438</v>
      </c>
      <c r="D5973" s="12" t="s">
        <v>269</v>
      </c>
      <c r="E5973" s="12" t="s">
        <v>65</v>
      </c>
      <c r="F5973">
        <v>2</v>
      </c>
      <c r="G5973">
        <v>4</v>
      </c>
      <c r="H5973">
        <v>0</v>
      </c>
      <c r="I5973" s="12" t="s">
        <v>115</v>
      </c>
      <c r="J5973" s="12" t="s">
        <v>116</v>
      </c>
      <c r="K5973" s="12" t="s">
        <v>117</v>
      </c>
      <c r="L5973" s="12" t="s">
        <v>82</v>
      </c>
      <c r="M5973">
        <v>17.170000000000002</v>
      </c>
      <c r="N5973" s="12" t="s">
        <v>159</v>
      </c>
      <c r="O5973" s="12" t="s">
        <v>160</v>
      </c>
      <c r="P5973" s="12" t="s">
        <v>137</v>
      </c>
      <c r="Q5973" s="13">
        <v>45965</v>
      </c>
      <c r="R5973" s="13">
        <v>45988</v>
      </c>
      <c r="S5973">
        <v>2025</v>
      </c>
      <c r="T5973" s="12" t="s">
        <v>7071</v>
      </c>
      <c r="U5973">
        <v>26</v>
      </c>
      <c r="V5973">
        <v>409.1377</v>
      </c>
      <c r="W5973">
        <v>139</v>
      </c>
      <c r="X5973">
        <v>0</v>
      </c>
      <c r="Y5973">
        <v>0</v>
      </c>
      <c r="Z5973">
        <v>10637.58</v>
      </c>
      <c r="AA5973">
        <v>10776.58</v>
      </c>
      <c r="AB5973" s="12" t="s">
        <v>5505</v>
      </c>
      <c r="AC5973">
        <v>409.1377</v>
      </c>
      <c r="AD5973">
        <v>1</v>
      </c>
      <c r="AE5973">
        <v>1</v>
      </c>
      <c r="AF5973">
        <v>0</v>
      </c>
      <c r="AG5973">
        <v>10637.58</v>
      </c>
      <c r="AH5973">
        <v>26</v>
      </c>
      <c r="AI5973">
        <v>26</v>
      </c>
      <c r="AJ5973">
        <v>0</v>
      </c>
      <c r="AK5973">
        <v>1</v>
      </c>
      <c r="AL5973">
        <v>1</v>
      </c>
      <c r="AM5973">
        <v>100</v>
      </c>
      <c r="AN5973">
        <v>414.48390000000001</v>
      </c>
      <c r="AO5973">
        <v>0</v>
      </c>
      <c r="AP5973" s="13">
        <v>45986</v>
      </c>
      <c r="AQ5973">
        <v>-2</v>
      </c>
      <c r="AR5973">
        <v>1</v>
      </c>
    </row>
    <row r="5974" spans="1:44" x14ac:dyDescent="0.35">
      <c r="A5974" s="12" t="s">
        <v>7087</v>
      </c>
      <c r="B5974" s="12" t="s">
        <v>843</v>
      </c>
      <c r="C5974" s="12" t="s">
        <v>844</v>
      </c>
      <c r="D5974" s="12" t="s">
        <v>175</v>
      </c>
      <c r="E5974" s="12" t="s">
        <v>65</v>
      </c>
      <c r="F5974">
        <v>3</v>
      </c>
      <c r="G5974">
        <v>5</v>
      </c>
      <c r="H5974">
        <v>0</v>
      </c>
      <c r="I5974" s="12" t="s">
        <v>676</v>
      </c>
      <c r="J5974" s="12" t="s">
        <v>677</v>
      </c>
      <c r="K5974" s="12" t="s">
        <v>68</v>
      </c>
      <c r="L5974" s="12" t="s">
        <v>96</v>
      </c>
      <c r="M5974">
        <v>3.57</v>
      </c>
      <c r="N5974" s="12" t="s">
        <v>145</v>
      </c>
      <c r="O5974" s="12" t="s">
        <v>146</v>
      </c>
      <c r="P5974" s="12" t="s">
        <v>109</v>
      </c>
      <c r="Q5974" s="13">
        <v>45965</v>
      </c>
      <c r="R5974" s="13">
        <v>45992</v>
      </c>
      <c r="S5974">
        <v>2025</v>
      </c>
      <c r="T5974" s="12" t="s">
        <v>7071</v>
      </c>
      <c r="U5974">
        <v>56</v>
      </c>
      <c r="V5974">
        <v>254.21799999999999</v>
      </c>
      <c r="W5974">
        <v>145.6</v>
      </c>
      <c r="X5974">
        <v>0</v>
      </c>
      <c r="Y5974">
        <v>0</v>
      </c>
      <c r="Z5974">
        <v>14236.21</v>
      </c>
      <c r="AA5974">
        <v>14381.81</v>
      </c>
      <c r="AB5974" s="12" t="s">
        <v>201</v>
      </c>
      <c r="AD5974">
        <v>0</v>
      </c>
      <c r="AE5974">
        <v>0</v>
      </c>
      <c r="AH5974">
        <v>56</v>
      </c>
      <c r="AI5974">
        <v>55</v>
      </c>
      <c r="AJ5974">
        <v>1</v>
      </c>
      <c r="AK5974">
        <v>1</v>
      </c>
      <c r="AL5974">
        <v>1</v>
      </c>
      <c r="AM5974">
        <v>98.21</v>
      </c>
      <c r="AN5974">
        <v>261.48739999999998</v>
      </c>
      <c r="AO5974">
        <v>254.22</v>
      </c>
      <c r="AP5974" s="13">
        <v>45989</v>
      </c>
      <c r="AQ5974">
        <v>-3</v>
      </c>
      <c r="AR5974">
        <v>1</v>
      </c>
    </row>
    <row r="5975" spans="1:44" x14ac:dyDescent="0.35">
      <c r="A5975" s="12" t="s">
        <v>7088</v>
      </c>
      <c r="B5975" s="12" t="s">
        <v>412</v>
      </c>
      <c r="C5975" s="12" t="s">
        <v>413</v>
      </c>
      <c r="D5975" s="12" t="s">
        <v>269</v>
      </c>
      <c r="E5975" s="12" t="s">
        <v>65</v>
      </c>
      <c r="F5975">
        <v>1</v>
      </c>
      <c r="G5975">
        <v>2</v>
      </c>
      <c r="H5975">
        <v>1</v>
      </c>
      <c r="I5975" s="12" t="s">
        <v>233</v>
      </c>
      <c r="J5975" s="12" t="s">
        <v>234</v>
      </c>
      <c r="K5975" s="12" t="s">
        <v>125</v>
      </c>
      <c r="L5975" s="12" t="s">
        <v>96</v>
      </c>
      <c r="M5975">
        <v>3.73</v>
      </c>
      <c r="N5975" s="12" t="s">
        <v>159</v>
      </c>
      <c r="O5975" s="12" t="s">
        <v>160</v>
      </c>
      <c r="P5975" s="12" t="s">
        <v>137</v>
      </c>
      <c r="Q5975" s="13">
        <v>45965</v>
      </c>
      <c r="R5975" s="13">
        <v>46001</v>
      </c>
      <c r="S5975">
        <v>2025</v>
      </c>
      <c r="T5975" s="12" t="s">
        <v>7071</v>
      </c>
      <c r="U5975">
        <v>133</v>
      </c>
      <c r="V5975">
        <v>103.87350000000001</v>
      </c>
      <c r="W5975">
        <v>206.19</v>
      </c>
      <c r="X5975">
        <v>0</v>
      </c>
      <c r="Y5975">
        <v>0</v>
      </c>
      <c r="Z5975">
        <v>13815.18</v>
      </c>
      <c r="AA5975">
        <v>14021.37</v>
      </c>
      <c r="AB5975" s="12" t="s">
        <v>5424</v>
      </c>
      <c r="AC5975">
        <v>103.87350000000001</v>
      </c>
      <c r="AD5975">
        <v>1</v>
      </c>
      <c r="AE5975">
        <v>1</v>
      </c>
      <c r="AF5975">
        <v>0</v>
      </c>
      <c r="AG5975">
        <v>13815.18</v>
      </c>
      <c r="AH5975">
        <v>133</v>
      </c>
      <c r="AI5975">
        <v>132</v>
      </c>
      <c r="AJ5975">
        <v>1</v>
      </c>
      <c r="AK5975">
        <v>1</v>
      </c>
      <c r="AL5975">
        <v>1</v>
      </c>
      <c r="AM5975">
        <v>99.25</v>
      </c>
      <c r="AN5975">
        <v>106.2225</v>
      </c>
      <c r="AO5975">
        <v>103.87</v>
      </c>
      <c r="AP5975" s="13">
        <v>46000</v>
      </c>
      <c r="AQ5975">
        <v>-1</v>
      </c>
      <c r="AR5975">
        <v>1</v>
      </c>
    </row>
    <row r="5976" spans="1:44" x14ac:dyDescent="0.35">
      <c r="A5976" s="12" t="s">
        <v>7089</v>
      </c>
      <c r="B5976" s="12" t="s">
        <v>609</v>
      </c>
      <c r="C5976" s="12" t="s">
        <v>610</v>
      </c>
      <c r="D5976" s="12" t="s">
        <v>64</v>
      </c>
      <c r="E5976" s="12" t="s">
        <v>104</v>
      </c>
      <c r="F5976">
        <v>1</v>
      </c>
      <c r="G5976">
        <v>0</v>
      </c>
      <c r="H5976">
        <v>1</v>
      </c>
      <c r="I5976" s="12" t="s">
        <v>227</v>
      </c>
      <c r="J5976" s="12" t="s">
        <v>228</v>
      </c>
      <c r="K5976" s="12" t="s">
        <v>89</v>
      </c>
      <c r="L5976" s="12" t="s">
        <v>96</v>
      </c>
      <c r="M5976">
        <v>9.15</v>
      </c>
      <c r="N5976" s="12" t="s">
        <v>97</v>
      </c>
      <c r="O5976" s="12" t="s">
        <v>98</v>
      </c>
      <c r="P5976" s="12" t="s">
        <v>72</v>
      </c>
      <c r="Q5976" s="13">
        <v>45965</v>
      </c>
      <c r="R5976" s="13">
        <v>45987</v>
      </c>
      <c r="S5976">
        <v>2025</v>
      </c>
      <c r="T5976" s="12" t="s">
        <v>7071</v>
      </c>
      <c r="U5976">
        <v>607</v>
      </c>
      <c r="V5976">
        <v>20.683900000000001</v>
      </c>
      <c r="W5976">
        <v>270.68</v>
      </c>
      <c r="X5976">
        <v>0</v>
      </c>
      <c r="Y5976">
        <v>0</v>
      </c>
      <c r="Z5976">
        <v>12555.13</v>
      </c>
      <c r="AA5976">
        <v>12825.81</v>
      </c>
      <c r="AB5976" s="12" t="s">
        <v>5573</v>
      </c>
      <c r="AC5976">
        <v>20.683900000000001</v>
      </c>
      <c r="AD5976">
        <v>1</v>
      </c>
      <c r="AE5976">
        <v>1</v>
      </c>
      <c r="AF5976">
        <v>0</v>
      </c>
      <c r="AG5976">
        <v>12555.13</v>
      </c>
      <c r="AH5976">
        <v>607</v>
      </c>
      <c r="AI5976">
        <v>604</v>
      </c>
      <c r="AJ5976">
        <v>3</v>
      </c>
      <c r="AK5976">
        <v>1</v>
      </c>
      <c r="AL5976">
        <v>1</v>
      </c>
      <c r="AM5976">
        <v>99.51</v>
      </c>
      <c r="AN5976">
        <v>21.2348</v>
      </c>
      <c r="AO5976">
        <v>62.05</v>
      </c>
      <c r="AP5976" s="13">
        <v>45984</v>
      </c>
      <c r="AQ5976">
        <v>-3</v>
      </c>
      <c r="AR5976">
        <v>1</v>
      </c>
    </row>
    <row r="5977" spans="1:44" x14ac:dyDescent="0.35">
      <c r="A5977" s="12" t="s">
        <v>7090</v>
      </c>
      <c r="B5977" s="12" t="s">
        <v>490</v>
      </c>
      <c r="C5977" s="12" t="s">
        <v>491</v>
      </c>
      <c r="D5977" s="12" t="s">
        <v>130</v>
      </c>
      <c r="E5977" s="12" t="s">
        <v>104</v>
      </c>
      <c r="F5977">
        <v>3</v>
      </c>
      <c r="G5977">
        <v>1</v>
      </c>
      <c r="H5977">
        <v>0</v>
      </c>
      <c r="I5977" s="12" t="s">
        <v>176</v>
      </c>
      <c r="J5977" s="12" t="s">
        <v>177</v>
      </c>
      <c r="K5977" s="12" t="s">
        <v>125</v>
      </c>
      <c r="L5977" s="12" t="s">
        <v>134</v>
      </c>
      <c r="M5977">
        <v>1.75</v>
      </c>
      <c r="N5977" s="12" t="s">
        <v>135</v>
      </c>
      <c r="O5977" s="12" t="s">
        <v>136</v>
      </c>
      <c r="P5977" s="12" t="s">
        <v>137</v>
      </c>
      <c r="Q5977" s="13">
        <v>45965</v>
      </c>
      <c r="R5977" s="13">
        <v>45994</v>
      </c>
      <c r="S5977">
        <v>2025</v>
      </c>
      <c r="T5977" s="12" t="s">
        <v>7071</v>
      </c>
      <c r="U5977">
        <v>144</v>
      </c>
      <c r="V5977">
        <v>234.9982</v>
      </c>
      <c r="W5977">
        <v>448.48</v>
      </c>
      <c r="X5977">
        <v>0</v>
      </c>
      <c r="Y5977">
        <v>0</v>
      </c>
      <c r="Z5977">
        <v>33839.74</v>
      </c>
      <c r="AA5977">
        <v>34288.22</v>
      </c>
      <c r="AB5977" s="12" t="s">
        <v>5760</v>
      </c>
      <c r="AC5977">
        <v>234.9982</v>
      </c>
      <c r="AD5977">
        <v>1</v>
      </c>
      <c r="AE5977">
        <v>1</v>
      </c>
      <c r="AF5977">
        <v>0</v>
      </c>
      <c r="AG5977">
        <v>33839.74</v>
      </c>
      <c r="AH5977">
        <v>144</v>
      </c>
      <c r="AI5977">
        <v>143</v>
      </c>
      <c r="AJ5977">
        <v>1</v>
      </c>
      <c r="AK5977">
        <v>1</v>
      </c>
      <c r="AL5977">
        <v>1</v>
      </c>
      <c r="AM5977">
        <v>99.31</v>
      </c>
      <c r="AN5977">
        <v>239.77780000000001</v>
      </c>
      <c r="AO5977">
        <v>235</v>
      </c>
      <c r="AP5977" s="13">
        <v>45992</v>
      </c>
      <c r="AQ5977">
        <v>-2</v>
      </c>
      <c r="AR5977">
        <v>1</v>
      </c>
    </row>
    <row r="5978" spans="1:44" x14ac:dyDescent="0.35">
      <c r="A5978" s="12" t="s">
        <v>7091</v>
      </c>
      <c r="B5978" s="12" t="s">
        <v>736</v>
      </c>
      <c r="C5978" s="12" t="s">
        <v>737</v>
      </c>
      <c r="D5978" s="12" t="s">
        <v>64</v>
      </c>
      <c r="E5978" s="12" t="s">
        <v>104</v>
      </c>
      <c r="F5978">
        <v>3</v>
      </c>
      <c r="G5978">
        <v>1</v>
      </c>
      <c r="H5978">
        <v>0</v>
      </c>
      <c r="I5978" s="12" t="s">
        <v>94</v>
      </c>
      <c r="J5978" s="12" t="s">
        <v>95</v>
      </c>
      <c r="K5978" s="12" t="s">
        <v>81</v>
      </c>
      <c r="L5978" s="12" t="s">
        <v>96</v>
      </c>
      <c r="M5978">
        <v>4.8099999999999996</v>
      </c>
      <c r="N5978" s="12" t="s">
        <v>97</v>
      </c>
      <c r="O5978" s="12" t="s">
        <v>98</v>
      </c>
      <c r="P5978" s="12" t="s">
        <v>72</v>
      </c>
      <c r="Q5978" s="13">
        <v>45965</v>
      </c>
      <c r="R5978" s="13">
        <v>45982</v>
      </c>
      <c r="S5978">
        <v>2025</v>
      </c>
      <c r="T5978" s="12" t="s">
        <v>7071</v>
      </c>
      <c r="U5978">
        <v>376</v>
      </c>
      <c r="V5978">
        <v>21.2288</v>
      </c>
      <c r="W5978">
        <v>118.88</v>
      </c>
      <c r="X5978">
        <v>0</v>
      </c>
      <c r="Y5978">
        <v>0</v>
      </c>
      <c r="Z5978">
        <v>7982.03</v>
      </c>
      <c r="AA5978">
        <v>8100.91</v>
      </c>
      <c r="AB5978" s="12" t="s">
        <v>5992</v>
      </c>
      <c r="AC5978">
        <v>21.2288</v>
      </c>
      <c r="AD5978">
        <v>1</v>
      </c>
      <c r="AE5978">
        <v>1</v>
      </c>
      <c r="AF5978">
        <v>0</v>
      </c>
      <c r="AG5978">
        <v>7982.03</v>
      </c>
      <c r="AH5978">
        <v>376</v>
      </c>
      <c r="AI5978">
        <v>374</v>
      </c>
      <c r="AJ5978">
        <v>2</v>
      </c>
      <c r="AK5978">
        <v>1</v>
      </c>
      <c r="AL5978">
        <v>1</v>
      </c>
      <c r="AM5978">
        <v>99.47</v>
      </c>
      <c r="AN5978">
        <v>21.6602</v>
      </c>
      <c r="AO5978">
        <v>42.46</v>
      </c>
      <c r="AP5978" s="13">
        <v>45978</v>
      </c>
      <c r="AQ5978">
        <v>-4</v>
      </c>
      <c r="AR5978">
        <v>1</v>
      </c>
    </row>
    <row r="5979" spans="1:44" x14ac:dyDescent="0.35">
      <c r="A5979" s="12" t="s">
        <v>7092</v>
      </c>
      <c r="B5979" s="12" t="s">
        <v>509</v>
      </c>
      <c r="C5979" s="12" t="s">
        <v>510</v>
      </c>
      <c r="D5979" s="12" t="s">
        <v>78</v>
      </c>
      <c r="E5979" s="12" t="s">
        <v>142</v>
      </c>
      <c r="F5979">
        <v>3</v>
      </c>
      <c r="G5979">
        <v>11</v>
      </c>
      <c r="H5979">
        <v>0</v>
      </c>
      <c r="I5979" s="12" t="s">
        <v>176</v>
      </c>
      <c r="J5979" s="12" t="s">
        <v>177</v>
      </c>
      <c r="K5979" s="12" t="s">
        <v>125</v>
      </c>
      <c r="L5979" s="12" t="s">
        <v>134</v>
      </c>
      <c r="M5979">
        <v>1.75</v>
      </c>
      <c r="N5979" s="12" t="s">
        <v>70</v>
      </c>
      <c r="O5979" s="12" t="s">
        <v>71</v>
      </c>
      <c r="P5979" s="12" t="s">
        <v>72</v>
      </c>
      <c r="Q5979" s="13">
        <v>45965</v>
      </c>
      <c r="R5979" s="13">
        <v>46017</v>
      </c>
      <c r="S5979">
        <v>2025</v>
      </c>
      <c r="T5979" s="12" t="s">
        <v>7071</v>
      </c>
      <c r="U5979">
        <v>290</v>
      </c>
      <c r="V5979">
        <v>131.8887</v>
      </c>
      <c r="W5979">
        <v>337.53</v>
      </c>
      <c r="X5979">
        <v>1243.79</v>
      </c>
      <c r="Y5979">
        <v>1</v>
      </c>
      <c r="Z5979">
        <v>38247.72</v>
      </c>
      <c r="AA5979">
        <v>39829.040000000001</v>
      </c>
      <c r="AB5979" s="12" t="s">
        <v>201</v>
      </c>
      <c r="AD5979">
        <v>0</v>
      </c>
      <c r="AE5979">
        <v>0</v>
      </c>
      <c r="AH5979">
        <v>290</v>
      </c>
      <c r="AI5979">
        <v>287</v>
      </c>
      <c r="AJ5979">
        <v>3</v>
      </c>
      <c r="AK5979">
        <v>1</v>
      </c>
      <c r="AL5979">
        <v>1</v>
      </c>
      <c r="AM5979">
        <v>98.97</v>
      </c>
      <c r="AN5979">
        <v>138.77719999999999</v>
      </c>
      <c r="AO5979">
        <v>395.67</v>
      </c>
      <c r="AP5979" s="13">
        <v>46016</v>
      </c>
      <c r="AQ5979">
        <v>-1</v>
      </c>
      <c r="AR5979">
        <v>1</v>
      </c>
    </row>
    <row r="5980" spans="1:44" x14ac:dyDescent="0.35">
      <c r="A5980" s="12" t="s">
        <v>7093</v>
      </c>
      <c r="B5980" s="12" t="s">
        <v>537</v>
      </c>
      <c r="C5980" s="12" t="s">
        <v>538</v>
      </c>
      <c r="D5980" s="12" t="s">
        <v>103</v>
      </c>
      <c r="E5980" s="12" t="s">
        <v>104</v>
      </c>
      <c r="F5980">
        <v>3</v>
      </c>
      <c r="G5980">
        <v>0</v>
      </c>
      <c r="H5980">
        <v>0</v>
      </c>
      <c r="I5980" s="12" t="s">
        <v>380</v>
      </c>
      <c r="J5980" s="12" t="s">
        <v>381</v>
      </c>
      <c r="K5980" s="12" t="s">
        <v>89</v>
      </c>
      <c r="L5980" s="12" t="s">
        <v>96</v>
      </c>
      <c r="M5980">
        <v>10.210000000000001</v>
      </c>
      <c r="N5980" s="12" t="s">
        <v>145</v>
      </c>
      <c r="O5980" s="12" t="s">
        <v>146</v>
      </c>
      <c r="P5980" s="12" t="s">
        <v>109</v>
      </c>
      <c r="Q5980" s="13">
        <v>45966</v>
      </c>
      <c r="R5980" s="13">
        <v>45978</v>
      </c>
      <c r="S5980">
        <v>2025</v>
      </c>
      <c r="T5980" s="12" t="s">
        <v>7071</v>
      </c>
      <c r="U5980">
        <v>16</v>
      </c>
      <c r="V5980">
        <v>242.47130000000001</v>
      </c>
      <c r="W5980">
        <v>90.97</v>
      </c>
      <c r="X5980">
        <v>0</v>
      </c>
      <c r="Y5980">
        <v>0</v>
      </c>
      <c r="Z5980">
        <v>3879.54</v>
      </c>
      <c r="AA5980">
        <v>3970.51</v>
      </c>
      <c r="AB5980" s="12" t="s">
        <v>6070</v>
      </c>
      <c r="AC5980">
        <v>242.47130000000001</v>
      </c>
      <c r="AD5980">
        <v>1</v>
      </c>
      <c r="AE5980">
        <v>1</v>
      </c>
      <c r="AF5980">
        <v>0</v>
      </c>
      <c r="AG5980">
        <v>3879.54</v>
      </c>
      <c r="AH5980">
        <v>16</v>
      </c>
      <c r="AI5980">
        <v>16</v>
      </c>
      <c r="AJ5980">
        <v>0</v>
      </c>
      <c r="AK5980">
        <v>1</v>
      </c>
      <c r="AL5980">
        <v>1</v>
      </c>
      <c r="AM5980">
        <v>100</v>
      </c>
      <c r="AN5980">
        <v>248.15690000000001</v>
      </c>
      <c r="AO5980">
        <v>0</v>
      </c>
      <c r="AP5980" s="13">
        <v>45976</v>
      </c>
      <c r="AQ5980">
        <v>-2</v>
      </c>
      <c r="AR5980">
        <v>1</v>
      </c>
    </row>
    <row r="5981" spans="1:44" x14ac:dyDescent="0.35">
      <c r="A5981" s="12" t="s">
        <v>7094</v>
      </c>
      <c r="B5981" s="12" t="s">
        <v>112</v>
      </c>
      <c r="C5981" s="12" t="s">
        <v>113</v>
      </c>
      <c r="D5981" s="12" t="s">
        <v>114</v>
      </c>
      <c r="E5981" s="12" t="s">
        <v>104</v>
      </c>
      <c r="F5981">
        <v>3</v>
      </c>
      <c r="G5981">
        <v>1</v>
      </c>
      <c r="H5981">
        <v>0</v>
      </c>
      <c r="I5981" s="12" t="s">
        <v>115</v>
      </c>
      <c r="J5981" s="12" t="s">
        <v>116</v>
      </c>
      <c r="K5981" s="12" t="s">
        <v>117</v>
      </c>
      <c r="L5981" s="12" t="s">
        <v>82</v>
      </c>
      <c r="M5981">
        <v>17.170000000000002</v>
      </c>
      <c r="N5981" s="12" t="s">
        <v>97</v>
      </c>
      <c r="O5981" s="12" t="s">
        <v>98</v>
      </c>
      <c r="P5981" s="12" t="s">
        <v>72</v>
      </c>
      <c r="Q5981" s="13">
        <v>45966</v>
      </c>
      <c r="R5981" s="13">
        <v>45990</v>
      </c>
      <c r="S5981">
        <v>2025</v>
      </c>
      <c r="T5981" s="12" t="s">
        <v>7071</v>
      </c>
      <c r="U5981">
        <v>110</v>
      </c>
      <c r="V5981">
        <v>257.51960000000003</v>
      </c>
      <c r="W5981">
        <v>572.71</v>
      </c>
      <c r="X5981">
        <v>0</v>
      </c>
      <c r="Y5981">
        <v>0</v>
      </c>
      <c r="Z5981">
        <v>28327.16</v>
      </c>
      <c r="AA5981">
        <v>28899.87</v>
      </c>
      <c r="AB5981" s="12" t="s">
        <v>5452</v>
      </c>
      <c r="AC5981">
        <v>257.51960000000003</v>
      </c>
      <c r="AD5981">
        <v>1</v>
      </c>
      <c r="AE5981">
        <v>1</v>
      </c>
      <c r="AF5981">
        <v>0</v>
      </c>
      <c r="AG5981">
        <v>28327.16</v>
      </c>
      <c r="AH5981">
        <v>110</v>
      </c>
      <c r="AI5981">
        <v>109</v>
      </c>
      <c r="AJ5981">
        <v>1</v>
      </c>
      <c r="AK5981">
        <v>1</v>
      </c>
      <c r="AL5981">
        <v>1</v>
      </c>
      <c r="AM5981">
        <v>99.09</v>
      </c>
      <c r="AN5981">
        <v>265.13639999999998</v>
      </c>
      <c r="AO5981">
        <v>257.52</v>
      </c>
      <c r="AP5981" s="13">
        <v>45988</v>
      </c>
      <c r="AQ5981">
        <v>-2</v>
      </c>
      <c r="AR5981">
        <v>1</v>
      </c>
    </row>
    <row r="5982" spans="1:44" x14ac:dyDescent="0.35">
      <c r="A5982" s="12" t="s">
        <v>7095</v>
      </c>
      <c r="B5982" s="12" t="s">
        <v>513</v>
      </c>
      <c r="C5982" s="12" t="s">
        <v>514</v>
      </c>
      <c r="D5982" s="12" t="s">
        <v>269</v>
      </c>
      <c r="E5982" s="12" t="s">
        <v>65</v>
      </c>
      <c r="F5982">
        <v>1</v>
      </c>
      <c r="G5982">
        <v>2</v>
      </c>
      <c r="H5982">
        <v>1</v>
      </c>
      <c r="I5982" s="12" t="s">
        <v>515</v>
      </c>
      <c r="J5982" s="12" t="s">
        <v>516</v>
      </c>
      <c r="K5982" s="12" t="s">
        <v>68</v>
      </c>
      <c r="L5982" s="12" t="s">
        <v>134</v>
      </c>
      <c r="M5982">
        <v>3.69</v>
      </c>
      <c r="N5982" s="12" t="s">
        <v>135</v>
      </c>
      <c r="O5982" s="12" t="s">
        <v>136</v>
      </c>
      <c r="P5982" s="12" t="s">
        <v>137</v>
      </c>
      <c r="Q5982" s="13">
        <v>45966</v>
      </c>
      <c r="R5982" s="13">
        <v>45989</v>
      </c>
      <c r="S5982">
        <v>2025</v>
      </c>
      <c r="T5982" s="12" t="s">
        <v>7071</v>
      </c>
      <c r="U5982">
        <v>31</v>
      </c>
      <c r="V5982">
        <v>191.89410000000001</v>
      </c>
      <c r="W5982">
        <v>94.26</v>
      </c>
      <c r="X5982">
        <v>0</v>
      </c>
      <c r="Y5982">
        <v>0</v>
      </c>
      <c r="Z5982">
        <v>5948.72</v>
      </c>
      <c r="AA5982">
        <v>6042.98</v>
      </c>
      <c r="AB5982" s="12" t="s">
        <v>201</v>
      </c>
      <c r="AD5982">
        <v>0</v>
      </c>
      <c r="AE5982">
        <v>0</v>
      </c>
      <c r="AH5982">
        <v>31</v>
      </c>
      <c r="AI5982">
        <v>31</v>
      </c>
      <c r="AJ5982">
        <v>0</v>
      </c>
      <c r="AK5982">
        <v>1</v>
      </c>
      <c r="AL5982">
        <v>1</v>
      </c>
      <c r="AM5982">
        <v>100</v>
      </c>
      <c r="AN5982">
        <v>194.93469999999999</v>
      </c>
      <c r="AO5982">
        <v>0</v>
      </c>
      <c r="AP5982" s="13">
        <v>45988</v>
      </c>
      <c r="AQ5982">
        <v>-1</v>
      </c>
      <c r="AR5982">
        <v>1</v>
      </c>
    </row>
    <row r="5983" spans="1:44" x14ac:dyDescent="0.35">
      <c r="A5983" s="12" t="s">
        <v>7096</v>
      </c>
      <c r="B5983" s="12" t="s">
        <v>773</v>
      </c>
      <c r="C5983" s="12" t="s">
        <v>774</v>
      </c>
      <c r="D5983" s="12" t="s">
        <v>64</v>
      </c>
      <c r="E5983" s="12" t="s">
        <v>142</v>
      </c>
      <c r="F5983">
        <v>1</v>
      </c>
      <c r="G5983">
        <v>7</v>
      </c>
      <c r="H5983">
        <v>1</v>
      </c>
      <c r="I5983" s="12" t="s">
        <v>251</v>
      </c>
      <c r="J5983" s="12" t="s">
        <v>252</v>
      </c>
      <c r="K5983" s="12" t="s">
        <v>133</v>
      </c>
      <c r="L5983" s="12" t="s">
        <v>69</v>
      </c>
      <c r="M5983">
        <v>34.49</v>
      </c>
      <c r="N5983" s="12" t="s">
        <v>70</v>
      </c>
      <c r="O5983" s="12" t="s">
        <v>71</v>
      </c>
      <c r="P5983" s="12" t="s">
        <v>72</v>
      </c>
      <c r="Q5983" s="13">
        <v>45966</v>
      </c>
      <c r="R5983" s="13">
        <v>46015</v>
      </c>
      <c r="S5983">
        <v>2025</v>
      </c>
      <c r="T5983" s="12" t="s">
        <v>7071</v>
      </c>
      <c r="U5983">
        <v>840</v>
      </c>
      <c r="V5983">
        <v>9.4059000000000008</v>
      </c>
      <c r="W5983">
        <v>194.03</v>
      </c>
      <c r="X5983">
        <v>0</v>
      </c>
      <c r="Y5983">
        <v>0</v>
      </c>
      <c r="Z5983">
        <v>7900.96</v>
      </c>
      <c r="AA5983">
        <v>8094.99</v>
      </c>
      <c r="AB5983" s="12" t="s">
        <v>5613</v>
      </c>
      <c r="AC5983">
        <v>9.9849999999999994</v>
      </c>
      <c r="AD5983">
        <v>1</v>
      </c>
      <c r="AE5983">
        <v>1</v>
      </c>
      <c r="AF5983">
        <v>-486.44</v>
      </c>
      <c r="AG5983">
        <v>8387.4</v>
      </c>
      <c r="AH5983">
        <v>840</v>
      </c>
      <c r="AI5983">
        <v>832</v>
      </c>
      <c r="AJ5983">
        <v>8</v>
      </c>
      <c r="AK5983">
        <v>1</v>
      </c>
      <c r="AL5983">
        <v>1</v>
      </c>
      <c r="AM5983">
        <v>99.05</v>
      </c>
      <c r="AN5983">
        <v>9.7295999999999996</v>
      </c>
      <c r="AO5983">
        <v>75.25</v>
      </c>
      <c r="AP5983" s="13">
        <v>46014</v>
      </c>
      <c r="AQ5983">
        <v>-1</v>
      </c>
      <c r="AR5983">
        <v>1</v>
      </c>
    </row>
    <row r="5984" spans="1:44" x14ac:dyDescent="0.35">
      <c r="A5984" s="12" t="s">
        <v>7097</v>
      </c>
      <c r="B5984" s="12" t="s">
        <v>128</v>
      </c>
      <c r="C5984" s="12" t="s">
        <v>129</v>
      </c>
      <c r="D5984" s="12" t="s">
        <v>130</v>
      </c>
      <c r="E5984" s="12" t="s">
        <v>65</v>
      </c>
      <c r="F5984">
        <v>3</v>
      </c>
      <c r="G5984">
        <v>5</v>
      </c>
      <c r="H5984">
        <v>0</v>
      </c>
      <c r="I5984" s="12" t="s">
        <v>131</v>
      </c>
      <c r="J5984" s="12" t="s">
        <v>132</v>
      </c>
      <c r="K5984" s="12" t="s">
        <v>133</v>
      </c>
      <c r="L5984" s="12" t="s">
        <v>134</v>
      </c>
      <c r="M5984">
        <v>1.51</v>
      </c>
      <c r="N5984" s="12" t="s">
        <v>135</v>
      </c>
      <c r="O5984" s="12" t="s">
        <v>136</v>
      </c>
      <c r="P5984" s="12" t="s">
        <v>137</v>
      </c>
      <c r="Q5984" s="13">
        <v>45966</v>
      </c>
      <c r="R5984" s="13">
        <v>45993</v>
      </c>
      <c r="S5984">
        <v>2025</v>
      </c>
      <c r="T5984" s="12" t="s">
        <v>7071</v>
      </c>
      <c r="U5984">
        <v>58</v>
      </c>
      <c r="V5984">
        <v>344.90410000000003</v>
      </c>
      <c r="W5984">
        <v>200.28</v>
      </c>
      <c r="X5984">
        <v>0</v>
      </c>
      <c r="Y5984">
        <v>0</v>
      </c>
      <c r="Z5984">
        <v>20004.439999999999</v>
      </c>
      <c r="AA5984">
        <v>20204.72</v>
      </c>
      <c r="AB5984" s="12" t="s">
        <v>201</v>
      </c>
      <c r="AD5984">
        <v>0</v>
      </c>
      <c r="AE5984">
        <v>0</v>
      </c>
      <c r="AH5984">
        <v>58</v>
      </c>
      <c r="AI5984">
        <v>52</v>
      </c>
      <c r="AJ5984">
        <v>6</v>
      </c>
      <c r="AK5984">
        <v>1</v>
      </c>
      <c r="AL5984">
        <v>1</v>
      </c>
      <c r="AM5984">
        <v>89.66</v>
      </c>
      <c r="AN5984">
        <v>388.5523</v>
      </c>
      <c r="AO5984">
        <v>2069.42</v>
      </c>
      <c r="AP5984" s="13">
        <v>45997</v>
      </c>
      <c r="AQ5984">
        <v>4</v>
      </c>
      <c r="AR5984">
        <v>0</v>
      </c>
    </row>
    <row r="5985" spans="1:44" x14ac:dyDescent="0.35">
      <c r="A5985" s="12" t="s">
        <v>7098</v>
      </c>
      <c r="B5985" s="12" t="s">
        <v>952</v>
      </c>
      <c r="C5985" s="12" t="s">
        <v>953</v>
      </c>
      <c r="D5985" s="12" t="s">
        <v>64</v>
      </c>
      <c r="E5985" s="12" t="s">
        <v>142</v>
      </c>
      <c r="F5985">
        <v>1</v>
      </c>
      <c r="G5985">
        <v>8</v>
      </c>
      <c r="H5985">
        <v>1</v>
      </c>
      <c r="I5985" s="12" t="s">
        <v>131</v>
      </c>
      <c r="J5985" s="12" t="s">
        <v>132</v>
      </c>
      <c r="K5985" s="12" t="s">
        <v>133</v>
      </c>
      <c r="L5985" s="12" t="s">
        <v>134</v>
      </c>
      <c r="M5985">
        <v>1.51</v>
      </c>
      <c r="N5985" s="12" t="s">
        <v>97</v>
      </c>
      <c r="O5985" s="12" t="s">
        <v>98</v>
      </c>
      <c r="P5985" s="12" t="s">
        <v>72</v>
      </c>
      <c r="Q5985" s="13">
        <v>45966</v>
      </c>
      <c r="R5985" s="13">
        <v>46007</v>
      </c>
      <c r="S5985">
        <v>2025</v>
      </c>
      <c r="T5985" s="12" t="s">
        <v>7071</v>
      </c>
      <c r="U5985">
        <v>424</v>
      </c>
      <c r="V5985">
        <v>31.074300000000001</v>
      </c>
      <c r="W5985">
        <v>82.15</v>
      </c>
      <c r="X5985">
        <v>0</v>
      </c>
      <c r="Y5985">
        <v>0</v>
      </c>
      <c r="Z5985">
        <v>13175.5</v>
      </c>
      <c r="AA5985">
        <v>13257.65</v>
      </c>
      <c r="AB5985" s="12" t="s">
        <v>6001</v>
      </c>
      <c r="AC5985">
        <v>31.074300000000001</v>
      </c>
      <c r="AD5985">
        <v>1</v>
      </c>
      <c r="AE5985">
        <v>1</v>
      </c>
      <c r="AF5985">
        <v>0</v>
      </c>
      <c r="AG5985">
        <v>13175.5</v>
      </c>
      <c r="AH5985">
        <v>424</v>
      </c>
      <c r="AI5985">
        <v>420</v>
      </c>
      <c r="AJ5985">
        <v>4</v>
      </c>
      <c r="AK5985">
        <v>1</v>
      </c>
      <c r="AL5985">
        <v>1</v>
      </c>
      <c r="AM5985">
        <v>99.06</v>
      </c>
      <c r="AN5985">
        <v>31.565799999999999</v>
      </c>
      <c r="AO5985">
        <v>124.3</v>
      </c>
      <c r="AP5985" s="13">
        <v>46007</v>
      </c>
      <c r="AQ5985">
        <v>0</v>
      </c>
      <c r="AR5985">
        <v>1</v>
      </c>
    </row>
    <row r="5986" spans="1:44" x14ac:dyDescent="0.35">
      <c r="A5986" s="12" t="s">
        <v>7099</v>
      </c>
      <c r="B5986" s="12" t="s">
        <v>289</v>
      </c>
      <c r="C5986" s="12" t="s">
        <v>290</v>
      </c>
      <c r="D5986" s="12" t="s">
        <v>175</v>
      </c>
      <c r="E5986" s="12" t="s">
        <v>104</v>
      </c>
      <c r="F5986">
        <v>3</v>
      </c>
      <c r="G5986">
        <v>1</v>
      </c>
      <c r="H5986">
        <v>0</v>
      </c>
      <c r="I5986" s="12" t="s">
        <v>157</v>
      </c>
      <c r="J5986" s="12" t="s">
        <v>158</v>
      </c>
      <c r="K5986" s="12" t="s">
        <v>117</v>
      </c>
      <c r="L5986" s="12" t="s">
        <v>96</v>
      </c>
      <c r="M5986">
        <v>4.72</v>
      </c>
      <c r="N5986" s="12" t="s">
        <v>107</v>
      </c>
      <c r="O5986" s="12" t="s">
        <v>108</v>
      </c>
      <c r="P5986" s="12" t="s">
        <v>109</v>
      </c>
      <c r="Q5986" s="13">
        <v>45966</v>
      </c>
      <c r="R5986" s="13">
        <v>45987</v>
      </c>
      <c r="S5986">
        <v>2025</v>
      </c>
      <c r="T5986" s="12" t="s">
        <v>7071</v>
      </c>
      <c r="U5986">
        <v>83</v>
      </c>
      <c r="V5986">
        <v>187.36519999999999</v>
      </c>
      <c r="W5986">
        <v>362.42</v>
      </c>
      <c r="X5986">
        <v>0</v>
      </c>
      <c r="Y5986">
        <v>0</v>
      </c>
      <c r="Z5986">
        <v>15551.31</v>
      </c>
      <c r="AA5986">
        <v>15913.73</v>
      </c>
      <c r="AB5986" s="12" t="s">
        <v>201</v>
      </c>
      <c r="AD5986">
        <v>0</v>
      </c>
      <c r="AE5986">
        <v>0</v>
      </c>
      <c r="AH5986">
        <v>83</v>
      </c>
      <c r="AI5986">
        <v>82</v>
      </c>
      <c r="AJ5986">
        <v>1</v>
      </c>
      <c r="AK5986">
        <v>1</v>
      </c>
      <c r="AL5986">
        <v>1</v>
      </c>
      <c r="AM5986">
        <v>98.8</v>
      </c>
      <c r="AN5986">
        <v>194.06989999999999</v>
      </c>
      <c r="AO5986">
        <v>187.37</v>
      </c>
      <c r="AP5986" s="13">
        <v>45985</v>
      </c>
      <c r="AQ5986">
        <v>-2</v>
      </c>
      <c r="AR5986">
        <v>1</v>
      </c>
    </row>
    <row r="5987" spans="1:44" x14ac:dyDescent="0.35">
      <c r="A5987" s="12" t="s">
        <v>7100</v>
      </c>
      <c r="B5987" s="12" t="s">
        <v>1433</v>
      </c>
      <c r="C5987" s="12" t="s">
        <v>1434</v>
      </c>
      <c r="D5987" s="12" t="s">
        <v>269</v>
      </c>
      <c r="E5987" s="12" t="s">
        <v>65</v>
      </c>
      <c r="F5987">
        <v>3</v>
      </c>
      <c r="G5987">
        <v>5</v>
      </c>
      <c r="H5987">
        <v>0</v>
      </c>
      <c r="I5987" s="12" t="s">
        <v>115</v>
      </c>
      <c r="J5987" s="12" t="s">
        <v>116</v>
      </c>
      <c r="K5987" s="12" t="s">
        <v>117</v>
      </c>
      <c r="L5987" s="12" t="s">
        <v>82</v>
      </c>
      <c r="M5987">
        <v>17.170000000000002</v>
      </c>
      <c r="N5987" s="12" t="s">
        <v>159</v>
      </c>
      <c r="O5987" s="12" t="s">
        <v>160</v>
      </c>
      <c r="P5987" s="12" t="s">
        <v>137</v>
      </c>
      <c r="Q5987" s="13">
        <v>45966</v>
      </c>
      <c r="R5987" s="13">
        <v>45992</v>
      </c>
      <c r="S5987">
        <v>2025</v>
      </c>
      <c r="T5987" s="12" t="s">
        <v>7071</v>
      </c>
      <c r="U5987">
        <v>53</v>
      </c>
      <c r="V5987">
        <v>434.48160000000001</v>
      </c>
      <c r="W5987">
        <v>269.27999999999997</v>
      </c>
      <c r="X5987">
        <v>0</v>
      </c>
      <c r="Y5987">
        <v>0</v>
      </c>
      <c r="Z5987">
        <v>23027.52</v>
      </c>
      <c r="AA5987">
        <v>23296.799999999999</v>
      </c>
      <c r="AB5987" s="12" t="s">
        <v>7101</v>
      </c>
      <c r="AC5987">
        <v>434.48160000000001</v>
      </c>
      <c r="AD5987">
        <v>1</v>
      </c>
      <c r="AE5987">
        <v>1</v>
      </c>
      <c r="AF5987">
        <v>0</v>
      </c>
      <c r="AG5987">
        <v>23027.52</v>
      </c>
      <c r="AH5987">
        <v>53</v>
      </c>
      <c r="AI5987">
        <v>52</v>
      </c>
      <c r="AJ5987">
        <v>1</v>
      </c>
      <c r="AK5987">
        <v>1</v>
      </c>
      <c r="AL5987">
        <v>1</v>
      </c>
      <c r="AM5987">
        <v>98.11</v>
      </c>
      <c r="AN5987">
        <v>448.01549999999997</v>
      </c>
      <c r="AO5987">
        <v>434.48</v>
      </c>
      <c r="AP5987" s="13">
        <v>45991</v>
      </c>
      <c r="AQ5987">
        <v>-1</v>
      </c>
      <c r="AR5987">
        <v>1</v>
      </c>
    </row>
    <row r="5988" spans="1:44" x14ac:dyDescent="0.35">
      <c r="A5988" s="12" t="s">
        <v>7102</v>
      </c>
      <c r="B5988" s="12" t="s">
        <v>347</v>
      </c>
      <c r="C5988" s="12" t="s">
        <v>348</v>
      </c>
      <c r="D5988" s="12" t="s">
        <v>78</v>
      </c>
      <c r="E5988" s="12" t="s">
        <v>104</v>
      </c>
      <c r="F5988">
        <v>3</v>
      </c>
      <c r="G5988">
        <v>1</v>
      </c>
      <c r="H5988">
        <v>0</v>
      </c>
      <c r="I5988" s="12" t="s">
        <v>87</v>
      </c>
      <c r="J5988" s="12" t="s">
        <v>88</v>
      </c>
      <c r="K5988" s="12" t="s">
        <v>89</v>
      </c>
      <c r="L5988" s="12" t="s">
        <v>69</v>
      </c>
      <c r="M5988">
        <v>14.93</v>
      </c>
      <c r="N5988" s="12" t="s">
        <v>97</v>
      </c>
      <c r="O5988" s="12" t="s">
        <v>98</v>
      </c>
      <c r="P5988" s="12" t="s">
        <v>72</v>
      </c>
      <c r="Q5988" s="13">
        <v>45967</v>
      </c>
      <c r="R5988" s="13">
        <v>45996</v>
      </c>
      <c r="S5988">
        <v>2025</v>
      </c>
      <c r="T5988" s="12" t="s">
        <v>7071</v>
      </c>
      <c r="U5988">
        <v>285</v>
      </c>
      <c r="V5988">
        <v>94.397999999999996</v>
      </c>
      <c r="W5988">
        <v>445.4</v>
      </c>
      <c r="X5988">
        <v>0</v>
      </c>
      <c r="Y5988">
        <v>0</v>
      </c>
      <c r="Z5988">
        <v>26903.43</v>
      </c>
      <c r="AA5988">
        <v>27348.83</v>
      </c>
      <c r="AB5988" s="12" t="s">
        <v>201</v>
      </c>
      <c r="AD5988">
        <v>0</v>
      </c>
      <c r="AE5988">
        <v>0</v>
      </c>
      <c r="AH5988">
        <v>285</v>
      </c>
      <c r="AI5988">
        <v>278</v>
      </c>
      <c r="AJ5988">
        <v>7</v>
      </c>
      <c r="AK5988">
        <v>1</v>
      </c>
      <c r="AL5988">
        <v>1</v>
      </c>
      <c r="AM5988">
        <v>97.54</v>
      </c>
      <c r="AN5988">
        <v>98.377099999999999</v>
      </c>
      <c r="AO5988">
        <v>660.79</v>
      </c>
      <c r="AP5988" s="13">
        <v>45995</v>
      </c>
      <c r="AQ5988">
        <v>-1</v>
      </c>
      <c r="AR5988">
        <v>1</v>
      </c>
    </row>
    <row r="5989" spans="1:44" x14ac:dyDescent="0.35">
      <c r="A5989" s="12" t="s">
        <v>7103</v>
      </c>
      <c r="B5989" s="12" t="s">
        <v>347</v>
      </c>
      <c r="C5989" s="12" t="s">
        <v>348</v>
      </c>
      <c r="D5989" s="12" t="s">
        <v>78</v>
      </c>
      <c r="E5989" s="12" t="s">
        <v>104</v>
      </c>
      <c r="F5989">
        <v>3</v>
      </c>
      <c r="G5989">
        <v>1</v>
      </c>
      <c r="H5989">
        <v>0</v>
      </c>
      <c r="I5989" s="12" t="s">
        <v>209</v>
      </c>
      <c r="J5989" s="12" t="s">
        <v>210</v>
      </c>
      <c r="K5989" s="12" t="s">
        <v>133</v>
      </c>
      <c r="L5989" s="12" t="s">
        <v>96</v>
      </c>
      <c r="M5989">
        <v>7.82</v>
      </c>
      <c r="N5989" s="12" t="s">
        <v>97</v>
      </c>
      <c r="O5989" s="12" t="s">
        <v>98</v>
      </c>
      <c r="P5989" s="12" t="s">
        <v>72</v>
      </c>
      <c r="Q5989" s="13">
        <v>45967</v>
      </c>
      <c r="R5989" s="13">
        <v>45983</v>
      </c>
      <c r="S5989">
        <v>2025</v>
      </c>
      <c r="T5989" s="12" t="s">
        <v>7071</v>
      </c>
      <c r="U5989">
        <v>111</v>
      </c>
      <c r="V5989">
        <v>90.156499999999994</v>
      </c>
      <c r="W5989">
        <v>229.27</v>
      </c>
      <c r="X5989">
        <v>0</v>
      </c>
      <c r="Y5989">
        <v>0</v>
      </c>
      <c r="Z5989">
        <v>10007.370000000001</v>
      </c>
      <c r="AA5989">
        <v>10236.64</v>
      </c>
      <c r="AB5989" s="12" t="s">
        <v>6009</v>
      </c>
      <c r="AC5989">
        <v>90.156499999999994</v>
      </c>
      <c r="AD5989">
        <v>1</v>
      </c>
      <c r="AE5989">
        <v>1</v>
      </c>
      <c r="AF5989">
        <v>0</v>
      </c>
      <c r="AG5989">
        <v>10007.370000000001</v>
      </c>
      <c r="AH5989">
        <v>111</v>
      </c>
      <c r="AI5989">
        <v>108</v>
      </c>
      <c r="AJ5989">
        <v>3</v>
      </c>
      <c r="AK5989">
        <v>1</v>
      </c>
      <c r="AL5989">
        <v>1</v>
      </c>
      <c r="AM5989">
        <v>97.3</v>
      </c>
      <c r="AN5989">
        <v>94.783699999999996</v>
      </c>
      <c r="AO5989">
        <v>270.47000000000003</v>
      </c>
      <c r="AP5989" s="13">
        <v>45992</v>
      </c>
      <c r="AQ5989">
        <v>9</v>
      </c>
      <c r="AR5989">
        <v>0</v>
      </c>
    </row>
    <row r="5990" spans="1:44" x14ac:dyDescent="0.35">
      <c r="A5990" s="12" t="s">
        <v>7104</v>
      </c>
      <c r="B5990" s="12" t="s">
        <v>766</v>
      </c>
      <c r="C5990" s="12" t="s">
        <v>767</v>
      </c>
      <c r="D5990" s="12" t="s">
        <v>175</v>
      </c>
      <c r="E5990" s="12" t="s">
        <v>65</v>
      </c>
      <c r="F5990">
        <v>3</v>
      </c>
      <c r="G5990">
        <v>5</v>
      </c>
      <c r="H5990">
        <v>0</v>
      </c>
      <c r="I5990" s="12" t="s">
        <v>87</v>
      </c>
      <c r="J5990" s="12" t="s">
        <v>88</v>
      </c>
      <c r="K5990" s="12" t="s">
        <v>89</v>
      </c>
      <c r="L5990" s="12" t="s">
        <v>69</v>
      </c>
      <c r="M5990">
        <v>14.93</v>
      </c>
      <c r="N5990" s="12" t="s">
        <v>107</v>
      </c>
      <c r="O5990" s="12" t="s">
        <v>108</v>
      </c>
      <c r="P5990" s="12" t="s">
        <v>109</v>
      </c>
      <c r="Q5990" s="13">
        <v>45967</v>
      </c>
      <c r="R5990" s="13">
        <v>46004</v>
      </c>
      <c r="S5990">
        <v>2025</v>
      </c>
      <c r="T5990" s="12" t="s">
        <v>7071</v>
      </c>
      <c r="U5990">
        <v>139</v>
      </c>
      <c r="V5990">
        <v>76.991200000000006</v>
      </c>
      <c r="W5990">
        <v>146.16</v>
      </c>
      <c r="X5990">
        <v>0</v>
      </c>
      <c r="Y5990">
        <v>0</v>
      </c>
      <c r="Z5990">
        <v>10701.78</v>
      </c>
      <c r="AA5990">
        <v>10847.94</v>
      </c>
      <c r="AB5990" s="12" t="s">
        <v>5662</v>
      </c>
      <c r="AC5990">
        <v>76.991200000000006</v>
      </c>
      <c r="AD5990">
        <v>1</v>
      </c>
      <c r="AE5990">
        <v>1</v>
      </c>
      <c r="AF5990">
        <v>0</v>
      </c>
      <c r="AG5990">
        <v>10701.78</v>
      </c>
      <c r="AH5990">
        <v>139</v>
      </c>
      <c r="AI5990">
        <v>138</v>
      </c>
      <c r="AJ5990">
        <v>1</v>
      </c>
      <c r="AK5990">
        <v>1</v>
      </c>
      <c r="AL5990">
        <v>1</v>
      </c>
      <c r="AM5990">
        <v>99.28</v>
      </c>
      <c r="AN5990">
        <v>78.608199999999997</v>
      </c>
      <c r="AO5990">
        <v>76.989999999999995</v>
      </c>
      <c r="AP5990" s="13">
        <v>46004</v>
      </c>
      <c r="AQ5990">
        <v>0</v>
      </c>
      <c r="AR5990">
        <v>1</v>
      </c>
    </row>
    <row r="5991" spans="1:44" x14ac:dyDescent="0.35">
      <c r="A5991" s="12" t="s">
        <v>7105</v>
      </c>
      <c r="B5991" s="12" t="s">
        <v>963</v>
      </c>
      <c r="C5991" s="12" t="s">
        <v>964</v>
      </c>
      <c r="D5991" s="12" t="s">
        <v>114</v>
      </c>
      <c r="E5991" s="12" t="s">
        <v>142</v>
      </c>
      <c r="F5991">
        <v>1</v>
      </c>
      <c r="G5991">
        <v>6</v>
      </c>
      <c r="H5991">
        <v>1</v>
      </c>
      <c r="I5991" s="12" t="s">
        <v>176</v>
      </c>
      <c r="J5991" s="12" t="s">
        <v>177</v>
      </c>
      <c r="K5991" s="12" t="s">
        <v>125</v>
      </c>
      <c r="L5991" s="12" t="s">
        <v>134</v>
      </c>
      <c r="M5991">
        <v>1.75</v>
      </c>
      <c r="N5991" s="12" t="s">
        <v>70</v>
      </c>
      <c r="O5991" s="12" t="s">
        <v>71</v>
      </c>
      <c r="P5991" s="12" t="s">
        <v>72</v>
      </c>
      <c r="Q5991" s="13">
        <v>45967</v>
      </c>
      <c r="R5991" s="13">
        <v>46019</v>
      </c>
      <c r="S5991">
        <v>2025</v>
      </c>
      <c r="T5991" s="12" t="s">
        <v>7071</v>
      </c>
      <c r="U5991">
        <v>145</v>
      </c>
      <c r="V5991">
        <v>222.64340000000001</v>
      </c>
      <c r="W5991">
        <v>211.43</v>
      </c>
      <c r="X5991">
        <v>0</v>
      </c>
      <c r="Y5991">
        <v>0</v>
      </c>
      <c r="Z5991">
        <v>32283.29</v>
      </c>
      <c r="AA5991">
        <v>32494.720000000001</v>
      </c>
      <c r="AB5991" s="12" t="s">
        <v>201</v>
      </c>
      <c r="AD5991">
        <v>0</v>
      </c>
      <c r="AE5991">
        <v>0</v>
      </c>
      <c r="AH5991">
        <v>145</v>
      </c>
      <c r="AI5991">
        <v>144</v>
      </c>
      <c r="AJ5991">
        <v>1</v>
      </c>
      <c r="AK5991">
        <v>1</v>
      </c>
      <c r="AL5991">
        <v>1</v>
      </c>
      <c r="AM5991">
        <v>99.31</v>
      </c>
      <c r="AN5991">
        <v>225.65780000000001</v>
      </c>
      <c r="AO5991">
        <v>222.64</v>
      </c>
      <c r="AP5991" s="13">
        <v>46019</v>
      </c>
      <c r="AQ5991">
        <v>0</v>
      </c>
      <c r="AR5991">
        <v>1</v>
      </c>
    </row>
    <row r="5992" spans="1:44" x14ac:dyDescent="0.35">
      <c r="A5992" s="12" t="s">
        <v>7106</v>
      </c>
      <c r="B5992" s="12" t="s">
        <v>76</v>
      </c>
      <c r="C5992" s="12" t="s">
        <v>77</v>
      </c>
      <c r="D5992" s="12" t="s">
        <v>78</v>
      </c>
      <c r="E5992" s="12" t="s">
        <v>65</v>
      </c>
      <c r="F5992">
        <v>2</v>
      </c>
      <c r="G5992">
        <v>4</v>
      </c>
      <c r="H5992">
        <v>0</v>
      </c>
      <c r="I5992" s="12" t="s">
        <v>79</v>
      </c>
      <c r="J5992" s="12" t="s">
        <v>80</v>
      </c>
      <c r="K5992" s="12" t="s">
        <v>81</v>
      </c>
      <c r="L5992" s="12" t="s">
        <v>82</v>
      </c>
      <c r="M5992">
        <v>12.07</v>
      </c>
      <c r="N5992" s="12" t="s">
        <v>70</v>
      </c>
      <c r="O5992" s="12" t="s">
        <v>71</v>
      </c>
      <c r="P5992" s="12" t="s">
        <v>72</v>
      </c>
      <c r="Q5992" s="13">
        <v>45967</v>
      </c>
      <c r="R5992" s="13">
        <v>46004</v>
      </c>
      <c r="S5992">
        <v>2025</v>
      </c>
      <c r="T5992" s="12" t="s">
        <v>7071</v>
      </c>
      <c r="U5992">
        <v>278</v>
      </c>
      <c r="V5992">
        <v>41.455100000000002</v>
      </c>
      <c r="W5992">
        <v>280.10000000000002</v>
      </c>
      <c r="X5992">
        <v>0</v>
      </c>
      <c r="Y5992">
        <v>0</v>
      </c>
      <c r="Z5992">
        <v>11524.52</v>
      </c>
      <c r="AA5992">
        <v>11804.62</v>
      </c>
      <c r="AB5992" s="12" t="s">
        <v>5427</v>
      </c>
      <c r="AC5992">
        <v>44.0946</v>
      </c>
      <c r="AD5992">
        <v>1</v>
      </c>
      <c r="AE5992">
        <v>1</v>
      </c>
      <c r="AF5992">
        <v>-733.78</v>
      </c>
      <c r="AG5992">
        <v>12258.3</v>
      </c>
      <c r="AH5992">
        <v>278</v>
      </c>
      <c r="AI5992">
        <v>274</v>
      </c>
      <c r="AJ5992">
        <v>4</v>
      </c>
      <c r="AK5992">
        <v>1</v>
      </c>
      <c r="AL5992">
        <v>1</v>
      </c>
      <c r="AM5992">
        <v>98.56</v>
      </c>
      <c r="AN5992">
        <v>43.082500000000003</v>
      </c>
      <c r="AO5992">
        <v>165.82</v>
      </c>
      <c r="AP5992" s="13">
        <v>46004</v>
      </c>
      <c r="AQ5992">
        <v>0</v>
      </c>
      <c r="AR5992">
        <v>1</v>
      </c>
    </row>
    <row r="5993" spans="1:44" x14ac:dyDescent="0.35">
      <c r="A5993" s="12" t="s">
        <v>7107</v>
      </c>
      <c r="B5993" s="12" t="s">
        <v>273</v>
      </c>
      <c r="C5993" s="12" t="s">
        <v>274</v>
      </c>
      <c r="D5993" s="12" t="s">
        <v>175</v>
      </c>
      <c r="E5993" s="12" t="s">
        <v>104</v>
      </c>
      <c r="F5993">
        <v>3</v>
      </c>
      <c r="G5993">
        <v>1</v>
      </c>
      <c r="H5993">
        <v>0</v>
      </c>
      <c r="I5993" s="12" t="s">
        <v>275</v>
      </c>
      <c r="J5993" s="12" t="s">
        <v>276</v>
      </c>
      <c r="K5993" s="12" t="s">
        <v>89</v>
      </c>
      <c r="L5993" s="12" t="s">
        <v>82</v>
      </c>
      <c r="M5993">
        <v>14.26</v>
      </c>
      <c r="N5993" s="12" t="s">
        <v>107</v>
      </c>
      <c r="O5993" s="12" t="s">
        <v>108</v>
      </c>
      <c r="P5993" s="12" t="s">
        <v>109</v>
      </c>
      <c r="Q5993" s="13">
        <v>45967</v>
      </c>
      <c r="R5993" s="13">
        <v>45991</v>
      </c>
      <c r="S5993">
        <v>2025</v>
      </c>
      <c r="T5993" s="12" t="s">
        <v>7071</v>
      </c>
      <c r="U5993">
        <v>109</v>
      </c>
      <c r="V5993">
        <v>108.56229999999999</v>
      </c>
      <c r="W5993">
        <v>197.07</v>
      </c>
      <c r="X5993">
        <v>0</v>
      </c>
      <c r="Y5993">
        <v>0</v>
      </c>
      <c r="Z5993">
        <v>11833.29</v>
      </c>
      <c r="AA5993">
        <v>12030.36</v>
      </c>
      <c r="AB5993" s="12" t="s">
        <v>5782</v>
      </c>
      <c r="AC5993">
        <v>108.56229999999999</v>
      </c>
      <c r="AD5993">
        <v>1</v>
      </c>
      <c r="AE5993">
        <v>1</v>
      </c>
      <c r="AF5993">
        <v>0</v>
      </c>
      <c r="AG5993">
        <v>11833.29</v>
      </c>
      <c r="AH5993">
        <v>109</v>
      </c>
      <c r="AI5993">
        <v>108</v>
      </c>
      <c r="AJ5993">
        <v>1</v>
      </c>
      <c r="AK5993">
        <v>1</v>
      </c>
      <c r="AL5993">
        <v>1</v>
      </c>
      <c r="AM5993">
        <v>99.08</v>
      </c>
      <c r="AN5993">
        <v>111.3922</v>
      </c>
      <c r="AO5993">
        <v>108.56</v>
      </c>
      <c r="AP5993" s="13">
        <v>46000</v>
      </c>
      <c r="AQ5993">
        <v>9</v>
      </c>
      <c r="AR5993">
        <v>0</v>
      </c>
    </row>
    <row r="5994" spans="1:44" x14ac:dyDescent="0.35">
      <c r="A5994" s="12" t="s">
        <v>7108</v>
      </c>
      <c r="B5994" s="12" t="s">
        <v>155</v>
      </c>
      <c r="C5994" s="12" t="s">
        <v>156</v>
      </c>
      <c r="D5994" s="12" t="s">
        <v>130</v>
      </c>
      <c r="E5994" s="12" t="s">
        <v>104</v>
      </c>
      <c r="F5994">
        <v>3</v>
      </c>
      <c r="G5994">
        <v>1</v>
      </c>
      <c r="H5994">
        <v>0</v>
      </c>
      <c r="I5994" s="12" t="s">
        <v>157</v>
      </c>
      <c r="J5994" s="12" t="s">
        <v>158</v>
      </c>
      <c r="K5994" s="12" t="s">
        <v>117</v>
      </c>
      <c r="L5994" s="12" t="s">
        <v>96</v>
      </c>
      <c r="M5994">
        <v>4.72</v>
      </c>
      <c r="N5994" s="12" t="s">
        <v>159</v>
      </c>
      <c r="O5994" s="12" t="s">
        <v>160</v>
      </c>
      <c r="P5994" s="12" t="s">
        <v>137</v>
      </c>
      <c r="Q5994" s="13">
        <v>45967</v>
      </c>
      <c r="R5994" s="13">
        <v>45988</v>
      </c>
      <c r="S5994">
        <v>2025</v>
      </c>
      <c r="T5994" s="12" t="s">
        <v>7071</v>
      </c>
      <c r="U5994">
        <v>84</v>
      </c>
      <c r="V5994">
        <v>169.50110000000001</v>
      </c>
      <c r="W5994">
        <v>193.13</v>
      </c>
      <c r="X5994">
        <v>0</v>
      </c>
      <c r="Y5994">
        <v>0</v>
      </c>
      <c r="Z5994">
        <v>14238.09</v>
      </c>
      <c r="AA5994">
        <v>14431.22</v>
      </c>
      <c r="AB5994" s="12" t="s">
        <v>201</v>
      </c>
      <c r="AD5994">
        <v>0</v>
      </c>
      <c r="AE5994">
        <v>0</v>
      </c>
      <c r="AH5994">
        <v>84</v>
      </c>
      <c r="AI5994">
        <v>83</v>
      </c>
      <c r="AJ5994">
        <v>1</v>
      </c>
      <c r="AK5994">
        <v>1</v>
      </c>
      <c r="AL5994">
        <v>1</v>
      </c>
      <c r="AM5994">
        <v>98.81</v>
      </c>
      <c r="AN5994">
        <v>173.87010000000001</v>
      </c>
      <c r="AO5994">
        <v>169.5</v>
      </c>
      <c r="AP5994" s="13">
        <v>45985</v>
      </c>
      <c r="AQ5994">
        <v>-3</v>
      </c>
      <c r="AR5994">
        <v>1</v>
      </c>
    </row>
    <row r="5995" spans="1:44" x14ac:dyDescent="0.35">
      <c r="A5995" s="12" t="s">
        <v>7109</v>
      </c>
      <c r="B5995" s="12" t="s">
        <v>732</v>
      </c>
      <c r="C5995" s="12" t="s">
        <v>733</v>
      </c>
      <c r="D5995" s="12" t="s">
        <v>114</v>
      </c>
      <c r="E5995" s="12" t="s">
        <v>104</v>
      </c>
      <c r="F5995">
        <v>3</v>
      </c>
      <c r="G5995">
        <v>1</v>
      </c>
      <c r="H5995">
        <v>0</v>
      </c>
      <c r="I5995" s="12" t="s">
        <v>199</v>
      </c>
      <c r="J5995" s="12" t="s">
        <v>200</v>
      </c>
      <c r="K5995" s="12" t="s">
        <v>68</v>
      </c>
      <c r="L5995" s="12" t="s">
        <v>96</v>
      </c>
      <c r="M5995">
        <v>9.4700000000000006</v>
      </c>
      <c r="N5995" s="12" t="s">
        <v>97</v>
      </c>
      <c r="O5995" s="12" t="s">
        <v>98</v>
      </c>
      <c r="P5995" s="12" t="s">
        <v>72</v>
      </c>
      <c r="Q5995" s="13">
        <v>45967</v>
      </c>
      <c r="R5995" s="13">
        <v>45989</v>
      </c>
      <c r="S5995">
        <v>2025</v>
      </c>
      <c r="T5995" s="12" t="s">
        <v>7071</v>
      </c>
      <c r="U5995">
        <v>91</v>
      </c>
      <c r="V5995">
        <v>277.11689999999999</v>
      </c>
      <c r="W5995">
        <v>476.84</v>
      </c>
      <c r="X5995">
        <v>0</v>
      </c>
      <c r="Y5995">
        <v>0</v>
      </c>
      <c r="Z5995">
        <v>25217.64</v>
      </c>
      <c r="AA5995">
        <v>25694.48</v>
      </c>
      <c r="AB5995" s="12" t="s">
        <v>6494</v>
      </c>
      <c r="AC5995">
        <v>294.74509999999998</v>
      </c>
      <c r="AD5995">
        <v>1</v>
      </c>
      <c r="AE5995">
        <v>1</v>
      </c>
      <c r="AF5995">
        <v>-1604.17</v>
      </c>
      <c r="AG5995">
        <v>26821.8</v>
      </c>
      <c r="AH5995">
        <v>91</v>
      </c>
      <c r="AI5995">
        <v>89</v>
      </c>
      <c r="AJ5995">
        <v>2</v>
      </c>
      <c r="AK5995">
        <v>1</v>
      </c>
      <c r="AL5995">
        <v>1</v>
      </c>
      <c r="AM5995">
        <v>97.8</v>
      </c>
      <c r="AN5995">
        <v>288.702</v>
      </c>
      <c r="AO5995">
        <v>554.23</v>
      </c>
      <c r="AP5995" s="13">
        <v>45995</v>
      </c>
      <c r="AQ5995">
        <v>6</v>
      </c>
      <c r="AR5995">
        <v>0</v>
      </c>
    </row>
    <row r="5996" spans="1:44" x14ac:dyDescent="0.35">
      <c r="A5996" s="12" t="s">
        <v>7110</v>
      </c>
      <c r="B5996" s="12" t="s">
        <v>92</v>
      </c>
      <c r="C5996" s="12" t="s">
        <v>93</v>
      </c>
      <c r="D5996" s="12" t="s">
        <v>64</v>
      </c>
      <c r="E5996" s="12" t="s">
        <v>65</v>
      </c>
      <c r="F5996">
        <v>3</v>
      </c>
      <c r="G5996">
        <v>5</v>
      </c>
      <c r="H5996">
        <v>0</v>
      </c>
      <c r="I5996" s="12" t="s">
        <v>94</v>
      </c>
      <c r="J5996" s="12" t="s">
        <v>95</v>
      </c>
      <c r="K5996" s="12" t="s">
        <v>81</v>
      </c>
      <c r="L5996" s="12" t="s">
        <v>96</v>
      </c>
      <c r="M5996">
        <v>4.8099999999999996</v>
      </c>
      <c r="N5996" s="12" t="s">
        <v>70</v>
      </c>
      <c r="O5996" s="12" t="s">
        <v>71</v>
      </c>
      <c r="P5996" s="12" t="s">
        <v>72</v>
      </c>
      <c r="Q5996" s="13">
        <v>45967</v>
      </c>
      <c r="R5996" s="13">
        <v>45991</v>
      </c>
      <c r="S5996">
        <v>2025</v>
      </c>
      <c r="T5996" s="12" t="s">
        <v>7071</v>
      </c>
      <c r="U5996">
        <v>281</v>
      </c>
      <c r="V5996">
        <v>23.1553</v>
      </c>
      <c r="W5996">
        <v>139.38999999999999</v>
      </c>
      <c r="X5996">
        <v>0</v>
      </c>
      <c r="Y5996">
        <v>0</v>
      </c>
      <c r="Z5996">
        <v>6506.64</v>
      </c>
      <c r="AA5996">
        <v>6646.03</v>
      </c>
      <c r="AB5996" s="12" t="s">
        <v>5110</v>
      </c>
      <c r="AC5996">
        <v>23.1553</v>
      </c>
      <c r="AD5996">
        <v>1</v>
      </c>
      <c r="AE5996">
        <v>1</v>
      </c>
      <c r="AF5996">
        <v>0</v>
      </c>
      <c r="AG5996">
        <v>6506.64</v>
      </c>
      <c r="AH5996">
        <v>281</v>
      </c>
      <c r="AI5996">
        <v>277</v>
      </c>
      <c r="AJ5996">
        <v>4</v>
      </c>
      <c r="AK5996">
        <v>1</v>
      </c>
      <c r="AL5996">
        <v>1</v>
      </c>
      <c r="AM5996">
        <v>98.58</v>
      </c>
      <c r="AN5996">
        <v>23.992899999999999</v>
      </c>
      <c r="AO5996">
        <v>92.62</v>
      </c>
      <c r="AP5996" s="13">
        <v>45991</v>
      </c>
      <c r="AQ5996">
        <v>0</v>
      </c>
      <c r="AR5996">
        <v>1</v>
      </c>
    </row>
    <row r="5997" spans="1:44" x14ac:dyDescent="0.35">
      <c r="A5997" s="12" t="s">
        <v>7111</v>
      </c>
      <c r="B5997" s="12" t="s">
        <v>302</v>
      </c>
      <c r="C5997" s="12" t="s">
        <v>303</v>
      </c>
      <c r="D5997" s="12" t="s">
        <v>78</v>
      </c>
      <c r="E5997" s="12" t="s">
        <v>65</v>
      </c>
      <c r="F5997">
        <v>2</v>
      </c>
      <c r="G5997">
        <v>3</v>
      </c>
      <c r="H5997">
        <v>0</v>
      </c>
      <c r="I5997" s="12" t="s">
        <v>335</v>
      </c>
      <c r="J5997" s="12" t="s">
        <v>336</v>
      </c>
      <c r="K5997" s="12" t="s">
        <v>89</v>
      </c>
      <c r="L5997" s="12" t="s">
        <v>82</v>
      </c>
      <c r="M5997">
        <v>16</v>
      </c>
      <c r="N5997" s="12" t="s">
        <v>70</v>
      </c>
      <c r="O5997" s="12" t="s">
        <v>71</v>
      </c>
      <c r="P5997" s="12" t="s">
        <v>72</v>
      </c>
      <c r="Q5997" s="13">
        <v>45967</v>
      </c>
      <c r="R5997" s="13">
        <v>45995</v>
      </c>
      <c r="S5997">
        <v>2025</v>
      </c>
      <c r="T5997" s="12" t="s">
        <v>7071</v>
      </c>
      <c r="U5997">
        <v>141</v>
      </c>
      <c r="V5997">
        <v>137.82220000000001</v>
      </c>
      <c r="W5997">
        <v>153.69999999999999</v>
      </c>
      <c r="X5997">
        <v>0</v>
      </c>
      <c r="Y5997">
        <v>0</v>
      </c>
      <c r="Z5997">
        <v>19432.93</v>
      </c>
      <c r="AA5997">
        <v>19586.63</v>
      </c>
      <c r="AB5997" s="12" t="s">
        <v>5763</v>
      </c>
      <c r="AC5997">
        <v>137.82220000000001</v>
      </c>
      <c r="AD5997">
        <v>1</v>
      </c>
      <c r="AE5997">
        <v>1</v>
      </c>
      <c r="AF5997">
        <v>0</v>
      </c>
      <c r="AG5997">
        <v>19432.93</v>
      </c>
      <c r="AH5997">
        <v>141</v>
      </c>
      <c r="AI5997">
        <v>138</v>
      </c>
      <c r="AJ5997">
        <v>3</v>
      </c>
      <c r="AK5997">
        <v>1</v>
      </c>
      <c r="AL5997">
        <v>1</v>
      </c>
      <c r="AM5997">
        <v>97.87</v>
      </c>
      <c r="AN5997">
        <v>141.93209999999999</v>
      </c>
      <c r="AO5997">
        <v>413.47</v>
      </c>
      <c r="AP5997" s="13">
        <v>45997</v>
      </c>
      <c r="AQ5997">
        <v>2</v>
      </c>
      <c r="AR5997">
        <v>0</v>
      </c>
    </row>
    <row r="5998" spans="1:44" x14ac:dyDescent="0.35">
      <c r="A5998" s="12" t="s">
        <v>7112</v>
      </c>
      <c r="B5998" s="12" t="s">
        <v>1220</v>
      </c>
      <c r="C5998" s="12" t="s">
        <v>1221</v>
      </c>
      <c r="D5998" s="12" t="s">
        <v>175</v>
      </c>
      <c r="E5998" s="12" t="s">
        <v>104</v>
      </c>
      <c r="F5998">
        <v>3</v>
      </c>
      <c r="G5998">
        <v>1</v>
      </c>
      <c r="H5998">
        <v>0</v>
      </c>
      <c r="I5998" s="12" t="s">
        <v>515</v>
      </c>
      <c r="J5998" s="12" t="s">
        <v>516</v>
      </c>
      <c r="K5998" s="12" t="s">
        <v>68</v>
      </c>
      <c r="L5998" s="12" t="s">
        <v>134</v>
      </c>
      <c r="M5998">
        <v>3.69</v>
      </c>
      <c r="N5998" s="12" t="s">
        <v>145</v>
      </c>
      <c r="O5998" s="12" t="s">
        <v>146</v>
      </c>
      <c r="P5998" s="12" t="s">
        <v>109</v>
      </c>
      <c r="Q5998" s="13">
        <v>45968</v>
      </c>
      <c r="R5998" s="13">
        <v>45986</v>
      </c>
      <c r="S5998">
        <v>2025</v>
      </c>
      <c r="T5998" s="12" t="s">
        <v>7071</v>
      </c>
      <c r="U5998">
        <v>64</v>
      </c>
      <c r="V5998">
        <v>133.24299999999999</v>
      </c>
      <c r="W5998">
        <v>101.34</v>
      </c>
      <c r="X5998">
        <v>0</v>
      </c>
      <c r="Y5998">
        <v>0</v>
      </c>
      <c r="Z5998">
        <v>8527.5499999999993</v>
      </c>
      <c r="AA5998">
        <v>8628.89</v>
      </c>
      <c r="AB5998" s="12" t="s">
        <v>6420</v>
      </c>
      <c r="AC5998">
        <v>133.24299999999999</v>
      </c>
      <c r="AD5998">
        <v>1</v>
      </c>
      <c r="AE5998">
        <v>1</v>
      </c>
      <c r="AF5998">
        <v>0</v>
      </c>
      <c r="AG5998">
        <v>8527.5499999999993</v>
      </c>
      <c r="AH5998">
        <v>64</v>
      </c>
      <c r="AI5998">
        <v>64</v>
      </c>
      <c r="AJ5998">
        <v>0</v>
      </c>
      <c r="AK5998">
        <v>1</v>
      </c>
      <c r="AL5998">
        <v>1</v>
      </c>
      <c r="AM5998">
        <v>100</v>
      </c>
      <c r="AN5998">
        <v>134.82640000000001</v>
      </c>
      <c r="AO5998">
        <v>0</v>
      </c>
      <c r="AP5998" s="13">
        <v>45993</v>
      </c>
      <c r="AQ5998">
        <v>7</v>
      </c>
      <c r="AR5998">
        <v>0</v>
      </c>
    </row>
    <row r="5999" spans="1:44" x14ac:dyDescent="0.35">
      <c r="A5999" s="12" t="s">
        <v>7113</v>
      </c>
      <c r="B5999" s="12" t="s">
        <v>399</v>
      </c>
      <c r="C5999" s="12" t="s">
        <v>400</v>
      </c>
      <c r="D5999" s="12" t="s">
        <v>114</v>
      </c>
      <c r="E5999" s="12" t="s">
        <v>65</v>
      </c>
      <c r="F5999">
        <v>1</v>
      </c>
      <c r="G5999">
        <v>2</v>
      </c>
      <c r="H5999">
        <v>1</v>
      </c>
      <c r="I5999" s="12" t="s">
        <v>151</v>
      </c>
      <c r="J5999" s="12" t="s">
        <v>152</v>
      </c>
      <c r="K5999" s="12" t="s">
        <v>125</v>
      </c>
      <c r="L5999" s="12" t="s">
        <v>69</v>
      </c>
      <c r="M5999">
        <v>36.479999999999997</v>
      </c>
      <c r="N5999" s="12" t="s">
        <v>70</v>
      </c>
      <c r="O5999" s="12" t="s">
        <v>71</v>
      </c>
      <c r="P5999" s="12" t="s">
        <v>72</v>
      </c>
      <c r="Q5999" s="13">
        <v>45968</v>
      </c>
      <c r="R5999" s="13">
        <v>45989</v>
      </c>
      <c r="S5999">
        <v>2025</v>
      </c>
      <c r="T5999" s="12" t="s">
        <v>7071</v>
      </c>
      <c r="U5999">
        <v>15</v>
      </c>
      <c r="V5999">
        <v>310.44260000000003</v>
      </c>
      <c r="W5999">
        <v>31.49</v>
      </c>
      <c r="X5999">
        <v>0</v>
      </c>
      <c r="Y5999">
        <v>0</v>
      </c>
      <c r="Z5999">
        <v>4656.6400000000003</v>
      </c>
      <c r="AA5999">
        <v>4688.13</v>
      </c>
      <c r="AB5999" s="12" t="s">
        <v>201</v>
      </c>
      <c r="AD5999">
        <v>0</v>
      </c>
      <c r="AE5999">
        <v>0</v>
      </c>
      <c r="AH5999">
        <v>15</v>
      </c>
      <c r="AI5999">
        <v>15</v>
      </c>
      <c r="AJ5999">
        <v>0</v>
      </c>
      <c r="AK5999">
        <v>1</v>
      </c>
      <c r="AL5999">
        <v>1</v>
      </c>
      <c r="AM5999">
        <v>100</v>
      </c>
      <c r="AN5999">
        <v>312.5419</v>
      </c>
      <c r="AO5999">
        <v>0</v>
      </c>
      <c r="AP5999" s="13">
        <v>45992</v>
      </c>
      <c r="AQ5999">
        <v>3</v>
      </c>
      <c r="AR5999">
        <v>0</v>
      </c>
    </row>
    <row r="6000" spans="1:44" x14ac:dyDescent="0.35">
      <c r="A6000" s="12" t="s">
        <v>7114</v>
      </c>
      <c r="B6000" s="12" t="s">
        <v>167</v>
      </c>
      <c r="C6000" s="12" t="s">
        <v>168</v>
      </c>
      <c r="D6000" s="12" t="s">
        <v>64</v>
      </c>
      <c r="E6000" s="12" t="s">
        <v>104</v>
      </c>
      <c r="F6000">
        <v>3</v>
      </c>
      <c r="G6000">
        <v>1</v>
      </c>
      <c r="H6000">
        <v>0</v>
      </c>
      <c r="I6000" s="12" t="s">
        <v>169</v>
      </c>
      <c r="J6000" s="12" t="s">
        <v>170</v>
      </c>
      <c r="K6000" s="12" t="s">
        <v>89</v>
      </c>
      <c r="L6000" s="12" t="s">
        <v>134</v>
      </c>
      <c r="M6000">
        <v>1.37</v>
      </c>
      <c r="N6000" s="12" t="s">
        <v>70</v>
      </c>
      <c r="O6000" s="12" t="s">
        <v>71</v>
      </c>
      <c r="P6000" s="12" t="s">
        <v>72</v>
      </c>
      <c r="Q6000" s="13">
        <v>45968</v>
      </c>
      <c r="R6000" s="13">
        <v>45991</v>
      </c>
      <c r="S6000">
        <v>2025</v>
      </c>
      <c r="T6000" s="12" t="s">
        <v>7071</v>
      </c>
      <c r="U6000">
        <v>670</v>
      </c>
      <c r="V6000">
        <v>25.413900000000002</v>
      </c>
      <c r="W6000">
        <v>244.51</v>
      </c>
      <c r="X6000">
        <v>0</v>
      </c>
      <c r="Y6000">
        <v>0</v>
      </c>
      <c r="Z6000">
        <v>17027.310000000001</v>
      </c>
      <c r="AA6000">
        <v>17271.82</v>
      </c>
      <c r="AB6000" s="12" t="s">
        <v>5232</v>
      </c>
      <c r="AC6000">
        <v>24.557099999999998</v>
      </c>
      <c r="AD6000">
        <v>1</v>
      </c>
      <c r="AE6000">
        <v>1</v>
      </c>
      <c r="AF6000">
        <v>574.05999999999995</v>
      </c>
      <c r="AG6000">
        <v>16453.259999999998</v>
      </c>
      <c r="AH6000">
        <v>670</v>
      </c>
      <c r="AI6000">
        <v>661</v>
      </c>
      <c r="AJ6000">
        <v>9</v>
      </c>
      <c r="AK6000">
        <v>1</v>
      </c>
      <c r="AL6000">
        <v>1</v>
      </c>
      <c r="AM6000">
        <v>98.66</v>
      </c>
      <c r="AN6000">
        <v>26.129799999999999</v>
      </c>
      <c r="AO6000">
        <v>228.73</v>
      </c>
      <c r="AP6000" s="13">
        <v>45990</v>
      </c>
      <c r="AQ6000">
        <v>-1</v>
      </c>
      <c r="AR6000">
        <v>1</v>
      </c>
    </row>
    <row r="6001" spans="1:44" x14ac:dyDescent="0.35">
      <c r="A6001" s="12" t="s">
        <v>7115</v>
      </c>
      <c r="B6001" s="12" t="s">
        <v>273</v>
      </c>
      <c r="C6001" s="12" t="s">
        <v>274</v>
      </c>
      <c r="D6001" s="12" t="s">
        <v>175</v>
      </c>
      <c r="E6001" s="12" t="s">
        <v>104</v>
      </c>
      <c r="F6001">
        <v>3</v>
      </c>
      <c r="G6001">
        <v>1</v>
      </c>
      <c r="H6001">
        <v>0</v>
      </c>
      <c r="I6001" s="12" t="s">
        <v>94</v>
      </c>
      <c r="J6001" s="12" t="s">
        <v>95</v>
      </c>
      <c r="K6001" s="12" t="s">
        <v>81</v>
      </c>
      <c r="L6001" s="12" t="s">
        <v>96</v>
      </c>
      <c r="M6001">
        <v>4.8099999999999996</v>
      </c>
      <c r="N6001" s="12" t="s">
        <v>145</v>
      </c>
      <c r="O6001" s="12" t="s">
        <v>146</v>
      </c>
      <c r="P6001" s="12" t="s">
        <v>109</v>
      </c>
      <c r="Q6001" s="13">
        <v>45968</v>
      </c>
      <c r="R6001" s="13">
        <v>45992</v>
      </c>
      <c r="S6001">
        <v>2025</v>
      </c>
      <c r="T6001" s="12" t="s">
        <v>7071</v>
      </c>
      <c r="U6001">
        <v>107</v>
      </c>
      <c r="V6001">
        <v>117.8005</v>
      </c>
      <c r="W6001">
        <v>138.63</v>
      </c>
      <c r="X6001">
        <v>0</v>
      </c>
      <c r="Y6001">
        <v>0</v>
      </c>
      <c r="Z6001">
        <v>12604.65</v>
      </c>
      <c r="AA6001">
        <v>12743.28</v>
      </c>
      <c r="AB6001" s="12" t="s">
        <v>201</v>
      </c>
      <c r="AD6001">
        <v>0</v>
      </c>
      <c r="AE6001">
        <v>0</v>
      </c>
      <c r="AH6001">
        <v>107</v>
      </c>
      <c r="AI6001">
        <v>106</v>
      </c>
      <c r="AJ6001">
        <v>1</v>
      </c>
      <c r="AK6001">
        <v>1</v>
      </c>
      <c r="AL6001">
        <v>1</v>
      </c>
      <c r="AM6001">
        <v>99.07</v>
      </c>
      <c r="AN6001">
        <v>120.2197</v>
      </c>
      <c r="AO6001">
        <v>117.8</v>
      </c>
      <c r="AP6001" s="13">
        <v>45991</v>
      </c>
      <c r="AQ6001">
        <v>-1</v>
      </c>
      <c r="AR6001">
        <v>1</v>
      </c>
    </row>
    <row r="6002" spans="1:44" x14ac:dyDescent="0.35">
      <c r="A6002" s="12" t="s">
        <v>7116</v>
      </c>
      <c r="B6002" s="12" t="s">
        <v>827</v>
      </c>
      <c r="C6002" s="12" t="s">
        <v>828</v>
      </c>
      <c r="D6002" s="12" t="s">
        <v>175</v>
      </c>
      <c r="E6002" s="12" t="s">
        <v>104</v>
      </c>
      <c r="F6002">
        <v>2</v>
      </c>
      <c r="G6002">
        <v>0</v>
      </c>
      <c r="H6002">
        <v>0</v>
      </c>
      <c r="I6002" s="12" t="s">
        <v>183</v>
      </c>
      <c r="J6002" s="12" t="s">
        <v>184</v>
      </c>
      <c r="K6002" s="12" t="s">
        <v>133</v>
      </c>
      <c r="L6002" s="12" t="s">
        <v>82</v>
      </c>
      <c r="M6002">
        <v>8.6199999999999992</v>
      </c>
      <c r="N6002" s="12" t="s">
        <v>145</v>
      </c>
      <c r="O6002" s="12" t="s">
        <v>146</v>
      </c>
      <c r="P6002" s="12" t="s">
        <v>109</v>
      </c>
      <c r="Q6002" s="13">
        <v>45968</v>
      </c>
      <c r="R6002" s="13">
        <v>45992</v>
      </c>
      <c r="S6002">
        <v>2025</v>
      </c>
      <c r="T6002" s="12" t="s">
        <v>7071</v>
      </c>
      <c r="U6002">
        <v>105</v>
      </c>
      <c r="V6002">
        <v>104.6336</v>
      </c>
      <c r="W6002">
        <v>203</v>
      </c>
      <c r="X6002">
        <v>0</v>
      </c>
      <c r="Y6002">
        <v>0</v>
      </c>
      <c r="Z6002">
        <v>10986.53</v>
      </c>
      <c r="AA6002">
        <v>11189.53</v>
      </c>
      <c r="AB6002" s="12" t="s">
        <v>201</v>
      </c>
      <c r="AD6002">
        <v>0</v>
      </c>
      <c r="AE6002">
        <v>0</v>
      </c>
      <c r="AH6002">
        <v>105</v>
      </c>
      <c r="AI6002">
        <v>103</v>
      </c>
      <c r="AJ6002">
        <v>2</v>
      </c>
      <c r="AK6002">
        <v>1</v>
      </c>
      <c r="AL6002">
        <v>1</v>
      </c>
      <c r="AM6002">
        <v>98.1</v>
      </c>
      <c r="AN6002">
        <v>108.6362</v>
      </c>
      <c r="AO6002">
        <v>209.27</v>
      </c>
      <c r="AP6002" s="13">
        <v>45990</v>
      </c>
      <c r="AQ6002">
        <v>-2</v>
      </c>
      <c r="AR6002">
        <v>1</v>
      </c>
    </row>
    <row r="6003" spans="1:44" x14ac:dyDescent="0.35">
      <c r="A6003" s="12" t="s">
        <v>7117</v>
      </c>
      <c r="B6003" s="12" t="s">
        <v>482</v>
      </c>
      <c r="C6003" s="12" t="s">
        <v>483</v>
      </c>
      <c r="D6003" s="12" t="s">
        <v>78</v>
      </c>
      <c r="E6003" s="12" t="s">
        <v>142</v>
      </c>
      <c r="F6003">
        <v>2</v>
      </c>
      <c r="G6003">
        <v>9</v>
      </c>
      <c r="H6003">
        <v>0</v>
      </c>
      <c r="I6003" s="12" t="s">
        <v>87</v>
      </c>
      <c r="J6003" s="12" t="s">
        <v>88</v>
      </c>
      <c r="K6003" s="12" t="s">
        <v>89</v>
      </c>
      <c r="L6003" s="12" t="s">
        <v>69</v>
      </c>
      <c r="M6003">
        <v>14.93</v>
      </c>
      <c r="N6003" s="12" t="s">
        <v>70</v>
      </c>
      <c r="O6003" s="12" t="s">
        <v>71</v>
      </c>
      <c r="P6003" s="12" t="s">
        <v>72</v>
      </c>
      <c r="Q6003" s="13">
        <v>45968</v>
      </c>
      <c r="R6003" s="13">
        <v>46010</v>
      </c>
      <c r="S6003">
        <v>2025</v>
      </c>
      <c r="T6003" s="12" t="s">
        <v>7071</v>
      </c>
      <c r="U6003">
        <v>151</v>
      </c>
      <c r="V6003">
        <v>44.658099999999997</v>
      </c>
      <c r="W6003">
        <v>133.30000000000001</v>
      </c>
      <c r="X6003">
        <v>0</v>
      </c>
      <c r="Y6003">
        <v>0</v>
      </c>
      <c r="Z6003">
        <v>6743.37</v>
      </c>
      <c r="AA6003">
        <v>6876.67</v>
      </c>
      <c r="AB6003" s="12" t="s">
        <v>5658</v>
      </c>
      <c r="AC6003">
        <v>44.658099999999997</v>
      </c>
      <c r="AD6003">
        <v>1</v>
      </c>
      <c r="AE6003">
        <v>1</v>
      </c>
      <c r="AF6003">
        <v>0</v>
      </c>
      <c r="AG6003">
        <v>6743.37</v>
      </c>
      <c r="AH6003">
        <v>151</v>
      </c>
      <c r="AI6003">
        <v>148</v>
      </c>
      <c r="AJ6003">
        <v>3</v>
      </c>
      <c r="AK6003">
        <v>1</v>
      </c>
      <c r="AL6003">
        <v>1</v>
      </c>
      <c r="AM6003">
        <v>98.01</v>
      </c>
      <c r="AN6003">
        <v>46.463999999999999</v>
      </c>
      <c r="AO6003">
        <v>133.97</v>
      </c>
      <c r="AP6003" s="13">
        <v>46006</v>
      </c>
      <c r="AQ6003">
        <v>-4</v>
      </c>
      <c r="AR6003">
        <v>1</v>
      </c>
    </row>
    <row r="6004" spans="1:44" x14ac:dyDescent="0.35">
      <c r="A6004" s="12" t="s">
        <v>7118</v>
      </c>
      <c r="B6004" s="12" t="s">
        <v>640</v>
      </c>
      <c r="C6004" s="12" t="s">
        <v>641</v>
      </c>
      <c r="D6004" s="12" t="s">
        <v>130</v>
      </c>
      <c r="E6004" s="12" t="s">
        <v>104</v>
      </c>
      <c r="F6004">
        <v>3</v>
      </c>
      <c r="G6004">
        <v>0</v>
      </c>
      <c r="H6004">
        <v>0</v>
      </c>
      <c r="I6004" s="12" t="s">
        <v>123</v>
      </c>
      <c r="J6004" s="12" t="s">
        <v>124</v>
      </c>
      <c r="K6004" s="12" t="s">
        <v>125</v>
      </c>
      <c r="L6004" s="12" t="s">
        <v>82</v>
      </c>
      <c r="M6004">
        <v>6.75</v>
      </c>
      <c r="N6004" s="12" t="s">
        <v>159</v>
      </c>
      <c r="O6004" s="12" t="s">
        <v>160</v>
      </c>
      <c r="P6004" s="12" t="s">
        <v>137</v>
      </c>
      <c r="Q6004" s="13">
        <v>45968</v>
      </c>
      <c r="R6004" s="13">
        <v>45984</v>
      </c>
      <c r="S6004">
        <v>2025</v>
      </c>
      <c r="T6004" s="12" t="s">
        <v>7071</v>
      </c>
      <c r="U6004">
        <v>46</v>
      </c>
      <c r="V6004">
        <v>844.25710000000004</v>
      </c>
      <c r="W6004">
        <v>344.81</v>
      </c>
      <c r="X6004">
        <v>0</v>
      </c>
      <c r="Y6004">
        <v>0</v>
      </c>
      <c r="Z6004">
        <v>38835.83</v>
      </c>
      <c r="AA6004">
        <v>39180.639999999999</v>
      </c>
      <c r="AB6004" s="12" t="s">
        <v>6157</v>
      </c>
      <c r="AC6004">
        <v>844.25710000000004</v>
      </c>
      <c r="AD6004">
        <v>1</v>
      </c>
      <c r="AE6004">
        <v>1</v>
      </c>
      <c r="AF6004">
        <v>0</v>
      </c>
      <c r="AG6004">
        <v>38835.83</v>
      </c>
      <c r="AH6004">
        <v>46</v>
      </c>
      <c r="AI6004">
        <v>45</v>
      </c>
      <c r="AJ6004">
        <v>1</v>
      </c>
      <c r="AK6004">
        <v>1</v>
      </c>
      <c r="AL6004">
        <v>1</v>
      </c>
      <c r="AM6004">
        <v>97.83</v>
      </c>
      <c r="AN6004">
        <v>870.68079999999998</v>
      </c>
      <c r="AO6004">
        <v>844.26</v>
      </c>
      <c r="AP6004" s="13">
        <v>45980</v>
      </c>
      <c r="AQ6004">
        <v>-4</v>
      </c>
      <c r="AR6004">
        <v>1</v>
      </c>
    </row>
    <row r="6005" spans="1:44" x14ac:dyDescent="0.35">
      <c r="A6005" s="12" t="s">
        <v>7119</v>
      </c>
      <c r="B6005" s="12" t="s">
        <v>221</v>
      </c>
      <c r="C6005" s="12" t="s">
        <v>222</v>
      </c>
      <c r="D6005" s="12" t="s">
        <v>114</v>
      </c>
      <c r="E6005" s="12" t="s">
        <v>142</v>
      </c>
      <c r="F6005">
        <v>3</v>
      </c>
      <c r="G6005">
        <v>11</v>
      </c>
      <c r="H6005">
        <v>0</v>
      </c>
      <c r="I6005" s="12" t="s">
        <v>105</v>
      </c>
      <c r="J6005" s="12" t="s">
        <v>106</v>
      </c>
      <c r="K6005" s="12" t="s">
        <v>81</v>
      </c>
      <c r="L6005" s="12" t="s">
        <v>96</v>
      </c>
      <c r="M6005">
        <v>5.01</v>
      </c>
      <c r="N6005" s="12" t="s">
        <v>70</v>
      </c>
      <c r="O6005" s="12" t="s">
        <v>71</v>
      </c>
      <c r="P6005" s="12" t="s">
        <v>72</v>
      </c>
      <c r="Q6005" s="13">
        <v>45968</v>
      </c>
      <c r="R6005" s="13">
        <v>46020</v>
      </c>
      <c r="S6005">
        <v>2025</v>
      </c>
      <c r="T6005" s="12" t="s">
        <v>7071</v>
      </c>
      <c r="U6005">
        <v>149</v>
      </c>
      <c r="V6005">
        <v>264.36500000000001</v>
      </c>
      <c r="W6005">
        <v>813.29</v>
      </c>
      <c r="X6005">
        <v>0</v>
      </c>
      <c r="Y6005">
        <v>0</v>
      </c>
      <c r="Z6005">
        <v>39390.39</v>
      </c>
      <c r="AA6005">
        <v>40203.68</v>
      </c>
      <c r="AB6005" s="12" t="s">
        <v>201</v>
      </c>
      <c r="AD6005">
        <v>0</v>
      </c>
      <c r="AE6005">
        <v>0</v>
      </c>
      <c r="AH6005">
        <v>149</v>
      </c>
      <c r="AI6005">
        <v>148</v>
      </c>
      <c r="AJ6005">
        <v>1</v>
      </c>
      <c r="AK6005">
        <v>1</v>
      </c>
      <c r="AL6005">
        <v>1</v>
      </c>
      <c r="AM6005">
        <v>99.33</v>
      </c>
      <c r="AN6005">
        <v>271.6465</v>
      </c>
      <c r="AO6005">
        <v>264.37</v>
      </c>
      <c r="AP6005" s="13">
        <v>46018</v>
      </c>
      <c r="AQ6005">
        <v>-2</v>
      </c>
      <c r="AR6005">
        <v>1</v>
      </c>
    </row>
    <row r="6006" spans="1:44" x14ac:dyDescent="0.35">
      <c r="A6006" s="12" t="s">
        <v>7120</v>
      </c>
      <c r="B6006" s="12" t="s">
        <v>149</v>
      </c>
      <c r="C6006" s="12" t="s">
        <v>150</v>
      </c>
      <c r="D6006" s="12" t="s">
        <v>78</v>
      </c>
      <c r="E6006" s="12" t="s">
        <v>65</v>
      </c>
      <c r="F6006">
        <v>2</v>
      </c>
      <c r="G6006">
        <v>2</v>
      </c>
      <c r="H6006">
        <v>0</v>
      </c>
      <c r="I6006" s="12" t="s">
        <v>151</v>
      </c>
      <c r="J6006" s="12" t="s">
        <v>152</v>
      </c>
      <c r="K6006" s="12" t="s">
        <v>125</v>
      </c>
      <c r="L6006" s="12" t="s">
        <v>69</v>
      </c>
      <c r="M6006">
        <v>36.479999999999997</v>
      </c>
      <c r="N6006" s="12" t="s">
        <v>97</v>
      </c>
      <c r="O6006" s="12" t="s">
        <v>98</v>
      </c>
      <c r="P6006" s="12" t="s">
        <v>72</v>
      </c>
      <c r="Q6006" s="13">
        <v>45971</v>
      </c>
      <c r="R6006" s="13">
        <v>46001</v>
      </c>
      <c r="S6006">
        <v>2025</v>
      </c>
      <c r="T6006" s="12" t="s">
        <v>7071</v>
      </c>
      <c r="U6006">
        <v>179</v>
      </c>
      <c r="V6006">
        <v>62.040399999999998</v>
      </c>
      <c r="W6006">
        <v>167.84</v>
      </c>
      <c r="X6006">
        <v>0</v>
      </c>
      <c r="Y6006">
        <v>0</v>
      </c>
      <c r="Z6006">
        <v>11105.23</v>
      </c>
      <c r="AA6006">
        <v>11273.07</v>
      </c>
      <c r="AB6006" s="12" t="s">
        <v>5076</v>
      </c>
      <c r="AC6006">
        <v>65.934700000000007</v>
      </c>
      <c r="AD6006">
        <v>1</v>
      </c>
      <c r="AE6006">
        <v>1</v>
      </c>
      <c r="AF6006">
        <v>-697.08</v>
      </c>
      <c r="AG6006">
        <v>11802.31</v>
      </c>
      <c r="AH6006">
        <v>179</v>
      </c>
      <c r="AI6006">
        <v>178</v>
      </c>
      <c r="AJ6006">
        <v>1</v>
      </c>
      <c r="AK6006">
        <v>1</v>
      </c>
      <c r="AL6006">
        <v>1</v>
      </c>
      <c r="AM6006">
        <v>99.44</v>
      </c>
      <c r="AN6006">
        <v>63.331899999999997</v>
      </c>
      <c r="AO6006">
        <v>62.04</v>
      </c>
      <c r="AP6006" s="13">
        <v>46009</v>
      </c>
      <c r="AQ6006">
        <v>8</v>
      </c>
      <c r="AR6006">
        <v>0</v>
      </c>
    </row>
    <row r="6007" spans="1:44" x14ac:dyDescent="0.35">
      <c r="A6007" s="12" t="s">
        <v>7121</v>
      </c>
      <c r="B6007" s="12" t="s">
        <v>891</v>
      </c>
      <c r="C6007" s="12" t="s">
        <v>892</v>
      </c>
      <c r="D6007" s="12" t="s">
        <v>122</v>
      </c>
      <c r="E6007" s="12" t="s">
        <v>65</v>
      </c>
      <c r="F6007">
        <v>3</v>
      </c>
      <c r="G6007">
        <v>5</v>
      </c>
      <c r="H6007">
        <v>0</v>
      </c>
      <c r="I6007" s="12" t="s">
        <v>195</v>
      </c>
      <c r="J6007" s="12" t="s">
        <v>196</v>
      </c>
      <c r="K6007" s="12" t="s">
        <v>117</v>
      </c>
      <c r="L6007" s="12" t="s">
        <v>134</v>
      </c>
      <c r="M6007">
        <v>4.7699999999999996</v>
      </c>
      <c r="N6007" s="12" t="s">
        <v>97</v>
      </c>
      <c r="O6007" s="12" t="s">
        <v>98</v>
      </c>
      <c r="P6007" s="12" t="s">
        <v>72</v>
      </c>
      <c r="Q6007" s="13">
        <v>45971</v>
      </c>
      <c r="R6007" s="13">
        <v>46003</v>
      </c>
      <c r="S6007">
        <v>2025</v>
      </c>
      <c r="T6007" s="12" t="s">
        <v>7071</v>
      </c>
      <c r="U6007">
        <v>1396</v>
      </c>
      <c r="V6007">
        <v>36.331099999999999</v>
      </c>
      <c r="W6007">
        <v>1048.29</v>
      </c>
      <c r="X6007">
        <v>0</v>
      </c>
      <c r="Y6007">
        <v>0</v>
      </c>
      <c r="Z6007">
        <v>50718.22</v>
      </c>
      <c r="AA6007">
        <v>51766.51</v>
      </c>
      <c r="AB6007" s="12" t="s">
        <v>5810</v>
      </c>
      <c r="AC6007">
        <v>36.331099999999999</v>
      </c>
      <c r="AD6007">
        <v>1</v>
      </c>
      <c r="AE6007">
        <v>1</v>
      </c>
      <c r="AF6007">
        <v>0</v>
      </c>
      <c r="AG6007">
        <v>50718.22</v>
      </c>
      <c r="AH6007">
        <v>1396</v>
      </c>
      <c r="AI6007">
        <v>1389</v>
      </c>
      <c r="AJ6007">
        <v>7</v>
      </c>
      <c r="AK6007">
        <v>1</v>
      </c>
      <c r="AL6007">
        <v>1</v>
      </c>
      <c r="AM6007">
        <v>99.5</v>
      </c>
      <c r="AN6007">
        <v>37.268900000000002</v>
      </c>
      <c r="AO6007">
        <v>254.32</v>
      </c>
      <c r="AP6007" s="13">
        <v>46002</v>
      </c>
      <c r="AQ6007">
        <v>-1</v>
      </c>
      <c r="AR6007">
        <v>1</v>
      </c>
    </row>
    <row r="6008" spans="1:44" x14ac:dyDescent="0.35">
      <c r="A6008" s="12" t="s">
        <v>7122</v>
      </c>
      <c r="B6008" s="12" t="s">
        <v>503</v>
      </c>
      <c r="C6008" s="12" t="s">
        <v>504</v>
      </c>
      <c r="D6008" s="12" t="s">
        <v>103</v>
      </c>
      <c r="E6008" s="12" t="s">
        <v>104</v>
      </c>
      <c r="F6008">
        <v>3</v>
      </c>
      <c r="G6008">
        <v>1</v>
      </c>
      <c r="H6008">
        <v>0</v>
      </c>
      <c r="I6008" s="12" t="s">
        <v>251</v>
      </c>
      <c r="J6008" s="12" t="s">
        <v>252</v>
      </c>
      <c r="K6008" s="12" t="s">
        <v>133</v>
      </c>
      <c r="L6008" s="12" t="s">
        <v>69</v>
      </c>
      <c r="M6008">
        <v>34.49</v>
      </c>
      <c r="N6008" s="12" t="s">
        <v>145</v>
      </c>
      <c r="O6008" s="12" t="s">
        <v>146</v>
      </c>
      <c r="P6008" s="12" t="s">
        <v>109</v>
      </c>
      <c r="Q6008" s="13">
        <v>45971</v>
      </c>
      <c r="R6008" s="13">
        <v>45999</v>
      </c>
      <c r="S6008">
        <v>2025</v>
      </c>
      <c r="T6008" s="12" t="s">
        <v>7071</v>
      </c>
      <c r="U6008">
        <v>139</v>
      </c>
      <c r="V6008">
        <v>149.37700000000001</v>
      </c>
      <c r="W6008">
        <v>345.02</v>
      </c>
      <c r="X6008">
        <v>0</v>
      </c>
      <c r="Y6008">
        <v>0</v>
      </c>
      <c r="Z6008">
        <v>20763.400000000001</v>
      </c>
      <c r="AA6008">
        <v>21108.42</v>
      </c>
      <c r="AB6008" s="12" t="s">
        <v>7123</v>
      </c>
      <c r="AC6008">
        <v>149.37700000000001</v>
      </c>
      <c r="AD6008">
        <v>1</v>
      </c>
      <c r="AE6008">
        <v>1</v>
      </c>
      <c r="AF6008">
        <v>0</v>
      </c>
      <c r="AG6008">
        <v>20763.400000000001</v>
      </c>
      <c r="AH6008">
        <v>139</v>
      </c>
      <c r="AI6008">
        <v>138</v>
      </c>
      <c r="AJ6008">
        <v>1</v>
      </c>
      <c r="AK6008">
        <v>1</v>
      </c>
      <c r="AL6008">
        <v>1</v>
      </c>
      <c r="AM6008">
        <v>99.28</v>
      </c>
      <c r="AN6008">
        <v>152.95959999999999</v>
      </c>
      <c r="AO6008">
        <v>149.38</v>
      </c>
      <c r="AP6008" s="13">
        <v>46003</v>
      </c>
      <c r="AQ6008">
        <v>4</v>
      </c>
      <c r="AR6008">
        <v>0</v>
      </c>
    </row>
    <row r="6009" spans="1:44" x14ac:dyDescent="0.35">
      <c r="A6009" s="12" t="s">
        <v>7124</v>
      </c>
      <c r="B6009" s="12" t="s">
        <v>513</v>
      </c>
      <c r="C6009" s="12" t="s">
        <v>514</v>
      </c>
      <c r="D6009" s="12" t="s">
        <v>269</v>
      </c>
      <c r="E6009" s="12" t="s">
        <v>65</v>
      </c>
      <c r="F6009">
        <v>1</v>
      </c>
      <c r="G6009">
        <v>2</v>
      </c>
      <c r="H6009">
        <v>1</v>
      </c>
      <c r="I6009" s="12" t="s">
        <v>515</v>
      </c>
      <c r="J6009" s="12" t="s">
        <v>516</v>
      </c>
      <c r="K6009" s="12" t="s">
        <v>68</v>
      </c>
      <c r="L6009" s="12" t="s">
        <v>134</v>
      </c>
      <c r="M6009">
        <v>3.69</v>
      </c>
      <c r="N6009" s="12" t="s">
        <v>159</v>
      </c>
      <c r="O6009" s="12" t="s">
        <v>160</v>
      </c>
      <c r="P6009" s="12" t="s">
        <v>137</v>
      </c>
      <c r="Q6009" s="13">
        <v>45971</v>
      </c>
      <c r="R6009" s="13">
        <v>46009</v>
      </c>
      <c r="S6009">
        <v>2025</v>
      </c>
      <c r="T6009" s="12" t="s">
        <v>7071</v>
      </c>
      <c r="U6009">
        <v>149</v>
      </c>
      <c r="V6009">
        <v>203.066</v>
      </c>
      <c r="W6009">
        <v>390.97</v>
      </c>
      <c r="X6009">
        <v>0</v>
      </c>
      <c r="Y6009">
        <v>0</v>
      </c>
      <c r="Z6009">
        <v>30256.83</v>
      </c>
      <c r="AA6009">
        <v>30647.8</v>
      </c>
      <c r="AB6009" s="12" t="s">
        <v>201</v>
      </c>
      <c r="AD6009">
        <v>0</v>
      </c>
      <c r="AE6009">
        <v>0</v>
      </c>
      <c r="AH6009">
        <v>149</v>
      </c>
      <c r="AI6009">
        <v>147</v>
      </c>
      <c r="AJ6009">
        <v>2</v>
      </c>
      <c r="AK6009">
        <v>1</v>
      </c>
      <c r="AL6009">
        <v>1</v>
      </c>
      <c r="AM6009">
        <v>98.66</v>
      </c>
      <c r="AN6009">
        <v>208.48849999999999</v>
      </c>
      <c r="AO6009">
        <v>406.13</v>
      </c>
      <c r="AP6009" s="13">
        <v>46009</v>
      </c>
      <c r="AQ6009">
        <v>0</v>
      </c>
      <c r="AR6009">
        <v>1</v>
      </c>
    </row>
    <row r="6010" spans="1:44" x14ac:dyDescent="0.35">
      <c r="A6010" s="12" t="s">
        <v>7125</v>
      </c>
      <c r="B6010" s="12" t="s">
        <v>694</v>
      </c>
      <c r="C6010" s="12" t="s">
        <v>695</v>
      </c>
      <c r="D6010" s="12" t="s">
        <v>103</v>
      </c>
      <c r="E6010" s="12" t="s">
        <v>65</v>
      </c>
      <c r="F6010">
        <v>2</v>
      </c>
      <c r="G6010">
        <v>3</v>
      </c>
      <c r="H6010">
        <v>0</v>
      </c>
      <c r="I6010" s="12" t="s">
        <v>263</v>
      </c>
      <c r="J6010" s="12" t="s">
        <v>264</v>
      </c>
      <c r="K6010" s="12" t="s">
        <v>125</v>
      </c>
      <c r="L6010" s="12" t="s">
        <v>82</v>
      </c>
      <c r="M6010">
        <v>10.210000000000001</v>
      </c>
      <c r="N6010" s="12" t="s">
        <v>145</v>
      </c>
      <c r="O6010" s="12" t="s">
        <v>146</v>
      </c>
      <c r="P6010" s="12" t="s">
        <v>109</v>
      </c>
      <c r="Q6010" s="13">
        <v>45971</v>
      </c>
      <c r="R6010" s="13">
        <v>45995</v>
      </c>
      <c r="S6010">
        <v>2025</v>
      </c>
      <c r="T6010" s="12" t="s">
        <v>7071</v>
      </c>
      <c r="U6010">
        <v>36</v>
      </c>
      <c r="V6010">
        <v>212.41040000000001</v>
      </c>
      <c r="W6010">
        <v>119.22</v>
      </c>
      <c r="X6010">
        <v>268.81</v>
      </c>
      <c r="Y6010">
        <v>1</v>
      </c>
      <c r="Z6010">
        <v>7646.77</v>
      </c>
      <c r="AA6010">
        <v>8034.8</v>
      </c>
      <c r="AB6010" s="12" t="s">
        <v>5721</v>
      </c>
      <c r="AC6010">
        <v>206.7869</v>
      </c>
      <c r="AD6010">
        <v>1</v>
      </c>
      <c r="AE6010">
        <v>1</v>
      </c>
      <c r="AF6010">
        <v>202.45</v>
      </c>
      <c r="AG6010">
        <v>7444.33</v>
      </c>
      <c r="AH6010">
        <v>36</v>
      </c>
      <c r="AI6010">
        <v>36</v>
      </c>
      <c r="AJ6010">
        <v>0</v>
      </c>
      <c r="AK6010">
        <v>1</v>
      </c>
      <c r="AL6010">
        <v>1</v>
      </c>
      <c r="AM6010">
        <v>100</v>
      </c>
      <c r="AN6010">
        <v>223.18899999999999</v>
      </c>
      <c r="AO6010">
        <v>0</v>
      </c>
      <c r="AP6010" s="13">
        <v>45995</v>
      </c>
      <c r="AQ6010">
        <v>0</v>
      </c>
      <c r="AR6010">
        <v>1</v>
      </c>
    </row>
    <row r="6011" spans="1:44" x14ac:dyDescent="0.35">
      <c r="A6011" s="12" t="s">
        <v>7126</v>
      </c>
      <c r="B6011" s="12" t="s">
        <v>378</v>
      </c>
      <c r="C6011" s="12" t="s">
        <v>379</v>
      </c>
      <c r="D6011" s="12" t="s">
        <v>64</v>
      </c>
      <c r="E6011" s="12" t="s">
        <v>104</v>
      </c>
      <c r="F6011">
        <v>3</v>
      </c>
      <c r="G6011">
        <v>1</v>
      </c>
      <c r="H6011">
        <v>0</v>
      </c>
      <c r="I6011" s="12" t="s">
        <v>176</v>
      </c>
      <c r="J6011" s="12" t="s">
        <v>177</v>
      </c>
      <c r="K6011" s="12" t="s">
        <v>125</v>
      </c>
      <c r="L6011" s="12" t="s">
        <v>134</v>
      </c>
      <c r="M6011">
        <v>1.75</v>
      </c>
      <c r="N6011" s="12" t="s">
        <v>97</v>
      </c>
      <c r="O6011" s="12" t="s">
        <v>98</v>
      </c>
      <c r="P6011" s="12" t="s">
        <v>72</v>
      </c>
      <c r="Q6011" s="13">
        <v>45971</v>
      </c>
      <c r="R6011" s="13">
        <v>45989</v>
      </c>
      <c r="S6011">
        <v>2025</v>
      </c>
      <c r="T6011" s="12" t="s">
        <v>7071</v>
      </c>
      <c r="U6011">
        <v>407</v>
      </c>
      <c r="V6011">
        <v>15.242800000000001</v>
      </c>
      <c r="W6011">
        <v>89.12</v>
      </c>
      <c r="X6011">
        <v>0</v>
      </c>
      <c r="Y6011">
        <v>0</v>
      </c>
      <c r="Z6011">
        <v>6203.82</v>
      </c>
      <c r="AA6011">
        <v>6292.94</v>
      </c>
      <c r="AB6011" s="12" t="s">
        <v>201</v>
      </c>
      <c r="AD6011">
        <v>0</v>
      </c>
      <c r="AE6011">
        <v>0</v>
      </c>
      <c r="AH6011">
        <v>407</v>
      </c>
      <c r="AI6011">
        <v>403</v>
      </c>
      <c r="AJ6011">
        <v>4</v>
      </c>
      <c r="AK6011">
        <v>1</v>
      </c>
      <c r="AL6011">
        <v>1</v>
      </c>
      <c r="AM6011">
        <v>99.02</v>
      </c>
      <c r="AN6011">
        <v>15.6152</v>
      </c>
      <c r="AO6011">
        <v>60.97</v>
      </c>
      <c r="AP6011" s="13">
        <v>45988</v>
      </c>
      <c r="AQ6011">
        <v>-1</v>
      </c>
      <c r="AR6011">
        <v>1</v>
      </c>
    </row>
    <row r="6012" spans="1:44" x14ac:dyDescent="0.35">
      <c r="A6012" s="12" t="s">
        <v>7127</v>
      </c>
      <c r="B6012" s="12" t="s">
        <v>163</v>
      </c>
      <c r="C6012" s="12" t="s">
        <v>164</v>
      </c>
      <c r="D6012" s="12" t="s">
        <v>64</v>
      </c>
      <c r="E6012" s="12" t="s">
        <v>104</v>
      </c>
      <c r="F6012">
        <v>2</v>
      </c>
      <c r="G6012">
        <v>0</v>
      </c>
      <c r="H6012">
        <v>0</v>
      </c>
      <c r="I6012" s="12" t="s">
        <v>183</v>
      </c>
      <c r="J6012" s="12" t="s">
        <v>184</v>
      </c>
      <c r="K6012" s="12" t="s">
        <v>133</v>
      </c>
      <c r="L6012" s="12" t="s">
        <v>82</v>
      </c>
      <c r="M6012">
        <v>8.6199999999999992</v>
      </c>
      <c r="N6012" s="12" t="s">
        <v>97</v>
      </c>
      <c r="O6012" s="12" t="s">
        <v>98</v>
      </c>
      <c r="P6012" s="12" t="s">
        <v>72</v>
      </c>
      <c r="Q6012" s="13">
        <v>45972</v>
      </c>
      <c r="R6012" s="13">
        <v>45994</v>
      </c>
      <c r="S6012">
        <v>2025</v>
      </c>
      <c r="T6012" s="12" t="s">
        <v>7071</v>
      </c>
      <c r="U6012">
        <v>649</v>
      </c>
      <c r="V6012">
        <v>12.4924</v>
      </c>
      <c r="W6012">
        <v>160.71</v>
      </c>
      <c r="X6012">
        <v>0</v>
      </c>
      <c r="Y6012">
        <v>0</v>
      </c>
      <c r="Z6012">
        <v>8107.57</v>
      </c>
      <c r="AA6012">
        <v>8268.2800000000007</v>
      </c>
      <c r="AB6012" s="12" t="s">
        <v>6100</v>
      </c>
      <c r="AC6012">
        <v>12.0688</v>
      </c>
      <c r="AD6012">
        <v>1</v>
      </c>
      <c r="AE6012">
        <v>1</v>
      </c>
      <c r="AF6012">
        <v>274.92</v>
      </c>
      <c r="AG6012">
        <v>7832.65</v>
      </c>
      <c r="AH6012">
        <v>649</v>
      </c>
      <c r="AI6012">
        <v>639</v>
      </c>
      <c r="AJ6012">
        <v>10</v>
      </c>
      <c r="AK6012">
        <v>1</v>
      </c>
      <c r="AL6012">
        <v>1</v>
      </c>
      <c r="AM6012">
        <v>98.46</v>
      </c>
      <c r="AN6012">
        <v>12.939399999999999</v>
      </c>
      <c r="AO6012">
        <v>124.92</v>
      </c>
      <c r="AP6012" s="13">
        <v>45994</v>
      </c>
      <c r="AQ6012">
        <v>0</v>
      </c>
      <c r="AR6012">
        <v>1</v>
      </c>
    </row>
    <row r="6013" spans="1:44" x14ac:dyDescent="0.35">
      <c r="A6013" s="12" t="s">
        <v>7128</v>
      </c>
      <c r="B6013" s="12" t="s">
        <v>284</v>
      </c>
      <c r="C6013" s="12" t="s">
        <v>285</v>
      </c>
      <c r="D6013" s="12" t="s">
        <v>269</v>
      </c>
      <c r="E6013" s="12" t="s">
        <v>104</v>
      </c>
      <c r="F6013">
        <v>3</v>
      </c>
      <c r="G6013">
        <v>1</v>
      </c>
      <c r="H6013">
        <v>0</v>
      </c>
      <c r="I6013" s="12" t="s">
        <v>199</v>
      </c>
      <c r="J6013" s="12" t="s">
        <v>200</v>
      </c>
      <c r="K6013" s="12" t="s">
        <v>68</v>
      </c>
      <c r="L6013" s="12" t="s">
        <v>96</v>
      </c>
      <c r="M6013">
        <v>9.4700000000000006</v>
      </c>
      <c r="N6013" s="12" t="s">
        <v>159</v>
      </c>
      <c r="O6013" s="12" t="s">
        <v>160</v>
      </c>
      <c r="P6013" s="12" t="s">
        <v>137</v>
      </c>
      <c r="Q6013" s="13">
        <v>45972</v>
      </c>
      <c r="R6013" s="13">
        <v>45998</v>
      </c>
      <c r="S6013">
        <v>2025</v>
      </c>
      <c r="T6013" s="12" t="s">
        <v>7071</v>
      </c>
      <c r="U6013">
        <v>119</v>
      </c>
      <c r="V6013">
        <v>372.50479999999999</v>
      </c>
      <c r="W6013">
        <v>796.15</v>
      </c>
      <c r="X6013">
        <v>0</v>
      </c>
      <c r="Y6013">
        <v>0</v>
      </c>
      <c r="Z6013">
        <v>44328.07</v>
      </c>
      <c r="AA6013">
        <v>45124.22</v>
      </c>
      <c r="AB6013" s="12" t="s">
        <v>201</v>
      </c>
      <c r="AD6013">
        <v>0</v>
      </c>
      <c r="AE6013">
        <v>0</v>
      </c>
      <c r="AH6013">
        <v>119</v>
      </c>
      <c r="AI6013">
        <v>118</v>
      </c>
      <c r="AJ6013">
        <v>1</v>
      </c>
      <c r="AK6013">
        <v>1</v>
      </c>
      <c r="AL6013">
        <v>1</v>
      </c>
      <c r="AM6013">
        <v>99.16</v>
      </c>
      <c r="AN6013">
        <v>382.40870000000001</v>
      </c>
      <c r="AO6013">
        <v>372.5</v>
      </c>
      <c r="AP6013" s="13">
        <v>46002</v>
      </c>
      <c r="AQ6013">
        <v>4</v>
      </c>
      <c r="AR6013">
        <v>0</v>
      </c>
    </row>
    <row r="6014" spans="1:44" x14ac:dyDescent="0.35">
      <c r="A6014" s="12" t="s">
        <v>7129</v>
      </c>
      <c r="B6014" s="12" t="s">
        <v>694</v>
      </c>
      <c r="C6014" s="12" t="s">
        <v>695</v>
      </c>
      <c r="D6014" s="12" t="s">
        <v>103</v>
      </c>
      <c r="E6014" s="12" t="s">
        <v>65</v>
      </c>
      <c r="F6014">
        <v>2</v>
      </c>
      <c r="G6014">
        <v>3</v>
      </c>
      <c r="H6014">
        <v>0</v>
      </c>
      <c r="I6014" s="12" t="s">
        <v>263</v>
      </c>
      <c r="J6014" s="12" t="s">
        <v>264</v>
      </c>
      <c r="K6014" s="12" t="s">
        <v>125</v>
      </c>
      <c r="L6014" s="12" t="s">
        <v>82</v>
      </c>
      <c r="M6014">
        <v>10.210000000000001</v>
      </c>
      <c r="N6014" s="12" t="s">
        <v>107</v>
      </c>
      <c r="O6014" s="12" t="s">
        <v>108</v>
      </c>
      <c r="P6014" s="12" t="s">
        <v>109</v>
      </c>
      <c r="Q6014" s="13">
        <v>45972</v>
      </c>
      <c r="R6014" s="13">
        <v>45995</v>
      </c>
      <c r="S6014">
        <v>2025</v>
      </c>
      <c r="T6014" s="12" t="s">
        <v>7071</v>
      </c>
      <c r="U6014">
        <v>31</v>
      </c>
      <c r="V6014">
        <v>206.7869</v>
      </c>
      <c r="W6014">
        <v>81.92</v>
      </c>
      <c r="X6014">
        <v>0</v>
      </c>
      <c r="Y6014">
        <v>0</v>
      </c>
      <c r="Z6014">
        <v>6410.39</v>
      </c>
      <c r="AA6014">
        <v>6492.31</v>
      </c>
      <c r="AB6014" s="12" t="s">
        <v>5721</v>
      </c>
      <c r="AC6014">
        <v>206.7869</v>
      </c>
      <c r="AD6014">
        <v>1</v>
      </c>
      <c r="AE6014">
        <v>1</v>
      </c>
      <c r="AF6014">
        <v>0</v>
      </c>
      <c r="AG6014">
        <v>6410.39</v>
      </c>
      <c r="AH6014">
        <v>31</v>
      </c>
      <c r="AI6014">
        <v>31</v>
      </c>
      <c r="AJ6014">
        <v>0</v>
      </c>
      <c r="AK6014">
        <v>1</v>
      </c>
      <c r="AL6014">
        <v>1</v>
      </c>
      <c r="AM6014">
        <v>100</v>
      </c>
      <c r="AN6014">
        <v>209.42949999999999</v>
      </c>
      <c r="AO6014">
        <v>0</v>
      </c>
      <c r="AP6014" s="13">
        <v>45992</v>
      </c>
      <c r="AQ6014">
        <v>-3</v>
      </c>
      <c r="AR6014">
        <v>1</v>
      </c>
    </row>
    <row r="6015" spans="1:44" x14ac:dyDescent="0.35">
      <c r="A6015" s="12" t="s">
        <v>7130</v>
      </c>
      <c r="B6015" s="12" t="s">
        <v>519</v>
      </c>
      <c r="C6015" s="12" t="s">
        <v>520</v>
      </c>
      <c r="D6015" s="12" t="s">
        <v>78</v>
      </c>
      <c r="E6015" s="12" t="s">
        <v>65</v>
      </c>
      <c r="F6015">
        <v>2</v>
      </c>
      <c r="G6015">
        <v>3</v>
      </c>
      <c r="H6015">
        <v>0</v>
      </c>
      <c r="I6015" s="12" t="s">
        <v>143</v>
      </c>
      <c r="J6015" s="12" t="s">
        <v>144</v>
      </c>
      <c r="K6015" s="12" t="s">
        <v>133</v>
      </c>
      <c r="L6015" s="12" t="s">
        <v>96</v>
      </c>
      <c r="M6015">
        <v>5.43</v>
      </c>
      <c r="N6015" s="12" t="s">
        <v>70</v>
      </c>
      <c r="O6015" s="12" t="s">
        <v>71</v>
      </c>
      <c r="P6015" s="12" t="s">
        <v>72</v>
      </c>
      <c r="Q6015" s="13">
        <v>45972</v>
      </c>
      <c r="R6015" s="13">
        <v>45997</v>
      </c>
      <c r="S6015">
        <v>2025</v>
      </c>
      <c r="T6015" s="12" t="s">
        <v>7071</v>
      </c>
      <c r="U6015">
        <v>99</v>
      </c>
      <c r="V6015">
        <v>28.570399999999999</v>
      </c>
      <c r="W6015">
        <v>45.47</v>
      </c>
      <c r="X6015">
        <v>0</v>
      </c>
      <c r="Y6015">
        <v>0</v>
      </c>
      <c r="Z6015">
        <v>2828.47</v>
      </c>
      <c r="AA6015">
        <v>2873.94</v>
      </c>
      <c r="AB6015" s="12" t="s">
        <v>5619</v>
      </c>
      <c r="AC6015">
        <v>28.570399999999999</v>
      </c>
      <c r="AD6015">
        <v>1</v>
      </c>
      <c r="AE6015">
        <v>1</v>
      </c>
      <c r="AF6015">
        <v>0</v>
      </c>
      <c r="AG6015">
        <v>2828.47</v>
      </c>
      <c r="AH6015">
        <v>99</v>
      </c>
      <c r="AI6015">
        <v>97</v>
      </c>
      <c r="AJ6015">
        <v>2</v>
      </c>
      <c r="AK6015">
        <v>1</v>
      </c>
      <c r="AL6015">
        <v>1</v>
      </c>
      <c r="AM6015">
        <v>97.98</v>
      </c>
      <c r="AN6015">
        <v>29.6282</v>
      </c>
      <c r="AO6015">
        <v>57.14</v>
      </c>
      <c r="AP6015" s="13">
        <v>46000</v>
      </c>
      <c r="AQ6015">
        <v>3</v>
      </c>
      <c r="AR6015">
        <v>0</v>
      </c>
    </row>
    <row r="6016" spans="1:44" x14ac:dyDescent="0.35">
      <c r="A6016" s="12" t="s">
        <v>7131</v>
      </c>
      <c r="B6016" s="12" t="s">
        <v>249</v>
      </c>
      <c r="C6016" s="12" t="s">
        <v>250</v>
      </c>
      <c r="D6016" s="12" t="s">
        <v>64</v>
      </c>
      <c r="E6016" s="12" t="s">
        <v>65</v>
      </c>
      <c r="F6016">
        <v>2</v>
      </c>
      <c r="G6016">
        <v>3</v>
      </c>
      <c r="H6016">
        <v>0</v>
      </c>
      <c r="I6016" s="12" t="s">
        <v>251</v>
      </c>
      <c r="J6016" s="12" t="s">
        <v>252</v>
      </c>
      <c r="K6016" s="12" t="s">
        <v>133</v>
      </c>
      <c r="L6016" s="12" t="s">
        <v>69</v>
      </c>
      <c r="M6016">
        <v>34.49</v>
      </c>
      <c r="N6016" s="12" t="s">
        <v>97</v>
      </c>
      <c r="O6016" s="12" t="s">
        <v>98</v>
      </c>
      <c r="P6016" s="12" t="s">
        <v>72</v>
      </c>
      <c r="Q6016" s="13">
        <v>45972</v>
      </c>
      <c r="R6016" s="13">
        <v>45997</v>
      </c>
      <c r="S6016">
        <v>2025</v>
      </c>
      <c r="T6016" s="12" t="s">
        <v>7071</v>
      </c>
      <c r="U6016">
        <v>323</v>
      </c>
      <c r="V6016">
        <v>9.9464000000000006</v>
      </c>
      <c r="W6016">
        <v>20.95</v>
      </c>
      <c r="X6016">
        <v>0</v>
      </c>
      <c r="Y6016">
        <v>0</v>
      </c>
      <c r="Z6016">
        <v>3212.69</v>
      </c>
      <c r="AA6016">
        <v>3233.64</v>
      </c>
      <c r="AB6016" s="12" t="s">
        <v>5207</v>
      </c>
      <c r="AC6016">
        <v>9.9464000000000006</v>
      </c>
      <c r="AD6016">
        <v>1</v>
      </c>
      <c r="AE6016">
        <v>1</v>
      </c>
      <c r="AF6016">
        <v>0</v>
      </c>
      <c r="AG6016">
        <v>3212.69</v>
      </c>
      <c r="AH6016">
        <v>323</v>
      </c>
      <c r="AI6016">
        <v>321</v>
      </c>
      <c r="AJ6016">
        <v>2</v>
      </c>
      <c r="AK6016">
        <v>1</v>
      </c>
      <c r="AL6016">
        <v>1</v>
      </c>
      <c r="AM6016">
        <v>99.38</v>
      </c>
      <c r="AN6016">
        <v>10.073600000000001</v>
      </c>
      <c r="AO6016">
        <v>19.89</v>
      </c>
      <c r="AP6016" s="13">
        <v>45997</v>
      </c>
      <c r="AQ6016">
        <v>0</v>
      </c>
      <c r="AR6016">
        <v>1</v>
      </c>
    </row>
    <row r="6017" spans="1:44" x14ac:dyDescent="0.35">
      <c r="A6017" s="12" t="s">
        <v>7132</v>
      </c>
      <c r="B6017" s="12" t="s">
        <v>773</v>
      </c>
      <c r="C6017" s="12" t="s">
        <v>774</v>
      </c>
      <c r="D6017" s="12" t="s">
        <v>64</v>
      </c>
      <c r="E6017" s="12" t="s">
        <v>142</v>
      </c>
      <c r="F6017">
        <v>1</v>
      </c>
      <c r="G6017">
        <v>7</v>
      </c>
      <c r="H6017">
        <v>1</v>
      </c>
      <c r="I6017" s="12" t="s">
        <v>251</v>
      </c>
      <c r="J6017" s="12" t="s">
        <v>252</v>
      </c>
      <c r="K6017" s="12" t="s">
        <v>133</v>
      </c>
      <c r="L6017" s="12" t="s">
        <v>69</v>
      </c>
      <c r="M6017">
        <v>34.49</v>
      </c>
      <c r="N6017" s="12" t="s">
        <v>97</v>
      </c>
      <c r="O6017" s="12" t="s">
        <v>98</v>
      </c>
      <c r="P6017" s="12" t="s">
        <v>72</v>
      </c>
      <c r="Q6017" s="13">
        <v>45972</v>
      </c>
      <c r="R6017" s="13">
        <v>46022</v>
      </c>
      <c r="S6017">
        <v>2025</v>
      </c>
      <c r="T6017" s="12" t="s">
        <v>7071</v>
      </c>
      <c r="U6017">
        <v>897</v>
      </c>
      <c r="V6017">
        <v>9.9849999999999994</v>
      </c>
      <c r="W6017">
        <v>153.94999999999999</v>
      </c>
      <c r="X6017">
        <v>271.95</v>
      </c>
      <c r="Y6017">
        <v>1</v>
      </c>
      <c r="Z6017">
        <v>8956.5499999999993</v>
      </c>
      <c r="AA6017">
        <v>9382.4500000000007</v>
      </c>
      <c r="AB6017" s="12" t="s">
        <v>5613</v>
      </c>
      <c r="AC6017">
        <v>9.9849999999999994</v>
      </c>
      <c r="AD6017">
        <v>1</v>
      </c>
      <c r="AE6017">
        <v>1</v>
      </c>
      <c r="AF6017">
        <v>0</v>
      </c>
      <c r="AG6017">
        <v>8956.5499999999993</v>
      </c>
      <c r="AK6017">
        <v>0</v>
      </c>
      <c r="AL6017">
        <v>0</v>
      </c>
      <c r="AO6017">
        <v>0</v>
      </c>
      <c r="AP6017" s="13"/>
    </row>
    <row r="6018" spans="1:44" x14ac:dyDescent="0.35">
      <c r="A6018" s="12" t="s">
        <v>7133</v>
      </c>
      <c r="B6018" s="12" t="s">
        <v>978</v>
      </c>
      <c r="C6018" s="12" t="s">
        <v>979</v>
      </c>
      <c r="D6018" s="12" t="s">
        <v>122</v>
      </c>
      <c r="E6018" s="12" t="s">
        <v>65</v>
      </c>
      <c r="F6018">
        <v>1</v>
      </c>
      <c r="G6018">
        <v>2</v>
      </c>
      <c r="H6018">
        <v>1</v>
      </c>
      <c r="I6018" s="12" t="s">
        <v>310</v>
      </c>
      <c r="J6018" s="12" t="s">
        <v>311</v>
      </c>
      <c r="K6018" s="12" t="s">
        <v>81</v>
      </c>
      <c r="L6018" s="12" t="s">
        <v>69</v>
      </c>
      <c r="M6018">
        <v>28.3</v>
      </c>
      <c r="N6018" s="12" t="s">
        <v>97</v>
      </c>
      <c r="O6018" s="12" t="s">
        <v>98</v>
      </c>
      <c r="P6018" s="12" t="s">
        <v>72</v>
      </c>
      <c r="Q6018" s="13">
        <v>45972</v>
      </c>
      <c r="R6018" s="13">
        <v>46004</v>
      </c>
      <c r="S6018">
        <v>2025</v>
      </c>
      <c r="T6018" s="12" t="s">
        <v>7071</v>
      </c>
      <c r="U6018">
        <v>1384</v>
      </c>
      <c r="V6018">
        <v>43.4407</v>
      </c>
      <c r="W6018">
        <v>452.55</v>
      </c>
      <c r="X6018">
        <v>0</v>
      </c>
      <c r="Y6018">
        <v>0</v>
      </c>
      <c r="Z6018">
        <v>60121.93</v>
      </c>
      <c r="AA6018">
        <v>60574.48</v>
      </c>
      <c r="AB6018" s="12" t="s">
        <v>6061</v>
      </c>
      <c r="AC6018">
        <v>43.4407</v>
      </c>
      <c r="AD6018">
        <v>1</v>
      </c>
      <c r="AE6018">
        <v>1</v>
      </c>
      <c r="AF6018">
        <v>0</v>
      </c>
      <c r="AG6018">
        <v>60121.93</v>
      </c>
      <c r="AH6018">
        <v>1384</v>
      </c>
      <c r="AI6018">
        <v>1372</v>
      </c>
      <c r="AJ6018">
        <v>12</v>
      </c>
      <c r="AK6018">
        <v>1</v>
      </c>
      <c r="AL6018">
        <v>1</v>
      </c>
      <c r="AM6018">
        <v>99.13</v>
      </c>
      <c r="AN6018">
        <v>44.150500000000001</v>
      </c>
      <c r="AO6018">
        <v>521.29</v>
      </c>
      <c r="AP6018" s="13">
        <v>46004</v>
      </c>
      <c r="AQ6018">
        <v>0</v>
      </c>
      <c r="AR6018">
        <v>1</v>
      </c>
    </row>
    <row r="6019" spans="1:44" x14ac:dyDescent="0.35">
      <c r="A6019" s="12" t="s">
        <v>7134</v>
      </c>
      <c r="B6019" s="12" t="s">
        <v>207</v>
      </c>
      <c r="C6019" s="12" t="s">
        <v>208</v>
      </c>
      <c r="D6019" s="12" t="s">
        <v>78</v>
      </c>
      <c r="E6019" s="12" t="s">
        <v>65</v>
      </c>
      <c r="F6019">
        <v>2</v>
      </c>
      <c r="G6019">
        <v>3</v>
      </c>
      <c r="H6019">
        <v>0</v>
      </c>
      <c r="I6019" s="12" t="s">
        <v>209</v>
      </c>
      <c r="J6019" s="12" t="s">
        <v>210</v>
      </c>
      <c r="K6019" s="12" t="s">
        <v>133</v>
      </c>
      <c r="L6019" s="12" t="s">
        <v>96</v>
      </c>
      <c r="M6019">
        <v>7.82</v>
      </c>
      <c r="N6019" s="12" t="s">
        <v>97</v>
      </c>
      <c r="O6019" s="12" t="s">
        <v>98</v>
      </c>
      <c r="P6019" s="12" t="s">
        <v>72</v>
      </c>
      <c r="Q6019" s="13">
        <v>45972</v>
      </c>
      <c r="R6019" s="13">
        <v>46004</v>
      </c>
      <c r="S6019">
        <v>2025</v>
      </c>
      <c r="T6019" s="12" t="s">
        <v>7071</v>
      </c>
      <c r="U6019">
        <v>198</v>
      </c>
      <c r="V6019">
        <v>136.6036</v>
      </c>
      <c r="W6019">
        <v>340.27</v>
      </c>
      <c r="X6019">
        <v>870.99</v>
      </c>
      <c r="Y6019">
        <v>1</v>
      </c>
      <c r="Z6019">
        <v>27047.51</v>
      </c>
      <c r="AA6019">
        <v>28258.77</v>
      </c>
      <c r="AB6019" s="12" t="s">
        <v>5196</v>
      </c>
      <c r="AC6019">
        <v>145.1729</v>
      </c>
      <c r="AD6019">
        <v>1</v>
      </c>
      <c r="AE6019">
        <v>1</v>
      </c>
      <c r="AF6019">
        <v>-1696.72</v>
      </c>
      <c r="AG6019">
        <v>28744.23</v>
      </c>
      <c r="AH6019">
        <v>198</v>
      </c>
      <c r="AI6019">
        <v>197</v>
      </c>
      <c r="AJ6019">
        <v>1</v>
      </c>
      <c r="AK6019">
        <v>1</v>
      </c>
      <c r="AL6019">
        <v>1</v>
      </c>
      <c r="AM6019">
        <v>99.49</v>
      </c>
      <c r="AN6019">
        <v>143.44550000000001</v>
      </c>
      <c r="AO6019">
        <v>136.6</v>
      </c>
      <c r="AP6019" s="13">
        <v>46003</v>
      </c>
      <c r="AQ6019">
        <v>-1</v>
      </c>
      <c r="AR6019">
        <v>1</v>
      </c>
    </row>
    <row r="6020" spans="1:44" x14ac:dyDescent="0.35">
      <c r="A6020" s="12" t="s">
        <v>7135</v>
      </c>
      <c r="B6020" s="12" t="s">
        <v>712</v>
      </c>
      <c r="C6020" s="12" t="s">
        <v>713</v>
      </c>
      <c r="D6020" s="12" t="s">
        <v>103</v>
      </c>
      <c r="E6020" s="12" t="s">
        <v>104</v>
      </c>
      <c r="F6020">
        <v>2</v>
      </c>
      <c r="G6020">
        <v>0</v>
      </c>
      <c r="H6020">
        <v>0</v>
      </c>
      <c r="I6020" s="12" t="s">
        <v>199</v>
      </c>
      <c r="J6020" s="12" t="s">
        <v>200</v>
      </c>
      <c r="K6020" s="12" t="s">
        <v>68</v>
      </c>
      <c r="L6020" s="12" t="s">
        <v>96</v>
      </c>
      <c r="M6020">
        <v>9.4700000000000006</v>
      </c>
      <c r="N6020" s="12" t="s">
        <v>145</v>
      </c>
      <c r="O6020" s="12" t="s">
        <v>146</v>
      </c>
      <c r="P6020" s="12" t="s">
        <v>109</v>
      </c>
      <c r="Q6020" s="13">
        <v>45972</v>
      </c>
      <c r="R6020" s="13">
        <v>45985</v>
      </c>
      <c r="S6020">
        <v>2025</v>
      </c>
      <c r="T6020" s="12" t="s">
        <v>7071</v>
      </c>
      <c r="U6020">
        <v>21</v>
      </c>
      <c r="V6020">
        <v>227.20099999999999</v>
      </c>
      <c r="W6020">
        <v>90.59</v>
      </c>
      <c r="X6020">
        <v>0</v>
      </c>
      <c r="Y6020">
        <v>0</v>
      </c>
      <c r="Z6020">
        <v>4771.22</v>
      </c>
      <c r="AA6020">
        <v>4861.8100000000004</v>
      </c>
      <c r="AB6020" s="12" t="s">
        <v>201</v>
      </c>
      <c r="AD6020">
        <v>0</v>
      </c>
      <c r="AE6020">
        <v>0</v>
      </c>
      <c r="AH6020">
        <v>21</v>
      </c>
      <c r="AI6020">
        <v>21</v>
      </c>
      <c r="AJ6020">
        <v>0</v>
      </c>
      <c r="AK6020">
        <v>1</v>
      </c>
      <c r="AL6020">
        <v>1</v>
      </c>
      <c r="AM6020">
        <v>100</v>
      </c>
      <c r="AN6020">
        <v>231.51480000000001</v>
      </c>
      <c r="AO6020">
        <v>0</v>
      </c>
      <c r="AP6020" s="13">
        <v>46000</v>
      </c>
      <c r="AQ6020">
        <v>15</v>
      </c>
      <c r="AR6020">
        <v>0</v>
      </c>
    </row>
    <row r="6021" spans="1:44" x14ac:dyDescent="0.35">
      <c r="A6021" s="12" t="s">
        <v>7136</v>
      </c>
      <c r="B6021" s="12" t="s">
        <v>670</v>
      </c>
      <c r="C6021" s="12" t="s">
        <v>671</v>
      </c>
      <c r="D6021" s="12" t="s">
        <v>175</v>
      </c>
      <c r="E6021" s="12" t="s">
        <v>142</v>
      </c>
      <c r="F6021">
        <v>2</v>
      </c>
      <c r="G6021">
        <v>9</v>
      </c>
      <c r="H6021">
        <v>0</v>
      </c>
      <c r="I6021" s="12" t="s">
        <v>105</v>
      </c>
      <c r="J6021" s="12" t="s">
        <v>106</v>
      </c>
      <c r="K6021" s="12" t="s">
        <v>81</v>
      </c>
      <c r="L6021" s="12" t="s">
        <v>96</v>
      </c>
      <c r="M6021">
        <v>5.01</v>
      </c>
      <c r="N6021" s="12" t="s">
        <v>107</v>
      </c>
      <c r="O6021" s="12" t="s">
        <v>108</v>
      </c>
      <c r="P6021" s="12" t="s">
        <v>109</v>
      </c>
      <c r="Q6021" s="13">
        <v>45972</v>
      </c>
      <c r="R6021" s="13">
        <v>46017</v>
      </c>
      <c r="S6021">
        <v>2025</v>
      </c>
      <c r="T6021" s="12" t="s">
        <v>7071</v>
      </c>
      <c r="U6021">
        <v>89</v>
      </c>
      <c r="V6021">
        <v>154.21979999999999</v>
      </c>
      <c r="W6021">
        <v>324.99</v>
      </c>
      <c r="X6021">
        <v>0</v>
      </c>
      <c r="Y6021">
        <v>0</v>
      </c>
      <c r="Z6021">
        <v>13725.56</v>
      </c>
      <c r="AA6021">
        <v>14050.55</v>
      </c>
      <c r="AB6021" s="12" t="s">
        <v>201</v>
      </c>
      <c r="AD6021">
        <v>0</v>
      </c>
      <c r="AE6021">
        <v>0</v>
      </c>
      <c r="AH6021">
        <v>89</v>
      </c>
      <c r="AI6021">
        <v>88</v>
      </c>
      <c r="AJ6021">
        <v>1</v>
      </c>
      <c r="AK6021">
        <v>1</v>
      </c>
      <c r="AL6021">
        <v>1</v>
      </c>
      <c r="AM6021">
        <v>98.88</v>
      </c>
      <c r="AN6021">
        <v>159.66540000000001</v>
      </c>
      <c r="AO6021">
        <v>154.22</v>
      </c>
      <c r="AP6021" s="13">
        <v>46014</v>
      </c>
      <c r="AQ6021">
        <v>-3</v>
      </c>
      <c r="AR6021">
        <v>1</v>
      </c>
    </row>
    <row r="6022" spans="1:44" x14ac:dyDescent="0.35">
      <c r="A6022" s="12" t="s">
        <v>7137</v>
      </c>
      <c r="B6022" s="12" t="s">
        <v>293</v>
      </c>
      <c r="C6022" s="12" t="s">
        <v>294</v>
      </c>
      <c r="D6022" s="12" t="s">
        <v>114</v>
      </c>
      <c r="E6022" s="12" t="s">
        <v>142</v>
      </c>
      <c r="F6022">
        <v>1</v>
      </c>
      <c r="G6022">
        <v>6</v>
      </c>
      <c r="H6022">
        <v>1</v>
      </c>
      <c r="I6022" s="12" t="s">
        <v>195</v>
      </c>
      <c r="J6022" s="12" t="s">
        <v>196</v>
      </c>
      <c r="K6022" s="12" t="s">
        <v>117</v>
      </c>
      <c r="L6022" s="12" t="s">
        <v>134</v>
      </c>
      <c r="M6022">
        <v>4.7699999999999996</v>
      </c>
      <c r="N6022" s="12" t="s">
        <v>97</v>
      </c>
      <c r="O6022" s="12" t="s">
        <v>98</v>
      </c>
      <c r="P6022" s="12" t="s">
        <v>72</v>
      </c>
      <c r="Q6022" s="13">
        <v>45972</v>
      </c>
      <c r="R6022" s="13">
        <v>46011</v>
      </c>
      <c r="S6022">
        <v>2025</v>
      </c>
      <c r="T6022" s="12" t="s">
        <v>7071</v>
      </c>
      <c r="U6022">
        <v>43</v>
      </c>
      <c r="V6022">
        <v>199.8203</v>
      </c>
      <c r="W6022">
        <v>82.74</v>
      </c>
      <c r="X6022">
        <v>0</v>
      </c>
      <c r="Y6022">
        <v>0</v>
      </c>
      <c r="Z6022">
        <v>8592.27</v>
      </c>
      <c r="AA6022">
        <v>8675.01</v>
      </c>
      <c r="AB6022" s="12" t="s">
        <v>5190</v>
      </c>
      <c r="AC6022">
        <v>199.8203</v>
      </c>
      <c r="AD6022">
        <v>1</v>
      </c>
      <c r="AE6022">
        <v>1</v>
      </c>
      <c r="AF6022">
        <v>0</v>
      </c>
      <c r="AG6022">
        <v>8592.27</v>
      </c>
      <c r="AH6022">
        <v>43</v>
      </c>
      <c r="AI6022">
        <v>43</v>
      </c>
      <c r="AJ6022">
        <v>0</v>
      </c>
      <c r="AK6022">
        <v>1</v>
      </c>
      <c r="AL6022">
        <v>1</v>
      </c>
      <c r="AM6022">
        <v>100</v>
      </c>
      <c r="AN6022">
        <v>201.74449999999999</v>
      </c>
      <c r="AO6022">
        <v>0</v>
      </c>
      <c r="AP6022" s="13">
        <v>46011</v>
      </c>
      <c r="AQ6022">
        <v>0</v>
      </c>
      <c r="AR6022">
        <v>1</v>
      </c>
    </row>
    <row r="6023" spans="1:44" x14ac:dyDescent="0.35">
      <c r="A6023" s="12" t="s">
        <v>7138</v>
      </c>
      <c r="B6023" s="12" t="s">
        <v>238</v>
      </c>
      <c r="C6023" s="12" t="s">
        <v>239</v>
      </c>
      <c r="D6023" s="12" t="s">
        <v>122</v>
      </c>
      <c r="E6023" s="12" t="s">
        <v>65</v>
      </c>
      <c r="F6023">
        <v>3</v>
      </c>
      <c r="G6023">
        <v>4</v>
      </c>
      <c r="H6023">
        <v>0</v>
      </c>
      <c r="I6023" s="12" t="s">
        <v>243</v>
      </c>
      <c r="J6023" s="12" t="s">
        <v>244</v>
      </c>
      <c r="K6023" s="12" t="s">
        <v>81</v>
      </c>
      <c r="L6023" s="12" t="s">
        <v>82</v>
      </c>
      <c r="M6023">
        <v>9.2200000000000006</v>
      </c>
      <c r="N6023" s="12" t="s">
        <v>97</v>
      </c>
      <c r="O6023" s="12" t="s">
        <v>98</v>
      </c>
      <c r="P6023" s="12" t="s">
        <v>72</v>
      </c>
      <c r="Q6023" s="13">
        <v>45972</v>
      </c>
      <c r="R6023" s="13">
        <v>46009</v>
      </c>
      <c r="S6023">
        <v>2025</v>
      </c>
      <c r="T6023" s="12" t="s">
        <v>7071</v>
      </c>
      <c r="U6023">
        <v>1892</v>
      </c>
      <c r="V6023">
        <v>35.924999999999997</v>
      </c>
      <c r="W6023">
        <v>896.4</v>
      </c>
      <c r="X6023">
        <v>0</v>
      </c>
      <c r="Y6023">
        <v>0</v>
      </c>
      <c r="Z6023">
        <v>67970.100000000006</v>
      </c>
      <c r="AA6023">
        <v>68866.5</v>
      </c>
      <c r="AB6023" s="12" t="s">
        <v>6226</v>
      </c>
      <c r="AC6023">
        <v>35.924999999999997</v>
      </c>
      <c r="AD6023">
        <v>1</v>
      </c>
      <c r="AE6023">
        <v>1</v>
      </c>
      <c r="AF6023">
        <v>0</v>
      </c>
      <c r="AG6023">
        <v>67970.100000000006</v>
      </c>
      <c r="AH6023">
        <v>1892</v>
      </c>
      <c r="AI6023">
        <v>1888</v>
      </c>
      <c r="AJ6023">
        <v>4</v>
      </c>
      <c r="AK6023">
        <v>1</v>
      </c>
      <c r="AL6023">
        <v>1</v>
      </c>
      <c r="AM6023">
        <v>99.79</v>
      </c>
      <c r="AN6023">
        <v>36.475900000000003</v>
      </c>
      <c r="AO6023">
        <v>143.69999999999999</v>
      </c>
      <c r="AP6023" s="13">
        <v>46006</v>
      </c>
      <c r="AQ6023">
        <v>-3</v>
      </c>
      <c r="AR6023">
        <v>1</v>
      </c>
    </row>
    <row r="6024" spans="1:44" x14ac:dyDescent="0.35">
      <c r="A6024" s="12" t="s">
        <v>7139</v>
      </c>
      <c r="B6024" s="12" t="s">
        <v>609</v>
      </c>
      <c r="C6024" s="12" t="s">
        <v>610</v>
      </c>
      <c r="D6024" s="12" t="s">
        <v>64</v>
      </c>
      <c r="E6024" s="12" t="s">
        <v>104</v>
      </c>
      <c r="F6024">
        <v>1</v>
      </c>
      <c r="G6024">
        <v>0</v>
      </c>
      <c r="H6024">
        <v>1</v>
      </c>
      <c r="I6024" s="12" t="s">
        <v>227</v>
      </c>
      <c r="J6024" s="12" t="s">
        <v>228</v>
      </c>
      <c r="K6024" s="12" t="s">
        <v>89</v>
      </c>
      <c r="L6024" s="12" t="s">
        <v>96</v>
      </c>
      <c r="M6024">
        <v>9.15</v>
      </c>
      <c r="N6024" s="12" t="s">
        <v>70</v>
      </c>
      <c r="O6024" s="12" t="s">
        <v>71</v>
      </c>
      <c r="P6024" s="12" t="s">
        <v>72</v>
      </c>
      <c r="Q6024" s="13">
        <v>45973</v>
      </c>
      <c r="R6024" s="13">
        <v>46001</v>
      </c>
      <c r="S6024">
        <v>2025</v>
      </c>
      <c r="T6024" s="12" t="s">
        <v>7071</v>
      </c>
      <c r="U6024">
        <v>903</v>
      </c>
      <c r="V6024">
        <v>20.683900000000001</v>
      </c>
      <c r="W6024">
        <v>420.5</v>
      </c>
      <c r="X6024">
        <v>0</v>
      </c>
      <c r="Y6024">
        <v>0</v>
      </c>
      <c r="Z6024">
        <v>18677.560000000001</v>
      </c>
      <c r="AA6024">
        <v>19098.060000000001</v>
      </c>
      <c r="AB6024" s="12" t="s">
        <v>5573</v>
      </c>
      <c r="AC6024">
        <v>20.683900000000001</v>
      </c>
      <c r="AD6024">
        <v>1</v>
      </c>
      <c r="AE6024">
        <v>1</v>
      </c>
      <c r="AF6024">
        <v>0</v>
      </c>
      <c r="AG6024">
        <v>18677.560000000001</v>
      </c>
      <c r="AH6024">
        <v>903</v>
      </c>
      <c r="AI6024">
        <v>892</v>
      </c>
      <c r="AJ6024">
        <v>11</v>
      </c>
      <c r="AK6024">
        <v>1</v>
      </c>
      <c r="AL6024">
        <v>1</v>
      </c>
      <c r="AM6024">
        <v>98.78</v>
      </c>
      <c r="AN6024">
        <v>21.410399999999999</v>
      </c>
      <c r="AO6024">
        <v>227.52</v>
      </c>
      <c r="AP6024" s="13">
        <v>46005</v>
      </c>
      <c r="AQ6024">
        <v>4</v>
      </c>
      <c r="AR6024">
        <v>0</v>
      </c>
    </row>
    <row r="6025" spans="1:44" x14ac:dyDescent="0.35">
      <c r="A6025" s="12" t="s">
        <v>7140</v>
      </c>
      <c r="B6025" s="12" t="s">
        <v>308</v>
      </c>
      <c r="C6025" s="12" t="s">
        <v>309</v>
      </c>
      <c r="D6025" s="12" t="s">
        <v>122</v>
      </c>
      <c r="E6025" s="12" t="s">
        <v>142</v>
      </c>
      <c r="F6025">
        <v>1</v>
      </c>
      <c r="G6025">
        <v>6</v>
      </c>
      <c r="H6025">
        <v>1</v>
      </c>
      <c r="I6025" s="12" t="s">
        <v>310</v>
      </c>
      <c r="J6025" s="12" t="s">
        <v>311</v>
      </c>
      <c r="K6025" s="12" t="s">
        <v>81</v>
      </c>
      <c r="L6025" s="12" t="s">
        <v>69</v>
      </c>
      <c r="M6025">
        <v>28.3</v>
      </c>
      <c r="N6025" s="12" t="s">
        <v>70</v>
      </c>
      <c r="O6025" s="12" t="s">
        <v>71</v>
      </c>
      <c r="P6025" s="12" t="s">
        <v>72</v>
      </c>
      <c r="Q6025" s="13">
        <v>45973</v>
      </c>
      <c r="R6025" s="13">
        <v>46010</v>
      </c>
      <c r="S6025">
        <v>2025</v>
      </c>
      <c r="T6025" s="12" t="s">
        <v>7071</v>
      </c>
      <c r="U6025">
        <v>451</v>
      </c>
      <c r="V6025">
        <v>56.789000000000001</v>
      </c>
      <c r="W6025">
        <v>522.92999999999995</v>
      </c>
      <c r="X6025">
        <v>0</v>
      </c>
      <c r="Y6025">
        <v>0</v>
      </c>
      <c r="Z6025">
        <v>25611.84</v>
      </c>
      <c r="AA6025">
        <v>26134.77</v>
      </c>
      <c r="AB6025" s="12" t="s">
        <v>5357</v>
      </c>
      <c r="AC6025">
        <v>56.789000000000001</v>
      </c>
      <c r="AD6025">
        <v>1</v>
      </c>
      <c r="AE6025">
        <v>1</v>
      </c>
      <c r="AF6025">
        <v>0</v>
      </c>
      <c r="AG6025">
        <v>25611.84</v>
      </c>
      <c r="AH6025">
        <v>451</v>
      </c>
      <c r="AI6025">
        <v>447</v>
      </c>
      <c r="AJ6025">
        <v>4</v>
      </c>
      <c r="AK6025">
        <v>1</v>
      </c>
      <c r="AL6025">
        <v>1</v>
      </c>
      <c r="AM6025">
        <v>99.11</v>
      </c>
      <c r="AN6025">
        <v>58.466999999999999</v>
      </c>
      <c r="AO6025">
        <v>227.16</v>
      </c>
      <c r="AP6025" s="13">
        <v>46009</v>
      </c>
      <c r="AQ6025">
        <v>-1</v>
      </c>
      <c r="AR6025">
        <v>1</v>
      </c>
    </row>
    <row r="6026" spans="1:44" x14ac:dyDescent="0.35">
      <c r="A6026" s="12" t="s">
        <v>7141</v>
      </c>
      <c r="B6026" s="12" t="s">
        <v>442</v>
      </c>
      <c r="C6026" s="12" t="s">
        <v>443</v>
      </c>
      <c r="D6026" s="12" t="s">
        <v>130</v>
      </c>
      <c r="E6026" s="12" t="s">
        <v>65</v>
      </c>
      <c r="F6026">
        <v>3</v>
      </c>
      <c r="G6026">
        <v>4</v>
      </c>
      <c r="H6026">
        <v>0</v>
      </c>
      <c r="I6026" s="12" t="s">
        <v>251</v>
      </c>
      <c r="J6026" s="12" t="s">
        <v>252</v>
      </c>
      <c r="K6026" s="12" t="s">
        <v>133</v>
      </c>
      <c r="L6026" s="12" t="s">
        <v>69</v>
      </c>
      <c r="M6026">
        <v>34.49</v>
      </c>
      <c r="N6026" s="12" t="s">
        <v>135</v>
      </c>
      <c r="O6026" s="12" t="s">
        <v>136</v>
      </c>
      <c r="P6026" s="12" t="s">
        <v>137</v>
      </c>
      <c r="Q6026" s="13">
        <v>45973</v>
      </c>
      <c r="R6026" s="13">
        <v>46004</v>
      </c>
      <c r="S6026">
        <v>2025</v>
      </c>
      <c r="T6026" s="12" t="s">
        <v>7071</v>
      </c>
      <c r="U6026">
        <v>92</v>
      </c>
      <c r="V6026">
        <v>514.42409999999995</v>
      </c>
      <c r="W6026">
        <v>1204.02</v>
      </c>
      <c r="X6026">
        <v>0</v>
      </c>
      <c r="Y6026">
        <v>0</v>
      </c>
      <c r="Z6026">
        <v>47327.02</v>
      </c>
      <c r="AA6026">
        <v>48531.040000000001</v>
      </c>
      <c r="AB6026" s="12" t="s">
        <v>5218</v>
      </c>
      <c r="AC6026">
        <v>514.42409999999995</v>
      </c>
      <c r="AD6026">
        <v>1</v>
      </c>
      <c r="AE6026">
        <v>1</v>
      </c>
      <c r="AF6026">
        <v>0</v>
      </c>
      <c r="AG6026">
        <v>47327.02</v>
      </c>
      <c r="AH6026">
        <v>92</v>
      </c>
      <c r="AI6026">
        <v>92</v>
      </c>
      <c r="AJ6026">
        <v>0</v>
      </c>
      <c r="AK6026">
        <v>1</v>
      </c>
      <c r="AL6026">
        <v>1</v>
      </c>
      <c r="AM6026">
        <v>100</v>
      </c>
      <c r="AN6026">
        <v>527.51130000000001</v>
      </c>
      <c r="AO6026">
        <v>0</v>
      </c>
      <c r="AP6026" s="13">
        <v>46002</v>
      </c>
      <c r="AQ6026">
        <v>-2</v>
      </c>
      <c r="AR6026">
        <v>1</v>
      </c>
    </row>
    <row r="6027" spans="1:44" x14ac:dyDescent="0.35">
      <c r="A6027" s="12" t="s">
        <v>7142</v>
      </c>
      <c r="B6027" s="12" t="s">
        <v>120</v>
      </c>
      <c r="C6027" s="12" t="s">
        <v>121</v>
      </c>
      <c r="D6027" s="12" t="s">
        <v>122</v>
      </c>
      <c r="E6027" s="12" t="s">
        <v>65</v>
      </c>
      <c r="F6027">
        <v>3</v>
      </c>
      <c r="G6027">
        <v>4</v>
      </c>
      <c r="H6027">
        <v>0</v>
      </c>
      <c r="I6027" s="12" t="s">
        <v>123</v>
      </c>
      <c r="J6027" s="12" t="s">
        <v>124</v>
      </c>
      <c r="K6027" s="12" t="s">
        <v>125</v>
      </c>
      <c r="L6027" s="12" t="s">
        <v>82</v>
      </c>
      <c r="M6027">
        <v>6.75</v>
      </c>
      <c r="N6027" s="12" t="s">
        <v>70</v>
      </c>
      <c r="O6027" s="12" t="s">
        <v>71</v>
      </c>
      <c r="P6027" s="12" t="s">
        <v>72</v>
      </c>
      <c r="Q6027" s="13">
        <v>45973</v>
      </c>
      <c r="R6027" s="13">
        <v>45999</v>
      </c>
      <c r="S6027">
        <v>2025</v>
      </c>
      <c r="T6027" s="12" t="s">
        <v>7071</v>
      </c>
      <c r="U6027">
        <v>730</v>
      </c>
      <c r="V6027">
        <v>50.976100000000002</v>
      </c>
      <c r="W6027">
        <v>434.41</v>
      </c>
      <c r="X6027">
        <v>0</v>
      </c>
      <c r="Y6027">
        <v>0</v>
      </c>
      <c r="Z6027">
        <v>37212.550000000003</v>
      </c>
      <c r="AA6027">
        <v>37646.959999999999</v>
      </c>
      <c r="AB6027" s="12" t="s">
        <v>5139</v>
      </c>
      <c r="AC6027">
        <v>50.976100000000002</v>
      </c>
      <c r="AD6027">
        <v>1</v>
      </c>
      <c r="AE6027">
        <v>1</v>
      </c>
      <c r="AF6027">
        <v>0</v>
      </c>
      <c r="AG6027">
        <v>37212.550000000003</v>
      </c>
      <c r="AH6027">
        <v>730</v>
      </c>
      <c r="AI6027">
        <v>723</v>
      </c>
      <c r="AJ6027">
        <v>7</v>
      </c>
      <c r="AK6027">
        <v>1</v>
      </c>
      <c r="AL6027">
        <v>1</v>
      </c>
      <c r="AM6027">
        <v>99.04</v>
      </c>
      <c r="AN6027">
        <v>52.070500000000003</v>
      </c>
      <c r="AO6027">
        <v>356.83</v>
      </c>
      <c r="AP6027" s="13">
        <v>45997</v>
      </c>
      <c r="AQ6027">
        <v>-2</v>
      </c>
      <c r="AR6027">
        <v>1</v>
      </c>
    </row>
    <row r="6028" spans="1:44" x14ac:dyDescent="0.35">
      <c r="A6028" s="12" t="s">
        <v>7143</v>
      </c>
      <c r="B6028" s="12" t="s">
        <v>451</v>
      </c>
      <c r="C6028" s="12" t="s">
        <v>452</v>
      </c>
      <c r="D6028" s="12" t="s">
        <v>175</v>
      </c>
      <c r="E6028" s="12" t="s">
        <v>104</v>
      </c>
      <c r="F6028">
        <v>3</v>
      </c>
      <c r="G6028">
        <v>1</v>
      </c>
      <c r="H6028">
        <v>0</v>
      </c>
      <c r="I6028" s="12" t="s">
        <v>359</v>
      </c>
      <c r="J6028" s="12" t="s">
        <v>360</v>
      </c>
      <c r="K6028" s="12" t="s">
        <v>133</v>
      </c>
      <c r="L6028" s="12" t="s">
        <v>82</v>
      </c>
      <c r="M6028">
        <v>12.65</v>
      </c>
      <c r="N6028" s="12" t="s">
        <v>107</v>
      </c>
      <c r="O6028" s="12" t="s">
        <v>108</v>
      </c>
      <c r="P6028" s="12" t="s">
        <v>109</v>
      </c>
      <c r="Q6028" s="13">
        <v>45973</v>
      </c>
      <c r="R6028" s="13">
        <v>45997</v>
      </c>
      <c r="S6028">
        <v>2025</v>
      </c>
      <c r="T6028" s="12" t="s">
        <v>7071</v>
      </c>
      <c r="U6028">
        <v>104</v>
      </c>
      <c r="V6028">
        <v>216.9588</v>
      </c>
      <c r="W6028">
        <v>164.46</v>
      </c>
      <c r="X6028">
        <v>0</v>
      </c>
      <c r="Y6028">
        <v>0</v>
      </c>
      <c r="Z6028">
        <v>22563.72</v>
      </c>
      <c r="AA6028">
        <v>22728.18</v>
      </c>
      <c r="AB6028" s="12" t="s">
        <v>5244</v>
      </c>
      <c r="AC6028">
        <v>216.9588</v>
      </c>
      <c r="AD6028">
        <v>1</v>
      </c>
      <c r="AE6028">
        <v>1</v>
      </c>
      <c r="AF6028">
        <v>0</v>
      </c>
      <c r="AG6028">
        <v>22563.72</v>
      </c>
      <c r="AH6028">
        <v>104</v>
      </c>
      <c r="AI6028">
        <v>103</v>
      </c>
      <c r="AJ6028">
        <v>1</v>
      </c>
      <c r="AK6028">
        <v>1</v>
      </c>
      <c r="AL6028">
        <v>1</v>
      </c>
      <c r="AM6028">
        <v>99.04</v>
      </c>
      <c r="AN6028">
        <v>220.6619</v>
      </c>
      <c r="AO6028">
        <v>216.96</v>
      </c>
      <c r="AP6028" s="13">
        <v>45997</v>
      </c>
      <c r="AQ6028">
        <v>0</v>
      </c>
      <c r="AR6028">
        <v>1</v>
      </c>
    </row>
    <row r="6029" spans="1:44" x14ac:dyDescent="0.35">
      <c r="A6029" s="12" t="s">
        <v>7144</v>
      </c>
      <c r="B6029" s="12" t="s">
        <v>728</v>
      </c>
      <c r="C6029" s="12" t="s">
        <v>729</v>
      </c>
      <c r="D6029" s="12" t="s">
        <v>269</v>
      </c>
      <c r="E6029" s="12" t="s">
        <v>65</v>
      </c>
      <c r="F6029">
        <v>2</v>
      </c>
      <c r="G6029">
        <v>3</v>
      </c>
      <c r="H6029">
        <v>0</v>
      </c>
      <c r="I6029" s="12" t="s">
        <v>310</v>
      </c>
      <c r="J6029" s="12" t="s">
        <v>311</v>
      </c>
      <c r="K6029" s="12" t="s">
        <v>81</v>
      </c>
      <c r="L6029" s="12" t="s">
        <v>69</v>
      </c>
      <c r="M6029">
        <v>28.3</v>
      </c>
      <c r="N6029" s="12" t="s">
        <v>135</v>
      </c>
      <c r="O6029" s="12" t="s">
        <v>136</v>
      </c>
      <c r="P6029" s="12" t="s">
        <v>137</v>
      </c>
      <c r="Q6029" s="13">
        <v>45973</v>
      </c>
      <c r="R6029" s="13">
        <v>45998</v>
      </c>
      <c r="S6029">
        <v>2025</v>
      </c>
      <c r="T6029" s="12" t="s">
        <v>7071</v>
      </c>
      <c r="U6029">
        <v>48</v>
      </c>
      <c r="V6029">
        <v>354.43099999999998</v>
      </c>
      <c r="W6029">
        <v>333.46</v>
      </c>
      <c r="X6029">
        <v>0</v>
      </c>
      <c r="Y6029">
        <v>0</v>
      </c>
      <c r="Z6029">
        <v>17012.689999999999</v>
      </c>
      <c r="AA6029">
        <v>17346.150000000001</v>
      </c>
      <c r="AB6029" s="12" t="s">
        <v>5820</v>
      </c>
      <c r="AC6029">
        <v>354.43099999999998</v>
      </c>
      <c r="AD6029">
        <v>1</v>
      </c>
      <c r="AE6029">
        <v>1</v>
      </c>
      <c r="AF6029">
        <v>0</v>
      </c>
      <c r="AG6029">
        <v>17012.689999999999</v>
      </c>
      <c r="AH6029">
        <v>48</v>
      </c>
      <c r="AI6029">
        <v>48</v>
      </c>
      <c r="AJ6029">
        <v>0</v>
      </c>
      <c r="AK6029">
        <v>1</v>
      </c>
      <c r="AL6029">
        <v>1</v>
      </c>
      <c r="AM6029">
        <v>100</v>
      </c>
      <c r="AN6029">
        <v>361.37810000000002</v>
      </c>
      <c r="AO6029">
        <v>0</v>
      </c>
      <c r="AP6029" s="13">
        <v>45995</v>
      </c>
      <c r="AQ6029">
        <v>-3</v>
      </c>
      <c r="AR6029">
        <v>1</v>
      </c>
    </row>
    <row r="6030" spans="1:44" x14ac:dyDescent="0.35">
      <c r="A6030" s="12" t="s">
        <v>7145</v>
      </c>
      <c r="B6030" s="12" t="s">
        <v>732</v>
      </c>
      <c r="C6030" s="12" t="s">
        <v>733</v>
      </c>
      <c r="D6030" s="12" t="s">
        <v>114</v>
      </c>
      <c r="E6030" s="12" t="s">
        <v>104</v>
      </c>
      <c r="F6030">
        <v>3</v>
      </c>
      <c r="G6030">
        <v>1</v>
      </c>
      <c r="H6030">
        <v>0</v>
      </c>
      <c r="I6030" s="12" t="s">
        <v>251</v>
      </c>
      <c r="J6030" s="12" t="s">
        <v>252</v>
      </c>
      <c r="K6030" s="12" t="s">
        <v>133</v>
      </c>
      <c r="L6030" s="12" t="s">
        <v>69</v>
      </c>
      <c r="M6030">
        <v>34.49</v>
      </c>
      <c r="N6030" s="12" t="s">
        <v>97</v>
      </c>
      <c r="O6030" s="12" t="s">
        <v>98</v>
      </c>
      <c r="P6030" s="12" t="s">
        <v>72</v>
      </c>
      <c r="Q6030" s="13">
        <v>45973</v>
      </c>
      <c r="R6030" s="13">
        <v>45991</v>
      </c>
      <c r="S6030">
        <v>2025</v>
      </c>
      <c r="T6030" s="12" t="s">
        <v>7071</v>
      </c>
      <c r="U6030">
        <v>59</v>
      </c>
      <c r="V6030">
        <v>295.06799999999998</v>
      </c>
      <c r="W6030">
        <v>128.27000000000001</v>
      </c>
      <c r="X6030">
        <v>0</v>
      </c>
      <c r="Y6030">
        <v>0</v>
      </c>
      <c r="Z6030">
        <v>17409.009999999998</v>
      </c>
      <c r="AA6030">
        <v>17537.28</v>
      </c>
      <c r="AB6030" s="12" t="s">
        <v>5795</v>
      </c>
      <c r="AC6030">
        <v>295.06799999999998</v>
      </c>
      <c r="AD6030">
        <v>1</v>
      </c>
      <c r="AE6030">
        <v>1</v>
      </c>
      <c r="AF6030">
        <v>0</v>
      </c>
      <c r="AG6030">
        <v>17409.009999999998</v>
      </c>
      <c r="AH6030">
        <v>59</v>
      </c>
      <c r="AI6030">
        <v>58</v>
      </c>
      <c r="AJ6030">
        <v>1</v>
      </c>
      <c r="AK6030">
        <v>1</v>
      </c>
      <c r="AL6030">
        <v>1</v>
      </c>
      <c r="AM6030">
        <v>98.31</v>
      </c>
      <c r="AN6030">
        <v>302.36689999999999</v>
      </c>
      <c r="AO6030">
        <v>295.07</v>
      </c>
      <c r="AP6030" s="13">
        <v>45993</v>
      </c>
      <c r="AQ6030">
        <v>2</v>
      </c>
      <c r="AR6030">
        <v>0</v>
      </c>
    </row>
    <row r="6031" spans="1:44" x14ac:dyDescent="0.35">
      <c r="A6031" s="12" t="s">
        <v>7146</v>
      </c>
      <c r="B6031" s="12" t="s">
        <v>869</v>
      </c>
      <c r="C6031" s="12" t="s">
        <v>870</v>
      </c>
      <c r="D6031" s="12" t="s">
        <v>130</v>
      </c>
      <c r="E6031" s="12" t="s">
        <v>104</v>
      </c>
      <c r="F6031">
        <v>2</v>
      </c>
      <c r="G6031">
        <v>0</v>
      </c>
      <c r="H6031">
        <v>0</v>
      </c>
      <c r="I6031" s="12" t="s">
        <v>515</v>
      </c>
      <c r="J6031" s="12" t="s">
        <v>516</v>
      </c>
      <c r="K6031" s="12" t="s">
        <v>68</v>
      </c>
      <c r="L6031" s="12" t="s">
        <v>134</v>
      </c>
      <c r="M6031">
        <v>3.69</v>
      </c>
      <c r="N6031" s="12" t="s">
        <v>135</v>
      </c>
      <c r="O6031" s="12" t="s">
        <v>136</v>
      </c>
      <c r="P6031" s="12" t="s">
        <v>137</v>
      </c>
      <c r="Q6031" s="13">
        <v>45973</v>
      </c>
      <c r="R6031" s="13">
        <v>45999</v>
      </c>
      <c r="S6031">
        <v>2025</v>
      </c>
      <c r="T6031" s="12" t="s">
        <v>7071</v>
      </c>
      <c r="U6031">
        <v>126</v>
      </c>
      <c r="V6031">
        <v>668.39689999999996</v>
      </c>
      <c r="W6031">
        <v>1559.39</v>
      </c>
      <c r="X6031">
        <v>0</v>
      </c>
      <c r="Y6031">
        <v>0</v>
      </c>
      <c r="Z6031">
        <v>84218.01</v>
      </c>
      <c r="AA6031">
        <v>85777.4</v>
      </c>
      <c r="AB6031" s="12" t="s">
        <v>201</v>
      </c>
      <c r="AD6031">
        <v>0</v>
      </c>
      <c r="AE6031">
        <v>0</v>
      </c>
      <c r="AH6031">
        <v>126</v>
      </c>
      <c r="AI6031">
        <v>124</v>
      </c>
      <c r="AJ6031">
        <v>2</v>
      </c>
      <c r="AK6031">
        <v>1</v>
      </c>
      <c r="AL6031">
        <v>1</v>
      </c>
      <c r="AM6031">
        <v>98.41</v>
      </c>
      <c r="AN6031">
        <v>691.75319999999999</v>
      </c>
      <c r="AO6031">
        <v>1336.79</v>
      </c>
      <c r="AP6031" s="13">
        <v>45999</v>
      </c>
      <c r="AQ6031">
        <v>0</v>
      </c>
      <c r="AR6031">
        <v>1</v>
      </c>
    </row>
    <row r="6032" spans="1:44" x14ac:dyDescent="0.35">
      <c r="A6032" s="12" t="s">
        <v>7147</v>
      </c>
      <c r="B6032" s="12" t="s">
        <v>924</v>
      </c>
      <c r="C6032" s="12" t="s">
        <v>925</v>
      </c>
      <c r="D6032" s="12" t="s">
        <v>103</v>
      </c>
      <c r="E6032" s="12" t="s">
        <v>104</v>
      </c>
      <c r="F6032">
        <v>2</v>
      </c>
      <c r="G6032">
        <v>0</v>
      </c>
      <c r="H6032">
        <v>0</v>
      </c>
      <c r="I6032" s="12" t="s">
        <v>335</v>
      </c>
      <c r="J6032" s="12" t="s">
        <v>336</v>
      </c>
      <c r="K6032" s="12" t="s">
        <v>89</v>
      </c>
      <c r="L6032" s="12" t="s">
        <v>82</v>
      </c>
      <c r="M6032">
        <v>16</v>
      </c>
      <c r="N6032" s="12" t="s">
        <v>107</v>
      </c>
      <c r="O6032" s="12" t="s">
        <v>108</v>
      </c>
      <c r="P6032" s="12" t="s">
        <v>109</v>
      </c>
      <c r="Q6032" s="13">
        <v>45973</v>
      </c>
      <c r="R6032" s="13">
        <v>45998</v>
      </c>
      <c r="S6032">
        <v>2025</v>
      </c>
      <c r="T6032" s="12" t="s">
        <v>7071</v>
      </c>
      <c r="U6032">
        <v>111</v>
      </c>
      <c r="V6032">
        <v>172.58879999999999</v>
      </c>
      <c r="W6032">
        <v>122.9</v>
      </c>
      <c r="X6032">
        <v>0</v>
      </c>
      <c r="Y6032">
        <v>0</v>
      </c>
      <c r="Z6032">
        <v>19157.36</v>
      </c>
      <c r="AA6032">
        <v>19280.259999999998</v>
      </c>
      <c r="AB6032" s="12" t="s">
        <v>201</v>
      </c>
      <c r="AD6032">
        <v>0</v>
      </c>
      <c r="AE6032">
        <v>0</v>
      </c>
      <c r="AH6032">
        <v>111</v>
      </c>
      <c r="AI6032">
        <v>109</v>
      </c>
      <c r="AJ6032">
        <v>2</v>
      </c>
      <c r="AK6032">
        <v>1</v>
      </c>
      <c r="AL6032">
        <v>1</v>
      </c>
      <c r="AM6032">
        <v>98.2</v>
      </c>
      <c r="AN6032">
        <v>176.88310000000001</v>
      </c>
      <c r="AO6032">
        <v>345.18</v>
      </c>
      <c r="AP6032" s="13">
        <v>45995</v>
      </c>
      <c r="AQ6032">
        <v>-3</v>
      </c>
      <c r="AR6032">
        <v>1</v>
      </c>
    </row>
    <row r="6033" spans="1:44" x14ac:dyDescent="0.35">
      <c r="A6033" s="12" t="s">
        <v>7148</v>
      </c>
      <c r="B6033" s="12" t="s">
        <v>561</v>
      </c>
      <c r="C6033" s="12" t="s">
        <v>562</v>
      </c>
      <c r="D6033" s="12" t="s">
        <v>130</v>
      </c>
      <c r="E6033" s="12" t="s">
        <v>142</v>
      </c>
      <c r="F6033">
        <v>1</v>
      </c>
      <c r="G6033">
        <v>9</v>
      </c>
      <c r="H6033">
        <v>1</v>
      </c>
      <c r="I6033" s="12" t="s">
        <v>223</v>
      </c>
      <c r="J6033" s="12" t="s">
        <v>224</v>
      </c>
      <c r="K6033" s="12" t="s">
        <v>81</v>
      </c>
      <c r="L6033" s="12" t="s">
        <v>134</v>
      </c>
      <c r="M6033">
        <v>2.4900000000000002</v>
      </c>
      <c r="N6033" s="12" t="s">
        <v>159</v>
      </c>
      <c r="O6033" s="12" t="s">
        <v>160</v>
      </c>
      <c r="P6033" s="12" t="s">
        <v>137</v>
      </c>
      <c r="Q6033" s="13">
        <v>45973</v>
      </c>
      <c r="R6033" s="13">
        <v>46020</v>
      </c>
      <c r="S6033">
        <v>2025</v>
      </c>
      <c r="T6033" s="12" t="s">
        <v>7071</v>
      </c>
      <c r="U6033">
        <v>105</v>
      </c>
      <c r="V6033">
        <v>475.12389999999999</v>
      </c>
      <c r="W6033">
        <v>769.56</v>
      </c>
      <c r="X6033">
        <v>0</v>
      </c>
      <c r="Y6033">
        <v>0</v>
      </c>
      <c r="Z6033">
        <v>49888.01</v>
      </c>
      <c r="AA6033">
        <v>50657.57</v>
      </c>
      <c r="AB6033" s="12" t="s">
        <v>201</v>
      </c>
      <c r="AD6033">
        <v>0</v>
      </c>
      <c r="AE6033">
        <v>0</v>
      </c>
      <c r="AH6033">
        <v>105</v>
      </c>
      <c r="AI6033">
        <v>104</v>
      </c>
      <c r="AJ6033">
        <v>1</v>
      </c>
      <c r="AK6033">
        <v>1</v>
      </c>
      <c r="AL6033">
        <v>1</v>
      </c>
      <c r="AM6033">
        <v>99.05</v>
      </c>
      <c r="AN6033">
        <v>487.09199999999998</v>
      </c>
      <c r="AO6033">
        <v>475.12</v>
      </c>
      <c r="AP6033" s="13">
        <v>46020</v>
      </c>
      <c r="AQ6033">
        <v>0</v>
      </c>
      <c r="AR6033">
        <v>1</v>
      </c>
    </row>
    <row r="6034" spans="1:44" x14ac:dyDescent="0.35">
      <c r="A6034" s="12" t="s">
        <v>7149</v>
      </c>
      <c r="B6034" s="12" t="s">
        <v>433</v>
      </c>
      <c r="C6034" s="12" t="s">
        <v>434</v>
      </c>
      <c r="D6034" s="12" t="s">
        <v>78</v>
      </c>
      <c r="E6034" s="12" t="s">
        <v>65</v>
      </c>
      <c r="F6034">
        <v>2</v>
      </c>
      <c r="G6034">
        <v>4</v>
      </c>
      <c r="H6034">
        <v>0</v>
      </c>
      <c r="I6034" s="12" t="s">
        <v>105</v>
      </c>
      <c r="J6034" s="12" t="s">
        <v>106</v>
      </c>
      <c r="K6034" s="12" t="s">
        <v>81</v>
      </c>
      <c r="L6034" s="12" t="s">
        <v>96</v>
      </c>
      <c r="M6034">
        <v>5.01</v>
      </c>
      <c r="N6034" s="12" t="s">
        <v>97</v>
      </c>
      <c r="O6034" s="12" t="s">
        <v>98</v>
      </c>
      <c r="P6034" s="12" t="s">
        <v>72</v>
      </c>
      <c r="Q6034" s="13">
        <v>45973</v>
      </c>
      <c r="R6034" s="13">
        <v>45999</v>
      </c>
      <c r="S6034">
        <v>2025</v>
      </c>
      <c r="T6034" s="12" t="s">
        <v>7071</v>
      </c>
      <c r="U6034">
        <v>124</v>
      </c>
      <c r="V6034">
        <v>68.594099999999997</v>
      </c>
      <c r="W6034">
        <v>175.59</v>
      </c>
      <c r="X6034">
        <v>0</v>
      </c>
      <c r="Y6034">
        <v>0</v>
      </c>
      <c r="Z6034">
        <v>8505.67</v>
      </c>
      <c r="AA6034">
        <v>8681.26</v>
      </c>
      <c r="AB6034" s="12" t="s">
        <v>5436</v>
      </c>
      <c r="AC6034">
        <v>68.594099999999997</v>
      </c>
      <c r="AD6034">
        <v>1</v>
      </c>
      <c r="AE6034">
        <v>1</v>
      </c>
      <c r="AF6034">
        <v>0</v>
      </c>
      <c r="AG6034">
        <v>8505.67</v>
      </c>
      <c r="AH6034">
        <v>124</v>
      </c>
      <c r="AI6034">
        <v>123</v>
      </c>
      <c r="AJ6034">
        <v>1</v>
      </c>
      <c r="AK6034">
        <v>1</v>
      </c>
      <c r="AL6034">
        <v>1</v>
      </c>
      <c r="AM6034">
        <v>99.19</v>
      </c>
      <c r="AN6034">
        <v>70.579300000000003</v>
      </c>
      <c r="AO6034">
        <v>68.59</v>
      </c>
      <c r="AP6034" s="13">
        <v>45996</v>
      </c>
      <c r="AQ6034">
        <v>-3</v>
      </c>
      <c r="AR6034">
        <v>1</v>
      </c>
    </row>
    <row r="6035" spans="1:44" x14ac:dyDescent="0.35">
      <c r="A6035" s="12" t="s">
        <v>7150</v>
      </c>
      <c r="B6035" s="12" t="s">
        <v>891</v>
      </c>
      <c r="C6035" s="12" t="s">
        <v>892</v>
      </c>
      <c r="D6035" s="12" t="s">
        <v>122</v>
      </c>
      <c r="E6035" s="12" t="s">
        <v>65</v>
      </c>
      <c r="F6035">
        <v>3</v>
      </c>
      <c r="G6035">
        <v>5</v>
      </c>
      <c r="H6035">
        <v>0</v>
      </c>
      <c r="I6035" s="12" t="s">
        <v>195</v>
      </c>
      <c r="J6035" s="12" t="s">
        <v>196</v>
      </c>
      <c r="K6035" s="12" t="s">
        <v>117</v>
      </c>
      <c r="L6035" s="12" t="s">
        <v>134</v>
      </c>
      <c r="M6035">
        <v>4.7699999999999996</v>
      </c>
      <c r="N6035" s="12" t="s">
        <v>97</v>
      </c>
      <c r="O6035" s="12" t="s">
        <v>98</v>
      </c>
      <c r="P6035" s="12" t="s">
        <v>72</v>
      </c>
      <c r="Q6035" s="13">
        <v>45974</v>
      </c>
      <c r="R6035" s="13">
        <v>46004</v>
      </c>
      <c r="S6035">
        <v>2025</v>
      </c>
      <c r="T6035" s="12" t="s">
        <v>7071</v>
      </c>
      <c r="U6035">
        <v>1162</v>
      </c>
      <c r="V6035">
        <v>36.331099999999999</v>
      </c>
      <c r="W6035">
        <v>989.74</v>
      </c>
      <c r="X6035">
        <v>1462.15</v>
      </c>
      <c r="Y6035">
        <v>1</v>
      </c>
      <c r="Z6035">
        <v>42216.74</v>
      </c>
      <c r="AA6035">
        <v>44668.63</v>
      </c>
      <c r="AB6035" s="12" t="s">
        <v>5810</v>
      </c>
      <c r="AC6035">
        <v>36.331099999999999</v>
      </c>
      <c r="AD6035">
        <v>1</v>
      </c>
      <c r="AE6035">
        <v>1</v>
      </c>
      <c r="AF6035">
        <v>0</v>
      </c>
      <c r="AG6035">
        <v>42216.74</v>
      </c>
      <c r="AH6035">
        <v>1162</v>
      </c>
      <c r="AI6035">
        <v>1155</v>
      </c>
      <c r="AJ6035">
        <v>7</v>
      </c>
      <c r="AK6035">
        <v>1</v>
      </c>
      <c r="AL6035">
        <v>1</v>
      </c>
      <c r="AM6035">
        <v>99.4</v>
      </c>
      <c r="AN6035">
        <v>38.674100000000003</v>
      </c>
      <c r="AO6035">
        <v>254.32</v>
      </c>
      <c r="AP6035" s="13">
        <v>46003</v>
      </c>
      <c r="AQ6035">
        <v>-1</v>
      </c>
      <c r="AR6035">
        <v>1</v>
      </c>
    </row>
    <row r="6036" spans="1:44" x14ac:dyDescent="0.35">
      <c r="A6036" s="12" t="s">
        <v>7151</v>
      </c>
      <c r="B6036" s="12" t="s">
        <v>241</v>
      </c>
      <c r="C6036" s="12" t="s">
        <v>242</v>
      </c>
      <c r="D6036" s="12" t="s">
        <v>103</v>
      </c>
      <c r="E6036" s="12" t="s">
        <v>142</v>
      </c>
      <c r="F6036">
        <v>3</v>
      </c>
      <c r="G6036">
        <v>11</v>
      </c>
      <c r="H6036">
        <v>0</v>
      </c>
      <c r="I6036" s="12" t="s">
        <v>243</v>
      </c>
      <c r="J6036" s="12" t="s">
        <v>244</v>
      </c>
      <c r="K6036" s="12" t="s">
        <v>81</v>
      </c>
      <c r="L6036" s="12" t="s">
        <v>82</v>
      </c>
      <c r="M6036">
        <v>9.2200000000000006</v>
      </c>
      <c r="N6036" s="12" t="s">
        <v>145</v>
      </c>
      <c r="O6036" s="12" t="s">
        <v>146</v>
      </c>
      <c r="P6036" s="12" t="s">
        <v>109</v>
      </c>
      <c r="Q6036" s="13">
        <v>45974</v>
      </c>
      <c r="R6036" s="13">
        <v>46016</v>
      </c>
      <c r="S6036">
        <v>2025</v>
      </c>
      <c r="T6036" s="12" t="s">
        <v>7071</v>
      </c>
      <c r="U6036">
        <v>71</v>
      </c>
      <c r="V6036">
        <v>178.21019999999999</v>
      </c>
      <c r="W6036">
        <v>246.44</v>
      </c>
      <c r="X6036">
        <v>0</v>
      </c>
      <c r="Y6036">
        <v>0</v>
      </c>
      <c r="Z6036">
        <v>12652.92</v>
      </c>
      <c r="AA6036">
        <v>12899.36</v>
      </c>
      <c r="AB6036" s="12" t="s">
        <v>201</v>
      </c>
      <c r="AD6036">
        <v>0</v>
      </c>
      <c r="AE6036">
        <v>0</v>
      </c>
      <c r="AH6036">
        <v>71</v>
      </c>
      <c r="AI6036">
        <v>70</v>
      </c>
      <c r="AJ6036">
        <v>1</v>
      </c>
      <c r="AK6036">
        <v>1</v>
      </c>
      <c r="AL6036">
        <v>1</v>
      </c>
      <c r="AM6036">
        <v>98.59</v>
      </c>
      <c r="AN6036">
        <v>184.2766</v>
      </c>
      <c r="AO6036">
        <v>178.21</v>
      </c>
      <c r="AP6036" s="13">
        <v>46016</v>
      </c>
      <c r="AQ6036">
        <v>0</v>
      </c>
      <c r="AR6036">
        <v>1</v>
      </c>
    </row>
    <row r="6037" spans="1:44" x14ac:dyDescent="0.35">
      <c r="A6037" s="12" t="s">
        <v>7152</v>
      </c>
      <c r="B6037" s="12" t="s">
        <v>809</v>
      </c>
      <c r="C6037" s="12" t="s">
        <v>810</v>
      </c>
      <c r="D6037" s="12" t="s">
        <v>114</v>
      </c>
      <c r="E6037" s="12" t="s">
        <v>65</v>
      </c>
      <c r="F6037">
        <v>3</v>
      </c>
      <c r="G6037">
        <v>5</v>
      </c>
      <c r="H6037">
        <v>0</v>
      </c>
      <c r="I6037" s="12" t="s">
        <v>811</v>
      </c>
      <c r="J6037" s="12" t="s">
        <v>812</v>
      </c>
      <c r="K6037" s="12" t="s">
        <v>117</v>
      </c>
      <c r="L6037" s="12" t="s">
        <v>69</v>
      </c>
      <c r="M6037">
        <v>26.4</v>
      </c>
      <c r="N6037" s="12" t="s">
        <v>97</v>
      </c>
      <c r="O6037" s="12" t="s">
        <v>98</v>
      </c>
      <c r="P6037" s="12" t="s">
        <v>72</v>
      </c>
      <c r="Q6037" s="13">
        <v>45974</v>
      </c>
      <c r="R6037" s="13">
        <v>46010</v>
      </c>
      <c r="S6037">
        <v>2025</v>
      </c>
      <c r="T6037" s="12" t="s">
        <v>7071</v>
      </c>
      <c r="U6037">
        <v>130</v>
      </c>
      <c r="V6037">
        <v>315.6524</v>
      </c>
      <c r="W6037">
        <v>753.04</v>
      </c>
      <c r="X6037">
        <v>0</v>
      </c>
      <c r="Y6037">
        <v>0</v>
      </c>
      <c r="Z6037">
        <v>41034.81</v>
      </c>
      <c r="AA6037">
        <v>41787.85</v>
      </c>
      <c r="AB6037" s="12" t="s">
        <v>5977</v>
      </c>
      <c r="AC6037">
        <v>315.6524</v>
      </c>
      <c r="AD6037">
        <v>1</v>
      </c>
      <c r="AE6037">
        <v>1</v>
      </c>
      <c r="AF6037">
        <v>0</v>
      </c>
      <c r="AG6037">
        <v>41034.81</v>
      </c>
      <c r="AH6037">
        <v>130</v>
      </c>
      <c r="AI6037">
        <v>127</v>
      </c>
      <c r="AJ6037">
        <v>3</v>
      </c>
      <c r="AK6037">
        <v>1</v>
      </c>
      <c r="AL6037">
        <v>1</v>
      </c>
      <c r="AM6037">
        <v>97.69</v>
      </c>
      <c r="AN6037">
        <v>329.03820000000002</v>
      </c>
      <c r="AO6037">
        <v>946.96</v>
      </c>
      <c r="AP6037" s="13">
        <v>46009</v>
      </c>
      <c r="AQ6037">
        <v>-1</v>
      </c>
      <c r="AR6037">
        <v>1</v>
      </c>
    </row>
    <row r="6038" spans="1:44" x14ac:dyDescent="0.35">
      <c r="A6038" s="12" t="s">
        <v>7153</v>
      </c>
      <c r="B6038" s="12" t="s">
        <v>823</v>
      </c>
      <c r="C6038" s="12" t="s">
        <v>824</v>
      </c>
      <c r="D6038" s="12" t="s">
        <v>114</v>
      </c>
      <c r="E6038" s="12" t="s">
        <v>142</v>
      </c>
      <c r="F6038">
        <v>1</v>
      </c>
      <c r="G6038">
        <v>8</v>
      </c>
      <c r="H6038">
        <v>1</v>
      </c>
      <c r="I6038" s="12" t="s">
        <v>515</v>
      </c>
      <c r="J6038" s="12" t="s">
        <v>516</v>
      </c>
      <c r="K6038" s="12" t="s">
        <v>68</v>
      </c>
      <c r="L6038" s="12" t="s">
        <v>134</v>
      </c>
      <c r="M6038">
        <v>3.69</v>
      </c>
      <c r="N6038" s="12" t="s">
        <v>70</v>
      </c>
      <c r="O6038" s="12" t="s">
        <v>71</v>
      </c>
      <c r="P6038" s="12" t="s">
        <v>72</v>
      </c>
      <c r="Q6038" s="13">
        <v>45974</v>
      </c>
      <c r="R6038" s="13">
        <v>46018</v>
      </c>
      <c r="S6038">
        <v>2025</v>
      </c>
      <c r="T6038" s="12" t="s">
        <v>7071</v>
      </c>
      <c r="U6038">
        <v>85</v>
      </c>
      <c r="V6038">
        <v>361.69060000000002</v>
      </c>
      <c r="W6038">
        <v>677.75</v>
      </c>
      <c r="X6038">
        <v>0</v>
      </c>
      <c r="Y6038">
        <v>0</v>
      </c>
      <c r="Z6038">
        <v>30743.7</v>
      </c>
      <c r="AA6038">
        <v>31421.45</v>
      </c>
      <c r="AB6038" s="12" t="s">
        <v>5883</v>
      </c>
      <c r="AC6038">
        <v>361.69060000000002</v>
      </c>
      <c r="AD6038">
        <v>1</v>
      </c>
      <c r="AE6038">
        <v>1</v>
      </c>
      <c r="AF6038">
        <v>0</v>
      </c>
      <c r="AG6038">
        <v>30743.7</v>
      </c>
      <c r="AH6038">
        <v>85</v>
      </c>
      <c r="AI6038">
        <v>84</v>
      </c>
      <c r="AJ6038">
        <v>1</v>
      </c>
      <c r="AK6038">
        <v>1</v>
      </c>
      <c r="AL6038">
        <v>1</v>
      </c>
      <c r="AM6038">
        <v>98.82</v>
      </c>
      <c r="AN6038">
        <v>374.06490000000002</v>
      </c>
      <c r="AO6038">
        <v>361.69</v>
      </c>
      <c r="AP6038" s="13">
        <v>46017</v>
      </c>
      <c r="AQ6038">
        <v>-1</v>
      </c>
      <c r="AR6038">
        <v>1</v>
      </c>
    </row>
    <row r="6039" spans="1:44" x14ac:dyDescent="0.35">
      <c r="A6039" s="12" t="s">
        <v>7154</v>
      </c>
      <c r="B6039" s="12" t="s">
        <v>957</v>
      </c>
      <c r="C6039" s="12" t="s">
        <v>958</v>
      </c>
      <c r="D6039" s="12" t="s">
        <v>103</v>
      </c>
      <c r="E6039" s="12" t="s">
        <v>142</v>
      </c>
      <c r="F6039">
        <v>1</v>
      </c>
      <c r="G6039">
        <v>7</v>
      </c>
      <c r="H6039">
        <v>1</v>
      </c>
      <c r="I6039" s="12" t="s">
        <v>183</v>
      </c>
      <c r="J6039" s="12" t="s">
        <v>184</v>
      </c>
      <c r="K6039" s="12" t="s">
        <v>133</v>
      </c>
      <c r="L6039" s="12" t="s">
        <v>82</v>
      </c>
      <c r="M6039">
        <v>8.6199999999999992</v>
      </c>
      <c r="N6039" s="12" t="s">
        <v>145</v>
      </c>
      <c r="O6039" s="12" t="s">
        <v>146</v>
      </c>
      <c r="P6039" s="12" t="s">
        <v>109</v>
      </c>
      <c r="Q6039" s="13">
        <v>45974</v>
      </c>
      <c r="R6039" s="13">
        <v>46023</v>
      </c>
      <c r="S6039">
        <v>2025</v>
      </c>
      <c r="T6039" s="12" t="s">
        <v>7071</v>
      </c>
      <c r="U6039">
        <v>123</v>
      </c>
      <c r="V6039">
        <v>198.3338</v>
      </c>
      <c r="W6039">
        <v>219.27</v>
      </c>
      <c r="X6039">
        <v>0</v>
      </c>
      <c r="Y6039">
        <v>0</v>
      </c>
      <c r="Z6039">
        <v>24395.06</v>
      </c>
      <c r="AA6039">
        <v>24614.33</v>
      </c>
      <c r="AB6039" s="12" t="s">
        <v>5622</v>
      </c>
      <c r="AC6039">
        <v>188.30439999999999</v>
      </c>
      <c r="AD6039">
        <v>1</v>
      </c>
      <c r="AE6039">
        <v>1</v>
      </c>
      <c r="AF6039">
        <v>1233.6199999999999</v>
      </c>
      <c r="AG6039">
        <v>23161.439999999999</v>
      </c>
      <c r="AH6039">
        <v>123</v>
      </c>
      <c r="AI6039">
        <v>122</v>
      </c>
      <c r="AJ6039">
        <v>1</v>
      </c>
      <c r="AK6039">
        <v>1</v>
      </c>
      <c r="AL6039">
        <v>1</v>
      </c>
      <c r="AM6039">
        <v>99.19</v>
      </c>
      <c r="AN6039">
        <v>201.7568</v>
      </c>
      <c r="AO6039">
        <v>198.33</v>
      </c>
      <c r="AP6039" s="13">
        <v>46020</v>
      </c>
      <c r="AQ6039">
        <v>-3</v>
      </c>
      <c r="AR6039">
        <v>1</v>
      </c>
    </row>
    <row r="6040" spans="1:44" x14ac:dyDescent="0.35">
      <c r="A6040" s="12" t="s">
        <v>7155</v>
      </c>
      <c r="B6040" s="12" t="s">
        <v>391</v>
      </c>
      <c r="C6040" s="12" t="s">
        <v>392</v>
      </c>
      <c r="D6040" s="12" t="s">
        <v>114</v>
      </c>
      <c r="E6040" s="12" t="s">
        <v>65</v>
      </c>
      <c r="F6040">
        <v>2</v>
      </c>
      <c r="G6040">
        <v>2</v>
      </c>
      <c r="H6040">
        <v>0</v>
      </c>
      <c r="I6040" s="12" t="s">
        <v>195</v>
      </c>
      <c r="J6040" s="12" t="s">
        <v>196</v>
      </c>
      <c r="K6040" s="12" t="s">
        <v>117</v>
      </c>
      <c r="L6040" s="12" t="s">
        <v>134</v>
      </c>
      <c r="M6040">
        <v>4.7699999999999996</v>
      </c>
      <c r="N6040" s="12" t="s">
        <v>97</v>
      </c>
      <c r="O6040" s="12" t="s">
        <v>98</v>
      </c>
      <c r="P6040" s="12" t="s">
        <v>72</v>
      </c>
      <c r="Q6040" s="13">
        <v>45974</v>
      </c>
      <c r="R6040" s="13">
        <v>46003</v>
      </c>
      <c r="S6040">
        <v>2025</v>
      </c>
      <c r="T6040" s="12" t="s">
        <v>7071</v>
      </c>
      <c r="U6040">
        <v>77</v>
      </c>
      <c r="V6040">
        <v>252.34790000000001</v>
      </c>
      <c r="W6040">
        <v>425.76</v>
      </c>
      <c r="X6040">
        <v>0</v>
      </c>
      <c r="Y6040">
        <v>0</v>
      </c>
      <c r="Z6040">
        <v>19430.79</v>
      </c>
      <c r="AA6040">
        <v>19856.55</v>
      </c>
      <c r="AB6040" s="12" t="s">
        <v>201</v>
      </c>
      <c r="AD6040">
        <v>0</v>
      </c>
      <c r="AE6040">
        <v>0</v>
      </c>
      <c r="AH6040">
        <v>77</v>
      </c>
      <c r="AI6040">
        <v>76</v>
      </c>
      <c r="AJ6040">
        <v>1</v>
      </c>
      <c r="AK6040">
        <v>1</v>
      </c>
      <c r="AL6040">
        <v>1</v>
      </c>
      <c r="AM6040">
        <v>98.7</v>
      </c>
      <c r="AN6040">
        <v>261.2704</v>
      </c>
      <c r="AO6040">
        <v>252.35</v>
      </c>
      <c r="AP6040" s="13">
        <v>46000</v>
      </c>
      <c r="AQ6040">
        <v>-3</v>
      </c>
      <c r="AR6040">
        <v>1</v>
      </c>
    </row>
    <row r="6041" spans="1:44" x14ac:dyDescent="0.35">
      <c r="A6041" s="12" t="s">
        <v>7156</v>
      </c>
      <c r="B6041" s="12" t="s">
        <v>433</v>
      </c>
      <c r="C6041" s="12" t="s">
        <v>434</v>
      </c>
      <c r="D6041" s="12" t="s">
        <v>78</v>
      </c>
      <c r="E6041" s="12" t="s">
        <v>65</v>
      </c>
      <c r="F6041">
        <v>2</v>
      </c>
      <c r="G6041">
        <v>4</v>
      </c>
      <c r="H6041">
        <v>0</v>
      </c>
      <c r="I6041" s="12" t="s">
        <v>105</v>
      </c>
      <c r="J6041" s="12" t="s">
        <v>106</v>
      </c>
      <c r="K6041" s="12" t="s">
        <v>81</v>
      </c>
      <c r="L6041" s="12" t="s">
        <v>96</v>
      </c>
      <c r="M6041">
        <v>5.01</v>
      </c>
      <c r="N6041" s="12" t="s">
        <v>70</v>
      </c>
      <c r="O6041" s="12" t="s">
        <v>71</v>
      </c>
      <c r="P6041" s="12" t="s">
        <v>72</v>
      </c>
      <c r="Q6041" s="13">
        <v>45974</v>
      </c>
      <c r="R6041" s="13">
        <v>46004</v>
      </c>
      <c r="S6041">
        <v>2025</v>
      </c>
      <c r="T6041" s="12" t="s">
        <v>7071</v>
      </c>
      <c r="U6041">
        <v>171</v>
      </c>
      <c r="V6041">
        <v>68.594099999999997</v>
      </c>
      <c r="W6041">
        <v>80.69</v>
      </c>
      <c r="X6041">
        <v>0</v>
      </c>
      <c r="Y6041">
        <v>0</v>
      </c>
      <c r="Z6041">
        <v>11729.59</v>
      </c>
      <c r="AA6041">
        <v>11810.28</v>
      </c>
      <c r="AB6041" s="12" t="s">
        <v>5436</v>
      </c>
      <c r="AC6041">
        <v>68.594099999999997</v>
      </c>
      <c r="AD6041">
        <v>1</v>
      </c>
      <c r="AE6041">
        <v>1</v>
      </c>
      <c r="AF6041">
        <v>0</v>
      </c>
      <c r="AG6041">
        <v>11729.59</v>
      </c>
      <c r="AH6041">
        <v>171</v>
      </c>
      <c r="AI6041">
        <v>168</v>
      </c>
      <c r="AJ6041">
        <v>3</v>
      </c>
      <c r="AK6041">
        <v>1</v>
      </c>
      <c r="AL6041">
        <v>1</v>
      </c>
      <c r="AM6041">
        <v>98.25</v>
      </c>
      <c r="AN6041">
        <v>70.299300000000002</v>
      </c>
      <c r="AO6041">
        <v>205.78</v>
      </c>
      <c r="AP6041" s="13">
        <v>46003</v>
      </c>
      <c r="AQ6041">
        <v>-1</v>
      </c>
      <c r="AR6041">
        <v>1</v>
      </c>
    </row>
    <row r="6042" spans="1:44" x14ac:dyDescent="0.35">
      <c r="A6042" s="12" t="s">
        <v>7157</v>
      </c>
      <c r="B6042" s="12" t="s">
        <v>503</v>
      </c>
      <c r="C6042" s="12" t="s">
        <v>504</v>
      </c>
      <c r="D6042" s="12" t="s">
        <v>103</v>
      </c>
      <c r="E6042" s="12" t="s">
        <v>104</v>
      </c>
      <c r="F6042">
        <v>3</v>
      </c>
      <c r="G6042">
        <v>1</v>
      </c>
      <c r="H6042">
        <v>0</v>
      </c>
      <c r="I6042" s="12" t="s">
        <v>209</v>
      </c>
      <c r="J6042" s="12" t="s">
        <v>210</v>
      </c>
      <c r="K6042" s="12" t="s">
        <v>133</v>
      </c>
      <c r="L6042" s="12" t="s">
        <v>96</v>
      </c>
      <c r="M6042">
        <v>7.82</v>
      </c>
      <c r="N6042" s="12" t="s">
        <v>107</v>
      </c>
      <c r="O6042" s="12" t="s">
        <v>108</v>
      </c>
      <c r="P6042" s="12" t="s">
        <v>109</v>
      </c>
      <c r="Q6042" s="13">
        <v>45975</v>
      </c>
      <c r="R6042" s="13">
        <v>45988</v>
      </c>
      <c r="S6042">
        <v>2025</v>
      </c>
      <c r="T6042" s="12" t="s">
        <v>7071</v>
      </c>
      <c r="U6042">
        <v>20</v>
      </c>
      <c r="V6042">
        <v>168.3768</v>
      </c>
      <c r="W6042">
        <v>46.73</v>
      </c>
      <c r="X6042">
        <v>0</v>
      </c>
      <c r="Y6042">
        <v>0</v>
      </c>
      <c r="Z6042">
        <v>3367.54</v>
      </c>
      <c r="AA6042">
        <v>3414.27</v>
      </c>
      <c r="AB6042" s="12" t="s">
        <v>201</v>
      </c>
      <c r="AD6042">
        <v>0</v>
      </c>
      <c r="AE6042">
        <v>0</v>
      </c>
      <c r="AH6042">
        <v>20</v>
      </c>
      <c r="AI6042">
        <v>20</v>
      </c>
      <c r="AJ6042">
        <v>0</v>
      </c>
      <c r="AK6042">
        <v>1</v>
      </c>
      <c r="AL6042">
        <v>1</v>
      </c>
      <c r="AM6042">
        <v>100</v>
      </c>
      <c r="AN6042">
        <v>170.7133</v>
      </c>
      <c r="AO6042">
        <v>0</v>
      </c>
      <c r="AP6042" s="13">
        <v>45992</v>
      </c>
      <c r="AQ6042">
        <v>4</v>
      </c>
      <c r="AR6042">
        <v>0</v>
      </c>
    </row>
    <row r="6043" spans="1:44" x14ac:dyDescent="0.35">
      <c r="A6043" s="12" t="s">
        <v>7158</v>
      </c>
      <c r="B6043" s="12" t="s">
        <v>1220</v>
      </c>
      <c r="C6043" s="12" t="s">
        <v>1221</v>
      </c>
      <c r="D6043" s="12" t="s">
        <v>175</v>
      </c>
      <c r="E6043" s="12" t="s">
        <v>104</v>
      </c>
      <c r="F6043">
        <v>3</v>
      </c>
      <c r="G6043">
        <v>1</v>
      </c>
      <c r="H6043">
        <v>0</v>
      </c>
      <c r="I6043" s="12" t="s">
        <v>251</v>
      </c>
      <c r="J6043" s="12" t="s">
        <v>252</v>
      </c>
      <c r="K6043" s="12" t="s">
        <v>133</v>
      </c>
      <c r="L6043" s="12" t="s">
        <v>69</v>
      </c>
      <c r="M6043">
        <v>34.49</v>
      </c>
      <c r="N6043" s="12" t="s">
        <v>107</v>
      </c>
      <c r="O6043" s="12" t="s">
        <v>108</v>
      </c>
      <c r="P6043" s="12" t="s">
        <v>109</v>
      </c>
      <c r="Q6043" s="13">
        <v>45975</v>
      </c>
      <c r="R6043" s="13">
        <v>45987</v>
      </c>
      <c r="S6043">
        <v>2025</v>
      </c>
      <c r="T6043" s="12" t="s">
        <v>7071</v>
      </c>
      <c r="U6043">
        <v>10</v>
      </c>
      <c r="V6043">
        <v>138.9153</v>
      </c>
      <c r="W6043">
        <v>9.0500000000000007</v>
      </c>
      <c r="X6043">
        <v>0</v>
      </c>
      <c r="Y6043">
        <v>0</v>
      </c>
      <c r="Z6043">
        <v>1389.15</v>
      </c>
      <c r="AA6043">
        <v>1398.2</v>
      </c>
      <c r="AB6043" s="12" t="s">
        <v>6528</v>
      </c>
      <c r="AC6043">
        <v>138.9153</v>
      </c>
      <c r="AD6043">
        <v>1</v>
      </c>
      <c r="AE6043">
        <v>1</v>
      </c>
      <c r="AF6043">
        <v>0</v>
      </c>
      <c r="AG6043">
        <v>1389.15</v>
      </c>
      <c r="AH6043">
        <v>10</v>
      </c>
      <c r="AI6043">
        <v>10</v>
      </c>
      <c r="AJ6043">
        <v>0</v>
      </c>
      <c r="AK6043">
        <v>1</v>
      </c>
      <c r="AL6043">
        <v>1</v>
      </c>
      <c r="AM6043">
        <v>100</v>
      </c>
      <c r="AN6043">
        <v>139.8203</v>
      </c>
      <c r="AO6043">
        <v>0</v>
      </c>
      <c r="AP6043" s="13">
        <v>45987</v>
      </c>
      <c r="AQ6043">
        <v>0</v>
      </c>
      <c r="AR6043">
        <v>1</v>
      </c>
    </row>
    <row r="6044" spans="1:44" x14ac:dyDescent="0.35">
      <c r="A6044" s="12" t="s">
        <v>7159</v>
      </c>
      <c r="B6044" s="12" t="s">
        <v>308</v>
      </c>
      <c r="C6044" s="12" t="s">
        <v>309</v>
      </c>
      <c r="D6044" s="12" t="s">
        <v>122</v>
      </c>
      <c r="E6044" s="12" t="s">
        <v>142</v>
      </c>
      <c r="F6044">
        <v>1</v>
      </c>
      <c r="G6044">
        <v>6</v>
      </c>
      <c r="H6044">
        <v>1</v>
      </c>
      <c r="I6044" s="12" t="s">
        <v>310</v>
      </c>
      <c r="J6044" s="12" t="s">
        <v>311</v>
      </c>
      <c r="K6044" s="12" t="s">
        <v>81</v>
      </c>
      <c r="L6044" s="12" t="s">
        <v>69</v>
      </c>
      <c r="M6044">
        <v>28.3</v>
      </c>
      <c r="N6044" s="12" t="s">
        <v>70</v>
      </c>
      <c r="O6044" s="12" t="s">
        <v>71</v>
      </c>
      <c r="P6044" s="12" t="s">
        <v>72</v>
      </c>
      <c r="Q6044" s="13">
        <v>45975</v>
      </c>
      <c r="R6044" s="13">
        <v>46020</v>
      </c>
      <c r="S6044">
        <v>2025</v>
      </c>
      <c r="T6044" s="12" t="s">
        <v>7071</v>
      </c>
      <c r="U6044">
        <v>1258</v>
      </c>
      <c r="V6044">
        <v>56.789000000000001</v>
      </c>
      <c r="W6044">
        <v>581.35</v>
      </c>
      <c r="X6044">
        <v>0</v>
      </c>
      <c r="Y6044">
        <v>0</v>
      </c>
      <c r="Z6044">
        <v>71440.56</v>
      </c>
      <c r="AA6044">
        <v>72021.91</v>
      </c>
      <c r="AB6044" s="12" t="s">
        <v>5357</v>
      </c>
      <c r="AC6044">
        <v>56.789000000000001</v>
      </c>
      <c r="AD6044">
        <v>1</v>
      </c>
      <c r="AE6044">
        <v>1</v>
      </c>
      <c r="AF6044">
        <v>0</v>
      </c>
      <c r="AG6044">
        <v>71440.56</v>
      </c>
      <c r="AH6044">
        <v>1258</v>
      </c>
      <c r="AI6044">
        <v>1251</v>
      </c>
      <c r="AJ6044">
        <v>7</v>
      </c>
      <c r="AK6044">
        <v>1</v>
      </c>
      <c r="AL6044">
        <v>1</v>
      </c>
      <c r="AM6044">
        <v>99.44</v>
      </c>
      <c r="AN6044">
        <v>57.5715</v>
      </c>
      <c r="AO6044">
        <v>397.52</v>
      </c>
      <c r="AP6044" s="13">
        <v>46017</v>
      </c>
      <c r="AQ6044">
        <v>-3</v>
      </c>
      <c r="AR6044">
        <v>1</v>
      </c>
    </row>
    <row r="6045" spans="1:44" x14ac:dyDescent="0.35">
      <c r="A6045" s="12" t="s">
        <v>7160</v>
      </c>
      <c r="B6045" s="12" t="s">
        <v>685</v>
      </c>
      <c r="C6045" s="12" t="s">
        <v>686</v>
      </c>
      <c r="D6045" s="12" t="s">
        <v>175</v>
      </c>
      <c r="E6045" s="12" t="s">
        <v>104</v>
      </c>
      <c r="F6045">
        <v>2</v>
      </c>
      <c r="G6045">
        <v>0</v>
      </c>
      <c r="H6045">
        <v>0</v>
      </c>
      <c r="I6045" s="12" t="s">
        <v>243</v>
      </c>
      <c r="J6045" s="12" t="s">
        <v>244</v>
      </c>
      <c r="K6045" s="12" t="s">
        <v>81</v>
      </c>
      <c r="L6045" s="12" t="s">
        <v>82</v>
      </c>
      <c r="M6045">
        <v>9.2200000000000006</v>
      </c>
      <c r="N6045" s="12" t="s">
        <v>145</v>
      </c>
      <c r="O6045" s="12" t="s">
        <v>146</v>
      </c>
      <c r="P6045" s="12" t="s">
        <v>109</v>
      </c>
      <c r="Q6045" s="13">
        <v>45975</v>
      </c>
      <c r="R6045" s="13">
        <v>45999</v>
      </c>
      <c r="S6045">
        <v>2025</v>
      </c>
      <c r="T6045" s="12" t="s">
        <v>7071</v>
      </c>
      <c r="U6045">
        <v>104</v>
      </c>
      <c r="V6045">
        <v>236.23660000000001</v>
      </c>
      <c r="W6045">
        <v>238.71</v>
      </c>
      <c r="X6045">
        <v>0</v>
      </c>
      <c r="Y6045">
        <v>0</v>
      </c>
      <c r="Z6045">
        <v>24568.61</v>
      </c>
      <c r="AA6045">
        <v>24807.32</v>
      </c>
      <c r="AB6045" s="12" t="s">
        <v>201</v>
      </c>
      <c r="AD6045">
        <v>0</v>
      </c>
      <c r="AE6045">
        <v>0</v>
      </c>
      <c r="AH6045">
        <v>104</v>
      </c>
      <c r="AI6045">
        <v>104</v>
      </c>
      <c r="AJ6045">
        <v>0</v>
      </c>
      <c r="AK6045">
        <v>1</v>
      </c>
      <c r="AL6045">
        <v>1</v>
      </c>
      <c r="AM6045">
        <v>100</v>
      </c>
      <c r="AN6045">
        <v>238.53190000000001</v>
      </c>
      <c r="AO6045">
        <v>0</v>
      </c>
      <c r="AP6045" s="13">
        <v>45999</v>
      </c>
      <c r="AQ6045">
        <v>0</v>
      </c>
      <c r="AR6045">
        <v>1</v>
      </c>
    </row>
    <row r="6046" spans="1:44" x14ac:dyDescent="0.35">
      <c r="A6046" s="12" t="s">
        <v>7161</v>
      </c>
      <c r="B6046" s="12" t="s">
        <v>909</v>
      </c>
      <c r="C6046" s="12" t="s">
        <v>910</v>
      </c>
      <c r="D6046" s="12" t="s">
        <v>269</v>
      </c>
      <c r="E6046" s="12" t="s">
        <v>65</v>
      </c>
      <c r="F6046">
        <v>3</v>
      </c>
      <c r="G6046">
        <v>4</v>
      </c>
      <c r="H6046">
        <v>0</v>
      </c>
      <c r="I6046" s="12" t="s">
        <v>199</v>
      </c>
      <c r="J6046" s="12" t="s">
        <v>200</v>
      </c>
      <c r="K6046" s="12" t="s">
        <v>68</v>
      </c>
      <c r="L6046" s="12" t="s">
        <v>96</v>
      </c>
      <c r="M6046">
        <v>9.4700000000000006</v>
      </c>
      <c r="N6046" s="12" t="s">
        <v>159</v>
      </c>
      <c r="O6046" s="12" t="s">
        <v>160</v>
      </c>
      <c r="P6046" s="12" t="s">
        <v>137</v>
      </c>
      <c r="Q6046" s="13">
        <v>45975</v>
      </c>
      <c r="R6046" s="13">
        <v>46011</v>
      </c>
      <c r="S6046">
        <v>2025</v>
      </c>
      <c r="T6046" s="12" t="s">
        <v>7071</v>
      </c>
      <c r="U6046">
        <v>126</v>
      </c>
      <c r="V6046">
        <v>103.0488</v>
      </c>
      <c r="W6046">
        <v>324.3</v>
      </c>
      <c r="X6046">
        <v>416.33</v>
      </c>
      <c r="Y6046">
        <v>1</v>
      </c>
      <c r="Z6046">
        <v>12984.15</v>
      </c>
      <c r="AA6046">
        <v>13724.78</v>
      </c>
      <c r="AB6046" s="12" t="s">
        <v>5939</v>
      </c>
      <c r="AC6046">
        <v>103.0488</v>
      </c>
      <c r="AD6046">
        <v>1</v>
      </c>
      <c r="AE6046">
        <v>1</v>
      </c>
      <c r="AF6046">
        <v>0</v>
      </c>
      <c r="AG6046">
        <v>12984.15</v>
      </c>
      <c r="AK6046">
        <v>0</v>
      </c>
      <c r="AL6046">
        <v>0</v>
      </c>
      <c r="AO6046">
        <v>0</v>
      </c>
      <c r="AP6046" s="13"/>
    </row>
    <row r="6047" spans="1:44" x14ac:dyDescent="0.35">
      <c r="A6047" s="12" t="s">
        <v>7162</v>
      </c>
      <c r="B6047" s="12" t="s">
        <v>519</v>
      </c>
      <c r="C6047" s="12" t="s">
        <v>520</v>
      </c>
      <c r="D6047" s="12" t="s">
        <v>78</v>
      </c>
      <c r="E6047" s="12" t="s">
        <v>65</v>
      </c>
      <c r="F6047">
        <v>2</v>
      </c>
      <c r="G6047">
        <v>3</v>
      </c>
      <c r="H6047">
        <v>0</v>
      </c>
      <c r="I6047" s="12" t="s">
        <v>143</v>
      </c>
      <c r="J6047" s="12" t="s">
        <v>144</v>
      </c>
      <c r="K6047" s="12" t="s">
        <v>133</v>
      </c>
      <c r="L6047" s="12" t="s">
        <v>96</v>
      </c>
      <c r="M6047">
        <v>5.43</v>
      </c>
      <c r="N6047" s="12" t="s">
        <v>70</v>
      </c>
      <c r="O6047" s="12" t="s">
        <v>71</v>
      </c>
      <c r="P6047" s="12" t="s">
        <v>72</v>
      </c>
      <c r="Q6047" s="13">
        <v>45975</v>
      </c>
      <c r="R6047" s="13">
        <v>46003</v>
      </c>
      <c r="S6047">
        <v>2025</v>
      </c>
      <c r="T6047" s="12" t="s">
        <v>7071</v>
      </c>
      <c r="U6047">
        <v>141</v>
      </c>
      <c r="V6047">
        <v>28.570399999999999</v>
      </c>
      <c r="W6047">
        <v>44.01</v>
      </c>
      <c r="X6047">
        <v>131.91</v>
      </c>
      <c r="Y6047">
        <v>1</v>
      </c>
      <c r="Z6047">
        <v>4028.43</v>
      </c>
      <c r="AA6047">
        <v>4204.3500000000004</v>
      </c>
      <c r="AB6047" s="12" t="s">
        <v>5619</v>
      </c>
      <c r="AC6047">
        <v>28.570399999999999</v>
      </c>
      <c r="AD6047">
        <v>1</v>
      </c>
      <c r="AE6047">
        <v>1</v>
      </c>
      <c r="AF6047">
        <v>0</v>
      </c>
      <c r="AG6047">
        <v>4028.43</v>
      </c>
      <c r="AH6047">
        <v>141</v>
      </c>
      <c r="AI6047">
        <v>139</v>
      </c>
      <c r="AJ6047">
        <v>2</v>
      </c>
      <c r="AK6047">
        <v>1</v>
      </c>
      <c r="AL6047">
        <v>1</v>
      </c>
      <c r="AM6047">
        <v>98.58</v>
      </c>
      <c r="AN6047">
        <v>30.2471</v>
      </c>
      <c r="AO6047">
        <v>57.14</v>
      </c>
      <c r="AP6047" s="13">
        <v>46000</v>
      </c>
      <c r="AQ6047">
        <v>-3</v>
      </c>
      <c r="AR6047">
        <v>1</v>
      </c>
    </row>
    <row r="6048" spans="1:44" x14ac:dyDescent="0.35">
      <c r="A6048" s="12" t="s">
        <v>7163</v>
      </c>
      <c r="B6048" s="12" t="s">
        <v>420</v>
      </c>
      <c r="C6048" s="12" t="s">
        <v>421</v>
      </c>
      <c r="D6048" s="12" t="s">
        <v>269</v>
      </c>
      <c r="E6048" s="12" t="s">
        <v>104</v>
      </c>
      <c r="F6048">
        <v>2</v>
      </c>
      <c r="G6048">
        <v>0</v>
      </c>
      <c r="H6048">
        <v>0</v>
      </c>
      <c r="I6048" s="12" t="s">
        <v>380</v>
      </c>
      <c r="J6048" s="12" t="s">
        <v>381</v>
      </c>
      <c r="K6048" s="12" t="s">
        <v>89</v>
      </c>
      <c r="L6048" s="12" t="s">
        <v>96</v>
      </c>
      <c r="M6048">
        <v>10.210000000000001</v>
      </c>
      <c r="N6048" s="12" t="s">
        <v>135</v>
      </c>
      <c r="O6048" s="12" t="s">
        <v>136</v>
      </c>
      <c r="P6048" s="12" t="s">
        <v>137</v>
      </c>
      <c r="Q6048" s="13">
        <v>45975</v>
      </c>
      <c r="R6048" s="13">
        <v>45993</v>
      </c>
      <c r="S6048">
        <v>2025</v>
      </c>
      <c r="T6048" s="12" t="s">
        <v>7071</v>
      </c>
      <c r="U6048">
        <v>59</v>
      </c>
      <c r="V6048">
        <v>137.98429999999999</v>
      </c>
      <c r="W6048">
        <v>146.43</v>
      </c>
      <c r="X6048">
        <v>0</v>
      </c>
      <c r="Y6048">
        <v>0</v>
      </c>
      <c r="Z6048">
        <v>8141.07</v>
      </c>
      <c r="AA6048">
        <v>8287.5</v>
      </c>
      <c r="AB6048" s="12" t="s">
        <v>5648</v>
      </c>
      <c r="AC6048">
        <v>137.98429999999999</v>
      </c>
      <c r="AD6048">
        <v>1</v>
      </c>
      <c r="AE6048">
        <v>1</v>
      </c>
      <c r="AF6048">
        <v>0</v>
      </c>
      <c r="AG6048">
        <v>8141.07</v>
      </c>
      <c r="AH6048">
        <v>59</v>
      </c>
      <c r="AI6048">
        <v>58</v>
      </c>
      <c r="AJ6048">
        <v>1</v>
      </c>
      <c r="AK6048">
        <v>1</v>
      </c>
      <c r="AL6048">
        <v>1</v>
      </c>
      <c r="AM6048">
        <v>98.31</v>
      </c>
      <c r="AN6048">
        <v>142.88800000000001</v>
      </c>
      <c r="AO6048">
        <v>137.97999999999999</v>
      </c>
      <c r="AP6048" s="13">
        <v>45992</v>
      </c>
      <c r="AQ6048">
        <v>-1</v>
      </c>
      <c r="AR6048">
        <v>1</v>
      </c>
    </row>
    <row r="6049" spans="1:44" x14ac:dyDescent="0.35">
      <c r="A6049" s="12" t="s">
        <v>7164</v>
      </c>
      <c r="B6049" s="12" t="s">
        <v>140</v>
      </c>
      <c r="C6049" s="12" t="s">
        <v>141</v>
      </c>
      <c r="D6049" s="12" t="s">
        <v>103</v>
      </c>
      <c r="E6049" s="12" t="s">
        <v>142</v>
      </c>
      <c r="F6049">
        <v>1</v>
      </c>
      <c r="G6049">
        <v>7</v>
      </c>
      <c r="H6049">
        <v>1</v>
      </c>
      <c r="I6049" s="12" t="s">
        <v>143</v>
      </c>
      <c r="J6049" s="12" t="s">
        <v>144</v>
      </c>
      <c r="K6049" s="12" t="s">
        <v>133</v>
      </c>
      <c r="L6049" s="12" t="s">
        <v>96</v>
      </c>
      <c r="M6049">
        <v>5.43</v>
      </c>
      <c r="N6049" s="12" t="s">
        <v>107</v>
      </c>
      <c r="O6049" s="12" t="s">
        <v>108</v>
      </c>
      <c r="P6049" s="12" t="s">
        <v>109</v>
      </c>
      <c r="Q6049" s="13">
        <v>45975</v>
      </c>
      <c r="R6049" s="13">
        <v>46024</v>
      </c>
      <c r="S6049">
        <v>2025</v>
      </c>
      <c r="T6049" s="12" t="s">
        <v>7071</v>
      </c>
      <c r="U6049">
        <v>125</v>
      </c>
      <c r="V6049">
        <v>210.93029999999999</v>
      </c>
      <c r="W6049">
        <v>356.96</v>
      </c>
      <c r="X6049">
        <v>0</v>
      </c>
      <c r="Y6049">
        <v>0</v>
      </c>
      <c r="Z6049">
        <v>26366.29</v>
      </c>
      <c r="AA6049">
        <v>26723.25</v>
      </c>
      <c r="AB6049" s="12" t="s">
        <v>5126</v>
      </c>
      <c r="AC6049">
        <v>210.93029999999999</v>
      </c>
      <c r="AD6049">
        <v>1</v>
      </c>
      <c r="AE6049">
        <v>1</v>
      </c>
      <c r="AF6049">
        <v>0</v>
      </c>
      <c r="AG6049">
        <v>26366.29</v>
      </c>
      <c r="AK6049">
        <v>0</v>
      </c>
      <c r="AL6049">
        <v>0</v>
      </c>
      <c r="AO6049">
        <v>0</v>
      </c>
      <c r="AP6049" s="13"/>
    </row>
    <row r="6050" spans="1:44" x14ac:dyDescent="0.35">
      <c r="A6050" s="12" t="s">
        <v>7165</v>
      </c>
      <c r="B6050" s="12" t="s">
        <v>1220</v>
      </c>
      <c r="C6050" s="12" t="s">
        <v>1221</v>
      </c>
      <c r="D6050" s="12" t="s">
        <v>175</v>
      </c>
      <c r="E6050" s="12" t="s">
        <v>104</v>
      </c>
      <c r="F6050">
        <v>3</v>
      </c>
      <c r="G6050">
        <v>1</v>
      </c>
      <c r="H6050">
        <v>0</v>
      </c>
      <c r="I6050" s="12" t="s">
        <v>515</v>
      </c>
      <c r="J6050" s="12" t="s">
        <v>516</v>
      </c>
      <c r="K6050" s="12" t="s">
        <v>68</v>
      </c>
      <c r="L6050" s="12" t="s">
        <v>134</v>
      </c>
      <c r="M6050">
        <v>3.69</v>
      </c>
      <c r="N6050" s="12" t="s">
        <v>145</v>
      </c>
      <c r="O6050" s="12" t="s">
        <v>146</v>
      </c>
      <c r="P6050" s="12" t="s">
        <v>109</v>
      </c>
      <c r="Q6050" s="13">
        <v>45978</v>
      </c>
      <c r="R6050" s="13">
        <v>45999</v>
      </c>
      <c r="S6050">
        <v>2025</v>
      </c>
      <c r="T6050" s="12" t="s">
        <v>7071</v>
      </c>
      <c r="U6050">
        <v>82</v>
      </c>
      <c r="V6050">
        <v>133.24299999999999</v>
      </c>
      <c r="W6050">
        <v>178.97</v>
      </c>
      <c r="X6050">
        <v>0</v>
      </c>
      <c r="Y6050">
        <v>0</v>
      </c>
      <c r="Z6050">
        <v>10925.93</v>
      </c>
      <c r="AA6050">
        <v>11104.9</v>
      </c>
      <c r="AB6050" s="12" t="s">
        <v>6420</v>
      </c>
      <c r="AC6050">
        <v>133.24299999999999</v>
      </c>
      <c r="AD6050">
        <v>1</v>
      </c>
      <c r="AE6050">
        <v>1</v>
      </c>
      <c r="AF6050">
        <v>0</v>
      </c>
      <c r="AG6050">
        <v>10925.93</v>
      </c>
      <c r="AH6050">
        <v>82</v>
      </c>
      <c r="AI6050">
        <v>82</v>
      </c>
      <c r="AJ6050">
        <v>0</v>
      </c>
      <c r="AK6050">
        <v>1</v>
      </c>
      <c r="AL6050">
        <v>1</v>
      </c>
      <c r="AM6050">
        <v>100</v>
      </c>
      <c r="AN6050">
        <v>135.4256</v>
      </c>
      <c r="AO6050">
        <v>0</v>
      </c>
      <c r="AP6050" s="13">
        <v>45998</v>
      </c>
      <c r="AQ6050">
        <v>-1</v>
      </c>
      <c r="AR6050">
        <v>1</v>
      </c>
    </row>
    <row r="6051" spans="1:44" x14ac:dyDescent="0.35">
      <c r="A6051" s="12" t="s">
        <v>7166</v>
      </c>
      <c r="B6051" s="12" t="s">
        <v>395</v>
      </c>
      <c r="C6051" s="12" t="s">
        <v>396</v>
      </c>
      <c r="D6051" s="12" t="s">
        <v>130</v>
      </c>
      <c r="E6051" s="12" t="s">
        <v>104</v>
      </c>
      <c r="F6051">
        <v>3</v>
      </c>
      <c r="G6051">
        <v>1</v>
      </c>
      <c r="H6051">
        <v>0</v>
      </c>
      <c r="I6051" s="12" t="s">
        <v>804</v>
      </c>
      <c r="J6051" s="12" t="s">
        <v>342</v>
      </c>
      <c r="K6051" s="12" t="s">
        <v>117</v>
      </c>
      <c r="L6051" s="12" t="s">
        <v>69</v>
      </c>
      <c r="M6051">
        <v>30.07</v>
      </c>
      <c r="N6051" s="12" t="s">
        <v>159</v>
      </c>
      <c r="O6051" s="12" t="s">
        <v>160</v>
      </c>
      <c r="P6051" s="12" t="s">
        <v>137</v>
      </c>
      <c r="Q6051" s="13">
        <v>45978</v>
      </c>
      <c r="R6051" s="13">
        <v>45993</v>
      </c>
      <c r="S6051">
        <v>2025</v>
      </c>
      <c r="T6051" s="12" t="s">
        <v>7071</v>
      </c>
      <c r="U6051">
        <v>37</v>
      </c>
      <c r="V6051">
        <v>190.1942</v>
      </c>
      <c r="W6051">
        <v>105.63</v>
      </c>
      <c r="X6051">
        <v>0</v>
      </c>
      <c r="Y6051">
        <v>0</v>
      </c>
      <c r="Z6051">
        <v>7037.19</v>
      </c>
      <c r="AA6051">
        <v>7142.82</v>
      </c>
      <c r="AB6051" s="12" t="s">
        <v>6031</v>
      </c>
      <c r="AC6051">
        <v>190.1942</v>
      </c>
      <c r="AD6051">
        <v>1</v>
      </c>
      <c r="AE6051">
        <v>1</v>
      </c>
      <c r="AF6051">
        <v>0</v>
      </c>
      <c r="AG6051">
        <v>7037.19</v>
      </c>
      <c r="AH6051">
        <v>37</v>
      </c>
      <c r="AI6051">
        <v>37</v>
      </c>
      <c r="AJ6051">
        <v>0</v>
      </c>
      <c r="AK6051">
        <v>1</v>
      </c>
      <c r="AL6051">
        <v>1</v>
      </c>
      <c r="AM6051">
        <v>100</v>
      </c>
      <c r="AN6051">
        <v>193.04910000000001</v>
      </c>
      <c r="AO6051">
        <v>0</v>
      </c>
      <c r="AP6051" s="13">
        <v>45999</v>
      </c>
      <c r="AQ6051">
        <v>6</v>
      </c>
      <c r="AR6051">
        <v>0</v>
      </c>
    </row>
    <row r="6052" spans="1:44" x14ac:dyDescent="0.35">
      <c r="A6052" s="12" t="s">
        <v>7167</v>
      </c>
      <c r="B6052" s="12" t="s">
        <v>241</v>
      </c>
      <c r="C6052" s="12" t="s">
        <v>242</v>
      </c>
      <c r="D6052" s="12" t="s">
        <v>103</v>
      </c>
      <c r="E6052" s="12" t="s">
        <v>142</v>
      </c>
      <c r="F6052">
        <v>3</v>
      </c>
      <c r="G6052">
        <v>11</v>
      </c>
      <c r="H6052">
        <v>0</v>
      </c>
      <c r="I6052" s="12" t="s">
        <v>243</v>
      </c>
      <c r="J6052" s="12" t="s">
        <v>244</v>
      </c>
      <c r="K6052" s="12" t="s">
        <v>81</v>
      </c>
      <c r="L6052" s="12" t="s">
        <v>82</v>
      </c>
      <c r="M6052">
        <v>9.2200000000000006</v>
      </c>
      <c r="N6052" s="12" t="s">
        <v>107</v>
      </c>
      <c r="O6052" s="12" t="s">
        <v>108</v>
      </c>
      <c r="P6052" s="12" t="s">
        <v>109</v>
      </c>
      <c r="Q6052" s="13">
        <v>45978</v>
      </c>
      <c r="R6052" s="13">
        <v>46014</v>
      </c>
      <c r="S6052">
        <v>2025</v>
      </c>
      <c r="T6052" s="12" t="s">
        <v>7071</v>
      </c>
      <c r="U6052">
        <v>22</v>
      </c>
      <c r="V6052">
        <v>181.93350000000001</v>
      </c>
      <c r="W6052">
        <v>65.260000000000005</v>
      </c>
      <c r="X6052">
        <v>0</v>
      </c>
      <c r="Y6052">
        <v>0</v>
      </c>
      <c r="Z6052">
        <v>4002.54</v>
      </c>
      <c r="AA6052">
        <v>4067.8</v>
      </c>
      <c r="AB6052" s="12" t="s">
        <v>201</v>
      </c>
      <c r="AD6052">
        <v>0</v>
      </c>
      <c r="AE6052">
        <v>0</v>
      </c>
      <c r="AH6052">
        <v>22</v>
      </c>
      <c r="AI6052">
        <v>22</v>
      </c>
      <c r="AJ6052">
        <v>0</v>
      </c>
      <c r="AK6052">
        <v>1</v>
      </c>
      <c r="AL6052">
        <v>1</v>
      </c>
      <c r="AM6052">
        <v>100</v>
      </c>
      <c r="AN6052">
        <v>184.8999</v>
      </c>
      <c r="AO6052">
        <v>0</v>
      </c>
      <c r="AP6052" s="13">
        <v>46011</v>
      </c>
      <c r="AQ6052">
        <v>-3</v>
      </c>
      <c r="AR6052">
        <v>1</v>
      </c>
    </row>
    <row r="6053" spans="1:44" x14ac:dyDescent="0.35">
      <c r="A6053" s="12" t="s">
        <v>7168</v>
      </c>
      <c r="B6053" s="12" t="s">
        <v>241</v>
      </c>
      <c r="C6053" s="12" t="s">
        <v>242</v>
      </c>
      <c r="D6053" s="12" t="s">
        <v>103</v>
      </c>
      <c r="E6053" s="12" t="s">
        <v>142</v>
      </c>
      <c r="F6053">
        <v>3</v>
      </c>
      <c r="G6053">
        <v>11</v>
      </c>
      <c r="H6053">
        <v>0</v>
      </c>
      <c r="I6053" s="12" t="s">
        <v>243</v>
      </c>
      <c r="J6053" s="12" t="s">
        <v>244</v>
      </c>
      <c r="K6053" s="12" t="s">
        <v>81</v>
      </c>
      <c r="L6053" s="12" t="s">
        <v>82</v>
      </c>
      <c r="M6053">
        <v>9.2200000000000006</v>
      </c>
      <c r="N6053" s="12" t="s">
        <v>107</v>
      </c>
      <c r="O6053" s="12" t="s">
        <v>108</v>
      </c>
      <c r="P6053" s="12" t="s">
        <v>109</v>
      </c>
      <c r="Q6053" s="13">
        <v>45978</v>
      </c>
      <c r="R6053" s="13">
        <v>46020</v>
      </c>
      <c r="S6053">
        <v>2025</v>
      </c>
      <c r="T6053" s="12" t="s">
        <v>7071</v>
      </c>
      <c r="U6053">
        <v>67</v>
      </c>
      <c r="V6053">
        <v>189.0625</v>
      </c>
      <c r="W6053">
        <v>292.02</v>
      </c>
      <c r="X6053">
        <v>0</v>
      </c>
      <c r="Y6053">
        <v>0</v>
      </c>
      <c r="Z6053">
        <v>12667.19</v>
      </c>
      <c r="AA6053">
        <v>12959.21</v>
      </c>
      <c r="AB6053" s="12" t="s">
        <v>201</v>
      </c>
      <c r="AD6053">
        <v>0</v>
      </c>
      <c r="AE6053">
        <v>0</v>
      </c>
      <c r="AH6053">
        <v>67</v>
      </c>
      <c r="AI6053">
        <v>67</v>
      </c>
      <c r="AJ6053">
        <v>0</v>
      </c>
      <c r="AK6053">
        <v>1</v>
      </c>
      <c r="AL6053">
        <v>1</v>
      </c>
      <c r="AM6053">
        <v>100</v>
      </c>
      <c r="AN6053">
        <v>193.42099999999999</v>
      </c>
      <c r="AO6053">
        <v>0</v>
      </c>
      <c r="AP6053" s="13">
        <v>46019</v>
      </c>
      <c r="AQ6053">
        <v>-1</v>
      </c>
      <c r="AR6053">
        <v>1</v>
      </c>
    </row>
    <row r="6054" spans="1:44" x14ac:dyDescent="0.35">
      <c r="A6054" s="12" t="s">
        <v>7169</v>
      </c>
      <c r="B6054" s="12" t="s">
        <v>442</v>
      </c>
      <c r="C6054" s="12" t="s">
        <v>443</v>
      </c>
      <c r="D6054" s="12" t="s">
        <v>130</v>
      </c>
      <c r="E6054" s="12" t="s">
        <v>65</v>
      </c>
      <c r="F6054">
        <v>3</v>
      </c>
      <c r="G6054">
        <v>4</v>
      </c>
      <c r="H6054">
        <v>0</v>
      </c>
      <c r="I6054" s="12" t="s">
        <v>251</v>
      </c>
      <c r="J6054" s="12" t="s">
        <v>252</v>
      </c>
      <c r="K6054" s="12" t="s">
        <v>133</v>
      </c>
      <c r="L6054" s="12" t="s">
        <v>69</v>
      </c>
      <c r="M6054">
        <v>34.49</v>
      </c>
      <c r="N6054" s="12" t="s">
        <v>159</v>
      </c>
      <c r="O6054" s="12" t="s">
        <v>160</v>
      </c>
      <c r="P6054" s="12" t="s">
        <v>137</v>
      </c>
      <c r="Q6054" s="13">
        <v>45978</v>
      </c>
      <c r="R6054" s="13">
        <v>46006</v>
      </c>
      <c r="S6054">
        <v>2025</v>
      </c>
      <c r="T6054" s="12" t="s">
        <v>7071</v>
      </c>
      <c r="U6054">
        <v>69</v>
      </c>
      <c r="V6054">
        <v>541.52170000000001</v>
      </c>
      <c r="W6054">
        <v>241.51</v>
      </c>
      <c r="X6054">
        <v>0</v>
      </c>
      <c r="Y6054">
        <v>0</v>
      </c>
      <c r="Z6054">
        <v>37365</v>
      </c>
      <c r="AA6054">
        <v>37606.51</v>
      </c>
      <c r="AB6054" s="12" t="s">
        <v>5218</v>
      </c>
      <c r="AC6054">
        <v>514.42409999999995</v>
      </c>
      <c r="AD6054">
        <v>1</v>
      </c>
      <c r="AE6054">
        <v>1</v>
      </c>
      <c r="AF6054">
        <v>1869.73</v>
      </c>
      <c r="AG6054">
        <v>35495.26</v>
      </c>
      <c r="AH6054">
        <v>69</v>
      </c>
      <c r="AI6054">
        <v>68</v>
      </c>
      <c r="AJ6054">
        <v>1</v>
      </c>
      <c r="AK6054">
        <v>1</v>
      </c>
      <c r="AL6054">
        <v>1</v>
      </c>
      <c r="AM6054">
        <v>98.55</v>
      </c>
      <c r="AN6054">
        <v>553.03689999999995</v>
      </c>
      <c r="AO6054">
        <v>541.52</v>
      </c>
      <c r="AP6054" s="13">
        <v>46003</v>
      </c>
      <c r="AQ6054">
        <v>-3</v>
      </c>
      <c r="AR6054">
        <v>1</v>
      </c>
    </row>
    <row r="6055" spans="1:44" x14ac:dyDescent="0.35">
      <c r="A6055" s="12" t="s">
        <v>7170</v>
      </c>
      <c r="B6055" s="12" t="s">
        <v>990</v>
      </c>
      <c r="C6055" s="12" t="s">
        <v>991</v>
      </c>
      <c r="D6055" s="12" t="s">
        <v>122</v>
      </c>
      <c r="E6055" s="12" t="s">
        <v>142</v>
      </c>
      <c r="F6055">
        <v>1</v>
      </c>
      <c r="G6055">
        <v>6</v>
      </c>
      <c r="H6055">
        <v>1</v>
      </c>
      <c r="I6055" s="12" t="s">
        <v>217</v>
      </c>
      <c r="J6055" s="12" t="s">
        <v>218</v>
      </c>
      <c r="K6055" s="12" t="s">
        <v>68</v>
      </c>
      <c r="L6055" s="12" t="s">
        <v>82</v>
      </c>
      <c r="M6055">
        <v>14.24</v>
      </c>
      <c r="N6055" s="12" t="s">
        <v>97</v>
      </c>
      <c r="O6055" s="12" t="s">
        <v>98</v>
      </c>
      <c r="P6055" s="12" t="s">
        <v>72</v>
      </c>
      <c r="Q6055" s="13">
        <v>45978</v>
      </c>
      <c r="R6055" s="13">
        <v>46029</v>
      </c>
      <c r="S6055">
        <v>2025</v>
      </c>
      <c r="T6055" s="12" t="s">
        <v>7071</v>
      </c>
      <c r="U6055">
        <v>1837</v>
      </c>
      <c r="V6055">
        <v>33.5533</v>
      </c>
      <c r="W6055">
        <v>830.79</v>
      </c>
      <c r="X6055">
        <v>0</v>
      </c>
      <c r="Y6055">
        <v>0</v>
      </c>
      <c r="Z6055">
        <v>61637.41</v>
      </c>
      <c r="AA6055">
        <v>62468.2</v>
      </c>
      <c r="AB6055" s="12" t="s">
        <v>5831</v>
      </c>
      <c r="AC6055">
        <v>33.5533</v>
      </c>
      <c r="AD6055">
        <v>1</v>
      </c>
      <c r="AE6055">
        <v>1</v>
      </c>
      <c r="AF6055">
        <v>0</v>
      </c>
      <c r="AG6055">
        <v>61637.41</v>
      </c>
      <c r="AK6055">
        <v>0</v>
      </c>
      <c r="AL6055">
        <v>0</v>
      </c>
      <c r="AO6055">
        <v>0</v>
      </c>
      <c r="AP6055" s="13"/>
    </row>
    <row r="6056" spans="1:44" x14ac:dyDescent="0.35">
      <c r="A6056" s="12" t="s">
        <v>7171</v>
      </c>
      <c r="B6056" s="12" t="s">
        <v>809</v>
      </c>
      <c r="C6056" s="12" t="s">
        <v>810</v>
      </c>
      <c r="D6056" s="12" t="s">
        <v>114</v>
      </c>
      <c r="E6056" s="12" t="s">
        <v>65</v>
      </c>
      <c r="F6056">
        <v>3</v>
      </c>
      <c r="G6056">
        <v>5</v>
      </c>
      <c r="H6056">
        <v>0</v>
      </c>
      <c r="I6056" s="12" t="s">
        <v>804</v>
      </c>
      <c r="J6056" s="12" t="s">
        <v>342</v>
      </c>
      <c r="K6056" s="12" t="s">
        <v>117</v>
      </c>
      <c r="L6056" s="12" t="s">
        <v>69</v>
      </c>
      <c r="M6056">
        <v>30.07</v>
      </c>
      <c r="N6056" s="12" t="s">
        <v>70</v>
      </c>
      <c r="O6056" s="12" t="s">
        <v>71</v>
      </c>
      <c r="P6056" s="12" t="s">
        <v>72</v>
      </c>
      <c r="Q6056" s="13">
        <v>45978</v>
      </c>
      <c r="R6056" s="13">
        <v>46003</v>
      </c>
      <c r="S6056">
        <v>2025</v>
      </c>
      <c r="T6056" s="12" t="s">
        <v>7071</v>
      </c>
      <c r="U6056">
        <v>42</v>
      </c>
      <c r="V6056">
        <v>302.71480000000003</v>
      </c>
      <c r="W6056">
        <v>273.86</v>
      </c>
      <c r="X6056">
        <v>0</v>
      </c>
      <c r="Y6056">
        <v>0</v>
      </c>
      <c r="Z6056">
        <v>12714.02</v>
      </c>
      <c r="AA6056">
        <v>12987.88</v>
      </c>
      <c r="AB6056" s="12" t="s">
        <v>5511</v>
      </c>
      <c r="AC6056">
        <v>302.71480000000003</v>
      </c>
      <c r="AD6056">
        <v>1</v>
      </c>
      <c r="AE6056">
        <v>1</v>
      </c>
      <c r="AF6056">
        <v>0</v>
      </c>
      <c r="AG6056">
        <v>12714.02</v>
      </c>
      <c r="AH6056">
        <v>42</v>
      </c>
      <c r="AI6056">
        <v>41</v>
      </c>
      <c r="AJ6056">
        <v>1</v>
      </c>
      <c r="AK6056">
        <v>1</v>
      </c>
      <c r="AL6056">
        <v>1</v>
      </c>
      <c r="AM6056">
        <v>97.62</v>
      </c>
      <c r="AN6056">
        <v>316.77760000000001</v>
      </c>
      <c r="AO6056">
        <v>302.70999999999998</v>
      </c>
      <c r="AP6056" s="13">
        <v>46002</v>
      </c>
      <c r="AQ6056">
        <v>-1</v>
      </c>
      <c r="AR6056">
        <v>1</v>
      </c>
    </row>
    <row r="6057" spans="1:44" x14ac:dyDescent="0.35">
      <c r="A6057" s="12" t="s">
        <v>7172</v>
      </c>
      <c r="B6057" s="12" t="s">
        <v>362</v>
      </c>
      <c r="C6057" s="12" t="s">
        <v>363</v>
      </c>
      <c r="D6057" s="12" t="s">
        <v>78</v>
      </c>
      <c r="E6057" s="12" t="s">
        <v>104</v>
      </c>
      <c r="F6057">
        <v>3</v>
      </c>
      <c r="G6057">
        <v>0</v>
      </c>
      <c r="H6057">
        <v>0</v>
      </c>
      <c r="I6057" s="12" t="s">
        <v>157</v>
      </c>
      <c r="J6057" s="12" t="s">
        <v>158</v>
      </c>
      <c r="K6057" s="12" t="s">
        <v>117</v>
      </c>
      <c r="L6057" s="12" t="s">
        <v>96</v>
      </c>
      <c r="M6057">
        <v>4.72</v>
      </c>
      <c r="N6057" s="12" t="s">
        <v>70</v>
      </c>
      <c r="O6057" s="12" t="s">
        <v>71</v>
      </c>
      <c r="P6057" s="12" t="s">
        <v>72</v>
      </c>
      <c r="Q6057" s="13">
        <v>45978</v>
      </c>
      <c r="R6057" s="13">
        <v>45992</v>
      </c>
      <c r="S6057">
        <v>2025</v>
      </c>
      <c r="T6057" s="12" t="s">
        <v>7071</v>
      </c>
      <c r="U6057">
        <v>72</v>
      </c>
      <c r="V6057">
        <v>59.173099999999998</v>
      </c>
      <c r="W6057">
        <v>29.59</v>
      </c>
      <c r="X6057">
        <v>141.94</v>
      </c>
      <c r="Y6057">
        <v>1</v>
      </c>
      <c r="Z6057">
        <v>4260.46</v>
      </c>
      <c r="AA6057">
        <v>4431.99</v>
      </c>
      <c r="AB6057" s="12" t="s">
        <v>201</v>
      </c>
      <c r="AD6057">
        <v>0</v>
      </c>
      <c r="AE6057">
        <v>0</v>
      </c>
      <c r="AH6057">
        <v>72</v>
      </c>
      <c r="AI6057">
        <v>71</v>
      </c>
      <c r="AJ6057">
        <v>1</v>
      </c>
      <c r="AK6057">
        <v>1</v>
      </c>
      <c r="AL6057">
        <v>1</v>
      </c>
      <c r="AM6057">
        <v>98.61</v>
      </c>
      <c r="AN6057">
        <v>62.422400000000003</v>
      </c>
      <c r="AO6057">
        <v>59.17</v>
      </c>
      <c r="AP6057" s="13">
        <v>45991</v>
      </c>
      <c r="AQ6057">
        <v>-1</v>
      </c>
      <c r="AR6057">
        <v>1</v>
      </c>
    </row>
    <row r="6058" spans="1:44" x14ac:dyDescent="0.35">
      <c r="A6058" s="12" t="s">
        <v>7173</v>
      </c>
      <c r="B6058" s="12" t="s">
        <v>193</v>
      </c>
      <c r="C6058" s="12" t="s">
        <v>194</v>
      </c>
      <c r="D6058" s="12" t="s">
        <v>114</v>
      </c>
      <c r="E6058" s="12" t="s">
        <v>65</v>
      </c>
      <c r="F6058">
        <v>3</v>
      </c>
      <c r="G6058">
        <v>4</v>
      </c>
      <c r="H6058">
        <v>0</v>
      </c>
      <c r="I6058" s="12" t="s">
        <v>195</v>
      </c>
      <c r="J6058" s="12" t="s">
        <v>196</v>
      </c>
      <c r="K6058" s="12" t="s">
        <v>117</v>
      </c>
      <c r="L6058" s="12" t="s">
        <v>134</v>
      </c>
      <c r="M6058">
        <v>4.7699999999999996</v>
      </c>
      <c r="N6058" s="12" t="s">
        <v>70</v>
      </c>
      <c r="O6058" s="12" t="s">
        <v>71</v>
      </c>
      <c r="P6058" s="12" t="s">
        <v>72</v>
      </c>
      <c r="Q6058" s="13">
        <v>45978</v>
      </c>
      <c r="R6058" s="13">
        <v>46000</v>
      </c>
      <c r="S6058">
        <v>2025</v>
      </c>
      <c r="T6058" s="12" t="s">
        <v>7071</v>
      </c>
      <c r="U6058">
        <v>20</v>
      </c>
      <c r="V6058">
        <v>104.5202</v>
      </c>
      <c r="W6058">
        <v>19.309999999999999</v>
      </c>
      <c r="X6058">
        <v>0</v>
      </c>
      <c r="Y6058">
        <v>0</v>
      </c>
      <c r="Z6058">
        <v>2090.4</v>
      </c>
      <c r="AA6058">
        <v>2109.71</v>
      </c>
      <c r="AB6058" s="12" t="s">
        <v>5258</v>
      </c>
      <c r="AC6058">
        <v>104.5202</v>
      </c>
      <c r="AD6058">
        <v>1</v>
      </c>
      <c r="AE6058">
        <v>1</v>
      </c>
      <c r="AF6058">
        <v>0</v>
      </c>
      <c r="AG6058">
        <v>2090.4</v>
      </c>
      <c r="AH6058">
        <v>20</v>
      </c>
      <c r="AI6058">
        <v>20</v>
      </c>
      <c r="AJ6058">
        <v>0</v>
      </c>
      <c r="AK6058">
        <v>1</v>
      </c>
      <c r="AL6058">
        <v>1</v>
      </c>
      <c r="AM6058">
        <v>100</v>
      </c>
      <c r="AN6058">
        <v>105.48569999999999</v>
      </c>
      <c r="AO6058">
        <v>0</v>
      </c>
      <c r="AP6058" s="13">
        <v>46003</v>
      </c>
      <c r="AQ6058">
        <v>3</v>
      </c>
      <c r="AR6058">
        <v>0</v>
      </c>
    </row>
    <row r="6059" spans="1:44" x14ac:dyDescent="0.35">
      <c r="A6059" s="12" t="s">
        <v>7174</v>
      </c>
      <c r="B6059" s="12" t="s">
        <v>140</v>
      </c>
      <c r="C6059" s="12" t="s">
        <v>141</v>
      </c>
      <c r="D6059" s="12" t="s">
        <v>103</v>
      </c>
      <c r="E6059" s="12" t="s">
        <v>142</v>
      </c>
      <c r="F6059">
        <v>1</v>
      </c>
      <c r="G6059">
        <v>7</v>
      </c>
      <c r="H6059">
        <v>1</v>
      </c>
      <c r="I6059" s="12" t="s">
        <v>143</v>
      </c>
      <c r="J6059" s="12" t="s">
        <v>144</v>
      </c>
      <c r="K6059" s="12" t="s">
        <v>133</v>
      </c>
      <c r="L6059" s="12" t="s">
        <v>96</v>
      </c>
      <c r="M6059">
        <v>5.43</v>
      </c>
      <c r="N6059" s="12" t="s">
        <v>107</v>
      </c>
      <c r="O6059" s="12" t="s">
        <v>108</v>
      </c>
      <c r="P6059" s="12" t="s">
        <v>109</v>
      </c>
      <c r="Q6059" s="13">
        <v>45978</v>
      </c>
      <c r="R6059" s="13">
        <v>46017</v>
      </c>
      <c r="S6059">
        <v>2025</v>
      </c>
      <c r="T6059" s="12" t="s">
        <v>7071</v>
      </c>
      <c r="U6059">
        <v>45</v>
      </c>
      <c r="V6059">
        <v>198.577</v>
      </c>
      <c r="W6059">
        <v>119.24</v>
      </c>
      <c r="X6059">
        <v>0</v>
      </c>
      <c r="Y6059">
        <v>0</v>
      </c>
      <c r="Z6059">
        <v>8935.9699999999993</v>
      </c>
      <c r="AA6059">
        <v>9055.2099999999991</v>
      </c>
      <c r="AB6059" s="12" t="s">
        <v>5126</v>
      </c>
      <c r="AC6059">
        <v>210.93029999999999</v>
      </c>
      <c r="AD6059">
        <v>1</v>
      </c>
      <c r="AE6059">
        <v>1</v>
      </c>
      <c r="AF6059">
        <v>-555.9</v>
      </c>
      <c r="AG6059">
        <v>9491.86</v>
      </c>
      <c r="AH6059">
        <v>45</v>
      </c>
      <c r="AI6059">
        <v>45</v>
      </c>
      <c r="AJ6059">
        <v>0</v>
      </c>
      <c r="AK6059">
        <v>1</v>
      </c>
      <c r="AL6059">
        <v>1</v>
      </c>
      <c r="AM6059">
        <v>100</v>
      </c>
      <c r="AN6059">
        <v>201.2268</v>
      </c>
      <c r="AO6059">
        <v>0</v>
      </c>
      <c r="AP6059" s="13">
        <v>46016</v>
      </c>
      <c r="AQ6059">
        <v>-1</v>
      </c>
      <c r="AR6059">
        <v>1</v>
      </c>
    </row>
    <row r="6060" spans="1:44" x14ac:dyDescent="0.35">
      <c r="A6060" s="12" t="s">
        <v>7175</v>
      </c>
      <c r="B6060" s="12" t="s">
        <v>736</v>
      </c>
      <c r="C6060" s="12" t="s">
        <v>737</v>
      </c>
      <c r="D6060" s="12" t="s">
        <v>64</v>
      </c>
      <c r="E6060" s="12" t="s">
        <v>104</v>
      </c>
      <c r="F6060">
        <v>3</v>
      </c>
      <c r="G6060">
        <v>1</v>
      </c>
      <c r="H6060">
        <v>0</v>
      </c>
      <c r="I6060" s="12" t="s">
        <v>115</v>
      </c>
      <c r="J6060" s="12" t="s">
        <v>116</v>
      </c>
      <c r="K6060" s="12" t="s">
        <v>117</v>
      </c>
      <c r="L6060" s="12" t="s">
        <v>82</v>
      </c>
      <c r="M6060">
        <v>17.170000000000002</v>
      </c>
      <c r="N6060" s="12" t="s">
        <v>97</v>
      </c>
      <c r="O6060" s="12" t="s">
        <v>98</v>
      </c>
      <c r="P6060" s="12" t="s">
        <v>72</v>
      </c>
      <c r="Q6060" s="13">
        <v>45978</v>
      </c>
      <c r="R6060" s="13">
        <v>45991</v>
      </c>
      <c r="S6060">
        <v>2025</v>
      </c>
      <c r="T6060" s="12" t="s">
        <v>7071</v>
      </c>
      <c r="U6060">
        <v>156</v>
      </c>
      <c r="V6060">
        <v>21.297499999999999</v>
      </c>
      <c r="W6060">
        <v>38.93</v>
      </c>
      <c r="X6060">
        <v>0</v>
      </c>
      <c r="Y6060">
        <v>0</v>
      </c>
      <c r="Z6060">
        <v>3322.41</v>
      </c>
      <c r="AA6060">
        <v>3361.34</v>
      </c>
      <c r="AB6060" s="12" t="s">
        <v>5704</v>
      </c>
      <c r="AC6060">
        <v>21.297499999999999</v>
      </c>
      <c r="AD6060">
        <v>1</v>
      </c>
      <c r="AE6060">
        <v>1</v>
      </c>
      <c r="AF6060">
        <v>0</v>
      </c>
      <c r="AG6060">
        <v>3322.41</v>
      </c>
      <c r="AH6060">
        <v>156</v>
      </c>
      <c r="AI6060">
        <v>154</v>
      </c>
      <c r="AJ6060">
        <v>2</v>
      </c>
      <c r="AK6060">
        <v>1</v>
      </c>
      <c r="AL6060">
        <v>1</v>
      </c>
      <c r="AM6060">
        <v>98.72</v>
      </c>
      <c r="AN6060">
        <v>21.826899999999998</v>
      </c>
      <c r="AO6060">
        <v>42.6</v>
      </c>
      <c r="AP6060" s="13">
        <v>45988</v>
      </c>
      <c r="AQ6060">
        <v>-3</v>
      </c>
      <c r="AR6060">
        <v>1</v>
      </c>
    </row>
    <row r="6061" spans="1:44" x14ac:dyDescent="0.35">
      <c r="A6061" s="12" t="s">
        <v>7176</v>
      </c>
      <c r="B6061" s="12" t="s">
        <v>1042</v>
      </c>
      <c r="C6061" s="12" t="s">
        <v>1043</v>
      </c>
      <c r="D6061" s="12" t="s">
        <v>269</v>
      </c>
      <c r="E6061" s="12" t="s">
        <v>104</v>
      </c>
      <c r="F6061">
        <v>2</v>
      </c>
      <c r="G6061">
        <v>0</v>
      </c>
      <c r="H6061">
        <v>0</v>
      </c>
      <c r="I6061" s="12" t="s">
        <v>199</v>
      </c>
      <c r="J6061" s="12" t="s">
        <v>200</v>
      </c>
      <c r="K6061" s="12" t="s">
        <v>68</v>
      </c>
      <c r="L6061" s="12" t="s">
        <v>96</v>
      </c>
      <c r="M6061">
        <v>9.4700000000000006</v>
      </c>
      <c r="N6061" s="12" t="s">
        <v>159</v>
      </c>
      <c r="O6061" s="12" t="s">
        <v>160</v>
      </c>
      <c r="P6061" s="12" t="s">
        <v>137</v>
      </c>
      <c r="Q6061" s="13">
        <v>45978</v>
      </c>
      <c r="R6061" s="13">
        <v>46000</v>
      </c>
      <c r="S6061">
        <v>2025</v>
      </c>
      <c r="T6061" s="12" t="s">
        <v>7071</v>
      </c>
      <c r="U6061">
        <v>94</v>
      </c>
      <c r="V6061">
        <v>290.11180000000002</v>
      </c>
      <c r="W6061">
        <v>380.62</v>
      </c>
      <c r="X6061">
        <v>0</v>
      </c>
      <c r="Y6061">
        <v>0</v>
      </c>
      <c r="Z6061">
        <v>27270.51</v>
      </c>
      <c r="AA6061">
        <v>27651.13</v>
      </c>
      <c r="AB6061" s="12" t="s">
        <v>6816</v>
      </c>
      <c r="AC6061">
        <v>290.11180000000002</v>
      </c>
      <c r="AD6061">
        <v>1</v>
      </c>
      <c r="AE6061">
        <v>1</v>
      </c>
      <c r="AF6061">
        <v>0</v>
      </c>
      <c r="AG6061">
        <v>27270.51</v>
      </c>
      <c r="AH6061">
        <v>94</v>
      </c>
      <c r="AI6061">
        <v>93</v>
      </c>
      <c r="AJ6061">
        <v>1</v>
      </c>
      <c r="AK6061">
        <v>1</v>
      </c>
      <c r="AL6061">
        <v>1</v>
      </c>
      <c r="AM6061">
        <v>98.94</v>
      </c>
      <c r="AN6061">
        <v>297.32400000000001</v>
      </c>
      <c r="AO6061">
        <v>290.11</v>
      </c>
      <c r="AP6061" s="13">
        <v>46010</v>
      </c>
      <c r="AQ6061">
        <v>10</v>
      </c>
      <c r="AR6061">
        <v>0</v>
      </c>
    </row>
    <row r="6062" spans="1:44" x14ac:dyDescent="0.35">
      <c r="A6062" s="12" t="s">
        <v>7177</v>
      </c>
      <c r="B6062" s="12" t="s">
        <v>221</v>
      </c>
      <c r="C6062" s="12" t="s">
        <v>222</v>
      </c>
      <c r="D6062" s="12" t="s">
        <v>114</v>
      </c>
      <c r="E6062" s="12" t="s">
        <v>142</v>
      </c>
      <c r="F6062">
        <v>3</v>
      </c>
      <c r="G6062">
        <v>11</v>
      </c>
      <c r="H6062">
        <v>0</v>
      </c>
      <c r="I6062" s="12" t="s">
        <v>105</v>
      </c>
      <c r="J6062" s="12" t="s">
        <v>106</v>
      </c>
      <c r="K6062" s="12" t="s">
        <v>81</v>
      </c>
      <c r="L6062" s="12" t="s">
        <v>96</v>
      </c>
      <c r="M6062">
        <v>5.01</v>
      </c>
      <c r="N6062" s="12" t="s">
        <v>70</v>
      </c>
      <c r="O6062" s="12" t="s">
        <v>71</v>
      </c>
      <c r="P6062" s="12" t="s">
        <v>72</v>
      </c>
      <c r="Q6062" s="13">
        <v>45978</v>
      </c>
      <c r="R6062" s="13">
        <v>46023</v>
      </c>
      <c r="S6062">
        <v>2025</v>
      </c>
      <c r="T6062" s="12" t="s">
        <v>7071</v>
      </c>
      <c r="U6062">
        <v>93</v>
      </c>
      <c r="V6062">
        <v>266.21899999999999</v>
      </c>
      <c r="W6062">
        <v>561.65</v>
      </c>
      <c r="X6062">
        <v>0</v>
      </c>
      <c r="Y6062">
        <v>0</v>
      </c>
      <c r="Z6062">
        <v>24758.37</v>
      </c>
      <c r="AA6062">
        <v>25320.02</v>
      </c>
      <c r="AB6062" s="12" t="s">
        <v>201</v>
      </c>
      <c r="AD6062">
        <v>0</v>
      </c>
      <c r="AE6062">
        <v>0</v>
      </c>
      <c r="AH6062">
        <v>93</v>
      </c>
      <c r="AI6062">
        <v>92</v>
      </c>
      <c r="AJ6062">
        <v>1</v>
      </c>
      <c r="AK6062">
        <v>1</v>
      </c>
      <c r="AL6062">
        <v>1</v>
      </c>
      <c r="AM6062">
        <v>98.92</v>
      </c>
      <c r="AN6062">
        <v>275.2176</v>
      </c>
      <c r="AO6062">
        <v>266.22000000000003</v>
      </c>
      <c r="AP6062" s="13">
        <v>46021</v>
      </c>
      <c r="AQ6062">
        <v>-2</v>
      </c>
      <c r="AR6062">
        <v>1</v>
      </c>
    </row>
    <row r="6063" spans="1:44" x14ac:dyDescent="0.35">
      <c r="A6063" s="12" t="s">
        <v>7178</v>
      </c>
      <c r="B6063" s="12" t="s">
        <v>972</v>
      </c>
      <c r="C6063" s="12" t="s">
        <v>973</v>
      </c>
      <c r="D6063" s="12" t="s">
        <v>130</v>
      </c>
      <c r="E6063" s="12" t="s">
        <v>142</v>
      </c>
      <c r="F6063">
        <v>2</v>
      </c>
      <c r="G6063">
        <v>9</v>
      </c>
      <c r="H6063">
        <v>0</v>
      </c>
      <c r="I6063" s="12" t="s">
        <v>676</v>
      </c>
      <c r="J6063" s="12" t="s">
        <v>677</v>
      </c>
      <c r="K6063" s="12" t="s">
        <v>68</v>
      </c>
      <c r="L6063" s="12" t="s">
        <v>96</v>
      </c>
      <c r="M6063">
        <v>3.57</v>
      </c>
      <c r="N6063" s="12" t="s">
        <v>135</v>
      </c>
      <c r="O6063" s="12" t="s">
        <v>136</v>
      </c>
      <c r="P6063" s="12" t="s">
        <v>137</v>
      </c>
      <c r="Q6063" s="13">
        <v>45978</v>
      </c>
      <c r="R6063" s="13">
        <v>46029</v>
      </c>
      <c r="S6063">
        <v>2025</v>
      </c>
      <c r="T6063" s="12" t="s">
        <v>7071</v>
      </c>
      <c r="U6063">
        <v>139</v>
      </c>
      <c r="V6063">
        <v>839.82719999999995</v>
      </c>
      <c r="W6063">
        <v>2062.87</v>
      </c>
      <c r="X6063">
        <v>0</v>
      </c>
      <c r="Y6063">
        <v>0</v>
      </c>
      <c r="Z6063">
        <v>116735.98</v>
      </c>
      <c r="AA6063">
        <v>118798.85</v>
      </c>
      <c r="AB6063" s="12" t="s">
        <v>6005</v>
      </c>
      <c r="AC6063">
        <v>839.82719999999995</v>
      </c>
      <c r="AD6063">
        <v>1</v>
      </c>
      <c r="AE6063">
        <v>1</v>
      </c>
      <c r="AF6063">
        <v>0</v>
      </c>
      <c r="AG6063">
        <v>116735.98</v>
      </c>
      <c r="AK6063">
        <v>0</v>
      </c>
      <c r="AL6063">
        <v>0</v>
      </c>
      <c r="AO6063">
        <v>0</v>
      </c>
      <c r="AP6063" s="13"/>
    </row>
    <row r="6064" spans="1:44" x14ac:dyDescent="0.35">
      <c r="A6064" s="12" t="s">
        <v>7179</v>
      </c>
      <c r="B6064" s="12" t="s">
        <v>792</v>
      </c>
      <c r="C6064" s="12" t="s">
        <v>793</v>
      </c>
      <c r="D6064" s="12" t="s">
        <v>103</v>
      </c>
      <c r="E6064" s="12" t="s">
        <v>65</v>
      </c>
      <c r="F6064">
        <v>2</v>
      </c>
      <c r="G6064">
        <v>3</v>
      </c>
      <c r="H6064">
        <v>0</v>
      </c>
      <c r="I6064" s="12" t="s">
        <v>359</v>
      </c>
      <c r="J6064" s="12" t="s">
        <v>360</v>
      </c>
      <c r="K6064" s="12" t="s">
        <v>133</v>
      </c>
      <c r="L6064" s="12" t="s">
        <v>82</v>
      </c>
      <c r="M6064">
        <v>12.65</v>
      </c>
      <c r="N6064" s="12" t="s">
        <v>145</v>
      </c>
      <c r="O6064" s="12" t="s">
        <v>146</v>
      </c>
      <c r="P6064" s="12" t="s">
        <v>109</v>
      </c>
      <c r="Q6064" s="13">
        <v>45978</v>
      </c>
      <c r="R6064" s="13">
        <v>46016</v>
      </c>
      <c r="S6064">
        <v>2025</v>
      </c>
      <c r="T6064" s="12" t="s">
        <v>7071</v>
      </c>
      <c r="U6064">
        <v>142</v>
      </c>
      <c r="V6064">
        <v>97.418599999999998</v>
      </c>
      <c r="W6064">
        <v>240.56</v>
      </c>
      <c r="X6064">
        <v>0</v>
      </c>
      <c r="Y6064">
        <v>0</v>
      </c>
      <c r="Z6064">
        <v>13833.44</v>
      </c>
      <c r="AA6064">
        <v>14074</v>
      </c>
      <c r="AB6064" s="12" t="s">
        <v>6085</v>
      </c>
      <c r="AC6064">
        <v>97.418599999999998</v>
      </c>
      <c r="AD6064">
        <v>1</v>
      </c>
      <c r="AE6064">
        <v>1</v>
      </c>
      <c r="AF6064">
        <v>0</v>
      </c>
      <c r="AG6064">
        <v>13833.44</v>
      </c>
      <c r="AH6064">
        <v>142</v>
      </c>
      <c r="AI6064">
        <v>141</v>
      </c>
      <c r="AJ6064">
        <v>1</v>
      </c>
      <c r="AK6064">
        <v>1</v>
      </c>
      <c r="AL6064">
        <v>1</v>
      </c>
      <c r="AM6064">
        <v>99.3</v>
      </c>
      <c r="AN6064">
        <v>99.815600000000003</v>
      </c>
      <c r="AO6064">
        <v>97.42</v>
      </c>
      <c r="AP6064" s="13">
        <v>46015</v>
      </c>
      <c r="AQ6064">
        <v>-1</v>
      </c>
      <c r="AR6064">
        <v>1</v>
      </c>
    </row>
    <row r="6065" spans="1:44" x14ac:dyDescent="0.35">
      <c r="A6065" s="12" t="s">
        <v>7180</v>
      </c>
      <c r="B6065" s="12" t="s">
        <v>238</v>
      </c>
      <c r="C6065" s="12" t="s">
        <v>239</v>
      </c>
      <c r="D6065" s="12" t="s">
        <v>122</v>
      </c>
      <c r="E6065" s="12" t="s">
        <v>65</v>
      </c>
      <c r="F6065">
        <v>3</v>
      </c>
      <c r="G6065">
        <v>4</v>
      </c>
      <c r="H6065">
        <v>0</v>
      </c>
      <c r="I6065" s="12" t="s">
        <v>79</v>
      </c>
      <c r="J6065" s="12" t="s">
        <v>80</v>
      </c>
      <c r="K6065" s="12" t="s">
        <v>81</v>
      </c>
      <c r="L6065" s="12" t="s">
        <v>82</v>
      </c>
      <c r="M6065">
        <v>12.07</v>
      </c>
      <c r="N6065" s="12" t="s">
        <v>70</v>
      </c>
      <c r="O6065" s="12" t="s">
        <v>71</v>
      </c>
      <c r="P6065" s="12" t="s">
        <v>72</v>
      </c>
      <c r="Q6065" s="13">
        <v>45978</v>
      </c>
      <c r="R6065" s="13">
        <v>46008</v>
      </c>
      <c r="S6065">
        <v>2025</v>
      </c>
      <c r="T6065" s="12" t="s">
        <v>7071</v>
      </c>
      <c r="U6065">
        <v>1134</v>
      </c>
      <c r="V6065">
        <v>34.205399999999997</v>
      </c>
      <c r="W6065">
        <v>780.19</v>
      </c>
      <c r="X6065">
        <v>0</v>
      </c>
      <c r="Y6065">
        <v>0</v>
      </c>
      <c r="Z6065">
        <v>38788.92</v>
      </c>
      <c r="AA6065">
        <v>39569.11</v>
      </c>
      <c r="AB6065" s="12" t="s">
        <v>5214</v>
      </c>
      <c r="AC6065">
        <v>34.205399999999997</v>
      </c>
      <c r="AD6065">
        <v>1</v>
      </c>
      <c r="AE6065">
        <v>1</v>
      </c>
      <c r="AF6065">
        <v>0</v>
      </c>
      <c r="AG6065">
        <v>38788.92</v>
      </c>
      <c r="AH6065">
        <v>1134</v>
      </c>
      <c r="AI6065">
        <v>1131</v>
      </c>
      <c r="AJ6065">
        <v>3</v>
      </c>
      <c r="AK6065">
        <v>1</v>
      </c>
      <c r="AL6065">
        <v>1</v>
      </c>
      <c r="AM6065">
        <v>99.74</v>
      </c>
      <c r="AN6065">
        <v>34.985999999999997</v>
      </c>
      <c r="AO6065">
        <v>102.62</v>
      </c>
      <c r="AP6065" s="13">
        <v>46005</v>
      </c>
      <c r="AQ6065">
        <v>-3</v>
      </c>
      <c r="AR6065">
        <v>1</v>
      </c>
    </row>
    <row r="6066" spans="1:44" x14ac:dyDescent="0.35">
      <c r="A6066" s="12" t="s">
        <v>7181</v>
      </c>
      <c r="B6066" s="12" t="s">
        <v>680</v>
      </c>
      <c r="C6066" s="12" t="s">
        <v>681</v>
      </c>
      <c r="D6066" s="12" t="s">
        <v>122</v>
      </c>
      <c r="E6066" s="12" t="s">
        <v>104</v>
      </c>
      <c r="F6066">
        <v>3</v>
      </c>
      <c r="G6066">
        <v>1</v>
      </c>
      <c r="H6066">
        <v>0</v>
      </c>
      <c r="I6066" s="12" t="s">
        <v>227</v>
      </c>
      <c r="J6066" s="12" t="s">
        <v>228</v>
      </c>
      <c r="K6066" s="12" t="s">
        <v>89</v>
      </c>
      <c r="L6066" s="12" t="s">
        <v>96</v>
      </c>
      <c r="M6066">
        <v>9.15</v>
      </c>
      <c r="N6066" s="12" t="s">
        <v>70</v>
      </c>
      <c r="O6066" s="12" t="s">
        <v>71</v>
      </c>
      <c r="P6066" s="12" t="s">
        <v>72</v>
      </c>
      <c r="Q6066" s="13">
        <v>45979</v>
      </c>
      <c r="R6066" s="13">
        <v>45993</v>
      </c>
      <c r="S6066">
        <v>2025</v>
      </c>
      <c r="T6066" s="12" t="s">
        <v>7071</v>
      </c>
      <c r="U6066">
        <v>416</v>
      </c>
      <c r="V6066">
        <v>22.193999999999999</v>
      </c>
      <c r="W6066">
        <v>98.81</v>
      </c>
      <c r="X6066">
        <v>0</v>
      </c>
      <c r="Y6066">
        <v>0</v>
      </c>
      <c r="Z6066">
        <v>9232.7000000000007</v>
      </c>
      <c r="AA6066">
        <v>9331.51</v>
      </c>
      <c r="AB6066" s="12" t="s">
        <v>201</v>
      </c>
      <c r="AD6066">
        <v>0</v>
      </c>
      <c r="AE6066">
        <v>0</v>
      </c>
      <c r="AH6066">
        <v>416</v>
      </c>
      <c r="AI6066">
        <v>413</v>
      </c>
      <c r="AJ6066">
        <v>3</v>
      </c>
      <c r="AK6066">
        <v>1</v>
      </c>
      <c r="AL6066">
        <v>1</v>
      </c>
      <c r="AM6066">
        <v>99.28</v>
      </c>
      <c r="AN6066">
        <v>22.5945</v>
      </c>
      <c r="AO6066">
        <v>66.58</v>
      </c>
      <c r="AP6066" s="13">
        <v>45991</v>
      </c>
      <c r="AQ6066">
        <v>-2</v>
      </c>
      <c r="AR6066">
        <v>1</v>
      </c>
    </row>
    <row r="6067" spans="1:44" x14ac:dyDescent="0.35">
      <c r="A6067" s="12" t="s">
        <v>7182</v>
      </c>
      <c r="B6067" s="12" t="s">
        <v>101</v>
      </c>
      <c r="C6067" s="12" t="s">
        <v>102</v>
      </c>
      <c r="D6067" s="12" t="s">
        <v>103</v>
      </c>
      <c r="E6067" s="12" t="s">
        <v>104</v>
      </c>
      <c r="F6067">
        <v>1</v>
      </c>
      <c r="G6067">
        <v>0</v>
      </c>
      <c r="H6067">
        <v>1</v>
      </c>
      <c r="I6067" s="12" t="s">
        <v>105</v>
      </c>
      <c r="J6067" s="12" t="s">
        <v>106</v>
      </c>
      <c r="K6067" s="12" t="s">
        <v>81</v>
      </c>
      <c r="L6067" s="12" t="s">
        <v>96</v>
      </c>
      <c r="M6067">
        <v>5.01</v>
      </c>
      <c r="N6067" s="12" t="s">
        <v>107</v>
      </c>
      <c r="O6067" s="12" t="s">
        <v>108</v>
      </c>
      <c r="P6067" s="12" t="s">
        <v>109</v>
      </c>
      <c r="Q6067" s="13">
        <v>45979</v>
      </c>
      <c r="R6067" s="13">
        <v>46005</v>
      </c>
      <c r="S6067">
        <v>2025</v>
      </c>
      <c r="T6067" s="12" t="s">
        <v>7071</v>
      </c>
      <c r="U6067">
        <v>122</v>
      </c>
      <c r="V6067">
        <v>203.18520000000001</v>
      </c>
      <c r="W6067">
        <v>493.78</v>
      </c>
      <c r="X6067">
        <v>0</v>
      </c>
      <c r="Y6067">
        <v>0</v>
      </c>
      <c r="Z6067">
        <v>24788.59</v>
      </c>
      <c r="AA6067">
        <v>25282.37</v>
      </c>
      <c r="AB6067" s="12" t="s">
        <v>5173</v>
      </c>
      <c r="AC6067">
        <v>203.18520000000001</v>
      </c>
      <c r="AD6067">
        <v>1</v>
      </c>
      <c r="AE6067">
        <v>1</v>
      </c>
      <c r="AF6067">
        <v>0</v>
      </c>
      <c r="AG6067">
        <v>24788.59</v>
      </c>
      <c r="AH6067">
        <v>122</v>
      </c>
      <c r="AI6067">
        <v>120</v>
      </c>
      <c r="AJ6067">
        <v>2</v>
      </c>
      <c r="AK6067">
        <v>1</v>
      </c>
      <c r="AL6067">
        <v>1</v>
      </c>
      <c r="AM6067">
        <v>98.36</v>
      </c>
      <c r="AN6067">
        <v>210.6865</v>
      </c>
      <c r="AO6067">
        <v>406.37</v>
      </c>
      <c r="AP6067" s="13">
        <v>46005</v>
      </c>
      <c r="AQ6067">
        <v>0</v>
      </c>
      <c r="AR6067">
        <v>1</v>
      </c>
    </row>
    <row r="6068" spans="1:44" x14ac:dyDescent="0.35">
      <c r="A6068" s="12" t="s">
        <v>7183</v>
      </c>
      <c r="B6068" s="12" t="s">
        <v>1108</v>
      </c>
      <c r="C6068" s="12" t="s">
        <v>1109</v>
      </c>
      <c r="D6068" s="12" t="s">
        <v>103</v>
      </c>
      <c r="E6068" s="12" t="s">
        <v>65</v>
      </c>
      <c r="F6068">
        <v>3</v>
      </c>
      <c r="G6068">
        <v>4</v>
      </c>
      <c r="H6068">
        <v>0</v>
      </c>
      <c r="I6068" s="12" t="s">
        <v>66</v>
      </c>
      <c r="J6068" s="12" t="s">
        <v>67</v>
      </c>
      <c r="K6068" s="12" t="s">
        <v>68</v>
      </c>
      <c r="L6068" s="12" t="s">
        <v>69</v>
      </c>
      <c r="M6068">
        <v>17.66</v>
      </c>
      <c r="N6068" s="12" t="s">
        <v>145</v>
      </c>
      <c r="O6068" s="12" t="s">
        <v>146</v>
      </c>
      <c r="P6068" s="12" t="s">
        <v>109</v>
      </c>
      <c r="Q6068" s="13">
        <v>45979</v>
      </c>
      <c r="R6068" s="13">
        <v>46016</v>
      </c>
      <c r="S6068">
        <v>2025</v>
      </c>
      <c r="T6068" s="12" t="s">
        <v>7071</v>
      </c>
      <c r="U6068">
        <v>138</v>
      </c>
      <c r="V6068">
        <v>85.563100000000006</v>
      </c>
      <c r="W6068">
        <v>179.22</v>
      </c>
      <c r="X6068">
        <v>0</v>
      </c>
      <c r="Y6068">
        <v>0</v>
      </c>
      <c r="Z6068">
        <v>11807.71</v>
      </c>
      <c r="AA6068">
        <v>11986.93</v>
      </c>
      <c r="AB6068" s="12" t="s">
        <v>201</v>
      </c>
      <c r="AD6068">
        <v>0</v>
      </c>
      <c r="AE6068">
        <v>0</v>
      </c>
      <c r="AH6068">
        <v>138</v>
      </c>
      <c r="AI6068">
        <v>136</v>
      </c>
      <c r="AJ6068">
        <v>2</v>
      </c>
      <c r="AK6068">
        <v>1</v>
      </c>
      <c r="AL6068">
        <v>1</v>
      </c>
      <c r="AM6068">
        <v>98.55</v>
      </c>
      <c r="AN6068">
        <v>88.139200000000002</v>
      </c>
      <c r="AO6068">
        <v>171.13</v>
      </c>
      <c r="AP6068" s="13">
        <v>46014</v>
      </c>
      <c r="AQ6068">
        <v>-2</v>
      </c>
      <c r="AR6068">
        <v>1</v>
      </c>
    </row>
    <row r="6069" spans="1:44" x14ac:dyDescent="0.35">
      <c r="A6069" s="12" t="s">
        <v>7184</v>
      </c>
      <c r="B6069" s="12" t="s">
        <v>843</v>
      </c>
      <c r="C6069" s="12" t="s">
        <v>844</v>
      </c>
      <c r="D6069" s="12" t="s">
        <v>175</v>
      </c>
      <c r="E6069" s="12" t="s">
        <v>65</v>
      </c>
      <c r="F6069">
        <v>3</v>
      </c>
      <c r="G6069">
        <v>5</v>
      </c>
      <c r="H6069">
        <v>0</v>
      </c>
      <c r="I6069" s="12" t="s">
        <v>359</v>
      </c>
      <c r="J6069" s="12" t="s">
        <v>360</v>
      </c>
      <c r="K6069" s="12" t="s">
        <v>133</v>
      </c>
      <c r="L6069" s="12" t="s">
        <v>82</v>
      </c>
      <c r="M6069">
        <v>12.65</v>
      </c>
      <c r="N6069" s="12" t="s">
        <v>107</v>
      </c>
      <c r="O6069" s="12" t="s">
        <v>108</v>
      </c>
      <c r="P6069" s="12" t="s">
        <v>109</v>
      </c>
      <c r="Q6069" s="13">
        <v>45979</v>
      </c>
      <c r="R6069" s="13">
        <v>46008</v>
      </c>
      <c r="S6069">
        <v>2025</v>
      </c>
      <c r="T6069" s="12" t="s">
        <v>7071</v>
      </c>
      <c r="U6069">
        <v>79</v>
      </c>
      <c r="V6069">
        <v>237.4212</v>
      </c>
      <c r="W6069">
        <v>134.62</v>
      </c>
      <c r="X6069">
        <v>0</v>
      </c>
      <c r="Y6069">
        <v>0</v>
      </c>
      <c r="Z6069">
        <v>18756.27</v>
      </c>
      <c r="AA6069">
        <v>18890.89</v>
      </c>
      <c r="AB6069" s="12" t="s">
        <v>6075</v>
      </c>
      <c r="AC6069">
        <v>237.4212</v>
      </c>
      <c r="AD6069">
        <v>1</v>
      </c>
      <c r="AE6069">
        <v>1</v>
      </c>
      <c r="AF6069">
        <v>0</v>
      </c>
      <c r="AG6069">
        <v>18756.27</v>
      </c>
      <c r="AH6069">
        <v>79</v>
      </c>
      <c r="AI6069">
        <v>78</v>
      </c>
      <c r="AJ6069">
        <v>1</v>
      </c>
      <c r="AK6069">
        <v>1</v>
      </c>
      <c r="AL6069">
        <v>1</v>
      </c>
      <c r="AM6069">
        <v>98.73</v>
      </c>
      <c r="AN6069">
        <v>242.191</v>
      </c>
      <c r="AO6069">
        <v>237.42</v>
      </c>
      <c r="AP6069" s="13">
        <v>46005</v>
      </c>
      <c r="AQ6069">
        <v>-3</v>
      </c>
      <c r="AR6069">
        <v>1</v>
      </c>
    </row>
    <row r="6070" spans="1:44" x14ac:dyDescent="0.35">
      <c r="A6070" s="12" t="s">
        <v>7185</v>
      </c>
      <c r="B6070" s="12" t="s">
        <v>416</v>
      </c>
      <c r="C6070" s="12" t="s">
        <v>417</v>
      </c>
      <c r="D6070" s="12" t="s">
        <v>78</v>
      </c>
      <c r="E6070" s="12" t="s">
        <v>65</v>
      </c>
      <c r="F6070">
        <v>3</v>
      </c>
      <c r="G6070">
        <v>5</v>
      </c>
      <c r="H6070">
        <v>0</v>
      </c>
      <c r="I6070" s="12" t="s">
        <v>169</v>
      </c>
      <c r="J6070" s="12" t="s">
        <v>170</v>
      </c>
      <c r="K6070" s="12" t="s">
        <v>89</v>
      </c>
      <c r="L6070" s="12" t="s">
        <v>134</v>
      </c>
      <c r="M6070">
        <v>1.37</v>
      </c>
      <c r="N6070" s="12" t="s">
        <v>70</v>
      </c>
      <c r="O6070" s="12" t="s">
        <v>71</v>
      </c>
      <c r="P6070" s="12" t="s">
        <v>72</v>
      </c>
      <c r="Q6070" s="13">
        <v>45979</v>
      </c>
      <c r="R6070" s="13">
        <v>46000</v>
      </c>
      <c r="S6070">
        <v>2025</v>
      </c>
      <c r="T6070" s="12" t="s">
        <v>7071</v>
      </c>
      <c r="U6070">
        <v>51</v>
      </c>
      <c r="V6070">
        <v>129.0615</v>
      </c>
      <c r="W6070">
        <v>147.9</v>
      </c>
      <c r="X6070">
        <v>0</v>
      </c>
      <c r="Y6070">
        <v>0</v>
      </c>
      <c r="Z6070">
        <v>6582.14</v>
      </c>
      <c r="AA6070">
        <v>6730.04</v>
      </c>
      <c r="AB6070" s="12" t="s">
        <v>5522</v>
      </c>
      <c r="AC6070">
        <v>129.0615</v>
      </c>
      <c r="AD6070">
        <v>1</v>
      </c>
      <c r="AE6070">
        <v>1</v>
      </c>
      <c r="AF6070">
        <v>0</v>
      </c>
      <c r="AG6070">
        <v>6582.14</v>
      </c>
      <c r="AH6070">
        <v>51</v>
      </c>
      <c r="AI6070">
        <v>50</v>
      </c>
      <c r="AJ6070">
        <v>1</v>
      </c>
      <c r="AK6070">
        <v>1</v>
      </c>
      <c r="AL6070">
        <v>1</v>
      </c>
      <c r="AM6070">
        <v>98.04</v>
      </c>
      <c r="AN6070">
        <v>134.60069999999999</v>
      </c>
      <c r="AO6070">
        <v>129.06</v>
      </c>
      <c r="AP6070" s="13">
        <v>46000</v>
      </c>
      <c r="AQ6070">
        <v>0</v>
      </c>
      <c r="AR6070">
        <v>1</v>
      </c>
    </row>
    <row r="6071" spans="1:44" x14ac:dyDescent="0.35">
      <c r="A6071" s="12" t="s">
        <v>7186</v>
      </c>
      <c r="B6071" s="12" t="s">
        <v>503</v>
      </c>
      <c r="C6071" s="12" t="s">
        <v>504</v>
      </c>
      <c r="D6071" s="12" t="s">
        <v>103</v>
      </c>
      <c r="E6071" s="12" t="s">
        <v>104</v>
      </c>
      <c r="F6071">
        <v>3</v>
      </c>
      <c r="G6071">
        <v>1</v>
      </c>
      <c r="H6071">
        <v>0</v>
      </c>
      <c r="I6071" s="12" t="s">
        <v>209</v>
      </c>
      <c r="J6071" s="12" t="s">
        <v>210</v>
      </c>
      <c r="K6071" s="12" t="s">
        <v>133</v>
      </c>
      <c r="L6071" s="12" t="s">
        <v>96</v>
      </c>
      <c r="M6071">
        <v>7.82</v>
      </c>
      <c r="N6071" s="12" t="s">
        <v>145</v>
      </c>
      <c r="O6071" s="12" t="s">
        <v>146</v>
      </c>
      <c r="P6071" s="12" t="s">
        <v>109</v>
      </c>
      <c r="Q6071" s="13">
        <v>45979</v>
      </c>
      <c r="R6071" s="13">
        <v>46006</v>
      </c>
      <c r="S6071">
        <v>2025</v>
      </c>
      <c r="T6071" s="12" t="s">
        <v>7071</v>
      </c>
      <c r="U6071">
        <v>127</v>
      </c>
      <c r="V6071">
        <v>169.12880000000001</v>
      </c>
      <c r="W6071">
        <v>243.88</v>
      </c>
      <c r="X6071">
        <v>0</v>
      </c>
      <c r="Y6071">
        <v>0</v>
      </c>
      <c r="Z6071">
        <v>21479.360000000001</v>
      </c>
      <c r="AA6071">
        <v>21723.24</v>
      </c>
      <c r="AB6071" s="12" t="s">
        <v>201</v>
      </c>
      <c r="AD6071">
        <v>0</v>
      </c>
      <c r="AE6071">
        <v>0</v>
      </c>
      <c r="AH6071">
        <v>127</v>
      </c>
      <c r="AI6071">
        <v>127</v>
      </c>
      <c r="AJ6071">
        <v>0</v>
      </c>
      <c r="AK6071">
        <v>1</v>
      </c>
      <c r="AL6071">
        <v>1</v>
      </c>
      <c r="AM6071">
        <v>100</v>
      </c>
      <c r="AN6071">
        <v>171.04910000000001</v>
      </c>
      <c r="AO6071">
        <v>0</v>
      </c>
      <c r="AP6071" s="13">
        <v>46007</v>
      </c>
      <c r="AQ6071">
        <v>1</v>
      </c>
      <c r="AR6071">
        <v>0</v>
      </c>
    </row>
    <row r="6072" spans="1:44" x14ac:dyDescent="0.35">
      <c r="A6072" s="12" t="s">
        <v>7187</v>
      </c>
      <c r="B6072" s="12" t="s">
        <v>472</v>
      </c>
      <c r="C6072" s="12" t="s">
        <v>473</v>
      </c>
      <c r="D6072" s="12" t="s">
        <v>122</v>
      </c>
      <c r="E6072" s="12" t="s">
        <v>142</v>
      </c>
      <c r="F6072">
        <v>2</v>
      </c>
      <c r="G6072">
        <v>9</v>
      </c>
      <c r="H6072">
        <v>0</v>
      </c>
      <c r="I6072" s="12" t="s">
        <v>87</v>
      </c>
      <c r="J6072" s="12" t="s">
        <v>88</v>
      </c>
      <c r="K6072" s="12" t="s">
        <v>89</v>
      </c>
      <c r="L6072" s="12" t="s">
        <v>69</v>
      </c>
      <c r="M6072">
        <v>14.93</v>
      </c>
      <c r="N6072" s="12" t="s">
        <v>97</v>
      </c>
      <c r="O6072" s="12" t="s">
        <v>98</v>
      </c>
      <c r="P6072" s="12" t="s">
        <v>72</v>
      </c>
      <c r="Q6072" s="13">
        <v>45979</v>
      </c>
      <c r="R6072" s="13">
        <v>46021</v>
      </c>
      <c r="S6072">
        <v>2025</v>
      </c>
      <c r="T6072" s="12" t="s">
        <v>7071</v>
      </c>
      <c r="U6072">
        <v>934</v>
      </c>
      <c r="V6072">
        <v>46.924199999999999</v>
      </c>
      <c r="W6072">
        <v>1060.26</v>
      </c>
      <c r="X6072">
        <v>0</v>
      </c>
      <c r="Y6072">
        <v>0</v>
      </c>
      <c r="Z6072">
        <v>43827.199999999997</v>
      </c>
      <c r="AA6072">
        <v>44887.46</v>
      </c>
      <c r="AB6072" s="12" t="s">
        <v>5714</v>
      </c>
      <c r="AC6072">
        <v>46.924199999999999</v>
      </c>
      <c r="AD6072">
        <v>1</v>
      </c>
      <c r="AE6072">
        <v>1</v>
      </c>
      <c r="AF6072">
        <v>0</v>
      </c>
      <c r="AG6072">
        <v>43827.199999999997</v>
      </c>
      <c r="AH6072">
        <v>934</v>
      </c>
      <c r="AI6072">
        <v>924</v>
      </c>
      <c r="AJ6072">
        <v>10</v>
      </c>
      <c r="AK6072">
        <v>1</v>
      </c>
      <c r="AL6072">
        <v>1</v>
      </c>
      <c r="AM6072">
        <v>98.93</v>
      </c>
      <c r="AN6072">
        <v>48.579500000000003</v>
      </c>
      <c r="AO6072">
        <v>469.24</v>
      </c>
      <c r="AP6072" s="13">
        <v>46020</v>
      </c>
      <c r="AQ6072">
        <v>-1</v>
      </c>
      <c r="AR6072">
        <v>1</v>
      </c>
    </row>
    <row r="6073" spans="1:44" x14ac:dyDescent="0.35">
      <c r="A6073" s="12" t="s">
        <v>7188</v>
      </c>
      <c r="B6073" s="12" t="s">
        <v>613</v>
      </c>
      <c r="C6073" s="12" t="s">
        <v>614</v>
      </c>
      <c r="D6073" s="12" t="s">
        <v>130</v>
      </c>
      <c r="E6073" s="12" t="s">
        <v>104</v>
      </c>
      <c r="F6073">
        <v>3</v>
      </c>
      <c r="G6073">
        <v>1</v>
      </c>
      <c r="H6073">
        <v>0</v>
      </c>
      <c r="I6073" s="12" t="s">
        <v>66</v>
      </c>
      <c r="J6073" s="12" t="s">
        <v>67</v>
      </c>
      <c r="K6073" s="12" t="s">
        <v>68</v>
      </c>
      <c r="L6073" s="12" t="s">
        <v>69</v>
      </c>
      <c r="M6073">
        <v>17.66</v>
      </c>
      <c r="N6073" s="12" t="s">
        <v>135</v>
      </c>
      <c r="O6073" s="12" t="s">
        <v>136</v>
      </c>
      <c r="P6073" s="12" t="s">
        <v>137</v>
      </c>
      <c r="Q6073" s="13">
        <v>45979</v>
      </c>
      <c r="R6073" s="13">
        <v>46008</v>
      </c>
      <c r="S6073">
        <v>2025</v>
      </c>
      <c r="T6073" s="12" t="s">
        <v>7071</v>
      </c>
      <c r="U6073">
        <v>145</v>
      </c>
      <c r="V6073">
        <v>154.3064</v>
      </c>
      <c r="W6073">
        <v>302.45</v>
      </c>
      <c r="X6073">
        <v>0</v>
      </c>
      <c r="Y6073">
        <v>0</v>
      </c>
      <c r="Z6073">
        <v>22374.43</v>
      </c>
      <c r="AA6073">
        <v>22676.880000000001</v>
      </c>
      <c r="AB6073" s="12" t="s">
        <v>5538</v>
      </c>
      <c r="AC6073">
        <v>154.3064</v>
      </c>
      <c r="AD6073">
        <v>1</v>
      </c>
      <c r="AE6073">
        <v>1</v>
      </c>
      <c r="AF6073">
        <v>0</v>
      </c>
      <c r="AG6073">
        <v>22374.43</v>
      </c>
      <c r="AH6073">
        <v>145</v>
      </c>
      <c r="AI6073">
        <v>144</v>
      </c>
      <c r="AJ6073">
        <v>1</v>
      </c>
      <c r="AK6073">
        <v>1</v>
      </c>
      <c r="AL6073">
        <v>1</v>
      </c>
      <c r="AM6073">
        <v>99.31</v>
      </c>
      <c r="AN6073">
        <v>157.47829999999999</v>
      </c>
      <c r="AO6073">
        <v>154.31</v>
      </c>
      <c r="AP6073" s="13">
        <v>46005</v>
      </c>
      <c r="AQ6073">
        <v>-3</v>
      </c>
      <c r="AR6073">
        <v>1</v>
      </c>
    </row>
    <row r="6074" spans="1:44" x14ac:dyDescent="0.35">
      <c r="A6074" s="12" t="s">
        <v>7189</v>
      </c>
      <c r="B6074" s="12" t="s">
        <v>120</v>
      </c>
      <c r="C6074" s="12" t="s">
        <v>121</v>
      </c>
      <c r="D6074" s="12" t="s">
        <v>122</v>
      </c>
      <c r="E6074" s="12" t="s">
        <v>65</v>
      </c>
      <c r="F6074">
        <v>3</v>
      </c>
      <c r="G6074">
        <v>4</v>
      </c>
      <c r="H6074">
        <v>0</v>
      </c>
      <c r="I6074" s="12" t="s">
        <v>123</v>
      </c>
      <c r="J6074" s="12" t="s">
        <v>124</v>
      </c>
      <c r="K6074" s="12" t="s">
        <v>125</v>
      </c>
      <c r="L6074" s="12" t="s">
        <v>82</v>
      </c>
      <c r="M6074">
        <v>6.75</v>
      </c>
      <c r="N6074" s="12" t="s">
        <v>97</v>
      </c>
      <c r="O6074" s="12" t="s">
        <v>98</v>
      </c>
      <c r="P6074" s="12" t="s">
        <v>72</v>
      </c>
      <c r="Q6074" s="13">
        <v>45979</v>
      </c>
      <c r="R6074" s="13">
        <v>46012</v>
      </c>
      <c r="S6074">
        <v>2025</v>
      </c>
      <c r="T6074" s="12" t="s">
        <v>7071</v>
      </c>
      <c r="U6074">
        <v>1451</v>
      </c>
      <c r="V6074">
        <v>50.976100000000002</v>
      </c>
      <c r="W6074">
        <v>1087.44</v>
      </c>
      <c r="X6074">
        <v>2610.6</v>
      </c>
      <c r="Y6074">
        <v>1</v>
      </c>
      <c r="Z6074">
        <v>73966.320000000007</v>
      </c>
      <c r="AA6074">
        <v>77664.36</v>
      </c>
      <c r="AB6074" s="12" t="s">
        <v>5139</v>
      </c>
      <c r="AC6074">
        <v>50.976100000000002</v>
      </c>
      <c r="AD6074">
        <v>1</v>
      </c>
      <c r="AE6074">
        <v>1</v>
      </c>
      <c r="AF6074">
        <v>0</v>
      </c>
      <c r="AG6074">
        <v>73966.320000000007</v>
      </c>
      <c r="AH6074">
        <v>1451</v>
      </c>
      <c r="AI6074">
        <v>1440</v>
      </c>
      <c r="AJ6074">
        <v>11</v>
      </c>
      <c r="AK6074">
        <v>1</v>
      </c>
      <c r="AL6074">
        <v>1</v>
      </c>
      <c r="AM6074">
        <v>99.24</v>
      </c>
      <c r="AN6074">
        <v>53.933599999999998</v>
      </c>
      <c r="AO6074">
        <v>560.74</v>
      </c>
      <c r="AP6074" s="13">
        <v>46009</v>
      </c>
      <c r="AQ6074">
        <v>-3</v>
      </c>
      <c r="AR6074">
        <v>1</v>
      </c>
    </row>
    <row r="6075" spans="1:44" x14ac:dyDescent="0.35">
      <c r="A6075" s="12" t="s">
        <v>7190</v>
      </c>
      <c r="B6075" s="12" t="s">
        <v>755</v>
      </c>
      <c r="C6075" s="12" t="s">
        <v>756</v>
      </c>
      <c r="D6075" s="12" t="s">
        <v>78</v>
      </c>
      <c r="E6075" s="12" t="s">
        <v>65</v>
      </c>
      <c r="F6075">
        <v>2</v>
      </c>
      <c r="G6075">
        <v>2</v>
      </c>
      <c r="H6075">
        <v>0</v>
      </c>
      <c r="I6075" s="12" t="s">
        <v>359</v>
      </c>
      <c r="J6075" s="12" t="s">
        <v>360</v>
      </c>
      <c r="K6075" s="12" t="s">
        <v>133</v>
      </c>
      <c r="L6075" s="12" t="s">
        <v>82</v>
      </c>
      <c r="M6075">
        <v>12.65</v>
      </c>
      <c r="N6075" s="12" t="s">
        <v>70</v>
      </c>
      <c r="O6075" s="12" t="s">
        <v>71</v>
      </c>
      <c r="P6075" s="12" t="s">
        <v>72</v>
      </c>
      <c r="Q6075" s="13">
        <v>45979</v>
      </c>
      <c r="R6075" s="13">
        <v>46016</v>
      </c>
      <c r="S6075">
        <v>2025</v>
      </c>
      <c r="T6075" s="12" t="s">
        <v>7071</v>
      </c>
      <c r="U6075">
        <v>274</v>
      </c>
      <c r="V6075">
        <v>40.900399999999998</v>
      </c>
      <c r="W6075">
        <v>280.85000000000002</v>
      </c>
      <c r="X6075">
        <v>0</v>
      </c>
      <c r="Y6075">
        <v>0</v>
      </c>
      <c r="Z6075">
        <v>11206.71</v>
      </c>
      <c r="AA6075">
        <v>11487.56</v>
      </c>
      <c r="AB6075" s="12" t="s">
        <v>6215</v>
      </c>
      <c r="AC6075">
        <v>40.900399999999998</v>
      </c>
      <c r="AD6075">
        <v>1</v>
      </c>
      <c r="AE6075">
        <v>1</v>
      </c>
      <c r="AF6075">
        <v>0</v>
      </c>
      <c r="AG6075">
        <v>11206.71</v>
      </c>
      <c r="AH6075">
        <v>274</v>
      </c>
      <c r="AI6075">
        <v>268</v>
      </c>
      <c r="AJ6075">
        <v>6</v>
      </c>
      <c r="AK6075">
        <v>1</v>
      </c>
      <c r="AL6075">
        <v>1</v>
      </c>
      <c r="AM6075">
        <v>97.81</v>
      </c>
      <c r="AN6075">
        <v>42.863999999999997</v>
      </c>
      <c r="AO6075">
        <v>245.4</v>
      </c>
      <c r="AP6075" s="13">
        <v>46012</v>
      </c>
      <c r="AQ6075">
        <v>-4</v>
      </c>
      <c r="AR6075">
        <v>1</v>
      </c>
    </row>
    <row r="6076" spans="1:44" x14ac:dyDescent="0.35">
      <c r="A6076" s="12" t="s">
        <v>7191</v>
      </c>
      <c r="B6076" s="12" t="s">
        <v>809</v>
      </c>
      <c r="C6076" s="12" t="s">
        <v>810</v>
      </c>
      <c r="D6076" s="12" t="s">
        <v>114</v>
      </c>
      <c r="E6076" s="12" t="s">
        <v>65</v>
      </c>
      <c r="F6076">
        <v>3</v>
      </c>
      <c r="G6076">
        <v>5</v>
      </c>
      <c r="H6076">
        <v>0</v>
      </c>
      <c r="I6076" s="12" t="s">
        <v>123</v>
      </c>
      <c r="J6076" s="12" t="s">
        <v>124</v>
      </c>
      <c r="K6076" s="12" t="s">
        <v>125</v>
      </c>
      <c r="L6076" s="12" t="s">
        <v>82</v>
      </c>
      <c r="M6076">
        <v>6.75</v>
      </c>
      <c r="N6076" s="12" t="s">
        <v>97</v>
      </c>
      <c r="O6076" s="12" t="s">
        <v>98</v>
      </c>
      <c r="P6076" s="12" t="s">
        <v>72</v>
      </c>
      <c r="Q6076" s="13">
        <v>45979</v>
      </c>
      <c r="R6076" s="13">
        <v>46008</v>
      </c>
      <c r="S6076">
        <v>2025</v>
      </c>
      <c r="T6076" s="12" t="s">
        <v>7071</v>
      </c>
      <c r="U6076">
        <v>75</v>
      </c>
      <c r="V6076">
        <v>362.03390000000002</v>
      </c>
      <c r="W6076">
        <v>524.74</v>
      </c>
      <c r="X6076">
        <v>0</v>
      </c>
      <c r="Y6076">
        <v>0</v>
      </c>
      <c r="Z6076">
        <v>27152.54</v>
      </c>
      <c r="AA6076">
        <v>27677.279999999999</v>
      </c>
      <c r="AB6076" s="12" t="s">
        <v>201</v>
      </c>
      <c r="AD6076">
        <v>0</v>
      </c>
      <c r="AE6076">
        <v>0</v>
      </c>
      <c r="AH6076">
        <v>75</v>
      </c>
      <c r="AI6076">
        <v>73</v>
      </c>
      <c r="AJ6076">
        <v>2</v>
      </c>
      <c r="AK6076">
        <v>1</v>
      </c>
      <c r="AL6076">
        <v>1</v>
      </c>
      <c r="AM6076">
        <v>97.33</v>
      </c>
      <c r="AN6076">
        <v>379.14089999999999</v>
      </c>
      <c r="AO6076">
        <v>724.07</v>
      </c>
      <c r="AP6076" s="13">
        <v>46011</v>
      </c>
      <c r="AQ6076">
        <v>3</v>
      </c>
      <c r="AR6076">
        <v>0</v>
      </c>
    </row>
    <row r="6077" spans="1:44" x14ac:dyDescent="0.35">
      <c r="A6077" s="12" t="s">
        <v>7192</v>
      </c>
      <c r="B6077" s="12" t="s">
        <v>267</v>
      </c>
      <c r="C6077" s="12" t="s">
        <v>268</v>
      </c>
      <c r="D6077" s="12" t="s">
        <v>269</v>
      </c>
      <c r="E6077" s="12" t="s">
        <v>142</v>
      </c>
      <c r="F6077">
        <v>1</v>
      </c>
      <c r="G6077">
        <v>8</v>
      </c>
      <c r="H6077">
        <v>1</v>
      </c>
      <c r="I6077" s="12" t="s">
        <v>94</v>
      </c>
      <c r="J6077" s="12" t="s">
        <v>95</v>
      </c>
      <c r="K6077" s="12" t="s">
        <v>81</v>
      </c>
      <c r="L6077" s="12" t="s">
        <v>96</v>
      </c>
      <c r="M6077">
        <v>4.8099999999999996</v>
      </c>
      <c r="N6077" s="12" t="s">
        <v>159</v>
      </c>
      <c r="O6077" s="12" t="s">
        <v>160</v>
      </c>
      <c r="P6077" s="12" t="s">
        <v>137</v>
      </c>
      <c r="Q6077" s="13">
        <v>45979</v>
      </c>
      <c r="R6077" s="13">
        <v>46023</v>
      </c>
      <c r="S6077">
        <v>2025</v>
      </c>
      <c r="T6077" s="12" t="s">
        <v>7071</v>
      </c>
      <c r="U6077">
        <v>84</v>
      </c>
      <c r="V6077">
        <v>217.12139999999999</v>
      </c>
      <c r="W6077">
        <v>342.72</v>
      </c>
      <c r="X6077">
        <v>0</v>
      </c>
      <c r="Y6077">
        <v>0</v>
      </c>
      <c r="Z6077">
        <v>18238.2</v>
      </c>
      <c r="AA6077">
        <v>18580.919999999998</v>
      </c>
      <c r="AB6077" s="12" t="s">
        <v>201</v>
      </c>
      <c r="AD6077">
        <v>0</v>
      </c>
      <c r="AE6077">
        <v>0</v>
      </c>
      <c r="AH6077">
        <v>84</v>
      </c>
      <c r="AI6077">
        <v>84</v>
      </c>
      <c r="AJ6077">
        <v>0</v>
      </c>
      <c r="AK6077">
        <v>1</v>
      </c>
      <c r="AL6077">
        <v>1</v>
      </c>
      <c r="AM6077">
        <v>100</v>
      </c>
      <c r="AN6077">
        <v>221.20140000000001</v>
      </c>
      <c r="AO6077">
        <v>0</v>
      </c>
      <c r="AP6077" s="13">
        <v>46020</v>
      </c>
      <c r="AQ6077">
        <v>-3</v>
      </c>
      <c r="AR6077">
        <v>1</v>
      </c>
    </row>
    <row r="6078" spans="1:44" x14ac:dyDescent="0.35">
      <c r="A6078" s="12" t="s">
        <v>7193</v>
      </c>
      <c r="B6078" s="12" t="s">
        <v>255</v>
      </c>
      <c r="C6078" s="12" t="s">
        <v>256</v>
      </c>
      <c r="D6078" s="12" t="s">
        <v>103</v>
      </c>
      <c r="E6078" s="12" t="s">
        <v>65</v>
      </c>
      <c r="F6078">
        <v>2</v>
      </c>
      <c r="G6078">
        <v>4</v>
      </c>
      <c r="H6078">
        <v>0</v>
      </c>
      <c r="I6078" s="12" t="s">
        <v>143</v>
      </c>
      <c r="J6078" s="12" t="s">
        <v>144</v>
      </c>
      <c r="K6078" s="12" t="s">
        <v>133</v>
      </c>
      <c r="L6078" s="12" t="s">
        <v>96</v>
      </c>
      <c r="M6078">
        <v>5.43</v>
      </c>
      <c r="N6078" s="12" t="s">
        <v>107</v>
      </c>
      <c r="O6078" s="12" t="s">
        <v>108</v>
      </c>
      <c r="P6078" s="12" t="s">
        <v>109</v>
      </c>
      <c r="Q6078" s="13">
        <v>45979</v>
      </c>
      <c r="R6078" s="13">
        <v>46000</v>
      </c>
      <c r="S6078">
        <v>2025</v>
      </c>
      <c r="T6078" s="12" t="s">
        <v>7071</v>
      </c>
      <c r="U6078">
        <v>15</v>
      </c>
      <c r="V6078">
        <v>95.061000000000007</v>
      </c>
      <c r="W6078">
        <v>15.67</v>
      </c>
      <c r="X6078">
        <v>50.25</v>
      </c>
      <c r="Y6078">
        <v>1</v>
      </c>
      <c r="Z6078">
        <v>1425.92</v>
      </c>
      <c r="AA6078">
        <v>1491.84</v>
      </c>
      <c r="AB6078" s="12" t="s">
        <v>5188</v>
      </c>
      <c r="AC6078">
        <v>95.061000000000007</v>
      </c>
      <c r="AD6078">
        <v>1</v>
      </c>
      <c r="AE6078">
        <v>1</v>
      </c>
      <c r="AF6078">
        <v>0</v>
      </c>
      <c r="AG6078">
        <v>1425.92</v>
      </c>
      <c r="AH6078">
        <v>15</v>
      </c>
      <c r="AI6078">
        <v>15</v>
      </c>
      <c r="AJ6078">
        <v>0</v>
      </c>
      <c r="AK6078">
        <v>1</v>
      </c>
      <c r="AL6078">
        <v>1</v>
      </c>
      <c r="AM6078">
        <v>100</v>
      </c>
      <c r="AN6078">
        <v>99.455699999999993</v>
      </c>
      <c r="AO6078">
        <v>0</v>
      </c>
      <c r="AP6078" s="13">
        <v>45997</v>
      </c>
      <c r="AQ6078">
        <v>-3</v>
      </c>
      <c r="AR6078">
        <v>1</v>
      </c>
    </row>
    <row r="6079" spans="1:44" x14ac:dyDescent="0.35">
      <c r="A6079" s="12" t="s">
        <v>7194</v>
      </c>
      <c r="B6079" s="12" t="s">
        <v>1026</v>
      </c>
      <c r="C6079" s="12" t="s">
        <v>1027</v>
      </c>
      <c r="D6079" s="12" t="s">
        <v>122</v>
      </c>
      <c r="E6079" s="12" t="s">
        <v>104</v>
      </c>
      <c r="F6079">
        <v>3</v>
      </c>
      <c r="G6079">
        <v>1</v>
      </c>
      <c r="H6079">
        <v>0</v>
      </c>
      <c r="I6079" s="12" t="s">
        <v>183</v>
      </c>
      <c r="J6079" s="12" t="s">
        <v>184</v>
      </c>
      <c r="K6079" s="12" t="s">
        <v>133</v>
      </c>
      <c r="L6079" s="12" t="s">
        <v>82</v>
      </c>
      <c r="M6079">
        <v>8.6199999999999992</v>
      </c>
      <c r="N6079" s="12" t="s">
        <v>70</v>
      </c>
      <c r="O6079" s="12" t="s">
        <v>71</v>
      </c>
      <c r="P6079" s="12" t="s">
        <v>72</v>
      </c>
      <c r="Q6079" s="13">
        <v>45979</v>
      </c>
      <c r="R6079" s="13">
        <v>45997</v>
      </c>
      <c r="S6079">
        <v>2025</v>
      </c>
      <c r="T6079" s="12" t="s">
        <v>7071</v>
      </c>
      <c r="U6079">
        <v>886</v>
      </c>
      <c r="V6079">
        <v>43.454300000000003</v>
      </c>
      <c r="W6079">
        <v>398.55</v>
      </c>
      <c r="X6079">
        <v>0</v>
      </c>
      <c r="Y6079">
        <v>0</v>
      </c>
      <c r="Z6079">
        <v>38500.51</v>
      </c>
      <c r="AA6079">
        <v>38899.06</v>
      </c>
      <c r="AB6079" s="12" t="s">
        <v>201</v>
      </c>
      <c r="AD6079">
        <v>0</v>
      </c>
      <c r="AE6079">
        <v>0</v>
      </c>
      <c r="AH6079">
        <v>886</v>
      </c>
      <c r="AI6079">
        <v>883</v>
      </c>
      <c r="AJ6079">
        <v>3</v>
      </c>
      <c r="AK6079">
        <v>1</v>
      </c>
      <c r="AL6079">
        <v>1</v>
      </c>
      <c r="AM6079">
        <v>99.66</v>
      </c>
      <c r="AN6079">
        <v>44.0533</v>
      </c>
      <c r="AO6079">
        <v>130.36000000000001</v>
      </c>
      <c r="AP6079" s="13">
        <v>45997</v>
      </c>
      <c r="AQ6079">
        <v>0</v>
      </c>
      <c r="AR6079">
        <v>1</v>
      </c>
    </row>
    <row r="6080" spans="1:44" x14ac:dyDescent="0.35">
      <c r="A6080" s="12" t="s">
        <v>7195</v>
      </c>
      <c r="B6080" s="12" t="s">
        <v>792</v>
      </c>
      <c r="C6080" s="12" t="s">
        <v>793</v>
      </c>
      <c r="D6080" s="12" t="s">
        <v>103</v>
      </c>
      <c r="E6080" s="12" t="s">
        <v>65</v>
      </c>
      <c r="F6080">
        <v>2</v>
      </c>
      <c r="G6080">
        <v>3</v>
      </c>
      <c r="H6080">
        <v>0</v>
      </c>
      <c r="I6080" s="12" t="s">
        <v>359</v>
      </c>
      <c r="J6080" s="12" t="s">
        <v>360</v>
      </c>
      <c r="K6080" s="12" t="s">
        <v>133</v>
      </c>
      <c r="L6080" s="12" t="s">
        <v>82</v>
      </c>
      <c r="M6080">
        <v>12.65</v>
      </c>
      <c r="N6080" s="12" t="s">
        <v>145</v>
      </c>
      <c r="O6080" s="12" t="s">
        <v>146</v>
      </c>
      <c r="P6080" s="12" t="s">
        <v>109</v>
      </c>
      <c r="Q6080" s="13">
        <v>45979</v>
      </c>
      <c r="R6080" s="13">
        <v>46016</v>
      </c>
      <c r="S6080">
        <v>2025</v>
      </c>
      <c r="T6080" s="12" t="s">
        <v>7071</v>
      </c>
      <c r="U6080">
        <v>141</v>
      </c>
      <c r="V6080">
        <v>97.418599999999998</v>
      </c>
      <c r="W6080">
        <v>272.52999999999997</v>
      </c>
      <c r="X6080">
        <v>0</v>
      </c>
      <c r="Y6080">
        <v>0</v>
      </c>
      <c r="Z6080">
        <v>13736.02</v>
      </c>
      <c r="AA6080">
        <v>14008.55</v>
      </c>
      <c r="AB6080" s="12" t="s">
        <v>6085</v>
      </c>
      <c r="AC6080">
        <v>97.418599999999998</v>
      </c>
      <c r="AD6080">
        <v>1</v>
      </c>
      <c r="AE6080">
        <v>1</v>
      </c>
      <c r="AF6080">
        <v>0</v>
      </c>
      <c r="AG6080">
        <v>13736.02</v>
      </c>
      <c r="AH6080">
        <v>141</v>
      </c>
      <c r="AI6080">
        <v>139</v>
      </c>
      <c r="AJ6080">
        <v>2</v>
      </c>
      <c r="AK6080">
        <v>1</v>
      </c>
      <c r="AL6080">
        <v>1</v>
      </c>
      <c r="AM6080">
        <v>98.58</v>
      </c>
      <c r="AN6080">
        <v>100.78100000000001</v>
      </c>
      <c r="AO6080">
        <v>194.84</v>
      </c>
      <c r="AP6080" s="13">
        <v>46014</v>
      </c>
      <c r="AQ6080">
        <v>-2</v>
      </c>
      <c r="AR6080">
        <v>1</v>
      </c>
    </row>
    <row r="6081" spans="1:44" x14ac:dyDescent="0.35">
      <c r="A6081" s="12" t="s">
        <v>7196</v>
      </c>
      <c r="B6081" s="12" t="s">
        <v>837</v>
      </c>
      <c r="C6081" s="12" t="s">
        <v>838</v>
      </c>
      <c r="D6081" s="12" t="s">
        <v>114</v>
      </c>
      <c r="E6081" s="12" t="s">
        <v>104</v>
      </c>
      <c r="F6081">
        <v>2</v>
      </c>
      <c r="G6081">
        <v>0</v>
      </c>
      <c r="H6081">
        <v>0</v>
      </c>
      <c r="I6081" s="12" t="s">
        <v>199</v>
      </c>
      <c r="J6081" s="12" t="s">
        <v>200</v>
      </c>
      <c r="K6081" s="12" t="s">
        <v>68</v>
      </c>
      <c r="L6081" s="12" t="s">
        <v>96</v>
      </c>
      <c r="M6081">
        <v>9.4700000000000006</v>
      </c>
      <c r="N6081" s="12" t="s">
        <v>97</v>
      </c>
      <c r="O6081" s="12" t="s">
        <v>98</v>
      </c>
      <c r="P6081" s="12" t="s">
        <v>72</v>
      </c>
      <c r="Q6081" s="13">
        <v>45980</v>
      </c>
      <c r="R6081" s="13">
        <v>45999</v>
      </c>
      <c r="S6081">
        <v>2025</v>
      </c>
      <c r="T6081" s="12" t="s">
        <v>7071</v>
      </c>
      <c r="U6081">
        <v>69</v>
      </c>
      <c r="V6081">
        <v>66.785399999999996</v>
      </c>
      <c r="W6081">
        <v>107.56</v>
      </c>
      <c r="X6081">
        <v>0</v>
      </c>
      <c r="Y6081">
        <v>0</v>
      </c>
      <c r="Z6081">
        <v>4608.1899999999996</v>
      </c>
      <c r="AA6081">
        <v>4715.75</v>
      </c>
      <c r="AB6081" s="12" t="s">
        <v>5895</v>
      </c>
      <c r="AC6081">
        <v>66.785399999999996</v>
      </c>
      <c r="AD6081">
        <v>1</v>
      </c>
      <c r="AE6081">
        <v>1</v>
      </c>
      <c r="AF6081">
        <v>0</v>
      </c>
      <c r="AG6081">
        <v>4608.1899999999996</v>
      </c>
      <c r="AH6081">
        <v>69</v>
      </c>
      <c r="AI6081">
        <v>69</v>
      </c>
      <c r="AJ6081">
        <v>0</v>
      </c>
      <c r="AK6081">
        <v>1</v>
      </c>
      <c r="AL6081">
        <v>1</v>
      </c>
      <c r="AM6081">
        <v>100</v>
      </c>
      <c r="AN6081">
        <v>68.344200000000001</v>
      </c>
      <c r="AO6081">
        <v>0</v>
      </c>
      <c r="AP6081" s="13">
        <v>45997</v>
      </c>
      <c r="AQ6081">
        <v>-2</v>
      </c>
      <c r="AR6081">
        <v>1</v>
      </c>
    </row>
    <row r="6082" spans="1:44" x14ac:dyDescent="0.35">
      <c r="A6082" s="12" t="s">
        <v>7197</v>
      </c>
      <c r="B6082" s="12" t="s">
        <v>1068</v>
      </c>
      <c r="C6082" s="12" t="s">
        <v>1069</v>
      </c>
      <c r="D6082" s="12" t="s">
        <v>122</v>
      </c>
      <c r="E6082" s="12" t="s">
        <v>65</v>
      </c>
      <c r="F6082">
        <v>2</v>
      </c>
      <c r="G6082">
        <v>2</v>
      </c>
      <c r="H6082">
        <v>0</v>
      </c>
      <c r="I6082" s="12" t="s">
        <v>79</v>
      </c>
      <c r="J6082" s="12" t="s">
        <v>80</v>
      </c>
      <c r="K6082" s="12" t="s">
        <v>81</v>
      </c>
      <c r="L6082" s="12" t="s">
        <v>82</v>
      </c>
      <c r="M6082">
        <v>12.07</v>
      </c>
      <c r="N6082" s="12" t="s">
        <v>97</v>
      </c>
      <c r="O6082" s="12" t="s">
        <v>98</v>
      </c>
      <c r="P6082" s="12" t="s">
        <v>72</v>
      </c>
      <c r="Q6082" s="13">
        <v>45980</v>
      </c>
      <c r="R6082" s="13">
        <v>46017</v>
      </c>
      <c r="S6082">
        <v>2025</v>
      </c>
      <c r="T6082" s="12" t="s">
        <v>7071</v>
      </c>
      <c r="U6082">
        <v>1892</v>
      </c>
      <c r="V6082">
        <v>19.676500000000001</v>
      </c>
      <c r="W6082">
        <v>929.53</v>
      </c>
      <c r="X6082">
        <v>1315.92</v>
      </c>
      <c r="Y6082">
        <v>1</v>
      </c>
      <c r="Z6082">
        <v>37227.94</v>
      </c>
      <c r="AA6082">
        <v>39473.39</v>
      </c>
      <c r="AB6082" s="12" t="s">
        <v>5478</v>
      </c>
      <c r="AC6082">
        <v>20.8949</v>
      </c>
      <c r="AD6082">
        <v>1</v>
      </c>
      <c r="AE6082">
        <v>1</v>
      </c>
      <c r="AF6082">
        <v>-2305.21</v>
      </c>
      <c r="AG6082">
        <v>39533.15</v>
      </c>
      <c r="AH6082">
        <v>1892</v>
      </c>
      <c r="AI6082">
        <v>1875</v>
      </c>
      <c r="AJ6082">
        <v>17</v>
      </c>
      <c r="AK6082">
        <v>1</v>
      </c>
      <c r="AL6082">
        <v>1</v>
      </c>
      <c r="AM6082">
        <v>99.1</v>
      </c>
      <c r="AN6082">
        <v>21.052499999999998</v>
      </c>
      <c r="AO6082">
        <v>334.5</v>
      </c>
      <c r="AP6082" s="13">
        <v>46016</v>
      </c>
      <c r="AQ6082">
        <v>-1</v>
      </c>
      <c r="AR6082">
        <v>1</v>
      </c>
    </row>
    <row r="6083" spans="1:44" x14ac:dyDescent="0.35">
      <c r="A6083" s="12" t="s">
        <v>7198</v>
      </c>
      <c r="B6083" s="12" t="s">
        <v>451</v>
      </c>
      <c r="C6083" s="12" t="s">
        <v>452</v>
      </c>
      <c r="D6083" s="12" t="s">
        <v>175</v>
      </c>
      <c r="E6083" s="12" t="s">
        <v>104</v>
      </c>
      <c r="F6083">
        <v>3</v>
      </c>
      <c r="G6083">
        <v>1</v>
      </c>
      <c r="H6083">
        <v>0</v>
      </c>
      <c r="I6083" s="12" t="s">
        <v>359</v>
      </c>
      <c r="J6083" s="12" t="s">
        <v>360</v>
      </c>
      <c r="K6083" s="12" t="s">
        <v>133</v>
      </c>
      <c r="L6083" s="12" t="s">
        <v>82</v>
      </c>
      <c r="M6083">
        <v>12.65</v>
      </c>
      <c r="N6083" s="12" t="s">
        <v>107</v>
      </c>
      <c r="O6083" s="12" t="s">
        <v>108</v>
      </c>
      <c r="P6083" s="12" t="s">
        <v>109</v>
      </c>
      <c r="Q6083" s="13">
        <v>45980</v>
      </c>
      <c r="R6083" s="13">
        <v>45999</v>
      </c>
      <c r="S6083">
        <v>2025</v>
      </c>
      <c r="T6083" s="12" t="s">
        <v>7071</v>
      </c>
      <c r="U6083">
        <v>70</v>
      </c>
      <c r="V6083">
        <v>216.9588</v>
      </c>
      <c r="W6083">
        <v>236.39</v>
      </c>
      <c r="X6083">
        <v>0</v>
      </c>
      <c r="Y6083">
        <v>0</v>
      </c>
      <c r="Z6083">
        <v>15187.12</v>
      </c>
      <c r="AA6083">
        <v>15423.51</v>
      </c>
      <c r="AB6083" s="12" t="s">
        <v>5244</v>
      </c>
      <c r="AC6083">
        <v>216.9588</v>
      </c>
      <c r="AD6083">
        <v>1</v>
      </c>
      <c r="AE6083">
        <v>1</v>
      </c>
      <c r="AF6083">
        <v>0</v>
      </c>
      <c r="AG6083">
        <v>15187.12</v>
      </c>
      <c r="AH6083">
        <v>70</v>
      </c>
      <c r="AI6083">
        <v>69</v>
      </c>
      <c r="AJ6083">
        <v>1</v>
      </c>
      <c r="AK6083">
        <v>1</v>
      </c>
      <c r="AL6083">
        <v>1</v>
      </c>
      <c r="AM6083">
        <v>98.57</v>
      </c>
      <c r="AN6083">
        <v>223.5291</v>
      </c>
      <c r="AO6083">
        <v>216.96</v>
      </c>
      <c r="AP6083" s="13">
        <v>45999</v>
      </c>
      <c r="AQ6083">
        <v>0</v>
      </c>
      <c r="AR6083">
        <v>1</v>
      </c>
    </row>
    <row r="6084" spans="1:44" x14ac:dyDescent="0.35">
      <c r="A6084" s="12" t="s">
        <v>7199</v>
      </c>
      <c r="B6084" s="12" t="s">
        <v>1666</v>
      </c>
      <c r="C6084" s="12" t="s">
        <v>1667</v>
      </c>
      <c r="D6084" s="12" t="s">
        <v>78</v>
      </c>
      <c r="E6084" s="12" t="s">
        <v>65</v>
      </c>
      <c r="F6084">
        <v>2</v>
      </c>
      <c r="G6084">
        <v>3</v>
      </c>
      <c r="H6084">
        <v>0</v>
      </c>
      <c r="I6084" s="12" t="s">
        <v>310</v>
      </c>
      <c r="J6084" s="12" t="s">
        <v>311</v>
      </c>
      <c r="K6084" s="12" t="s">
        <v>81</v>
      </c>
      <c r="L6084" s="12" t="s">
        <v>69</v>
      </c>
      <c r="M6084">
        <v>28.3</v>
      </c>
      <c r="N6084" s="12" t="s">
        <v>70</v>
      </c>
      <c r="O6084" s="12" t="s">
        <v>71</v>
      </c>
      <c r="P6084" s="12" t="s">
        <v>72</v>
      </c>
      <c r="Q6084" s="13">
        <v>45980</v>
      </c>
      <c r="R6084" s="13">
        <v>46009</v>
      </c>
      <c r="S6084">
        <v>2025</v>
      </c>
      <c r="T6084" s="12" t="s">
        <v>7071</v>
      </c>
      <c r="U6084">
        <v>160</v>
      </c>
      <c r="V6084">
        <v>73.936000000000007</v>
      </c>
      <c r="W6084">
        <v>79.67</v>
      </c>
      <c r="X6084">
        <v>0</v>
      </c>
      <c r="Y6084">
        <v>0</v>
      </c>
      <c r="Z6084">
        <v>11829.76</v>
      </c>
      <c r="AA6084">
        <v>11909.43</v>
      </c>
      <c r="AB6084" s="12" t="s">
        <v>5785</v>
      </c>
      <c r="AC6084">
        <v>71.7453</v>
      </c>
      <c r="AD6084">
        <v>1</v>
      </c>
      <c r="AE6084">
        <v>1</v>
      </c>
      <c r="AF6084">
        <v>350.51</v>
      </c>
      <c r="AG6084">
        <v>11479.25</v>
      </c>
      <c r="AH6084">
        <v>160</v>
      </c>
      <c r="AI6084">
        <v>158</v>
      </c>
      <c r="AJ6084">
        <v>2</v>
      </c>
      <c r="AK6084">
        <v>1</v>
      </c>
      <c r="AL6084">
        <v>1</v>
      </c>
      <c r="AM6084">
        <v>98.75</v>
      </c>
      <c r="AN6084">
        <v>75.376099999999994</v>
      </c>
      <c r="AO6084">
        <v>147.87</v>
      </c>
      <c r="AP6084" s="13">
        <v>46013</v>
      </c>
      <c r="AQ6084">
        <v>4</v>
      </c>
      <c r="AR6084">
        <v>0</v>
      </c>
    </row>
    <row r="6085" spans="1:44" x14ac:dyDescent="0.35">
      <c r="A6085" s="12" t="s">
        <v>7200</v>
      </c>
      <c r="B6085" s="12" t="s">
        <v>490</v>
      </c>
      <c r="C6085" s="12" t="s">
        <v>491</v>
      </c>
      <c r="D6085" s="12" t="s">
        <v>130</v>
      </c>
      <c r="E6085" s="12" t="s">
        <v>104</v>
      </c>
      <c r="F6085">
        <v>3</v>
      </c>
      <c r="G6085">
        <v>1</v>
      </c>
      <c r="H6085">
        <v>0</v>
      </c>
      <c r="I6085" s="12" t="s">
        <v>176</v>
      </c>
      <c r="J6085" s="12" t="s">
        <v>177</v>
      </c>
      <c r="K6085" s="12" t="s">
        <v>125</v>
      </c>
      <c r="L6085" s="12" t="s">
        <v>134</v>
      </c>
      <c r="M6085">
        <v>1.75</v>
      </c>
      <c r="N6085" s="12" t="s">
        <v>135</v>
      </c>
      <c r="O6085" s="12" t="s">
        <v>136</v>
      </c>
      <c r="P6085" s="12" t="s">
        <v>137</v>
      </c>
      <c r="Q6085" s="13">
        <v>45980</v>
      </c>
      <c r="R6085" s="13">
        <v>46000</v>
      </c>
      <c r="S6085">
        <v>2025</v>
      </c>
      <c r="T6085" s="12" t="s">
        <v>7071</v>
      </c>
      <c r="U6085">
        <v>73</v>
      </c>
      <c r="V6085">
        <v>234.9982</v>
      </c>
      <c r="W6085">
        <v>302.64</v>
      </c>
      <c r="X6085">
        <v>0</v>
      </c>
      <c r="Y6085">
        <v>0</v>
      </c>
      <c r="Z6085">
        <v>17154.87</v>
      </c>
      <c r="AA6085">
        <v>17457.509999999998</v>
      </c>
      <c r="AB6085" s="12" t="s">
        <v>5760</v>
      </c>
      <c r="AC6085">
        <v>234.9982</v>
      </c>
      <c r="AD6085">
        <v>1</v>
      </c>
      <c r="AE6085">
        <v>1</v>
      </c>
      <c r="AF6085">
        <v>0</v>
      </c>
      <c r="AG6085">
        <v>17154.87</v>
      </c>
      <c r="AH6085">
        <v>73</v>
      </c>
      <c r="AI6085">
        <v>73</v>
      </c>
      <c r="AJ6085">
        <v>0</v>
      </c>
      <c r="AK6085">
        <v>1</v>
      </c>
      <c r="AL6085">
        <v>1</v>
      </c>
      <c r="AM6085">
        <v>100</v>
      </c>
      <c r="AN6085">
        <v>239.14400000000001</v>
      </c>
      <c r="AO6085">
        <v>0</v>
      </c>
      <c r="AP6085" s="13">
        <v>46000</v>
      </c>
      <c r="AQ6085">
        <v>0</v>
      </c>
      <c r="AR6085">
        <v>1</v>
      </c>
    </row>
    <row r="6086" spans="1:44" x14ac:dyDescent="0.35">
      <c r="A6086" s="12" t="s">
        <v>7201</v>
      </c>
      <c r="B6086" s="12" t="s">
        <v>289</v>
      </c>
      <c r="C6086" s="12" t="s">
        <v>290</v>
      </c>
      <c r="D6086" s="12" t="s">
        <v>175</v>
      </c>
      <c r="E6086" s="12" t="s">
        <v>104</v>
      </c>
      <c r="F6086">
        <v>3</v>
      </c>
      <c r="G6086">
        <v>1</v>
      </c>
      <c r="H6086">
        <v>0</v>
      </c>
      <c r="I6086" s="12" t="s">
        <v>157</v>
      </c>
      <c r="J6086" s="12" t="s">
        <v>158</v>
      </c>
      <c r="K6086" s="12" t="s">
        <v>117</v>
      </c>
      <c r="L6086" s="12" t="s">
        <v>96</v>
      </c>
      <c r="M6086">
        <v>4.72</v>
      </c>
      <c r="N6086" s="12" t="s">
        <v>107</v>
      </c>
      <c r="O6086" s="12" t="s">
        <v>108</v>
      </c>
      <c r="P6086" s="12" t="s">
        <v>109</v>
      </c>
      <c r="Q6086" s="13">
        <v>45980</v>
      </c>
      <c r="R6086" s="13">
        <v>45993</v>
      </c>
      <c r="S6086">
        <v>2025</v>
      </c>
      <c r="T6086" s="12" t="s">
        <v>7071</v>
      </c>
      <c r="U6086">
        <v>20</v>
      </c>
      <c r="V6086">
        <v>193.84389999999999</v>
      </c>
      <c r="W6086">
        <v>41.05</v>
      </c>
      <c r="X6086">
        <v>120.53</v>
      </c>
      <c r="Y6086">
        <v>1</v>
      </c>
      <c r="Z6086">
        <v>3876.88</v>
      </c>
      <c r="AA6086">
        <v>4038.46</v>
      </c>
      <c r="AB6086" s="12" t="s">
        <v>201</v>
      </c>
      <c r="AD6086">
        <v>0</v>
      </c>
      <c r="AE6086">
        <v>0</v>
      </c>
      <c r="AH6086">
        <v>20</v>
      </c>
      <c r="AI6086">
        <v>20</v>
      </c>
      <c r="AJ6086">
        <v>0</v>
      </c>
      <c r="AK6086">
        <v>1</v>
      </c>
      <c r="AL6086">
        <v>1</v>
      </c>
      <c r="AM6086">
        <v>100</v>
      </c>
      <c r="AN6086">
        <v>201.9229</v>
      </c>
      <c r="AO6086">
        <v>0</v>
      </c>
      <c r="AP6086" s="13">
        <v>45993</v>
      </c>
      <c r="AQ6086">
        <v>0</v>
      </c>
      <c r="AR6086">
        <v>1</v>
      </c>
    </row>
    <row r="6087" spans="1:44" x14ac:dyDescent="0.35">
      <c r="A6087" s="12" t="s">
        <v>7202</v>
      </c>
      <c r="B6087" s="12" t="s">
        <v>674</v>
      </c>
      <c r="C6087" s="12" t="s">
        <v>675</v>
      </c>
      <c r="D6087" s="12" t="s">
        <v>269</v>
      </c>
      <c r="E6087" s="12" t="s">
        <v>142</v>
      </c>
      <c r="F6087">
        <v>1</v>
      </c>
      <c r="G6087">
        <v>7</v>
      </c>
      <c r="H6087">
        <v>1</v>
      </c>
      <c r="I6087" s="12" t="s">
        <v>676</v>
      </c>
      <c r="J6087" s="12" t="s">
        <v>677</v>
      </c>
      <c r="K6087" s="12" t="s">
        <v>68</v>
      </c>
      <c r="L6087" s="12" t="s">
        <v>96</v>
      </c>
      <c r="M6087">
        <v>3.57</v>
      </c>
      <c r="N6087" s="12" t="s">
        <v>135</v>
      </c>
      <c r="O6087" s="12" t="s">
        <v>136</v>
      </c>
      <c r="P6087" s="12" t="s">
        <v>137</v>
      </c>
      <c r="Q6087" s="13">
        <v>45981</v>
      </c>
      <c r="R6087" s="13">
        <v>46025</v>
      </c>
      <c r="S6087">
        <v>2025</v>
      </c>
      <c r="T6087" s="12" t="s">
        <v>7071</v>
      </c>
      <c r="U6087">
        <v>84</v>
      </c>
      <c r="V6087">
        <v>357.827</v>
      </c>
      <c r="W6087">
        <v>464.82</v>
      </c>
      <c r="X6087">
        <v>0</v>
      </c>
      <c r="Y6087">
        <v>0</v>
      </c>
      <c r="Z6087">
        <v>30057.47</v>
      </c>
      <c r="AA6087">
        <v>30522.29</v>
      </c>
      <c r="AB6087" s="12" t="s">
        <v>201</v>
      </c>
      <c r="AD6087">
        <v>0</v>
      </c>
      <c r="AE6087">
        <v>0</v>
      </c>
      <c r="AK6087">
        <v>0</v>
      </c>
      <c r="AL6087">
        <v>0</v>
      </c>
      <c r="AO6087">
        <v>0</v>
      </c>
      <c r="AP6087" s="13"/>
    </row>
    <row r="6088" spans="1:44" x14ac:dyDescent="0.35">
      <c r="A6088" s="12" t="s">
        <v>7203</v>
      </c>
      <c r="B6088" s="12" t="s">
        <v>1075</v>
      </c>
      <c r="C6088" s="12" t="s">
        <v>1076</v>
      </c>
      <c r="D6088" s="12" t="s">
        <v>103</v>
      </c>
      <c r="E6088" s="12" t="s">
        <v>65</v>
      </c>
      <c r="F6088">
        <v>2</v>
      </c>
      <c r="G6088">
        <v>4</v>
      </c>
      <c r="H6088">
        <v>0</v>
      </c>
      <c r="I6088" s="12" t="s">
        <v>183</v>
      </c>
      <c r="J6088" s="12" t="s">
        <v>184</v>
      </c>
      <c r="K6088" s="12" t="s">
        <v>133</v>
      </c>
      <c r="L6088" s="12" t="s">
        <v>82</v>
      </c>
      <c r="M6088">
        <v>8.6199999999999992</v>
      </c>
      <c r="N6088" s="12" t="s">
        <v>145</v>
      </c>
      <c r="O6088" s="12" t="s">
        <v>146</v>
      </c>
      <c r="P6088" s="12" t="s">
        <v>109</v>
      </c>
      <c r="Q6088" s="13">
        <v>45981</v>
      </c>
      <c r="R6088" s="13">
        <v>46005</v>
      </c>
      <c r="S6088">
        <v>2025</v>
      </c>
      <c r="T6088" s="12" t="s">
        <v>7071</v>
      </c>
      <c r="U6088">
        <v>39</v>
      </c>
      <c r="V6088">
        <v>76.896699999999996</v>
      </c>
      <c r="W6088">
        <v>71.010000000000005</v>
      </c>
      <c r="X6088">
        <v>98.01</v>
      </c>
      <c r="Y6088">
        <v>1</v>
      </c>
      <c r="Z6088">
        <v>2998.97</v>
      </c>
      <c r="AA6088">
        <v>3167.99</v>
      </c>
      <c r="AB6088" s="12" t="s">
        <v>201</v>
      </c>
      <c r="AD6088">
        <v>0</v>
      </c>
      <c r="AE6088">
        <v>0</v>
      </c>
      <c r="AH6088">
        <v>39</v>
      </c>
      <c r="AI6088">
        <v>39</v>
      </c>
      <c r="AJ6088">
        <v>0</v>
      </c>
      <c r="AK6088">
        <v>1</v>
      </c>
      <c r="AL6088">
        <v>1</v>
      </c>
      <c r="AM6088">
        <v>100</v>
      </c>
      <c r="AN6088">
        <v>81.230500000000006</v>
      </c>
      <c r="AO6088">
        <v>0</v>
      </c>
      <c r="AP6088" s="13">
        <v>46003</v>
      </c>
      <c r="AQ6088">
        <v>-2</v>
      </c>
      <c r="AR6088">
        <v>1</v>
      </c>
    </row>
    <row r="6089" spans="1:44" x14ac:dyDescent="0.35">
      <c r="A6089" s="12" t="s">
        <v>7204</v>
      </c>
      <c r="B6089" s="12" t="s">
        <v>163</v>
      </c>
      <c r="C6089" s="12" t="s">
        <v>164</v>
      </c>
      <c r="D6089" s="12" t="s">
        <v>64</v>
      </c>
      <c r="E6089" s="12" t="s">
        <v>104</v>
      </c>
      <c r="F6089">
        <v>2</v>
      </c>
      <c r="G6089">
        <v>0</v>
      </c>
      <c r="H6089">
        <v>0</v>
      </c>
      <c r="I6089" s="12" t="s">
        <v>79</v>
      </c>
      <c r="J6089" s="12" t="s">
        <v>80</v>
      </c>
      <c r="K6089" s="12" t="s">
        <v>81</v>
      </c>
      <c r="L6089" s="12" t="s">
        <v>82</v>
      </c>
      <c r="M6089">
        <v>12.07</v>
      </c>
      <c r="N6089" s="12" t="s">
        <v>97</v>
      </c>
      <c r="O6089" s="12" t="s">
        <v>98</v>
      </c>
      <c r="P6089" s="12" t="s">
        <v>72</v>
      </c>
      <c r="Q6089" s="13">
        <v>45982</v>
      </c>
      <c r="R6089" s="13">
        <v>46000</v>
      </c>
      <c r="S6089">
        <v>2025</v>
      </c>
      <c r="T6089" s="12" t="s">
        <v>7071</v>
      </c>
      <c r="U6089">
        <v>441</v>
      </c>
      <c r="V6089">
        <v>10.482900000000001</v>
      </c>
      <c r="W6089">
        <v>59.93</v>
      </c>
      <c r="X6089">
        <v>0</v>
      </c>
      <c r="Y6089">
        <v>0</v>
      </c>
      <c r="Z6089">
        <v>4622.96</v>
      </c>
      <c r="AA6089">
        <v>4682.8900000000003</v>
      </c>
      <c r="AB6089" s="12" t="s">
        <v>5303</v>
      </c>
      <c r="AC6089">
        <v>10.482900000000001</v>
      </c>
      <c r="AD6089">
        <v>1</v>
      </c>
      <c r="AE6089">
        <v>1</v>
      </c>
      <c r="AF6089">
        <v>0</v>
      </c>
      <c r="AG6089">
        <v>4622.96</v>
      </c>
      <c r="AH6089">
        <v>441</v>
      </c>
      <c r="AI6089">
        <v>436</v>
      </c>
      <c r="AJ6089">
        <v>5</v>
      </c>
      <c r="AK6089">
        <v>1</v>
      </c>
      <c r="AL6089">
        <v>1</v>
      </c>
      <c r="AM6089">
        <v>98.87</v>
      </c>
      <c r="AN6089">
        <v>10.740600000000001</v>
      </c>
      <c r="AO6089">
        <v>52.41</v>
      </c>
      <c r="AP6089" s="13">
        <v>45999</v>
      </c>
      <c r="AQ6089">
        <v>-1</v>
      </c>
      <c r="AR6089">
        <v>1</v>
      </c>
    </row>
    <row r="6090" spans="1:44" x14ac:dyDescent="0.35">
      <c r="A6090" s="12" t="s">
        <v>7205</v>
      </c>
      <c r="B6090" s="12" t="s">
        <v>112</v>
      </c>
      <c r="C6090" s="12" t="s">
        <v>113</v>
      </c>
      <c r="D6090" s="12" t="s">
        <v>114</v>
      </c>
      <c r="E6090" s="12" t="s">
        <v>104</v>
      </c>
      <c r="F6090">
        <v>3</v>
      </c>
      <c r="G6090">
        <v>1</v>
      </c>
      <c r="H6090">
        <v>0</v>
      </c>
      <c r="I6090" s="12" t="s">
        <v>227</v>
      </c>
      <c r="J6090" s="12" t="s">
        <v>228</v>
      </c>
      <c r="K6090" s="12" t="s">
        <v>89</v>
      </c>
      <c r="L6090" s="12" t="s">
        <v>96</v>
      </c>
      <c r="M6090">
        <v>9.15</v>
      </c>
      <c r="N6090" s="12" t="s">
        <v>70</v>
      </c>
      <c r="O6090" s="12" t="s">
        <v>71</v>
      </c>
      <c r="P6090" s="12" t="s">
        <v>72</v>
      </c>
      <c r="Q6090" s="13">
        <v>45982</v>
      </c>
      <c r="R6090" s="13">
        <v>46000</v>
      </c>
      <c r="S6090">
        <v>2025</v>
      </c>
      <c r="T6090" s="12" t="s">
        <v>7071</v>
      </c>
      <c r="U6090">
        <v>56</v>
      </c>
      <c r="V6090">
        <v>269.50990000000002</v>
      </c>
      <c r="W6090">
        <v>314</v>
      </c>
      <c r="X6090">
        <v>0</v>
      </c>
      <c r="Y6090">
        <v>0</v>
      </c>
      <c r="Z6090">
        <v>15092.55</v>
      </c>
      <c r="AA6090">
        <v>15406.55</v>
      </c>
      <c r="AB6090" s="12" t="s">
        <v>201</v>
      </c>
      <c r="AD6090">
        <v>0</v>
      </c>
      <c r="AE6090">
        <v>0</v>
      </c>
      <c r="AH6090">
        <v>56</v>
      </c>
      <c r="AI6090">
        <v>55</v>
      </c>
      <c r="AJ6090">
        <v>1</v>
      </c>
      <c r="AK6090">
        <v>1</v>
      </c>
      <c r="AL6090">
        <v>1</v>
      </c>
      <c r="AM6090">
        <v>98.21</v>
      </c>
      <c r="AN6090">
        <v>280.11919999999998</v>
      </c>
      <c r="AO6090">
        <v>269.51</v>
      </c>
      <c r="AP6090" s="13">
        <v>46006</v>
      </c>
      <c r="AQ6090">
        <v>6</v>
      </c>
      <c r="AR6090">
        <v>0</v>
      </c>
    </row>
    <row r="6091" spans="1:44" x14ac:dyDescent="0.35">
      <c r="A6091" s="12" t="s">
        <v>7206</v>
      </c>
      <c r="B6091" s="12" t="s">
        <v>408</v>
      </c>
      <c r="C6091" s="12" t="s">
        <v>409</v>
      </c>
      <c r="D6091" s="12" t="s">
        <v>130</v>
      </c>
      <c r="E6091" s="12" t="s">
        <v>65</v>
      </c>
      <c r="F6091">
        <v>3</v>
      </c>
      <c r="G6091">
        <v>5</v>
      </c>
      <c r="H6091">
        <v>0</v>
      </c>
      <c r="I6091" s="12" t="s">
        <v>94</v>
      </c>
      <c r="J6091" s="12" t="s">
        <v>95</v>
      </c>
      <c r="K6091" s="12" t="s">
        <v>81</v>
      </c>
      <c r="L6091" s="12" t="s">
        <v>96</v>
      </c>
      <c r="M6091">
        <v>4.8099999999999996</v>
      </c>
      <c r="N6091" s="12" t="s">
        <v>159</v>
      </c>
      <c r="O6091" s="12" t="s">
        <v>160</v>
      </c>
      <c r="P6091" s="12" t="s">
        <v>137</v>
      </c>
      <c r="Q6091" s="13">
        <v>45982</v>
      </c>
      <c r="R6091" s="13">
        <v>46012</v>
      </c>
      <c r="S6091">
        <v>2025</v>
      </c>
      <c r="T6091" s="12" t="s">
        <v>7071</v>
      </c>
      <c r="U6091">
        <v>84</v>
      </c>
      <c r="V6091">
        <v>756.45219999999995</v>
      </c>
      <c r="W6091">
        <v>757.09</v>
      </c>
      <c r="X6091">
        <v>0</v>
      </c>
      <c r="Y6091">
        <v>0</v>
      </c>
      <c r="Z6091">
        <v>63541.98</v>
      </c>
      <c r="AA6091">
        <v>64299.07</v>
      </c>
      <c r="AB6091" s="12" t="s">
        <v>201</v>
      </c>
      <c r="AD6091">
        <v>0</v>
      </c>
      <c r="AE6091">
        <v>0</v>
      </c>
      <c r="AH6091">
        <v>84</v>
      </c>
      <c r="AI6091">
        <v>83</v>
      </c>
      <c r="AJ6091">
        <v>1</v>
      </c>
      <c r="AK6091">
        <v>1</v>
      </c>
      <c r="AL6091">
        <v>1</v>
      </c>
      <c r="AM6091">
        <v>98.81</v>
      </c>
      <c r="AN6091">
        <v>774.68759999999997</v>
      </c>
      <c r="AO6091">
        <v>756.45</v>
      </c>
      <c r="AP6091" s="13">
        <v>46009</v>
      </c>
      <c r="AQ6091">
        <v>-3</v>
      </c>
      <c r="AR6091">
        <v>1</v>
      </c>
    </row>
    <row r="6092" spans="1:44" x14ac:dyDescent="0.35">
      <c r="A6092" s="12" t="s">
        <v>7207</v>
      </c>
      <c r="B6092" s="12" t="s">
        <v>617</v>
      </c>
      <c r="C6092" s="12" t="s">
        <v>618</v>
      </c>
      <c r="D6092" s="12" t="s">
        <v>78</v>
      </c>
      <c r="E6092" s="12" t="s">
        <v>65</v>
      </c>
      <c r="F6092">
        <v>2</v>
      </c>
      <c r="G6092">
        <v>4</v>
      </c>
      <c r="H6092">
        <v>0</v>
      </c>
      <c r="I6092" s="12" t="s">
        <v>341</v>
      </c>
      <c r="J6092" s="12" t="s">
        <v>342</v>
      </c>
      <c r="K6092" s="12" t="s">
        <v>117</v>
      </c>
      <c r="L6092" s="12" t="s">
        <v>82</v>
      </c>
      <c r="M6092">
        <v>18.36</v>
      </c>
      <c r="N6092" s="12" t="s">
        <v>70</v>
      </c>
      <c r="O6092" s="12" t="s">
        <v>71</v>
      </c>
      <c r="P6092" s="12" t="s">
        <v>72</v>
      </c>
      <c r="Q6092" s="13">
        <v>45982</v>
      </c>
      <c r="R6092" s="13">
        <v>46016</v>
      </c>
      <c r="S6092">
        <v>2025</v>
      </c>
      <c r="T6092" s="12" t="s">
        <v>7071</v>
      </c>
      <c r="U6092">
        <v>235</v>
      </c>
      <c r="V6092">
        <v>97.033799999999999</v>
      </c>
      <c r="W6092">
        <v>289.7</v>
      </c>
      <c r="X6092">
        <v>0</v>
      </c>
      <c r="Y6092">
        <v>0</v>
      </c>
      <c r="Z6092">
        <v>22802.94</v>
      </c>
      <c r="AA6092">
        <v>23092.639999999999</v>
      </c>
      <c r="AB6092" s="12" t="s">
        <v>5541</v>
      </c>
      <c r="AC6092">
        <v>97.033799999999999</v>
      </c>
      <c r="AD6092">
        <v>1</v>
      </c>
      <c r="AE6092">
        <v>1</v>
      </c>
      <c r="AF6092">
        <v>0</v>
      </c>
      <c r="AG6092">
        <v>22802.94</v>
      </c>
      <c r="AH6092">
        <v>235</v>
      </c>
      <c r="AI6092">
        <v>233</v>
      </c>
      <c r="AJ6092">
        <v>2</v>
      </c>
      <c r="AK6092">
        <v>1</v>
      </c>
      <c r="AL6092">
        <v>1</v>
      </c>
      <c r="AM6092">
        <v>99.15</v>
      </c>
      <c r="AN6092">
        <v>99.110100000000003</v>
      </c>
      <c r="AO6092">
        <v>194.07</v>
      </c>
      <c r="AP6092" s="13">
        <v>46016</v>
      </c>
      <c r="AQ6092">
        <v>0</v>
      </c>
      <c r="AR6092">
        <v>1</v>
      </c>
    </row>
    <row r="6093" spans="1:44" x14ac:dyDescent="0.35">
      <c r="A6093" s="12" t="s">
        <v>7208</v>
      </c>
      <c r="B6093" s="12" t="s">
        <v>241</v>
      </c>
      <c r="C6093" s="12" t="s">
        <v>242</v>
      </c>
      <c r="D6093" s="12" t="s">
        <v>103</v>
      </c>
      <c r="E6093" s="12" t="s">
        <v>142</v>
      </c>
      <c r="F6093">
        <v>3</v>
      </c>
      <c r="G6093">
        <v>11</v>
      </c>
      <c r="H6093">
        <v>0</v>
      </c>
      <c r="I6093" s="12" t="s">
        <v>79</v>
      </c>
      <c r="J6093" s="12" t="s">
        <v>80</v>
      </c>
      <c r="K6093" s="12" t="s">
        <v>81</v>
      </c>
      <c r="L6093" s="12" t="s">
        <v>82</v>
      </c>
      <c r="M6093">
        <v>12.07</v>
      </c>
      <c r="N6093" s="12" t="s">
        <v>145</v>
      </c>
      <c r="O6093" s="12" t="s">
        <v>146</v>
      </c>
      <c r="P6093" s="12" t="s">
        <v>109</v>
      </c>
      <c r="Q6093" s="13">
        <v>45982</v>
      </c>
      <c r="R6093" s="13">
        <v>46024</v>
      </c>
      <c r="S6093">
        <v>2025</v>
      </c>
      <c r="T6093" s="12" t="s">
        <v>7071</v>
      </c>
      <c r="U6093">
        <v>69</v>
      </c>
      <c r="V6093">
        <v>169.56909999999999</v>
      </c>
      <c r="W6093">
        <v>284.44</v>
      </c>
      <c r="X6093">
        <v>0</v>
      </c>
      <c r="Y6093">
        <v>0</v>
      </c>
      <c r="Z6093">
        <v>11700.27</v>
      </c>
      <c r="AA6093">
        <v>11984.71</v>
      </c>
      <c r="AB6093" s="12" t="s">
        <v>201</v>
      </c>
      <c r="AD6093">
        <v>0</v>
      </c>
      <c r="AE6093">
        <v>0</v>
      </c>
      <c r="AK6093">
        <v>0</v>
      </c>
      <c r="AL6093">
        <v>0</v>
      </c>
      <c r="AO6093">
        <v>0</v>
      </c>
      <c r="AP6093" s="13"/>
    </row>
    <row r="6094" spans="1:44" x14ac:dyDescent="0.35">
      <c r="A6094" s="12" t="s">
        <v>7209</v>
      </c>
      <c r="B6094" s="12" t="s">
        <v>498</v>
      </c>
      <c r="C6094" s="12" t="s">
        <v>499</v>
      </c>
      <c r="D6094" s="12" t="s">
        <v>175</v>
      </c>
      <c r="E6094" s="12" t="s">
        <v>104</v>
      </c>
      <c r="F6094">
        <v>3</v>
      </c>
      <c r="G6094">
        <v>1</v>
      </c>
      <c r="H6094">
        <v>0</v>
      </c>
      <c r="I6094" s="12" t="s">
        <v>233</v>
      </c>
      <c r="J6094" s="12" t="s">
        <v>234</v>
      </c>
      <c r="K6094" s="12" t="s">
        <v>125</v>
      </c>
      <c r="L6094" s="12" t="s">
        <v>96</v>
      </c>
      <c r="M6094">
        <v>3.73</v>
      </c>
      <c r="N6094" s="12" t="s">
        <v>107</v>
      </c>
      <c r="O6094" s="12" t="s">
        <v>108</v>
      </c>
      <c r="P6094" s="12" t="s">
        <v>109</v>
      </c>
      <c r="Q6094" s="13">
        <v>45982</v>
      </c>
      <c r="R6094" s="13">
        <v>45995</v>
      </c>
      <c r="S6094">
        <v>2025</v>
      </c>
      <c r="T6094" s="12" t="s">
        <v>7071</v>
      </c>
      <c r="U6094">
        <v>22</v>
      </c>
      <c r="V6094">
        <v>262.52229999999997</v>
      </c>
      <c r="W6094">
        <v>96.32</v>
      </c>
      <c r="X6094">
        <v>0</v>
      </c>
      <c r="Y6094">
        <v>0</v>
      </c>
      <c r="Z6094">
        <v>5775.49</v>
      </c>
      <c r="AA6094">
        <v>5871.81</v>
      </c>
      <c r="AB6094" s="12" t="s">
        <v>5729</v>
      </c>
      <c r="AC6094">
        <v>262.52229999999997</v>
      </c>
      <c r="AD6094">
        <v>1</v>
      </c>
      <c r="AE6094">
        <v>1</v>
      </c>
      <c r="AF6094">
        <v>0</v>
      </c>
      <c r="AG6094">
        <v>5775.49</v>
      </c>
      <c r="AH6094">
        <v>22</v>
      </c>
      <c r="AI6094">
        <v>22</v>
      </c>
      <c r="AJ6094">
        <v>0</v>
      </c>
      <c r="AK6094">
        <v>1</v>
      </c>
      <c r="AL6094">
        <v>1</v>
      </c>
      <c r="AM6094">
        <v>100</v>
      </c>
      <c r="AN6094">
        <v>266.90050000000002</v>
      </c>
      <c r="AO6094">
        <v>0</v>
      </c>
      <c r="AP6094" s="13">
        <v>46001</v>
      </c>
      <c r="AQ6094">
        <v>6</v>
      </c>
      <c r="AR6094">
        <v>0</v>
      </c>
    </row>
    <row r="6095" spans="1:44" x14ac:dyDescent="0.35">
      <c r="A6095" s="12" t="s">
        <v>7210</v>
      </c>
      <c r="B6095" s="12" t="s">
        <v>766</v>
      </c>
      <c r="C6095" s="12" t="s">
        <v>767</v>
      </c>
      <c r="D6095" s="12" t="s">
        <v>175</v>
      </c>
      <c r="E6095" s="12" t="s">
        <v>65</v>
      </c>
      <c r="F6095">
        <v>3</v>
      </c>
      <c r="G6095">
        <v>5</v>
      </c>
      <c r="H6095">
        <v>0</v>
      </c>
      <c r="I6095" s="12" t="s">
        <v>157</v>
      </c>
      <c r="J6095" s="12" t="s">
        <v>158</v>
      </c>
      <c r="K6095" s="12" t="s">
        <v>117</v>
      </c>
      <c r="L6095" s="12" t="s">
        <v>96</v>
      </c>
      <c r="M6095">
        <v>4.72</v>
      </c>
      <c r="N6095" s="12" t="s">
        <v>145</v>
      </c>
      <c r="O6095" s="12" t="s">
        <v>146</v>
      </c>
      <c r="P6095" s="12" t="s">
        <v>109</v>
      </c>
      <c r="Q6095" s="13">
        <v>45985</v>
      </c>
      <c r="R6095" s="13">
        <v>46021</v>
      </c>
      <c r="S6095">
        <v>2025</v>
      </c>
      <c r="T6095" s="12" t="s">
        <v>7071</v>
      </c>
      <c r="U6095">
        <v>128</v>
      </c>
      <c r="V6095">
        <v>77.425799999999995</v>
      </c>
      <c r="W6095">
        <v>197.17</v>
      </c>
      <c r="X6095">
        <v>333.46</v>
      </c>
      <c r="Y6095">
        <v>1</v>
      </c>
      <c r="Z6095">
        <v>9910.5</v>
      </c>
      <c r="AA6095">
        <v>10441.129999999999</v>
      </c>
      <c r="AB6095" s="12" t="s">
        <v>6634</v>
      </c>
      <c r="AC6095">
        <v>77.425799999999995</v>
      </c>
      <c r="AD6095">
        <v>1</v>
      </c>
      <c r="AE6095">
        <v>1</v>
      </c>
      <c r="AF6095">
        <v>0</v>
      </c>
      <c r="AG6095">
        <v>9910.5</v>
      </c>
      <c r="AK6095">
        <v>0</v>
      </c>
      <c r="AL6095">
        <v>0</v>
      </c>
      <c r="AO6095">
        <v>0</v>
      </c>
      <c r="AP6095" s="13"/>
    </row>
    <row r="6096" spans="1:44" x14ac:dyDescent="0.35">
      <c r="A6096" s="12" t="s">
        <v>7211</v>
      </c>
      <c r="B6096" s="12" t="s">
        <v>513</v>
      </c>
      <c r="C6096" s="12" t="s">
        <v>514</v>
      </c>
      <c r="D6096" s="12" t="s">
        <v>269</v>
      </c>
      <c r="E6096" s="12" t="s">
        <v>65</v>
      </c>
      <c r="F6096">
        <v>1</v>
      </c>
      <c r="G6096">
        <v>2</v>
      </c>
      <c r="H6096">
        <v>1</v>
      </c>
      <c r="I6096" s="12" t="s">
        <v>515</v>
      </c>
      <c r="J6096" s="12" t="s">
        <v>516</v>
      </c>
      <c r="K6096" s="12" t="s">
        <v>68</v>
      </c>
      <c r="L6096" s="12" t="s">
        <v>134</v>
      </c>
      <c r="M6096">
        <v>3.69</v>
      </c>
      <c r="N6096" s="12" t="s">
        <v>135</v>
      </c>
      <c r="O6096" s="12" t="s">
        <v>136</v>
      </c>
      <c r="P6096" s="12" t="s">
        <v>137</v>
      </c>
      <c r="Q6096" s="13">
        <v>45985</v>
      </c>
      <c r="R6096" s="13">
        <v>46022</v>
      </c>
      <c r="S6096">
        <v>2025</v>
      </c>
      <c r="T6096" s="12" t="s">
        <v>7071</v>
      </c>
      <c r="U6096">
        <v>138</v>
      </c>
      <c r="V6096">
        <v>201.65649999999999</v>
      </c>
      <c r="W6096">
        <v>467.38</v>
      </c>
      <c r="X6096">
        <v>0</v>
      </c>
      <c r="Y6096">
        <v>0</v>
      </c>
      <c r="Z6096">
        <v>27828.6</v>
      </c>
      <c r="AA6096">
        <v>28295.98</v>
      </c>
      <c r="AB6096" s="12" t="s">
        <v>201</v>
      </c>
      <c r="AD6096">
        <v>0</v>
      </c>
      <c r="AE6096">
        <v>0</v>
      </c>
      <c r="AH6096">
        <v>138</v>
      </c>
      <c r="AI6096">
        <v>136</v>
      </c>
      <c r="AJ6096">
        <v>2</v>
      </c>
      <c r="AK6096">
        <v>1</v>
      </c>
      <c r="AL6096">
        <v>1</v>
      </c>
      <c r="AM6096">
        <v>98.55</v>
      </c>
      <c r="AN6096">
        <v>208.05869999999999</v>
      </c>
      <c r="AO6096">
        <v>403.31</v>
      </c>
      <c r="AP6096" s="13">
        <v>46020</v>
      </c>
      <c r="AQ6096">
        <v>-2</v>
      </c>
      <c r="AR6096">
        <v>1</v>
      </c>
    </row>
    <row r="6097" spans="1:44" x14ac:dyDescent="0.35">
      <c r="A6097" s="12" t="s">
        <v>7212</v>
      </c>
      <c r="B6097" s="12" t="s">
        <v>76</v>
      </c>
      <c r="C6097" s="12" t="s">
        <v>77</v>
      </c>
      <c r="D6097" s="12" t="s">
        <v>78</v>
      </c>
      <c r="E6097" s="12" t="s">
        <v>65</v>
      </c>
      <c r="F6097">
        <v>2</v>
      </c>
      <c r="G6097">
        <v>4</v>
      </c>
      <c r="H6097">
        <v>0</v>
      </c>
      <c r="I6097" s="12" t="s">
        <v>79</v>
      </c>
      <c r="J6097" s="12" t="s">
        <v>80</v>
      </c>
      <c r="K6097" s="12" t="s">
        <v>81</v>
      </c>
      <c r="L6097" s="12" t="s">
        <v>82</v>
      </c>
      <c r="M6097">
        <v>12.07</v>
      </c>
      <c r="N6097" s="12" t="s">
        <v>70</v>
      </c>
      <c r="O6097" s="12" t="s">
        <v>71</v>
      </c>
      <c r="P6097" s="12" t="s">
        <v>72</v>
      </c>
      <c r="Q6097" s="13">
        <v>45985</v>
      </c>
      <c r="R6097" s="13">
        <v>46020</v>
      </c>
      <c r="S6097">
        <v>2025</v>
      </c>
      <c r="T6097" s="12" t="s">
        <v>7071</v>
      </c>
      <c r="U6097">
        <v>250</v>
      </c>
      <c r="V6097">
        <v>44.0946</v>
      </c>
      <c r="W6097">
        <v>72.56</v>
      </c>
      <c r="X6097">
        <v>0</v>
      </c>
      <c r="Y6097">
        <v>0</v>
      </c>
      <c r="Z6097">
        <v>11023.65</v>
      </c>
      <c r="AA6097">
        <v>11096.21</v>
      </c>
      <c r="AB6097" s="12" t="s">
        <v>5427</v>
      </c>
      <c r="AC6097">
        <v>44.0946</v>
      </c>
      <c r="AD6097">
        <v>1</v>
      </c>
      <c r="AE6097">
        <v>1</v>
      </c>
      <c r="AF6097">
        <v>0</v>
      </c>
      <c r="AG6097">
        <v>11023.65</v>
      </c>
      <c r="AH6097">
        <v>250</v>
      </c>
      <c r="AI6097">
        <v>245</v>
      </c>
      <c r="AJ6097">
        <v>5</v>
      </c>
      <c r="AK6097">
        <v>1</v>
      </c>
      <c r="AL6097">
        <v>1</v>
      </c>
      <c r="AM6097">
        <v>98</v>
      </c>
      <c r="AN6097">
        <v>45.290700000000001</v>
      </c>
      <c r="AO6097">
        <v>220.47</v>
      </c>
      <c r="AP6097" s="13">
        <v>46020</v>
      </c>
      <c r="AQ6097">
        <v>0</v>
      </c>
      <c r="AR6097">
        <v>1</v>
      </c>
    </row>
    <row r="6098" spans="1:44" x14ac:dyDescent="0.35">
      <c r="A6098" s="12" t="s">
        <v>7213</v>
      </c>
      <c r="B6098" s="12" t="s">
        <v>848</v>
      </c>
      <c r="C6098" s="12" t="s">
        <v>849</v>
      </c>
      <c r="D6098" s="12" t="s">
        <v>103</v>
      </c>
      <c r="E6098" s="12" t="s">
        <v>65</v>
      </c>
      <c r="F6098">
        <v>2</v>
      </c>
      <c r="G6098">
        <v>4</v>
      </c>
      <c r="H6098">
        <v>0</v>
      </c>
      <c r="I6098" s="12" t="s">
        <v>87</v>
      </c>
      <c r="J6098" s="12" t="s">
        <v>88</v>
      </c>
      <c r="K6098" s="12" t="s">
        <v>89</v>
      </c>
      <c r="L6098" s="12" t="s">
        <v>69</v>
      </c>
      <c r="M6098">
        <v>14.93</v>
      </c>
      <c r="N6098" s="12" t="s">
        <v>107</v>
      </c>
      <c r="O6098" s="12" t="s">
        <v>108</v>
      </c>
      <c r="P6098" s="12" t="s">
        <v>109</v>
      </c>
      <c r="Q6098" s="13">
        <v>45985</v>
      </c>
      <c r="R6098" s="13">
        <v>46022</v>
      </c>
      <c r="S6098">
        <v>2025</v>
      </c>
      <c r="T6098" s="12" t="s">
        <v>7071</v>
      </c>
      <c r="U6098">
        <v>139</v>
      </c>
      <c r="V6098">
        <v>118.5639</v>
      </c>
      <c r="W6098">
        <v>317.83999999999997</v>
      </c>
      <c r="X6098">
        <v>0</v>
      </c>
      <c r="Y6098">
        <v>0</v>
      </c>
      <c r="Z6098">
        <v>16480.38</v>
      </c>
      <c r="AA6098">
        <v>16798.22</v>
      </c>
      <c r="AB6098" s="12" t="s">
        <v>5911</v>
      </c>
      <c r="AC6098">
        <v>118.5639</v>
      </c>
      <c r="AD6098">
        <v>1</v>
      </c>
      <c r="AE6098">
        <v>1</v>
      </c>
      <c r="AF6098">
        <v>0</v>
      </c>
      <c r="AG6098">
        <v>16480.38</v>
      </c>
      <c r="AK6098">
        <v>0</v>
      </c>
      <c r="AL6098">
        <v>0</v>
      </c>
      <c r="AO6098">
        <v>0</v>
      </c>
      <c r="AP6098" s="13"/>
    </row>
    <row r="6099" spans="1:44" x14ac:dyDescent="0.35">
      <c r="A6099" s="12" t="s">
        <v>7214</v>
      </c>
      <c r="B6099" s="12" t="s">
        <v>454</v>
      </c>
      <c r="C6099" s="12" t="s">
        <v>455</v>
      </c>
      <c r="D6099" s="12" t="s">
        <v>122</v>
      </c>
      <c r="E6099" s="12" t="s">
        <v>104</v>
      </c>
      <c r="F6099">
        <v>3</v>
      </c>
      <c r="G6099">
        <v>1</v>
      </c>
      <c r="H6099">
        <v>0</v>
      </c>
      <c r="I6099" s="12" t="s">
        <v>87</v>
      </c>
      <c r="J6099" s="12" t="s">
        <v>88</v>
      </c>
      <c r="K6099" s="12" t="s">
        <v>89</v>
      </c>
      <c r="L6099" s="12" t="s">
        <v>69</v>
      </c>
      <c r="M6099">
        <v>14.93</v>
      </c>
      <c r="N6099" s="12" t="s">
        <v>70</v>
      </c>
      <c r="O6099" s="12" t="s">
        <v>71</v>
      </c>
      <c r="P6099" s="12" t="s">
        <v>72</v>
      </c>
      <c r="Q6099" s="13">
        <v>45985</v>
      </c>
      <c r="R6099" s="13">
        <v>46012</v>
      </c>
      <c r="S6099">
        <v>2025</v>
      </c>
      <c r="T6099" s="12" t="s">
        <v>7071</v>
      </c>
      <c r="U6099">
        <v>1713</v>
      </c>
      <c r="V6099">
        <v>21.032599999999999</v>
      </c>
      <c r="W6099">
        <v>429.62</v>
      </c>
      <c r="X6099">
        <v>0</v>
      </c>
      <c r="Y6099">
        <v>0</v>
      </c>
      <c r="Z6099">
        <v>36028.839999999997</v>
      </c>
      <c r="AA6099">
        <v>36458.46</v>
      </c>
      <c r="AB6099" s="12" t="s">
        <v>5456</v>
      </c>
      <c r="AC6099">
        <v>21.032599999999999</v>
      </c>
      <c r="AD6099">
        <v>1</v>
      </c>
      <c r="AE6099">
        <v>1</v>
      </c>
      <c r="AF6099">
        <v>0</v>
      </c>
      <c r="AG6099">
        <v>36028.839999999997</v>
      </c>
      <c r="AH6099">
        <v>1713</v>
      </c>
      <c r="AI6099">
        <v>1695</v>
      </c>
      <c r="AJ6099">
        <v>18</v>
      </c>
      <c r="AK6099">
        <v>1</v>
      </c>
      <c r="AL6099">
        <v>1</v>
      </c>
      <c r="AM6099">
        <v>98.95</v>
      </c>
      <c r="AN6099">
        <v>21.509399999999999</v>
      </c>
      <c r="AO6099">
        <v>378.59</v>
      </c>
      <c r="AP6099" s="13">
        <v>46009</v>
      </c>
      <c r="AQ6099">
        <v>-3</v>
      </c>
      <c r="AR6099">
        <v>1</v>
      </c>
    </row>
    <row r="6100" spans="1:44" x14ac:dyDescent="0.35">
      <c r="A6100" s="12" t="s">
        <v>7215</v>
      </c>
      <c r="B6100" s="12" t="s">
        <v>302</v>
      </c>
      <c r="C6100" s="12" t="s">
        <v>303</v>
      </c>
      <c r="D6100" s="12" t="s">
        <v>78</v>
      </c>
      <c r="E6100" s="12" t="s">
        <v>65</v>
      </c>
      <c r="F6100">
        <v>2</v>
      </c>
      <c r="G6100">
        <v>3</v>
      </c>
      <c r="H6100">
        <v>0</v>
      </c>
      <c r="I6100" s="12" t="s">
        <v>335</v>
      </c>
      <c r="J6100" s="12" t="s">
        <v>336</v>
      </c>
      <c r="K6100" s="12" t="s">
        <v>89</v>
      </c>
      <c r="L6100" s="12" t="s">
        <v>82</v>
      </c>
      <c r="M6100">
        <v>16</v>
      </c>
      <c r="N6100" s="12" t="s">
        <v>70</v>
      </c>
      <c r="O6100" s="12" t="s">
        <v>71</v>
      </c>
      <c r="P6100" s="12" t="s">
        <v>72</v>
      </c>
      <c r="Q6100" s="13">
        <v>45985</v>
      </c>
      <c r="R6100" s="13">
        <v>46007</v>
      </c>
      <c r="S6100">
        <v>2025</v>
      </c>
      <c r="T6100" s="12" t="s">
        <v>7071</v>
      </c>
      <c r="U6100">
        <v>63</v>
      </c>
      <c r="V6100">
        <v>137.82220000000001</v>
      </c>
      <c r="W6100">
        <v>149.69</v>
      </c>
      <c r="X6100">
        <v>0</v>
      </c>
      <c r="Y6100">
        <v>0</v>
      </c>
      <c r="Z6100">
        <v>8682.7999999999993</v>
      </c>
      <c r="AA6100">
        <v>8832.49</v>
      </c>
      <c r="AB6100" s="12" t="s">
        <v>5763</v>
      </c>
      <c r="AC6100">
        <v>137.82220000000001</v>
      </c>
      <c r="AD6100">
        <v>1</v>
      </c>
      <c r="AE6100">
        <v>1</v>
      </c>
      <c r="AF6100">
        <v>0</v>
      </c>
      <c r="AG6100">
        <v>8682.7999999999993</v>
      </c>
      <c r="AH6100">
        <v>63</v>
      </c>
      <c r="AI6100">
        <v>62</v>
      </c>
      <c r="AJ6100">
        <v>1</v>
      </c>
      <c r="AK6100">
        <v>1</v>
      </c>
      <c r="AL6100">
        <v>1</v>
      </c>
      <c r="AM6100">
        <v>98.41</v>
      </c>
      <c r="AN6100">
        <v>142.45949999999999</v>
      </c>
      <c r="AO6100">
        <v>137.82</v>
      </c>
      <c r="AP6100" s="13">
        <v>46007</v>
      </c>
      <c r="AQ6100">
        <v>0</v>
      </c>
      <c r="AR6100">
        <v>1</v>
      </c>
    </row>
    <row r="6101" spans="1:44" x14ac:dyDescent="0.35">
      <c r="A6101" s="12" t="s">
        <v>7216</v>
      </c>
      <c r="B6101" s="12" t="s">
        <v>293</v>
      </c>
      <c r="C6101" s="12" t="s">
        <v>294</v>
      </c>
      <c r="D6101" s="12" t="s">
        <v>114</v>
      </c>
      <c r="E6101" s="12" t="s">
        <v>142</v>
      </c>
      <c r="F6101">
        <v>1</v>
      </c>
      <c r="G6101">
        <v>6</v>
      </c>
      <c r="H6101">
        <v>1</v>
      </c>
      <c r="I6101" s="12" t="s">
        <v>195</v>
      </c>
      <c r="J6101" s="12" t="s">
        <v>196</v>
      </c>
      <c r="K6101" s="12" t="s">
        <v>117</v>
      </c>
      <c r="L6101" s="12" t="s">
        <v>134</v>
      </c>
      <c r="M6101">
        <v>4.7699999999999996</v>
      </c>
      <c r="N6101" s="12" t="s">
        <v>97</v>
      </c>
      <c r="O6101" s="12" t="s">
        <v>98</v>
      </c>
      <c r="P6101" s="12" t="s">
        <v>72</v>
      </c>
      <c r="Q6101" s="13">
        <v>45985</v>
      </c>
      <c r="R6101" s="13">
        <v>46028</v>
      </c>
      <c r="S6101">
        <v>2025</v>
      </c>
      <c r="T6101" s="12" t="s">
        <v>7071</v>
      </c>
      <c r="U6101">
        <v>75</v>
      </c>
      <c r="V6101">
        <v>207.32089999999999</v>
      </c>
      <c r="W6101">
        <v>227.15</v>
      </c>
      <c r="X6101">
        <v>0</v>
      </c>
      <c r="Y6101">
        <v>0</v>
      </c>
      <c r="Z6101">
        <v>15549.07</v>
      </c>
      <c r="AA6101">
        <v>15776.22</v>
      </c>
      <c r="AB6101" s="12" t="s">
        <v>5190</v>
      </c>
      <c r="AC6101">
        <v>199.8203</v>
      </c>
      <c r="AD6101">
        <v>1</v>
      </c>
      <c r="AE6101">
        <v>1</v>
      </c>
      <c r="AF6101">
        <v>562.54999999999995</v>
      </c>
      <c r="AG6101">
        <v>14986.52</v>
      </c>
      <c r="AK6101">
        <v>0</v>
      </c>
      <c r="AL6101">
        <v>0</v>
      </c>
      <c r="AO6101">
        <v>0</v>
      </c>
      <c r="AP6101" s="13"/>
    </row>
    <row r="6102" spans="1:44" x14ac:dyDescent="0.35">
      <c r="A6102" s="12" t="s">
        <v>7217</v>
      </c>
      <c r="B6102" s="12" t="s">
        <v>238</v>
      </c>
      <c r="C6102" s="12" t="s">
        <v>239</v>
      </c>
      <c r="D6102" s="12" t="s">
        <v>122</v>
      </c>
      <c r="E6102" s="12" t="s">
        <v>65</v>
      </c>
      <c r="F6102">
        <v>3</v>
      </c>
      <c r="G6102">
        <v>4</v>
      </c>
      <c r="H6102">
        <v>0</v>
      </c>
      <c r="I6102" s="12" t="s">
        <v>243</v>
      </c>
      <c r="J6102" s="12" t="s">
        <v>244</v>
      </c>
      <c r="K6102" s="12" t="s">
        <v>81</v>
      </c>
      <c r="L6102" s="12" t="s">
        <v>82</v>
      </c>
      <c r="M6102">
        <v>9.2200000000000006</v>
      </c>
      <c r="N6102" s="12" t="s">
        <v>97</v>
      </c>
      <c r="O6102" s="12" t="s">
        <v>98</v>
      </c>
      <c r="P6102" s="12" t="s">
        <v>72</v>
      </c>
      <c r="Q6102" s="13">
        <v>45985</v>
      </c>
      <c r="R6102" s="13">
        <v>46006</v>
      </c>
      <c r="S6102">
        <v>2025</v>
      </c>
      <c r="T6102" s="12" t="s">
        <v>7071</v>
      </c>
      <c r="U6102">
        <v>273</v>
      </c>
      <c r="V6102">
        <v>35.924999999999997</v>
      </c>
      <c r="W6102">
        <v>151.85</v>
      </c>
      <c r="X6102">
        <v>0</v>
      </c>
      <c r="Y6102">
        <v>0</v>
      </c>
      <c r="Z6102">
        <v>9807.5300000000007</v>
      </c>
      <c r="AA6102">
        <v>9959.3799999999992</v>
      </c>
      <c r="AB6102" s="12" t="s">
        <v>6226</v>
      </c>
      <c r="AC6102">
        <v>35.924999999999997</v>
      </c>
      <c r="AD6102">
        <v>1</v>
      </c>
      <c r="AE6102">
        <v>1</v>
      </c>
      <c r="AF6102">
        <v>0</v>
      </c>
      <c r="AG6102">
        <v>9807.5300000000007</v>
      </c>
      <c r="AH6102">
        <v>273</v>
      </c>
      <c r="AI6102">
        <v>271</v>
      </c>
      <c r="AJ6102">
        <v>2</v>
      </c>
      <c r="AK6102">
        <v>1</v>
      </c>
      <c r="AL6102">
        <v>1</v>
      </c>
      <c r="AM6102">
        <v>99.27</v>
      </c>
      <c r="AN6102">
        <v>36.750500000000002</v>
      </c>
      <c r="AO6102">
        <v>71.849999999999994</v>
      </c>
      <c r="AP6102" s="13">
        <v>46008</v>
      </c>
      <c r="AQ6102">
        <v>2</v>
      </c>
      <c r="AR6102">
        <v>0</v>
      </c>
    </row>
    <row r="6103" spans="1:44" x14ac:dyDescent="0.35">
      <c r="A6103" s="12" t="s">
        <v>7218</v>
      </c>
      <c r="B6103" s="12" t="s">
        <v>802</v>
      </c>
      <c r="C6103" s="12" t="s">
        <v>803</v>
      </c>
      <c r="D6103" s="12" t="s">
        <v>114</v>
      </c>
      <c r="E6103" s="12" t="s">
        <v>65</v>
      </c>
      <c r="F6103">
        <v>3</v>
      </c>
      <c r="G6103">
        <v>5</v>
      </c>
      <c r="H6103">
        <v>0</v>
      </c>
      <c r="I6103" s="12" t="s">
        <v>87</v>
      </c>
      <c r="J6103" s="12" t="s">
        <v>88</v>
      </c>
      <c r="K6103" s="12" t="s">
        <v>89</v>
      </c>
      <c r="L6103" s="12" t="s">
        <v>69</v>
      </c>
      <c r="M6103">
        <v>14.93</v>
      </c>
      <c r="N6103" s="12" t="s">
        <v>97</v>
      </c>
      <c r="O6103" s="12" t="s">
        <v>98</v>
      </c>
      <c r="P6103" s="12" t="s">
        <v>72</v>
      </c>
      <c r="Q6103" s="13">
        <v>45986</v>
      </c>
      <c r="R6103" s="13">
        <v>46014</v>
      </c>
      <c r="S6103">
        <v>2025</v>
      </c>
      <c r="T6103" s="12" t="s">
        <v>7071</v>
      </c>
      <c r="U6103">
        <v>65</v>
      </c>
      <c r="V6103">
        <v>329.8329</v>
      </c>
      <c r="W6103">
        <v>369.45</v>
      </c>
      <c r="X6103">
        <v>0</v>
      </c>
      <c r="Y6103">
        <v>0</v>
      </c>
      <c r="Z6103">
        <v>21439.14</v>
      </c>
      <c r="AA6103">
        <v>21808.59</v>
      </c>
      <c r="AB6103" s="12" t="s">
        <v>6072</v>
      </c>
      <c r="AC6103">
        <v>329.8329</v>
      </c>
      <c r="AD6103">
        <v>1</v>
      </c>
      <c r="AE6103">
        <v>1</v>
      </c>
      <c r="AF6103">
        <v>0</v>
      </c>
      <c r="AG6103">
        <v>21439.14</v>
      </c>
      <c r="AH6103">
        <v>65</v>
      </c>
      <c r="AI6103">
        <v>64</v>
      </c>
      <c r="AJ6103">
        <v>1</v>
      </c>
      <c r="AK6103">
        <v>1</v>
      </c>
      <c r="AL6103">
        <v>1</v>
      </c>
      <c r="AM6103">
        <v>98.46</v>
      </c>
      <c r="AN6103">
        <v>340.75920000000002</v>
      </c>
      <c r="AO6103">
        <v>329.83</v>
      </c>
      <c r="AP6103" s="13">
        <v>46011</v>
      </c>
      <c r="AQ6103">
        <v>-3</v>
      </c>
      <c r="AR6103">
        <v>1</v>
      </c>
    </row>
    <row r="6104" spans="1:44" x14ac:dyDescent="0.35">
      <c r="A6104" s="12" t="s">
        <v>7219</v>
      </c>
      <c r="B6104" s="12" t="s">
        <v>621</v>
      </c>
      <c r="C6104" s="12" t="s">
        <v>622</v>
      </c>
      <c r="D6104" s="12" t="s">
        <v>103</v>
      </c>
      <c r="E6104" s="12" t="s">
        <v>65</v>
      </c>
      <c r="F6104">
        <v>1</v>
      </c>
      <c r="G6104">
        <v>2</v>
      </c>
      <c r="H6104">
        <v>1</v>
      </c>
      <c r="I6104" s="12" t="s">
        <v>486</v>
      </c>
      <c r="J6104" s="12" t="s">
        <v>487</v>
      </c>
      <c r="K6104" s="12" t="s">
        <v>125</v>
      </c>
      <c r="L6104" s="12" t="s">
        <v>69</v>
      </c>
      <c r="M6104">
        <v>36.86</v>
      </c>
      <c r="N6104" s="12" t="s">
        <v>145</v>
      </c>
      <c r="O6104" s="12" t="s">
        <v>146</v>
      </c>
      <c r="P6104" s="12" t="s">
        <v>109</v>
      </c>
      <c r="Q6104" s="13">
        <v>45986</v>
      </c>
      <c r="R6104" s="13">
        <v>46019</v>
      </c>
      <c r="S6104">
        <v>2025</v>
      </c>
      <c r="T6104" s="12" t="s">
        <v>7071</v>
      </c>
      <c r="U6104">
        <v>109</v>
      </c>
      <c r="V6104">
        <v>200.7516</v>
      </c>
      <c r="W6104">
        <v>413.56</v>
      </c>
      <c r="X6104">
        <v>0</v>
      </c>
      <c r="Y6104">
        <v>0</v>
      </c>
      <c r="Z6104">
        <v>21881.919999999998</v>
      </c>
      <c r="AA6104">
        <v>22295.48</v>
      </c>
      <c r="AB6104" s="12" t="s">
        <v>5123</v>
      </c>
      <c r="AC6104">
        <v>200.7516</v>
      </c>
      <c r="AD6104">
        <v>1</v>
      </c>
      <c r="AE6104">
        <v>1</v>
      </c>
      <c r="AF6104">
        <v>0</v>
      </c>
      <c r="AG6104">
        <v>21881.919999999998</v>
      </c>
      <c r="AH6104">
        <v>109</v>
      </c>
      <c r="AI6104">
        <v>108</v>
      </c>
      <c r="AJ6104">
        <v>1</v>
      </c>
      <c r="AK6104">
        <v>1</v>
      </c>
      <c r="AL6104">
        <v>1</v>
      </c>
      <c r="AM6104">
        <v>99.08</v>
      </c>
      <c r="AN6104">
        <v>206.43969999999999</v>
      </c>
      <c r="AO6104">
        <v>200.75</v>
      </c>
      <c r="AP6104" s="13">
        <v>46017</v>
      </c>
      <c r="AQ6104">
        <v>-2</v>
      </c>
      <c r="AR6104">
        <v>1</v>
      </c>
    </row>
    <row r="6105" spans="1:44" x14ac:dyDescent="0.35">
      <c r="A6105" s="12" t="s">
        <v>7220</v>
      </c>
      <c r="B6105" s="12" t="s">
        <v>173</v>
      </c>
      <c r="C6105" s="12" t="s">
        <v>174</v>
      </c>
      <c r="D6105" s="12" t="s">
        <v>175</v>
      </c>
      <c r="E6105" s="12" t="s">
        <v>104</v>
      </c>
      <c r="F6105">
        <v>3</v>
      </c>
      <c r="G6105">
        <v>1</v>
      </c>
      <c r="H6105">
        <v>0</v>
      </c>
      <c r="I6105" s="12" t="s">
        <v>176</v>
      </c>
      <c r="J6105" s="12" t="s">
        <v>177</v>
      </c>
      <c r="K6105" s="12" t="s">
        <v>125</v>
      </c>
      <c r="L6105" s="12" t="s">
        <v>134</v>
      </c>
      <c r="M6105">
        <v>1.75</v>
      </c>
      <c r="N6105" s="12" t="s">
        <v>107</v>
      </c>
      <c r="O6105" s="12" t="s">
        <v>108</v>
      </c>
      <c r="P6105" s="12" t="s">
        <v>109</v>
      </c>
      <c r="Q6105" s="13">
        <v>45986</v>
      </c>
      <c r="R6105" s="13">
        <v>46015</v>
      </c>
      <c r="S6105">
        <v>2025</v>
      </c>
      <c r="T6105" s="12" t="s">
        <v>7071</v>
      </c>
      <c r="U6105">
        <v>142</v>
      </c>
      <c r="V6105">
        <v>71.519599999999997</v>
      </c>
      <c r="W6105">
        <v>223.45</v>
      </c>
      <c r="X6105">
        <v>0</v>
      </c>
      <c r="Y6105">
        <v>0</v>
      </c>
      <c r="Z6105">
        <v>10155.780000000001</v>
      </c>
      <c r="AA6105">
        <v>10379.23</v>
      </c>
      <c r="AB6105" s="12" t="s">
        <v>5221</v>
      </c>
      <c r="AC6105">
        <v>71.519599999999997</v>
      </c>
      <c r="AD6105">
        <v>1</v>
      </c>
      <c r="AE6105">
        <v>1</v>
      </c>
      <c r="AF6105">
        <v>0</v>
      </c>
      <c r="AG6105">
        <v>10155.780000000001</v>
      </c>
      <c r="AK6105">
        <v>0</v>
      </c>
      <c r="AL6105">
        <v>0</v>
      </c>
      <c r="AO6105">
        <v>0</v>
      </c>
      <c r="AP6105" s="13"/>
    </row>
    <row r="6106" spans="1:44" x14ac:dyDescent="0.35">
      <c r="A6106" s="12" t="s">
        <v>7221</v>
      </c>
      <c r="B6106" s="12" t="s">
        <v>1013</v>
      </c>
      <c r="C6106" s="12" t="s">
        <v>1014</v>
      </c>
      <c r="D6106" s="12" t="s">
        <v>78</v>
      </c>
      <c r="E6106" s="12" t="s">
        <v>65</v>
      </c>
      <c r="F6106">
        <v>2</v>
      </c>
      <c r="G6106">
        <v>3</v>
      </c>
      <c r="H6106">
        <v>0</v>
      </c>
      <c r="I6106" s="12" t="s">
        <v>359</v>
      </c>
      <c r="J6106" s="12" t="s">
        <v>360</v>
      </c>
      <c r="K6106" s="12" t="s">
        <v>133</v>
      </c>
      <c r="L6106" s="12" t="s">
        <v>82</v>
      </c>
      <c r="M6106">
        <v>12.65</v>
      </c>
      <c r="N6106" s="12" t="s">
        <v>97</v>
      </c>
      <c r="O6106" s="12" t="s">
        <v>98</v>
      </c>
      <c r="P6106" s="12" t="s">
        <v>72</v>
      </c>
      <c r="Q6106" s="13">
        <v>45986</v>
      </c>
      <c r="R6106" s="13">
        <v>46012</v>
      </c>
      <c r="S6106">
        <v>2025</v>
      </c>
      <c r="T6106" s="12" t="s">
        <v>7071</v>
      </c>
      <c r="U6106">
        <v>116</v>
      </c>
      <c r="V6106">
        <v>112.5136</v>
      </c>
      <c r="W6106">
        <v>104.87</v>
      </c>
      <c r="X6106">
        <v>0</v>
      </c>
      <c r="Y6106">
        <v>0</v>
      </c>
      <c r="Z6106">
        <v>13051.58</v>
      </c>
      <c r="AA6106">
        <v>13156.45</v>
      </c>
      <c r="AB6106" s="12" t="s">
        <v>6466</v>
      </c>
      <c r="AC6106">
        <v>112.5136</v>
      </c>
      <c r="AD6106">
        <v>1</v>
      </c>
      <c r="AE6106">
        <v>1</v>
      </c>
      <c r="AF6106">
        <v>0</v>
      </c>
      <c r="AG6106">
        <v>13051.58</v>
      </c>
      <c r="AH6106">
        <v>116</v>
      </c>
      <c r="AI6106">
        <v>114</v>
      </c>
      <c r="AJ6106">
        <v>2</v>
      </c>
      <c r="AK6106">
        <v>1</v>
      </c>
      <c r="AL6106">
        <v>1</v>
      </c>
      <c r="AM6106">
        <v>98.28</v>
      </c>
      <c r="AN6106">
        <v>115.4074</v>
      </c>
      <c r="AO6106">
        <v>225.03</v>
      </c>
      <c r="AP6106" s="13">
        <v>46021</v>
      </c>
      <c r="AQ6106">
        <v>9</v>
      </c>
      <c r="AR6106">
        <v>0</v>
      </c>
    </row>
    <row r="6107" spans="1:44" x14ac:dyDescent="0.35">
      <c r="A6107" s="12" t="s">
        <v>7222</v>
      </c>
      <c r="B6107" s="12" t="s">
        <v>736</v>
      </c>
      <c r="C6107" s="12" t="s">
        <v>737</v>
      </c>
      <c r="D6107" s="12" t="s">
        <v>64</v>
      </c>
      <c r="E6107" s="12" t="s">
        <v>104</v>
      </c>
      <c r="F6107">
        <v>3</v>
      </c>
      <c r="G6107">
        <v>1</v>
      </c>
      <c r="H6107">
        <v>0</v>
      </c>
      <c r="I6107" s="12" t="s">
        <v>94</v>
      </c>
      <c r="J6107" s="12" t="s">
        <v>95</v>
      </c>
      <c r="K6107" s="12" t="s">
        <v>81</v>
      </c>
      <c r="L6107" s="12" t="s">
        <v>96</v>
      </c>
      <c r="M6107">
        <v>4.8099999999999996</v>
      </c>
      <c r="N6107" s="12" t="s">
        <v>97</v>
      </c>
      <c r="O6107" s="12" t="s">
        <v>98</v>
      </c>
      <c r="P6107" s="12" t="s">
        <v>72</v>
      </c>
      <c r="Q6107" s="13">
        <v>45986</v>
      </c>
      <c r="R6107" s="13">
        <v>46003</v>
      </c>
      <c r="S6107">
        <v>2025</v>
      </c>
      <c r="T6107" s="12" t="s">
        <v>7071</v>
      </c>
      <c r="U6107">
        <v>382</v>
      </c>
      <c r="V6107">
        <v>21.2288</v>
      </c>
      <c r="W6107">
        <v>159.51</v>
      </c>
      <c r="X6107">
        <v>266.98</v>
      </c>
      <c r="Y6107">
        <v>1</v>
      </c>
      <c r="Z6107">
        <v>8109.4</v>
      </c>
      <c r="AA6107">
        <v>8535.89</v>
      </c>
      <c r="AB6107" s="12" t="s">
        <v>5992</v>
      </c>
      <c r="AC6107">
        <v>21.2288</v>
      </c>
      <c r="AD6107">
        <v>1</v>
      </c>
      <c r="AE6107">
        <v>1</v>
      </c>
      <c r="AF6107">
        <v>0</v>
      </c>
      <c r="AG6107">
        <v>8109.4</v>
      </c>
      <c r="AH6107">
        <v>382</v>
      </c>
      <c r="AI6107">
        <v>380</v>
      </c>
      <c r="AJ6107">
        <v>2</v>
      </c>
      <c r="AK6107">
        <v>1</v>
      </c>
      <c r="AL6107">
        <v>1</v>
      </c>
      <c r="AM6107">
        <v>99.48</v>
      </c>
      <c r="AN6107">
        <v>22.462900000000001</v>
      </c>
      <c r="AO6107">
        <v>42.46</v>
      </c>
      <c r="AP6107" s="13">
        <v>46003</v>
      </c>
      <c r="AQ6107">
        <v>0</v>
      </c>
      <c r="AR6107">
        <v>1</v>
      </c>
    </row>
    <row r="6108" spans="1:44" x14ac:dyDescent="0.35">
      <c r="A6108" s="12" t="s">
        <v>7223</v>
      </c>
      <c r="B6108" s="12" t="s">
        <v>712</v>
      </c>
      <c r="C6108" s="12" t="s">
        <v>713</v>
      </c>
      <c r="D6108" s="12" t="s">
        <v>103</v>
      </c>
      <c r="E6108" s="12" t="s">
        <v>104</v>
      </c>
      <c r="F6108">
        <v>2</v>
      </c>
      <c r="G6108">
        <v>0</v>
      </c>
      <c r="H6108">
        <v>0</v>
      </c>
      <c r="I6108" s="12" t="s">
        <v>199</v>
      </c>
      <c r="J6108" s="12" t="s">
        <v>200</v>
      </c>
      <c r="K6108" s="12" t="s">
        <v>68</v>
      </c>
      <c r="L6108" s="12" t="s">
        <v>96</v>
      </c>
      <c r="M6108">
        <v>9.4700000000000006</v>
      </c>
      <c r="N6108" s="12" t="s">
        <v>107</v>
      </c>
      <c r="O6108" s="12" t="s">
        <v>108</v>
      </c>
      <c r="P6108" s="12" t="s">
        <v>109</v>
      </c>
      <c r="Q6108" s="13">
        <v>45986</v>
      </c>
      <c r="R6108" s="13">
        <v>46015</v>
      </c>
      <c r="S6108">
        <v>2025</v>
      </c>
      <c r="T6108" s="12" t="s">
        <v>7071</v>
      </c>
      <c r="U6108">
        <v>142</v>
      </c>
      <c r="V6108">
        <v>230.2336</v>
      </c>
      <c r="W6108">
        <v>393.03</v>
      </c>
      <c r="X6108">
        <v>0</v>
      </c>
      <c r="Y6108">
        <v>0</v>
      </c>
      <c r="Z6108">
        <v>32693.17</v>
      </c>
      <c r="AA6108">
        <v>33086.199999999997</v>
      </c>
      <c r="AB6108" s="12" t="s">
        <v>201</v>
      </c>
      <c r="AD6108">
        <v>0</v>
      </c>
      <c r="AE6108">
        <v>0</v>
      </c>
      <c r="AK6108">
        <v>0</v>
      </c>
      <c r="AL6108">
        <v>0</v>
      </c>
      <c r="AO6108">
        <v>0</v>
      </c>
      <c r="AP6108" s="13"/>
    </row>
    <row r="6109" spans="1:44" x14ac:dyDescent="0.35">
      <c r="A6109" s="12" t="s">
        <v>7224</v>
      </c>
      <c r="B6109" s="12" t="s">
        <v>509</v>
      </c>
      <c r="C6109" s="12" t="s">
        <v>510</v>
      </c>
      <c r="D6109" s="12" t="s">
        <v>78</v>
      </c>
      <c r="E6109" s="12" t="s">
        <v>142</v>
      </c>
      <c r="F6109">
        <v>3</v>
      </c>
      <c r="G6109">
        <v>11</v>
      </c>
      <c r="H6109">
        <v>0</v>
      </c>
      <c r="I6109" s="12" t="s">
        <v>176</v>
      </c>
      <c r="J6109" s="12" t="s">
        <v>177</v>
      </c>
      <c r="K6109" s="12" t="s">
        <v>125</v>
      </c>
      <c r="L6109" s="12" t="s">
        <v>134</v>
      </c>
      <c r="M6109">
        <v>1.75</v>
      </c>
      <c r="N6109" s="12" t="s">
        <v>70</v>
      </c>
      <c r="O6109" s="12" t="s">
        <v>71</v>
      </c>
      <c r="P6109" s="12" t="s">
        <v>72</v>
      </c>
      <c r="Q6109" s="13">
        <v>45986</v>
      </c>
      <c r="R6109" s="13">
        <v>46033</v>
      </c>
      <c r="S6109">
        <v>2025</v>
      </c>
      <c r="T6109" s="12" t="s">
        <v>7071</v>
      </c>
      <c r="U6109">
        <v>216</v>
      </c>
      <c r="V6109">
        <v>127.2294</v>
      </c>
      <c r="W6109">
        <v>182.77</v>
      </c>
      <c r="X6109">
        <v>0</v>
      </c>
      <c r="Y6109">
        <v>0</v>
      </c>
      <c r="Z6109">
        <v>27481.55</v>
      </c>
      <c r="AA6109">
        <v>27664.32</v>
      </c>
      <c r="AB6109" s="12" t="s">
        <v>201</v>
      </c>
      <c r="AD6109">
        <v>0</v>
      </c>
      <c r="AE6109">
        <v>0</v>
      </c>
      <c r="AK6109">
        <v>0</v>
      </c>
      <c r="AL6109">
        <v>0</v>
      </c>
      <c r="AO6109">
        <v>0</v>
      </c>
      <c r="AP6109" s="13"/>
    </row>
    <row r="6110" spans="1:44" x14ac:dyDescent="0.35">
      <c r="A6110" s="12" t="s">
        <v>7225</v>
      </c>
      <c r="B6110" s="12" t="s">
        <v>694</v>
      </c>
      <c r="C6110" s="12" t="s">
        <v>695</v>
      </c>
      <c r="D6110" s="12" t="s">
        <v>103</v>
      </c>
      <c r="E6110" s="12" t="s">
        <v>65</v>
      </c>
      <c r="F6110">
        <v>2</v>
      </c>
      <c r="G6110">
        <v>3</v>
      </c>
      <c r="H6110">
        <v>0</v>
      </c>
      <c r="I6110" s="12" t="s">
        <v>263</v>
      </c>
      <c r="J6110" s="12" t="s">
        <v>264</v>
      </c>
      <c r="K6110" s="12" t="s">
        <v>125</v>
      </c>
      <c r="L6110" s="12" t="s">
        <v>82</v>
      </c>
      <c r="M6110">
        <v>10.210000000000001</v>
      </c>
      <c r="N6110" s="12" t="s">
        <v>107</v>
      </c>
      <c r="O6110" s="12" t="s">
        <v>108</v>
      </c>
      <c r="P6110" s="12" t="s">
        <v>109</v>
      </c>
      <c r="Q6110" s="13">
        <v>45987</v>
      </c>
      <c r="R6110" s="13">
        <v>46025</v>
      </c>
      <c r="S6110">
        <v>2025</v>
      </c>
      <c r="T6110" s="12" t="s">
        <v>7071</v>
      </c>
      <c r="U6110">
        <v>144</v>
      </c>
      <c r="V6110">
        <v>206.7869</v>
      </c>
      <c r="W6110">
        <v>533.42999999999995</v>
      </c>
      <c r="X6110">
        <v>0</v>
      </c>
      <c r="Y6110">
        <v>0</v>
      </c>
      <c r="Z6110">
        <v>29777.31</v>
      </c>
      <c r="AA6110">
        <v>30310.74</v>
      </c>
      <c r="AB6110" s="12" t="s">
        <v>5721</v>
      </c>
      <c r="AC6110">
        <v>206.7869</v>
      </c>
      <c r="AD6110">
        <v>1</v>
      </c>
      <c r="AE6110">
        <v>1</v>
      </c>
      <c r="AF6110">
        <v>0</v>
      </c>
      <c r="AG6110">
        <v>29777.31</v>
      </c>
      <c r="AK6110">
        <v>0</v>
      </c>
      <c r="AL6110">
        <v>0</v>
      </c>
      <c r="AO6110">
        <v>0</v>
      </c>
      <c r="AP6110" s="13"/>
    </row>
    <row r="6111" spans="1:44" x14ac:dyDescent="0.35">
      <c r="A6111" s="12" t="s">
        <v>7226</v>
      </c>
      <c r="B6111" s="12" t="s">
        <v>120</v>
      </c>
      <c r="C6111" s="12" t="s">
        <v>121</v>
      </c>
      <c r="D6111" s="12" t="s">
        <v>122</v>
      </c>
      <c r="E6111" s="12" t="s">
        <v>65</v>
      </c>
      <c r="F6111">
        <v>3</v>
      </c>
      <c r="G6111">
        <v>4</v>
      </c>
      <c r="H6111">
        <v>0</v>
      </c>
      <c r="I6111" s="12" t="s">
        <v>123</v>
      </c>
      <c r="J6111" s="12" t="s">
        <v>124</v>
      </c>
      <c r="K6111" s="12" t="s">
        <v>125</v>
      </c>
      <c r="L6111" s="12" t="s">
        <v>82</v>
      </c>
      <c r="M6111">
        <v>6.75</v>
      </c>
      <c r="N6111" s="12" t="s">
        <v>70</v>
      </c>
      <c r="O6111" s="12" t="s">
        <v>71</v>
      </c>
      <c r="P6111" s="12" t="s">
        <v>72</v>
      </c>
      <c r="Q6111" s="13">
        <v>45987</v>
      </c>
      <c r="R6111" s="13">
        <v>46016</v>
      </c>
      <c r="S6111">
        <v>2025</v>
      </c>
      <c r="T6111" s="12" t="s">
        <v>7071</v>
      </c>
      <c r="U6111">
        <v>1010</v>
      </c>
      <c r="V6111">
        <v>50.976100000000002</v>
      </c>
      <c r="W6111">
        <v>854.3</v>
      </c>
      <c r="X6111">
        <v>0</v>
      </c>
      <c r="Y6111">
        <v>0</v>
      </c>
      <c r="Z6111">
        <v>51485.86</v>
      </c>
      <c r="AA6111">
        <v>52340.160000000003</v>
      </c>
      <c r="AB6111" s="12" t="s">
        <v>5139</v>
      </c>
      <c r="AC6111">
        <v>50.976100000000002</v>
      </c>
      <c r="AD6111">
        <v>1</v>
      </c>
      <c r="AE6111">
        <v>1</v>
      </c>
      <c r="AF6111">
        <v>0</v>
      </c>
      <c r="AG6111">
        <v>51485.86</v>
      </c>
      <c r="AK6111">
        <v>0</v>
      </c>
      <c r="AL6111">
        <v>0</v>
      </c>
      <c r="AO6111">
        <v>0</v>
      </c>
      <c r="AP6111" s="13"/>
    </row>
    <row r="6112" spans="1:44" x14ac:dyDescent="0.35">
      <c r="A6112" s="12" t="s">
        <v>7227</v>
      </c>
      <c r="B6112" s="12" t="s">
        <v>990</v>
      </c>
      <c r="C6112" s="12" t="s">
        <v>991</v>
      </c>
      <c r="D6112" s="12" t="s">
        <v>122</v>
      </c>
      <c r="E6112" s="12" t="s">
        <v>142</v>
      </c>
      <c r="F6112">
        <v>1</v>
      </c>
      <c r="G6112">
        <v>6</v>
      </c>
      <c r="H6112">
        <v>1</v>
      </c>
      <c r="I6112" s="12" t="s">
        <v>217</v>
      </c>
      <c r="J6112" s="12" t="s">
        <v>218</v>
      </c>
      <c r="K6112" s="12" t="s">
        <v>68</v>
      </c>
      <c r="L6112" s="12" t="s">
        <v>82</v>
      </c>
      <c r="M6112">
        <v>14.24</v>
      </c>
      <c r="N6112" s="12" t="s">
        <v>97</v>
      </c>
      <c r="O6112" s="12" t="s">
        <v>98</v>
      </c>
      <c r="P6112" s="12" t="s">
        <v>72</v>
      </c>
      <c r="Q6112" s="13">
        <v>45987</v>
      </c>
      <c r="R6112" s="13">
        <v>46037</v>
      </c>
      <c r="S6112">
        <v>2025</v>
      </c>
      <c r="T6112" s="12" t="s">
        <v>7071</v>
      </c>
      <c r="U6112">
        <v>1798</v>
      </c>
      <c r="V6112">
        <v>33.5533</v>
      </c>
      <c r="W6112">
        <v>1134.5999999999999</v>
      </c>
      <c r="X6112">
        <v>0</v>
      </c>
      <c r="Y6112">
        <v>0</v>
      </c>
      <c r="Z6112">
        <v>60328.83</v>
      </c>
      <c r="AA6112">
        <v>61463.43</v>
      </c>
      <c r="AB6112" s="12" t="s">
        <v>5831</v>
      </c>
      <c r="AC6112">
        <v>33.5533</v>
      </c>
      <c r="AD6112">
        <v>1</v>
      </c>
      <c r="AE6112">
        <v>1</v>
      </c>
      <c r="AF6112">
        <v>0</v>
      </c>
      <c r="AG6112">
        <v>60328.83</v>
      </c>
      <c r="AK6112">
        <v>0</v>
      </c>
      <c r="AL6112">
        <v>0</v>
      </c>
      <c r="AO6112">
        <v>0</v>
      </c>
      <c r="AP6112" s="13"/>
    </row>
    <row r="6113" spans="1:44" x14ac:dyDescent="0.35">
      <c r="A6113" s="12" t="s">
        <v>7228</v>
      </c>
      <c r="B6113" s="12" t="s">
        <v>809</v>
      </c>
      <c r="C6113" s="12" t="s">
        <v>810</v>
      </c>
      <c r="D6113" s="12" t="s">
        <v>114</v>
      </c>
      <c r="E6113" s="12" t="s">
        <v>65</v>
      </c>
      <c r="F6113">
        <v>3</v>
      </c>
      <c r="G6113">
        <v>5</v>
      </c>
      <c r="H6113">
        <v>0</v>
      </c>
      <c r="I6113" s="12" t="s">
        <v>811</v>
      </c>
      <c r="J6113" s="12" t="s">
        <v>812</v>
      </c>
      <c r="K6113" s="12" t="s">
        <v>117</v>
      </c>
      <c r="L6113" s="12" t="s">
        <v>69</v>
      </c>
      <c r="M6113">
        <v>26.4</v>
      </c>
      <c r="N6113" s="12" t="s">
        <v>97</v>
      </c>
      <c r="O6113" s="12" t="s">
        <v>98</v>
      </c>
      <c r="P6113" s="12" t="s">
        <v>72</v>
      </c>
      <c r="Q6113" s="13">
        <v>45987</v>
      </c>
      <c r="R6113" s="13">
        <v>46015</v>
      </c>
      <c r="S6113">
        <v>2025</v>
      </c>
      <c r="T6113" s="12" t="s">
        <v>7071</v>
      </c>
      <c r="U6113">
        <v>69</v>
      </c>
      <c r="V6113">
        <v>315.6524</v>
      </c>
      <c r="W6113">
        <v>150.62</v>
      </c>
      <c r="X6113">
        <v>0</v>
      </c>
      <c r="Y6113">
        <v>0</v>
      </c>
      <c r="Z6113">
        <v>21780.02</v>
      </c>
      <c r="AA6113">
        <v>21930.639999999999</v>
      </c>
      <c r="AB6113" s="12" t="s">
        <v>5977</v>
      </c>
      <c r="AC6113">
        <v>315.6524</v>
      </c>
      <c r="AD6113">
        <v>1</v>
      </c>
      <c r="AE6113">
        <v>1</v>
      </c>
      <c r="AF6113">
        <v>0</v>
      </c>
      <c r="AG6113">
        <v>21780.02</v>
      </c>
      <c r="AH6113">
        <v>69</v>
      </c>
      <c r="AI6113">
        <v>67</v>
      </c>
      <c r="AJ6113">
        <v>2</v>
      </c>
      <c r="AK6113">
        <v>1</v>
      </c>
      <c r="AL6113">
        <v>1</v>
      </c>
      <c r="AM6113">
        <v>97.1</v>
      </c>
      <c r="AN6113">
        <v>327.3229</v>
      </c>
      <c r="AO6113">
        <v>631.29999999999995</v>
      </c>
      <c r="AP6113" s="13">
        <v>46015</v>
      </c>
      <c r="AQ6113">
        <v>0</v>
      </c>
      <c r="AR6113">
        <v>1</v>
      </c>
    </row>
    <row r="6114" spans="1:44" x14ac:dyDescent="0.35">
      <c r="A6114" s="12" t="s">
        <v>7229</v>
      </c>
      <c r="B6114" s="12" t="s">
        <v>1666</v>
      </c>
      <c r="C6114" s="12" t="s">
        <v>1667</v>
      </c>
      <c r="D6114" s="12" t="s">
        <v>78</v>
      </c>
      <c r="E6114" s="12" t="s">
        <v>65</v>
      </c>
      <c r="F6114">
        <v>2</v>
      </c>
      <c r="G6114">
        <v>3</v>
      </c>
      <c r="H6114">
        <v>0</v>
      </c>
      <c r="I6114" s="12" t="s">
        <v>310</v>
      </c>
      <c r="J6114" s="12" t="s">
        <v>311</v>
      </c>
      <c r="K6114" s="12" t="s">
        <v>81</v>
      </c>
      <c r="L6114" s="12" t="s">
        <v>69</v>
      </c>
      <c r="M6114">
        <v>28.3</v>
      </c>
      <c r="N6114" s="12" t="s">
        <v>97</v>
      </c>
      <c r="O6114" s="12" t="s">
        <v>98</v>
      </c>
      <c r="P6114" s="12" t="s">
        <v>72</v>
      </c>
      <c r="Q6114" s="13">
        <v>45987</v>
      </c>
      <c r="R6114" s="13">
        <v>46016</v>
      </c>
      <c r="S6114">
        <v>2025</v>
      </c>
      <c r="T6114" s="12" t="s">
        <v>7071</v>
      </c>
      <c r="U6114">
        <v>162</v>
      </c>
      <c r="V6114">
        <v>71.7453</v>
      </c>
      <c r="W6114">
        <v>115.89</v>
      </c>
      <c r="X6114">
        <v>0</v>
      </c>
      <c r="Y6114">
        <v>0</v>
      </c>
      <c r="Z6114">
        <v>11622.74</v>
      </c>
      <c r="AA6114">
        <v>11738.63</v>
      </c>
      <c r="AB6114" s="12" t="s">
        <v>5785</v>
      </c>
      <c r="AC6114">
        <v>71.7453</v>
      </c>
      <c r="AD6114">
        <v>1</v>
      </c>
      <c r="AE6114">
        <v>1</v>
      </c>
      <c r="AF6114">
        <v>0</v>
      </c>
      <c r="AG6114">
        <v>11622.74</v>
      </c>
      <c r="AH6114">
        <v>162</v>
      </c>
      <c r="AI6114">
        <v>159</v>
      </c>
      <c r="AJ6114">
        <v>3</v>
      </c>
      <c r="AK6114">
        <v>1</v>
      </c>
      <c r="AL6114">
        <v>1</v>
      </c>
      <c r="AM6114">
        <v>98.15</v>
      </c>
      <c r="AN6114">
        <v>73.8279</v>
      </c>
      <c r="AO6114">
        <v>215.24</v>
      </c>
      <c r="AP6114" s="13">
        <v>46014</v>
      </c>
      <c r="AQ6114">
        <v>-2</v>
      </c>
      <c r="AR6114">
        <v>1</v>
      </c>
    </row>
    <row r="6115" spans="1:44" x14ac:dyDescent="0.35">
      <c r="A6115" s="12" t="s">
        <v>7230</v>
      </c>
      <c r="B6115" s="12" t="s">
        <v>978</v>
      </c>
      <c r="C6115" s="12" t="s">
        <v>979</v>
      </c>
      <c r="D6115" s="12" t="s">
        <v>122</v>
      </c>
      <c r="E6115" s="12" t="s">
        <v>65</v>
      </c>
      <c r="F6115">
        <v>1</v>
      </c>
      <c r="G6115">
        <v>2</v>
      </c>
      <c r="H6115">
        <v>1</v>
      </c>
      <c r="I6115" s="12" t="s">
        <v>310</v>
      </c>
      <c r="J6115" s="12" t="s">
        <v>311</v>
      </c>
      <c r="K6115" s="12" t="s">
        <v>81</v>
      </c>
      <c r="L6115" s="12" t="s">
        <v>69</v>
      </c>
      <c r="M6115">
        <v>28.3</v>
      </c>
      <c r="N6115" s="12" t="s">
        <v>70</v>
      </c>
      <c r="O6115" s="12" t="s">
        <v>71</v>
      </c>
      <c r="P6115" s="12" t="s">
        <v>72</v>
      </c>
      <c r="Q6115" s="13">
        <v>45987</v>
      </c>
      <c r="R6115" s="13">
        <v>46023</v>
      </c>
      <c r="S6115">
        <v>2025</v>
      </c>
      <c r="T6115" s="12" t="s">
        <v>7071</v>
      </c>
      <c r="U6115">
        <v>1711</v>
      </c>
      <c r="V6115">
        <v>44.546999999999997</v>
      </c>
      <c r="W6115">
        <v>1452.48</v>
      </c>
      <c r="X6115">
        <v>2445.2800000000002</v>
      </c>
      <c r="Y6115">
        <v>1</v>
      </c>
      <c r="Z6115">
        <v>76219.92</v>
      </c>
      <c r="AA6115">
        <v>80117.679999999993</v>
      </c>
      <c r="AB6115" s="12" t="s">
        <v>6061</v>
      </c>
      <c r="AC6115">
        <v>43.4407</v>
      </c>
      <c r="AD6115">
        <v>1</v>
      </c>
      <c r="AE6115">
        <v>1</v>
      </c>
      <c r="AF6115">
        <v>1892.88</v>
      </c>
      <c r="AG6115">
        <v>74327.039999999994</v>
      </c>
      <c r="AH6115">
        <v>1711</v>
      </c>
      <c r="AI6115">
        <v>1692</v>
      </c>
      <c r="AJ6115">
        <v>19</v>
      </c>
      <c r="AK6115">
        <v>1</v>
      </c>
      <c r="AL6115">
        <v>1</v>
      </c>
      <c r="AM6115">
        <v>98.89</v>
      </c>
      <c r="AN6115">
        <v>47.350900000000003</v>
      </c>
      <c r="AO6115">
        <v>846.39</v>
      </c>
      <c r="AP6115" s="13">
        <v>46020</v>
      </c>
      <c r="AQ6115">
        <v>-3</v>
      </c>
      <c r="AR6115">
        <v>1</v>
      </c>
    </row>
    <row r="6116" spans="1:44" x14ac:dyDescent="0.35">
      <c r="A6116" s="12" t="s">
        <v>7231</v>
      </c>
      <c r="B6116" s="12" t="s">
        <v>823</v>
      </c>
      <c r="C6116" s="12" t="s">
        <v>824</v>
      </c>
      <c r="D6116" s="12" t="s">
        <v>114</v>
      </c>
      <c r="E6116" s="12" t="s">
        <v>142</v>
      </c>
      <c r="F6116">
        <v>1</v>
      </c>
      <c r="G6116">
        <v>8</v>
      </c>
      <c r="H6116">
        <v>1</v>
      </c>
      <c r="I6116" s="12" t="s">
        <v>515</v>
      </c>
      <c r="J6116" s="12" t="s">
        <v>516</v>
      </c>
      <c r="K6116" s="12" t="s">
        <v>68</v>
      </c>
      <c r="L6116" s="12" t="s">
        <v>134</v>
      </c>
      <c r="M6116">
        <v>3.69</v>
      </c>
      <c r="N6116" s="12" t="s">
        <v>97</v>
      </c>
      <c r="O6116" s="12" t="s">
        <v>98</v>
      </c>
      <c r="P6116" s="12" t="s">
        <v>72</v>
      </c>
      <c r="Q6116" s="13">
        <v>45987</v>
      </c>
      <c r="R6116" s="13">
        <v>46031</v>
      </c>
      <c r="S6116">
        <v>2025</v>
      </c>
      <c r="T6116" s="12" t="s">
        <v>7071</v>
      </c>
      <c r="U6116">
        <v>84</v>
      </c>
      <c r="V6116">
        <v>361.69060000000002</v>
      </c>
      <c r="W6116">
        <v>406.65</v>
      </c>
      <c r="X6116">
        <v>0</v>
      </c>
      <c r="Y6116">
        <v>0</v>
      </c>
      <c r="Z6116">
        <v>30382.01</v>
      </c>
      <c r="AA6116">
        <v>30788.66</v>
      </c>
      <c r="AB6116" s="12" t="s">
        <v>5883</v>
      </c>
      <c r="AC6116">
        <v>361.69060000000002</v>
      </c>
      <c r="AD6116">
        <v>1</v>
      </c>
      <c r="AE6116">
        <v>1</v>
      </c>
      <c r="AF6116">
        <v>0</v>
      </c>
      <c r="AG6116">
        <v>30382.01</v>
      </c>
      <c r="AK6116">
        <v>0</v>
      </c>
      <c r="AL6116">
        <v>0</v>
      </c>
      <c r="AO6116">
        <v>0</v>
      </c>
      <c r="AP6116" s="13"/>
    </row>
    <row r="6117" spans="1:44" x14ac:dyDescent="0.35">
      <c r="A6117" s="12" t="s">
        <v>7232</v>
      </c>
      <c r="B6117" s="12" t="s">
        <v>978</v>
      </c>
      <c r="C6117" s="12" t="s">
        <v>979</v>
      </c>
      <c r="D6117" s="12" t="s">
        <v>122</v>
      </c>
      <c r="E6117" s="12" t="s">
        <v>65</v>
      </c>
      <c r="F6117">
        <v>1</v>
      </c>
      <c r="G6117">
        <v>2</v>
      </c>
      <c r="H6117">
        <v>1</v>
      </c>
      <c r="I6117" s="12" t="s">
        <v>310</v>
      </c>
      <c r="J6117" s="12" t="s">
        <v>311</v>
      </c>
      <c r="K6117" s="12" t="s">
        <v>81</v>
      </c>
      <c r="L6117" s="12" t="s">
        <v>69</v>
      </c>
      <c r="M6117">
        <v>28.3</v>
      </c>
      <c r="N6117" s="12" t="s">
        <v>70</v>
      </c>
      <c r="O6117" s="12" t="s">
        <v>71</v>
      </c>
      <c r="P6117" s="12" t="s">
        <v>72</v>
      </c>
      <c r="Q6117" s="13">
        <v>45987</v>
      </c>
      <c r="R6117" s="13">
        <v>46023</v>
      </c>
      <c r="S6117">
        <v>2025</v>
      </c>
      <c r="T6117" s="12" t="s">
        <v>7071</v>
      </c>
      <c r="U6117">
        <v>1711</v>
      </c>
      <c r="V6117">
        <v>44.546999999999997</v>
      </c>
      <c r="W6117">
        <v>1452.48</v>
      </c>
      <c r="X6117">
        <v>2445.2800000000002</v>
      </c>
      <c r="Y6117">
        <v>1</v>
      </c>
      <c r="Z6117">
        <v>76219.92</v>
      </c>
      <c r="AA6117">
        <v>80117.679999999993</v>
      </c>
      <c r="AB6117" s="12" t="s">
        <v>6061</v>
      </c>
      <c r="AC6117">
        <v>43.4407</v>
      </c>
      <c r="AD6117">
        <v>1</v>
      </c>
      <c r="AE6117">
        <v>1</v>
      </c>
      <c r="AF6117">
        <v>1892.88</v>
      </c>
      <c r="AG6117">
        <v>74327.039999999994</v>
      </c>
      <c r="AK6117">
        <v>0</v>
      </c>
      <c r="AL6117">
        <v>0</v>
      </c>
      <c r="AO6117">
        <v>0</v>
      </c>
      <c r="AP6117" s="13"/>
    </row>
    <row r="6118" spans="1:44" x14ac:dyDescent="0.35">
      <c r="A6118" s="12" t="s">
        <v>7233</v>
      </c>
      <c r="B6118" s="12" t="s">
        <v>149</v>
      </c>
      <c r="C6118" s="12" t="s">
        <v>150</v>
      </c>
      <c r="D6118" s="12" t="s">
        <v>78</v>
      </c>
      <c r="E6118" s="12" t="s">
        <v>65</v>
      </c>
      <c r="F6118">
        <v>2</v>
      </c>
      <c r="G6118">
        <v>2</v>
      </c>
      <c r="H6118">
        <v>0</v>
      </c>
      <c r="I6118" s="12" t="s">
        <v>151</v>
      </c>
      <c r="J6118" s="12" t="s">
        <v>152</v>
      </c>
      <c r="K6118" s="12" t="s">
        <v>125</v>
      </c>
      <c r="L6118" s="12" t="s">
        <v>69</v>
      </c>
      <c r="M6118">
        <v>36.479999999999997</v>
      </c>
      <c r="N6118" s="12" t="s">
        <v>70</v>
      </c>
      <c r="O6118" s="12" t="s">
        <v>71</v>
      </c>
      <c r="P6118" s="12" t="s">
        <v>72</v>
      </c>
      <c r="Q6118" s="13">
        <v>45988</v>
      </c>
      <c r="R6118" s="13">
        <v>46015</v>
      </c>
      <c r="S6118">
        <v>2025</v>
      </c>
      <c r="T6118" s="12" t="s">
        <v>7071</v>
      </c>
      <c r="U6118">
        <v>140</v>
      </c>
      <c r="V6118">
        <v>65.934700000000007</v>
      </c>
      <c r="W6118">
        <v>118.34</v>
      </c>
      <c r="X6118">
        <v>0</v>
      </c>
      <c r="Y6118">
        <v>0</v>
      </c>
      <c r="Z6118">
        <v>9230.86</v>
      </c>
      <c r="AA6118">
        <v>9349.2000000000007</v>
      </c>
      <c r="AB6118" s="12" t="s">
        <v>5076</v>
      </c>
      <c r="AC6118">
        <v>65.934700000000007</v>
      </c>
      <c r="AD6118">
        <v>1</v>
      </c>
      <c r="AE6118">
        <v>1</v>
      </c>
      <c r="AF6118">
        <v>0</v>
      </c>
      <c r="AG6118">
        <v>9230.86</v>
      </c>
      <c r="AH6118">
        <v>140</v>
      </c>
      <c r="AI6118">
        <v>138</v>
      </c>
      <c r="AJ6118">
        <v>2</v>
      </c>
      <c r="AK6118">
        <v>1</v>
      </c>
      <c r="AL6118">
        <v>1</v>
      </c>
      <c r="AM6118">
        <v>98.57</v>
      </c>
      <c r="AN6118">
        <v>67.747799999999998</v>
      </c>
      <c r="AO6118">
        <v>131.87</v>
      </c>
      <c r="AP6118" s="13">
        <v>46012</v>
      </c>
      <c r="AQ6118">
        <v>-3</v>
      </c>
      <c r="AR6118">
        <v>1</v>
      </c>
    </row>
    <row r="6119" spans="1:44" x14ac:dyDescent="0.35">
      <c r="A6119" s="12" t="s">
        <v>7234</v>
      </c>
      <c r="B6119" s="12" t="s">
        <v>537</v>
      </c>
      <c r="C6119" s="12" t="s">
        <v>538</v>
      </c>
      <c r="D6119" s="12" t="s">
        <v>103</v>
      </c>
      <c r="E6119" s="12" t="s">
        <v>104</v>
      </c>
      <c r="F6119">
        <v>3</v>
      </c>
      <c r="G6119">
        <v>0</v>
      </c>
      <c r="H6119">
        <v>0</v>
      </c>
      <c r="I6119" s="12" t="s">
        <v>143</v>
      </c>
      <c r="J6119" s="12" t="s">
        <v>144</v>
      </c>
      <c r="K6119" s="12" t="s">
        <v>133</v>
      </c>
      <c r="L6119" s="12" t="s">
        <v>96</v>
      </c>
      <c r="M6119">
        <v>5.43</v>
      </c>
      <c r="N6119" s="12" t="s">
        <v>145</v>
      </c>
      <c r="O6119" s="12" t="s">
        <v>146</v>
      </c>
      <c r="P6119" s="12" t="s">
        <v>109</v>
      </c>
      <c r="Q6119" s="13">
        <v>45988</v>
      </c>
      <c r="R6119" s="13">
        <v>46014</v>
      </c>
      <c r="S6119">
        <v>2025</v>
      </c>
      <c r="T6119" s="12" t="s">
        <v>7071</v>
      </c>
      <c r="U6119">
        <v>120</v>
      </c>
      <c r="V6119">
        <v>238.64240000000001</v>
      </c>
      <c r="W6119">
        <v>692.55</v>
      </c>
      <c r="X6119">
        <v>0</v>
      </c>
      <c r="Y6119">
        <v>0</v>
      </c>
      <c r="Z6119">
        <v>28637.09</v>
      </c>
      <c r="AA6119">
        <v>29329.64</v>
      </c>
      <c r="AB6119" s="12" t="s">
        <v>5652</v>
      </c>
      <c r="AC6119">
        <v>238.64240000000001</v>
      </c>
      <c r="AD6119">
        <v>1</v>
      </c>
      <c r="AE6119">
        <v>1</v>
      </c>
      <c r="AF6119">
        <v>0</v>
      </c>
      <c r="AG6119">
        <v>28637.09</v>
      </c>
      <c r="AH6119">
        <v>120</v>
      </c>
      <c r="AI6119">
        <v>119</v>
      </c>
      <c r="AJ6119">
        <v>1</v>
      </c>
      <c r="AK6119">
        <v>1</v>
      </c>
      <c r="AL6119">
        <v>1</v>
      </c>
      <c r="AM6119">
        <v>99.17</v>
      </c>
      <c r="AN6119">
        <v>246.4675</v>
      </c>
      <c r="AO6119">
        <v>238.64</v>
      </c>
      <c r="AP6119" s="13">
        <v>46012</v>
      </c>
      <c r="AQ6119">
        <v>-2</v>
      </c>
      <c r="AR6119">
        <v>1</v>
      </c>
    </row>
    <row r="6120" spans="1:44" x14ac:dyDescent="0.35">
      <c r="A6120" s="12" t="s">
        <v>7235</v>
      </c>
      <c r="B6120" s="12" t="s">
        <v>163</v>
      </c>
      <c r="C6120" s="12" t="s">
        <v>164</v>
      </c>
      <c r="D6120" s="12" t="s">
        <v>64</v>
      </c>
      <c r="E6120" s="12" t="s">
        <v>104</v>
      </c>
      <c r="F6120">
        <v>2</v>
      </c>
      <c r="G6120">
        <v>0</v>
      </c>
      <c r="H6120">
        <v>0</v>
      </c>
      <c r="I6120" s="12" t="s">
        <v>79</v>
      </c>
      <c r="J6120" s="12" t="s">
        <v>80</v>
      </c>
      <c r="K6120" s="12" t="s">
        <v>81</v>
      </c>
      <c r="L6120" s="12" t="s">
        <v>82</v>
      </c>
      <c r="M6120">
        <v>12.07</v>
      </c>
      <c r="N6120" s="12" t="s">
        <v>70</v>
      </c>
      <c r="O6120" s="12" t="s">
        <v>71</v>
      </c>
      <c r="P6120" s="12" t="s">
        <v>72</v>
      </c>
      <c r="Q6120" s="13">
        <v>45988</v>
      </c>
      <c r="R6120" s="13">
        <v>46001</v>
      </c>
      <c r="S6120">
        <v>2025</v>
      </c>
      <c r="T6120" s="12" t="s">
        <v>7071</v>
      </c>
      <c r="U6120">
        <v>176</v>
      </c>
      <c r="V6120">
        <v>10.482900000000001</v>
      </c>
      <c r="W6120">
        <v>35.31</v>
      </c>
      <c r="X6120">
        <v>0</v>
      </c>
      <c r="Y6120">
        <v>0</v>
      </c>
      <c r="Z6120">
        <v>1844.99</v>
      </c>
      <c r="AA6120">
        <v>1880.3</v>
      </c>
      <c r="AB6120" s="12" t="s">
        <v>5303</v>
      </c>
      <c r="AC6120">
        <v>10.482900000000001</v>
      </c>
      <c r="AD6120">
        <v>1</v>
      </c>
      <c r="AE6120">
        <v>1</v>
      </c>
      <c r="AF6120">
        <v>0</v>
      </c>
      <c r="AG6120">
        <v>1844.99</v>
      </c>
      <c r="AH6120">
        <v>176</v>
      </c>
      <c r="AI6120">
        <v>174</v>
      </c>
      <c r="AJ6120">
        <v>2</v>
      </c>
      <c r="AK6120">
        <v>1</v>
      </c>
      <c r="AL6120">
        <v>1</v>
      </c>
      <c r="AM6120">
        <v>98.86</v>
      </c>
      <c r="AN6120">
        <v>10.8063</v>
      </c>
      <c r="AO6120">
        <v>20.97</v>
      </c>
      <c r="AP6120" s="13">
        <v>45998</v>
      </c>
      <c r="AQ6120">
        <v>-3</v>
      </c>
      <c r="AR6120">
        <v>1</v>
      </c>
    </row>
    <row r="6121" spans="1:44" x14ac:dyDescent="0.35">
      <c r="A6121" s="12" t="s">
        <v>7236</v>
      </c>
      <c r="B6121" s="12" t="s">
        <v>1108</v>
      </c>
      <c r="C6121" s="12" t="s">
        <v>1109</v>
      </c>
      <c r="D6121" s="12" t="s">
        <v>103</v>
      </c>
      <c r="E6121" s="12" t="s">
        <v>65</v>
      </c>
      <c r="F6121">
        <v>3</v>
      </c>
      <c r="G6121">
        <v>4</v>
      </c>
      <c r="H6121">
        <v>0</v>
      </c>
      <c r="I6121" s="12" t="s">
        <v>79</v>
      </c>
      <c r="J6121" s="12" t="s">
        <v>80</v>
      </c>
      <c r="K6121" s="12" t="s">
        <v>81</v>
      </c>
      <c r="L6121" s="12" t="s">
        <v>82</v>
      </c>
      <c r="M6121">
        <v>12.07</v>
      </c>
      <c r="N6121" s="12" t="s">
        <v>107</v>
      </c>
      <c r="O6121" s="12" t="s">
        <v>108</v>
      </c>
      <c r="P6121" s="12" t="s">
        <v>109</v>
      </c>
      <c r="Q6121" s="13">
        <v>45988</v>
      </c>
      <c r="R6121" s="13">
        <v>46017</v>
      </c>
      <c r="S6121">
        <v>2025</v>
      </c>
      <c r="T6121" s="12" t="s">
        <v>7071</v>
      </c>
      <c r="U6121">
        <v>72</v>
      </c>
      <c r="V6121">
        <v>85.1721</v>
      </c>
      <c r="W6121">
        <v>157.41</v>
      </c>
      <c r="X6121">
        <v>0</v>
      </c>
      <c r="Y6121">
        <v>0</v>
      </c>
      <c r="Z6121">
        <v>6132.39</v>
      </c>
      <c r="AA6121">
        <v>6289.8</v>
      </c>
      <c r="AB6121" s="12" t="s">
        <v>6252</v>
      </c>
      <c r="AC6121">
        <v>85.1721</v>
      </c>
      <c r="AD6121">
        <v>1</v>
      </c>
      <c r="AE6121">
        <v>1</v>
      </c>
      <c r="AF6121">
        <v>0</v>
      </c>
      <c r="AG6121">
        <v>6132.39</v>
      </c>
      <c r="AH6121">
        <v>72</v>
      </c>
      <c r="AI6121">
        <v>71</v>
      </c>
      <c r="AJ6121">
        <v>1</v>
      </c>
      <c r="AK6121">
        <v>1</v>
      </c>
      <c r="AL6121">
        <v>1</v>
      </c>
      <c r="AM6121">
        <v>98.61</v>
      </c>
      <c r="AN6121">
        <v>88.588700000000003</v>
      </c>
      <c r="AO6121">
        <v>85.17</v>
      </c>
      <c r="AP6121" s="13">
        <v>46019</v>
      </c>
      <c r="AQ6121">
        <v>2</v>
      </c>
      <c r="AR6121">
        <v>0</v>
      </c>
    </row>
    <row r="6122" spans="1:44" x14ac:dyDescent="0.35">
      <c r="A6122" s="12" t="s">
        <v>7237</v>
      </c>
      <c r="B6122" s="12" t="s">
        <v>395</v>
      </c>
      <c r="C6122" s="12" t="s">
        <v>396</v>
      </c>
      <c r="D6122" s="12" t="s">
        <v>130</v>
      </c>
      <c r="E6122" s="12" t="s">
        <v>104</v>
      </c>
      <c r="F6122">
        <v>3</v>
      </c>
      <c r="G6122">
        <v>1</v>
      </c>
      <c r="H6122">
        <v>0</v>
      </c>
      <c r="I6122" s="12" t="s">
        <v>341</v>
      </c>
      <c r="J6122" s="12" t="s">
        <v>342</v>
      </c>
      <c r="K6122" s="12" t="s">
        <v>117</v>
      </c>
      <c r="L6122" s="12" t="s">
        <v>82</v>
      </c>
      <c r="M6122">
        <v>18.36</v>
      </c>
      <c r="N6122" s="12" t="s">
        <v>135</v>
      </c>
      <c r="O6122" s="12" t="s">
        <v>136</v>
      </c>
      <c r="P6122" s="12" t="s">
        <v>137</v>
      </c>
      <c r="Q6122" s="13">
        <v>45988</v>
      </c>
      <c r="R6122" s="13">
        <v>46009</v>
      </c>
      <c r="S6122">
        <v>2025</v>
      </c>
      <c r="T6122" s="12" t="s">
        <v>7071</v>
      </c>
      <c r="U6122">
        <v>81</v>
      </c>
      <c r="V6122">
        <v>159.31549999999999</v>
      </c>
      <c r="W6122">
        <v>110.49</v>
      </c>
      <c r="X6122">
        <v>0</v>
      </c>
      <c r="Y6122">
        <v>0</v>
      </c>
      <c r="Z6122">
        <v>12904.56</v>
      </c>
      <c r="AA6122">
        <v>13015.05</v>
      </c>
      <c r="AB6122" s="12" t="s">
        <v>5282</v>
      </c>
      <c r="AC6122">
        <v>159.31549999999999</v>
      </c>
      <c r="AD6122">
        <v>1</v>
      </c>
      <c r="AE6122">
        <v>1</v>
      </c>
      <c r="AF6122">
        <v>0</v>
      </c>
      <c r="AG6122">
        <v>12904.56</v>
      </c>
      <c r="AH6122">
        <v>81</v>
      </c>
      <c r="AI6122">
        <v>80</v>
      </c>
      <c r="AJ6122">
        <v>1</v>
      </c>
      <c r="AK6122">
        <v>1</v>
      </c>
      <c r="AL6122">
        <v>1</v>
      </c>
      <c r="AM6122">
        <v>98.77</v>
      </c>
      <c r="AN6122">
        <v>162.68809999999999</v>
      </c>
      <c r="AO6122">
        <v>159.32</v>
      </c>
      <c r="AP6122" s="13">
        <v>46007</v>
      </c>
      <c r="AQ6122">
        <v>-2</v>
      </c>
      <c r="AR6122">
        <v>1</v>
      </c>
    </row>
    <row r="6123" spans="1:44" x14ac:dyDescent="0.35">
      <c r="A6123" s="12" t="s">
        <v>7238</v>
      </c>
      <c r="B6123" s="12" t="s">
        <v>646</v>
      </c>
      <c r="C6123" s="12" t="s">
        <v>647</v>
      </c>
      <c r="D6123" s="12" t="s">
        <v>175</v>
      </c>
      <c r="E6123" s="12" t="s">
        <v>104</v>
      </c>
      <c r="F6123">
        <v>3</v>
      </c>
      <c r="G6123">
        <v>1</v>
      </c>
      <c r="H6123">
        <v>0</v>
      </c>
      <c r="I6123" s="12" t="s">
        <v>227</v>
      </c>
      <c r="J6123" s="12" t="s">
        <v>228</v>
      </c>
      <c r="K6123" s="12" t="s">
        <v>89</v>
      </c>
      <c r="L6123" s="12" t="s">
        <v>96</v>
      </c>
      <c r="M6123">
        <v>9.15</v>
      </c>
      <c r="N6123" s="12" t="s">
        <v>107</v>
      </c>
      <c r="O6123" s="12" t="s">
        <v>108</v>
      </c>
      <c r="P6123" s="12" t="s">
        <v>109</v>
      </c>
      <c r="Q6123" s="13">
        <v>45988</v>
      </c>
      <c r="R6123" s="13">
        <v>46002</v>
      </c>
      <c r="S6123">
        <v>2025</v>
      </c>
      <c r="T6123" s="12" t="s">
        <v>7071</v>
      </c>
      <c r="U6123">
        <v>30</v>
      </c>
      <c r="V6123">
        <v>191.95849999999999</v>
      </c>
      <c r="W6123">
        <v>57.07</v>
      </c>
      <c r="X6123">
        <v>0</v>
      </c>
      <c r="Y6123">
        <v>0</v>
      </c>
      <c r="Z6123">
        <v>5758.76</v>
      </c>
      <c r="AA6123">
        <v>5815.83</v>
      </c>
      <c r="AB6123" s="12" t="s">
        <v>5935</v>
      </c>
      <c r="AC6123">
        <v>191.95849999999999</v>
      </c>
      <c r="AD6123">
        <v>1</v>
      </c>
      <c r="AE6123">
        <v>1</v>
      </c>
      <c r="AF6123">
        <v>0</v>
      </c>
      <c r="AG6123">
        <v>5758.76</v>
      </c>
      <c r="AH6123">
        <v>30</v>
      </c>
      <c r="AI6123">
        <v>30</v>
      </c>
      <c r="AJ6123">
        <v>0</v>
      </c>
      <c r="AK6123">
        <v>1</v>
      </c>
      <c r="AL6123">
        <v>1</v>
      </c>
      <c r="AM6123">
        <v>100</v>
      </c>
      <c r="AN6123">
        <v>193.86080000000001</v>
      </c>
      <c r="AO6123">
        <v>0</v>
      </c>
      <c r="AP6123" s="13">
        <v>45999</v>
      </c>
      <c r="AQ6123">
        <v>-3</v>
      </c>
      <c r="AR6123">
        <v>1</v>
      </c>
    </row>
    <row r="6124" spans="1:44" x14ac:dyDescent="0.35">
      <c r="A6124" s="12" t="s">
        <v>7239</v>
      </c>
      <c r="B6124" s="12" t="s">
        <v>1068</v>
      </c>
      <c r="C6124" s="12" t="s">
        <v>1069</v>
      </c>
      <c r="D6124" s="12" t="s">
        <v>122</v>
      </c>
      <c r="E6124" s="12" t="s">
        <v>65</v>
      </c>
      <c r="F6124">
        <v>2</v>
      </c>
      <c r="G6124">
        <v>2</v>
      </c>
      <c r="H6124">
        <v>0</v>
      </c>
      <c r="I6124" s="12" t="s">
        <v>79</v>
      </c>
      <c r="J6124" s="12" t="s">
        <v>80</v>
      </c>
      <c r="K6124" s="12" t="s">
        <v>81</v>
      </c>
      <c r="L6124" s="12" t="s">
        <v>82</v>
      </c>
      <c r="M6124">
        <v>12.07</v>
      </c>
      <c r="N6124" s="12" t="s">
        <v>70</v>
      </c>
      <c r="O6124" s="12" t="s">
        <v>71</v>
      </c>
      <c r="P6124" s="12" t="s">
        <v>72</v>
      </c>
      <c r="Q6124" s="13">
        <v>45988</v>
      </c>
      <c r="R6124" s="13">
        <v>46013</v>
      </c>
      <c r="S6124">
        <v>2025</v>
      </c>
      <c r="T6124" s="12" t="s">
        <v>7071</v>
      </c>
      <c r="U6124">
        <v>676</v>
      </c>
      <c r="V6124">
        <v>20.8949</v>
      </c>
      <c r="W6124">
        <v>98.43</v>
      </c>
      <c r="X6124">
        <v>0</v>
      </c>
      <c r="Y6124">
        <v>0</v>
      </c>
      <c r="Z6124">
        <v>14124.95</v>
      </c>
      <c r="AA6124">
        <v>14223.38</v>
      </c>
      <c r="AB6124" s="12" t="s">
        <v>5478</v>
      </c>
      <c r="AC6124">
        <v>20.8949</v>
      </c>
      <c r="AD6124">
        <v>1</v>
      </c>
      <c r="AE6124">
        <v>1</v>
      </c>
      <c r="AF6124">
        <v>0</v>
      </c>
      <c r="AG6124">
        <v>14124.95</v>
      </c>
      <c r="AH6124">
        <v>676</v>
      </c>
      <c r="AI6124">
        <v>672</v>
      </c>
      <c r="AJ6124">
        <v>4</v>
      </c>
      <c r="AK6124">
        <v>1</v>
      </c>
      <c r="AL6124">
        <v>1</v>
      </c>
      <c r="AM6124">
        <v>99.41</v>
      </c>
      <c r="AN6124">
        <v>21.165700000000001</v>
      </c>
      <c r="AO6124">
        <v>83.58</v>
      </c>
      <c r="AP6124" s="13">
        <v>46011</v>
      </c>
      <c r="AQ6124">
        <v>-2</v>
      </c>
      <c r="AR6124">
        <v>1</v>
      </c>
    </row>
    <row r="6125" spans="1:44" x14ac:dyDescent="0.35">
      <c r="A6125" s="12" t="s">
        <v>7240</v>
      </c>
      <c r="B6125" s="12" t="s">
        <v>167</v>
      </c>
      <c r="C6125" s="12" t="s">
        <v>168</v>
      </c>
      <c r="D6125" s="12" t="s">
        <v>64</v>
      </c>
      <c r="E6125" s="12" t="s">
        <v>104</v>
      </c>
      <c r="F6125">
        <v>3</v>
      </c>
      <c r="G6125">
        <v>1</v>
      </c>
      <c r="H6125">
        <v>0</v>
      </c>
      <c r="I6125" s="12" t="s">
        <v>169</v>
      </c>
      <c r="J6125" s="12" t="s">
        <v>170</v>
      </c>
      <c r="K6125" s="12" t="s">
        <v>89</v>
      </c>
      <c r="L6125" s="12" t="s">
        <v>134</v>
      </c>
      <c r="M6125">
        <v>1.37</v>
      </c>
      <c r="N6125" s="12" t="s">
        <v>70</v>
      </c>
      <c r="O6125" s="12" t="s">
        <v>71</v>
      </c>
      <c r="P6125" s="12" t="s">
        <v>72</v>
      </c>
      <c r="Q6125" s="13">
        <v>45988</v>
      </c>
      <c r="R6125" s="13">
        <v>46015</v>
      </c>
      <c r="S6125">
        <v>2025</v>
      </c>
      <c r="T6125" s="12" t="s">
        <v>7071</v>
      </c>
      <c r="U6125">
        <v>882</v>
      </c>
      <c r="V6125">
        <v>24.557099999999998</v>
      </c>
      <c r="W6125">
        <v>430.29</v>
      </c>
      <c r="X6125">
        <v>760.35</v>
      </c>
      <c r="Y6125">
        <v>1</v>
      </c>
      <c r="Z6125">
        <v>21659.360000000001</v>
      </c>
      <c r="AA6125">
        <v>22850</v>
      </c>
      <c r="AB6125" s="12" t="s">
        <v>5232</v>
      </c>
      <c r="AC6125">
        <v>24.557099999999998</v>
      </c>
      <c r="AD6125">
        <v>1</v>
      </c>
      <c r="AE6125">
        <v>1</v>
      </c>
      <c r="AF6125">
        <v>0</v>
      </c>
      <c r="AG6125">
        <v>21659.360000000001</v>
      </c>
      <c r="AH6125">
        <v>882</v>
      </c>
      <c r="AI6125">
        <v>876</v>
      </c>
      <c r="AJ6125">
        <v>6</v>
      </c>
      <c r="AK6125">
        <v>1</v>
      </c>
      <c r="AL6125">
        <v>1</v>
      </c>
      <c r="AM6125">
        <v>99.32</v>
      </c>
      <c r="AN6125">
        <v>26.084499999999998</v>
      </c>
      <c r="AO6125">
        <v>147.34</v>
      </c>
      <c r="AP6125" s="13">
        <v>46012</v>
      </c>
      <c r="AQ6125">
        <v>-3</v>
      </c>
      <c r="AR6125">
        <v>1</v>
      </c>
    </row>
    <row r="6126" spans="1:44" x14ac:dyDescent="0.35">
      <c r="A6126" s="12" t="s">
        <v>7241</v>
      </c>
      <c r="B6126" s="12" t="s">
        <v>249</v>
      </c>
      <c r="C6126" s="12" t="s">
        <v>250</v>
      </c>
      <c r="D6126" s="12" t="s">
        <v>64</v>
      </c>
      <c r="E6126" s="12" t="s">
        <v>65</v>
      </c>
      <c r="F6126">
        <v>2</v>
      </c>
      <c r="G6126">
        <v>3</v>
      </c>
      <c r="H6126">
        <v>0</v>
      </c>
      <c r="I6126" s="12" t="s">
        <v>251</v>
      </c>
      <c r="J6126" s="12" t="s">
        <v>252</v>
      </c>
      <c r="K6126" s="12" t="s">
        <v>133</v>
      </c>
      <c r="L6126" s="12" t="s">
        <v>69</v>
      </c>
      <c r="M6126">
        <v>34.49</v>
      </c>
      <c r="N6126" s="12" t="s">
        <v>70</v>
      </c>
      <c r="O6126" s="12" t="s">
        <v>71</v>
      </c>
      <c r="P6126" s="12" t="s">
        <v>72</v>
      </c>
      <c r="Q6126" s="13">
        <v>45988</v>
      </c>
      <c r="R6126" s="13">
        <v>46015</v>
      </c>
      <c r="S6126">
        <v>2025</v>
      </c>
      <c r="T6126" s="12" t="s">
        <v>7071</v>
      </c>
      <c r="U6126">
        <v>406</v>
      </c>
      <c r="V6126">
        <v>9.3512000000000004</v>
      </c>
      <c r="W6126">
        <v>26.59</v>
      </c>
      <c r="X6126">
        <v>118.64</v>
      </c>
      <c r="Y6126">
        <v>1</v>
      </c>
      <c r="Z6126">
        <v>3796.59</v>
      </c>
      <c r="AA6126">
        <v>3941.82</v>
      </c>
      <c r="AB6126" s="12" t="s">
        <v>5207</v>
      </c>
      <c r="AC6126">
        <v>9.9464000000000006</v>
      </c>
      <c r="AD6126">
        <v>1</v>
      </c>
      <c r="AE6126">
        <v>1</v>
      </c>
      <c r="AF6126">
        <v>-241.65</v>
      </c>
      <c r="AG6126">
        <v>4038.24</v>
      </c>
      <c r="AH6126">
        <v>406</v>
      </c>
      <c r="AI6126">
        <v>404</v>
      </c>
      <c r="AJ6126">
        <v>2</v>
      </c>
      <c r="AK6126">
        <v>1</v>
      </c>
      <c r="AL6126">
        <v>1</v>
      </c>
      <c r="AM6126">
        <v>99.51</v>
      </c>
      <c r="AN6126">
        <v>9.7569999999999997</v>
      </c>
      <c r="AO6126">
        <v>18.7</v>
      </c>
      <c r="AP6126" s="13">
        <v>46014</v>
      </c>
      <c r="AQ6126">
        <v>-1</v>
      </c>
      <c r="AR6126">
        <v>1</v>
      </c>
    </row>
    <row r="6127" spans="1:44" x14ac:dyDescent="0.35">
      <c r="A6127" s="12" t="s">
        <v>7242</v>
      </c>
      <c r="B6127" s="12" t="s">
        <v>809</v>
      </c>
      <c r="C6127" s="12" t="s">
        <v>810</v>
      </c>
      <c r="D6127" s="12" t="s">
        <v>114</v>
      </c>
      <c r="E6127" s="12" t="s">
        <v>65</v>
      </c>
      <c r="F6127">
        <v>3</v>
      </c>
      <c r="G6127">
        <v>5</v>
      </c>
      <c r="H6127">
        <v>0</v>
      </c>
      <c r="I6127" s="12" t="s">
        <v>804</v>
      </c>
      <c r="J6127" s="12" t="s">
        <v>342</v>
      </c>
      <c r="K6127" s="12" t="s">
        <v>117</v>
      </c>
      <c r="L6127" s="12" t="s">
        <v>69</v>
      </c>
      <c r="M6127">
        <v>30.07</v>
      </c>
      <c r="N6127" s="12" t="s">
        <v>70</v>
      </c>
      <c r="O6127" s="12" t="s">
        <v>71</v>
      </c>
      <c r="P6127" s="12" t="s">
        <v>72</v>
      </c>
      <c r="Q6127" s="13">
        <v>45988</v>
      </c>
      <c r="R6127" s="13">
        <v>46011</v>
      </c>
      <c r="S6127">
        <v>2025</v>
      </c>
      <c r="T6127" s="12" t="s">
        <v>7071</v>
      </c>
      <c r="U6127">
        <v>27</v>
      </c>
      <c r="V6127">
        <v>302.71480000000003</v>
      </c>
      <c r="W6127">
        <v>149.33000000000001</v>
      </c>
      <c r="X6127">
        <v>0</v>
      </c>
      <c r="Y6127">
        <v>0</v>
      </c>
      <c r="Z6127">
        <v>8173.3</v>
      </c>
      <c r="AA6127">
        <v>8322.6299999999992</v>
      </c>
      <c r="AB6127" s="12" t="s">
        <v>5511</v>
      </c>
      <c r="AC6127">
        <v>302.71480000000003</v>
      </c>
      <c r="AD6127">
        <v>1</v>
      </c>
      <c r="AE6127">
        <v>1</v>
      </c>
      <c r="AF6127">
        <v>0</v>
      </c>
      <c r="AG6127">
        <v>8173.3</v>
      </c>
      <c r="AH6127">
        <v>27</v>
      </c>
      <c r="AI6127">
        <v>26</v>
      </c>
      <c r="AJ6127">
        <v>1</v>
      </c>
      <c r="AK6127">
        <v>1</v>
      </c>
      <c r="AL6127">
        <v>1</v>
      </c>
      <c r="AM6127">
        <v>96.3</v>
      </c>
      <c r="AN6127">
        <v>320.10109999999997</v>
      </c>
      <c r="AO6127">
        <v>302.70999999999998</v>
      </c>
      <c r="AP6127" s="13">
        <v>46011</v>
      </c>
      <c r="AQ6127">
        <v>0</v>
      </c>
      <c r="AR6127">
        <v>1</v>
      </c>
    </row>
    <row r="6128" spans="1:44" x14ac:dyDescent="0.35">
      <c r="A6128" s="12" t="s">
        <v>7243</v>
      </c>
      <c r="B6128" s="12" t="s">
        <v>657</v>
      </c>
      <c r="C6128" s="12" t="s">
        <v>658</v>
      </c>
      <c r="D6128" s="12" t="s">
        <v>175</v>
      </c>
      <c r="E6128" s="12" t="s">
        <v>65</v>
      </c>
      <c r="F6128">
        <v>1</v>
      </c>
      <c r="G6128">
        <v>2</v>
      </c>
      <c r="H6128">
        <v>1</v>
      </c>
      <c r="I6128" s="12" t="s">
        <v>183</v>
      </c>
      <c r="J6128" s="12" t="s">
        <v>184</v>
      </c>
      <c r="K6128" s="12" t="s">
        <v>133</v>
      </c>
      <c r="L6128" s="12" t="s">
        <v>82</v>
      </c>
      <c r="M6128">
        <v>8.6199999999999992</v>
      </c>
      <c r="N6128" s="12" t="s">
        <v>107</v>
      </c>
      <c r="O6128" s="12" t="s">
        <v>108</v>
      </c>
      <c r="P6128" s="12" t="s">
        <v>109</v>
      </c>
      <c r="Q6128" s="13">
        <v>45988</v>
      </c>
      <c r="R6128" s="13">
        <v>46026</v>
      </c>
      <c r="S6128">
        <v>2025</v>
      </c>
      <c r="T6128" s="12" t="s">
        <v>7071</v>
      </c>
      <c r="U6128">
        <v>149</v>
      </c>
      <c r="V6128">
        <v>144.5094</v>
      </c>
      <c r="W6128">
        <v>379.86</v>
      </c>
      <c r="X6128">
        <v>0</v>
      </c>
      <c r="Y6128">
        <v>0</v>
      </c>
      <c r="Z6128">
        <v>21531.9</v>
      </c>
      <c r="AA6128">
        <v>21911.759999999998</v>
      </c>
      <c r="AB6128" s="12" t="s">
        <v>5771</v>
      </c>
      <c r="AC6128">
        <v>144.5094</v>
      </c>
      <c r="AD6128">
        <v>1</v>
      </c>
      <c r="AE6128">
        <v>1</v>
      </c>
      <c r="AF6128">
        <v>0</v>
      </c>
      <c r="AG6128">
        <v>21531.9</v>
      </c>
      <c r="AK6128">
        <v>0</v>
      </c>
      <c r="AL6128">
        <v>0</v>
      </c>
      <c r="AO6128">
        <v>0</v>
      </c>
      <c r="AP6128" s="13"/>
    </row>
    <row r="6129" spans="1:44" x14ac:dyDescent="0.35">
      <c r="A6129" s="12" t="s">
        <v>7244</v>
      </c>
      <c r="B6129" s="12" t="s">
        <v>728</v>
      </c>
      <c r="C6129" s="12" t="s">
        <v>729</v>
      </c>
      <c r="D6129" s="12" t="s">
        <v>269</v>
      </c>
      <c r="E6129" s="12" t="s">
        <v>65</v>
      </c>
      <c r="F6129">
        <v>2</v>
      </c>
      <c r="G6129">
        <v>3</v>
      </c>
      <c r="H6129">
        <v>0</v>
      </c>
      <c r="I6129" s="12" t="s">
        <v>310</v>
      </c>
      <c r="J6129" s="12" t="s">
        <v>311</v>
      </c>
      <c r="K6129" s="12" t="s">
        <v>81</v>
      </c>
      <c r="L6129" s="12" t="s">
        <v>69</v>
      </c>
      <c r="M6129">
        <v>28.3</v>
      </c>
      <c r="N6129" s="12" t="s">
        <v>135</v>
      </c>
      <c r="O6129" s="12" t="s">
        <v>136</v>
      </c>
      <c r="P6129" s="12" t="s">
        <v>137</v>
      </c>
      <c r="Q6129" s="13">
        <v>45988</v>
      </c>
      <c r="R6129" s="13">
        <v>46015</v>
      </c>
      <c r="S6129">
        <v>2025</v>
      </c>
      <c r="T6129" s="12" t="s">
        <v>7071</v>
      </c>
      <c r="U6129">
        <v>61</v>
      </c>
      <c r="V6129">
        <v>375.92680000000001</v>
      </c>
      <c r="W6129">
        <v>394.75</v>
      </c>
      <c r="X6129">
        <v>0</v>
      </c>
      <c r="Y6129">
        <v>0</v>
      </c>
      <c r="Z6129">
        <v>22931.53</v>
      </c>
      <c r="AA6129">
        <v>23326.28</v>
      </c>
      <c r="AB6129" s="12" t="s">
        <v>5820</v>
      </c>
      <c r="AC6129">
        <v>354.43099999999998</v>
      </c>
      <c r="AD6129">
        <v>1</v>
      </c>
      <c r="AE6129">
        <v>1</v>
      </c>
      <c r="AF6129">
        <v>1311.24</v>
      </c>
      <c r="AG6129">
        <v>21620.29</v>
      </c>
      <c r="AH6129">
        <v>61</v>
      </c>
      <c r="AI6129">
        <v>60</v>
      </c>
      <c r="AJ6129">
        <v>1</v>
      </c>
      <c r="AK6129">
        <v>1</v>
      </c>
      <c r="AL6129">
        <v>1</v>
      </c>
      <c r="AM6129">
        <v>98.36</v>
      </c>
      <c r="AN6129">
        <v>388.77140000000003</v>
      </c>
      <c r="AO6129">
        <v>375.93</v>
      </c>
      <c r="AP6129" s="13">
        <v>46012</v>
      </c>
      <c r="AQ6129">
        <v>-3</v>
      </c>
      <c r="AR6129">
        <v>1</v>
      </c>
    </row>
    <row r="6130" spans="1:44" x14ac:dyDescent="0.35">
      <c r="A6130" s="12" t="s">
        <v>7245</v>
      </c>
      <c r="B6130" s="12" t="s">
        <v>207</v>
      </c>
      <c r="C6130" s="12" t="s">
        <v>208</v>
      </c>
      <c r="D6130" s="12" t="s">
        <v>78</v>
      </c>
      <c r="E6130" s="12" t="s">
        <v>65</v>
      </c>
      <c r="F6130">
        <v>2</v>
      </c>
      <c r="G6130">
        <v>3</v>
      </c>
      <c r="H6130">
        <v>0</v>
      </c>
      <c r="I6130" s="12" t="s">
        <v>209</v>
      </c>
      <c r="J6130" s="12" t="s">
        <v>210</v>
      </c>
      <c r="K6130" s="12" t="s">
        <v>133</v>
      </c>
      <c r="L6130" s="12" t="s">
        <v>96</v>
      </c>
      <c r="M6130">
        <v>7.82</v>
      </c>
      <c r="N6130" s="12" t="s">
        <v>70</v>
      </c>
      <c r="O6130" s="12" t="s">
        <v>71</v>
      </c>
      <c r="P6130" s="12" t="s">
        <v>72</v>
      </c>
      <c r="Q6130" s="13">
        <v>45988</v>
      </c>
      <c r="R6130" s="13">
        <v>46010</v>
      </c>
      <c r="S6130">
        <v>2025</v>
      </c>
      <c r="T6130" s="12" t="s">
        <v>7071</v>
      </c>
      <c r="U6130">
        <v>63</v>
      </c>
      <c r="V6130">
        <v>145.1729</v>
      </c>
      <c r="W6130">
        <v>96.49</v>
      </c>
      <c r="X6130">
        <v>0</v>
      </c>
      <c r="Y6130">
        <v>0</v>
      </c>
      <c r="Z6130">
        <v>9145.89</v>
      </c>
      <c r="AA6130">
        <v>9242.3799999999992</v>
      </c>
      <c r="AB6130" s="12" t="s">
        <v>5196</v>
      </c>
      <c r="AC6130">
        <v>145.1729</v>
      </c>
      <c r="AD6130">
        <v>1</v>
      </c>
      <c r="AE6130">
        <v>1</v>
      </c>
      <c r="AF6130">
        <v>0</v>
      </c>
      <c r="AG6130">
        <v>9145.89</v>
      </c>
      <c r="AH6130">
        <v>63</v>
      </c>
      <c r="AI6130">
        <v>62</v>
      </c>
      <c r="AJ6130">
        <v>1</v>
      </c>
      <c r="AK6130">
        <v>1</v>
      </c>
      <c r="AL6130">
        <v>1</v>
      </c>
      <c r="AM6130">
        <v>98.41</v>
      </c>
      <c r="AN6130">
        <v>149.07069999999999</v>
      </c>
      <c r="AO6130">
        <v>145.16999999999999</v>
      </c>
      <c r="AP6130" s="13">
        <v>46010</v>
      </c>
      <c r="AQ6130">
        <v>0</v>
      </c>
      <c r="AR6130">
        <v>1</v>
      </c>
    </row>
    <row r="6131" spans="1:44" x14ac:dyDescent="0.35">
      <c r="A6131" s="12" t="s">
        <v>7246</v>
      </c>
      <c r="B6131" s="12" t="s">
        <v>490</v>
      </c>
      <c r="C6131" s="12" t="s">
        <v>491</v>
      </c>
      <c r="D6131" s="12" t="s">
        <v>130</v>
      </c>
      <c r="E6131" s="12" t="s">
        <v>104</v>
      </c>
      <c r="F6131">
        <v>3</v>
      </c>
      <c r="G6131">
        <v>1</v>
      </c>
      <c r="H6131">
        <v>0</v>
      </c>
      <c r="I6131" s="12" t="s">
        <v>243</v>
      </c>
      <c r="J6131" s="12" t="s">
        <v>244</v>
      </c>
      <c r="K6131" s="12" t="s">
        <v>81</v>
      </c>
      <c r="L6131" s="12" t="s">
        <v>82</v>
      </c>
      <c r="M6131">
        <v>9.2200000000000006</v>
      </c>
      <c r="N6131" s="12" t="s">
        <v>159</v>
      </c>
      <c r="O6131" s="12" t="s">
        <v>160</v>
      </c>
      <c r="P6131" s="12" t="s">
        <v>137</v>
      </c>
      <c r="Q6131" s="13">
        <v>45988</v>
      </c>
      <c r="R6131" s="13">
        <v>46010</v>
      </c>
      <c r="S6131">
        <v>2025</v>
      </c>
      <c r="T6131" s="12" t="s">
        <v>7071</v>
      </c>
      <c r="U6131">
        <v>93</v>
      </c>
      <c r="V6131">
        <v>300.30579999999998</v>
      </c>
      <c r="W6131">
        <v>387.59</v>
      </c>
      <c r="X6131">
        <v>0</v>
      </c>
      <c r="Y6131">
        <v>0</v>
      </c>
      <c r="Z6131">
        <v>27928.44</v>
      </c>
      <c r="AA6131">
        <v>28316.03</v>
      </c>
      <c r="AB6131" s="12" t="s">
        <v>201</v>
      </c>
      <c r="AD6131">
        <v>0</v>
      </c>
      <c r="AE6131">
        <v>0</v>
      </c>
      <c r="AH6131">
        <v>93</v>
      </c>
      <c r="AI6131">
        <v>92</v>
      </c>
      <c r="AJ6131">
        <v>1</v>
      </c>
      <c r="AK6131">
        <v>1</v>
      </c>
      <c r="AL6131">
        <v>1</v>
      </c>
      <c r="AM6131">
        <v>98.92</v>
      </c>
      <c r="AN6131">
        <v>307.78289999999998</v>
      </c>
      <c r="AO6131">
        <v>300.31</v>
      </c>
      <c r="AP6131" s="13">
        <v>46008</v>
      </c>
      <c r="AQ6131">
        <v>-2</v>
      </c>
      <c r="AR6131">
        <v>1</v>
      </c>
    </row>
    <row r="6132" spans="1:44" x14ac:dyDescent="0.35">
      <c r="A6132" s="12" t="s">
        <v>7247</v>
      </c>
      <c r="B6132" s="12" t="s">
        <v>221</v>
      </c>
      <c r="C6132" s="12" t="s">
        <v>222</v>
      </c>
      <c r="D6132" s="12" t="s">
        <v>114</v>
      </c>
      <c r="E6132" s="12" t="s">
        <v>142</v>
      </c>
      <c r="F6132">
        <v>3</v>
      </c>
      <c r="G6132">
        <v>11</v>
      </c>
      <c r="H6132">
        <v>0</v>
      </c>
      <c r="I6132" s="12" t="s">
        <v>223</v>
      </c>
      <c r="J6132" s="12" t="s">
        <v>224</v>
      </c>
      <c r="K6132" s="12" t="s">
        <v>81</v>
      </c>
      <c r="L6132" s="12" t="s">
        <v>134</v>
      </c>
      <c r="M6132">
        <v>2.4900000000000002</v>
      </c>
      <c r="N6132" s="12" t="s">
        <v>97</v>
      </c>
      <c r="O6132" s="12" t="s">
        <v>98</v>
      </c>
      <c r="P6132" s="12" t="s">
        <v>72</v>
      </c>
      <c r="Q6132" s="13">
        <v>45988</v>
      </c>
      <c r="R6132" s="13">
        <v>46032</v>
      </c>
      <c r="S6132">
        <v>2025</v>
      </c>
      <c r="T6132" s="12" t="s">
        <v>7071</v>
      </c>
      <c r="U6132">
        <v>82</v>
      </c>
      <c r="V6132">
        <v>252.56299999999999</v>
      </c>
      <c r="W6132">
        <v>491.81</v>
      </c>
      <c r="X6132">
        <v>0</v>
      </c>
      <c r="Y6132">
        <v>0</v>
      </c>
      <c r="Z6132">
        <v>20710.169999999998</v>
      </c>
      <c r="AA6132">
        <v>21201.98</v>
      </c>
      <c r="AB6132" s="12" t="s">
        <v>201</v>
      </c>
      <c r="AD6132">
        <v>0</v>
      </c>
      <c r="AE6132">
        <v>0</v>
      </c>
      <c r="AK6132">
        <v>0</v>
      </c>
      <c r="AL6132">
        <v>0</v>
      </c>
      <c r="AO6132">
        <v>0</v>
      </c>
      <c r="AP6132" s="13"/>
    </row>
    <row r="6133" spans="1:44" x14ac:dyDescent="0.35">
      <c r="A6133" s="12" t="s">
        <v>7248</v>
      </c>
      <c r="B6133" s="12" t="s">
        <v>972</v>
      </c>
      <c r="C6133" s="12" t="s">
        <v>973</v>
      </c>
      <c r="D6133" s="12" t="s">
        <v>130</v>
      </c>
      <c r="E6133" s="12" t="s">
        <v>142</v>
      </c>
      <c r="F6133">
        <v>2</v>
      </c>
      <c r="G6133">
        <v>9</v>
      </c>
      <c r="H6133">
        <v>0</v>
      </c>
      <c r="I6133" s="12" t="s">
        <v>676</v>
      </c>
      <c r="J6133" s="12" t="s">
        <v>677</v>
      </c>
      <c r="K6133" s="12" t="s">
        <v>68</v>
      </c>
      <c r="L6133" s="12" t="s">
        <v>96</v>
      </c>
      <c r="M6133">
        <v>3.57</v>
      </c>
      <c r="N6133" s="12" t="s">
        <v>135</v>
      </c>
      <c r="O6133" s="12" t="s">
        <v>136</v>
      </c>
      <c r="P6133" s="12" t="s">
        <v>137</v>
      </c>
      <c r="Q6133" s="13">
        <v>45988</v>
      </c>
      <c r="R6133" s="13">
        <v>46028</v>
      </c>
      <c r="S6133">
        <v>2025</v>
      </c>
      <c r="T6133" s="12" t="s">
        <v>7071</v>
      </c>
      <c r="U6133">
        <v>51</v>
      </c>
      <c r="V6133">
        <v>839.82719999999995</v>
      </c>
      <c r="W6133">
        <v>815.86</v>
      </c>
      <c r="X6133">
        <v>0</v>
      </c>
      <c r="Y6133">
        <v>0</v>
      </c>
      <c r="Z6133">
        <v>42831.19</v>
      </c>
      <c r="AA6133">
        <v>43647.05</v>
      </c>
      <c r="AB6133" s="12" t="s">
        <v>6005</v>
      </c>
      <c r="AC6133">
        <v>839.82719999999995</v>
      </c>
      <c r="AD6133">
        <v>1</v>
      </c>
      <c r="AE6133">
        <v>1</v>
      </c>
      <c r="AF6133">
        <v>0</v>
      </c>
      <c r="AG6133">
        <v>42831.19</v>
      </c>
      <c r="AK6133">
        <v>0</v>
      </c>
      <c r="AL6133">
        <v>0</v>
      </c>
      <c r="AO6133">
        <v>0</v>
      </c>
      <c r="AP6133" s="13"/>
    </row>
    <row r="6134" spans="1:44" x14ac:dyDescent="0.35">
      <c r="A6134" s="12" t="s">
        <v>7249</v>
      </c>
      <c r="B6134" s="12" t="s">
        <v>323</v>
      </c>
      <c r="C6134" s="12" t="s">
        <v>324</v>
      </c>
      <c r="D6134" s="12" t="s">
        <v>64</v>
      </c>
      <c r="E6134" s="12" t="s">
        <v>142</v>
      </c>
      <c r="F6134">
        <v>1</v>
      </c>
      <c r="G6134">
        <v>7</v>
      </c>
      <c r="H6134">
        <v>1</v>
      </c>
      <c r="I6134" s="12" t="s">
        <v>143</v>
      </c>
      <c r="J6134" s="12" t="s">
        <v>144</v>
      </c>
      <c r="K6134" s="12" t="s">
        <v>133</v>
      </c>
      <c r="L6134" s="12" t="s">
        <v>96</v>
      </c>
      <c r="M6134">
        <v>5.43</v>
      </c>
      <c r="N6134" s="12" t="s">
        <v>70</v>
      </c>
      <c r="O6134" s="12" t="s">
        <v>71</v>
      </c>
      <c r="P6134" s="12" t="s">
        <v>72</v>
      </c>
      <c r="Q6134" s="13">
        <v>45988</v>
      </c>
      <c r="R6134" s="13">
        <v>46025</v>
      </c>
      <c r="S6134">
        <v>2025</v>
      </c>
      <c r="T6134" s="12" t="s">
        <v>7071</v>
      </c>
      <c r="U6134">
        <v>231</v>
      </c>
      <c r="V6134">
        <v>40.7819</v>
      </c>
      <c r="W6134">
        <v>203.28</v>
      </c>
      <c r="X6134">
        <v>0</v>
      </c>
      <c r="Y6134">
        <v>0</v>
      </c>
      <c r="Z6134">
        <v>9420.6200000000008</v>
      </c>
      <c r="AA6134">
        <v>9623.9</v>
      </c>
      <c r="AB6134" s="12" t="s">
        <v>5324</v>
      </c>
      <c r="AC6134">
        <v>39.226399999999998</v>
      </c>
      <c r="AD6134">
        <v>1</v>
      </c>
      <c r="AE6134">
        <v>1</v>
      </c>
      <c r="AF6134">
        <v>359.32</v>
      </c>
      <c r="AG6134">
        <v>9061.2999999999993</v>
      </c>
      <c r="AK6134">
        <v>0</v>
      </c>
      <c r="AL6134">
        <v>0</v>
      </c>
      <c r="AO6134">
        <v>0</v>
      </c>
      <c r="AP6134" s="13"/>
    </row>
    <row r="6135" spans="1:44" x14ac:dyDescent="0.35">
      <c r="A6135" s="12" t="s">
        <v>7250</v>
      </c>
      <c r="B6135" s="12" t="s">
        <v>433</v>
      </c>
      <c r="C6135" s="12" t="s">
        <v>434</v>
      </c>
      <c r="D6135" s="12" t="s">
        <v>78</v>
      </c>
      <c r="E6135" s="12" t="s">
        <v>65</v>
      </c>
      <c r="F6135">
        <v>2</v>
      </c>
      <c r="G6135">
        <v>4</v>
      </c>
      <c r="H6135">
        <v>0</v>
      </c>
      <c r="I6135" s="12" t="s">
        <v>105</v>
      </c>
      <c r="J6135" s="12" t="s">
        <v>106</v>
      </c>
      <c r="K6135" s="12" t="s">
        <v>81</v>
      </c>
      <c r="L6135" s="12" t="s">
        <v>96</v>
      </c>
      <c r="M6135">
        <v>5.01</v>
      </c>
      <c r="N6135" s="12" t="s">
        <v>97</v>
      </c>
      <c r="O6135" s="12" t="s">
        <v>98</v>
      </c>
      <c r="P6135" s="12" t="s">
        <v>72</v>
      </c>
      <c r="Q6135" s="13">
        <v>45988</v>
      </c>
      <c r="R6135" s="13">
        <v>46016</v>
      </c>
      <c r="S6135">
        <v>2025</v>
      </c>
      <c r="T6135" s="12" t="s">
        <v>7071</v>
      </c>
      <c r="U6135">
        <v>142</v>
      </c>
      <c r="V6135">
        <v>64.5244</v>
      </c>
      <c r="W6135">
        <v>56.08</v>
      </c>
      <c r="X6135">
        <v>0</v>
      </c>
      <c r="Y6135">
        <v>0</v>
      </c>
      <c r="Z6135">
        <v>9162.4599999999991</v>
      </c>
      <c r="AA6135">
        <v>9218.5400000000009</v>
      </c>
      <c r="AB6135" s="12" t="s">
        <v>5436</v>
      </c>
      <c r="AC6135">
        <v>68.594099999999997</v>
      </c>
      <c r="AD6135">
        <v>1</v>
      </c>
      <c r="AE6135">
        <v>1</v>
      </c>
      <c r="AF6135">
        <v>-577.9</v>
      </c>
      <c r="AG6135">
        <v>9740.36</v>
      </c>
      <c r="AH6135">
        <v>142</v>
      </c>
      <c r="AI6135">
        <v>138</v>
      </c>
      <c r="AJ6135">
        <v>4</v>
      </c>
      <c r="AK6135">
        <v>1</v>
      </c>
      <c r="AL6135">
        <v>1</v>
      </c>
      <c r="AM6135">
        <v>97.18</v>
      </c>
      <c r="AN6135">
        <v>66.801000000000002</v>
      </c>
      <c r="AO6135">
        <v>258.10000000000002</v>
      </c>
      <c r="AP6135" s="13">
        <v>46013</v>
      </c>
      <c r="AQ6135">
        <v>-3</v>
      </c>
      <c r="AR6135">
        <v>1</v>
      </c>
    </row>
    <row r="6136" spans="1:44" x14ac:dyDescent="0.35">
      <c r="A6136" s="12" t="s">
        <v>7251</v>
      </c>
      <c r="B6136" s="12" t="s">
        <v>837</v>
      </c>
      <c r="C6136" s="12" t="s">
        <v>838</v>
      </c>
      <c r="D6136" s="12" t="s">
        <v>114</v>
      </c>
      <c r="E6136" s="12" t="s">
        <v>104</v>
      </c>
      <c r="F6136">
        <v>2</v>
      </c>
      <c r="G6136">
        <v>0</v>
      </c>
      <c r="H6136">
        <v>0</v>
      </c>
      <c r="I6136" s="12" t="s">
        <v>199</v>
      </c>
      <c r="J6136" s="12" t="s">
        <v>200</v>
      </c>
      <c r="K6136" s="12" t="s">
        <v>68</v>
      </c>
      <c r="L6136" s="12" t="s">
        <v>96</v>
      </c>
      <c r="M6136">
        <v>9.4700000000000006</v>
      </c>
      <c r="N6136" s="12" t="s">
        <v>97</v>
      </c>
      <c r="O6136" s="12" t="s">
        <v>98</v>
      </c>
      <c r="P6136" s="12" t="s">
        <v>72</v>
      </c>
      <c r="Q6136" s="13">
        <v>45989</v>
      </c>
      <c r="R6136" s="13">
        <v>46002</v>
      </c>
      <c r="S6136">
        <v>2025</v>
      </c>
      <c r="T6136" s="12" t="s">
        <v>7071</v>
      </c>
      <c r="U6136">
        <v>25</v>
      </c>
      <c r="V6136">
        <v>66.785399999999996</v>
      </c>
      <c r="W6136">
        <v>23.27</v>
      </c>
      <c r="X6136">
        <v>0</v>
      </c>
      <c r="Y6136">
        <v>0</v>
      </c>
      <c r="Z6136">
        <v>1669.64</v>
      </c>
      <c r="AA6136">
        <v>1692.91</v>
      </c>
      <c r="AB6136" s="12" t="s">
        <v>5895</v>
      </c>
      <c r="AC6136">
        <v>66.785399999999996</v>
      </c>
      <c r="AD6136">
        <v>1</v>
      </c>
      <c r="AE6136">
        <v>1</v>
      </c>
      <c r="AF6136">
        <v>0</v>
      </c>
      <c r="AG6136">
        <v>1669.64</v>
      </c>
      <c r="AH6136">
        <v>25</v>
      </c>
      <c r="AI6136">
        <v>25</v>
      </c>
      <c r="AJ6136">
        <v>0</v>
      </c>
      <c r="AK6136">
        <v>1</v>
      </c>
      <c r="AL6136">
        <v>1</v>
      </c>
      <c r="AM6136">
        <v>100</v>
      </c>
      <c r="AN6136">
        <v>67.716200000000001</v>
      </c>
      <c r="AO6136">
        <v>0</v>
      </c>
      <c r="AP6136" s="13">
        <v>46004</v>
      </c>
      <c r="AQ6136">
        <v>2</v>
      </c>
      <c r="AR6136">
        <v>0</v>
      </c>
    </row>
    <row r="6137" spans="1:44" x14ac:dyDescent="0.35">
      <c r="A6137" s="12" t="s">
        <v>7252</v>
      </c>
      <c r="B6137" s="12" t="s">
        <v>544</v>
      </c>
      <c r="C6137" s="12" t="s">
        <v>545</v>
      </c>
      <c r="D6137" s="12" t="s">
        <v>175</v>
      </c>
      <c r="E6137" s="12" t="s">
        <v>65</v>
      </c>
      <c r="F6137">
        <v>3</v>
      </c>
      <c r="G6137">
        <v>5</v>
      </c>
      <c r="H6137">
        <v>0</v>
      </c>
      <c r="I6137" s="12" t="s">
        <v>66</v>
      </c>
      <c r="J6137" s="12" t="s">
        <v>67</v>
      </c>
      <c r="K6137" s="12" t="s">
        <v>68</v>
      </c>
      <c r="L6137" s="12" t="s">
        <v>69</v>
      </c>
      <c r="M6137">
        <v>17.66</v>
      </c>
      <c r="N6137" s="12" t="s">
        <v>107</v>
      </c>
      <c r="O6137" s="12" t="s">
        <v>108</v>
      </c>
      <c r="P6137" s="12" t="s">
        <v>109</v>
      </c>
      <c r="Q6137" s="13">
        <v>45989</v>
      </c>
      <c r="R6137" s="13">
        <v>46023</v>
      </c>
      <c r="S6137">
        <v>2025</v>
      </c>
      <c r="T6137" s="12" t="s">
        <v>7071</v>
      </c>
      <c r="U6137">
        <v>116</v>
      </c>
      <c r="V6137">
        <v>152.2208</v>
      </c>
      <c r="W6137">
        <v>230.86</v>
      </c>
      <c r="X6137">
        <v>0</v>
      </c>
      <c r="Y6137">
        <v>0</v>
      </c>
      <c r="Z6137">
        <v>17657.61</v>
      </c>
      <c r="AA6137">
        <v>17888.47</v>
      </c>
      <c r="AB6137" s="12" t="s">
        <v>201</v>
      </c>
      <c r="AD6137">
        <v>0</v>
      </c>
      <c r="AE6137">
        <v>0</v>
      </c>
      <c r="AH6137">
        <v>116</v>
      </c>
      <c r="AI6137">
        <v>116</v>
      </c>
      <c r="AJ6137">
        <v>0</v>
      </c>
      <c r="AK6137">
        <v>1</v>
      </c>
      <c r="AL6137">
        <v>1</v>
      </c>
      <c r="AM6137">
        <v>100</v>
      </c>
      <c r="AN6137">
        <v>154.21100000000001</v>
      </c>
      <c r="AO6137">
        <v>0</v>
      </c>
      <c r="AP6137" s="13">
        <v>46022</v>
      </c>
      <c r="AQ6137">
        <v>-1</v>
      </c>
      <c r="AR6137">
        <v>1</v>
      </c>
    </row>
    <row r="6138" spans="1:44" x14ac:dyDescent="0.35">
      <c r="A6138" s="12" t="s">
        <v>7253</v>
      </c>
      <c r="B6138" s="12" t="s">
        <v>503</v>
      </c>
      <c r="C6138" s="12" t="s">
        <v>504</v>
      </c>
      <c r="D6138" s="12" t="s">
        <v>103</v>
      </c>
      <c r="E6138" s="12" t="s">
        <v>104</v>
      </c>
      <c r="F6138">
        <v>3</v>
      </c>
      <c r="G6138">
        <v>1</v>
      </c>
      <c r="H6138">
        <v>0</v>
      </c>
      <c r="I6138" s="12" t="s">
        <v>209</v>
      </c>
      <c r="J6138" s="12" t="s">
        <v>210</v>
      </c>
      <c r="K6138" s="12" t="s">
        <v>133</v>
      </c>
      <c r="L6138" s="12" t="s">
        <v>96</v>
      </c>
      <c r="M6138">
        <v>7.82</v>
      </c>
      <c r="N6138" s="12" t="s">
        <v>107</v>
      </c>
      <c r="O6138" s="12" t="s">
        <v>108</v>
      </c>
      <c r="P6138" s="12" t="s">
        <v>109</v>
      </c>
      <c r="Q6138" s="13">
        <v>45989</v>
      </c>
      <c r="R6138" s="13">
        <v>46010</v>
      </c>
      <c r="S6138">
        <v>2025</v>
      </c>
      <c r="T6138" s="12" t="s">
        <v>7071</v>
      </c>
      <c r="U6138">
        <v>83</v>
      </c>
      <c r="V6138">
        <v>172.49789999999999</v>
      </c>
      <c r="W6138">
        <v>275.06</v>
      </c>
      <c r="X6138">
        <v>0</v>
      </c>
      <c r="Y6138">
        <v>0</v>
      </c>
      <c r="Z6138">
        <v>14317.33</v>
      </c>
      <c r="AA6138">
        <v>14592.39</v>
      </c>
      <c r="AB6138" s="12" t="s">
        <v>201</v>
      </c>
      <c r="AD6138">
        <v>0</v>
      </c>
      <c r="AE6138">
        <v>0</v>
      </c>
      <c r="AH6138">
        <v>83</v>
      </c>
      <c r="AI6138">
        <v>83</v>
      </c>
      <c r="AJ6138">
        <v>0</v>
      </c>
      <c r="AK6138">
        <v>1</v>
      </c>
      <c r="AL6138">
        <v>1</v>
      </c>
      <c r="AM6138">
        <v>100</v>
      </c>
      <c r="AN6138">
        <v>175.81190000000001</v>
      </c>
      <c r="AO6138">
        <v>0</v>
      </c>
      <c r="AP6138" s="13">
        <v>46010</v>
      </c>
      <c r="AQ6138">
        <v>0</v>
      </c>
      <c r="AR6138">
        <v>1</v>
      </c>
    </row>
    <row r="6139" spans="1:44" x14ac:dyDescent="0.35">
      <c r="A6139" s="12" t="s">
        <v>7254</v>
      </c>
      <c r="B6139" s="12" t="s">
        <v>472</v>
      </c>
      <c r="C6139" s="12" t="s">
        <v>473</v>
      </c>
      <c r="D6139" s="12" t="s">
        <v>122</v>
      </c>
      <c r="E6139" s="12" t="s">
        <v>142</v>
      </c>
      <c r="F6139">
        <v>2</v>
      </c>
      <c r="G6139">
        <v>9</v>
      </c>
      <c r="H6139">
        <v>0</v>
      </c>
      <c r="I6139" s="12" t="s">
        <v>87</v>
      </c>
      <c r="J6139" s="12" t="s">
        <v>88</v>
      </c>
      <c r="K6139" s="12" t="s">
        <v>89</v>
      </c>
      <c r="L6139" s="12" t="s">
        <v>69</v>
      </c>
      <c r="M6139">
        <v>14.93</v>
      </c>
      <c r="N6139" s="12" t="s">
        <v>97</v>
      </c>
      <c r="O6139" s="12" t="s">
        <v>98</v>
      </c>
      <c r="P6139" s="12" t="s">
        <v>72</v>
      </c>
      <c r="Q6139" s="13">
        <v>45989</v>
      </c>
      <c r="R6139" s="13">
        <v>46039</v>
      </c>
      <c r="S6139">
        <v>2025</v>
      </c>
      <c r="T6139" s="12" t="s">
        <v>7071</v>
      </c>
      <c r="U6139">
        <v>1727</v>
      </c>
      <c r="V6139">
        <v>46.924199999999999</v>
      </c>
      <c r="W6139">
        <v>1011.34</v>
      </c>
      <c r="X6139">
        <v>0</v>
      </c>
      <c r="Y6139">
        <v>0</v>
      </c>
      <c r="Z6139">
        <v>81038.09</v>
      </c>
      <c r="AA6139">
        <v>82049.429999999993</v>
      </c>
      <c r="AB6139" s="12" t="s">
        <v>5714</v>
      </c>
      <c r="AC6139">
        <v>46.924199999999999</v>
      </c>
      <c r="AD6139">
        <v>1</v>
      </c>
      <c r="AE6139">
        <v>1</v>
      </c>
      <c r="AF6139">
        <v>0</v>
      </c>
      <c r="AG6139">
        <v>81038.09</v>
      </c>
      <c r="AK6139">
        <v>0</v>
      </c>
      <c r="AL6139">
        <v>0</v>
      </c>
      <c r="AO6139">
        <v>0</v>
      </c>
      <c r="AP6139" s="13"/>
    </row>
    <row r="6140" spans="1:44" x14ac:dyDescent="0.35">
      <c r="A6140" s="12" t="s">
        <v>7255</v>
      </c>
      <c r="B6140" s="12" t="s">
        <v>231</v>
      </c>
      <c r="C6140" s="12" t="s">
        <v>232</v>
      </c>
      <c r="D6140" s="12" t="s">
        <v>130</v>
      </c>
      <c r="E6140" s="12" t="s">
        <v>65</v>
      </c>
      <c r="F6140">
        <v>1</v>
      </c>
      <c r="G6140">
        <v>2</v>
      </c>
      <c r="H6140">
        <v>1</v>
      </c>
      <c r="I6140" s="12" t="s">
        <v>233</v>
      </c>
      <c r="J6140" s="12" t="s">
        <v>234</v>
      </c>
      <c r="K6140" s="12" t="s">
        <v>125</v>
      </c>
      <c r="L6140" s="12" t="s">
        <v>96</v>
      </c>
      <c r="M6140">
        <v>3.73</v>
      </c>
      <c r="N6140" s="12" t="s">
        <v>159</v>
      </c>
      <c r="O6140" s="12" t="s">
        <v>160</v>
      </c>
      <c r="P6140" s="12" t="s">
        <v>137</v>
      </c>
      <c r="Q6140" s="13">
        <v>45989</v>
      </c>
      <c r="R6140" s="13">
        <v>46014</v>
      </c>
      <c r="S6140">
        <v>2025</v>
      </c>
      <c r="T6140" s="12" t="s">
        <v>7071</v>
      </c>
      <c r="U6140">
        <v>44</v>
      </c>
      <c r="V6140">
        <v>427.97680000000003</v>
      </c>
      <c r="W6140">
        <v>124.52</v>
      </c>
      <c r="X6140">
        <v>0</v>
      </c>
      <c r="Y6140">
        <v>0</v>
      </c>
      <c r="Z6140">
        <v>18830.98</v>
      </c>
      <c r="AA6140">
        <v>18955.5</v>
      </c>
      <c r="AB6140" s="12" t="s">
        <v>201</v>
      </c>
      <c r="AD6140">
        <v>0</v>
      </c>
      <c r="AE6140">
        <v>0</v>
      </c>
      <c r="AH6140">
        <v>44</v>
      </c>
      <c r="AI6140">
        <v>44</v>
      </c>
      <c r="AJ6140">
        <v>0</v>
      </c>
      <c r="AK6140">
        <v>1</v>
      </c>
      <c r="AL6140">
        <v>1</v>
      </c>
      <c r="AM6140">
        <v>100</v>
      </c>
      <c r="AN6140">
        <v>430.80680000000001</v>
      </c>
      <c r="AO6140">
        <v>0</v>
      </c>
      <c r="AP6140" s="13">
        <v>46013</v>
      </c>
      <c r="AQ6140">
        <v>-1</v>
      </c>
      <c r="AR6140">
        <v>1</v>
      </c>
    </row>
    <row r="6141" spans="1:44" x14ac:dyDescent="0.35">
      <c r="A6141" s="12" t="s">
        <v>7256</v>
      </c>
      <c r="B6141" s="12" t="s">
        <v>532</v>
      </c>
      <c r="C6141" s="12" t="s">
        <v>533</v>
      </c>
      <c r="D6141" s="12" t="s">
        <v>114</v>
      </c>
      <c r="E6141" s="12" t="s">
        <v>65</v>
      </c>
      <c r="F6141">
        <v>2</v>
      </c>
      <c r="G6141">
        <v>3</v>
      </c>
      <c r="H6141">
        <v>0</v>
      </c>
      <c r="I6141" s="12" t="s">
        <v>105</v>
      </c>
      <c r="J6141" s="12" t="s">
        <v>106</v>
      </c>
      <c r="K6141" s="12" t="s">
        <v>81</v>
      </c>
      <c r="L6141" s="12" t="s">
        <v>96</v>
      </c>
      <c r="M6141">
        <v>5.01</v>
      </c>
      <c r="N6141" s="12" t="s">
        <v>97</v>
      </c>
      <c r="O6141" s="12" t="s">
        <v>98</v>
      </c>
      <c r="P6141" s="12" t="s">
        <v>72</v>
      </c>
      <c r="Q6141" s="13">
        <v>45989</v>
      </c>
      <c r="R6141" s="13">
        <v>46016</v>
      </c>
      <c r="S6141">
        <v>2025</v>
      </c>
      <c r="T6141" s="12" t="s">
        <v>7071</v>
      </c>
      <c r="U6141">
        <v>61</v>
      </c>
      <c r="V6141">
        <v>249.89959999999999</v>
      </c>
      <c r="W6141">
        <v>323.56</v>
      </c>
      <c r="X6141">
        <v>0</v>
      </c>
      <c r="Y6141">
        <v>0</v>
      </c>
      <c r="Z6141">
        <v>15243.88</v>
      </c>
      <c r="AA6141">
        <v>15567.44</v>
      </c>
      <c r="AB6141" s="12" t="s">
        <v>5676</v>
      </c>
      <c r="AC6141">
        <v>249.89959999999999</v>
      </c>
      <c r="AD6141">
        <v>1</v>
      </c>
      <c r="AE6141">
        <v>1</v>
      </c>
      <c r="AF6141">
        <v>0</v>
      </c>
      <c r="AG6141">
        <v>15243.88</v>
      </c>
      <c r="AH6141">
        <v>61</v>
      </c>
      <c r="AI6141">
        <v>60</v>
      </c>
      <c r="AJ6141">
        <v>1</v>
      </c>
      <c r="AK6141">
        <v>1</v>
      </c>
      <c r="AL6141">
        <v>1</v>
      </c>
      <c r="AM6141">
        <v>98.36</v>
      </c>
      <c r="AN6141">
        <v>259.45729999999998</v>
      </c>
      <c r="AO6141">
        <v>249.9</v>
      </c>
      <c r="AP6141" s="13">
        <v>46016</v>
      </c>
      <c r="AQ6141">
        <v>0</v>
      </c>
      <c r="AR6141">
        <v>1</v>
      </c>
    </row>
    <row r="6142" spans="1:44" x14ac:dyDescent="0.35">
      <c r="A6142" s="12" t="s">
        <v>7257</v>
      </c>
      <c r="B6142" s="12" t="s">
        <v>1166</v>
      </c>
      <c r="C6142" s="12" t="s">
        <v>1167</v>
      </c>
      <c r="D6142" s="12" t="s">
        <v>175</v>
      </c>
      <c r="E6142" s="12" t="s">
        <v>65</v>
      </c>
      <c r="F6142">
        <v>3</v>
      </c>
      <c r="G6142">
        <v>5</v>
      </c>
      <c r="H6142">
        <v>0</v>
      </c>
      <c r="I6142" s="12" t="s">
        <v>143</v>
      </c>
      <c r="J6142" s="12" t="s">
        <v>144</v>
      </c>
      <c r="K6142" s="12" t="s">
        <v>133</v>
      </c>
      <c r="L6142" s="12" t="s">
        <v>96</v>
      </c>
      <c r="M6142">
        <v>5.43</v>
      </c>
      <c r="N6142" s="12" t="s">
        <v>107</v>
      </c>
      <c r="O6142" s="12" t="s">
        <v>108</v>
      </c>
      <c r="P6142" s="12" t="s">
        <v>109</v>
      </c>
      <c r="Q6142" s="13">
        <v>45989</v>
      </c>
      <c r="R6142" s="13">
        <v>46021</v>
      </c>
      <c r="S6142">
        <v>2025</v>
      </c>
      <c r="T6142" s="12" t="s">
        <v>7071</v>
      </c>
      <c r="U6142">
        <v>100</v>
      </c>
      <c r="V6142">
        <v>248.38239999999999</v>
      </c>
      <c r="W6142">
        <v>445.31</v>
      </c>
      <c r="X6142">
        <v>0</v>
      </c>
      <c r="Y6142">
        <v>0</v>
      </c>
      <c r="Z6142">
        <v>24838.240000000002</v>
      </c>
      <c r="AA6142">
        <v>25283.55</v>
      </c>
      <c r="AB6142" s="12" t="s">
        <v>201</v>
      </c>
      <c r="AD6142">
        <v>0</v>
      </c>
      <c r="AE6142">
        <v>0</v>
      </c>
      <c r="AH6142">
        <v>100</v>
      </c>
      <c r="AI6142">
        <v>99</v>
      </c>
      <c r="AJ6142">
        <v>1</v>
      </c>
      <c r="AK6142">
        <v>1</v>
      </c>
      <c r="AL6142">
        <v>1</v>
      </c>
      <c r="AM6142">
        <v>99</v>
      </c>
      <c r="AN6142">
        <v>255.38939999999999</v>
      </c>
      <c r="AO6142">
        <v>248.38</v>
      </c>
      <c r="AP6142" s="13">
        <v>46017</v>
      </c>
      <c r="AQ6142">
        <v>-4</v>
      </c>
      <c r="AR6142">
        <v>1</v>
      </c>
    </row>
    <row r="6143" spans="1:44" x14ac:dyDescent="0.35">
      <c r="A6143" s="12" t="s">
        <v>7258</v>
      </c>
      <c r="B6143" s="12" t="s">
        <v>587</v>
      </c>
      <c r="C6143" s="12" t="s">
        <v>588</v>
      </c>
      <c r="D6143" s="12" t="s">
        <v>122</v>
      </c>
      <c r="E6143" s="12" t="s">
        <v>104</v>
      </c>
      <c r="F6143">
        <v>2</v>
      </c>
      <c r="G6143">
        <v>0</v>
      </c>
      <c r="H6143">
        <v>0</v>
      </c>
      <c r="I6143" s="12" t="s">
        <v>486</v>
      </c>
      <c r="J6143" s="12" t="s">
        <v>487</v>
      </c>
      <c r="K6143" s="12" t="s">
        <v>125</v>
      </c>
      <c r="L6143" s="12" t="s">
        <v>69</v>
      </c>
      <c r="M6143">
        <v>36.86</v>
      </c>
      <c r="N6143" s="12" t="s">
        <v>70</v>
      </c>
      <c r="O6143" s="12" t="s">
        <v>71</v>
      </c>
      <c r="P6143" s="12" t="s">
        <v>72</v>
      </c>
      <c r="Q6143" s="13">
        <v>45989</v>
      </c>
      <c r="R6143" s="13">
        <v>46002</v>
      </c>
      <c r="S6143">
        <v>2025</v>
      </c>
      <c r="T6143" s="12" t="s">
        <v>7071</v>
      </c>
      <c r="U6143">
        <v>369</v>
      </c>
      <c r="V6143">
        <v>12.9314</v>
      </c>
      <c r="W6143">
        <v>95.92</v>
      </c>
      <c r="X6143">
        <v>0</v>
      </c>
      <c r="Y6143">
        <v>0</v>
      </c>
      <c r="Z6143">
        <v>4771.6899999999996</v>
      </c>
      <c r="AA6143">
        <v>4867.6099999999997</v>
      </c>
      <c r="AB6143" s="12" t="s">
        <v>201</v>
      </c>
      <c r="AD6143">
        <v>0</v>
      </c>
      <c r="AE6143">
        <v>0</v>
      </c>
      <c r="AH6143">
        <v>369</v>
      </c>
      <c r="AI6143">
        <v>366</v>
      </c>
      <c r="AJ6143">
        <v>3</v>
      </c>
      <c r="AK6143">
        <v>1</v>
      </c>
      <c r="AL6143">
        <v>1</v>
      </c>
      <c r="AM6143">
        <v>99.19</v>
      </c>
      <c r="AN6143">
        <v>13.2995</v>
      </c>
      <c r="AO6143">
        <v>38.79</v>
      </c>
      <c r="AP6143" s="13">
        <v>46000</v>
      </c>
      <c r="AQ6143">
        <v>-2</v>
      </c>
      <c r="AR6143">
        <v>1</v>
      </c>
    </row>
    <row r="6144" spans="1:44" x14ac:dyDescent="0.35">
      <c r="A6144" s="12" t="s">
        <v>7259</v>
      </c>
      <c r="B6144" s="12" t="s">
        <v>447</v>
      </c>
      <c r="C6144" s="12" t="s">
        <v>448</v>
      </c>
      <c r="D6144" s="12" t="s">
        <v>269</v>
      </c>
      <c r="E6144" s="12" t="s">
        <v>65</v>
      </c>
      <c r="F6144">
        <v>2</v>
      </c>
      <c r="G6144">
        <v>2</v>
      </c>
      <c r="H6144">
        <v>0</v>
      </c>
      <c r="I6144" s="12" t="s">
        <v>94</v>
      </c>
      <c r="J6144" s="12" t="s">
        <v>95</v>
      </c>
      <c r="K6144" s="12" t="s">
        <v>81</v>
      </c>
      <c r="L6144" s="12" t="s">
        <v>96</v>
      </c>
      <c r="M6144">
        <v>4.8099999999999996</v>
      </c>
      <c r="N6144" s="12" t="s">
        <v>135</v>
      </c>
      <c r="O6144" s="12" t="s">
        <v>136</v>
      </c>
      <c r="P6144" s="12" t="s">
        <v>137</v>
      </c>
      <c r="Q6144" s="13">
        <v>45989</v>
      </c>
      <c r="R6144" s="13">
        <v>46024</v>
      </c>
      <c r="S6144">
        <v>2025</v>
      </c>
      <c r="T6144" s="12" t="s">
        <v>7071</v>
      </c>
      <c r="U6144">
        <v>126</v>
      </c>
      <c r="V6144">
        <v>346.24169999999998</v>
      </c>
      <c r="W6144">
        <v>665.25</v>
      </c>
      <c r="X6144">
        <v>1336.04</v>
      </c>
      <c r="Y6144">
        <v>1</v>
      </c>
      <c r="Z6144">
        <v>43626.45</v>
      </c>
      <c r="AA6144">
        <v>45627.74</v>
      </c>
      <c r="AB6144" s="12" t="s">
        <v>5685</v>
      </c>
      <c r="AC6144">
        <v>367.30009999999999</v>
      </c>
      <c r="AD6144">
        <v>1</v>
      </c>
      <c r="AE6144">
        <v>1</v>
      </c>
      <c r="AF6144">
        <v>-2653.36</v>
      </c>
      <c r="AG6144">
        <v>46279.81</v>
      </c>
      <c r="AK6144">
        <v>0</v>
      </c>
      <c r="AL6144">
        <v>0</v>
      </c>
      <c r="AO6144">
        <v>0</v>
      </c>
      <c r="AP6144" s="13"/>
    </row>
    <row r="6145" spans="1:44" x14ac:dyDescent="0.35">
      <c r="A6145" s="12" t="s">
        <v>7260</v>
      </c>
      <c r="B6145" s="12" t="s">
        <v>76</v>
      </c>
      <c r="C6145" s="12" t="s">
        <v>77</v>
      </c>
      <c r="D6145" s="12" t="s">
        <v>78</v>
      </c>
      <c r="E6145" s="12" t="s">
        <v>65</v>
      </c>
      <c r="F6145">
        <v>2</v>
      </c>
      <c r="G6145">
        <v>4</v>
      </c>
      <c r="H6145">
        <v>0</v>
      </c>
      <c r="I6145" s="12" t="s">
        <v>79</v>
      </c>
      <c r="J6145" s="12" t="s">
        <v>80</v>
      </c>
      <c r="K6145" s="12" t="s">
        <v>81</v>
      </c>
      <c r="L6145" s="12" t="s">
        <v>82</v>
      </c>
      <c r="M6145">
        <v>12.07</v>
      </c>
      <c r="N6145" s="12" t="s">
        <v>97</v>
      </c>
      <c r="O6145" s="12" t="s">
        <v>98</v>
      </c>
      <c r="P6145" s="12" t="s">
        <v>72</v>
      </c>
      <c r="Q6145" s="13">
        <v>45992</v>
      </c>
      <c r="R6145" s="13">
        <v>46016</v>
      </c>
      <c r="S6145">
        <v>2025</v>
      </c>
      <c r="T6145" s="12" t="s">
        <v>7261</v>
      </c>
      <c r="U6145">
        <v>92</v>
      </c>
      <c r="V6145">
        <v>44.0946</v>
      </c>
      <c r="W6145">
        <v>51.84</v>
      </c>
      <c r="X6145">
        <v>0</v>
      </c>
      <c r="Y6145">
        <v>0</v>
      </c>
      <c r="Z6145">
        <v>4056.7</v>
      </c>
      <c r="AA6145">
        <v>4108.54</v>
      </c>
      <c r="AB6145" s="12" t="s">
        <v>5427</v>
      </c>
      <c r="AC6145">
        <v>44.0946</v>
      </c>
      <c r="AD6145">
        <v>1</v>
      </c>
      <c r="AE6145">
        <v>1</v>
      </c>
      <c r="AF6145">
        <v>0</v>
      </c>
      <c r="AG6145">
        <v>4056.7</v>
      </c>
      <c r="AK6145">
        <v>0</v>
      </c>
      <c r="AL6145">
        <v>0</v>
      </c>
      <c r="AO6145">
        <v>0</v>
      </c>
      <c r="AP6145" s="13"/>
    </row>
    <row r="6146" spans="1:44" x14ac:dyDescent="0.35">
      <c r="A6146" s="12" t="s">
        <v>7262</v>
      </c>
      <c r="B6146" s="12" t="s">
        <v>62</v>
      </c>
      <c r="C6146" s="12" t="s">
        <v>63</v>
      </c>
      <c r="D6146" s="12" t="s">
        <v>64</v>
      </c>
      <c r="E6146" s="12" t="s">
        <v>65</v>
      </c>
      <c r="F6146">
        <v>1</v>
      </c>
      <c r="G6146">
        <v>2</v>
      </c>
      <c r="H6146">
        <v>1</v>
      </c>
      <c r="I6146" s="12" t="s">
        <v>66</v>
      </c>
      <c r="J6146" s="12" t="s">
        <v>67</v>
      </c>
      <c r="K6146" s="12" t="s">
        <v>68</v>
      </c>
      <c r="L6146" s="12" t="s">
        <v>69</v>
      </c>
      <c r="M6146">
        <v>17.66</v>
      </c>
      <c r="N6146" s="12" t="s">
        <v>97</v>
      </c>
      <c r="O6146" s="12" t="s">
        <v>98</v>
      </c>
      <c r="P6146" s="12" t="s">
        <v>72</v>
      </c>
      <c r="Q6146" s="13">
        <v>45992</v>
      </c>
      <c r="R6146" s="13">
        <v>46030</v>
      </c>
      <c r="S6146">
        <v>2025</v>
      </c>
      <c r="T6146" s="12" t="s">
        <v>7261</v>
      </c>
      <c r="U6146">
        <v>953</v>
      </c>
      <c r="V6146">
        <v>24.258600000000001</v>
      </c>
      <c r="W6146">
        <v>588.41999999999996</v>
      </c>
      <c r="X6146">
        <v>0</v>
      </c>
      <c r="Y6146">
        <v>0</v>
      </c>
      <c r="Z6146">
        <v>23118.45</v>
      </c>
      <c r="AA6146">
        <v>23706.87</v>
      </c>
      <c r="AB6146" s="12" t="s">
        <v>201</v>
      </c>
      <c r="AD6146">
        <v>0</v>
      </c>
      <c r="AE6146">
        <v>0</v>
      </c>
      <c r="AK6146">
        <v>0</v>
      </c>
      <c r="AL6146">
        <v>0</v>
      </c>
      <c r="AO6146">
        <v>0</v>
      </c>
      <c r="AP6146" s="13"/>
    </row>
    <row r="6147" spans="1:44" x14ac:dyDescent="0.35">
      <c r="A6147" s="12" t="s">
        <v>7263</v>
      </c>
      <c r="B6147" s="12" t="s">
        <v>249</v>
      </c>
      <c r="C6147" s="12" t="s">
        <v>250</v>
      </c>
      <c r="D6147" s="12" t="s">
        <v>64</v>
      </c>
      <c r="E6147" s="12" t="s">
        <v>65</v>
      </c>
      <c r="F6147">
        <v>2</v>
      </c>
      <c r="G6147">
        <v>3</v>
      </c>
      <c r="H6147">
        <v>0</v>
      </c>
      <c r="I6147" s="12" t="s">
        <v>251</v>
      </c>
      <c r="J6147" s="12" t="s">
        <v>252</v>
      </c>
      <c r="K6147" s="12" t="s">
        <v>133</v>
      </c>
      <c r="L6147" s="12" t="s">
        <v>69</v>
      </c>
      <c r="M6147">
        <v>34.49</v>
      </c>
      <c r="N6147" s="12" t="s">
        <v>70</v>
      </c>
      <c r="O6147" s="12" t="s">
        <v>71</v>
      </c>
      <c r="P6147" s="12" t="s">
        <v>72</v>
      </c>
      <c r="Q6147" s="13">
        <v>45992</v>
      </c>
      <c r="R6147" s="13">
        <v>46021</v>
      </c>
      <c r="S6147">
        <v>2025</v>
      </c>
      <c r="T6147" s="12" t="s">
        <v>7261</v>
      </c>
      <c r="U6147">
        <v>518</v>
      </c>
      <c r="V6147">
        <v>9.9464000000000006</v>
      </c>
      <c r="W6147">
        <v>39.47</v>
      </c>
      <c r="X6147">
        <v>0</v>
      </c>
      <c r="Y6147">
        <v>0</v>
      </c>
      <c r="Z6147">
        <v>5152.24</v>
      </c>
      <c r="AA6147">
        <v>5191.71</v>
      </c>
      <c r="AB6147" s="12" t="s">
        <v>5207</v>
      </c>
      <c r="AC6147">
        <v>9.9464000000000006</v>
      </c>
      <c r="AD6147">
        <v>1</v>
      </c>
      <c r="AE6147">
        <v>1</v>
      </c>
      <c r="AF6147">
        <v>0</v>
      </c>
      <c r="AG6147">
        <v>5152.24</v>
      </c>
      <c r="AH6147">
        <v>518</v>
      </c>
      <c r="AI6147">
        <v>513</v>
      </c>
      <c r="AJ6147">
        <v>5</v>
      </c>
      <c r="AK6147">
        <v>1</v>
      </c>
      <c r="AL6147">
        <v>1</v>
      </c>
      <c r="AM6147">
        <v>99.03</v>
      </c>
      <c r="AN6147">
        <v>10.1203</v>
      </c>
      <c r="AO6147">
        <v>49.73</v>
      </c>
      <c r="AP6147" s="13">
        <v>46019</v>
      </c>
      <c r="AQ6147">
        <v>-2</v>
      </c>
      <c r="AR6147">
        <v>1</v>
      </c>
    </row>
    <row r="6148" spans="1:44" x14ac:dyDescent="0.35">
      <c r="A6148" s="12" t="s">
        <v>7264</v>
      </c>
      <c r="B6148" s="12" t="s">
        <v>331</v>
      </c>
      <c r="C6148" s="12" t="s">
        <v>332</v>
      </c>
      <c r="D6148" s="12" t="s">
        <v>122</v>
      </c>
      <c r="E6148" s="12" t="s">
        <v>142</v>
      </c>
      <c r="F6148">
        <v>3</v>
      </c>
      <c r="G6148">
        <v>11</v>
      </c>
      <c r="H6148">
        <v>0</v>
      </c>
      <c r="I6148" s="12" t="s">
        <v>263</v>
      </c>
      <c r="J6148" s="12" t="s">
        <v>264</v>
      </c>
      <c r="K6148" s="12" t="s">
        <v>125</v>
      </c>
      <c r="L6148" s="12" t="s">
        <v>82</v>
      </c>
      <c r="M6148">
        <v>10.210000000000001</v>
      </c>
      <c r="N6148" s="12" t="s">
        <v>70</v>
      </c>
      <c r="O6148" s="12" t="s">
        <v>71</v>
      </c>
      <c r="P6148" s="12" t="s">
        <v>72</v>
      </c>
      <c r="Q6148" s="13">
        <v>45992</v>
      </c>
      <c r="R6148" s="13">
        <v>46029</v>
      </c>
      <c r="S6148">
        <v>2025</v>
      </c>
      <c r="T6148" s="12" t="s">
        <v>7261</v>
      </c>
      <c r="U6148">
        <v>475</v>
      </c>
      <c r="V6148">
        <v>23.006</v>
      </c>
      <c r="W6148">
        <v>164.74</v>
      </c>
      <c r="X6148">
        <v>0</v>
      </c>
      <c r="Y6148">
        <v>0</v>
      </c>
      <c r="Z6148">
        <v>10927.85</v>
      </c>
      <c r="AA6148">
        <v>11092.59</v>
      </c>
      <c r="AB6148" s="12" t="s">
        <v>5234</v>
      </c>
      <c r="AC6148">
        <v>23.006</v>
      </c>
      <c r="AD6148">
        <v>1</v>
      </c>
      <c r="AE6148">
        <v>1</v>
      </c>
      <c r="AF6148">
        <v>0</v>
      </c>
      <c r="AG6148">
        <v>10927.85</v>
      </c>
      <c r="AK6148">
        <v>0</v>
      </c>
      <c r="AL6148">
        <v>0</v>
      </c>
      <c r="AO6148">
        <v>0</v>
      </c>
      <c r="AP6148" s="13"/>
    </row>
    <row r="6149" spans="1:44" x14ac:dyDescent="0.35">
      <c r="A6149" s="12" t="s">
        <v>7265</v>
      </c>
      <c r="B6149" s="12" t="s">
        <v>378</v>
      </c>
      <c r="C6149" s="12" t="s">
        <v>379</v>
      </c>
      <c r="D6149" s="12" t="s">
        <v>64</v>
      </c>
      <c r="E6149" s="12" t="s">
        <v>104</v>
      </c>
      <c r="F6149">
        <v>3</v>
      </c>
      <c r="G6149">
        <v>1</v>
      </c>
      <c r="H6149">
        <v>0</v>
      </c>
      <c r="I6149" s="12" t="s">
        <v>380</v>
      </c>
      <c r="J6149" s="12" t="s">
        <v>381</v>
      </c>
      <c r="K6149" s="12" t="s">
        <v>89</v>
      </c>
      <c r="L6149" s="12" t="s">
        <v>96</v>
      </c>
      <c r="M6149">
        <v>10.210000000000001</v>
      </c>
      <c r="N6149" s="12" t="s">
        <v>70</v>
      </c>
      <c r="O6149" s="12" t="s">
        <v>71</v>
      </c>
      <c r="P6149" s="12" t="s">
        <v>72</v>
      </c>
      <c r="Q6149" s="13">
        <v>45992</v>
      </c>
      <c r="R6149" s="13">
        <v>46017</v>
      </c>
      <c r="S6149">
        <v>2025</v>
      </c>
      <c r="T6149" s="12" t="s">
        <v>7261</v>
      </c>
      <c r="U6149">
        <v>792</v>
      </c>
      <c r="V6149">
        <v>15.3193</v>
      </c>
      <c r="W6149">
        <v>284.47000000000003</v>
      </c>
      <c r="X6149">
        <v>0</v>
      </c>
      <c r="Y6149">
        <v>0</v>
      </c>
      <c r="Z6149">
        <v>12132.89</v>
      </c>
      <c r="AA6149">
        <v>12417.36</v>
      </c>
      <c r="AB6149" s="12" t="s">
        <v>5544</v>
      </c>
      <c r="AC6149">
        <v>15.3193</v>
      </c>
      <c r="AD6149">
        <v>1</v>
      </c>
      <c r="AE6149">
        <v>1</v>
      </c>
      <c r="AF6149">
        <v>0</v>
      </c>
      <c r="AG6149">
        <v>12132.89</v>
      </c>
      <c r="AH6149">
        <v>792</v>
      </c>
      <c r="AI6149">
        <v>786</v>
      </c>
      <c r="AJ6149">
        <v>6</v>
      </c>
      <c r="AK6149">
        <v>1</v>
      </c>
      <c r="AL6149">
        <v>1</v>
      </c>
      <c r="AM6149">
        <v>99.24</v>
      </c>
      <c r="AN6149">
        <v>15.7982</v>
      </c>
      <c r="AO6149">
        <v>91.92</v>
      </c>
      <c r="AP6149" s="13">
        <v>46015</v>
      </c>
      <c r="AQ6149">
        <v>-2</v>
      </c>
      <c r="AR6149">
        <v>1</v>
      </c>
    </row>
    <row r="6150" spans="1:44" x14ac:dyDescent="0.35">
      <c r="A6150" s="12" t="s">
        <v>7266</v>
      </c>
      <c r="B6150" s="12" t="s">
        <v>255</v>
      </c>
      <c r="C6150" s="12" t="s">
        <v>256</v>
      </c>
      <c r="D6150" s="12" t="s">
        <v>103</v>
      </c>
      <c r="E6150" s="12" t="s">
        <v>65</v>
      </c>
      <c r="F6150">
        <v>2</v>
      </c>
      <c r="G6150">
        <v>4</v>
      </c>
      <c r="H6150">
        <v>0</v>
      </c>
      <c r="I6150" s="12" t="s">
        <v>143</v>
      </c>
      <c r="J6150" s="12" t="s">
        <v>144</v>
      </c>
      <c r="K6150" s="12" t="s">
        <v>133</v>
      </c>
      <c r="L6150" s="12" t="s">
        <v>96</v>
      </c>
      <c r="M6150">
        <v>5.43</v>
      </c>
      <c r="N6150" s="12" t="s">
        <v>145</v>
      </c>
      <c r="O6150" s="12" t="s">
        <v>146</v>
      </c>
      <c r="P6150" s="12" t="s">
        <v>109</v>
      </c>
      <c r="Q6150" s="13">
        <v>45992</v>
      </c>
      <c r="R6150" s="13">
        <v>46029</v>
      </c>
      <c r="S6150">
        <v>2025</v>
      </c>
      <c r="T6150" s="12" t="s">
        <v>7261</v>
      </c>
      <c r="U6150">
        <v>137</v>
      </c>
      <c r="V6150">
        <v>95.061000000000007</v>
      </c>
      <c r="W6150">
        <v>207.91</v>
      </c>
      <c r="X6150">
        <v>0</v>
      </c>
      <c r="Y6150">
        <v>0</v>
      </c>
      <c r="Z6150">
        <v>13023.36</v>
      </c>
      <c r="AA6150">
        <v>13231.27</v>
      </c>
      <c r="AB6150" s="12" t="s">
        <v>5188</v>
      </c>
      <c r="AC6150">
        <v>95.061000000000007</v>
      </c>
      <c r="AD6150">
        <v>1</v>
      </c>
      <c r="AE6150">
        <v>1</v>
      </c>
      <c r="AF6150">
        <v>0</v>
      </c>
      <c r="AG6150">
        <v>13023.36</v>
      </c>
      <c r="AK6150">
        <v>0</v>
      </c>
      <c r="AL6150">
        <v>0</v>
      </c>
      <c r="AO6150">
        <v>0</v>
      </c>
      <c r="AP6150" s="13"/>
    </row>
    <row r="6151" spans="1:44" x14ac:dyDescent="0.35">
      <c r="A6151" s="12" t="s">
        <v>7267</v>
      </c>
      <c r="B6151" s="12" t="s">
        <v>1013</v>
      </c>
      <c r="C6151" s="12" t="s">
        <v>1014</v>
      </c>
      <c r="D6151" s="12" t="s">
        <v>78</v>
      </c>
      <c r="E6151" s="12" t="s">
        <v>65</v>
      </c>
      <c r="F6151">
        <v>2</v>
      </c>
      <c r="G6151">
        <v>3</v>
      </c>
      <c r="H6151">
        <v>0</v>
      </c>
      <c r="I6151" s="12" t="s">
        <v>123</v>
      </c>
      <c r="J6151" s="12" t="s">
        <v>124</v>
      </c>
      <c r="K6151" s="12" t="s">
        <v>125</v>
      </c>
      <c r="L6151" s="12" t="s">
        <v>82</v>
      </c>
      <c r="M6151">
        <v>6.75</v>
      </c>
      <c r="N6151" s="12" t="s">
        <v>97</v>
      </c>
      <c r="O6151" s="12" t="s">
        <v>98</v>
      </c>
      <c r="P6151" s="12" t="s">
        <v>72</v>
      </c>
      <c r="Q6151" s="13">
        <v>45992</v>
      </c>
      <c r="R6151" s="13">
        <v>46026</v>
      </c>
      <c r="S6151">
        <v>2025</v>
      </c>
      <c r="T6151" s="12" t="s">
        <v>7261</v>
      </c>
      <c r="U6151">
        <v>234</v>
      </c>
      <c r="V6151">
        <v>124.94710000000001</v>
      </c>
      <c r="W6151">
        <v>731.76</v>
      </c>
      <c r="X6151">
        <v>0</v>
      </c>
      <c r="Y6151">
        <v>0</v>
      </c>
      <c r="Z6151">
        <v>29237.62</v>
      </c>
      <c r="AA6151">
        <v>29969.38</v>
      </c>
      <c r="AB6151" s="12" t="s">
        <v>6350</v>
      </c>
      <c r="AC6151">
        <v>124.94710000000001</v>
      </c>
      <c r="AD6151">
        <v>1</v>
      </c>
      <c r="AE6151">
        <v>1</v>
      </c>
      <c r="AF6151">
        <v>0</v>
      </c>
      <c r="AG6151">
        <v>29237.62</v>
      </c>
      <c r="AK6151">
        <v>0</v>
      </c>
      <c r="AL6151">
        <v>0</v>
      </c>
      <c r="AO6151">
        <v>0</v>
      </c>
      <c r="AP6151" s="13"/>
    </row>
    <row r="6152" spans="1:44" x14ac:dyDescent="0.35">
      <c r="A6152" s="12" t="s">
        <v>7268</v>
      </c>
      <c r="B6152" s="12" t="s">
        <v>482</v>
      </c>
      <c r="C6152" s="12" t="s">
        <v>483</v>
      </c>
      <c r="D6152" s="12" t="s">
        <v>78</v>
      </c>
      <c r="E6152" s="12" t="s">
        <v>142</v>
      </c>
      <c r="F6152">
        <v>2</v>
      </c>
      <c r="G6152">
        <v>9</v>
      </c>
      <c r="H6152">
        <v>0</v>
      </c>
      <c r="I6152" s="12" t="s">
        <v>87</v>
      </c>
      <c r="J6152" s="12" t="s">
        <v>88</v>
      </c>
      <c r="K6152" s="12" t="s">
        <v>89</v>
      </c>
      <c r="L6152" s="12" t="s">
        <v>69</v>
      </c>
      <c r="M6152">
        <v>14.93</v>
      </c>
      <c r="N6152" s="12" t="s">
        <v>70</v>
      </c>
      <c r="O6152" s="12" t="s">
        <v>71</v>
      </c>
      <c r="P6152" s="12" t="s">
        <v>72</v>
      </c>
      <c r="Q6152" s="13">
        <v>45992</v>
      </c>
      <c r="R6152" s="13">
        <v>46030</v>
      </c>
      <c r="S6152">
        <v>2025</v>
      </c>
      <c r="T6152" s="12" t="s">
        <v>7261</v>
      </c>
      <c r="U6152">
        <v>83</v>
      </c>
      <c r="V6152">
        <v>44.658099999999997</v>
      </c>
      <c r="W6152">
        <v>50.04</v>
      </c>
      <c r="X6152">
        <v>0</v>
      </c>
      <c r="Y6152">
        <v>0</v>
      </c>
      <c r="Z6152">
        <v>3706.62</v>
      </c>
      <c r="AA6152">
        <v>3756.66</v>
      </c>
      <c r="AB6152" s="12" t="s">
        <v>5658</v>
      </c>
      <c r="AC6152">
        <v>44.658099999999997</v>
      </c>
      <c r="AD6152">
        <v>1</v>
      </c>
      <c r="AE6152">
        <v>1</v>
      </c>
      <c r="AF6152">
        <v>0</v>
      </c>
      <c r="AG6152">
        <v>3706.62</v>
      </c>
      <c r="AK6152">
        <v>0</v>
      </c>
      <c r="AL6152">
        <v>0</v>
      </c>
      <c r="AO6152">
        <v>0</v>
      </c>
      <c r="AP6152" s="13"/>
    </row>
    <row r="6153" spans="1:44" x14ac:dyDescent="0.35">
      <c r="A6153" s="12" t="s">
        <v>7269</v>
      </c>
      <c r="B6153" s="12" t="s">
        <v>101</v>
      </c>
      <c r="C6153" s="12" t="s">
        <v>102</v>
      </c>
      <c r="D6153" s="12" t="s">
        <v>103</v>
      </c>
      <c r="E6153" s="12" t="s">
        <v>104</v>
      </c>
      <c r="F6153">
        <v>1</v>
      </c>
      <c r="G6153">
        <v>0</v>
      </c>
      <c r="H6153">
        <v>1</v>
      </c>
      <c r="I6153" s="12" t="s">
        <v>105</v>
      </c>
      <c r="J6153" s="12" t="s">
        <v>106</v>
      </c>
      <c r="K6153" s="12" t="s">
        <v>81</v>
      </c>
      <c r="L6153" s="12" t="s">
        <v>96</v>
      </c>
      <c r="M6153">
        <v>5.01</v>
      </c>
      <c r="N6153" s="12" t="s">
        <v>107</v>
      </c>
      <c r="O6153" s="12" t="s">
        <v>108</v>
      </c>
      <c r="P6153" s="12" t="s">
        <v>109</v>
      </c>
      <c r="Q6153" s="13">
        <v>45993</v>
      </c>
      <c r="R6153" s="13">
        <v>46009</v>
      </c>
      <c r="S6153">
        <v>2025</v>
      </c>
      <c r="T6153" s="12" t="s">
        <v>7261</v>
      </c>
      <c r="U6153">
        <v>46</v>
      </c>
      <c r="V6153">
        <v>203.18520000000001</v>
      </c>
      <c r="W6153">
        <v>118.84</v>
      </c>
      <c r="X6153">
        <v>0</v>
      </c>
      <c r="Y6153">
        <v>0</v>
      </c>
      <c r="Z6153">
        <v>9346.52</v>
      </c>
      <c r="AA6153">
        <v>9465.36</v>
      </c>
      <c r="AB6153" s="12" t="s">
        <v>5173</v>
      </c>
      <c r="AC6153">
        <v>203.18520000000001</v>
      </c>
      <c r="AD6153">
        <v>1</v>
      </c>
      <c r="AE6153">
        <v>1</v>
      </c>
      <c r="AF6153">
        <v>0</v>
      </c>
      <c r="AG6153">
        <v>9346.52</v>
      </c>
      <c r="AH6153">
        <v>46</v>
      </c>
      <c r="AI6153">
        <v>45</v>
      </c>
      <c r="AJ6153">
        <v>1</v>
      </c>
      <c r="AK6153">
        <v>1</v>
      </c>
      <c r="AL6153">
        <v>1</v>
      </c>
      <c r="AM6153">
        <v>97.83</v>
      </c>
      <c r="AN6153">
        <v>210.34129999999999</v>
      </c>
      <c r="AO6153">
        <v>203.19</v>
      </c>
      <c r="AP6153" s="13">
        <v>46007</v>
      </c>
      <c r="AQ6153">
        <v>-2</v>
      </c>
      <c r="AR6153">
        <v>1</v>
      </c>
    </row>
    <row r="6154" spans="1:44" x14ac:dyDescent="0.35">
      <c r="A6154" s="12" t="s">
        <v>7270</v>
      </c>
      <c r="B6154" s="12" t="s">
        <v>163</v>
      </c>
      <c r="C6154" s="12" t="s">
        <v>164</v>
      </c>
      <c r="D6154" s="12" t="s">
        <v>64</v>
      </c>
      <c r="E6154" s="12" t="s">
        <v>104</v>
      </c>
      <c r="F6154">
        <v>2</v>
      </c>
      <c r="G6154">
        <v>0</v>
      </c>
      <c r="H6154">
        <v>0</v>
      </c>
      <c r="I6154" s="12" t="s">
        <v>79</v>
      </c>
      <c r="J6154" s="12" t="s">
        <v>80</v>
      </c>
      <c r="K6154" s="12" t="s">
        <v>81</v>
      </c>
      <c r="L6154" s="12" t="s">
        <v>82</v>
      </c>
      <c r="M6154">
        <v>12.07</v>
      </c>
      <c r="N6154" s="12" t="s">
        <v>70</v>
      </c>
      <c r="O6154" s="12" t="s">
        <v>71</v>
      </c>
      <c r="P6154" s="12" t="s">
        <v>72</v>
      </c>
      <c r="Q6154" s="13">
        <v>45993</v>
      </c>
      <c r="R6154" s="13">
        <v>46006</v>
      </c>
      <c r="S6154">
        <v>2025</v>
      </c>
      <c r="T6154" s="12" t="s">
        <v>7261</v>
      </c>
      <c r="U6154">
        <v>198</v>
      </c>
      <c r="V6154">
        <v>10.482900000000001</v>
      </c>
      <c r="W6154">
        <v>35.369999999999997</v>
      </c>
      <c r="X6154">
        <v>0</v>
      </c>
      <c r="Y6154">
        <v>0</v>
      </c>
      <c r="Z6154">
        <v>2075.61</v>
      </c>
      <c r="AA6154">
        <v>2110.98</v>
      </c>
      <c r="AB6154" s="12" t="s">
        <v>5303</v>
      </c>
      <c r="AC6154">
        <v>10.482900000000001</v>
      </c>
      <c r="AD6154">
        <v>1</v>
      </c>
      <c r="AE6154">
        <v>1</v>
      </c>
      <c r="AF6154">
        <v>0</v>
      </c>
      <c r="AG6154">
        <v>2075.61</v>
      </c>
      <c r="AH6154">
        <v>198</v>
      </c>
      <c r="AI6154">
        <v>196</v>
      </c>
      <c r="AJ6154">
        <v>2</v>
      </c>
      <c r="AK6154">
        <v>1</v>
      </c>
      <c r="AL6154">
        <v>1</v>
      </c>
      <c r="AM6154">
        <v>98.99</v>
      </c>
      <c r="AN6154">
        <v>10.770300000000001</v>
      </c>
      <c r="AO6154">
        <v>20.97</v>
      </c>
      <c r="AP6154" s="13">
        <v>46003</v>
      </c>
      <c r="AQ6154">
        <v>-3</v>
      </c>
      <c r="AR6154">
        <v>1</v>
      </c>
    </row>
    <row r="6155" spans="1:44" x14ac:dyDescent="0.35">
      <c r="A6155" s="12" t="s">
        <v>7271</v>
      </c>
      <c r="B6155" s="12" t="s">
        <v>617</v>
      </c>
      <c r="C6155" s="12" t="s">
        <v>618</v>
      </c>
      <c r="D6155" s="12" t="s">
        <v>78</v>
      </c>
      <c r="E6155" s="12" t="s">
        <v>65</v>
      </c>
      <c r="F6155">
        <v>2</v>
      </c>
      <c r="G6155">
        <v>4</v>
      </c>
      <c r="H6155">
        <v>0</v>
      </c>
      <c r="I6155" s="12" t="s">
        <v>341</v>
      </c>
      <c r="J6155" s="12" t="s">
        <v>342</v>
      </c>
      <c r="K6155" s="12" t="s">
        <v>117</v>
      </c>
      <c r="L6155" s="12" t="s">
        <v>82</v>
      </c>
      <c r="M6155">
        <v>18.36</v>
      </c>
      <c r="N6155" s="12" t="s">
        <v>70</v>
      </c>
      <c r="O6155" s="12" t="s">
        <v>71</v>
      </c>
      <c r="P6155" s="12" t="s">
        <v>72</v>
      </c>
      <c r="Q6155" s="13">
        <v>45993</v>
      </c>
      <c r="R6155" s="13">
        <v>46029</v>
      </c>
      <c r="S6155">
        <v>2025</v>
      </c>
      <c r="T6155" s="12" t="s">
        <v>7261</v>
      </c>
      <c r="U6155">
        <v>258</v>
      </c>
      <c r="V6155">
        <v>97.033799999999999</v>
      </c>
      <c r="W6155">
        <v>234.77</v>
      </c>
      <c r="X6155">
        <v>0</v>
      </c>
      <c r="Y6155">
        <v>0</v>
      </c>
      <c r="Z6155">
        <v>25034.720000000001</v>
      </c>
      <c r="AA6155">
        <v>25269.49</v>
      </c>
      <c r="AB6155" s="12" t="s">
        <v>5541</v>
      </c>
      <c r="AC6155">
        <v>97.033799999999999</v>
      </c>
      <c r="AD6155">
        <v>1</v>
      </c>
      <c r="AE6155">
        <v>1</v>
      </c>
      <c r="AF6155">
        <v>0</v>
      </c>
      <c r="AG6155">
        <v>25034.720000000001</v>
      </c>
      <c r="AK6155">
        <v>0</v>
      </c>
      <c r="AL6155">
        <v>0</v>
      </c>
      <c r="AO6155">
        <v>0</v>
      </c>
      <c r="AP6155" s="13"/>
    </row>
    <row r="6156" spans="1:44" x14ac:dyDescent="0.35">
      <c r="A6156" s="12" t="s">
        <v>7272</v>
      </c>
      <c r="B6156" s="12" t="s">
        <v>120</v>
      </c>
      <c r="C6156" s="12" t="s">
        <v>121</v>
      </c>
      <c r="D6156" s="12" t="s">
        <v>122</v>
      </c>
      <c r="E6156" s="12" t="s">
        <v>65</v>
      </c>
      <c r="F6156">
        <v>3</v>
      </c>
      <c r="G6156">
        <v>4</v>
      </c>
      <c r="H6156">
        <v>0</v>
      </c>
      <c r="I6156" s="12" t="s">
        <v>209</v>
      </c>
      <c r="J6156" s="12" t="s">
        <v>210</v>
      </c>
      <c r="K6156" s="12" t="s">
        <v>133</v>
      </c>
      <c r="L6156" s="12" t="s">
        <v>96</v>
      </c>
      <c r="M6156">
        <v>7.82</v>
      </c>
      <c r="N6156" s="12" t="s">
        <v>97</v>
      </c>
      <c r="O6156" s="12" t="s">
        <v>98</v>
      </c>
      <c r="P6156" s="12" t="s">
        <v>72</v>
      </c>
      <c r="Q6156" s="13">
        <v>45993</v>
      </c>
      <c r="R6156" s="13">
        <v>46017</v>
      </c>
      <c r="S6156">
        <v>2025</v>
      </c>
      <c r="T6156" s="12" t="s">
        <v>7261</v>
      </c>
      <c r="U6156">
        <v>520</v>
      </c>
      <c r="V6156">
        <v>53.744599999999998</v>
      </c>
      <c r="W6156">
        <v>409.15</v>
      </c>
      <c r="X6156">
        <v>0</v>
      </c>
      <c r="Y6156">
        <v>0</v>
      </c>
      <c r="Z6156">
        <v>27947.19</v>
      </c>
      <c r="AA6156">
        <v>28356.34</v>
      </c>
      <c r="AB6156" s="12" t="s">
        <v>201</v>
      </c>
      <c r="AD6156">
        <v>0</v>
      </c>
      <c r="AE6156">
        <v>0</v>
      </c>
      <c r="AH6156">
        <v>520</v>
      </c>
      <c r="AI6156">
        <v>516</v>
      </c>
      <c r="AJ6156">
        <v>4</v>
      </c>
      <c r="AK6156">
        <v>1</v>
      </c>
      <c r="AL6156">
        <v>1</v>
      </c>
      <c r="AM6156">
        <v>99.23</v>
      </c>
      <c r="AN6156">
        <v>54.9542</v>
      </c>
      <c r="AO6156">
        <v>214.98</v>
      </c>
      <c r="AP6156" s="13">
        <v>46022</v>
      </c>
      <c r="AQ6156">
        <v>5</v>
      </c>
      <c r="AR6156">
        <v>0</v>
      </c>
    </row>
    <row r="6157" spans="1:44" x14ac:dyDescent="0.35">
      <c r="A6157" s="12" t="s">
        <v>7273</v>
      </c>
      <c r="B6157" s="12" t="s">
        <v>1666</v>
      </c>
      <c r="C6157" s="12" t="s">
        <v>1667</v>
      </c>
      <c r="D6157" s="12" t="s">
        <v>78</v>
      </c>
      <c r="E6157" s="12" t="s">
        <v>65</v>
      </c>
      <c r="F6157">
        <v>2</v>
      </c>
      <c r="G6157">
        <v>3</v>
      </c>
      <c r="H6157">
        <v>0</v>
      </c>
      <c r="I6157" s="12" t="s">
        <v>310</v>
      </c>
      <c r="J6157" s="12" t="s">
        <v>311</v>
      </c>
      <c r="K6157" s="12" t="s">
        <v>81</v>
      </c>
      <c r="L6157" s="12" t="s">
        <v>69</v>
      </c>
      <c r="M6157">
        <v>28.3</v>
      </c>
      <c r="N6157" s="12" t="s">
        <v>97</v>
      </c>
      <c r="O6157" s="12" t="s">
        <v>98</v>
      </c>
      <c r="P6157" s="12" t="s">
        <v>72</v>
      </c>
      <c r="Q6157" s="13">
        <v>45993</v>
      </c>
      <c r="R6157" s="13">
        <v>46016</v>
      </c>
      <c r="S6157">
        <v>2025</v>
      </c>
      <c r="T6157" s="12" t="s">
        <v>7261</v>
      </c>
      <c r="U6157">
        <v>76</v>
      </c>
      <c r="V6157">
        <v>71.7453</v>
      </c>
      <c r="W6157">
        <v>82.14</v>
      </c>
      <c r="X6157">
        <v>0</v>
      </c>
      <c r="Y6157">
        <v>0</v>
      </c>
      <c r="Z6157">
        <v>5452.64</v>
      </c>
      <c r="AA6157">
        <v>5534.78</v>
      </c>
      <c r="AB6157" s="12" t="s">
        <v>5785</v>
      </c>
      <c r="AC6157">
        <v>71.7453</v>
      </c>
      <c r="AD6157">
        <v>1</v>
      </c>
      <c r="AE6157">
        <v>1</v>
      </c>
      <c r="AF6157">
        <v>0</v>
      </c>
      <c r="AG6157">
        <v>5452.64</v>
      </c>
      <c r="AH6157">
        <v>76</v>
      </c>
      <c r="AI6157">
        <v>75</v>
      </c>
      <c r="AJ6157">
        <v>1</v>
      </c>
      <c r="AK6157">
        <v>1</v>
      </c>
      <c r="AL6157">
        <v>1</v>
      </c>
      <c r="AM6157">
        <v>98.68</v>
      </c>
      <c r="AN6157">
        <v>73.7971</v>
      </c>
      <c r="AO6157">
        <v>71.75</v>
      </c>
      <c r="AP6157" s="13">
        <v>46015</v>
      </c>
      <c r="AQ6157">
        <v>-1</v>
      </c>
      <c r="AR6157">
        <v>1</v>
      </c>
    </row>
    <row r="6158" spans="1:44" x14ac:dyDescent="0.35">
      <c r="A6158" s="12" t="s">
        <v>7274</v>
      </c>
      <c r="B6158" s="12" t="s">
        <v>657</v>
      </c>
      <c r="C6158" s="12" t="s">
        <v>658</v>
      </c>
      <c r="D6158" s="12" t="s">
        <v>175</v>
      </c>
      <c r="E6158" s="12" t="s">
        <v>65</v>
      </c>
      <c r="F6158">
        <v>1</v>
      </c>
      <c r="G6158">
        <v>2</v>
      </c>
      <c r="H6158">
        <v>1</v>
      </c>
      <c r="I6158" s="12" t="s">
        <v>183</v>
      </c>
      <c r="J6158" s="12" t="s">
        <v>184</v>
      </c>
      <c r="K6158" s="12" t="s">
        <v>133</v>
      </c>
      <c r="L6158" s="12" t="s">
        <v>82</v>
      </c>
      <c r="M6158">
        <v>8.6199999999999992</v>
      </c>
      <c r="N6158" s="12" t="s">
        <v>145</v>
      </c>
      <c r="O6158" s="12" t="s">
        <v>146</v>
      </c>
      <c r="P6158" s="12" t="s">
        <v>109</v>
      </c>
      <c r="Q6158" s="13">
        <v>45993</v>
      </c>
      <c r="R6158" s="13">
        <v>46030</v>
      </c>
      <c r="S6158">
        <v>2025</v>
      </c>
      <c r="T6158" s="12" t="s">
        <v>7261</v>
      </c>
      <c r="U6158">
        <v>138</v>
      </c>
      <c r="V6158">
        <v>144.5094</v>
      </c>
      <c r="W6158">
        <v>226.66</v>
      </c>
      <c r="X6158">
        <v>0</v>
      </c>
      <c r="Y6158">
        <v>0</v>
      </c>
      <c r="Z6158">
        <v>19942.3</v>
      </c>
      <c r="AA6158">
        <v>20168.96</v>
      </c>
      <c r="AB6158" s="12" t="s">
        <v>5771</v>
      </c>
      <c r="AC6158">
        <v>144.5094</v>
      </c>
      <c r="AD6158">
        <v>1</v>
      </c>
      <c r="AE6158">
        <v>1</v>
      </c>
      <c r="AF6158">
        <v>0</v>
      </c>
      <c r="AG6158">
        <v>19942.3</v>
      </c>
      <c r="AK6158">
        <v>0</v>
      </c>
      <c r="AL6158">
        <v>0</v>
      </c>
      <c r="AO6158">
        <v>0</v>
      </c>
      <c r="AP6158" s="13"/>
    </row>
    <row r="6159" spans="1:44" x14ac:dyDescent="0.35">
      <c r="A6159" s="12" t="s">
        <v>7275</v>
      </c>
      <c r="B6159" s="12" t="s">
        <v>855</v>
      </c>
      <c r="C6159" s="12" t="s">
        <v>856</v>
      </c>
      <c r="D6159" s="12" t="s">
        <v>269</v>
      </c>
      <c r="E6159" s="12" t="s">
        <v>65</v>
      </c>
      <c r="F6159">
        <v>3</v>
      </c>
      <c r="G6159">
        <v>5</v>
      </c>
      <c r="H6159">
        <v>0</v>
      </c>
      <c r="I6159" s="12" t="s">
        <v>66</v>
      </c>
      <c r="J6159" s="12" t="s">
        <v>67</v>
      </c>
      <c r="K6159" s="12" t="s">
        <v>68</v>
      </c>
      <c r="L6159" s="12" t="s">
        <v>69</v>
      </c>
      <c r="M6159">
        <v>17.66</v>
      </c>
      <c r="N6159" s="12" t="s">
        <v>159</v>
      </c>
      <c r="O6159" s="12" t="s">
        <v>160</v>
      </c>
      <c r="P6159" s="12" t="s">
        <v>137</v>
      </c>
      <c r="Q6159" s="13">
        <v>45993</v>
      </c>
      <c r="R6159" s="13">
        <v>46020</v>
      </c>
      <c r="S6159">
        <v>2025</v>
      </c>
      <c r="T6159" s="12" t="s">
        <v>7261</v>
      </c>
      <c r="U6159">
        <v>60</v>
      </c>
      <c r="V6159">
        <v>429.46230000000003</v>
      </c>
      <c r="W6159">
        <v>565.39</v>
      </c>
      <c r="X6159">
        <v>0</v>
      </c>
      <c r="Y6159">
        <v>0</v>
      </c>
      <c r="Z6159">
        <v>25767.74</v>
      </c>
      <c r="AA6159">
        <v>26333.13</v>
      </c>
      <c r="AB6159" s="12" t="s">
        <v>7276</v>
      </c>
      <c r="AC6159">
        <v>429.46230000000003</v>
      </c>
      <c r="AD6159">
        <v>1</v>
      </c>
      <c r="AE6159">
        <v>1</v>
      </c>
      <c r="AF6159">
        <v>0</v>
      </c>
      <c r="AG6159">
        <v>25767.74</v>
      </c>
      <c r="AH6159">
        <v>60</v>
      </c>
      <c r="AI6159">
        <v>60</v>
      </c>
      <c r="AJ6159">
        <v>0</v>
      </c>
      <c r="AK6159">
        <v>1</v>
      </c>
      <c r="AL6159">
        <v>1</v>
      </c>
      <c r="AM6159">
        <v>100</v>
      </c>
      <c r="AN6159">
        <v>438.88549999999998</v>
      </c>
      <c r="AO6159">
        <v>0</v>
      </c>
      <c r="AP6159" s="13">
        <v>46019</v>
      </c>
      <c r="AQ6159">
        <v>-1</v>
      </c>
      <c r="AR6159">
        <v>1</v>
      </c>
    </row>
    <row r="6160" spans="1:44" x14ac:dyDescent="0.35">
      <c r="A6160" s="12" t="s">
        <v>7277</v>
      </c>
      <c r="B6160" s="12" t="s">
        <v>458</v>
      </c>
      <c r="C6160" s="12" t="s">
        <v>459</v>
      </c>
      <c r="D6160" s="12" t="s">
        <v>64</v>
      </c>
      <c r="E6160" s="12" t="s">
        <v>104</v>
      </c>
      <c r="F6160">
        <v>2</v>
      </c>
      <c r="G6160">
        <v>0</v>
      </c>
      <c r="H6160">
        <v>0</v>
      </c>
      <c r="I6160" s="12" t="s">
        <v>199</v>
      </c>
      <c r="J6160" s="12" t="s">
        <v>200</v>
      </c>
      <c r="K6160" s="12" t="s">
        <v>68</v>
      </c>
      <c r="L6160" s="12" t="s">
        <v>96</v>
      </c>
      <c r="M6160">
        <v>9.4700000000000006</v>
      </c>
      <c r="N6160" s="12" t="s">
        <v>97</v>
      </c>
      <c r="O6160" s="12" t="s">
        <v>98</v>
      </c>
      <c r="P6160" s="12" t="s">
        <v>72</v>
      </c>
      <c r="Q6160" s="13">
        <v>45993</v>
      </c>
      <c r="R6160" s="13">
        <v>46015</v>
      </c>
      <c r="S6160">
        <v>2025</v>
      </c>
      <c r="T6160" s="12" t="s">
        <v>7261</v>
      </c>
      <c r="U6160">
        <v>612</v>
      </c>
      <c r="V6160">
        <v>20.119</v>
      </c>
      <c r="W6160">
        <v>108.16</v>
      </c>
      <c r="X6160">
        <v>0</v>
      </c>
      <c r="Y6160">
        <v>0</v>
      </c>
      <c r="Z6160">
        <v>12312.83</v>
      </c>
      <c r="AA6160">
        <v>12420.99</v>
      </c>
      <c r="AB6160" s="12" t="s">
        <v>5527</v>
      </c>
      <c r="AC6160">
        <v>21.352799999999998</v>
      </c>
      <c r="AD6160">
        <v>1</v>
      </c>
      <c r="AE6160">
        <v>1</v>
      </c>
      <c r="AF6160">
        <v>-755.09</v>
      </c>
      <c r="AG6160">
        <v>13067.91</v>
      </c>
      <c r="AH6160">
        <v>612</v>
      </c>
      <c r="AI6160">
        <v>603</v>
      </c>
      <c r="AJ6160">
        <v>9</v>
      </c>
      <c r="AK6160">
        <v>1</v>
      </c>
      <c r="AL6160">
        <v>1</v>
      </c>
      <c r="AM6160">
        <v>98.53</v>
      </c>
      <c r="AN6160">
        <v>20.598700000000001</v>
      </c>
      <c r="AO6160">
        <v>181.07</v>
      </c>
      <c r="AP6160" s="13">
        <v>46014</v>
      </c>
      <c r="AQ6160">
        <v>-1</v>
      </c>
      <c r="AR6160">
        <v>1</v>
      </c>
    </row>
    <row r="6161" spans="1:44" x14ac:dyDescent="0.35">
      <c r="A6161" s="12" t="s">
        <v>7278</v>
      </c>
      <c r="B6161" s="12" t="s">
        <v>1134</v>
      </c>
      <c r="C6161" s="12" t="s">
        <v>1135</v>
      </c>
      <c r="D6161" s="12" t="s">
        <v>269</v>
      </c>
      <c r="E6161" s="12" t="s">
        <v>104</v>
      </c>
      <c r="F6161">
        <v>2</v>
      </c>
      <c r="G6161">
        <v>0</v>
      </c>
      <c r="H6161">
        <v>0</v>
      </c>
      <c r="I6161" s="12" t="s">
        <v>335</v>
      </c>
      <c r="J6161" s="12" t="s">
        <v>336</v>
      </c>
      <c r="K6161" s="12" t="s">
        <v>89</v>
      </c>
      <c r="L6161" s="12" t="s">
        <v>82</v>
      </c>
      <c r="M6161">
        <v>16</v>
      </c>
      <c r="N6161" s="12" t="s">
        <v>159</v>
      </c>
      <c r="O6161" s="12" t="s">
        <v>160</v>
      </c>
      <c r="P6161" s="12" t="s">
        <v>137</v>
      </c>
      <c r="Q6161" s="13">
        <v>45993</v>
      </c>
      <c r="R6161" s="13">
        <v>46010</v>
      </c>
      <c r="S6161">
        <v>2025</v>
      </c>
      <c r="T6161" s="12" t="s">
        <v>7261</v>
      </c>
      <c r="U6161">
        <v>54</v>
      </c>
      <c r="V6161">
        <v>101.1601</v>
      </c>
      <c r="W6161">
        <v>109.62</v>
      </c>
      <c r="X6161">
        <v>0</v>
      </c>
      <c r="Y6161">
        <v>0</v>
      </c>
      <c r="Z6161">
        <v>5462.65</v>
      </c>
      <c r="AA6161">
        <v>5572.27</v>
      </c>
      <c r="AB6161" s="12" t="s">
        <v>7279</v>
      </c>
      <c r="AC6161">
        <v>101.1601</v>
      </c>
      <c r="AD6161">
        <v>1</v>
      </c>
      <c r="AE6161">
        <v>1</v>
      </c>
      <c r="AF6161">
        <v>0</v>
      </c>
      <c r="AG6161">
        <v>5462.65</v>
      </c>
      <c r="AH6161">
        <v>54</v>
      </c>
      <c r="AI6161">
        <v>53</v>
      </c>
      <c r="AJ6161">
        <v>1</v>
      </c>
      <c r="AK6161">
        <v>1</v>
      </c>
      <c r="AL6161">
        <v>1</v>
      </c>
      <c r="AM6161">
        <v>98.15</v>
      </c>
      <c r="AN6161">
        <v>105.1371</v>
      </c>
      <c r="AO6161">
        <v>101.16</v>
      </c>
      <c r="AP6161" s="13">
        <v>46010</v>
      </c>
      <c r="AQ6161">
        <v>0</v>
      </c>
      <c r="AR6161">
        <v>1</v>
      </c>
    </row>
    <row r="6162" spans="1:44" x14ac:dyDescent="0.35">
      <c r="A6162" s="12" t="s">
        <v>7280</v>
      </c>
      <c r="B6162" s="12" t="s">
        <v>532</v>
      </c>
      <c r="C6162" s="12" t="s">
        <v>533</v>
      </c>
      <c r="D6162" s="12" t="s">
        <v>114</v>
      </c>
      <c r="E6162" s="12" t="s">
        <v>65</v>
      </c>
      <c r="F6162">
        <v>2</v>
      </c>
      <c r="G6162">
        <v>3</v>
      </c>
      <c r="H6162">
        <v>0</v>
      </c>
      <c r="I6162" s="12" t="s">
        <v>105</v>
      </c>
      <c r="J6162" s="12" t="s">
        <v>106</v>
      </c>
      <c r="K6162" s="12" t="s">
        <v>81</v>
      </c>
      <c r="L6162" s="12" t="s">
        <v>96</v>
      </c>
      <c r="M6162">
        <v>5.01</v>
      </c>
      <c r="N6162" s="12" t="s">
        <v>70</v>
      </c>
      <c r="O6162" s="12" t="s">
        <v>71</v>
      </c>
      <c r="P6162" s="12" t="s">
        <v>72</v>
      </c>
      <c r="Q6162" s="13">
        <v>45993</v>
      </c>
      <c r="R6162" s="13">
        <v>46016</v>
      </c>
      <c r="S6162">
        <v>2025</v>
      </c>
      <c r="T6162" s="12" t="s">
        <v>7261</v>
      </c>
      <c r="U6162">
        <v>28</v>
      </c>
      <c r="V6162">
        <v>249.89959999999999</v>
      </c>
      <c r="W6162">
        <v>101.89</v>
      </c>
      <c r="X6162">
        <v>0</v>
      </c>
      <c r="Y6162">
        <v>0</v>
      </c>
      <c r="Z6162">
        <v>6997.19</v>
      </c>
      <c r="AA6162">
        <v>7099.08</v>
      </c>
      <c r="AB6162" s="12" t="s">
        <v>5676</v>
      </c>
      <c r="AC6162">
        <v>249.89959999999999</v>
      </c>
      <c r="AD6162">
        <v>1</v>
      </c>
      <c r="AE6162">
        <v>1</v>
      </c>
      <c r="AF6162">
        <v>0</v>
      </c>
      <c r="AG6162">
        <v>6997.19</v>
      </c>
      <c r="AH6162">
        <v>28</v>
      </c>
      <c r="AI6162">
        <v>27</v>
      </c>
      <c r="AJ6162">
        <v>1</v>
      </c>
      <c r="AK6162">
        <v>1</v>
      </c>
      <c r="AL6162">
        <v>1</v>
      </c>
      <c r="AM6162">
        <v>96.43</v>
      </c>
      <c r="AN6162">
        <v>262.92880000000002</v>
      </c>
      <c r="AO6162">
        <v>249.9</v>
      </c>
      <c r="AP6162" s="13">
        <v>46015</v>
      </c>
      <c r="AQ6162">
        <v>-1</v>
      </c>
      <c r="AR6162">
        <v>1</v>
      </c>
    </row>
    <row r="6163" spans="1:44" x14ac:dyDescent="0.35">
      <c r="A6163" s="12" t="s">
        <v>7281</v>
      </c>
      <c r="B6163" s="12" t="s">
        <v>902</v>
      </c>
      <c r="C6163" s="12" t="s">
        <v>903</v>
      </c>
      <c r="D6163" s="12" t="s">
        <v>122</v>
      </c>
      <c r="E6163" s="12" t="s">
        <v>142</v>
      </c>
      <c r="F6163">
        <v>1</v>
      </c>
      <c r="G6163">
        <v>6</v>
      </c>
      <c r="H6163">
        <v>1</v>
      </c>
      <c r="I6163" s="12" t="s">
        <v>105</v>
      </c>
      <c r="J6163" s="12" t="s">
        <v>106</v>
      </c>
      <c r="K6163" s="12" t="s">
        <v>81</v>
      </c>
      <c r="L6163" s="12" t="s">
        <v>96</v>
      </c>
      <c r="M6163">
        <v>5.01</v>
      </c>
      <c r="N6163" s="12" t="s">
        <v>70</v>
      </c>
      <c r="O6163" s="12" t="s">
        <v>71</v>
      </c>
      <c r="P6163" s="12" t="s">
        <v>72</v>
      </c>
      <c r="Q6163" s="13">
        <v>45993</v>
      </c>
      <c r="R6163" s="13">
        <v>46035</v>
      </c>
      <c r="S6163">
        <v>2025</v>
      </c>
      <c r="T6163" s="12" t="s">
        <v>7261</v>
      </c>
      <c r="U6163">
        <v>959</v>
      </c>
      <c r="V6163">
        <v>42.514299999999999</v>
      </c>
      <c r="W6163">
        <v>1010.56</v>
      </c>
      <c r="X6163">
        <v>0</v>
      </c>
      <c r="Y6163">
        <v>0</v>
      </c>
      <c r="Z6163">
        <v>40771.21</v>
      </c>
      <c r="AA6163">
        <v>41781.769999999997</v>
      </c>
      <c r="AB6163" s="12" t="s">
        <v>5824</v>
      </c>
      <c r="AC6163">
        <v>41.5184</v>
      </c>
      <c r="AD6163">
        <v>1</v>
      </c>
      <c r="AE6163">
        <v>1</v>
      </c>
      <c r="AF6163">
        <v>955.07</v>
      </c>
      <c r="AG6163">
        <v>39816.15</v>
      </c>
      <c r="AK6163">
        <v>0</v>
      </c>
      <c r="AL6163">
        <v>0</v>
      </c>
      <c r="AO6163">
        <v>0</v>
      </c>
      <c r="AP6163" s="13"/>
    </row>
    <row r="6164" spans="1:44" x14ac:dyDescent="0.35">
      <c r="A6164" s="12" t="s">
        <v>7282</v>
      </c>
      <c r="B6164" s="12" t="s">
        <v>238</v>
      </c>
      <c r="C6164" s="12" t="s">
        <v>239</v>
      </c>
      <c r="D6164" s="12" t="s">
        <v>122</v>
      </c>
      <c r="E6164" s="12" t="s">
        <v>65</v>
      </c>
      <c r="F6164">
        <v>3</v>
      </c>
      <c r="G6164">
        <v>4</v>
      </c>
      <c r="H6164">
        <v>0</v>
      </c>
      <c r="I6164" s="12" t="s">
        <v>79</v>
      </c>
      <c r="J6164" s="12" t="s">
        <v>80</v>
      </c>
      <c r="K6164" s="12" t="s">
        <v>81</v>
      </c>
      <c r="L6164" s="12" t="s">
        <v>82</v>
      </c>
      <c r="M6164">
        <v>12.07</v>
      </c>
      <c r="N6164" s="12" t="s">
        <v>97</v>
      </c>
      <c r="O6164" s="12" t="s">
        <v>98</v>
      </c>
      <c r="P6164" s="12" t="s">
        <v>72</v>
      </c>
      <c r="Q6164" s="13">
        <v>45993</v>
      </c>
      <c r="R6164" s="13">
        <v>46029</v>
      </c>
      <c r="S6164">
        <v>2025</v>
      </c>
      <c r="T6164" s="12" t="s">
        <v>7261</v>
      </c>
      <c r="U6164">
        <v>1788</v>
      </c>
      <c r="V6164">
        <v>34.205399999999997</v>
      </c>
      <c r="W6164">
        <v>1247.46</v>
      </c>
      <c r="X6164">
        <v>0</v>
      </c>
      <c r="Y6164">
        <v>0</v>
      </c>
      <c r="Z6164">
        <v>61159.26</v>
      </c>
      <c r="AA6164">
        <v>62406.720000000001</v>
      </c>
      <c r="AB6164" s="12" t="s">
        <v>5214</v>
      </c>
      <c r="AC6164">
        <v>34.205399999999997</v>
      </c>
      <c r="AD6164">
        <v>1</v>
      </c>
      <c r="AE6164">
        <v>1</v>
      </c>
      <c r="AF6164">
        <v>0</v>
      </c>
      <c r="AG6164">
        <v>61159.26</v>
      </c>
      <c r="AK6164">
        <v>0</v>
      </c>
      <c r="AL6164">
        <v>0</v>
      </c>
      <c r="AO6164">
        <v>0</v>
      </c>
      <c r="AP6164" s="13"/>
    </row>
    <row r="6165" spans="1:44" x14ac:dyDescent="0.35">
      <c r="A6165" s="12" t="s">
        <v>7283</v>
      </c>
      <c r="B6165" s="12" t="s">
        <v>112</v>
      </c>
      <c r="C6165" s="12" t="s">
        <v>113</v>
      </c>
      <c r="D6165" s="12" t="s">
        <v>114</v>
      </c>
      <c r="E6165" s="12" t="s">
        <v>104</v>
      </c>
      <c r="F6165">
        <v>3</v>
      </c>
      <c r="G6165">
        <v>1</v>
      </c>
      <c r="H6165">
        <v>0</v>
      </c>
      <c r="I6165" s="12" t="s">
        <v>115</v>
      </c>
      <c r="J6165" s="12" t="s">
        <v>116</v>
      </c>
      <c r="K6165" s="12" t="s">
        <v>117</v>
      </c>
      <c r="L6165" s="12" t="s">
        <v>82</v>
      </c>
      <c r="M6165">
        <v>17.170000000000002</v>
      </c>
      <c r="N6165" s="12" t="s">
        <v>97</v>
      </c>
      <c r="O6165" s="12" t="s">
        <v>98</v>
      </c>
      <c r="P6165" s="12" t="s">
        <v>72</v>
      </c>
      <c r="Q6165" s="13">
        <v>45994</v>
      </c>
      <c r="R6165" s="13">
        <v>46016</v>
      </c>
      <c r="S6165">
        <v>2025</v>
      </c>
      <c r="T6165" s="12" t="s">
        <v>7261</v>
      </c>
      <c r="U6165">
        <v>88</v>
      </c>
      <c r="V6165">
        <v>257.51960000000003</v>
      </c>
      <c r="W6165">
        <v>375.19</v>
      </c>
      <c r="X6165">
        <v>0</v>
      </c>
      <c r="Y6165">
        <v>0</v>
      </c>
      <c r="Z6165">
        <v>22661.72</v>
      </c>
      <c r="AA6165">
        <v>23036.91</v>
      </c>
      <c r="AB6165" s="12" t="s">
        <v>5452</v>
      </c>
      <c r="AC6165">
        <v>257.51960000000003</v>
      </c>
      <c r="AD6165">
        <v>1</v>
      </c>
      <c r="AE6165">
        <v>1</v>
      </c>
      <c r="AF6165">
        <v>0</v>
      </c>
      <c r="AG6165">
        <v>22661.72</v>
      </c>
      <c r="AH6165">
        <v>88</v>
      </c>
      <c r="AI6165">
        <v>87</v>
      </c>
      <c r="AJ6165">
        <v>1</v>
      </c>
      <c r="AK6165">
        <v>1</v>
      </c>
      <c r="AL6165">
        <v>1</v>
      </c>
      <c r="AM6165">
        <v>98.86</v>
      </c>
      <c r="AN6165">
        <v>264.7921</v>
      </c>
      <c r="AO6165">
        <v>257.52</v>
      </c>
      <c r="AP6165" s="13">
        <v>46014</v>
      </c>
      <c r="AQ6165">
        <v>-2</v>
      </c>
      <c r="AR6165">
        <v>1</v>
      </c>
    </row>
    <row r="6166" spans="1:44" x14ac:dyDescent="0.35">
      <c r="A6166" s="12" t="s">
        <v>7284</v>
      </c>
      <c r="B6166" s="12" t="s">
        <v>848</v>
      </c>
      <c r="C6166" s="12" t="s">
        <v>849</v>
      </c>
      <c r="D6166" s="12" t="s">
        <v>103</v>
      </c>
      <c r="E6166" s="12" t="s">
        <v>65</v>
      </c>
      <c r="F6166">
        <v>2</v>
      </c>
      <c r="G6166">
        <v>4</v>
      </c>
      <c r="H6166">
        <v>0</v>
      </c>
      <c r="I6166" s="12" t="s">
        <v>87</v>
      </c>
      <c r="J6166" s="12" t="s">
        <v>88</v>
      </c>
      <c r="K6166" s="12" t="s">
        <v>89</v>
      </c>
      <c r="L6166" s="12" t="s">
        <v>69</v>
      </c>
      <c r="M6166">
        <v>14.93</v>
      </c>
      <c r="N6166" s="12" t="s">
        <v>145</v>
      </c>
      <c r="O6166" s="12" t="s">
        <v>146</v>
      </c>
      <c r="P6166" s="12" t="s">
        <v>109</v>
      </c>
      <c r="Q6166" s="13">
        <v>45994</v>
      </c>
      <c r="R6166" s="13">
        <v>46029</v>
      </c>
      <c r="S6166">
        <v>2025</v>
      </c>
      <c r="T6166" s="12" t="s">
        <v>7261</v>
      </c>
      <c r="U6166">
        <v>121</v>
      </c>
      <c r="V6166">
        <v>118.5639</v>
      </c>
      <c r="W6166">
        <v>160.12</v>
      </c>
      <c r="X6166">
        <v>0</v>
      </c>
      <c r="Y6166">
        <v>0</v>
      </c>
      <c r="Z6166">
        <v>14346.23</v>
      </c>
      <c r="AA6166">
        <v>14506.35</v>
      </c>
      <c r="AB6166" s="12" t="s">
        <v>5911</v>
      </c>
      <c r="AC6166">
        <v>118.5639</v>
      </c>
      <c r="AD6166">
        <v>1</v>
      </c>
      <c r="AE6166">
        <v>1</v>
      </c>
      <c r="AF6166">
        <v>0</v>
      </c>
      <c r="AG6166">
        <v>14346.23</v>
      </c>
      <c r="AK6166">
        <v>0</v>
      </c>
      <c r="AL6166">
        <v>0</v>
      </c>
      <c r="AO6166">
        <v>0</v>
      </c>
      <c r="AP6166" s="13"/>
    </row>
    <row r="6167" spans="1:44" x14ac:dyDescent="0.35">
      <c r="A6167" s="12" t="s">
        <v>7285</v>
      </c>
      <c r="B6167" s="12" t="s">
        <v>120</v>
      </c>
      <c r="C6167" s="12" t="s">
        <v>121</v>
      </c>
      <c r="D6167" s="12" t="s">
        <v>122</v>
      </c>
      <c r="E6167" s="12" t="s">
        <v>65</v>
      </c>
      <c r="F6167">
        <v>3</v>
      </c>
      <c r="G6167">
        <v>4</v>
      </c>
      <c r="H6167">
        <v>0</v>
      </c>
      <c r="I6167" s="12" t="s">
        <v>123</v>
      </c>
      <c r="J6167" s="12" t="s">
        <v>124</v>
      </c>
      <c r="K6167" s="12" t="s">
        <v>125</v>
      </c>
      <c r="L6167" s="12" t="s">
        <v>82</v>
      </c>
      <c r="M6167">
        <v>6.75</v>
      </c>
      <c r="N6167" s="12" t="s">
        <v>70</v>
      </c>
      <c r="O6167" s="12" t="s">
        <v>71</v>
      </c>
      <c r="P6167" s="12" t="s">
        <v>72</v>
      </c>
      <c r="Q6167" s="13">
        <v>45994</v>
      </c>
      <c r="R6167" s="13">
        <v>46029</v>
      </c>
      <c r="S6167">
        <v>2025</v>
      </c>
      <c r="T6167" s="12" t="s">
        <v>7261</v>
      </c>
      <c r="U6167">
        <v>1676</v>
      </c>
      <c r="V6167">
        <v>47.918599999999998</v>
      </c>
      <c r="W6167">
        <v>542.63</v>
      </c>
      <c r="X6167">
        <v>0</v>
      </c>
      <c r="Y6167">
        <v>0</v>
      </c>
      <c r="Z6167">
        <v>80311.570000000007</v>
      </c>
      <c r="AA6167">
        <v>80854.2</v>
      </c>
      <c r="AB6167" s="12" t="s">
        <v>5139</v>
      </c>
      <c r="AC6167">
        <v>50.976100000000002</v>
      </c>
      <c r="AD6167">
        <v>1</v>
      </c>
      <c r="AE6167">
        <v>1</v>
      </c>
      <c r="AF6167">
        <v>-5124.37</v>
      </c>
      <c r="AG6167">
        <v>85435.94</v>
      </c>
      <c r="AK6167">
        <v>0</v>
      </c>
      <c r="AL6167">
        <v>0</v>
      </c>
      <c r="AO6167">
        <v>0</v>
      </c>
      <c r="AP6167" s="13"/>
    </row>
    <row r="6168" spans="1:44" x14ac:dyDescent="0.35">
      <c r="A6168" s="12" t="s">
        <v>7286</v>
      </c>
      <c r="B6168" s="12" t="s">
        <v>221</v>
      </c>
      <c r="C6168" s="12" t="s">
        <v>222</v>
      </c>
      <c r="D6168" s="12" t="s">
        <v>114</v>
      </c>
      <c r="E6168" s="12" t="s">
        <v>142</v>
      </c>
      <c r="F6168">
        <v>3</v>
      </c>
      <c r="G6168">
        <v>11</v>
      </c>
      <c r="H6168">
        <v>0</v>
      </c>
      <c r="I6168" s="12" t="s">
        <v>223</v>
      </c>
      <c r="J6168" s="12" t="s">
        <v>224</v>
      </c>
      <c r="K6168" s="12" t="s">
        <v>81</v>
      </c>
      <c r="L6168" s="12" t="s">
        <v>134</v>
      </c>
      <c r="M6168">
        <v>2.4900000000000002</v>
      </c>
      <c r="N6168" s="12" t="s">
        <v>97</v>
      </c>
      <c r="O6168" s="12" t="s">
        <v>98</v>
      </c>
      <c r="P6168" s="12" t="s">
        <v>72</v>
      </c>
      <c r="Q6168" s="13">
        <v>45994</v>
      </c>
      <c r="R6168" s="13">
        <v>46032</v>
      </c>
      <c r="S6168">
        <v>2025</v>
      </c>
      <c r="T6168" s="12" t="s">
        <v>7261</v>
      </c>
      <c r="U6168">
        <v>37</v>
      </c>
      <c r="V6168">
        <v>244.08179999999999</v>
      </c>
      <c r="W6168">
        <v>184.8</v>
      </c>
      <c r="X6168">
        <v>0</v>
      </c>
      <c r="Y6168">
        <v>0</v>
      </c>
      <c r="Z6168">
        <v>9031.0300000000007</v>
      </c>
      <c r="AA6168">
        <v>9215.83</v>
      </c>
      <c r="AB6168" s="12" t="s">
        <v>201</v>
      </c>
      <c r="AD6168">
        <v>0</v>
      </c>
      <c r="AE6168">
        <v>0</v>
      </c>
      <c r="AK6168">
        <v>0</v>
      </c>
      <c r="AL6168">
        <v>0</v>
      </c>
      <c r="AO6168">
        <v>0</v>
      </c>
      <c r="AP6168" s="13"/>
    </row>
    <row r="6169" spans="1:44" x14ac:dyDescent="0.35">
      <c r="A6169" s="12" t="s">
        <v>7287</v>
      </c>
      <c r="B6169" s="12" t="s">
        <v>85</v>
      </c>
      <c r="C6169" s="12" t="s">
        <v>86</v>
      </c>
      <c r="D6169" s="12" t="s">
        <v>78</v>
      </c>
      <c r="E6169" s="12" t="s">
        <v>65</v>
      </c>
      <c r="F6169">
        <v>3</v>
      </c>
      <c r="G6169">
        <v>5</v>
      </c>
      <c r="H6169">
        <v>0</v>
      </c>
      <c r="I6169" s="12" t="s">
        <v>87</v>
      </c>
      <c r="J6169" s="12" t="s">
        <v>88</v>
      </c>
      <c r="K6169" s="12" t="s">
        <v>89</v>
      </c>
      <c r="L6169" s="12" t="s">
        <v>69</v>
      </c>
      <c r="M6169">
        <v>14.93</v>
      </c>
      <c r="N6169" s="12" t="s">
        <v>70</v>
      </c>
      <c r="O6169" s="12" t="s">
        <v>71</v>
      </c>
      <c r="P6169" s="12" t="s">
        <v>72</v>
      </c>
      <c r="Q6169" s="13">
        <v>45994</v>
      </c>
      <c r="R6169" s="13">
        <v>46024</v>
      </c>
      <c r="S6169">
        <v>2025</v>
      </c>
      <c r="T6169" s="12" t="s">
        <v>7261</v>
      </c>
      <c r="U6169">
        <v>183</v>
      </c>
      <c r="V6169">
        <v>132.05160000000001</v>
      </c>
      <c r="W6169">
        <v>434.48</v>
      </c>
      <c r="X6169">
        <v>0</v>
      </c>
      <c r="Y6169">
        <v>0</v>
      </c>
      <c r="Z6169">
        <v>24165.439999999999</v>
      </c>
      <c r="AA6169">
        <v>24599.919999999998</v>
      </c>
      <c r="AB6169" s="12" t="s">
        <v>5445</v>
      </c>
      <c r="AC6169">
        <v>132.05160000000001</v>
      </c>
      <c r="AD6169">
        <v>1</v>
      </c>
      <c r="AE6169">
        <v>1</v>
      </c>
      <c r="AF6169">
        <v>0</v>
      </c>
      <c r="AG6169">
        <v>24165.439999999999</v>
      </c>
      <c r="AH6169">
        <v>183</v>
      </c>
      <c r="AI6169">
        <v>181</v>
      </c>
      <c r="AJ6169">
        <v>2</v>
      </c>
      <c r="AK6169">
        <v>1</v>
      </c>
      <c r="AL6169">
        <v>1</v>
      </c>
      <c r="AM6169">
        <v>98.91</v>
      </c>
      <c r="AN6169">
        <v>135.91120000000001</v>
      </c>
      <c r="AO6169">
        <v>264.10000000000002</v>
      </c>
      <c r="AP6169" s="13">
        <v>46020</v>
      </c>
      <c r="AQ6169">
        <v>-4</v>
      </c>
      <c r="AR6169">
        <v>1</v>
      </c>
    </row>
    <row r="6170" spans="1:44" x14ac:dyDescent="0.35">
      <c r="A6170" s="12" t="s">
        <v>7288</v>
      </c>
      <c r="B6170" s="12" t="s">
        <v>670</v>
      </c>
      <c r="C6170" s="12" t="s">
        <v>671</v>
      </c>
      <c r="D6170" s="12" t="s">
        <v>175</v>
      </c>
      <c r="E6170" s="12" t="s">
        <v>142</v>
      </c>
      <c r="F6170">
        <v>2</v>
      </c>
      <c r="G6170">
        <v>9</v>
      </c>
      <c r="H6170">
        <v>0</v>
      </c>
      <c r="I6170" s="12" t="s">
        <v>233</v>
      </c>
      <c r="J6170" s="12" t="s">
        <v>234</v>
      </c>
      <c r="K6170" s="12" t="s">
        <v>125</v>
      </c>
      <c r="L6170" s="12" t="s">
        <v>96</v>
      </c>
      <c r="M6170">
        <v>3.73</v>
      </c>
      <c r="N6170" s="12" t="s">
        <v>145</v>
      </c>
      <c r="O6170" s="12" t="s">
        <v>146</v>
      </c>
      <c r="P6170" s="12" t="s">
        <v>109</v>
      </c>
      <c r="Q6170" s="13">
        <v>45994</v>
      </c>
      <c r="R6170" s="13">
        <v>46046</v>
      </c>
      <c r="S6170">
        <v>2025</v>
      </c>
      <c r="T6170" s="12" t="s">
        <v>7261</v>
      </c>
      <c r="U6170">
        <v>146</v>
      </c>
      <c r="V6170">
        <v>144.0438</v>
      </c>
      <c r="W6170">
        <v>157.13999999999999</v>
      </c>
      <c r="X6170">
        <v>0</v>
      </c>
      <c r="Y6170">
        <v>0</v>
      </c>
      <c r="Z6170">
        <v>21030.39</v>
      </c>
      <c r="AA6170">
        <v>21187.53</v>
      </c>
      <c r="AB6170" s="12" t="s">
        <v>6098</v>
      </c>
      <c r="AC6170">
        <v>144.0438</v>
      </c>
      <c r="AD6170">
        <v>1</v>
      </c>
      <c r="AE6170">
        <v>1</v>
      </c>
      <c r="AF6170">
        <v>0</v>
      </c>
      <c r="AG6170">
        <v>21030.39</v>
      </c>
      <c r="AK6170">
        <v>0</v>
      </c>
      <c r="AL6170">
        <v>0</v>
      </c>
      <c r="AO6170">
        <v>0</v>
      </c>
      <c r="AP6170" s="13"/>
    </row>
    <row r="6171" spans="1:44" x14ac:dyDescent="0.35">
      <c r="A6171" s="12" t="s">
        <v>7289</v>
      </c>
      <c r="B6171" s="12" t="s">
        <v>565</v>
      </c>
      <c r="C6171" s="12" t="s">
        <v>566</v>
      </c>
      <c r="D6171" s="12" t="s">
        <v>122</v>
      </c>
      <c r="E6171" s="12" t="s">
        <v>104</v>
      </c>
      <c r="F6171">
        <v>3</v>
      </c>
      <c r="G6171">
        <v>1</v>
      </c>
      <c r="H6171">
        <v>0</v>
      </c>
      <c r="I6171" s="12" t="s">
        <v>87</v>
      </c>
      <c r="J6171" s="12" t="s">
        <v>88</v>
      </c>
      <c r="K6171" s="12" t="s">
        <v>89</v>
      </c>
      <c r="L6171" s="12" t="s">
        <v>69</v>
      </c>
      <c r="M6171">
        <v>14.93</v>
      </c>
      <c r="N6171" s="12" t="s">
        <v>70</v>
      </c>
      <c r="O6171" s="12" t="s">
        <v>71</v>
      </c>
      <c r="P6171" s="12" t="s">
        <v>72</v>
      </c>
      <c r="Q6171" s="13">
        <v>45995</v>
      </c>
      <c r="R6171" s="13">
        <v>46021</v>
      </c>
      <c r="S6171">
        <v>2025</v>
      </c>
      <c r="T6171" s="12" t="s">
        <v>7261</v>
      </c>
      <c r="U6171">
        <v>1666</v>
      </c>
      <c r="V6171">
        <v>33.2194</v>
      </c>
      <c r="W6171">
        <v>1306.18</v>
      </c>
      <c r="X6171">
        <v>0</v>
      </c>
      <c r="Y6171">
        <v>0</v>
      </c>
      <c r="Z6171">
        <v>55343.519999999997</v>
      </c>
      <c r="AA6171">
        <v>56649.7</v>
      </c>
      <c r="AB6171" s="12" t="s">
        <v>5711</v>
      </c>
      <c r="AC6171">
        <v>33.2194</v>
      </c>
      <c r="AD6171">
        <v>1</v>
      </c>
      <c r="AE6171">
        <v>1</v>
      </c>
      <c r="AF6171">
        <v>0</v>
      </c>
      <c r="AG6171">
        <v>55343.519999999997</v>
      </c>
      <c r="AH6171">
        <v>1666</v>
      </c>
      <c r="AI6171">
        <v>1662</v>
      </c>
      <c r="AJ6171">
        <v>4</v>
      </c>
      <c r="AK6171">
        <v>1</v>
      </c>
      <c r="AL6171">
        <v>1</v>
      </c>
      <c r="AM6171">
        <v>99.76</v>
      </c>
      <c r="AN6171">
        <v>34.085299999999997</v>
      </c>
      <c r="AO6171">
        <v>132.88</v>
      </c>
      <c r="AP6171" s="13">
        <v>46020</v>
      </c>
      <c r="AQ6171">
        <v>-1</v>
      </c>
      <c r="AR6171">
        <v>1</v>
      </c>
    </row>
    <row r="6172" spans="1:44" x14ac:dyDescent="0.35">
      <c r="A6172" s="12" t="s">
        <v>7290</v>
      </c>
      <c r="B6172" s="12" t="s">
        <v>395</v>
      </c>
      <c r="C6172" s="12" t="s">
        <v>396</v>
      </c>
      <c r="D6172" s="12" t="s">
        <v>130</v>
      </c>
      <c r="E6172" s="12" t="s">
        <v>104</v>
      </c>
      <c r="F6172">
        <v>3</v>
      </c>
      <c r="G6172">
        <v>1</v>
      </c>
      <c r="H6172">
        <v>0</v>
      </c>
      <c r="I6172" s="12" t="s">
        <v>341</v>
      </c>
      <c r="J6172" s="12" t="s">
        <v>342</v>
      </c>
      <c r="K6172" s="12" t="s">
        <v>117</v>
      </c>
      <c r="L6172" s="12" t="s">
        <v>82</v>
      </c>
      <c r="M6172">
        <v>18.36</v>
      </c>
      <c r="N6172" s="12" t="s">
        <v>135</v>
      </c>
      <c r="O6172" s="12" t="s">
        <v>136</v>
      </c>
      <c r="P6172" s="12" t="s">
        <v>137</v>
      </c>
      <c r="Q6172" s="13">
        <v>45995</v>
      </c>
      <c r="R6172" s="13">
        <v>46022</v>
      </c>
      <c r="S6172">
        <v>2025</v>
      </c>
      <c r="T6172" s="12" t="s">
        <v>7261</v>
      </c>
      <c r="U6172">
        <v>133</v>
      </c>
      <c r="V6172">
        <v>159.31549999999999</v>
      </c>
      <c r="W6172">
        <v>504.37</v>
      </c>
      <c r="X6172">
        <v>0</v>
      </c>
      <c r="Y6172">
        <v>0</v>
      </c>
      <c r="Z6172">
        <v>21188.959999999999</v>
      </c>
      <c r="AA6172">
        <v>21693.33</v>
      </c>
      <c r="AB6172" s="12" t="s">
        <v>5282</v>
      </c>
      <c r="AC6172">
        <v>159.31549999999999</v>
      </c>
      <c r="AD6172">
        <v>1</v>
      </c>
      <c r="AE6172">
        <v>1</v>
      </c>
      <c r="AF6172">
        <v>0</v>
      </c>
      <c r="AG6172">
        <v>21188.959999999999</v>
      </c>
      <c r="AH6172">
        <v>133</v>
      </c>
      <c r="AI6172">
        <v>132</v>
      </c>
      <c r="AJ6172">
        <v>1</v>
      </c>
      <c r="AK6172">
        <v>1</v>
      </c>
      <c r="AL6172">
        <v>1</v>
      </c>
      <c r="AM6172">
        <v>99.25</v>
      </c>
      <c r="AN6172">
        <v>164.3434</v>
      </c>
      <c r="AO6172">
        <v>159.32</v>
      </c>
      <c r="AP6172" s="13">
        <v>46021</v>
      </c>
      <c r="AQ6172">
        <v>-1</v>
      </c>
      <c r="AR6172">
        <v>1</v>
      </c>
    </row>
    <row r="6173" spans="1:44" x14ac:dyDescent="0.35">
      <c r="A6173" s="12" t="s">
        <v>7291</v>
      </c>
      <c r="B6173" s="12" t="s">
        <v>128</v>
      </c>
      <c r="C6173" s="12" t="s">
        <v>129</v>
      </c>
      <c r="D6173" s="12" t="s">
        <v>130</v>
      </c>
      <c r="E6173" s="12" t="s">
        <v>65</v>
      </c>
      <c r="F6173">
        <v>3</v>
      </c>
      <c r="G6173">
        <v>5</v>
      </c>
      <c r="H6173">
        <v>0</v>
      </c>
      <c r="I6173" s="12" t="s">
        <v>131</v>
      </c>
      <c r="J6173" s="12" t="s">
        <v>132</v>
      </c>
      <c r="K6173" s="12" t="s">
        <v>133</v>
      </c>
      <c r="L6173" s="12" t="s">
        <v>134</v>
      </c>
      <c r="M6173">
        <v>1.51</v>
      </c>
      <c r="N6173" s="12" t="s">
        <v>135</v>
      </c>
      <c r="O6173" s="12" t="s">
        <v>136</v>
      </c>
      <c r="P6173" s="12" t="s">
        <v>137</v>
      </c>
      <c r="Q6173" s="13">
        <v>45995</v>
      </c>
      <c r="R6173" s="13">
        <v>46017</v>
      </c>
      <c r="S6173">
        <v>2025</v>
      </c>
      <c r="T6173" s="12" t="s">
        <v>7261</v>
      </c>
      <c r="U6173">
        <v>24</v>
      </c>
      <c r="V6173">
        <v>366.0994</v>
      </c>
      <c r="W6173">
        <v>201.04</v>
      </c>
      <c r="X6173">
        <v>0</v>
      </c>
      <c r="Y6173">
        <v>0</v>
      </c>
      <c r="Z6173">
        <v>8786.39</v>
      </c>
      <c r="AA6173">
        <v>8987.43</v>
      </c>
      <c r="AB6173" s="12" t="s">
        <v>201</v>
      </c>
      <c r="AD6173">
        <v>0</v>
      </c>
      <c r="AE6173">
        <v>0</v>
      </c>
      <c r="AH6173">
        <v>24</v>
      </c>
      <c r="AI6173">
        <v>22</v>
      </c>
      <c r="AJ6173">
        <v>2</v>
      </c>
      <c r="AK6173">
        <v>1</v>
      </c>
      <c r="AL6173">
        <v>1</v>
      </c>
      <c r="AM6173">
        <v>91.67</v>
      </c>
      <c r="AN6173">
        <v>408.51929999999999</v>
      </c>
      <c r="AO6173">
        <v>732.2</v>
      </c>
      <c r="AP6173" s="13">
        <v>46015</v>
      </c>
      <c r="AQ6173">
        <v>-2</v>
      </c>
      <c r="AR6173">
        <v>1</v>
      </c>
    </row>
    <row r="6174" spans="1:44" x14ac:dyDescent="0.35">
      <c r="A6174" s="12" t="s">
        <v>7292</v>
      </c>
      <c r="B6174" s="12" t="s">
        <v>207</v>
      </c>
      <c r="C6174" s="12" t="s">
        <v>208</v>
      </c>
      <c r="D6174" s="12" t="s">
        <v>78</v>
      </c>
      <c r="E6174" s="12" t="s">
        <v>65</v>
      </c>
      <c r="F6174">
        <v>2</v>
      </c>
      <c r="G6174">
        <v>3</v>
      </c>
      <c r="H6174">
        <v>0</v>
      </c>
      <c r="I6174" s="12" t="s">
        <v>209</v>
      </c>
      <c r="J6174" s="12" t="s">
        <v>210</v>
      </c>
      <c r="K6174" s="12" t="s">
        <v>133</v>
      </c>
      <c r="L6174" s="12" t="s">
        <v>96</v>
      </c>
      <c r="M6174">
        <v>7.82</v>
      </c>
      <c r="N6174" s="12" t="s">
        <v>70</v>
      </c>
      <c r="O6174" s="12" t="s">
        <v>71</v>
      </c>
      <c r="P6174" s="12" t="s">
        <v>72</v>
      </c>
      <c r="Q6174" s="13">
        <v>45995</v>
      </c>
      <c r="R6174" s="13">
        <v>46016</v>
      </c>
      <c r="S6174">
        <v>2025</v>
      </c>
      <c r="T6174" s="12" t="s">
        <v>7261</v>
      </c>
      <c r="U6174">
        <v>46</v>
      </c>
      <c r="V6174">
        <v>136.47909999999999</v>
      </c>
      <c r="W6174">
        <v>68.239999999999995</v>
      </c>
      <c r="X6174">
        <v>0</v>
      </c>
      <c r="Y6174">
        <v>0</v>
      </c>
      <c r="Z6174">
        <v>6278.04</v>
      </c>
      <c r="AA6174">
        <v>6346.28</v>
      </c>
      <c r="AB6174" s="12" t="s">
        <v>5196</v>
      </c>
      <c r="AC6174">
        <v>145.1729</v>
      </c>
      <c r="AD6174">
        <v>1</v>
      </c>
      <c r="AE6174">
        <v>1</v>
      </c>
      <c r="AF6174">
        <v>-399.91</v>
      </c>
      <c r="AG6174">
        <v>6677.95</v>
      </c>
      <c r="AH6174">
        <v>46</v>
      </c>
      <c r="AI6174">
        <v>45</v>
      </c>
      <c r="AJ6174">
        <v>1</v>
      </c>
      <c r="AK6174">
        <v>1</v>
      </c>
      <c r="AL6174">
        <v>1</v>
      </c>
      <c r="AM6174">
        <v>97.83</v>
      </c>
      <c r="AN6174">
        <v>141.0284</v>
      </c>
      <c r="AO6174">
        <v>136.47999999999999</v>
      </c>
      <c r="AP6174" s="13">
        <v>46014</v>
      </c>
      <c r="AQ6174">
        <v>-2</v>
      </c>
      <c r="AR6174">
        <v>1</v>
      </c>
    </row>
    <row r="6175" spans="1:44" x14ac:dyDescent="0.35">
      <c r="A6175" s="12" t="s">
        <v>7293</v>
      </c>
      <c r="B6175" s="12" t="s">
        <v>1026</v>
      </c>
      <c r="C6175" s="12" t="s">
        <v>1027</v>
      </c>
      <c r="D6175" s="12" t="s">
        <v>122</v>
      </c>
      <c r="E6175" s="12" t="s">
        <v>104</v>
      </c>
      <c r="F6175">
        <v>3</v>
      </c>
      <c r="G6175">
        <v>1</v>
      </c>
      <c r="H6175">
        <v>0</v>
      </c>
      <c r="I6175" s="12" t="s">
        <v>183</v>
      </c>
      <c r="J6175" s="12" t="s">
        <v>184</v>
      </c>
      <c r="K6175" s="12" t="s">
        <v>133</v>
      </c>
      <c r="L6175" s="12" t="s">
        <v>82</v>
      </c>
      <c r="M6175">
        <v>8.6199999999999992</v>
      </c>
      <c r="N6175" s="12" t="s">
        <v>70</v>
      </c>
      <c r="O6175" s="12" t="s">
        <v>71</v>
      </c>
      <c r="P6175" s="12" t="s">
        <v>72</v>
      </c>
      <c r="Q6175" s="13">
        <v>45995</v>
      </c>
      <c r="R6175" s="13">
        <v>46018</v>
      </c>
      <c r="S6175">
        <v>2025</v>
      </c>
      <c r="T6175" s="12" t="s">
        <v>7261</v>
      </c>
      <c r="U6175">
        <v>1331</v>
      </c>
      <c r="V6175">
        <v>44.0122</v>
      </c>
      <c r="W6175">
        <v>1516.69</v>
      </c>
      <c r="X6175">
        <v>0</v>
      </c>
      <c r="Y6175">
        <v>0</v>
      </c>
      <c r="Z6175">
        <v>58580.24</v>
      </c>
      <c r="AA6175">
        <v>60096.93</v>
      </c>
      <c r="AB6175" s="12" t="s">
        <v>201</v>
      </c>
      <c r="AD6175">
        <v>0</v>
      </c>
      <c r="AE6175">
        <v>0</v>
      </c>
      <c r="AH6175">
        <v>1331</v>
      </c>
      <c r="AI6175">
        <v>1315</v>
      </c>
      <c r="AJ6175">
        <v>16</v>
      </c>
      <c r="AK6175">
        <v>1</v>
      </c>
      <c r="AL6175">
        <v>1</v>
      </c>
      <c r="AM6175">
        <v>98.8</v>
      </c>
      <c r="AN6175">
        <v>45.701099999999997</v>
      </c>
      <c r="AO6175">
        <v>704.2</v>
      </c>
      <c r="AP6175" s="13">
        <v>46016</v>
      </c>
      <c r="AQ6175">
        <v>-2</v>
      </c>
      <c r="AR6175">
        <v>1</v>
      </c>
    </row>
    <row r="6176" spans="1:44" x14ac:dyDescent="0.35">
      <c r="A6176" s="12" t="s">
        <v>7294</v>
      </c>
      <c r="B6176" s="12" t="s">
        <v>85</v>
      </c>
      <c r="C6176" s="12" t="s">
        <v>86</v>
      </c>
      <c r="D6176" s="12" t="s">
        <v>78</v>
      </c>
      <c r="E6176" s="12" t="s">
        <v>65</v>
      </c>
      <c r="F6176">
        <v>3</v>
      </c>
      <c r="G6176">
        <v>5</v>
      </c>
      <c r="H6176">
        <v>0</v>
      </c>
      <c r="I6176" s="12" t="s">
        <v>87</v>
      </c>
      <c r="J6176" s="12" t="s">
        <v>88</v>
      </c>
      <c r="K6176" s="12" t="s">
        <v>89</v>
      </c>
      <c r="L6176" s="12" t="s">
        <v>69</v>
      </c>
      <c r="M6176">
        <v>14.93</v>
      </c>
      <c r="N6176" s="12" t="s">
        <v>70</v>
      </c>
      <c r="O6176" s="12" t="s">
        <v>71</v>
      </c>
      <c r="P6176" s="12" t="s">
        <v>72</v>
      </c>
      <c r="Q6176" s="13">
        <v>45995</v>
      </c>
      <c r="R6176" s="13">
        <v>46021</v>
      </c>
      <c r="S6176">
        <v>2025</v>
      </c>
      <c r="T6176" s="12" t="s">
        <v>7261</v>
      </c>
      <c r="U6176">
        <v>119</v>
      </c>
      <c r="V6176">
        <v>132.05160000000001</v>
      </c>
      <c r="W6176">
        <v>278.66000000000003</v>
      </c>
      <c r="X6176">
        <v>0</v>
      </c>
      <c r="Y6176">
        <v>0</v>
      </c>
      <c r="Z6176">
        <v>15714.14</v>
      </c>
      <c r="AA6176">
        <v>15992.8</v>
      </c>
      <c r="AB6176" s="12" t="s">
        <v>5445</v>
      </c>
      <c r="AC6176">
        <v>132.05160000000001</v>
      </c>
      <c r="AD6176">
        <v>1</v>
      </c>
      <c r="AE6176">
        <v>1</v>
      </c>
      <c r="AF6176">
        <v>0</v>
      </c>
      <c r="AG6176">
        <v>15714.14</v>
      </c>
      <c r="AK6176">
        <v>0</v>
      </c>
      <c r="AL6176">
        <v>0</v>
      </c>
      <c r="AO6176">
        <v>0</v>
      </c>
      <c r="AP6176" s="13"/>
    </row>
    <row r="6177" spans="1:44" x14ac:dyDescent="0.35">
      <c r="A6177" s="12" t="s">
        <v>7295</v>
      </c>
      <c r="B6177" s="12" t="s">
        <v>323</v>
      </c>
      <c r="C6177" s="12" t="s">
        <v>324</v>
      </c>
      <c r="D6177" s="12" t="s">
        <v>64</v>
      </c>
      <c r="E6177" s="12" t="s">
        <v>142</v>
      </c>
      <c r="F6177">
        <v>1</v>
      </c>
      <c r="G6177">
        <v>7</v>
      </c>
      <c r="H6177">
        <v>1</v>
      </c>
      <c r="I6177" s="12" t="s">
        <v>143</v>
      </c>
      <c r="J6177" s="12" t="s">
        <v>144</v>
      </c>
      <c r="K6177" s="12" t="s">
        <v>133</v>
      </c>
      <c r="L6177" s="12" t="s">
        <v>96</v>
      </c>
      <c r="M6177">
        <v>5.43</v>
      </c>
      <c r="N6177" s="12" t="s">
        <v>97</v>
      </c>
      <c r="O6177" s="12" t="s">
        <v>98</v>
      </c>
      <c r="P6177" s="12" t="s">
        <v>72</v>
      </c>
      <c r="Q6177" s="13">
        <v>45995</v>
      </c>
      <c r="R6177" s="13">
        <v>46030</v>
      </c>
      <c r="S6177">
        <v>2025</v>
      </c>
      <c r="T6177" s="12" t="s">
        <v>7261</v>
      </c>
      <c r="U6177">
        <v>120</v>
      </c>
      <c r="V6177">
        <v>39.226399999999998</v>
      </c>
      <c r="W6177">
        <v>104.11</v>
      </c>
      <c r="X6177">
        <v>0</v>
      </c>
      <c r="Y6177">
        <v>0</v>
      </c>
      <c r="Z6177">
        <v>4707.17</v>
      </c>
      <c r="AA6177">
        <v>4811.28</v>
      </c>
      <c r="AB6177" s="12" t="s">
        <v>5324</v>
      </c>
      <c r="AC6177">
        <v>39.226399999999998</v>
      </c>
      <c r="AD6177">
        <v>1</v>
      </c>
      <c r="AE6177">
        <v>1</v>
      </c>
      <c r="AF6177">
        <v>0</v>
      </c>
      <c r="AG6177">
        <v>4707.17</v>
      </c>
      <c r="AK6177">
        <v>0</v>
      </c>
      <c r="AL6177">
        <v>0</v>
      </c>
      <c r="AO6177">
        <v>0</v>
      </c>
      <c r="AP6177" s="13"/>
    </row>
    <row r="6178" spans="1:44" x14ac:dyDescent="0.35">
      <c r="A6178" s="12" t="s">
        <v>7296</v>
      </c>
      <c r="B6178" s="12" t="s">
        <v>1220</v>
      </c>
      <c r="C6178" s="12" t="s">
        <v>1221</v>
      </c>
      <c r="D6178" s="12" t="s">
        <v>175</v>
      </c>
      <c r="E6178" s="12" t="s">
        <v>104</v>
      </c>
      <c r="F6178">
        <v>3</v>
      </c>
      <c r="G6178">
        <v>1</v>
      </c>
      <c r="H6178">
        <v>0</v>
      </c>
      <c r="I6178" s="12" t="s">
        <v>515</v>
      </c>
      <c r="J6178" s="12" t="s">
        <v>516</v>
      </c>
      <c r="K6178" s="12" t="s">
        <v>68</v>
      </c>
      <c r="L6178" s="12" t="s">
        <v>134</v>
      </c>
      <c r="M6178">
        <v>3.69</v>
      </c>
      <c r="N6178" s="12" t="s">
        <v>145</v>
      </c>
      <c r="O6178" s="12" t="s">
        <v>146</v>
      </c>
      <c r="P6178" s="12" t="s">
        <v>109</v>
      </c>
      <c r="Q6178" s="13">
        <v>45996</v>
      </c>
      <c r="R6178" s="13">
        <v>46013</v>
      </c>
      <c r="S6178">
        <v>2025</v>
      </c>
      <c r="T6178" s="12" t="s">
        <v>7261</v>
      </c>
      <c r="U6178">
        <v>51</v>
      </c>
      <c r="V6178">
        <v>133.24299999999999</v>
      </c>
      <c r="W6178">
        <v>126.29</v>
      </c>
      <c r="X6178">
        <v>0</v>
      </c>
      <c r="Y6178">
        <v>0</v>
      </c>
      <c r="Z6178">
        <v>6795.39</v>
      </c>
      <c r="AA6178">
        <v>6921.68</v>
      </c>
      <c r="AB6178" s="12" t="s">
        <v>6420</v>
      </c>
      <c r="AC6178">
        <v>133.24299999999999</v>
      </c>
      <c r="AD6178">
        <v>1</v>
      </c>
      <c r="AE6178">
        <v>1</v>
      </c>
      <c r="AF6178">
        <v>0</v>
      </c>
      <c r="AG6178">
        <v>6795.39</v>
      </c>
      <c r="AH6178">
        <v>51</v>
      </c>
      <c r="AI6178">
        <v>51</v>
      </c>
      <c r="AJ6178">
        <v>0</v>
      </c>
      <c r="AK6178">
        <v>1</v>
      </c>
      <c r="AL6178">
        <v>1</v>
      </c>
      <c r="AM6178">
        <v>100</v>
      </c>
      <c r="AN6178">
        <v>135.7193</v>
      </c>
      <c r="AO6178">
        <v>0</v>
      </c>
      <c r="AP6178" s="13">
        <v>46012</v>
      </c>
      <c r="AQ6178">
        <v>-1</v>
      </c>
      <c r="AR6178">
        <v>1</v>
      </c>
    </row>
    <row r="6179" spans="1:44" x14ac:dyDescent="0.35">
      <c r="A6179" s="12" t="s">
        <v>7297</v>
      </c>
      <c r="B6179" s="12" t="s">
        <v>442</v>
      </c>
      <c r="C6179" s="12" t="s">
        <v>443</v>
      </c>
      <c r="D6179" s="12" t="s">
        <v>130</v>
      </c>
      <c r="E6179" s="12" t="s">
        <v>65</v>
      </c>
      <c r="F6179">
        <v>3</v>
      </c>
      <c r="G6179">
        <v>4</v>
      </c>
      <c r="H6179">
        <v>0</v>
      </c>
      <c r="I6179" s="12" t="s">
        <v>115</v>
      </c>
      <c r="J6179" s="12" t="s">
        <v>116</v>
      </c>
      <c r="K6179" s="12" t="s">
        <v>117</v>
      </c>
      <c r="L6179" s="12" t="s">
        <v>82</v>
      </c>
      <c r="M6179">
        <v>17.170000000000002</v>
      </c>
      <c r="N6179" s="12" t="s">
        <v>159</v>
      </c>
      <c r="O6179" s="12" t="s">
        <v>160</v>
      </c>
      <c r="P6179" s="12" t="s">
        <v>137</v>
      </c>
      <c r="Q6179" s="13">
        <v>45996</v>
      </c>
      <c r="R6179" s="13">
        <v>46032</v>
      </c>
      <c r="S6179">
        <v>2025</v>
      </c>
      <c r="T6179" s="12" t="s">
        <v>7261</v>
      </c>
      <c r="U6179">
        <v>133</v>
      </c>
      <c r="V6179">
        <v>595.45830000000001</v>
      </c>
      <c r="W6179">
        <v>1186.44</v>
      </c>
      <c r="X6179">
        <v>0</v>
      </c>
      <c r="Y6179">
        <v>0</v>
      </c>
      <c r="Z6179">
        <v>79195.95</v>
      </c>
      <c r="AA6179">
        <v>80382.39</v>
      </c>
      <c r="AB6179" s="12" t="s">
        <v>5800</v>
      </c>
      <c r="AC6179">
        <v>568.07240000000002</v>
      </c>
      <c r="AD6179">
        <v>1</v>
      </c>
      <c r="AE6179">
        <v>1</v>
      </c>
      <c r="AF6179">
        <v>3642.32</v>
      </c>
      <c r="AG6179">
        <v>75553.63</v>
      </c>
      <c r="AK6179">
        <v>0</v>
      </c>
      <c r="AL6179">
        <v>0</v>
      </c>
      <c r="AO6179">
        <v>0</v>
      </c>
      <c r="AP6179" s="13"/>
    </row>
    <row r="6180" spans="1:44" x14ac:dyDescent="0.35">
      <c r="A6180" s="12" t="s">
        <v>7298</v>
      </c>
      <c r="B6180" s="12" t="s">
        <v>598</v>
      </c>
      <c r="C6180" s="12" t="s">
        <v>599</v>
      </c>
      <c r="D6180" s="12" t="s">
        <v>269</v>
      </c>
      <c r="E6180" s="12" t="s">
        <v>65</v>
      </c>
      <c r="F6180">
        <v>1</v>
      </c>
      <c r="G6180">
        <v>2</v>
      </c>
      <c r="H6180">
        <v>1</v>
      </c>
      <c r="I6180" s="12" t="s">
        <v>176</v>
      </c>
      <c r="J6180" s="12" t="s">
        <v>177</v>
      </c>
      <c r="K6180" s="12" t="s">
        <v>125</v>
      </c>
      <c r="L6180" s="12" t="s">
        <v>134</v>
      </c>
      <c r="M6180">
        <v>1.75</v>
      </c>
      <c r="N6180" s="12" t="s">
        <v>159</v>
      </c>
      <c r="O6180" s="12" t="s">
        <v>160</v>
      </c>
      <c r="P6180" s="12" t="s">
        <v>137</v>
      </c>
      <c r="Q6180" s="13">
        <v>45996</v>
      </c>
      <c r="R6180" s="13">
        <v>46027</v>
      </c>
      <c r="S6180">
        <v>2025</v>
      </c>
      <c r="T6180" s="12" t="s">
        <v>7261</v>
      </c>
      <c r="U6180">
        <v>92</v>
      </c>
      <c r="V6180">
        <v>487.04</v>
      </c>
      <c r="W6180">
        <v>298.8</v>
      </c>
      <c r="X6180">
        <v>0</v>
      </c>
      <c r="Y6180">
        <v>0</v>
      </c>
      <c r="Z6180">
        <v>44807.68</v>
      </c>
      <c r="AA6180">
        <v>45106.48</v>
      </c>
      <c r="AB6180" s="12" t="s">
        <v>201</v>
      </c>
      <c r="AD6180">
        <v>0</v>
      </c>
      <c r="AE6180">
        <v>0</v>
      </c>
      <c r="AK6180">
        <v>0</v>
      </c>
      <c r="AL6180">
        <v>0</v>
      </c>
      <c r="AO6180">
        <v>0</v>
      </c>
      <c r="AP6180" s="13"/>
    </row>
    <row r="6181" spans="1:44" x14ac:dyDescent="0.35">
      <c r="A6181" s="12" t="s">
        <v>7299</v>
      </c>
      <c r="B6181" s="12" t="s">
        <v>249</v>
      </c>
      <c r="C6181" s="12" t="s">
        <v>250</v>
      </c>
      <c r="D6181" s="12" t="s">
        <v>64</v>
      </c>
      <c r="E6181" s="12" t="s">
        <v>65</v>
      </c>
      <c r="F6181">
        <v>2</v>
      </c>
      <c r="G6181">
        <v>3</v>
      </c>
      <c r="H6181">
        <v>0</v>
      </c>
      <c r="I6181" s="12" t="s">
        <v>251</v>
      </c>
      <c r="J6181" s="12" t="s">
        <v>252</v>
      </c>
      <c r="K6181" s="12" t="s">
        <v>133</v>
      </c>
      <c r="L6181" s="12" t="s">
        <v>69</v>
      </c>
      <c r="M6181">
        <v>34.49</v>
      </c>
      <c r="N6181" s="12" t="s">
        <v>70</v>
      </c>
      <c r="O6181" s="12" t="s">
        <v>71</v>
      </c>
      <c r="P6181" s="12" t="s">
        <v>72</v>
      </c>
      <c r="Q6181" s="13">
        <v>45996</v>
      </c>
      <c r="R6181" s="13">
        <v>46032</v>
      </c>
      <c r="S6181">
        <v>2025</v>
      </c>
      <c r="T6181" s="12" t="s">
        <v>7261</v>
      </c>
      <c r="U6181">
        <v>865</v>
      </c>
      <c r="V6181">
        <v>9.9464000000000006</v>
      </c>
      <c r="W6181">
        <v>91.73</v>
      </c>
      <c r="X6181">
        <v>0</v>
      </c>
      <c r="Y6181">
        <v>0</v>
      </c>
      <c r="Z6181">
        <v>8603.64</v>
      </c>
      <c r="AA6181">
        <v>8695.3700000000008</v>
      </c>
      <c r="AB6181" s="12" t="s">
        <v>5207</v>
      </c>
      <c r="AC6181">
        <v>9.9464000000000006</v>
      </c>
      <c r="AD6181">
        <v>1</v>
      </c>
      <c r="AE6181">
        <v>1</v>
      </c>
      <c r="AF6181">
        <v>0</v>
      </c>
      <c r="AG6181">
        <v>8603.64</v>
      </c>
      <c r="AK6181">
        <v>0</v>
      </c>
      <c r="AL6181">
        <v>0</v>
      </c>
      <c r="AO6181">
        <v>0</v>
      </c>
      <c r="AP6181" s="13"/>
    </row>
    <row r="6182" spans="1:44" x14ac:dyDescent="0.35">
      <c r="A6182" s="12" t="s">
        <v>7300</v>
      </c>
      <c r="B6182" s="12" t="s">
        <v>331</v>
      </c>
      <c r="C6182" s="12" t="s">
        <v>332</v>
      </c>
      <c r="D6182" s="12" t="s">
        <v>122</v>
      </c>
      <c r="E6182" s="12" t="s">
        <v>142</v>
      </c>
      <c r="F6182">
        <v>3</v>
      </c>
      <c r="G6182">
        <v>11</v>
      </c>
      <c r="H6182">
        <v>0</v>
      </c>
      <c r="I6182" s="12" t="s">
        <v>263</v>
      </c>
      <c r="J6182" s="12" t="s">
        <v>264</v>
      </c>
      <c r="K6182" s="12" t="s">
        <v>125</v>
      </c>
      <c r="L6182" s="12" t="s">
        <v>82</v>
      </c>
      <c r="M6182">
        <v>10.210000000000001</v>
      </c>
      <c r="N6182" s="12" t="s">
        <v>97</v>
      </c>
      <c r="O6182" s="12" t="s">
        <v>98</v>
      </c>
      <c r="P6182" s="12" t="s">
        <v>72</v>
      </c>
      <c r="Q6182" s="13">
        <v>45996</v>
      </c>
      <c r="R6182" s="13">
        <v>46045</v>
      </c>
      <c r="S6182">
        <v>2025</v>
      </c>
      <c r="T6182" s="12" t="s">
        <v>7261</v>
      </c>
      <c r="U6182">
        <v>1633</v>
      </c>
      <c r="V6182">
        <v>23.006</v>
      </c>
      <c r="W6182">
        <v>502.22</v>
      </c>
      <c r="X6182">
        <v>0</v>
      </c>
      <c r="Y6182">
        <v>0</v>
      </c>
      <c r="Z6182">
        <v>37568.800000000003</v>
      </c>
      <c r="AA6182">
        <v>38071.019999999997</v>
      </c>
      <c r="AB6182" s="12" t="s">
        <v>5234</v>
      </c>
      <c r="AC6182">
        <v>23.006</v>
      </c>
      <c r="AD6182">
        <v>1</v>
      </c>
      <c r="AE6182">
        <v>1</v>
      </c>
      <c r="AF6182">
        <v>0</v>
      </c>
      <c r="AG6182">
        <v>37568.800000000003</v>
      </c>
      <c r="AK6182">
        <v>0</v>
      </c>
      <c r="AL6182">
        <v>0</v>
      </c>
      <c r="AO6182">
        <v>0</v>
      </c>
      <c r="AP6182" s="13"/>
    </row>
    <row r="6183" spans="1:44" x14ac:dyDescent="0.35">
      <c r="A6183" s="12" t="s">
        <v>7301</v>
      </c>
      <c r="B6183" s="12" t="s">
        <v>978</v>
      </c>
      <c r="C6183" s="12" t="s">
        <v>979</v>
      </c>
      <c r="D6183" s="12" t="s">
        <v>122</v>
      </c>
      <c r="E6183" s="12" t="s">
        <v>65</v>
      </c>
      <c r="F6183">
        <v>1</v>
      </c>
      <c r="G6183">
        <v>2</v>
      </c>
      <c r="H6183">
        <v>1</v>
      </c>
      <c r="I6183" s="12" t="s">
        <v>310</v>
      </c>
      <c r="J6183" s="12" t="s">
        <v>311</v>
      </c>
      <c r="K6183" s="12" t="s">
        <v>81</v>
      </c>
      <c r="L6183" s="12" t="s">
        <v>69</v>
      </c>
      <c r="M6183">
        <v>28.3</v>
      </c>
      <c r="N6183" s="12" t="s">
        <v>97</v>
      </c>
      <c r="O6183" s="12" t="s">
        <v>98</v>
      </c>
      <c r="P6183" s="12" t="s">
        <v>72</v>
      </c>
      <c r="Q6183" s="13">
        <v>45996</v>
      </c>
      <c r="R6183" s="13">
        <v>46019</v>
      </c>
      <c r="S6183">
        <v>2025</v>
      </c>
      <c r="T6183" s="12" t="s">
        <v>7261</v>
      </c>
      <c r="U6183">
        <v>437</v>
      </c>
      <c r="V6183">
        <v>43.4407</v>
      </c>
      <c r="W6183">
        <v>316.52</v>
      </c>
      <c r="X6183">
        <v>0</v>
      </c>
      <c r="Y6183">
        <v>0</v>
      </c>
      <c r="Z6183">
        <v>18983.59</v>
      </c>
      <c r="AA6183">
        <v>19300.11</v>
      </c>
      <c r="AB6183" s="12" t="s">
        <v>6061</v>
      </c>
      <c r="AC6183">
        <v>43.4407</v>
      </c>
      <c r="AD6183">
        <v>1</v>
      </c>
      <c r="AE6183">
        <v>1</v>
      </c>
      <c r="AF6183">
        <v>0</v>
      </c>
      <c r="AG6183">
        <v>18983.59</v>
      </c>
      <c r="AH6183">
        <v>437</v>
      </c>
      <c r="AI6183">
        <v>433</v>
      </c>
      <c r="AJ6183">
        <v>4</v>
      </c>
      <c r="AK6183">
        <v>1</v>
      </c>
      <c r="AL6183">
        <v>1</v>
      </c>
      <c r="AM6183">
        <v>99.08</v>
      </c>
      <c r="AN6183">
        <v>44.573</v>
      </c>
      <c r="AO6183">
        <v>173.76</v>
      </c>
      <c r="AP6183" s="13">
        <v>46019</v>
      </c>
      <c r="AQ6183">
        <v>0</v>
      </c>
      <c r="AR6183">
        <v>1</v>
      </c>
    </row>
    <row r="6184" spans="1:44" x14ac:dyDescent="0.35">
      <c r="A6184" s="12" t="s">
        <v>7302</v>
      </c>
      <c r="B6184" s="12" t="s">
        <v>255</v>
      </c>
      <c r="C6184" s="12" t="s">
        <v>256</v>
      </c>
      <c r="D6184" s="12" t="s">
        <v>103</v>
      </c>
      <c r="E6184" s="12" t="s">
        <v>65</v>
      </c>
      <c r="F6184">
        <v>2</v>
      </c>
      <c r="G6184">
        <v>4</v>
      </c>
      <c r="H6184">
        <v>0</v>
      </c>
      <c r="I6184" s="12" t="s">
        <v>143</v>
      </c>
      <c r="J6184" s="12" t="s">
        <v>144</v>
      </c>
      <c r="K6184" s="12" t="s">
        <v>133</v>
      </c>
      <c r="L6184" s="12" t="s">
        <v>96</v>
      </c>
      <c r="M6184">
        <v>5.43</v>
      </c>
      <c r="N6184" s="12" t="s">
        <v>145</v>
      </c>
      <c r="O6184" s="12" t="s">
        <v>146</v>
      </c>
      <c r="P6184" s="12" t="s">
        <v>109</v>
      </c>
      <c r="Q6184" s="13">
        <v>45996</v>
      </c>
      <c r="R6184" s="13">
        <v>46018</v>
      </c>
      <c r="S6184">
        <v>2025</v>
      </c>
      <c r="T6184" s="12" t="s">
        <v>7261</v>
      </c>
      <c r="U6184">
        <v>23</v>
      </c>
      <c r="V6184">
        <v>95.061000000000007</v>
      </c>
      <c r="W6184">
        <v>49.53</v>
      </c>
      <c r="X6184">
        <v>65.7</v>
      </c>
      <c r="Y6184">
        <v>1</v>
      </c>
      <c r="Z6184">
        <v>2186.4</v>
      </c>
      <c r="AA6184">
        <v>2301.63</v>
      </c>
      <c r="AB6184" s="12" t="s">
        <v>5188</v>
      </c>
      <c r="AC6184">
        <v>95.061000000000007</v>
      </c>
      <c r="AD6184">
        <v>1</v>
      </c>
      <c r="AE6184">
        <v>1</v>
      </c>
      <c r="AF6184">
        <v>0</v>
      </c>
      <c r="AG6184">
        <v>2186.4</v>
      </c>
      <c r="AH6184">
        <v>23</v>
      </c>
      <c r="AI6184">
        <v>23</v>
      </c>
      <c r="AJ6184">
        <v>0</v>
      </c>
      <c r="AK6184">
        <v>1</v>
      </c>
      <c r="AL6184">
        <v>1</v>
      </c>
      <c r="AM6184">
        <v>100</v>
      </c>
      <c r="AN6184">
        <v>100.071</v>
      </c>
      <c r="AO6184">
        <v>0</v>
      </c>
      <c r="AP6184" s="13">
        <v>46016</v>
      </c>
      <c r="AQ6184">
        <v>-2</v>
      </c>
      <c r="AR6184">
        <v>1</v>
      </c>
    </row>
    <row r="6185" spans="1:44" x14ac:dyDescent="0.35">
      <c r="A6185" s="12" t="s">
        <v>7303</v>
      </c>
      <c r="B6185" s="12" t="s">
        <v>661</v>
      </c>
      <c r="C6185" s="12" t="s">
        <v>662</v>
      </c>
      <c r="D6185" s="12" t="s">
        <v>175</v>
      </c>
      <c r="E6185" s="12" t="s">
        <v>104</v>
      </c>
      <c r="F6185">
        <v>1</v>
      </c>
      <c r="G6185">
        <v>0</v>
      </c>
      <c r="H6185">
        <v>1</v>
      </c>
      <c r="I6185" s="12" t="s">
        <v>183</v>
      </c>
      <c r="J6185" s="12" t="s">
        <v>184</v>
      </c>
      <c r="K6185" s="12" t="s">
        <v>133</v>
      </c>
      <c r="L6185" s="12" t="s">
        <v>82</v>
      </c>
      <c r="M6185">
        <v>8.6199999999999992</v>
      </c>
      <c r="N6185" s="12" t="s">
        <v>145</v>
      </c>
      <c r="O6185" s="12" t="s">
        <v>146</v>
      </c>
      <c r="P6185" s="12" t="s">
        <v>109</v>
      </c>
      <c r="Q6185" s="13">
        <v>45996</v>
      </c>
      <c r="R6185" s="13">
        <v>46012</v>
      </c>
      <c r="S6185">
        <v>2025</v>
      </c>
      <c r="T6185" s="12" t="s">
        <v>7261</v>
      </c>
      <c r="U6185">
        <v>48</v>
      </c>
      <c r="V6185">
        <v>166.30070000000001</v>
      </c>
      <c r="W6185">
        <v>84.66</v>
      </c>
      <c r="X6185">
        <v>0</v>
      </c>
      <c r="Y6185">
        <v>0</v>
      </c>
      <c r="Z6185">
        <v>7982.43</v>
      </c>
      <c r="AA6185">
        <v>8067.09</v>
      </c>
      <c r="AB6185" s="12" t="s">
        <v>5336</v>
      </c>
      <c r="AC6185">
        <v>166.30070000000001</v>
      </c>
      <c r="AD6185">
        <v>1</v>
      </c>
      <c r="AE6185">
        <v>1</v>
      </c>
      <c r="AF6185">
        <v>0</v>
      </c>
      <c r="AG6185">
        <v>7982.43</v>
      </c>
      <c r="AH6185">
        <v>48</v>
      </c>
      <c r="AI6185">
        <v>48</v>
      </c>
      <c r="AJ6185">
        <v>0</v>
      </c>
      <c r="AK6185">
        <v>1</v>
      </c>
      <c r="AL6185">
        <v>1</v>
      </c>
      <c r="AM6185">
        <v>100</v>
      </c>
      <c r="AN6185">
        <v>168.06450000000001</v>
      </c>
      <c r="AO6185">
        <v>0</v>
      </c>
      <c r="AP6185" s="13">
        <v>46013</v>
      </c>
      <c r="AQ6185">
        <v>1</v>
      </c>
      <c r="AR6185">
        <v>0</v>
      </c>
    </row>
    <row r="6186" spans="1:44" x14ac:dyDescent="0.35">
      <c r="A6186" s="12" t="s">
        <v>7304</v>
      </c>
      <c r="B6186" s="12" t="s">
        <v>1166</v>
      </c>
      <c r="C6186" s="12" t="s">
        <v>1167</v>
      </c>
      <c r="D6186" s="12" t="s">
        <v>175</v>
      </c>
      <c r="E6186" s="12" t="s">
        <v>65</v>
      </c>
      <c r="F6186">
        <v>3</v>
      </c>
      <c r="G6186">
        <v>5</v>
      </c>
      <c r="H6186">
        <v>0</v>
      </c>
      <c r="I6186" s="12" t="s">
        <v>105</v>
      </c>
      <c r="J6186" s="12" t="s">
        <v>106</v>
      </c>
      <c r="K6186" s="12" t="s">
        <v>81</v>
      </c>
      <c r="L6186" s="12" t="s">
        <v>96</v>
      </c>
      <c r="M6186">
        <v>5.01</v>
      </c>
      <c r="N6186" s="12" t="s">
        <v>145</v>
      </c>
      <c r="O6186" s="12" t="s">
        <v>146</v>
      </c>
      <c r="P6186" s="12" t="s">
        <v>109</v>
      </c>
      <c r="Q6186" s="13">
        <v>45996</v>
      </c>
      <c r="R6186" s="13">
        <v>46034</v>
      </c>
      <c r="S6186">
        <v>2025</v>
      </c>
      <c r="T6186" s="12" t="s">
        <v>7261</v>
      </c>
      <c r="U6186">
        <v>147</v>
      </c>
      <c r="V6186">
        <v>207.54849999999999</v>
      </c>
      <c r="W6186">
        <v>767.52</v>
      </c>
      <c r="X6186">
        <v>0</v>
      </c>
      <c r="Y6186">
        <v>0</v>
      </c>
      <c r="Z6186">
        <v>30509.63</v>
      </c>
      <c r="AA6186">
        <v>31277.15</v>
      </c>
      <c r="AB6186" s="12" t="s">
        <v>5837</v>
      </c>
      <c r="AC6186">
        <v>220.27170000000001</v>
      </c>
      <c r="AD6186">
        <v>1</v>
      </c>
      <c r="AE6186">
        <v>1</v>
      </c>
      <c r="AF6186">
        <v>-1870.31</v>
      </c>
      <c r="AG6186">
        <v>32379.94</v>
      </c>
      <c r="AK6186">
        <v>0</v>
      </c>
      <c r="AL6186">
        <v>0</v>
      </c>
      <c r="AO6186">
        <v>0</v>
      </c>
      <c r="AP6186" s="13"/>
    </row>
    <row r="6187" spans="1:44" x14ac:dyDescent="0.35">
      <c r="A6187" s="12" t="s">
        <v>7305</v>
      </c>
      <c r="B6187" s="12" t="s">
        <v>391</v>
      </c>
      <c r="C6187" s="12" t="s">
        <v>392</v>
      </c>
      <c r="D6187" s="12" t="s">
        <v>114</v>
      </c>
      <c r="E6187" s="12" t="s">
        <v>65</v>
      </c>
      <c r="F6187">
        <v>2</v>
      </c>
      <c r="G6187">
        <v>2</v>
      </c>
      <c r="H6187">
        <v>0</v>
      </c>
      <c r="I6187" s="12" t="s">
        <v>310</v>
      </c>
      <c r="J6187" s="12" t="s">
        <v>311</v>
      </c>
      <c r="K6187" s="12" t="s">
        <v>81</v>
      </c>
      <c r="L6187" s="12" t="s">
        <v>69</v>
      </c>
      <c r="M6187">
        <v>28.3</v>
      </c>
      <c r="N6187" s="12" t="s">
        <v>97</v>
      </c>
      <c r="O6187" s="12" t="s">
        <v>98</v>
      </c>
      <c r="P6187" s="12" t="s">
        <v>72</v>
      </c>
      <c r="Q6187" s="13">
        <v>45996</v>
      </c>
      <c r="R6187" s="13">
        <v>46033</v>
      </c>
      <c r="S6187">
        <v>2025</v>
      </c>
      <c r="T6187" s="12" t="s">
        <v>7261</v>
      </c>
      <c r="U6187">
        <v>141</v>
      </c>
      <c r="V6187">
        <v>242.6498</v>
      </c>
      <c r="W6187">
        <v>786.58</v>
      </c>
      <c r="X6187">
        <v>0</v>
      </c>
      <c r="Y6187">
        <v>0</v>
      </c>
      <c r="Z6187">
        <v>34213.620000000003</v>
      </c>
      <c r="AA6187">
        <v>35000.199999999997</v>
      </c>
      <c r="AB6187" s="12" t="s">
        <v>201</v>
      </c>
      <c r="AD6187">
        <v>0</v>
      </c>
      <c r="AE6187">
        <v>0</v>
      </c>
      <c r="AK6187">
        <v>0</v>
      </c>
      <c r="AL6187">
        <v>0</v>
      </c>
      <c r="AO6187">
        <v>0</v>
      </c>
      <c r="AP6187" s="13"/>
    </row>
    <row r="6188" spans="1:44" x14ac:dyDescent="0.35">
      <c r="A6188" s="12" t="s">
        <v>7306</v>
      </c>
      <c r="B6188" s="12" t="s">
        <v>482</v>
      </c>
      <c r="C6188" s="12" t="s">
        <v>483</v>
      </c>
      <c r="D6188" s="12" t="s">
        <v>78</v>
      </c>
      <c r="E6188" s="12" t="s">
        <v>142</v>
      </c>
      <c r="F6188">
        <v>2</v>
      </c>
      <c r="G6188">
        <v>9</v>
      </c>
      <c r="H6188">
        <v>0</v>
      </c>
      <c r="I6188" s="12" t="s">
        <v>87</v>
      </c>
      <c r="J6188" s="12" t="s">
        <v>88</v>
      </c>
      <c r="K6188" s="12" t="s">
        <v>89</v>
      </c>
      <c r="L6188" s="12" t="s">
        <v>69</v>
      </c>
      <c r="M6188">
        <v>14.93</v>
      </c>
      <c r="N6188" s="12" t="s">
        <v>70</v>
      </c>
      <c r="O6188" s="12" t="s">
        <v>71</v>
      </c>
      <c r="P6188" s="12" t="s">
        <v>72</v>
      </c>
      <c r="Q6188" s="13">
        <v>45996</v>
      </c>
      <c r="R6188" s="13">
        <v>46036</v>
      </c>
      <c r="S6188">
        <v>2025</v>
      </c>
      <c r="T6188" s="12" t="s">
        <v>7261</v>
      </c>
      <c r="U6188">
        <v>126</v>
      </c>
      <c r="V6188">
        <v>44.658099999999997</v>
      </c>
      <c r="W6188">
        <v>115.31</v>
      </c>
      <c r="X6188">
        <v>0</v>
      </c>
      <c r="Y6188">
        <v>0</v>
      </c>
      <c r="Z6188">
        <v>5626.92</v>
      </c>
      <c r="AA6188">
        <v>5742.23</v>
      </c>
      <c r="AB6188" s="12" t="s">
        <v>5658</v>
      </c>
      <c r="AC6188">
        <v>44.658099999999997</v>
      </c>
      <c r="AD6188">
        <v>1</v>
      </c>
      <c r="AE6188">
        <v>1</v>
      </c>
      <c r="AF6188">
        <v>0</v>
      </c>
      <c r="AG6188">
        <v>5626.92</v>
      </c>
      <c r="AK6188">
        <v>0</v>
      </c>
      <c r="AL6188">
        <v>0</v>
      </c>
      <c r="AO6188">
        <v>0</v>
      </c>
      <c r="AP6188" s="13"/>
    </row>
    <row r="6189" spans="1:44" x14ac:dyDescent="0.35">
      <c r="A6189" s="12" t="s">
        <v>7307</v>
      </c>
      <c r="B6189" s="12" t="s">
        <v>494</v>
      </c>
      <c r="C6189" s="12" t="s">
        <v>495</v>
      </c>
      <c r="D6189" s="12" t="s">
        <v>175</v>
      </c>
      <c r="E6189" s="12" t="s">
        <v>65</v>
      </c>
      <c r="F6189">
        <v>2</v>
      </c>
      <c r="G6189">
        <v>3</v>
      </c>
      <c r="H6189">
        <v>0</v>
      </c>
      <c r="I6189" s="12" t="s">
        <v>515</v>
      </c>
      <c r="J6189" s="12" t="s">
        <v>516</v>
      </c>
      <c r="K6189" s="12" t="s">
        <v>68</v>
      </c>
      <c r="L6189" s="12" t="s">
        <v>134</v>
      </c>
      <c r="M6189">
        <v>3.69</v>
      </c>
      <c r="N6189" s="12" t="s">
        <v>145</v>
      </c>
      <c r="O6189" s="12" t="s">
        <v>146</v>
      </c>
      <c r="P6189" s="12" t="s">
        <v>109</v>
      </c>
      <c r="Q6189" s="13">
        <v>45996</v>
      </c>
      <c r="R6189" s="13">
        <v>46030</v>
      </c>
      <c r="S6189">
        <v>2025</v>
      </c>
      <c r="T6189" s="12" t="s">
        <v>7261</v>
      </c>
      <c r="U6189">
        <v>115</v>
      </c>
      <c r="V6189">
        <v>153.36940000000001</v>
      </c>
      <c r="W6189">
        <v>147.33000000000001</v>
      </c>
      <c r="X6189">
        <v>0</v>
      </c>
      <c r="Y6189">
        <v>0</v>
      </c>
      <c r="Z6189">
        <v>17637.48</v>
      </c>
      <c r="AA6189">
        <v>17784.810000000001</v>
      </c>
      <c r="AB6189" s="12" t="s">
        <v>5442</v>
      </c>
      <c r="AC6189">
        <v>153.36940000000001</v>
      </c>
      <c r="AD6189">
        <v>1</v>
      </c>
      <c r="AE6189">
        <v>1</v>
      </c>
      <c r="AF6189">
        <v>0</v>
      </c>
      <c r="AG6189">
        <v>17637.48</v>
      </c>
      <c r="AK6189">
        <v>0</v>
      </c>
      <c r="AL6189">
        <v>0</v>
      </c>
      <c r="AO6189">
        <v>0</v>
      </c>
      <c r="AP6189" s="13"/>
    </row>
    <row r="6190" spans="1:44" x14ac:dyDescent="0.35">
      <c r="A6190" s="12" t="s">
        <v>7308</v>
      </c>
      <c r="B6190" s="12" t="s">
        <v>587</v>
      </c>
      <c r="C6190" s="12" t="s">
        <v>588</v>
      </c>
      <c r="D6190" s="12" t="s">
        <v>122</v>
      </c>
      <c r="E6190" s="12" t="s">
        <v>104</v>
      </c>
      <c r="F6190">
        <v>2</v>
      </c>
      <c r="G6190">
        <v>0</v>
      </c>
      <c r="H6190">
        <v>0</v>
      </c>
      <c r="I6190" s="12" t="s">
        <v>486</v>
      </c>
      <c r="J6190" s="12" t="s">
        <v>487</v>
      </c>
      <c r="K6190" s="12" t="s">
        <v>125</v>
      </c>
      <c r="L6190" s="12" t="s">
        <v>69</v>
      </c>
      <c r="M6190">
        <v>36.86</v>
      </c>
      <c r="N6190" s="12" t="s">
        <v>97</v>
      </c>
      <c r="O6190" s="12" t="s">
        <v>98</v>
      </c>
      <c r="P6190" s="12" t="s">
        <v>72</v>
      </c>
      <c r="Q6190" s="13">
        <v>45996</v>
      </c>
      <c r="R6190" s="13">
        <v>46023</v>
      </c>
      <c r="S6190">
        <v>2025</v>
      </c>
      <c r="T6190" s="12" t="s">
        <v>7261</v>
      </c>
      <c r="U6190">
        <v>1716</v>
      </c>
      <c r="V6190">
        <v>11.4031</v>
      </c>
      <c r="W6190">
        <v>148.99</v>
      </c>
      <c r="X6190">
        <v>0</v>
      </c>
      <c r="Y6190">
        <v>0</v>
      </c>
      <c r="Z6190">
        <v>19567.72</v>
      </c>
      <c r="AA6190">
        <v>19716.71</v>
      </c>
      <c r="AB6190" s="12" t="s">
        <v>201</v>
      </c>
      <c r="AD6190">
        <v>0</v>
      </c>
      <c r="AE6190">
        <v>0</v>
      </c>
      <c r="AK6190">
        <v>0</v>
      </c>
      <c r="AL6190">
        <v>0</v>
      </c>
      <c r="AO6190">
        <v>0</v>
      </c>
      <c r="AP6190" s="13"/>
    </row>
    <row r="6191" spans="1:44" x14ac:dyDescent="0.35">
      <c r="A6191" s="12" t="s">
        <v>7309</v>
      </c>
      <c r="B6191" s="12" t="s">
        <v>561</v>
      </c>
      <c r="C6191" s="12" t="s">
        <v>562</v>
      </c>
      <c r="D6191" s="12" t="s">
        <v>130</v>
      </c>
      <c r="E6191" s="12" t="s">
        <v>142</v>
      </c>
      <c r="F6191">
        <v>1</v>
      </c>
      <c r="G6191">
        <v>9</v>
      </c>
      <c r="H6191">
        <v>1</v>
      </c>
      <c r="I6191" s="12" t="s">
        <v>223</v>
      </c>
      <c r="J6191" s="12" t="s">
        <v>224</v>
      </c>
      <c r="K6191" s="12" t="s">
        <v>81</v>
      </c>
      <c r="L6191" s="12" t="s">
        <v>134</v>
      </c>
      <c r="M6191">
        <v>2.4900000000000002</v>
      </c>
      <c r="N6191" s="12" t="s">
        <v>159</v>
      </c>
      <c r="O6191" s="12" t="s">
        <v>160</v>
      </c>
      <c r="P6191" s="12" t="s">
        <v>137</v>
      </c>
      <c r="Q6191" s="13">
        <v>45996</v>
      </c>
      <c r="R6191" s="13">
        <v>46042</v>
      </c>
      <c r="S6191">
        <v>2025</v>
      </c>
      <c r="T6191" s="12" t="s">
        <v>7261</v>
      </c>
      <c r="U6191">
        <v>96</v>
      </c>
      <c r="V6191">
        <v>520.10119999999995</v>
      </c>
      <c r="W6191">
        <v>1023.31</v>
      </c>
      <c r="X6191">
        <v>0</v>
      </c>
      <c r="Y6191">
        <v>0</v>
      </c>
      <c r="Z6191">
        <v>49929.72</v>
      </c>
      <c r="AA6191">
        <v>50953.03</v>
      </c>
      <c r="AB6191" s="12" t="s">
        <v>201</v>
      </c>
      <c r="AD6191">
        <v>0</v>
      </c>
      <c r="AE6191">
        <v>0</v>
      </c>
      <c r="AK6191">
        <v>0</v>
      </c>
      <c r="AL6191">
        <v>0</v>
      </c>
      <c r="AO6191">
        <v>0</v>
      </c>
      <c r="AP6191" s="13"/>
    </row>
    <row r="6192" spans="1:44" x14ac:dyDescent="0.35">
      <c r="A6192" s="12" t="s">
        <v>7310</v>
      </c>
      <c r="B6192" s="12" t="s">
        <v>680</v>
      </c>
      <c r="C6192" s="12" t="s">
        <v>681</v>
      </c>
      <c r="D6192" s="12" t="s">
        <v>122</v>
      </c>
      <c r="E6192" s="12" t="s">
        <v>104</v>
      </c>
      <c r="F6192">
        <v>3</v>
      </c>
      <c r="G6192">
        <v>1</v>
      </c>
      <c r="H6192">
        <v>0</v>
      </c>
      <c r="I6192" s="12" t="s">
        <v>227</v>
      </c>
      <c r="J6192" s="12" t="s">
        <v>228</v>
      </c>
      <c r="K6192" s="12" t="s">
        <v>89</v>
      </c>
      <c r="L6192" s="12" t="s">
        <v>96</v>
      </c>
      <c r="M6192">
        <v>9.15</v>
      </c>
      <c r="N6192" s="12" t="s">
        <v>97</v>
      </c>
      <c r="O6192" s="12" t="s">
        <v>98</v>
      </c>
      <c r="P6192" s="12" t="s">
        <v>72</v>
      </c>
      <c r="Q6192" s="13">
        <v>45999</v>
      </c>
      <c r="R6192" s="13">
        <v>46027</v>
      </c>
      <c r="S6192">
        <v>2025</v>
      </c>
      <c r="T6192" s="12" t="s">
        <v>7261</v>
      </c>
      <c r="U6192">
        <v>1893</v>
      </c>
      <c r="V6192">
        <v>21.7744</v>
      </c>
      <c r="W6192">
        <v>252.77</v>
      </c>
      <c r="X6192">
        <v>0</v>
      </c>
      <c r="Y6192">
        <v>0</v>
      </c>
      <c r="Z6192">
        <v>41218.94</v>
      </c>
      <c r="AA6192">
        <v>41471.71</v>
      </c>
      <c r="AB6192" s="12" t="s">
        <v>201</v>
      </c>
      <c r="AD6192">
        <v>0</v>
      </c>
      <c r="AE6192">
        <v>0</v>
      </c>
      <c r="AK6192">
        <v>0</v>
      </c>
      <c r="AL6192">
        <v>0</v>
      </c>
      <c r="AO6192">
        <v>0</v>
      </c>
      <c r="AP6192" s="13"/>
    </row>
    <row r="6193" spans="1:44" x14ac:dyDescent="0.35">
      <c r="A6193" s="12" t="s">
        <v>7311</v>
      </c>
      <c r="B6193" s="12" t="s">
        <v>837</v>
      </c>
      <c r="C6193" s="12" t="s">
        <v>838</v>
      </c>
      <c r="D6193" s="12" t="s">
        <v>114</v>
      </c>
      <c r="E6193" s="12" t="s">
        <v>104</v>
      </c>
      <c r="F6193">
        <v>2</v>
      </c>
      <c r="G6193">
        <v>0</v>
      </c>
      <c r="H6193">
        <v>0</v>
      </c>
      <c r="I6193" s="12" t="s">
        <v>199</v>
      </c>
      <c r="J6193" s="12" t="s">
        <v>200</v>
      </c>
      <c r="K6193" s="12" t="s">
        <v>68</v>
      </c>
      <c r="L6193" s="12" t="s">
        <v>96</v>
      </c>
      <c r="M6193">
        <v>9.4700000000000006</v>
      </c>
      <c r="N6193" s="12" t="s">
        <v>97</v>
      </c>
      <c r="O6193" s="12" t="s">
        <v>98</v>
      </c>
      <c r="P6193" s="12" t="s">
        <v>72</v>
      </c>
      <c r="Q6193" s="13">
        <v>45999</v>
      </c>
      <c r="R6193" s="13">
        <v>46020</v>
      </c>
      <c r="S6193">
        <v>2025</v>
      </c>
      <c r="T6193" s="12" t="s">
        <v>7261</v>
      </c>
      <c r="U6193">
        <v>81</v>
      </c>
      <c r="V6193">
        <v>66.785399999999996</v>
      </c>
      <c r="W6193">
        <v>32.89</v>
      </c>
      <c r="X6193">
        <v>0</v>
      </c>
      <c r="Y6193">
        <v>0</v>
      </c>
      <c r="Z6193">
        <v>5409.62</v>
      </c>
      <c r="AA6193">
        <v>5442.51</v>
      </c>
      <c r="AB6193" s="12" t="s">
        <v>5895</v>
      </c>
      <c r="AC6193">
        <v>66.785399999999996</v>
      </c>
      <c r="AD6193">
        <v>1</v>
      </c>
      <c r="AE6193">
        <v>1</v>
      </c>
      <c r="AF6193">
        <v>0</v>
      </c>
      <c r="AG6193">
        <v>5409.62</v>
      </c>
      <c r="AH6193">
        <v>81</v>
      </c>
      <c r="AI6193">
        <v>80</v>
      </c>
      <c r="AJ6193">
        <v>1</v>
      </c>
      <c r="AK6193">
        <v>1</v>
      </c>
      <c r="AL6193">
        <v>1</v>
      </c>
      <c r="AM6193">
        <v>98.77</v>
      </c>
      <c r="AN6193">
        <v>68.031300000000002</v>
      </c>
      <c r="AO6193">
        <v>66.790000000000006</v>
      </c>
      <c r="AP6193" s="13">
        <v>46021</v>
      </c>
      <c r="AQ6193">
        <v>1</v>
      </c>
      <c r="AR6193">
        <v>0</v>
      </c>
    </row>
    <row r="6194" spans="1:44" x14ac:dyDescent="0.35">
      <c r="A6194" s="12" t="s">
        <v>7312</v>
      </c>
      <c r="B6194" s="12" t="s">
        <v>544</v>
      </c>
      <c r="C6194" s="12" t="s">
        <v>545</v>
      </c>
      <c r="D6194" s="12" t="s">
        <v>175</v>
      </c>
      <c r="E6194" s="12" t="s">
        <v>65</v>
      </c>
      <c r="F6194">
        <v>3</v>
      </c>
      <c r="G6194">
        <v>5</v>
      </c>
      <c r="H6194">
        <v>0</v>
      </c>
      <c r="I6194" s="12" t="s">
        <v>359</v>
      </c>
      <c r="J6194" s="12" t="s">
        <v>360</v>
      </c>
      <c r="K6194" s="12" t="s">
        <v>133</v>
      </c>
      <c r="L6194" s="12" t="s">
        <v>82</v>
      </c>
      <c r="M6194">
        <v>12.65</v>
      </c>
      <c r="N6194" s="12" t="s">
        <v>145</v>
      </c>
      <c r="O6194" s="12" t="s">
        <v>146</v>
      </c>
      <c r="P6194" s="12" t="s">
        <v>109</v>
      </c>
      <c r="Q6194" s="13">
        <v>45999</v>
      </c>
      <c r="R6194" s="13">
        <v>46032</v>
      </c>
      <c r="S6194">
        <v>2025</v>
      </c>
      <c r="T6194" s="12" t="s">
        <v>7261</v>
      </c>
      <c r="U6194">
        <v>103</v>
      </c>
      <c r="V6194">
        <v>130.8134</v>
      </c>
      <c r="W6194">
        <v>150.35</v>
      </c>
      <c r="X6194">
        <v>0</v>
      </c>
      <c r="Y6194">
        <v>0</v>
      </c>
      <c r="Z6194">
        <v>13473.78</v>
      </c>
      <c r="AA6194">
        <v>13624.13</v>
      </c>
      <c r="AB6194" s="12" t="s">
        <v>5827</v>
      </c>
      <c r="AC6194">
        <v>138.72919999999999</v>
      </c>
      <c r="AD6194">
        <v>1</v>
      </c>
      <c r="AE6194">
        <v>1</v>
      </c>
      <c r="AF6194">
        <v>-815.33</v>
      </c>
      <c r="AG6194">
        <v>14289.11</v>
      </c>
      <c r="AK6194">
        <v>0</v>
      </c>
      <c r="AL6194">
        <v>0</v>
      </c>
      <c r="AO6194">
        <v>0</v>
      </c>
      <c r="AP6194" s="13"/>
    </row>
    <row r="6195" spans="1:44" x14ac:dyDescent="0.35">
      <c r="A6195" s="12" t="s">
        <v>7313</v>
      </c>
      <c r="B6195" s="12" t="s">
        <v>437</v>
      </c>
      <c r="C6195" s="12" t="s">
        <v>438</v>
      </c>
      <c r="D6195" s="12" t="s">
        <v>269</v>
      </c>
      <c r="E6195" s="12" t="s">
        <v>65</v>
      </c>
      <c r="F6195">
        <v>2</v>
      </c>
      <c r="G6195">
        <v>4</v>
      </c>
      <c r="H6195">
        <v>0</v>
      </c>
      <c r="I6195" s="12" t="s">
        <v>115</v>
      </c>
      <c r="J6195" s="12" t="s">
        <v>116</v>
      </c>
      <c r="K6195" s="12" t="s">
        <v>117</v>
      </c>
      <c r="L6195" s="12" t="s">
        <v>82</v>
      </c>
      <c r="M6195">
        <v>17.170000000000002</v>
      </c>
      <c r="N6195" s="12" t="s">
        <v>135</v>
      </c>
      <c r="O6195" s="12" t="s">
        <v>136</v>
      </c>
      <c r="P6195" s="12" t="s">
        <v>137</v>
      </c>
      <c r="Q6195" s="13">
        <v>45999</v>
      </c>
      <c r="R6195" s="13">
        <v>46035</v>
      </c>
      <c r="S6195">
        <v>2025</v>
      </c>
      <c r="T6195" s="12" t="s">
        <v>7261</v>
      </c>
      <c r="U6195">
        <v>131</v>
      </c>
      <c r="V6195">
        <v>409.1377</v>
      </c>
      <c r="W6195">
        <v>990.11</v>
      </c>
      <c r="X6195">
        <v>0</v>
      </c>
      <c r="Y6195">
        <v>0</v>
      </c>
      <c r="Z6195">
        <v>53597.04</v>
      </c>
      <c r="AA6195">
        <v>54587.15</v>
      </c>
      <c r="AB6195" s="12" t="s">
        <v>5505</v>
      </c>
      <c r="AC6195">
        <v>409.1377</v>
      </c>
      <c r="AD6195">
        <v>1</v>
      </c>
      <c r="AE6195">
        <v>1</v>
      </c>
      <c r="AF6195">
        <v>0</v>
      </c>
      <c r="AG6195">
        <v>53597.04</v>
      </c>
      <c r="AK6195">
        <v>0</v>
      </c>
      <c r="AL6195">
        <v>0</v>
      </c>
      <c r="AO6195">
        <v>0</v>
      </c>
      <c r="AP6195" s="13"/>
    </row>
    <row r="6196" spans="1:44" x14ac:dyDescent="0.35">
      <c r="A6196" s="12" t="s">
        <v>7314</v>
      </c>
      <c r="B6196" s="12" t="s">
        <v>1034</v>
      </c>
      <c r="C6196" s="12" t="s">
        <v>1035</v>
      </c>
      <c r="D6196" s="12" t="s">
        <v>64</v>
      </c>
      <c r="E6196" s="12" t="s">
        <v>104</v>
      </c>
      <c r="F6196">
        <v>2</v>
      </c>
      <c r="G6196">
        <v>0</v>
      </c>
      <c r="H6196">
        <v>0</v>
      </c>
      <c r="I6196" s="12" t="s">
        <v>157</v>
      </c>
      <c r="J6196" s="12" t="s">
        <v>158</v>
      </c>
      <c r="K6196" s="12" t="s">
        <v>117</v>
      </c>
      <c r="L6196" s="12" t="s">
        <v>96</v>
      </c>
      <c r="M6196">
        <v>4.72</v>
      </c>
      <c r="N6196" s="12" t="s">
        <v>70</v>
      </c>
      <c r="O6196" s="12" t="s">
        <v>71</v>
      </c>
      <c r="P6196" s="12" t="s">
        <v>72</v>
      </c>
      <c r="Q6196" s="13">
        <v>45999</v>
      </c>
      <c r="R6196" s="13">
        <v>46014</v>
      </c>
      <c r="S6196">
        <v>2025</v>
      </c>
      <c r="T6196" s="12" t="s">
        <v>7261</v>
      </c>
      <c r="U6196">
        <v>273</v>
      </c>
      <c r="V6196">
        <v>8.5963999999999992</v>
      </c>
      <c r="W6196">
        <v>24.45</v>
      </c>
      <c r="X6196">
        <v>0</v>
      </c>
      <c r="Y6196">
        <v>0</v>
      </c>
      <c r="Z6196">
        <v>2346.8200000000002</v>
      </c>
      <c r="AA6196">
        <v>2371.27</v>
      </c>
      <c r="AB6196" s="12" t="s">
        <v>5798</v>
      </c>
      <c r="AC6196">
        <v>8.5963999999999992</v>
      </c>
      <c r="AD6196">
        <v>1</v>
      </c>
      <c r="AE6196">
        <v>1</v>
      </c>
      <c r="AF6196">
        <v>0</v>
      </c>
      <c r="AG6196">
        <v>2346.8200000000002</v>
      </c>
      <c r="AH6196">
        <v>273</v>
      </c>
      <c r="AI6196">
        <v>271</v>
      </c>
      <c r="AJ6196">
        <v>2</v>
      </c>
      <c r="AK6196">
        <v>1</v>
      </c>
      <c r="AL6196">
        <v>1</v>
      </c>
      <c r="AM6196">
        <v>99.27</v>
      </c>
      <c r="AN6196">
        <v>8.7500999999999998</v>
      </c>
      <c r="AO6196">
        <v>17.190000000000001</v>
      </c>
      <c r="AP6196" s="13">
        <v>46013</v>
      </c>
      <c r="AQ6196">
        <v>-1</v>
      </c>
      <c r="AR6196">
        <v>1</v>
      </c>
    </row>
    <row r="6197" spans="1:44" x14ac:dyDescent="0.35">
      <c r="A6197" s="12" t="s">
        <v>7315</v>
      </c>
      <c r="B6197" s="12" t="s">
        <v>408</v>
      </c>
      <c r="C6197" s="12" t="s">
        <v>409</v>
      </c>
      <c r="D6197" s="12" t="s">
        <v>130</v>
      </c>
      <c r="E6197" s="12" t="s">
        <v>65</v>
      </c>
      <c r="F6197">
        <v>3</v>
      </c>
      <c r="G6197">
        <v>5</v>
      </c>
      <c r="H6197">
        <v>0</v>
      </c>
      <c r="I6197" s="12" t="s">
        <v>105</v>
      </c>
      <c r="J6197" s="12" t="s">
        <v>106</v>
      </c>
      <c r="K6197" s="12" t="s">
        <v>81</v>
      </c>
      <c r="L6197" s="12" t="s">
        <v>96</v>
      </c>
      <c r="M6197">
        <v>5.01</v>
      </c>
      <c r="N6197" s="12" t="s">
        <v>135</v>
      </c>
      <c r="O6197" s="12" t="s">
        <v>136</v>
      </c>
      <c r="P6197" s="12" t="s">
        <v>137</v>
      </c>
      <c r="Q6197" s="13">
        <v>45999</v>
      </c>
      <c r="R6197" s="13">
        <v>46037</v>
      </c>
      <c r="S6197">
        <v>2025</v>
      </c>
      <c r="T6197" s="12" t="s">
        <v>7261</v>
      </c>
      <c r="U6197">
        <v>143</v>
      </c>
      <c r="V6197">
        <v>724.06979999999999</v>
      </c>
      <c r="W6197">
        <v>1962.61</v>
      </c>
      <c r="X6197">
        <v>0</v>
      </c>
      <c r="Y6197">
        <v>0</v>
      </c>
      <c r="Z6197">
        <v>103541.98</v>
      </c>
      <c r="AA6197">
        <v>105504.59</v>
      </c>
      <c r="AB6197" s="12" t="s">
        <v>5490</v>
      </c>
      <c r="AC6197">
        <v>724.06979999999999</v>
      </c>
      <c r="AD6197">
        <v>1</v>
      </c>
      <c r="AE6197">
        <v>1</v>
      </c>
      <c r="AF6197">
        <v>0</v>
      </c>
      <c r="AG6197">
        <v>103541.98</v>
      </c>
      <c r="AK6197">
        <v>0</v>
      </c>
      <c r="AL6197">
        <v>0</v>
      </c>
      <c r="AO6197">
        <v>0</v>
      </c>
      <c r="AP6197" s="13"/>
    </row>
    <row r="6198" spans="1:44" x14ac:dyDescent="0.35">
      <c r="A6198" s="12" t="s">
        <v>7316</v>
      </c>
      <c r="B6198" s="12" t="s">
        <v>1068</v>
      </c>
      <c r="C6198" s="12" t="s">
        <v>1069</v>
      </c>
      <c r="D6198" s="12" t="s">
        <v>122</v>
      </c>
      <c r="E6198" s="12" t="s">
        <v>65</v>
      </c>
      <c r="F6198">
        <v>2</v>
      </c>
      <c r="G6198">
        <v>2</v>
      </c>
      <c r="H6198">
        <v>0</v>
      </c>
      <c r="I6198" s="12" t="s">
        <v>79</v>
      </c>
      <c r="J6198" s="12" t="s">
        <v>80</v>
      </c>
      <c r="K6198" s="12" t="s">
        <v>81</v>
      </c>
      <c r="L6198" s="12" t="s">
        <v>82</v>
      </c>
      <c r="M6198">
        <v>12.07</v>
      </c>
      <c r="N6198" s="12" t="s">
        <v>97</v>
      </c>
      <c r="O6198" s="12" t="s">
        <v>98</v>
      </c>
      <c r="P6198" s="12" t="s">
        <v>72</v>
      </c>
      <c r="Q6198" s="13">
        <v>45999</v>
      </c>
      <c r="R6198" s="13">
        <v>46024</v>
      </c>
      <c r="S6198">
        <v>2025</v>
      </c>
      <c r="T6198" s="12" t="s">
        <v>7261</v>
      </c>
      <c r="U6198">
        <v>656</v>
      </c>
      <c r="V6198">
        <v>20.8949</v>
      </c>
      <c r="W6198">
        <v>130.06</v>
      </c>
      <c r="X6198">
        <v>478.94</v>
      </c>
      <c r="Y6198">
        <v>1</v>
      </c>
      <c r="Z6198">
        <v>13707.05</v>
      </c>
      <c r="AA6198">
        <v>14316.05</v>
      </c>
      <c r="AB6198" s="12" t="s">
        <v>5478</v>
      </c>
      <c r="AC6198">
        <v>20.8949</v>
      </c>
      <c r="AD6198">
        <v>1</v>
      </c>
      <c r="AE6198">
        <v>1</v>
      </c>
      <c r="AF6198">
        <v>0</v>
      </c>
      <c r="AG6198">
        <v>13707.05</v>
      </c>
      <c r="AH6198">
        <v>656</v>
      </c>
      <c r="AI6198">
        <v>648</v>
      </c>
      <c r="AJ6198">
        <v>8</v>
      </c>
      <c r="AK6198">
        <v>1</v>
      </c>
      <c r="AL6198">
        <v>1</v>
      </c>
      <c r="AM6198">
        <v>98.78</v>
      </c>
      <c r="AN6198">
        <v>22.092700000000001</v>
      </c>
      <c r="AO6198">
        <v>167.16</v>
      </c>
      <c r="AP6198" s="13">
        <v>46021</v>
      </c>
      <c r="AQ6198">
        <v>-3</v>
      </c>
      <c r="AR6198">
        <v>1</v>
      </c>
    </row>
    <row r="6199" spans="1:44" x14ac:dyDescent="0.35">
      <c r="A6199" s="12" t="s">
        <v>7317</v>
      </c>
      <c r="B6199" s="12" t="s">
        <v>120</v>
      </c>
      <c r="C6199" s="12" t="s">
        <v>121</v>
      </c>
      <c r="D6199" s="12" t="s">
        <v>122</v>
      </c>
      <c r="E6199" s="12" t="s">
        <v>65</v>
      </c>
      <c r="F6199">
        <v>3</v>
      </c>
      <c r="G6199">
        <v>4</v>
      </c>
      <c r="H6199">
        <v>0</v>
      </c>
      <c r="I6199" s="12" t="s">
        <v>123</v>
      </c>
      <c r="J6199" s="12" t="s">
        <v>124</v>
      </c>
      <c r="K6199" s="12" t="s">
        <v>125</v>
      </c>
      <c r="L6199" s="12" t="s">
        <v>82</v>
      </c>
      <c r="M6199">
        <v>6.75</v>
      </c>
      <c r="N6199" s="12" t="s">
        <v>97</v>
      </c>
      <c r="O6199" s="12" t="s">
        <v>98</v>
      </c>
      <c r="P6199" s="12" t="s">
        <v>72</v>
      </c>
      <c r="Q6199" s="13">
        <v>45999</v>
      </c>
      <c r="R6199" s="13">
        <v>46030</v>
      </c>
      <c r="S6199">
        <v>2025</v>
      </c>
      <c r="T6199" s="12" t="s">
        <v>7261</v>
      </c>
      <c r="U6199">
        <v>1203</v>
      </c>
      <c r="V6199">
        <v>50.976100000000002</v>
      </c>
      <c r="W6199">
        <v>1260.42</v>
      </c>
      <c r="X6199">
        <v>0</v>
      </c>
      <c r="Y6199">
        <v>0</v>
      </c>
      <c r="Z6199">
        <v>61324.25</v>
      </c>
      <c r="AA6199">
        <v>62584.67</v>
      </c>
      <c r="AB6199" s="12" t="s">
        <v>5139</v>
      </c>
      <c r="AC6199">
        <v>50.976100000000002</v>
      </c>
      <c r="AD6199">
        <v>1</v>
      </c>
      <c r="AE6199">
        <v>1</v>
      </c>
      <c r="AF6199">
        <v>0</v>
      </c>
      <c r="AG6199">
        <v>61324.25</v>
      </c>
      <c r="AK6199">
        <v>0</v>
      </c>
      <c r="AL6199">
        <v>0</v>
      </c>
      <c r="AO6199">
        <v>0</v>
      </c>
      <c r="AP6199" s="13"/>
    </row>
    <row r="6200" spans="1:44" x14ac:dyDescent="0.35">
      <c r="A6200" s="12" t="s">
        <v>7318</v>
      </c>
      <c r="B6200" s="12" t="s">
        <v>231</v>
      </c>
      <c r="C6200" s="12" t="s">
        <v>232</v>
      </c>
      <c r="D6200" s="12" t="s">
        <v>130</v>
      </c>
      <c r="E6200" s="12" t="s">
        <v>65</v>
      </c>
      <c r="F6200">
        <v>1</v>
      </c>
      <c r="G6200">
        <v>2</v>
      </c>
      <c r="H6200">
        <v>1</v>
      </c>
      <c r="I6200" s="12" t="s">
        <v>233</v>
      </c>
      <c r="J6200" s="12" t="s">
        <v>234</v>
      </c>
      <c r="K6200" s="12" t="s">
        <v>125</v>
      </c>
      <c r="L6200" s="12" t="s">
        <v>96</v>
      </c>
      <c r="M6200">
        <v>3.73</v>
      </c>
      <c r="N6200" s="12" t="s">
        <v>135</v>
      </c>
      <c r="O6200" s="12" t="s">
        <v>136</v>
      </c>
      <c r="P6200" s="12" t="s">
        <v>137</v>
      </c>
      <c r="Q6200" s="13">
        <v>45999</v>
      </c>
      <c r="R6200" s="13">
        <v>46020</v>
      </c>
      <c r="S6200">
        <v>2025</v>
      </c>
      <c r="T6200" s="12" t="s">
        <v>7261</v>
      </c>
      <c r="U6200">
        <v>12</v>
      </c>
      <c r="V6200">
        <v>452.3331</v>
      </c>
      <c r="W6200">
        <v>113.57</v>
      </c>
      <c r="X6200">
        <v>0</v>
      </c>
      <c r="Y6200">
        <v>0</v>
      </c>
      <c r="Z6200">
        <v>5428</v>
      </c>
      <c r="AA6200">
        <v>5541.57</v>
      </c>
      <c r="AB6200" s="12" t="s">
        <v>201</v>
      </c>
      <c r="AD6200">
        <v>0</v>
      </c>
      <c r="AE6200">
        <v>0</v>
      </c>
      <c r="AH6200">
        <v>12</v>
      </c>
      <c r="AI6200">
        <v>12</v>
      </c>
      <c r="AJ6200">
        <v>0</v>
      </c>
      <c r="AK6200">
        <v>1</v>
      </c>
      <c r="AL6200">
        <v>1</v>
      </c>
      <c r="AM6200">
        <v>100</v>
      </c>
      <c r="AN6200">
        <v>461.79730000000001</v>
      </c>
      <c r="AO6200">
        <v>0</v>
      </c>
      <c r="AP6200" s="13">
        <v>46019</v>
      </c>
      <c r="AQ6200">
        <v>-1</v>
      </c>
      <c r="AR6200">
        <v>1</v>
      </c>
    </row>
    <row r="6201" spans="1:44" x14ac:dyDescent="0.35">
      <c r="A6201" s="12" t="s">
        <v>7319</v>
      </c>
      <c r="B6201" s="12" t="s">
        <v>433</v>
      </c>
      <c r="C6201" s="12" t="s">
        <v>434</v>
      </c>
      <c r="D6201" s="12" t="s">
        <v>78</v>
      </c>
      <c r="E6201" s="12" t="s">
        <v>65</v>
      </c>
      <c r="F6201">
        <v>2</v>
      </c>
      <c r="G6201">
        <v>4</v>
      </c>
      <c r="H6201">
        <v>0</v>
      </c>
      <c r="I6201" s="12" t="s">
        <v>243</v>
      </c>
      <c r="J6201" s="12" t="s">
        <v>244</v>
      </c>
      <c r="K6201" s="12" t="s">
        <v>81</v>
      </c>
      <c r="L6201" s="12" t="s">
        <v>82</v>
      </c>
      <c r="M6201">
        <v>9.2200000000000006</v>
      </c>
      <c r="N6201" s="12" t="s">
        <v>97</v>
      </c>
      <c r="O6201" s="12" t="s">
        <v>98</v>
      </c>
      <c r="P6201" s="12" t="s">
        <v>72</v>
      </c>
      <c r="Q6201" s="13">
        <v>45999</v>
      </c>
      <c r="R6201" s="13">
        <v>46034</v>
      </c>
      <c r="S6201">
        <v>2025</v>
      </c>
      <c r="T6201" s="12" t="s">
        <v>7261</v>
      </c>
      <c r="U6201">
        <v>253</v>
      </c>
      <c r="V6201">
        <v>68.537599999999998</v>
      </c>
      <c r="W6201">
        <v>281.83</v>
      </c>
      <c r="X6201">
        <v>0</v>
      </c>
      <c r="Y6201">
        <v>0</v>
      </c>
      <c r="Z6201">
        <v>17340.009999999998</v>
      </c>
      <c r="AA6201">
        <v>17621.84</v>
      </c>
      <c r="AB6201" s="12" t="s">
        <v>5808</v>
      </c>
      <c r="AC6201">
        <v>68.537599999999998</v>
      </c>
      <c r="AD6201">
        <v>1</v>
      </c>
      <c r="AE6201">
        <v>1</v>
      </c>
      <c r="AF6201">
        <v>0</v>
      </c>
      <c r="AG6201">
        <v>17340.009999999998</v>
      </c>
      <c r="AK6201">
        <v>0</v>
      </c>
      <c r="AL6201">
        <v>0</v>
      </c>
      <c r="AO6201">
        <v>0</v>
      </c>
      <c r="AP6201" s="13"/>
    </row>
    <row r="6202" spans="1:44" x14ac:dyDescent="0.35">
      <c r="A6202" s="12" t="s">
        <v>7320</v>
      </c>
      <c r="B6202" s="12" t="s">
        <v>674</v>
      </c>
      <c r="C6202" s="12" t="s">
        <v>675</v>
      </c>
      <c r="D6202" s="12" t="s">
        <v>269</v>
      </c>
      <c r="E6202" s="12" t="s">
        <v>142</v>
      </c>
      <c r="F6202">
        <v>1</v>
      </c>
      <c r="G6202">
        <v>7</v>
      </c>
      <c r="H6202">
        <v>1</v>
      </c>
      <c r="I6202" s="12" t="s">
        <v>676</v>
      </c>
      <c r="J6202" s="12" t="s">
        <v>677</v>
      </c>
      <c r="K6202" s="12" t="s">
        <v>68</v>
      </c>
      <c r="L6202" s="12" t="s">
        <v>96</v>
      </c>
      <c r="M6202">
        <v>3.57</v>
      </c>
      <c r="N6202" s="12" t="s">
        <v>159</v>
      </c>
      <c r="O6202" s="12" t="s">
        <v>160</v>
      </c>
      <c r="P6202" s="12" t="s">
        <v>137</v>
      </c>
      <c r="Q6202" s="13">
        <v>46000</v>
      </c>
      <c r="R6202" s="13">
        <v>46041</v>
      </c>
      <c r="S6202">
        <v>2025</v>
      </c>
      <c r="T6202" s="12" t="s">
        <v>7261</v>
      </c>
      <c r="U6202">
        <v>61</v>
      </c>
      <c r="V6202">
        <v>355.72919999999999</v>
      </c>
      <c r="W6202">
        <v>523.1</v>
      </c>
      <c r="X6202">
        <v>0</v>
      </c>
      <c r="Y6202">
        <v>0</v>
      </c>
      <c r="Z6202">
        <v>21699.48</v>
      </c>
      <c r="AA6202">
        <v>22222.58</v>
      </c>
      <c r="AB6202" s="12" t="s">
        <v>201</v>
      </c>
      <c r="AD6202">
        <v>0</v>
      </c>
      <c r="AE6202">
        <v>0</v>
      </c>
      <c r="AK6202">
        <v>0</v>
      </c>
      <c r="AL6202">
        <v>0</v>
      </c>
      <c r="AO6202">
        <v>0</v>
      </c>
      <c r="AP6202" s="13"/>
    </row>
    <row r="6203" spans="1:44" x14ac:dyDescent="0.35">
      <c r="A6203" s="12" t="s">
        <v>7321</v>
      </c>
      <c r="B6203" s="12" t="s">
        <v>317</v>
      </c>
      <c r="C6203" s="12" t="s">
        <v>318</v>
      </c>
      <c r="D6203" s="12" t="s">
        <v>64</v>
      </c>
      <c r="E6203" s="12" t="s">
        <v>104</v>
      </c>
      <c r="F6203">
        <v>2</v>
      </c>
      <c r="G6203">
        <v>0</v>
      </c>
      <c r="H6203">
        <v>0</v>
      </c>
      <c r="I6203" s="12" t="s">
        <v>183</v>
      </c>
      <c r="J6203" s="12" t="s">
        <v>184</v>
      </c>
      <c r="K6203" s="12" t="s">
        <v>133</v>
      </c>
      <c r="L6203" s="12" t="s">
        <v>82</v>
      </c>
      <c r="M6203">
        <v>8.6199999999999992</v>
      </c>
      <c r="N6203" s="12" t="s">
        <v>97</v>
      </c>
      <c r="O6203" s="12" t="s">
        <v>98</v>
      </c>
      <c r="P6203" s="12" t="s">
        <v>72</v>
      </c>
      <c r="Q6203" s="13">
        <v>46000</v>
      </c>
      <c r="R6203" s="13">
        <v>46025</v>
      </c>
      <c r="S6203">
        <v>2025</v>
      </c>
      <c r="T6203" s="12" t="s">
        <v>7261</v>
      </c>
      <c r="U6203">
        <v>762</v>
      </c>
      <c r="V6203">
        <v>15.7446</v>
      </c>
      <c r="W6203">
        <v>126.77</v>
      </c>
      <c r="X6203">
        <v>0</v>
      </c>
      <c r="Y6203">
        <v>0</v>
      </c>
      <c r="Z6203">
        <v>11997.39</v>
      </c>
      <c r="AA6203">
        <v>12124.16</v>
      </c>
      <c r="AB6203" s="12" t="s">
        <v>5733</v>
      </c>
      <c r="AC6203">
        <v>15.7446</v>
      </c>
      <c r="AD6203">
        <v>1</v>
      </c>
      <c r="AE6203">
        <v>1</v>
      </c>
      <c r="AF6203">
        <v>0</v>
      </c>
      <c r="AG6203">
        <v>11997.39</v>
      </c>
      <c r="AK6203">
        <v>0</v>
      </c>
      <c r="AL6203">
        <v>0</v>
      </c>
      <c r="AO6203">
        <v>0</v>
      </c>
      <c r="AP6203" s="13"/>
    </row>
    <row r="6204" spans="1:44" x14ac:dyDescent="0.35">
      <c r="A6204" s="12" t="s">
        <v>7322</v>
      </c>
      <c r="B6204" s="12" t="s">
        <v>1220</v>
      </c>
      <c r="C6204" s="12" t="s">
        <v>1221</v>
      </c>
      <c r="D6204" s="12" t="s">
        <v>175</v>
      </c>
      <c r="E6204" s="12" t="s">
        <v>104</v>
      </c>
      <c r="F6204">
        <v>3</v>
      </c>
      <c r="G6204">
        <v>1</v>
      </c>
      <c r="H6204">
        <v>0</v>
      </c>
      <c r="I6204" s="12" t="s">
        <v>251</v>
      </c>
      <c r="J6204" s="12" t="s">
        <v>252</v>
      </c>
      <c r="K6204" s="12" t="s">
        <v>133</v>
      </c>
      <c r="L6204" s="12" t="s">
        <v>69</v>
      </c>
      <c r="M6204">
        <v>34.49</v>
      </c>
      <c r="N6204" s="12" t="s">
        <v>145</v>
      </c>
      <c r="O6204" s="12" t="s">
        <v>146</v>
      </c>
      <c r="P6204" s="12" t="s">
        <v>109</v>
      </c>
      <c r="Q6204" s="13">
        <v>46000</v>
      </c>
      <c r="R6204" s="13">
        <v>46018</v>
      </c>
      <c r="S6204">
        <v>2025</v>
      </c>
      <c r="T6204" s="12" t="s">
        <v>7261</v>
      </c>
      <c r="U6204">
        <v>56</v>
      </c>
      <c r="V6204">
        <v>130.71600000000001</v>
      </c>
      <c r="W6204">
        <v>119.86</v>
      </c>
      <c r="X6204">
        <v>0</v>
      </c>
      <c r="Y6204">
        <v>0</v>
      </c>
      <c r="Z6204">
        <v>7320.1</v>
      </c>
      <c r="AA6204">
        <v>7439.96</v>
      </c>
      <c r="AB6204" s="12" t="s">
        <v>6528</v>
      </c>
      <c r="AC6204">
        <v>138.9153</v>
      </c>
      <c r="AD6204">
        <v>1</v>
      </c>
      <c r="AE6204">
        <v>1</v>
      </c>
      <c r="AF6204">
        <v>-459.16</v>
      </c>
      <c r="AG6204">
        <v>7779.26</v>
      </c>
      <c r="AH6204">
        <v>56</v>
      </c>
      <c r="AI6204">
        <v>56</v>
      </c>
      <c r="AJ6204">
        <v>0</v>
      </c>
      <c r="AK6204">
        <v>1</v>
      </c>
      <c r="AL6204">
        <v>1</v>
      </c>
      <c r="AM6204">
        <v>100</v>
      </c>
      <c r="AN6204">
        <v>132.85640000000001</v>
      </c>
      <c r="AO6204">
        <v>0</v>
      </c>
      <c r="AP6204" s="13">
        <v>46016</v>
      </c>
      <c r="AQ6204">
        <v>-2</v>
      </c>
      <c r="AR6204">
        <v>1</v>
      </c>
    </row>
    <row r="6205" spans="1:44" x14ac:dyDescent="0.35">
      <c r="A6205" s="12" t="s">
        <v>7323</v>
      </c>
      <c r="B6205" s="12" t="s">
        <v>408</v>
      </c>
      <c r="C6205" s="12" t="s">
        <v>409</v>
      </c>
      <c r="D6205" s="12" t="s">
        <v>130</v>
      </c>
      <c r="E6205" s="12" t="s">
        <v>65</v>
      </c>
      <c r="F6205">
        <v>3</v>
      </c>
      <c r="G6205">
        <v>5</v>
      </c>
      <c r="H6205">
        <v>0</v>
      </c>
      <c r="I6205" s="12" t="s">
        <v>105</v>
      </c>
      <c r="J6205" s="12" t="s">
        <v>106</v>
      </c>
      <c r="K6205" s="12" t="s">
        <v>81</v>
      </c>
      <c r="L6205" s="12" t="s">
        <v>96</v>
      </c>
      <c r="M6205">
        <v>5.01</v>
      </c>
      <c r="N6205" s="12" t="s">
        <v>159</v>
      </c>
      <c r="O6205" s="12" t="s">
        <v>160</v>
      </c>
      <c r="P6205" s="12" t="s">
        <v>137</v>
      </c>
      <c r="Q6205" s="13">
        <v>46000</v>
      </c>
      <c r="R6205" s="13">
        <v>46036</v>
      </c>
      <c r="S6205">
        <v>2025</v>
      </c>
      <c r="T6205" s="12" t="s">
        <v>7261</v>
      </c>
      <c r="U6205">
        <v>134</v>
      </c>
      <c r="V6205">
        <v>724.06979999999999</v>
      </c>
      <c r="W6205">
        <v>1491.25</v>
      </c>
      <c r="X6205">
        <v>0</v>
      </c>
      <c r="Y6205">
        <v>0</v>
      </c>
      <c r="Z6205">
        <v>97025.35</v>
      </c>
      <c r="AA6205">
        <v>98516.6</v>
      </c>
      <c r="AB6205" s="12" t="s">
        <v>5490</v>
      </c>
      <c r="AC6205">
        <v>724.06979999999999</v>
      </c>
      <c r="AD6205">
        <v>1</v>
      </c>
      <c r="AE6205">
        <v>1</v>
      </c>
      <c r="AF6205">
        <v>0</v>
      </c>
      <c r="AG6205">
        <v>97025.35</v>
      </c>
      <c r="AK6205">
        <v>0</v>
      </c>
      <c r="AL6205">
        <v>0</v>
      </c>
      <c r="AO6205">
        <v>0</v>
      </c>
      <c r="AP6205" s="13"/>
    </row>
    <row r="6206" spans="1:44" x14ac:dyDescent="0.35">
      <c r="A6206" s="12" t="s">
        <v>7324</v>
      </c>
      <c r="B6206" s="12" t="s">
        <v>773</v>
      </c>
      <c r="C6206" s="12" t="s">
        <v>774</v>
      </c>
      <c r="D6206" s="12" t="s">
        <v>64</v>
      </c>
      <c r="E6206" s="12" t="s">
        <v>142</v>
      </c>
      <c r="F6206">
        <v>1</v>
      </c>
      <c r="G6206">
        <v>7</v>
      </c>
      <c r="H6206">
        <v>1</v>
      </c>
      <c r="I6206" s="12" t="s">
        <v>251</v>
      </c>
      <c r="J6206" s="12" t="s">
        <v>252</v>
      </c>
      <c r="K6206" s="12" t="s">
        <v>133</v>
      </c>
      <c r="L6206" s="12" t="s">
        <v>69</v>
      </c>
      <c r="M6206">
        <v>34.49</v>
      </c>
      <c r="N6206" s="12" t="s">
        <v>70</v>
      </c>
      <c r="O6206" s="12" t="s">
        <v>71</v>
      </c>
      <c r="P6206" s="12" t="s">
        <v>72</v>
      </c>
      <c r="Q6206" s="13">
        <v>46000</v>
      </c>
      <c r="R6206" s="13">
        <v>46051</v>
      </c>
      <c r="S6206">
        <v>2025</v>
      </c>
      <c r="T6206" s="12" t="s">
        <v>7261</v>
      </c>
      <c r="U6206">
        <v>948</v>
      </c>
      <c r="V6206">
        <v>9.9849999999999994</v>
      </c>
      <c r="W6206">
        <v>126.19</v>
      </c>
      <c r="X6206">
        <v>0</v>
      </c>
      <c r="Y6206">
        <v>0</v>
      </c>
      <c r="Z6206">
        <v>9465.7800000000007</v>
      </c>
      <c r="AA6206">
        <v>9591.9699999999993</v>
      </c>
      <c r="AB6206" s="12" t="s">
        <v>5613</v>
      </c>
      <c r="AC6206">
        <v>9.9849999999999994</v>
      </c>
      <c r="AD6206">
        <v>1</v>
      </c>
      <c r="AE6206">
        <v>1</v>
      </c>
      <c r="AF6206">
        <v>0</v>
      </c>
      <c r="AG6206">
        <v>9465.7800000000007</v>
      </c>
      <c r="AK6206">
        <v>0</v>
      </c>
      <c r="AL6206">
        <v>0</v>
      </c>
      <c r="AO6206">
        <v>0</v>
      </c>
      <c r="AP6206" s="13"/>
    </row>
    <row r="6207" spans="1:44" x14ac:dyDescent="0.35">
      <c r="A6207" s="12" t="s">
        <v>7325</v>
      </c>
      <c r="B6207" s="12" t="s">
        <v>454</v>
      </c>
      <c r="C6207" s="12" t="s">
        <v>455</v>
      </c>
      <c r="D6207" s="12" t="s">
        <v>122</v>
      </c>
      <c r="E6207" s="12" t="s">
        <v>104</v>
      </c>
      <c r="F6207">
        <v>3</v>
      </c>
      <c r="G6207">
        <v>1</v>
      </c>
      <c r="H6207">
        <v>0</v>
      </c>
      <c r="I6207" s="12" t="s">
        <v>87</v>
      </c>
      <c r="J6207" s="12" t="s">
        <v>88</v>
      </c>
      <c r="K6207" s="12" t="s">
        <v>89</v>
      </c>
      <c r="L6207" s="12" t="s">
        <v>69</v>
      </c>
      <c r="M6207">
        <v>14.93</v>
      </c>
      <c r="N6207" s="12" t="s">
        <v>97</v>
      </c>
      <c r="O6207" s="12" t="s">
        <v>98</v>
      </c>
      <c r="P6207" s="12" t="s">
        <v>72</v>
      </c>
      <c r="Q6207" s="13">
        <v>46000</v>
      </c>
      <c r="R6207" s="13">
        <v>46018</v>
      </c>
      <c r="S6207">
        <v>2025</v>
      </c>
      <c r="T6207" s="12" t="s">
        <v>7261</v>
      </c>
      <c r="U6207">
        <v>831</v>
      </c>
      <c r="V6207">
        <v>21.032599999999999</v>
      </c>
      <c r="W6207">
        <v>159.16</v>
      </c>
      <c r="X6207">
        <v>0</v>
      </c>
      <c r="Y6207">
        <v>0</v>
      </c>
      <c r="Z6207">
        <v>17478.09</v>
      </c>
      <c r="AA6207">
        <v>17637.25</v>
      </c>
      <c r="AB6207" s="12" t="s">
        <v>5456</v>
      </c>
      <c r="AC6207">
        <v>21.032599999999999</v>
      </c>
      <c r="AD6207">
        <v>1</v>
      </c>
      <c r="AE6207">
        <v>1</v>
      </c>
      <c r="AF6207">
        <v>0</v>
      </c>
      <c r="AG6207">
        <v>17478.09</v>
      </c>
      <c r="AH6207">
        <v>831</v>
      </c>
      <c r="AI6207">
        <v>825</v>
      </c>
      <c r="AJ6207">
        <v>6</v>
      </c>
      <c r="AK6207">
        <v>1</v>
      </c>
      <c r="AL6207">
        <v>1</v>
      </c>
      <c r="AM6207">
        <v>99.28</v>
      </c>
      <c r="AN6207">
        <v>21.378499999999999</v>
      </c>
      <c r="AO6207">
        <v>126.2</v>
      </c>
      <c r="AP6207" s="13">
        <v>46017</v>
      </c>
      <c r="AQ6207">
        <v>-1</v>
      </c>
      <c r="AR6207">
        <v>1</v>
      </c>
    </row>
    <row r="6208" spans="1:44" x14ac:dyDescent="0.35">
      <c r="A6208" s="12" t="s">
        <v>7326</v>
      </c>
      <c r="B6208" s="12" t="s">
        <v>404</v>
      </c>
      <c r="C6208" s="12" t="s">
        <v>405</v>
      </c>
      <c r="D6208" s="12" t="s">
        <v>269</v>
      </c>
      <c r="E6208" s="12" t="s">
        <v>65</v>
      </c>
      <c r="F6208">
        <v>3</v>
      </c>
      <c r="G6208">
        <v>5</v>
      </c>
      <c r="H6208">
        <v>0</v>
      </c>
      <c r="I6208" s="12" t="s">
        <v>79</v>
      </c>
      <c r="J6208" s="12" t="s">
        <v>80</v>
      </c>
      <c r="K6208" s="12" t="s">
        <v>81</v>
      </c>
      <c r="L6208" s="12" t="s">
        <v>82</v>
      </c>
      <c r="M6208">
        <v>12.07</v>
      </c>
      <c r="N6208" s="12" t="s">
        <v>135</v>
      </c>
      <c r="O6208" s="12" t="s">
        <v>136</v>
      </c>
      <c r="P6208" s="12" t="s">
        <v>137</v>
      </c>
      <c r="Q6208" s="13">
        <v>46001</v>
      </c>
      <c r="R6208" s="13">
        <v>46036</v>
      </c>
      <c r="S6208">
        <v>2025</v>
      </c>
      <c r="T6208" s="12" t="s">
        <v>7261</v>
      </c>
      <c r="U6208">
        <v>125</v>
      </c>
      <c r="V6208">
        <v>430.10059999999999</v>
      </c>
      <c r="W6208">
        <v>841.7</v>
      </c>
      <c r="X6208">
        <v>0</v>
      </c>
      <c r="Y6208">
        <v>0</v>
      </c>
      <c r="Z6208">
        <v>53762.58</v>
      </c>
      <c r="AA6208">
        <v>54604.28</v>
      </c>
      <c r="AB6208" s="12" t="s">
        <v>5503</v>
      </c>
      <c r="AC6208">
        <v>430.10059999999999</v>
      </c>
      <c r="AD6208">
        <v>1</v>
      </c>
      <c r="AE6208">
        <v>1</v>
      </c>
      <c r="AF6208">
        <v>0</v>
      </c>
      <c r="AG6208">
        <v>53762.58</v>
      </c>
      <c r="AK6208">
        <v>0</v>
      </c>
      <c r="AL6208">
        <v>0</v>
      </c>
      <c r="AO6208">
        <v>0</v>
      </c>
      <c r="AP6208" s="13"/>
    </row>
    <row r="6209" spans="1:44" x14ac:dyDescent="0.35">
      <c r="A6209" s="12" t="s">
        <v>7327</v>
      </c>
      <c r="B6209" s="12" t="s">
        <v>855</v>
      </c>
      <c r="C6209" s="12" t="s">
        <v>856</v>
      </c>
      <c r="D6209" s="12" t="s">
        <v>269</v>
      </c>
      <c r="E6209" s="12" t="s">
        <v>65</v>
      </c>
      <c r="F6209">
        <v>3</v>
      </c>
      <c r="G6209">
        <v>5</v>
      </c>
      <c r="H6209">
        <v>0</v>
      </c>
      <c r="I6209" s="12" t="s">
        <v>94</v>
      </c>
      <c r="J6209" s="12" t="s">
        <v>95</v>
      </c>
      <c r="K6209" s="12" t="s">
        <v>81</v>
      </c>
      <c r="L6209" s="12" t="s">
        <v>96</v>
      </c>
      <c r="M6209">
        <v>4.8099999999999996</v>
      </c>
      <c r="N6209" s="12" t="s">
        <v>135</v>
      </c>
      <c r="O6209" s="12" t="s">
        <v>136</v>
      </c>
      <c r="P6209" s="12" t="s">
        <v>137</v>
      </c>
      <c r="Q6209" s="13">
        <v>46001</v>
      </c>
      <c r="R6209" s="13">
        <v>46039</v>
      </c>
      <c r="S6209">
        <v>2025</v>
      </c>
      <c r="T6209" s="12" t="s">
        <v>7261</v>
      </c>
      <c r="U6209">
        <v>144</v>
      </c>
      <c r="V6209">
        <v>466.4701</v>
      </c>
      <c r="W6209">
        <v>833.47</v>
      </c>
      <c r="X6209">
        <v>0</v>
      </c>
      <c r="Y6209">
        <v>0</v>
      </c>
      <c r="Z6209">
        <v>67171.69</v>
      </c>
      <c r="AA6209">
        <v>68005.16</v>
      </c>
      <c r="AB6209" s="12" t="s">
        <v>5774</v>
      </c>
      <c r="AC6209">
        <v>466.4701</v>
      </c>
      <c r="AD6209">
        <v>1</v>
      </c>
      <c r="AE6209">
        <v>1</v>
      </c>
      <c r="AF6209">
        <v>0</v>
      </c>
      <c r="AG6209">
        <v>67171.69</v>
      </c>
      <c r="AK6209">
        <v>0</v>
      </c>
      <c r="AL6209">
        <v>0</v>
      </c>
      <c r="AO6209">
        <v>0</v>
      </c>
      <c r="AP6209" s="13"/>
    </row>
    <row r="6210" spans="1:44" x14ac:dyDescent="0.35">
      <c r="A6210" s="12" t="s">
        <v>7328</v>
      </c>
      <c r="B6210" s="12" t="s">
        <v>1179</v>
      </c>
      <c r="C6210" s="12" t="s">
        <v>1180</v>
      </c>
      <c r="D6210" s="12" t="s">
        <v>122</v>
      </c>
      <c r="E6210" s="12" t="s">
        <v>142</v>
      </c>
      <c r="F6210">
        <v>1</v>
      </c>
      <c r="G6210">
        <v>8</v>
      </c>
      <c r="H6210">
        <v>1</v>
      </c>
      <c r="I6210" s="12" t="s">
        <v>143</v>
      </c>
      <c r="J6210" s="12" t="s">
        <v>144</v>
      </c>
      <c r="K6210" s="12" t="s">
        <v>133</v>
      </c>
      <c r="L6210" s="12" t="s">
        <v>96</v>
      </c>
      <c r="M6210">
        <v>5.43</v>
      </c>
      <c r="N6210" s="12" t="s">
        <v>70</v>
      </c>
      <c r="O6210" s="12" t="s">
        <v>71</v>
      </c>
      <c r="P6210" s="12" t="s">
        <v>72</v>
      </c>
      <c r="Q6210" s="13">
        <v>46001</v>
      </c>
      <c r="R6210" s="13">
        <v>46052</v>
      </c>
      <c r="S6210">
        <v>2025</v>
      </c>
      <c r="T6210" s="12" t="s">
        <v>7261</v>
      </c>
      <c r="U6210">
        <v>1815</v>
      </c>
      <c r="V6210">
        <v>52.209899999999998</v>
      </c>
      <c r="W6210">
        <v>1263.51</v>
      </c>
      <c r="X6210">
        <v>0</v>
      </c>
      <c r="Y6210">
        <v>0</v>
      </c>
      <c r="Z6210">
        <v>94760.97</v>
      </c>
      <c r="AA6210">
        <v>96024.48</v>
      </c>
      <c r="AB6210" s="12" t="s">
        <v>5533</v>
      </c>
      <c r="AC6210">
        <v>52.209899999999998</v>
      </c>
      <c r="AD6210">
        <v>1</v>
      </c>
      <c r="AE6210">
        <v>1</v>
      </c>
      <c r="AF6210">
        <v>0</v>
      </c>
      <c r="AG6210">
        <v>94760.97</v>
      </c>
      <c r="AK6210">
        <v>0</v>
      </c>
      <c r="AL6210">
        <v>0</v>
      </c>
      <c r="AO6210">
        <v>0</v>
      </c>
      <c r="AP6210" s="13"/>
    </row>
    <row r="6211" spans="1:44" x14ac:dyDescent="0.35">
      <c r="A6211" s="12" t="s">
        <v>7329</v>
      </c>
      <c r="B6211" s="12" t="s">
        <v>238</v>
      </c>
      <c r="C6211" s="12" t="s">
        <v>239</v>
      </c>
      <c r="D6211" s="12" t="s">
        <v>122</v>
      </c>
      <c r="E6211" s="12" t="s">
        <v>65</v>
      </c>
      <c r="F6211">
        <v>3</v>
      </c>
      <c r="G6211">
        <v>4</v>
      </c>
      <c r="H6211">
        <v>0</v>
      </c>
      <c r="I6211" s="12" t="s">
        <v>79</v>
      </c>
      <c r="J6211" s="12" t="s">
        <v>80</v>
      </c>
      <c r="K6211" s="12" t="s">
        <v>81</v>
      </c>
      <c r="L6211" s="12" t="s">
        <v>82</v>
      </c>
      <c r="M6211">
        <v>12.07</v>
      </c>
      <c r="N6211" s="12" t="s">
        <v>70</v>
      </c>
      <c r="O6211" s="12" t="s">
        <v>71</v>
      </c>
      <c r="P6211" s="12" t="s">
        <v>72</v>
      </c>
      <c r="Q6211" s="13">
        <v>46001</v>
      </c>
      <c r="R6211" s="13">
        <v>46038</v>
      </c>
      <c r="S6211">
        <v>2025</v>
      </c>
      <c r="T6211" s="12" t="s">
        <v>7261</v>
      </c>
      <c r="U6211">
        <v>1838</v>
      </c>
      <c r="V6211">
        <v>32.237200000000001</v>
      </c>
      <c r="W6211">
        <v>670.98</v>
      </c>
      <c r="X6211">
        <v>0</v>
      </c>
      <c r="Y6211">
        <v>0</v>
      </c>
      <c r="Z6211">
        <v>59251.97</v>
      </c>
      <c r="AA6211">
        <v>59922.95</v>
      </c>
      <c r="AB6211" s="12" t="s">
        <v>5214</v>
      </c>
      <c r="AC6211">
        <v>34.205399999999997</v>
      </c>
      <c r="AD6211">
        <v>1</v>
      </c>
      <c r="AE6211">
        <v>1</v>
      </c>
      <c r="AF6211">
        <v>-3617.55</v>
      </c>
      <c r="AG6211">
        <v>62869.53</v>
      </c>
      <c r="AK6211">
        <v>0</v>
      </c>
      <c r="AL6211">
        <v>0</v>
      </c>
      <c r="AO6211">
        <v>0</v>
      </c>
      <c r="AP6211" s="13"/>
    </row>
    <row r="6212" spans="1:44" x14ac:dyDescent="0.35">
      <c r="A6212" s="12" t="s">
        <v>7330</v>
      </c>
      <c r="B6212" s="12" t="s">
        <v>163</v>
      </c>
      <c r="C6212" s="12" t="s">
        <v>164</v>
      </c>
      <c r="D6212" s="12" t="s">
        <v>64</v>
      </c>
      <c r="E6212" s="12" t="s">
        <v>104</v>
      </c>
      <c r="F6212">
        <v>2</v>
      </c>
      <c r="G6212">
        <v>0</v>
      </c>
      <c r="H6212">
        <v>0</v>
      </c>
      <c r="I6212" s="12" t="s">
        <v>79</v>
      </c>
      <c r="J6212" s="12" t="s">
        <v>80</v>
      </c>
      <c r="K6212" s="12" t="s">
        <v>81</v>
      </c>
      <c r="L6212" s="12" t="s">
        <v>82</v>
      </c>
      <c r="M6212">
        <v>12.07</v>
      </c>
      <c r="N6212" s="12" t="s">
        <v>70</v>
      </c>
      <c r="O6212" s="12" t="s">
        <v>71</v>
      </c>
      <c r="P6212" s="12" t="s">
        <v>72</v>
      </c>
      <c r="Q6212" s="13">
        <v>46002</v>
      </c>
      <c r="R6212" s="13">
        <v>46030</v>
      </c>
      <c r="S6212">
        <v>2025</v>
      </c>
      <c r="T6212" s="12" t="s">
        <v>7261</v>
      </c>
      <c r="U6212">
        <v>937</v>
      </c>
      <c r="V6212">
        <v>10.482900000000001</v>
      </c>
      <c r="W6212">
        <v>101.68</v>
      </c>
      <c r="X6212">
        <v>0</v>
      </c>
      <c r="Y6212">
        <v>0</v>
      </c>
      <c r="Z6212">
        <v>9822.48</v>
      </c>
      <c r="AA6212">
        <v>9924.16</v>
      </c>
      <c r="AB6212" s="12" t="s">
        <v>5303</v>
      </c>
      <c r="AC6212">
        <v>10.482900000000001</v>
      </c>
      <c r="AD6212">
        <v>1</v>
      </c>
      <c r="AE6212">
        <v>1</v>
      </c>
      <c r="AF6212">
        <v>0</v>
      </c>
      <c r="AG6212">
        <v>9822.48</v>
      </c>
      <c r="AK6212">
        <v>0</v>
      </c>
      <c r="AL6212">
        <v>0</v>
      </c>
      <c r="AO6212">
        <v>0</v>
      </c>
      <c r="AP6212" s="13"/>
    </row>
    <row r="6213" spans="1:44" x14ac:dyDescent="0.35">
      <c r="A6213" s="12" t="s">
        <v>7331</v>
      </c>
      <c r="B6213" s="12" t="s">
        <v>412</v>
      </c>
      <c r="C6213" s="12" t="s">
        <v>413</v>
      </c>
      <c r="D6213" s="12" t="s">
        <v>269</v>
      </c>
      <c r="E6213" s="12" t="s">
        <v>65</v>
      </c>
      <c r="F6213">
        <v>1</v>
      </c>
      <c r="G6213">
        <v>2</v>
      </c>
      <c r="H6213">
        <v>1</v>
      </c>
      <c r="I6213" s="12" t="s">
        <v>233</v>
      </c>
      <c r="J6213" s="12" t="s">
        <v>234</v>
      </c>
      <c r="K6213" s="12" t="s">
        <v>125</v>
      </c>
      <c r="L6213" s="12" t="s">
        <v>96</v>
      </c>
      <c r="M6213">
        <v>3.73</v>
      </c>
      <c r="N6213" s="12" t="s">
        <v>159</v>
      </c>
      <c r="O6213" s="12" t="s">
        <v>160</v>
      </c>
      <c r="P6213" s="12" t="s">
        <v>137</v>
      </c>
      <c r="Q6213" s="13">
        <v>46002</v>
      </c>
      <c r="R6213" s="13">
        <v>46035</v>
      </c>
      <c r="S6213">
        <v>2025</v>
      </c>
      <c r="T6213" s="12" t="s">
        <v>7261</v>
      </c>
      <c r="U6213">
        <v>109</v>
      </c>
      <c r="V6213">
        <v>103.87350000000001</v>
      </c>
      <c r="W6213">
        <v>225.38</v>
      </c>
      <c r="X6213">
        <v>0</v>
      </c>
      <c r="Y6213">
        <v>0</v>
      </c>
      <c r="Z6213">
        <v>11322.21</v>
      </c>
      <c r="AA6213">
        <v>11547.59</v>
      </c>
      <c r="AB6213" s="12" t="s">
        <v>5424</v>
      </c>
      <c r="AC6213">
        <v>103.87350000000001</v>
      </c>
      <c r="AD6213">
        <v>1</v>
      </c>
      <c r="AE6213">
        <v>1</v>
      </c>
      <c r="AF6213">
        <v>0</v>
      </c>
      <c r="AG6213">
        <v>11322.21</v>
      </c>
      <c r="AK6213">
        <v>0</v>
      </c>
      <c r="AL6213">
        <v>0</v>
      </c>
      <c r="AO6213">
        <v>0</v>
      </c>
      <c r="AP6213" s="13"/>
    </row>
    <row r="6214" spans="1:44" x14ac:dyDescent="0.35">
      <c r="A6214" s="12" t="s">
        <v>7332</v>
      </c>
      <c r="B6214" s="12" t="s">
        <v>503</v>
      </c>
      <c r="C6214" s="12" t="s">
        <v>504</v>
      </c>
      <c r="D6214" s="12" t="s">
        <v>103</v>
      </c>
      <c r="E6214" s="12" t="s">
        <v>104</v>
      </c>
      <c r="F6214">
        <v>3</v>
      </c>
      <c r="G6214">
        <v>1</v>
      </c>
      <c r="H6214">
        <v>0</v>
      </c>
      <c r="I6214" s="12" t="s">
        <v>251</v>
      </c>
      <c r="J6214" s="12" t="s">
        <v>252</v>
      </c>
      <c r="K6214" s="12" t="s">
        <v>133</v>
      </c>
      <c r="L6214" s="12" t="s">
        <v>69</v>
      </c>
      <c r="M6214">
        <v>34.49</v>
      </c>
      <c r="N6214" s="12" t="s">
        <v>145</v>
      </c>
      <c r="O6214" s="12" t="s">
        <v>146</v>
      </c>
      <c r="P6214" s="12" t="s">
        <v>109</v>
      </c>
      <c r="Q6214" s="13">
        <v>46002</v>
      </c>
      <c r="R6214" s="13">
        <v>46021</v>
      </c>
      <c r="S6214">
        <v>2025</v>
      </c>
      <c r="T6214" s="12" t="s">
        <v>7261</v>
      </c>
      <c r="U6214">
        <v>65</v>
      </c>
      <c r="V6214">
        <v>149.37700000000001</v>
      </c>
      <c r="W6214">
        <v>79.42</v>
      </c>
      <c r="X6214">
        <v>0</v>
      </c>
      <c r="Y6214">
        <v>0</v>
      </c>
      <c r="Z6214">
        <v>9709.51</v>
      </c>
      <c r="AA6214">
        <v>9788.93</v>
      </c>
      <c r="AB6214" s="12" t="s">
        <v>7123</v>
      </c>
      <c r="AC6214">
        <v>149.37700000000001</v>
      </c>
      <c r="AD6214">
        <v>1</v>
      </c>
      <c r="AE6214">
        <v>1</v>
      </c>
      <c r="AF6214">
        <v>0</v>
      </c>
      <c r="AG6214">
        <v>9709.51</v>
      </c>
      <c r="AH6214">
        <v>65</v>
      </c>
      <c r="AI6214">
        <v>65</v>
      </c>
      <c r="AJ6214">
        <v>0</v>
      </c>
      <c r="AK6214">
        <v>1</v>
      </c>
      <c r="AL6214">
        <v>1</v>
      </c>
      <c r="AM6214">
        <v>100</v>
      </c>
      <c r="AN6214">
        <v>150.59880000000001</v>
      </c>
      <c r="AO6214">
        <v>0</v>
      </c>
      <c r="AP6214" s="13">
        <v>46018</v>
      </c>
      <c r="AQ6214">
        <v>-3</v>
      </c>
      <c r="AR6214">
        <v>1</v>
      </c>
    </row>
    <row r="6215" spans="1:44" x14ac:dyDescent="0.35">
      <c r="A6215" s="12" t="s">
        <v>7333</v>
      </c>
      <c r="B6215" s="12" t="s">
        <v>848</v>
      </c>
      <c r="C6215" s="12" t="s">
        <v>849</v>
      </c>
      <c r="D6215" s="12" t="s">
        <v>103</v>
      </c>
      <c r="E6215" s="12" t="s">
        <v>65</v>
      </c>
      <c r="F6215">
        <v>2</v>
      </c>
      <c r="G6215">
        <v>4</v>
      </c>
      <c r="H6215">
        <v>0</v>
      </c>
      <c r="I6215" s="12" t="s">
        <v>169</v>
      </c>
      <c r="J6215" s="12" t="s">
        <v>170</v>
      </c>
      <c r="K6215" s="12" t="s">
        <v>89</v>
      </c>
      <c r="L6215" s="12" t="s">
        <v>134</v>
      </c>
      <c r="M6215">
        <v>1.37</v>
      </c>
      <c r="N6215" s="12" t="s">
        <v>145</v>
      </c>
      <c r="O6215" s="12" t="s">
        <v>146</v>
      </c>
      <c r="P6215" s="12" t="s">
        <v>109</v>
      </c>
      <c r="Q6215" s="13">
        <v>46002</v>
      </c>
      <c r="R6215" s="13">
        <v>46039</v>
      </c>
      <c r="S6215">
        <v>2025</v>
      </c>
      <c r="T6215" s="12" t="s">
        <v>7261</v>
      </c>
      <c r="U6215">
        <v>138</v>
      </c>
      <c r="V6215">
        <v>111.5744</v>
      </c>
      <c r="W6215">
        <v>392.57</v>
      </c>
      <c r="X6215">
        <v>0</v>
      </c>
      <c r="Y6215">
        <v>0</v>
      </c>
      <c r="Z6215">
        <v>15397.27</v>
      </c>
      <c r="AA6215">
        <v>15789.84</v>
      </c>
      <c r="AB6215" s="12" t="s">
        <v>7334</v>
      </c>
      <c r="AC6215">
        <v>118.6148</v>
      </c>
      <c r="AD6215">
        <v>1</v>
      </c>
      <c r="AE6215">
        <v>1</v>
      </c>
      <c r="AF6215">
        <v>-971.58</v>
      </c>
      <c r="AG6215">
        <v>16368.84</v>
      </c>
      <c r="AK6215">
        <v>0</v>
      </c>
      <c r="AL6215">
        <v>0</v>
      </c>
      <c r="AO6215">
        <v>0</v>
      </c>
      <c r="AP6215" s="13"/>
    </row>
    <row r="6216" spans="1:44" x14ac:dyDescent="0.35">
      <c r="A6216" s="12" t="s">
        <v>7335</v>
      </c>
      <c r="B6216" s="12" t="s">
        <v>598</v>
      </c>
      <c r="C6216" s="12" t="s">
        <v>599</v>
      </c>
      <c r="D6216" s="12" t="s">
        <v>269</v>
      </c>
      <c r="E6216" s="12" t="s">
        <v>65</v>
      </c>
      <c r="F6216">
        <v>1</v>
      </c>
      <c r="G6216">
        <v>2</v>
      </c>
      <c r="H6216">
        <v>1</v>
      </c>
      <c r="I6216" s="12" t="s">
        <v>176</v>
      </c>
      <c r="J6216" s="12" t="s">
        <v>177</v>
      </c>
      <c r="K6216" s="12" t="s">
        <v>125</v>
      </c>
      <c r="L6216" s="12" t="s">
        <v>134</v>
      </c>
      <c r="M6216">
        <v>1.75</v>
      </c>
      <c r="N6216" s="12" t="s">
        <v>159</v>
      </c>
      <c r="O6216" s="12" t="s">
        <v>160</v>
      </c>
      <c r="P6216" s="12" t="s">
        <v>137</v>
      </c>
      <c r="Q6216" s="13">
        <v>46002</v>
      </c>
      <c r="R6216" s="13">
        <v>46033</v>
      </c>
      <c r="S6216">
        <v>2025</v>
      </c>
      <c r="T6216" s="12" t="s">
        <v>7261</v>
      </c>
      <c r="U6216">
        <v>93</v>
      </c>
      <c r="V6216">
        <v>480.47879999999998</v>
      </c>
      <c r="W6216">
        <v>486.17</v>
      </c>
      <c r="X6216">
        <v>0</v>
      </c>
      <c r="Y6216">
        <v>0</v>
      </c>
      <c r="Z6216">
        <v>44684.53</v>
      </c>
      <c r="AA6216">
        <v>45170.7</v>
      </c>
      <c r="AB6216" s="12" t="s">
        <v>201</v>
      </c>
      <c r="AD6216">
        <v>0</v>
      </c>
      <c r="AE6216">
        <v>0</v>
      </c>
      <c r="AK6216">
        <v>0</v>
      </c>
      <c r="AL6216">
        <v>0</v>
      </c>
      <c r="AO6216">
        <v>0</v>
      </c>
      <c r="AP6216" s="13"/>
    </row>
    <row r="6217" spans="1:44" x14ac:dyDescent="0.35">
      <c r="A6217" s="12" t="s">
        <v>7336</v>
      </c>
      <c r="B6217" s="12" t="s">
        <v>621</v>
      </c>
      <c r="C6217" s="12" t="s">
        <v>622</v>
      </c>
      <c r="D6217" s="12" t="s">
        <v>103</v>
      </c>
      <c r="E6217" s="12" t="s">
        <v>65</v>
      </c>
      <c r="F6217">
        <v>1</v>
      </c>
      <c r="G6217">
        <v>2</v>
      </c>
      <c r="H6217">
        <v>1</v>
      </c>
      <c r="I6217" s="12" t="s">
        <v>486</v>
      </c>
      <c r="J6217" s="12" t="s">
        <v>487</v>
      </c>
      <c r="K6217" s="12" t="s">
        <v>125</v>
      </c>
      <c r="L6217" s="12" t="s">
        <v>69</v>
      </c>
      <c r="M6217">
        <v>36.86</v>
      </c>
      <c r="N6217" s="12" t="s">
        <v>107</v>
      </c>
      <c r="O6217" s="12" t="s">
        <v>108</v>
      </c>
      <c r="P6217" s="12" t="s">
        <v>109</v>
      </c>
      <c r="Q6217" s="13">
        <v>46002</v>
      </c>
      <c r="R6217" s="13">
        <v>46030</v>
      </c>
      <c r="S6217">
        <v>2025</v>
      </c>
      <c r="T6217" s="12" t="s">
        <v>7261</v>
      </c>
      <c r="U6217">
        <v>70</v>
      </c>
      <c r="V6217">
        <v>200.7516</v>
      </c>
      <c r="W6217">
        <v>196.01</v>
      </c>
      <c r="X6217">
        <v>0</v>
      </c>
      <c r="Y6217">
        <v>0</v>
      </c>
      <c r="Z6217">
        <v>14052.61</v>
      </c>
      <c r="AA6217">
        <v>14248.62</v>
      </c>
      <c r="AB6217" s="12" t="s">
        <v>5123</v>
      </c>
      <c r="AC6217">
        <v>200.7516</v>
      </c>
      <c r="AD6217">
        <v>1</v>
      </c>
      <c r="AE6217">
        <v>1</v>
      </c>
      <c r="AF6217">
        <v>0</v>
      </c>
      <c r="AG6217">
        <v>14052.61</v>
      </c>
      <c r="AK6217">
        <v>0</v>
      </c>
      <c r="AL6217">
        <v>0</v>
      </c>
      <c r="AO6217">
        <v>0</v>
      </c>
      <c r="AP6217" s="13"/>
    </row>
    <row r="6218" spans="1:44" x14ac:dyDescent="0.35">
      <c r="A6218" s="12" t="s">
        <v>7337</v>
      </c>
      <c r="B6218" s="12" t="s">
        <v>990</v>
      </c>
      <c r="C6218" s="12" t="s">
        <v>991</v>
      </c>
      <c r="D6218" s="12" t="s">
        <v>122</v>
      </c>
      <c r="E6218" s="12" t="s">
        <v>142</v>
      </c>
      <c r="F6218">
        <v>1</v>
      </c>
      <c r="G6218">
        <v>6</v>
      </c>
      <c r="H6218">
        <v>1</v>
      </c>
      <c r="I6218" s="12" t="s">
        <v>217</v>
      </c>
      <c r="J6218" s="12" t="s">
        <v>218</v>
      </c>
      <c r="K6218" s="12" t="s">
        <v>68</v>
      </c>
      <c r="L6218" s="12" t="s">
        <v>82</v>
      </c>
      <c r="M6218">
        <v>14.24</v>
      </c>
      <c r="N6218" s="12" t="s">
        <v>70</v>
      </c>
      <c r="O6218" s="12" t="s">
        <v>71</v>
      </c>
      <c r="P6218" s="12" t="s">
        <v>72</v>
      </c>
      <c r="Q6218" s="13">
        <v>46002</v>
      </c>
      <c r="R6218" s="13">
        <v>46044</v>
      </c>
      <c r="S6218">
        <v>2025</v>
      </c>
      <c r="T6218" s="12" t="s">
        <v>7261</v>
      </c>
      <c r="U6218">
        <v>960</v>
      </c>
      <c r="V6218">
        <v>33.5533</v>
      </c>
      <c r="W6218">
        <v>431.3</v>
      </c>
      <c r="X6218">
        <v>0</v>
      </c>
      <c r="Y6218">
        <v>0</v>
      </c>
      <c r="Z6218">
        <v>32211.17</v>
      </c>
      <c r="AA6218">
        <v>32642.47</v>
      </c>
      <c r="AB6218" s="12" t="s">
        <v>5831</v>
      </c>
      <c r="AC6218">
        <v>33.5533</v>
      </c>
      <c r="AD6218">
        <v>1</v>
      </c>
      <c r="AE6218">
        <v>1</v>
      </c>
      <c r="AF6218">
        <v>0</v>
      </c>
      <c r="AG6218">
        <v>32211.17</v>
      </c>
      <c r="AK6218">
        <v>0</v>
      </c>
      <c r="AL6218">
        <v>0</v>
      </c>
      <c r="AO6218">
        <v>0</v>
      </c>
      <c r="AP6218" s="13"/>
    </row>
    <row r="6219" spans="1:44" x14ac:dyDescent="0.35">
      <c r="A6219" s="12" t="s">
        <v>7338</v>
      </c>
      <c r="B6219" s="12" t="s">
        <v>490</v>
      </c>
      <c r="C6219" s="12" t="s">
        <v>491</v>
      </c>
      <c r="D6219" s="12" t="s">
        <v>130</v>
      </c>
      <c r="E6219" s="12" t="s">
        <v>104</v>
      </c>
      <c r="F6219">
        <v>3</v>
      </c>
      <c r="G6219">
        <v>1</v>
      </c>
      <c r="H6219">
        <v>0</v>
      </c>
      <c r="I6219" s="12" t="s">
        <v>123</v>
      </c>
      <c r="J6219" s="12" t="s">
        <v>124</v>
      </c>
      <c r="K6219" s="12" t="s">
        <v>125</v>
      </c>
      <c r="L6219" s="12" t="s">
        <v>82</v>
      </c>
      <c r="M6219">
        <v>6.75</v>
      </c>
      <c r="N6219" s="12" t="s">
        <v>159</v>
      </c>
      <c r="O6219" s="12" t="s">
        <v>160</v>
      </c>
      <c r="P6219" s="12" t="s">
        <v>137</v>
      </c>
      <c r="Q6219" s="13">
        <v>46002</v>
      </c>
      <c r="R6219" s="13">
        <v>46024</v>
      </c>
      <c r="S6219">
        <v>2025</v>
      </c>
      <c r="T6219" s="12" t="s">
        <v>7261</v>
      </c>
      <c r="U6219">
        <v>94</v>
      </c>
      <c r="V6219">
        <v>249.8981</v>
      </c>
      <c r="W6219">
        <v>348.34</v>
      </c>
      <c r="X6219">
        <v>0</v>
      </c>
      <c r="Y6219">
        <v>0</v>
      </c>
      <c r="Z6219">
        <v>23490.42</v>
      </c>
      <c r="AA6219">
        <v>23838.76</v>
      </c>
      <c r="AB6219" s="12" t="s">
        <v>7339</v>
      </c>
      <c r="AC6219">
        <v>258.64449999999999</v>
      </c>
      <c r="AD6219">
        <v>2</v>
      </c>
      <c r="AE6219">
        <v>1</v>
      </c>
      <c r="AF6219">
        <v>-822.16</v>
      </c>
      <c r="AG6219">
        <v>24312.58</v>
      </c>
      <c r="AK6219">
        <v>0</v>
      </c>
      <c r="AL6219">
        <v>0</v>
      </c>
      <c r="AO6219">
        <v>0</v>
      </c>
      <c r="AP6219" s="13"/>
    </row>
    <row r="6220" spans="1:44" x14ac:dyDescent="0.35">
      <c r="A6220" s="12" t="s">
        <v>7340</v>
      </c>
      <c r="B6220" s="12" t="s">
        <v>869</v>
      </c>
      <c r="C6220" s="12" t="s">
        <v>870</v>
      </c>
      <c r="D6220" s="12" t="s">
        <v>130</v>
      </c>
      <c r="E6220" s="12" t="s">
        <v>104</v>
      </c>
      <c r="F6220">
        <v>2</v>
      </c>
      <c r="G6220">
        <v>0</v>
      </c>
      <c r="H6220">
        <v>0</v>
      </c>
      <c r="I6220" s="12" t="s">
        <v>359</v>
      </c>
      <c r="J6220" s="12" t="s">
        <v>360</v>
      </c>
      <c r="K6220" s="12" t="s">
        <v>133</v>
      </c>
      <c r="L6220" s="12" t="s">
        <v>82</v>
      </c>
      <c r="M6220">
        <v>12.65</v>
      </c>
      <c r="N6220" s="12" t="s">
        <v>159</v>
      </c>
      <c r="O6220" s="12" t="s">
        <v>160</v>
      </c>
      <c r="P6220" s="12" t="s">
        <v>137</v>
      </c>
      <c r="Q6220" s="13">
        <v>46002</v>
      </c>
      <c r="R6220" s="13">
        <v>46015</v>
      </c>
      <c r="S6220">
        <v>2025</v>
      </c>
      <c r="T6220" s="12" t="s">
        <v>7261</v>
      </c>
      <c r="U6220">
        <v>20</v>
      </c>
      <c r="V6220">
        <v>615.93640000000005</v>
      </c>
      <c r="W6220">
        <v>134.43</v>
      </c>
      <c r="X6220">
        <v>0</v>
      </c>
      <c r="Y6220">
        <v>0</v>
      </c>
      <c r="Z6220">
        <v>12318.73</v>
      </c>
      <c r="AA6220">
        <v>12453.16</v>
      </c>
      <c r="AB6220" s="12" t="s">
        <v>6426</v>
      </c>
      <c r="AC6220">
        <v>583.10879999999997</v>
      </c>
      <c r="AD6220">
        <v>1</v>
      </c>
      <c r="AE6220">
        <v>1</v>
      </c>
      <c r="AF6220">
        <v>656.55</v>
      </c>
      <c r="AG6220">
        <v>11662.18</v>
      </c>
      <c r="AH6220">
        <v>20</v>
      </c>
      <c r="AI6220">
        <v>20</v>
      </c>
      <c r="AJ6220">
        <v>0</v>
      </c>
      <c r="AK6220">
        <v>1</v>
      </c>
      <c r="AL6220">
        <v>1</v>
      </c>
      <c r="AM6220">
        <v>100</v>
      </c>
      <c r="AN6220">
        <v>622.65790000000004</v>
      </c>
      <c r="AO6220">
        <v>0</v>
      </c>
      <c r="AP6220" s="13">
        <v>46014</v>
      </c>
      <c r="AQ6220">
        <v>-1</v>
      </c>
      <c r="AR6220">
        <v>1</v>
      </c>
    </row>
    <row r="6221" spans="1:44" x14ac:dyDescent="0.35">
      <c r="A6221" s="12" t="s">
        <v>7341</v>
      </c>
      <c r="B6221" s="12" t="s">
        <v>1220</v>
      </c>
      <c r="C6221" s="12" t="s">
        <v>1221</v>
      </c>
      <c r="D6221" s="12" t="s">
        <v>175</v>
      </c>
      <c r="E6221" s="12" t="s">
        <v>104</v>
      </c>
      <c r="F6221">
        <v>3</v>
      </c>
      <c r="G6221">
        <v>1</v>
      </c>
      <c r="H6221">
        <v>0</v>
      </c>
      <c r="I6221" s="12" t="s">
        <v>251</v>
      </c>
      <c r="J6221" s="12" t="s">
        <v>252</v>
      </c>
      <c r="K6221" s="12" t="s">
        <v>133</v>
      </c>
      <c r="L6221" s="12" t="s">
        <v>69</v>
      </c>
      <c r="M6221">
        <v>34.49</v>
      </c>
      <c r="N6221" s="12" t="s">
        <v>107</v>
      </c>
      <c r="O6221" s="12" t="s">
        <v>108</v>
      </c>
      <c r="P6221" s="12" t="s">
        <v>109</v>
      </c>
      <c r="Q6221" s="13">
        <v>46003</v>
      </c>
      <c r="R6221" s="13">
        <v>46021</v>
      </c>
      <c r="S6221">
        <v>2025</v>
      </c>
      <c r="T6221" s="12" t="s">
        <v>7261</v>
      </c>
      <c r="U6221">
        <v>61</v>
      </c>
      <c r="V6221">
        <v>138.9153</v>
      </c>
      <c r="W6221">
        <v>206.62</v>
      </c>
      <c r="X6221">
        <v>293.27</v>
      </c>
      <c r="Y6221">
        <v>1</v>
      </c>
      <c r="Z6221">
        <v>8473.83</v>
      </c>
      <c r="AA6221">
        <v>8973.7199999999993</v>
      </c>
      <c r="AB6221" s="12" t="s">
        <v>6528</v>
      </c>
      <c r="AC6221">
        <v>138.9153</v>
      </c>
      <c r="AD6221">
        <v>1</v>
      </c>
      <c r="AE6221">
        <v>1</v>
      </c>
      <c r="AF6221">
        <v>0</v>
      </c>
      <c r="AG6221">
        <v>8473.83</v>
      </c>
      <c r="AH6221">
        <v>61</v>
      </c>
      <c r="AI6221">
        <v>61</v>
      </c>
      <c r="AJ6221">
        <v>0</v>
      </c>
      <c r="AK6221">
        <v>1</v>
      </c>
      <c r="AL6221">
        <v>1</v>
      </c>
      <c r="AM6221">
        <v>100</v>
      </c>
      <c r="AN6221">
        <v>147.11019999999999</v>
      </c>
      <c r="AO6221">
        <v>0</v>
      </c>
      <c r="AP6221" s="13">
        <v>46020</v>
      </c>
      <c r="AQ6221">
        <v>-1</v>
      </c>
      <c r="AR6221">
        <v>1</v>
      </c>
    </row>
    <row r="6222" spans="1:44" x14ac:dyDescent="0.35">
      <c r="A6222" s="12" t="s">
        <v>7342</v>
      </c>
      <c r="B6222" s="12" t="s">
        <v>957</v>
      </c>
      <c r="C6222" s="12" t="s">
        <v>958</v>
      </c>
      <c r="D6222" s="12" t="s">
        <v>103</v>
      </c>
      <c r="E6222" s="12" t="s">
        <v>142</v>
      </c>
      <c r="F6222">
        <v>1</v>
      </c>
      <c r="G6222">
        <v>7</v>
      </c>
      <c r="H6222">
        <v>1</v>
      </c>
      <c r="I6222" s="12" t="s">
        <v>183</v>
      </c>
      <c r="J6222" s="12" t="s">
        <v>184</v>
      </c>
      <c r="K6222" s="12" t="s">
        <v>133</v>
      </c>
      <c r="L6222" s="12" t="s">
        <v>82</v>
      </c>
      <c r="M6222">
        <v>8.6199999999999992</v>
      </c>
      <c r="N6222" s="12" t="s">
        <v>107</v>
      </c>
      <c r="O6222" s="12" t="s">
        <v>108</v>
      </c>
      <c r="P6222" s="12" t="s">
        <v>109</v>
      </c>
      <c r="Q6222" s="13">
        <v>46003</v>
      </c>
      <c r="R6222" s="13">
        <v>46046</v>
      </c>
      <c r="S6222">
        <v>2025</v>
      </c>
      <c r="T6222" s="12" t="s">
        <v>7261</v>
      </c>
      <c r="U6222">
        <v>79</v>
      </c>
      <c r="V6222">
        <v>188.30439999999999</v>
      </c>
      <c r="W6222">
        <v>93.8</v>
      </c>
      <c r="X6222">
        <v>0</v>
      </c>
      <c r="Y6222">
        <v>0</v>
      </c>
      <c r="Z6222">
        <v>14876.05</v>
      </c>
      <c r="AA6222">
        <v>14969.85</v>
      </c>
      <c r="AB6222" s="12" t="s">
        <v>5622</v>
      </c>
      <c r="AC6222">
        <v>188.30439999999999</v>
      </c>
      <c r="AD6222">
        <v>1</v>
      </c>
      <c r="AE6222">
        <v>1</v>
      </c>
      <c r="AF6222">
        <v>0</v>
      </c>
      <c r="AG6222">
        <v>14876.05</v>
      </c>
      <c r="AK6222">
        <v>0</v>
      </c>
      <c r="AL6222">
        <v>0</v>
      </c>
      <c r="AO6222">
        <v>0</v>
      </c>
      <c r="AP6222" s="13"/>
    </row>
    <row r="6223" spans="1:44" x14ac:dyDescent="0.35">
      <c r="A6223" s="12" t="s">
        <v>7343</v>
      </c>
      <c r="B6223" s="12" t="s">
        <v>740</v>
      </c>
      <c r="C6223" s="12" t="s">
        <v>741</v>
      </c>
      <c r="D6223" s="12" t="s">
        <v>64</v>
      </c>
      <c r="E6223" s="12" t="s">
        <v>104</v>
      </c>
      <c r="F6223">
        <v>2</v>
      </c>
      <c r="G6223">
        <v>0</v>
      </c>
      <c r="H6223">
        <v>0</v>
      </c>
      <c r="I6223" s="12" t="s">
        <v>151</v>
      </c>
      <c r="J6223" s="12" t="s">
        <v>152</v>
      </c>
      <c r="K6223" s="12" t="s">
        <v>125</v>
      </c>
      <c r="L6223" s="12" t="s">
        <v>69</v>
      </c>
      <c r="M6223">
        <v>36.479999999999997</v>
      </c>
      <c r="N6223" s="12" t="s">
        <v>97</v>
      </c>
      <c r="O6223" s="12" t="s">
        <v>98</v>
      </c>
      <c r="P6223" s="12" t="s">
        <v>72</v>
      </c>
      <c r="Q6223" s="13">
        <v>46003</v>
      </c>
      <c r="R6223" s="13">
        <v>46023</v>
      </c>
      <c r="S6223">
        <v>2025</v>
      </c>
      <c r="T6223" s="12" t="s">
        <v>7261</v>
      </c>
      <c r="U6223">
        <v>522</v>
      </c>
      <c r="V6223">
        <v>38.488</v>
      </c>
      <c r="W6223">
        <v>368.51</v>
      </c>
      <c r="X6223">
        <v>0</v>
      </c>
      <c r="Y6223">
        <v>0</v>
      </c>
      <c r="Z6223">
        <v>20090.740000000002</v>
      </c>
      <c r="AA6223">
        <v>20459.25</v>
      </c>
      <c r="AB6223" s="12" t="s">
        <v>5982</v>
      </c>
      <c r="AC6223">
        <v>38.488</v>
      </c>
      <c r="AD6223">
        <v>1</v>
      </c>
      <c r="AE6223">
        <v>1</v>
      </c>
      <c r="AF6223">
        <v>0</v>
      </c>
      <c r="AG6223">
        <v>20090.740000000002</v>
      </c>
      <c r="AH6223">
        <v>522</v>
      </c>
      <c r="AI6223">
        <v>521</v>
      </c>
      <c r="AJ6223">
        <v>1</v>
      </c>
      <c r="AK6223">
        <v>1</v>
      </c>
      <c r="AL6223">
        <v>1</v>
      </c>
      <c r="AM6223">
        <v>99.81</v>
      </c>
      <c r="AN6223">
        <v>39.269199999999998</v>
      </c>
      <c r="AO6223">
        <v>38.49</v>
      </c>
      <c r="AP6223" s="13">
        <v>46022</v>
      </c>
      <c r="AQ6223">
        <v>-1</v>
      </c>
      <c r="AR6223">
        <v>1</v>
      </c>
    </row>
    <row r="6224" spans="1:44" x14ac:dyDescent="0.35">
      <c r="A6224" s="12" t="s">
        <v>7344</v>
      </c>
      <c r="B6224" s="12" t="s">
        <v>494</v>
      </c>
      <c r="C6224" s="12" t="s">
        <v>495</v>
      </c>
      <c r="D6224" s="12" t="s">
        <v>175</v>
      </c>
      <c r="E6224" s="12" t="s">
        <v>65</v>
      </c>
      <c r="F6224">
        <v>2</v>
      </c>
      <c r="G6224">
        <v>3</v>
      </c>
      <c r="H6224">
        <v>0</v>
      </c>
      <c r="I6224" s="12" t="s">
        <v>275</v>
      </c>
      <c r="J6224" s="12" t="s">
        <v>276</v>
      </c>
      <c r="K6224" s="12" t="s">
        <v>89</v>
      </c>
      <c r="L6224" s="12" t="s">
        <v>82</v>
      </c>
      <c r="M6224">
        <v>14.26</v>
      </c>
      <c r="N6224" s="12" t="s">
        <v>145</v>
      </c>
      <c r="O6224" s="12" t="s">
        <v>146</v>
      </c>
      <c r="P6224" s="12" t="s">
        <v>109</v>
      </c>
      <c r="Q6224" s="13">
        <v>46003</v>
      </c>
      <c r="R6224" s="13">
        <v>46028</v>
      </c>
      <c r="S6224">
        <v>2025</v>
      </c>
      <c r="T6224" s="12" t="s">
        <v>7261</v>
      </c>
      <c r="U6224">
        <v>42</v>
      </c>
      <c r="V6224">
        <v>188.67240000000001</v>
      </c>
      <c r="W6224">
        <v>164.01</v>
      </c>
      <c r="X6224">
        <v>0</v>
      </c>
      <c r="Y6224">
        <v>0</v>
      </c>
      <c r="Z6224">
        <v>7924.24</v>
      </c>
      <c r="AA6224">
        <v>8088.25</v>
      </c>
      <c r="AB6224" s="12" t="s">
        <v>201</v>
      </c>
      <c r="AD6224">
        <v>0</v>
      </c>
      <c r="AE6224">
        <v>0</v>
      </c>
      <c r="AK6224">
        <v>0</v>
      </c>
      <c r="AL6224">
        <v>0</v>
      </c>
      <c r="AO6224">
        <v>0</v>
      </c>
      <c r="AP6224" s="13"/>
    </row>
    <row r="6225" spans="1:44" x14ac:dyDescent="0.35">
      <c r="A6225" s="12" t="s">
        <v>7345</v>
      </c>
      <c r="B6225" s="12" t="s">
        <v>670</v>
      </c>
      <c r="C6225" s="12" t="s">
        <v>671</v>
      </c>
      <c r="D6225" s="12" t="s">
        <v>175</v>
      </c>
      <c r="E6225" s="12" t="s">
        <v>142</v>
      </c>
      <c r="F6225">
        <v>2</v>
      </c>
      <c r="G6225">
        <v>9</v>
      </c>
      <c r="H6225">
        <v>0</v>
      </c>
      <c r="I6225" s="12" t="s">
        <v>105</v>
      </c>
      <c r="J6225" s="12" t="s">
        <v>106</v>
      </c>
      <c r="K6225" s="12" t="s">
        <v>81</v>
      </c>
      <c r="L6225" s="12" t="s">
        <v>96</v>
      </c>
      <c r="M6225">
        <v>5.01</v>
      </c>
      <c r="N6225" s="12" t="s">
        <v>107</v>
      </c>
      <c r="O6225" s="12" t="s">
        <v>108</v>
      </c>
      <c r="P6225" s="12" t="s">
        <v>109</v>
      </c>
      <c r="Q6225" s="13">
        <v>46003</v>
      </c>
      <c r="R6225" s="13">
        <v>46047</v>
      </c>
      <c r="S6225">
        <v>2025</v>
      </c>
      <c r="T6225" s="12" t="s">
        <v>7261</v>
      </c>
      <c r="U6225">
        <v>82</v>
      </c>
      <c r="V6225">
        <v>161.46709999999999</v>
      </c>
      <c r="W6225">
        <v>125.91</v>
      </c>
      <c r="X6225">
        <v>0</v>
      </c>
      <c r="Y6225">
        <v>0</v>
      </c>
      <c r="Z6225">
        <v>13240.3</v>
      </c>
      <c r="AA6225">
        <v>13366.21</v>
      </c>
      <c r="AB6225" s="12" t="s">
        <v>201</v>
      </c>
      <c r="AD6225">
        <v>0</v>
      </c>
      <c r="AE6225">
        <v>0</v>
      </c>
      <c r="AK6225">
        <v>0</v>
      </c>
      <c r="AL6225">
        <v>0</v>
      </c>
      <c r="AO6225">
        <v>0</v>
      </c>
      <c r="AP6225" s="13"/>
    </row>
    <row r="6226" spans="1:44" x14ac:dyDescent="0.35">
      <c r="A6226" s="12" t="s">
        <v>7346</v>
      </c>
      <c r="B6226" s="12" t="s">
        <v>565</v>
      </c>
      <c r="C6226" s="12" t="s">
        <v>566</v>
      </c>
      <c r="D6226" s="12" t="s">
        <v>122</v>
      </c>
      <c r="E6226" s="12" t="s">
        <v>104</v>
      </c>
      <c r="F6226">
        <v>3</v>
      </c>
      <c r="G6226">
        <v>1</v>
      </c>
      <c r="H6226">
        <v>0</v>
      </c>
      <c r="I6226" s="12" t="s">
        <v>87</v>
      </c>
      <c r="J6226" s="12" t="s">
        <v>88</v>
      </c>
      <c r="K6226" s="12" t="s">
        <v>89</v>
      </c>
      <c r="L6226" s="12" t="s">
        <v>69</v>
      </c>
      <c r="M6226">
        <v>14.93</v>
      </c>
      <c r="N6226" s="12" t="s">
        <v>70</v>
      </c>
      <c r="O6226" s="12" t="s">
        <v>71</v>
      </c>
      <c r="P6226" s="12" t="s">
        <v>72</v>
      </c>
      <c r="Q6226" s="13">
        <v>46006</v>
      </c>
      <c r="R6226" s="13">
        <v>46032</v>
      </c>
      <c r="S6226">
        <v>2025</v>
      </c>
      <c r="T6226" s="12" t="s">
        <v>7261</v>
      </c>
      <c r="U6226">
        <v>1604</v>
      </c>
      <c r="V6226">
        <v>31.309699999999999</v>
      </c>
      <c r="W6226">
        <v>1149.3</v>
      </c>
      <c r="X6226">
        <v>0</v>
      </c>
      <c r="Y6226">
        <v>0</v>
      </c>
      <c r="Z6226">
        <v>50220.76</v>
      </c>
      <c r="AA6226">
        <v>51370.06</v>
      </c>
      <c r="AB6226" s="12" t="s">
        <v>5711</v>
      </c>
      <c r="AC6226">
        <v>33.2194</v>
      </c>
      <c r="AD6226">
        <v>1</v>
      </c>
      <c r="AE6226">
        <v>1</v>
      </c>
      <c r="AF6226">
        <v>-3063.16</v>
      </c>
      <c r="AG6226">
        <v>53283.92</v>
      </c>
      <c r="AK6226">
        <v>0</v>
      </c>
      <c r="AL6226">
        <v>0</v>
      </c>
      <c r="AO6226">
        <v>0</v>
      </c>
      <c r="AP6226" s="13"/>
    </row>
    <row r="6227" spans="1:44" x14ac:dyDescent="0.35">
      <c r="A6227" s="12" t="s">
        <v>7347</v>
      </c>
      <c r="B6227" s="12" t="s">
        <v>565</v>
      </c>
      <c r="C6227" s="12" t="s">
        <v>566</v>
      </c>
      <c r="D6227" s="12" t="s">
        <v>122</v>
      </c>
      <c r="E6227" s="12" t="s">
        <v>104</v>
      </c>
      <c r="F6227">
        <v>3</v>
      </c>
      <c r="G6227">
        <v>1</v>
      </c>
      <c r="H6227">
        <v>0</v>
      </c>
      <c r="I6227" s="12" t="s">
        <v>87</v>
      </c>
      <c r="J6227" s="12" t="s">
        <v>88</v>
      </c>
      <c r="K6227" s="12" t="s">
        <v>89</v>
      </c>
      <c r="L6227" s="12" t="s">
        <v>69</v>
      </c>
      <c r="M6227">
        <v>14.93</v>
      </c>
      <c r="N6227" s="12" t="s">
        <v>70</v>
      </c>
      <c r="O6227" s="12" t="s">
        <v>71</v>
      </c>
      <c r="P6227" s="12" t="s">
        <v>72</v>
      </c>
      <c r="Q6227" s="13">
        <v>46006</v>
      </c>
      <c r="R6227" s="13">
        <v>46032</v>
      </c>
      <c r="S6227">
        <v>2025</v>
      </c>
      <c r="T6227" s="12" t="s">
        <v>7261</v>
      </c>
      <c r="U6227">
        <v>1698</v>
      </c>
      <c r="V6227">
        <v>33.2194</v>
      </c>
      <c r="W6227">
        <v>574.12</v>
      </c>
      <c r="X6227">
        <v>0</v>
      </c>
      <c r="Y6227">
        <v>0</v>
      </c>
      <c r="Z6227">
        <v>56406.54</v>
      </c>
      <c r="AA6227">
        <v>56980.66</v>
      </c>
      <c r="AB6227" s="12" t="s">
        <v>5711</v>
      </c>
      <c r="AC6227">
        <v>33.2194</v>
      </c>
      <c r="AD6227">
        <v>1</v>
      </c>
      <c r="AE6227">
        <v>1</v>
      </c>
      <c r="AF6227">
        <v>0</v>
      </c>
      <c r="AG6227">
        <v>56406.54</v>
      </c>
      <c r="AK6227">
        <v>0</v>
      </c>
      <c r="AL6227">
        <v>0</v>
      </c>
      <c r="AO6227">
        <v>0</v>
      </c>
      <c r="AP6227" s="13"/>
    </row>
    <row r="6228" spans="1:44" x14ac:dyDescent="0.35">
      <c r="A6228" s="12" t="s">
        <v>7348</v>
      </c>
      <c r="B6228" s="12" t="s">
        <v>646</v>
      </c>
      <c r="C6228" s="12" t="s">
        <v>647</v>
      </c>
      <c r="D6228" s="12" t="s">
        <v>175</v>
      </c>
      <c r="E6228" s="12" t="s">
        <v>104</v>
      </c>
      <c r="F6228">
        <v>3</v>
      </c>
      <c r="G6228">
        <v>1</v>
      </c>
      <c r="H6228">
        <v>0</v>
      </c>
      <c r="I6228" s="12" t="s">
        <v>227</v>
      </c>
      <c r="J6228" s="12" t="s">
        <v>228</v>
      </c>
      <c r="K6228" s="12" t="s">
        <v>89</v>
      </c>
      <c r="L6228" s="12" t="s">
        <v>96</v>
      </c>
      <c r="M6228">
        <v>9.15</v>
      </c>
      <c r="N6228" s="12" t="s">
        <v>145</v>
      </c>
      <c r="O6228" s="12" t="s">
        <v>146</v>
      </c>
      <c r="P6228" s="12" t="s">
        <v>109</v>
      </c>
      <c r="Q6228" s="13">
        <v>46006</v>
      </c>
      <c r="R6228" s="13">
        <v>46020</v>
      </c>
      <c r="S6228">
        <v>2025</v>
      </c>
      <c r="T6228" s="12" t="s">
        <v>7261</v>
      </c>
      <c r="U6228">
        <v>27</v>
      </c>
      <c r="V6228">
        <v>197.4701</v>
      </c>
      <c r="W6228">
        <v>123.51</v>
      </c>
      <c r="X6228">
        <v>0</v>
      </c>
      <c r="Y6228">
        <v>0</v>
      </c>
      <c r="Z6228">
        <v>5331.69</v>
      </c>
      <c r="AA6228">
        <v>5455.2</v>
      </c>
      <c r="AB6228" s="12" t="s">
        <v>5935</v>
      </c>
      <c r="AC6228">
        <v>191.95849999999999</v>
      </c>
      <c r="AD6228">
        <v>1</v>
      </c>
      <c r="AE6228">
        <v>1</v>
      </c>
      <c r="AF6228">
        <v>148.81</v>
      </c>
      <c r="AG6228">
        <v>5182.88</v>
      </c>
      <c r="AH6228">
        <v>27</v>
      </c>
      <c r="AI6228">
        <v>27</v>
      </c>
      <c r="AJ6228">
        <v>0</v>
      </c>
      <c r="AK6228">
        <v>1</v>
      </c>
      <c r="AL6228">
        <v>1</v>
      </c>
      <c r="AM6228">
        <v>100</v>
      </c>
      <c r="AN6228">
        <v>202.0445</v>
      </c>
      <c r="AO6228">
        <v>0</v>
      </c>
      <c r="AP6228" s="13">
        <v>46020</v>
      </c>
      <c r="AQ6228">
        <v>0</v>
      </c>
      <c r="AR6228">
        <v>1</v>
      </c>
    </row>
    <row r="6229" spans="1:44" x14ac:dyDescent="0.35">
      <c r="A6229" s="12" t="s">
        <v>7349</v>
      </c>
      <c r="B6229" s="12" t="s">
        <v>613</v>
      </c>
      <c r="C6229" s="12" t="s">
        <v>614</v>
      </c>
      <c r="D6229" s="12" t="s">
        <v>130</v>
      </c>
      <c r="E6229" s="12" t="s">
        <v>104</v>
      </c>
      <c r="F6229">
        <v>3</v>
      </c>
      <c r="G6229">
        <v>1</v>
      </c>
      <c r="H6229">
        <v>0</v>
      </c>
      <c r="I6229" s="12" t="s">
        <v>66</v>
      </c>
      <c r="J6229" s="12" t="s">
        <v>67</v>
      </c>
      <c r="K6229" s="12" t="s">
        <v>68</v>
      </c>
      <c r="L6229" s="12" t="s">
        <v>69</v>
      </c>
      <c r="M6229">
        <v>17.66</v>
      </c>
      <c r="N6229" s="12" t="s">
        <v>135</v>
      </c>
      <c r="O6229" s="12" t="s">
        <v>136</v>
      </c>
      <c r="P6229" s="12" t="s">
        <v>137</v>
      </c>
      <c r="Q6229" s="13">
        <v>46006</v>
      </c>
      <c r="R6229" s="13">
        <v>46018</v>
      </c>
      <c r="S6229">
        <v>2025</v>
      </c>
      <c r="T6229" s="12" t="s">
        <v>7261</v>
      </c>
      <c r="U6229">
        <v>14</v>
      </c>
      <c r="V6229">
        <v>145.185</v>
      </c>
      <c r="W6229">
        <v>31.29</v>
      </c>
      <c r="X6229">
        <v>0</v>
      </c>
      <c r="Y6229">
        <v>0</v>
      </c>
      <c r="Z6229">
        <v>2032.59</v>
      </c>
      <c r="AA6229">
        <v>2063.88</v>
      </c>
      <c r="AB6229" s="12" t="s">
        <v>5538</v>
      </c>
      <c r="AC6229">
        <v>154.3064</v>
      </c>
      <c r="AD6229">
        <v>1</v>
      </c>
      <c r="AE6229">
        <v>1</v>
      </c>
      <c r="AF6229">
        <v>-127.7</v>
      </c>
      <c r="AG6229">
        <v>2160.29</v>
      </c>
      <c r="AH6229">
        <v>14</v>
      </c>
      <c r="AI6229">
        <v>14</v>
      </c>
      <c r="AJ6229">
        <v>0</v>
      </c>
      <c r="AK6229">
        <v>1</v>
      </c>
      <c r="AL6229">
        <v>1</v>
      </c>
      <c r="AM6229">
        <v>100</v>
      </c>
      <c r="AN6229">
        <v>147.41999999999999</v>
      </c>
      <c r="AO6229">
        <v>0</v>
      </c>
      <c r="AP6229" s="13">
        <v>46015</v>
      </c>
      <c r="AQ6229">
        <v>-3</v>
      </c>
      <c r="AR6229">
        <v>1</v>
      </c>
    </row>
    <row r="6230" spans="1:44" x14ac:dyDescent="0.35">
      <c r="A6230" s="12" t="s">
        <v>7350</v>
      </c>
      <c r="B6230" s="12" t="s">
        <v>167</v>
      </c>
      <c r="C6230" s="12" t="s">
        <v>168</v>
      </c>
      <c r="D6230" s="12" t="s">
        <v>64</v>
      </c>
      <c r="E6230" s="12" t="s">
        <v>104</v>
      </c>
      <c r="F6230">
        <v>3</v>
      </c>
      <c r="G6230">
        <v>1</v>
      </c>
      <c r="H6230">
        <v>0</v>
      </c>
      <c r="I6230" s="12" t="s">
        <v>169</v>
      </c>
      <c r="J6230" s="12" t="s">
        <v>170</v>
      </c>
      <c r="K6230" s="12" t="s">
        <v>89</v>
      </c>
      <c r="L6230" s="12" t="s">
        <v>134</v>
      </c>
      <c r="M6230">
        <v>1.37</v>
      </c>
      <c r="N6230" s="12" t="s">
        <v>70</v>
      </c>
      <c r="O6230" s="12" t="s">
        <v>71</v>
      </c>
      <c r="P6230" s="12" t="s">
        <v>72</v>
      </c>
      <c r="Q6230" s="13">
        <v>46006</v>
      </c>
      <c r="R6230" s="13">
        <v>46028</v>
      </c>
      <c r="S6230">
        <v>2025</v>
      </c>
      <c r="T6230" s="12" t="s">
        <v>7261</v>
      </c>
      <c r="U6230">
        <v>602</v>
      </c>
      <c r="V6230">
        <v>24.557099999999998</v>
      </c>
      <c r="W6230">
        <v>354.87</v>
      </c>
      <c r="X6230">
        <v>0</v>
      </c>
      <c r="Y6230">
        <v>0</v>
      </c>
      <c r="Z6230">
        <v>14783.37</v>
      </c>
      <c r="AA6230">
        <v>15138.24</v>
      </c>
      <c r="AB6230" s="12" t="s">
        <v>5232</v>
      </c>
      <c r="AC6230">
        <v>24.557099999999998</v>
      </c>
      <c r="AD6230">
        <v>1</v>
      </c>
      <c r="AE6230">
        <v>1</v>
      </c>
      <c r="AF6230">
        <v>0</v>
      </c>
      <c r="AG6230">
        <v>14783.37</v>
      </c>
      <c r="AK6230">
        <v>0</v>
      </c>
      <c r="AL6230">
        <v>0</v>
      </c>
      <c r="AO6230">
        <v>0</v>
      </c>
      <c r="AP6230" s="13"/>
    </row>
    <row r="6231" spans="1:44" x14ac:dyDescent="0.35">
      <c r="A6231" s="12" t="s">
        <v>7351</v>
      </c>
      <c r="B6231" s="12" t="s">
        <v>519</v>
      </c>
      <c r="C6231" s="12" t="s">
        <v>520</v>
      </c>
      <c r="D6231" s="12" t="s">
        <v>78</v>
      </c>
      <c r="E6231" s="12" t="s">
        <v>65</v>
      </c>
      <c r="F6231">
        <v>2</v>
      </c>
      <c r="G6231">
        <v>3</v>
      </c>
      <c r="H6231">
        <v>0</v>
      </c>
      <c r="I6231" s="12" t="s">
        <v>66</v>
      </c>
      <c r="J6231" s="12" t="s">
        <v>67</v>
      </c>
      <c r="K6231" s="12" t="s">
        <v>68</v>
      </c>
      <c r="L6231" s="12" t="s">
        <v>69</v>
      </c>
      <c r="M6231">
        <v>17.66</v>
      </c>
      <c r="N6231" s="12" t="s">
        <v>97</v>
      </c>
      <c r="O6231" s="12" t="s">
        <v>98</v>
      </c>
      <c r="P6231" s="12" t="s">
        <v>72</v>
      </c>
      <c r="Q6231" s="13">
        <v>46006</v>
      </c>
      <c r="R6231" s="13">
        <v>46028</v>
      </c>
      <c r="S6231">
        <v>2025</v>
      </c>
      <c r="T6231" s="12" t="s">
        <v>7261</v>
      </c>
      <c r="U6231">
        <v>66</v>
      </c>
      <c r="V6231">
        <v>36.1218</v>
      </c>
      <c r="W6231">
        <v>25.92</v>
      </c>
      <c r="X6231">
        <v>74.08</v>
      </c>
      <c r="Y6231">
        <v>1</v>
      </c>
      <c r="Z6231">
        <v>2384.04</v>
      </c>
      <c r="AA6231">
        <v>2484.04</v>
      </c>
      <c r="AB6231" s="12" t="s">
        <v>201</v>
      </c>
      <c r="AD6231">
        <v>0</v>
      </c>
      <c r="AE6231">
        <v>0</v>
      </c>
      <c r="AK6231">
        <v>0</v>
      </c>
      <c r="AL6231">
        <v>0</v>
      </c>
      <c r="AO6231">
        <v>0</v>
      </c>
      <c r="AP6231" s="13"/>
    </row>
    <row r="6232" spans="1:44" x14ac:dyDescent="0.35">
      <c r="A6232" s="12" t="s">
        <v>7352</v>
      </c>
      <c r="B6232" s="12" t="s">
        <v>712</v>
      </c>
      <c r="C6232" s="12" t="s">
        <v>713</v>
      </c>
      <c r="D6232" s="12" t="s">
        <v>103</v>
      </c>
      <c r="E6232" s="12" t="s">
        <v>104</v>
      </c>
      <c r="F6232">
        <v>2</v>
      </c>
      <c r="G6232">
        <v>0</v>
      </c>
      <c r="H6232">
        <v>0</v>
      </c>
      <c r="I6232" s="12" t="s">
        <v>199</v>
      </c>
      <c r="J6232" s="12" t="s">
        <v>200</v>
      </c>
      <c r="K6232" s="12" t="s">
        <v>68</v>
      </c>
      <c r="L6232" s="12" t="s">
        <v>96</v>
      </c>
      <c r="M6232">
        <v>9.4700000000000006</v>
      </c>
      <c r="N6232" s="12" t="s">
        <v>145</v>
      </c>
      <c r="O6232" s="12" t="s">
        <v>146</v>
      </c>
      <c r="P6232" s="12" t="s">
        <v>109</v>
      </c>
      <c r="Q6232" s="13">
        <v>46006</v>
      </c>
      <c r="R6232" s="13">
        <v>46019</v>
      </c>
      <c r="S6232">
        <v>2025</v>
      </c>
      <c r="T6232" s="12" t="s">
        <v>7261</v>
      </c>
      <c r="U6232">
        <v>20</v>
      </c>
      <c r="V6232">
        <v>225.7466</v>
      </c>
      <c r="W6232">
        <v>69.489999999999995</v>
      </c>
      <c r="X6232">
        <v>0</v>
      </c>
      <c r="Y6232">
        <v>0</v>
      </c>
      <c r="Z6232">
        <v>4514.93</v>
      </c>
      <c r="AA6232">
        <v>4584.42</v>
      </c>
      <c r="AB6232" s="12" t="s">
        <v>201</v>
      </c>
      <c r="AD6232">
        <v>0</v>
      </c>
      <c r="AE6232">
        <v>0</v>
      </c>
      <c r="AK6232">
        <v>0</v>
      </c>
      <c r="AL6232">
        <v>0</v>
      </c>
      <c r="AO6232">
        <v>0</v>
      </c>
      <c r="AP6232" s="13"/>
    </row>
    <row r="6233" spans="1:44" x14ac:dyDescent="0.35">
      <c r="A6233" s="12" t="s">
        <v>7353</v>
      </c>
      <c r="B6233" s="12" t="s">
        <v>447</v>
      </c>
      <c r="C6233" s="12" t="s">
        <v>448</v>
      </c>
      <c r="D6233" s="12" t="s">
        <v>269</v>
      </c>
      <c r="E6233" s="12" t="s">
        <v>65</v>
      </c>
      <c r="F6233">
        <v>2</v>
      </c>
      <c r="G6233">
        <v>2</v>
      </c>
      <c r="H6233">
        <v>0</v>
      </c>
      <c r="I6233" s="12" t="s">
        <v>176</v>
      </c>
      <c r="J6233" s="12" t="s">
        <v>177</v>
      </c>
      <c r="K6233" s="12" t="s">
        <v>125</v>
      </c>
      <c r="L6233" s="12" t="s">
        <v>134</v>
      </c>
      <c r="M6233">
        <v>1.75</v>
      </c>
      <c r="N6233" s="12" t="s">
        <v>159</v>
      </c>
      <c r="O6233" s="12" t="s">
        <v>160</v>
      </c>
      <c r="P6233" s="12" t="s">
        <v>137</v>
      </c>
      <c r="Q6233" s="13">
        <v>46006</v>
      </c>
      <c r="R6233" s="13">
        <v>46028</v>
      </c>
      <c r="S6233">
        <v>2025</v>
      </c>
      <c r="T6233" s="12" t="s">
        <v>7261</v>
      </c>
      <c r="U6233">
        <v>20</v>
      </c>
      <c r="V6233">
        <v>367.34550000000002</v>
      </c>
      <c r="W6233">
        <v>51.28</v>
      </c>
      <c r="X6233">
        <v>0</v>
      </c>
      <c r="Y6233">
        <v>0</v>
      </c>
      <c r="Z6233">
        <v>7346.91</v>
      </c>
      <c r="AA6233">
        <v>7398.19</v>
      </c>
      <c r="AB6233" s="12" t="s">
        <v>5550</v>
      </c>
      <c r="AC6233">
        <v>367.34550000000002</v>
      </c>
      <c r="AD6233">
        <v>1</v>
      </c>
      <c r="AE6233">
        <v>1</v>
      </c>
      <c r="AF6233">
        <v>0</v>
      </c>
      <c r="AG6233">
        <v>7346.91</v>
      </c>
      <c r="AK6233">
        <v>0</v>
      </c>
      <c r="AL6233">
        <v>0</v>
      </c>
      <c r="AO6233">
        <v>0</v>
      </c>
      <c r="AP6233" s="13"/>
    </row>
    <row r="6234" spans="1:44" x14ac:dyDescent="0.35">
      <c r="A6234" s="12" t="s">
        <v>7354</v>
      </c>
      <c r="B6234" s="12" t="s">
        <v>317</v>
      </c>
      <c r="C6234" s="12" t="s">
        <v>318</v>
      </c>
      <c r="D6234" s="12" t="s">
        <v>64</v>
      </c>
      <c r="E6234" s="12" t="s">
        <v>104</v>
      </c>
      <c r="F6234">
        <v>2</v>
      </c>
      <c r="G6234">
        <v>0</v>
      </c>
      <c r="H6234">
        <v>0</v>
      </c>
      <c r="I6234" s="12" t="s">
        <v>183</v>
      </c>
      <c r="J6234" s="12" t="s">
        <v>184</v>
      </c>
      <c r="K6234" s="12" t="s">
        <v>133</v>
      </c>
      <c r="L6234" s="12" t="s">
        <v>82</v>
      </c>
      <c r="M6234">
        <v>8.6199999999999992</v>
      </c>
      <c r="N6234" s="12" t="s">
        <v>97</v>
      </c>
      <c r="O6234" s="12" t="s">
        <v>98</v>
      </c>
      <c r="P6234" s="12" t="s">
        <v>72</v>
      </c>
      <c r="Q6234" s="13">
        <v>46007</v>
      </c>
      <c r="R6234" s="13">
        <v>46032</v>
      </c>
      <c r="S6234">
        <v>2025</v>
      </c>
      <c r="T6234" s="12" t="s">
        <v>7261</v>
      </c>
      <c r="U6234">
        <v>761</v>
      </c>
      <c r="V6234">
        <v>15.7446</v>
      </c>
      <c r="W6234">
        <v>225.37</v>
      </c>
      <c r="X6234">
        <v>0</v>
      </c>
      <c r="Y6234">
        <v>0</v>
      </c>
      <c r="Z6234">
        <v>11981.64</v>
      </c>
      <c r="AA6234">
        <v>12207.01</v>
      </c>
      <c r="AB6234" s="12" t="s">
        <v>5733</v>
      </c>
      <c r="AC6234">
        <v>15.7446</v>
      </c>
      <c r="AD6234">
        <v>1</v>
      </c>
      <c r="AE6234">
        <v>1</v>
      </c>
      <c r="AF6234">
        <v>0</v>
      </c>
      <c r="AG6234">
        <v>11981.64</v>
      </c>
      <c r="AK6234">
        <v>0</v>
      </c>
      <c r="AL6234">
        <v>0</v>
      </c>
      <c r="AO6234">
        <v>0</v>
      </c>
      <c r="AP6234" s="13"/>
    </row>
    <row r="6235" spans="1:44" x14ac:dyDescent="0.35">
      <c r="A6235" s="12" t="s">
        <v>7355</v>
      </c>
      <c r="B6235" s="12" t="s">
        <v>163</v>
      </c>
      <c r="C6235" s="12" t="s">
        <v>164</v>
      </c>
      <c r="D6235" s="12" t="s">
        <v>64</v>
      </c>
      <c r="E6235" s="12" t="s">
        <v>104</v>
      </c>
      <c r="F6235">
        <v>2</v>
      </c>
      <c r="G6235">
        <v>0</v>
      </c>
      <c r="H6235">
        <v>0</v>
      </c>
      <c r="I6235" s="12" t="s">
        <v>79</v>
      </c>
      <c r="J6235" s="12" t="s">
        <v>80</v>
      </c>
      <c r="K6235" s="12" t="s">
        <v>81</v>
      </c>
      <c r="L6235" s="12" t="s">
        <v>82</v>
      </c>
      <c r="M6235">
        <v>12.07</v>
      </c>
      <c r="N6235" s="12" t="s">
        <v>70</v>
      </c>
      <c r="O6235" s="12" t="s">
        <v>71</v>
      </c>
      <c r="P6235" s="12" t="s">
        <v>72</v>
      </c>
      <c r="Q6235" s="13">
        <v>46007</v>
      </c>
      <c r="R6235" s="13">
        <v>46036</v>
      </c>
      <c r="S6235">
        <v>2025</v>
      </c>
      <c r="T6235" s="12" t="s">
        <v>7261</v>
      </c>
      <c r="U6235">
        <v>958</v>
      </c>
      <c r="V6235">
        <v>10.482900000000001</v>
      </c>
      <c r="W6235">
        <v>176.5</v>
      </c>
      <c r="X6235">
        <v>0</v>
      </c>
      <c r="Y6235">
        <v>0</v>
      </c>
      <c r="Z6235">
        <v>10042.620000000001</v>
      </c>
      <c r="AA6235">
        <v>10219.120000000001</v>
      </c>
      <c r="AB6235" s="12" t="s">
        <v>5303</v>
      </c>
      <c r="AC6235">
        <v>10.482900000000001</v>
      </c>
      <c r="AD6235">
        <v>1</v>
      </c>
      <c r="AE6235">
        <v>1</v>
      </c>
      <c r="AF6235">
        <v>0</v>
      </c>
      <c r="AG6235">
        <v>10042.620000000001</v>
      </c>
      <c r="AK6235">
        <v>0</v>
      </c>
      <c r="AL6235">
        <v>0</v>
      </c>
      <c r="AO6235">
        <v>0</v>
      </c>
      <c r="AP6235" s="13"/>
    </row>
    <row r="6236" spans="1:44" x14ac:dyDescent="0.35">
      <c r="A6236" s="12" t="s">
        <v>7356</v>
      </c>
      <c r="B6236" s="12" t="s">
        <v>598</v>
      </c>
      <c r="C6236" s="12" t="s">
        <v>599</v>
      </c>
      <c r="D6236" s="12" t="s">
        <v>269</v>
      </c>
      <c r="E6236" s="12" t="s">
        <v>65</v>
      </c>
      <c r="F6236">
        <v>1</v>
      </c>
      <c r="G6236">
        <v>2</v>
      </c>
      <c r="H6236">
        <v>1</v>
      </c>
      <c r="I6236" s="12" t="s">
        <v>176</v>
      </c>
      <c r="J6236" s="12" t="s">
        <v>177</v>
      </c>
      <c r="K6236" s="12" t="s">
        <v>125</v>
      </c>
      <c r="L6236" s="12" t="s">
        <v>134</v>
      </c>
      <c r="M6236">
        <v>1.75</v>
      </c>
      <c r="N6236" s="12" t="s">
        <v>159</v>
      </c>
      <c r="O6236" s="12" t="s">
        <v>160</v>
      </c>
      <c r="P6236" s="12" t="s">
        <v>137</v>
      </c>
      <c r="Q6236" s="13">
        <v>46007</v>
      </c>
      <c r="R6236" s="13">
        <v>46042</v>
      </c>
      <c r="S6236">
        <v>2025</v>
      </c>
      <c r="T6236" s="12" t="s">
        <v>7261</v>
      </c>
      <c r="U6236">
        <v>120</v>
      </c>
      <c r="V6236">
        <v>525.69179999999994</v>
      </c>
      <c r="W6236">
        <v>1123.81</v>
      </c>
      <c r="X6236">
        <v>0</v>
      </c>
      <c r="Y6236">
        <v>0</v>
      </c>
      <c r="Z6236">
        <v>63083.02</v>
      </c>
      <c r="AA6236">
        <v>64206.83</v>
      </c>
      <c r="AB6236" s="12" t="s">
        <v>201</v>
      </c>
      <c r="AD6236">
        <v>0</v>
      </c>
      <c r="AE6236">
        <v>0</v>
      </c>
      <c r="AK6236">
        <v>0</v>
      </c>
      <c r="AL6236">
        <v>0</v>
      </c>
      <c r="AO6236">
        <v>0</v>
      </c>
      <c r="AP6236" s="13"/>
    </row>
    <row r="6237" spans="1:44" x14ac:dyDescent="0.35">
      <c r="A6237" s="12" t="s">
        <v>7357</v>
      </c>
      <c r="B6237" s="12" t="s">
        <v>128</v>
      </c>
      <c r="C6237" s="12" t="s">
        <v>129</v>
      </c>
      <c r="D6237" s="12" t="s">
        <v>130</v>
      </c>
      <c r="E6237" s="12" t="s">
        <v>65</v>
      </c>
      <c r="F6237">
        <v>3</v>
      </c>
      <c r="G6237">
        <v>5</v>
      </c>
      <c r="H6237">
        <v>0</v>
      </c>
      <c r="I6237" s="12" t="s">
        <v>66</v>
      </c>
      <c r="J6237" s="12" t="s">
        <v>67</v>
      </c>
      <c r="K6237" s="12" t="s">
        <v>68</v>
      </c>
      <c r="L6237" s="12" t="s">
        <v>69</v>
      </c>
      <c r="M6237">
        <v>17.66</v>
      </c>
      <c r="N6237" s="12" t="s">
        <v>159</v>
      </c>
      <c r="O6237" s="12" t="s">
        <v>160</v>
      </c>
      <c r="P6237" s="12" t="s">
        <v>137</v>
      </c>
      <c r="Q6237" s="13">
        <v>46007</v>
      </c>
      <c r="R6237" s="13">
        <v>46029</v>
      </c>
      <c r="S6237">
        <v>2025</v>
      </c>
      <c r="T6237" s="12" t="s">
        <v>7261</v>
      </c>
      <c r="U6237">
        <v>18</v>
      </c>
      <c r="V6237">
        <v>478.60379999999998</v>
      </c>
      <c r="W6237">
        <v>121.23</v>
      </c>
      <c r="X6237">
        <v>0</v>
      </c>
      <c r="Y6237">
        <v>0</v>
      </c>
      <c r="Z6237">
        <v>8614.8700000000008</v>
      </c>
      <c r="AA6237">
        <v>8736.1</v>
      </c>
      <c r="AB6237" s="12" t="s">
        <v>201</v>
      </c>
      <c r="AD6237">
        <v>0</v>
      </c>
      <c r="AE6237">
        <v>0</v>
      </c>
      <c r="AK6237">
        <v>0</v>
      </c>
      <c r="AL6237">
        <v>0</v>
      </c>
      <c r="AO6237">
        <v>0</v>
      </c>
      <c r="AP6237" s="13"/>
    </row>
    <row r="6238" spans="1:44" x14ac:dyDescent="0.35">
      <c r="A6238" s="12" t="s">
        <v>7358</v>
      </c>
      <c r="B6238" s="12" t="s">
        <v>231</v>
      </c>
      <c r="C6238" s="12" t="s">
        <v>232</v>
      </c>
      <c r="D6238" s="12" t="s">
        <v>130</v>
      </c>
      <c r="E6238" s="12" t="s">
        <v>65</v>
      </c>
      <c r="F6238">
        <v>1</v>
      </c>
      <c r="G6238">
        <v>2</v>
      </c>
      <c r="H6238">
        <v>1</v>
      </c>
      <c r="I6238" s="12" t="s">
        <v>233</v>
      </c>
      <c r="J6238" s="12" t="s">
        <v>234</v>
      </c>
      <c r="K6238" s="12" t="s">
        <v>125</v>
      </c>
      <c r="L6238" s="12" t="s">
        <v>96</v>
      </c>
      <c r="M6238">
        <v>3.73</v>
      </c>
      <c r="N6238" s="12" t="s">
        <v>135</v>
      </c>
      <c r="O6238" s="12" t="s">
        <v>136</v>
      </c>
      <c r="P6238" s="12" t="s">
        <v>137</v>
      </c>
      <c r="Q6238" s="13">
        <v>46007</v>
      </c>
      <c r="R6238" s="13">
        <v>46037</v>
      </c>
      <c r="S6238">
        <v>2025</v>
      </c>
      <c r="T6238" s="12" t="s">
        <v>7261</v>
      </c>
      <c r="U6238">
        <v>85</v>
      </c>
      <c r="V6238">
        <v>432.4452</v>
      </c>
      <c r="W6238">
        <v>484.14</v>
      </c>
      <c r="X6238">
        <v>0</v>
      </c>
      <c r="Y6238">
        <v>0</v>
      </c>
      <c r="Z6238">
        <v>36757.839999999997</v>
      </c>
      <c r="AA6238">
        <v>37241.980000000003</v>
      </c>
      <c r="AB6238" s="12" t="s">
        <v>201</v>
      </c>
      <c r="AD6238">
        <v>0</v>
      </c>
      <c r="AE6238">
        <v>0</v>
      </c>
      <c r="AK6238">
        <v>0</v>
      </c>
      <c r="AL6238">
        <v>0</v>
      </c>
      <c r="AO6238">
        <v>0</v>
      </c>
      <c r="AP6238" s="13"/>
    </row>
    <row r="6239" spans="1:44" x14ac:dyDescent="0.35">
      <c r="A6239" s="12" t="s">
        <v>7359</v>
      </c>
      <c r="B6239" s="12" t="s">
        <v>1026</v>
      </c>
      <c r="C6239" s="12" t="s">
        <v>1027</v>
      </c>
      <c r="D6239" s="12" t="s">
        <v>122</v>
      </c>
      <c r="E6239" s="12" t="s">
        <v>104</v>
      </c>
      <c r="F6239">
        <v>3</v>
      </c>
      <c r="G6239">
        <v>1</v>
      </c>
      <c r="H6239">
        <v>0</v>
      </c>
      <c r="I6239" s="12" t="s">
        <v>183</v>
      </c>
      <c r="J6239" s="12" t="s">
        <v>184</v>
      </c>
      <c r="K6239" s="12" t="s">
        <v>133</v>
      </c>
      <c r="L6239" s="12" t="s">
        <v>82</v>
      </c>
      <c r="M6239">
        <v>8.6199999999999992</v>
      </c>
      <c r="N6239" s="12" t="s">
        <v>97</v>
      </c>
      <c r="O6239" s="12" t="s">
        <v>98</v>
      </c>
      <c r="P6239" s="12" t="s">
        <v>72</v>
      </c>
      <c r="Q6239" s="13">
        <v>46007</v>
      </c>
      <c r="R6239" s="13">
        <v>46033</v>
      </c>
      <c r="S6239">
        <v>2025</v>
      </c>
      <c r="T6239" s="12" t="s">
        <v>7261</v>
      </c>
      <c r="U6239">
        <v>1670</v>
      </c>
      <c r="V6239">
        <v>42.704000000000001</v>
      </c>
      <c r="W6239">
        <v>790.84</v>
      </c>
      <c r="X6239">
        <v>0</v>
      </c>
      <c r="Y6239">
        <v>0</v>
      </c>
      <c r="Z6239">
        <v>71315.679999999993</v>
      </c>
      <c r="AA6239">
        <v>72106.52</v>
      </c>
      <c r="AB6239" s="12" t="s">
        <v>201</v>
      </c>
      <c r="AD6239">
        <v>0</v>
      </c>
      <c r="AE6239">
        <v>0</v>
      </c>
      <c r="AK6239">
        <v>0</v>
      </c>
      <c r="AL6239">
        <v>0</v>
      </c>
      <c r="AO6239">
        <v>0</v>
      </c>
      <c r="AP6239" s="13"/>
    </row>
    <row r="6240" spans="1:44" x14ac:dyDescent="0.35">
      <c r="A6240" s="12" t="s">
        <v>7360</v>
      </c>
      <c r="B6240" s="12" t="s">
        <v>736</v>
      </c>
      <c r="C6240" s="12" t="s">
        <v>737</v>
      </c>
      <c r="D6240" s="12" t="s">
        <v>64</v>
      </c>
      <c r="E6240" s="12" t="s">
        <v>104</v>
      </c>
      <c r="F6240">
        <v>3</v>
      </c>
      <c r="G6240">
        <v>1</v>
      </c>
      <c r="H6240">
        <v>0</v>
      </c>
      <c r="I6240" s="12" t="s">
        <v>94</v>
      </c>
      <c r="J6240" s="12" t="s">
        <v>95</v>
      </c>
      <c r="K6240" s="12" t="s">
        <v>81</v>
      </c>
      <c r="L6240" s="12" t="s">
        <v>96</v>
      </c>
      <c r="M6240">
        <v>4.8099999999999996</v>
      </c>
      <c r="N6240" s="12" t="s">
        <v>70</v>
      </c>
      <c r="O6240" s="12" t="s">
        <v>71</v>
      </c>
      <c r="P6240" s="12" t="s">
        <v>72</v>
      </c>
      <c r="Q6240" s="13">
        <v>46007</v>
      </c>
      <c r="R6240" s="13">
        <v>46022</v>
      </c>
      <c r="S6240">
        <v>2025</v>
      </c>
      <c r="T6240" s="12" t="s">
        <v>7261</v>
      </c>
      <c r="U6240">
        <v>298</v>
      </c>
      <c r="V6240">
        <v>21.2288</v>
      </c>
      <c r="W6240">
        <v>90.66</v>
      </c>
      <c r="X6240">
        <v>0</v>
      </c>
      <c r="Y6240">
        <v>0</v>
      </c>
      <c r="Z6240">
        <v>6326.18</v>
      </c>
      <c r="AA6240">
        <v>6416.84</v>
      </c>
      <c r="AB6240" s="12" t="s">
        <v>5992</v>
      </c>
      <c r="AC6240">
        <v>21.2288</v>
      </c>
      <c r="AD6240">
        <v>1</v>
      </c>
      <c r="AE6240">
        <v>1</v>
      </c>
      <c r="AF6240">
        <v>0</v>
      </c>
      <c r="AG6240">
        <v>6326.18</v>
      </c>
      <c r="AK6240">
        <v>0</v>
      </c>
      <c r="AL6240">
        <v>0</v>
      </c>
      <c r="AO6240">
        <v>0</v>
      </c>
      <c r="AP6240" s="13"/>
    </row>
    <row r="6241" spans="1:42" x14ac:dyDescent="0.35">
      <c r="A6241" s="12" t="s">
        <v>7361</v>
      </c>
      <c r="B6241" s="12" t="s">
        <v>498</v>
      </c>
      <c r="C6241" s="12" t="s">
        <v>499</v>
      </c>
      <c r="D6241" s="12" t="s">
        <v>175</v>
      </c>
      <c r="E6241" s="12" t="s">
        <v>104</v>
      </c>
      <c r="F6241">
        <v>3</v>
      </c>
      <c r="G6241">
        <v>1</v>
      </c>
      <c r="H6241">
        <v>0</v>
      </c>
      <c r="I6241" s="12" t="s">
        <v>233</v>
      </c>
      <c r="J6241" s="12" t="s">
        <v>234</v>
      </c>
      <c r="K6241" s="12" t="s">
        <v>125</v>
      </c>
      <c r="L6241" s="12" t="s">
        <v>96</v>
      </c>
      <c r="M6241">
        <v>3.73</v>
      </c>
      <c r="N6241" s="12" t="s">
        <v>107</v>
      </c>
      <c r="O6241" s="12" t="s">
        <v>108</v>
      </c>
      <c r="P6241" s="12" t="s">
        <v>109</v>
      </c>
      <c r="Q6241" s="13">
        <v>46007</v>
      </c>
      <c r="R6241" s="13">
        <v>46033</v>
      </c>
      <c r="S6241">
        <v>2025</v>
      </c>
      <c r="T6241" s="12" t="s">
        <v>7261</v>
      </c>
      <c r="U6241">
        <v>120</v>
      </c>
      <c r="V6241">
        <v>262.52229999999997</v>
      </c>
      <c r="W6241">
        <v>226.17</v>
      </c>
      <c r="X6241">
        <v>1006.24</v>
      </c>
      <c r="Y6241">
        <v>1</v>
      </c>
      <c r="Z6241">
        <v>31502.68</v>
      </c>
      <c r="AA6241">
        <v>32735.09</v>
      </c>
      <c r="AB6241" s="12" t="s">
        <v>5729</v>
      </c>
      <c r="AC6241">
        <v>262.52229999999997</v>
      </c>
      <c r="AD6241">
        <v>1</v>
      </c>
      <c r="AE6241">
        <v>1</v>
      </c>
      <c r="AF6241">
        <v>0</v>
      </c>
      <c r="AG6241">
        <v>31502.68</v>
      </c>
      <c r="AK6241">
        <v>0</v>
      </c>
      <c r="AL6241">
        <v>0</v>
      </c>
      <c r="AO6241">
        <v>0</v>
      </c>
      <c r="AP6241" s="13"/>
    </row>
    <row r="6242" spans="1:42" x14ac:dyDescent="0.35">
      <c r="A6242" s="12" t="s">
        <v>7362</v>
      </c>
      <c r="B6242" s="12" t="s">
        <v>537</v>
      </c>
      <c r="C6242" s="12" t="s">
        <v>538</v>
      </c>
      <c r="D6242" s="12" t="s">
        <v>103</v>
      </c>
      <c r="E6242" s="12" t="s">
        <v>104</v>
      </c>
      <c r="F6242">
        <v>3</v>
      </c>
      <c r="G6242">
        <v>0</v>
      </c>
      <c r="H6242">
        <v>0</v>
      </c>
      <c r="I6242" s="12" t="s">
        <v>380</v>
      </c>
      <c r="J6242" s="12" t="s">
        <v>381</v>
      </c>
      <c r="K6242" s="12" t="s">
        <v>89</v>
      </c>
      <c r="L6242" s="12" t="s">
        <v>96</v>
      </c>
      <c r="M6242">
        <v>10.210000000000001</v>
      </c>
      <c r="N6242" s="12" t="s">
        <v>107</v>
      </c>
      <c r="O6242" s="12" t="s">
        <v>108</v>
      </c>
      <c r="P6242" s="12" t="s">
        <v>109</v>
      </c>
      <c r="Q6242" s="13">
        <v>46008</v>
      </c>
      <c r="R6242" s="13">
        <v>46037</v>
      </c>
      <c r="S6242">
        <v>2025</v>
      </c>
      <c r="T6242" s="12" t="s">
        <v>7261</v>
      </c>
      <c r="U6242">
        <v>146</v>
      </c>
      <c r="V6242">
        <v>242.47130000000001</v>
      </c>
      <c r="W6242">
        <v>612.09</v>
      </c>
      <c r="X6242">
        <v>0</v>
      </c>
      <c r="Y6242">
        <v>0</v>
      </c>
      <c r="Z6242">
        <v>35400.81</v>
      </c>
      <c r="AA6242">
        <v>36012.9</v>
      </c>
      <c r="AB6242" s="12" t="s">
        <v>6070</v>
      </c>
      <c r="AC6242">
        <v>242.47130000000001</v>
      </c>
      <c r="AD6242">
        <v>1</v>
      </c>
      <c r="AE6242">
        <v>1</v>
      </c>
      <c r="AF6242">
        <v>0</v>
      </c>
      <c r="AG6242">
        <v>35400.81</v>
      </c>
      <c r="AK6242">
        <v>0</v>
      </c>
      <c r="AL6242">
        <v>0</v>
      </c>
      <c r="AO6242">
        <v>0</v>
      </c>
      <c r="AP6242" s="13"/>
    </row>
    <row r="6243" spans="1:42" x14ac:dyDescent="0.35">
      <c r="A6243" s="12" t="s">
        <v>7363</v>
      </c>
      <c r="B6243" s="12" t="s">
        <v>630</v>
      </c>
      <c r="C6243" s="12" t="s">
        <v>631</v>
      </c>
      <c r="D6243" s="12" t="s">
        <v>130</v>
      </c>
      <c r="E6243" s="12" t="s">
        <v>65</v>
      </c>
      <c r="F6243">
        <v>1</v>
      </c>
      <c r="G6243">
        <v>2</v>
      </c>
      <c r="H6243">
        <v>1</v>
      </c>
      <c r="I6243" s="12" t="s">
        <v>335</v>
      </c>
      <c r="J6243" s="12" t="s">
        <v>336</v>
      </c>
      <c r="K6243" s="12" t="s">
        <v>89</v>
      </c>
      <c r="L6243" s="12" t="s">
        <v>82</v>
      </c>
      <c r="M6243">
        <v>16</v>
      </c>
      <c r="N6243" s="12" t="s">
        <v>135</v>
      </c>
      <c r="O6243" s="12" t="s">
        <v>136</v>
      </c>
      <c r="P6243" s="12" t="s">
        <v>137</v>
      </c>
      <c r="Q6243" s="13">
        <v>46008</v>
      </c>
      <c r="R6243" s="13">
        <v>46030</v>
      </c>
      <c r="S6243">
        <v>2025</v>
      </c>
      <c r="T6243" s="12" t="s">
        <v>7261</v>
      </c>
      <c r="U6243">
        <v>20</v>
      </c>
      <c r="V6243">
        <v>444.29629999999997</v>
      </c>
      <c r="W6243">
        <v>87.93</v>
      </c>
      <c r="X6243">
        <v>0</v>
      </c>
      <c r="Y6243">
        <v>0</v>
      </c>
      <c r="Z6243">
        <v>8885.93</v>
      </c>
      <c r="AA6243">
        <v>8973.86</v>
      </c>
      <c r="AB6243" s="12" t="s">
        <v>5553</v>
      </c>
      <c r="AC6243">
        <v>444.29629999999997</v>
      </c>
      <c r="AD6243">
        <v>1</v>
      </c>
      <c r="AE6243">
        <v>1</v>
      </c>
      <c r="AF6243">
        <v>0</v>
      </c>
      <c r="AG6243">
        <v>8885.93</v>
      </c>
      <c r="AK6243">
        <v>0</v>
      </c>
      <c r="AL6243">
        <v>0</v>
      </c>
      <c r="AO6243">
        <v>0</v>
      </c>
      <c r="AP6243" s="13"/>
    </row>
    <row r="6244" spans="1:42" x14ac:dyDescent="0.35">
      <c r="A6244" s="12" t="s">
        <v>7364</v>
      </c>
      <c r="B6244" s="12" t="s">
        <v>416</v>
      </c>
      <c r="C6244" s="12" t="s">
        <v>417</v>
      </c>
      <c r="D6244" s="12" t="s">
        <v>78</v>
      </c>
      <c r="E6244" s="12" t="s">
        <v>65</v>
      </c>
      <c r="F6244">
        <v>3</v>
      </c>
      <c r="G6244">
        <v>5</v>
      </c>
      <c r="H6244">
        <v>0</v>
      </c>
      <c r="I6244" s="12" t="s">
        <v>169</v>
      </c>
      <c r="J6244" s="12" t="s">
        <v>170</v>
      </c>
      <c r="K6244" s="12" t="s">
        <v>89</v>
      </c>
      <c r="L6244" s="12" t="s">
        <v>134</v>
      </c>
      <c r="M6244">
        <v>1.37</v>
      </c>
      <c r="N6244" s="12" t="s">
        <v>97</v>
      </c>
      <c r="O6244" s="12" t="s">
        <v>98</v>
      </c>
      <c r="P6244" s="12" t="s">
        <v>72</v>
      </c>
      <c r="Q6244" s="13">
        <v>46008</v>
      </c>
      <c r="R6244" s="13">
        <v>46042</v>
      </c>
      <c r="S6244">
        <v>2025</v>
      </c>
      <c r="T6244" s="12" t="s">
        <v>7261</v>
      </c>
      <c r="U6244">
        <v>237</v>
      </c>
      <c r="V6244">
        <v>132.20660000000001</v>
      </c>
      <c r="W6244">
        <v>556.69000000000005</v>
      </c>
      <c r="X6244">
        <v>0</v>
      </c>
      <c r="Y6244">
        <v>0</v>
      </c>
      <c r="Z6244">
        <v>31332.959999999999</v>
      </c>
      <c r="AA6244">
        <v>31889.65</v>
      </c>
      <c r="AB6244" s="12" t="s">
        <v>5522</v>
      </c>
      <c r="AC6244">
        <v>129.0615</v>
      </c>
      <c r="AD6244">
        <v>1</v>
      </c>
      <c r="AE6244">
        <v>1</v>
      </c>
      <c r="AF6244">
        <v>745.39</v>
      </c>
      <c r="AG6244">
        <v>30587.58</v>
      </c>
      <c r="AK6244">
        <v>0</v>
      </c>
      <c r="AL6244">
        <v>0</v>
      </c>
      <c r="AO6244">
        <v>0</v>
      </c>
      <c r="AP6244" s="13"/>
    </row>
    <row r="6245" spans="1:42" x14ac:dyDescent="0.35">
      <c r="A6245" s="12" t="s">
        <v>7365</v>
      </c>
      <c r="B6245" s="12" t="s">
        <v>519</v>
      </c>
      <c r="C6245" s="12" t="s">
        <v>520</v>
      </c>
      <c r="D6245" s="12" t="s">
        <v>78</v>
      </c>
      <c r="E6245" s="12" t="s">
        <v>65</v>
      </c>
      <c r="F6245">
        <v>2</v>
      </c>
      <c r="G6245">
        <v>3</v>
      </c>
      <c r="H6245">
        <v>0</v>
      </c>
      <c r="I6245" s="12" t="s">
        <v>66</v>
      </c>
      <c r="J6245" s="12" t="s">
        <v>67</v>
      </c>
      <c r="K6245" s="12" t="s">
        <v>68</v>
      </c>
      <c r="L6245" s="12" t="s">
        <v>69</v>
      </c>
      <c r="M6245">
        <v>17.66</v>
      </c>
      <c r="N6245" s="12" t="s">
        <v>97</v>
      </c>
      <c r="O6245" s="12" t="s">
        <v>98</v>
      </c>
      <c r="P6245" s="12" t="s">
        <v>72</v>
      </c>
      <c r="Q6245" s="13">
        <v>46008</v>
      </c>
      <c r="R6245" s="13">
        <v>46029</v>
      </c>
      <c r="S6245">
        <v>2025</v>
      </c>
      <c r="T6245" s="12" t="s">
        <v>7261</v>
      </c>
      <c r="U6245">
        <v>43</v>
      </c>
      <c r="V6245">
        <v>33.754899999999999</v>
      </c>
      <c r="W6245">
        <v>24.9</v>
      </c>
      <c r="X6245">
        <v>0</v>
      </c>
      <c r="Y6245">
        <v>0</v>
      </c>
      <c r="Z6245">
        <v>1451.46</v>
      </c>
      <c r="AA6245">
        <v>1476.36</v>
      </c>
      <c r="AB6245" s="12" t="s">
        <v>201</v>
      </c>
      <c r="AD6245">
        <v>0</v>
      </c>
      <c r="AE6245">
        <v>0</v>
      </c>
      <c r="AK6245">
        <v>0</v>
      </c>
      <c r="AL6245">
        <v>0</v>
      </c>
      <c r="AO6245">
        <v>0</v>
      </c>
      <c r="AP6245" s="13"/>
    </row>
    <row r="6246" spans="1:42" x14ac:dyDescent="0.35">
      <c r="A6246" s="12" t="s">
        <v>7366</v>
      </c>
      <c r="B6246" s="12" t="s">
        <v>957</v>
      </c>
      <c r="C6246" s="12" t="s">
        <v>958</v>
      </c>
      <c r="D6246" s="12" t="s">
        <v>103</v>
      </c>
      <c r="E6246" s="12" t="s">
        <v>142</v>
      </c>
      <c r="F6246">
        <v>1</v>
      </c>
      <c r="G6246">
        <v>7</v>
      </c>
      <c r="H6246">
        <v>1</v>
      </c>
      <c r="I6246" s="12" t="s">
        <v>183</v>
      </c>
      <c r="J6246" s="12" t="s">
        <v>184</v>
      </c>
      <c r="K6246" s="12" t="s">
        <v>133</v>
      </c>
      <c r="L6246" s="12" t="s">
        <v>82</v>
      </c>
      <c r="M6246">
        <v>8.6199999999999992</v>
      </c>
      <c r="N6246" s="12" t="s">
        <v>107</v>
      </c>
      <c r="O6246" s="12" t="s">
        <v>108</v>
      </c>
      <c r="P6246" s="12" t="s">
        <v>109</v>
      </c>
      <c r="Q6246" s="13">
        <v>46008</v>
      </c>
      <c r="R6246" s="13">
        <v>46058</v>
      </c>
      <c r="S6246">
        <v>2025</v>
      </c>
      <c r="T6246" s="12" t="s">
        <v>7261</v>
      </c>
      <c r="U6246">
        <v>128</v>
      </c>
      <c r="V6246">
        <v>188.30439999999999</v>
      </c>
      <c r="W6246">
        <v>146.6</v>
      </c>
      <c r="X6246">
        <v>0</v>
      </c>
      <c r="Y6246">
        <v>0</v>
      </c>
      <c r="Z6246">
        <v>24102.959999999999</v>
      </c>
      <c r="AA6246">
        <v>24249.56</v>
      </c>
      <c r="AB6246" s="12" t="s">
        <v>5622</v>
      </c>
      <c r="AC6246">
        <v>188.30439999999999</v>
      </c>
      <c r="AD6246">
        <v>1</v>
      </c>
      <c r="AE6246">
        <v>1</v>
      </c>
      <c r="AF6246">
        <v>0</v>
      </c>
      <c r="AG6246">
        <v>24102.959999999999</v>
      </c>
      <c r="AK6246">
        <v>0</v>
      </c>
      <c r="AL6246">
        <v>0</v>
      </c>
      <c r="AO6246">
        <v>0</v>
      </c>
      <c r="AP6246" s="13"/>
    </row>
    <row r="6247" spans="1:42" x14ac:dyDescent="0.35">
      <c r="A6247" s="12" t="s">
        <v>7367</v>
      </c>
      <c r="B6247" s="12" t="s">
        <v>1013</v>
      </c>
      <c r="C6247" s="12" t="s">
        <v>1014</v>
      </c>
      <c r="D6247" s="12" t="s">
        <v>78</v>
      </c>
      <c r="E6247" s="12" t="s">
        <v>65</v>
      </c>
      <c r="F6247">
        <v>2</v>
      </c>
      <c r="G6247">
        <v>3</v>
      </c>
      <c r="H6247">
        <v>0</v>
      </c>
      <c r="I6247" s="12" t="s">
        <v>123</v>
      </c>
      <c r="J6247" s="12" t="s">
        <v>124</v>
      </c>
      <c r="K6247" s="12" t="s">
        <v>125</v>
      </c>
      <c r="L6247" s="12" t="s">
        <v>82</v>
      </c>
      <c r="M6247">
        <v>6.75</v>
      </c>
      <c r="N6247" s="12" t="s">
        <v>70</v>
      </c>
      <c r="O6247" s="12" t="s">
        <v>71</v>
      </c>
      <c r="P6247" s="12" t="s">
        <v>72</v>
      </c>
      <c r="Q6247" s="13">
        <v>46008</v>
      </c>
      <c r="R6247" s="13">
        <v>46029</v>
      </c>
      <c r="S6247">
        <v>2025</v>
      </c>
      <c r="T6247" s="12" t="s">
        <v>7261</v>
      </c>
      <c r="U6247">
        <v>40</v>
      </c>
      <c r="V6247">
        <v>128.81790000000001</v>
      </c>
      <c r="W6247">
        <v>88.97</v>
      </c>
      <c r="X6247">
        <v>0</v>
      </c>
      <c r="Y6247">
        <v>0</v>
      </c>
      <c r="Z6247">
        <v>5152.72</v>
      </c>
      <c r="AA6247">
        <v>5241.6899999999996</v>
      </c>
      <c r="AB6247" s="12" t="s">
        <v>6350</v>
      </c>
      <c r="AC6247">
        <v>124.94710000000001</v>
      </c>
      <c r="AD6247">
        <v>1</v>
      </c>
      <c r="AE6247">
        <v>1</v>
      </c>
      <c r="AF6247">
        <v>154.83000000000001</v>
      </c>
      <c r="AG6247">
        <v>4997.88</v>
      </c>
      <c r="AK6247">
        <v>0</v>
      </c>
      <c r="AL6247">
        <v>0</v>
      </c>
      <c r="AO6247">
        <v>0</v>
      </c>
      <c r="AP6247" s="13"/>
    </row>
    <row r="6248" spans="1:42" x14ac:dyDescent="0.35">
      <c r="A6248" s="12" t="s">
        <v>7368</v>
      </c>
      <c r="B6248" s="12" t="s">
        <v>140</v>
      </c>
      <c r="C6248" s="12" t="s">
        <v>141</v>
      </c>
      <c r="D6248" s="12" t="s">
        <v>103</v>
      </c>
      <c r="E6248" s="12" t="s">
        <v>142</v>
      </c>
      <c r="F6248">
        <v>1</v>
      </c>
      <c r="G6248">
        <v>7</v>
      </c>
      <c r="H6248">
        <v>1</v>
      </c>
      <c r="I6248" s="12" t="s">
        <v>143</v>
      </c>
      <c r="J6248" s="12" t="s">
        <v>144</v>
      </c>
      <c r="K6248" s="12" t="s">
        <v>133</v>
      </c>
      <c r="L6248" s="12" t="s">
        <v>96</v>
      </c>
      <c r="M6248">
        <v>5.43</v>
      </c>
      <c r="N6248" s="12" t="s">
        <v>107</v>
      </c>
      <c r="O6248" s="12" t="s">
        <v>108</v>
      </c>
      <c r="P6248" s="12" t="s">
        <v>109</v>
      </c>
      <c r="Q6248" s="13">
        <v>46008</v>
      </c>
      <c r="R6248" s="13">
        <v>46050</v>
      </c>
      <c r="S6248">
        <v>2025</v>
      </c>
      <c r="T6248" s="12" t="s">
        <v>7261</v>
      </c>
      <c r="U6248">
        <v>64</v>
      </c>
      <c r="V6248">
        <v>210.93029999999999</v>
      </c>
      <c r="W6248">
        <v>177.03</v>
      </c>
      <c r="X6248">
        <v>0</v>
      </c>
      <c r="Y6248">
        <v>0</v>
      </c>
      <c r="Z6248">
        <v>13499.54</v>
      </c>
      <c r="AA6248">
        <v>13676.57</v>
      </c>
      <c r="AB6248" s="12" t="s">
        <v>5126</v>
      </c>
      <c r="AC6248">
        <v>210.93029999999999</v>
      </c>
      <c r="AD6248">
        <v>1</v>
      </c>
      <c r="AE6248">
        <v>1</v>
      </c>
      <c r="AF6248">
        <v>0</v>
      </c>
      <c r="AG6248">
        <v>13499.54</v>
      </c>
      <c r="AK6248">
        <v>0</v>
      </c>
      <c r="AL6248">
        <v>0</v>
      </c>
      <c r="AO6248">
        <v>0</v>
      </c>
      <c r="AP6248" s="13"/>
    </row>
    <row r="6249" spans="1:42" x14ac:dyDescent="0.35">
      <c r="A6249" s="12" t="s">
        <v>7369</v>
      </c>
      <c r="B6249" s="12" t="s">
        <v>1042</v>
      </c>
      <c r="C6249" s="12" t="s">
        <v>1043</v>
      </c>
      <c r="D6249" s="12" t="s">
        <v>269</v>
      </c>
      <c r="E6249" s="12" t="s">
        <v>104</v>
      </c>
      <c r="F6249">
        <v>2</v>
      </c>
      <c r="G6249">
        <v>0</v>
      </c>
      <c r="H6249">
        <v>0</v>
      </c>
      <c r="I6249" s="12" t="s">
        <v>199</v>
      </c>
      <c r="J6249" s="12" t="s">
        <v>200</v>
      </c>
      <c r="K6249" s="12" t="s">
        <v>68</v>
      </c>
      <c r="L6249" s="12" t="s">
        <v>96</v>
      </c>
      <c r="M6249">
        <v>9.4700000000000006</v>
      </c>
      <c r="N6249" s="12" t="s">
        <v>159</v>
      </c>
      <c r="O6249" s="12" t="s">
        <v>160</v>
      </c>
      <c r="P6249" s="12" t="s">
        <v>137</v>
      </c>
      <c r="Q6249" s="13">
        <v>46008</v>
      </c>
      <c r="R6249" s="13">
        <v>46020</v>
      </c>
      <c r="S6249">
        <v>2025</v>
      </c>
      <c r="T6249" s="12" t="s">
        <v>7261</v>
      </c>
      <c r="U6249">
        <v>10</v>
      </c>
      <c r="V6249">
        <v>290.11180000000002</v>
      </c>
      <c r="W6249">
        <v>59.29</v>
      </c>
      <c r="X6249">
        <v>0</v>
      </c>
      <c r="Y6249">
        <v>0</v>
      </c>
      <c r="Z6249">
        <v>2901.12</v>
      </c>
      <c r="AA6249">
        <v>2960.41</v>
      </c>
      <c r="AB6249" s="12" t="s">
        <v>6816</v>
      </c>
      <c r="AC6249">
        <v>290.11180000000002</v>
      </c>
      <c r="AD6249">
        <v>1</v>
      </c>
      <c r="AE6249">
        <v>1</v>
      </c>
      <c r="AF6249">
        <v>0</v>
      </c>
      <c r="AG6249">
        <v>2901.12</v>
      </c>
      <c r="AK6249">
        <v>0</v>
      </c>
      <c r="AL6249">
        <v>0</v>
      </c>
      <c r="AO6249">
        <v>0</v>
      </c>
      <c r="AP6249" s="13"/>
    </row>
    <row r="6250" spans="1:42" x14ac:dyDescent="0.35">
      <c r="A6250" s="12" t="s">
        <v>7370</v>
      </c>
      <c r="B6250" s="12" t="s">
        <v>680</v>
      </c>
      <c r="C6250" s="12" t="s">
        <v>681</v>
      </c>
      <c r="D6250" s="12" t="s">
        <v>122</v>
      </c>
      <c r="E6250" s="12" t="s">
        <v>104</v>
      </c>
      <c r="F6250">
        <v>3</v>
      </c>
      <c r="G6250">
        <v>1</v>
      </c>
      <c r="H6250">
        <v>0</v>
      </c>
      <c r="I6250" s="12" t="s">
        <v>227</v>
      </c>
      <c r="J6250" s="12" t="s">
        <v>228</v>
      </c>
      <c r="K6250" s="12" t="s">
        <v>89</v>
      </c>
      <c r="L6250" s="12" t="s">
        <v>96</v>
      </c>
      <c r="M6250">
        <v>9.15</v>
      </c>
      <c r="N6250" s="12" t="s">
        <v>70</v>
      </c>
      <c r="O6250" s="12" t="s">
        <v>71</v>
      </c>
      <c r="P6250" s="12" t="s">
        <v>72</v>
      </c>
      <c r="Q6250" s="13">
        <v>46009</v>
      </c>
      <c r="R6250" s="13">
        <v>46029</v>
      </c>
      <c r="S6250">
        <v>2025</v>
      </c>
      <c r="T6250" s="12" t="s">
        <v>7261</v>
      </c>
      <c r="U6250">
        <v>1036</v>
      </c>
      <c r="V6250">
        <v>23.3398</v>
      </c>
      <c r="W6250">
        <v>571.57000000000005</v>
      </c>
      <c r="X6250">
        <v>0</v>
      </c>
      <c r="Y6250">
        <v>0</v>
      </c>
      <c r="Z6250">
        <v>24180.03</v>
      </c>
      <c r="AA6250">
        <v>24751.599999999999</v>
      </c>
      <c r="AB6250" s="12" t="s">
        <v>201</v>
      </c>
      <c r="AD6250">
        <v>0</v>
      </c>
      <c r="AE6250">
        <v>0</v>
      </c>
      <c r="AK6250">
        <v>0</v>
      </c>
      <c r="AL6250">
        <v>0</v>
      </c>
      <c r="AO6250">
        <v>0</v>
      </c>
      <c r="AP6250" s="13"/>
    </row>
    <row r="6251" spans="1:42" x14ac:dyDescent="0.35">
      <c r="A6251" s="12" t="s">
        <v>7371</v>
      </c>
      <c r="B6251" s="12" t="s">
        <v>490</v>
      </c>
      <c r="C6251" s="12" t="s">
        <v>491</v>
      </c>
      <c r="D6251" s="12" t="s">
        <v>130</v>
      </c>
      <c r="E6251" s="12" t="s">
        <v>104</v>
      </c>
      <c r="F6251">
        <v>3</v>
      </c>
      <c r="G6251">
        <v>1</v>
      </c>
      <c r="H6251">
        <v>0</v>
      </c>
      <c r="I6251" s="12" t="s">
        <v>123</v>
      </c>
      <c r="J6251" s="12" t="s">
        <v>124</v>
      </c>
      <c r="K6251" s="12" t="s">
        <v>125</v>
      </c>
      <c r="L6251" s="12" t="s">
        <v>82</v>
      </c>
      <c r="M6251">
        <v>6.75</v>
      </c>
      <c r="N6251" s="12" t="s">
        <v>159</v>
      </c>
      <c r="O6251" s="12" t="s">
        <v>160</v>
      </c>
      <c r="P6251" s="12" t="s">
        <v>137</v>
      </c>
      <c r="Q6251" s="13">
        <v>46009</v>
      </c>
      <c r="R6251" s="13">
        <v>46027</v>
      </c>
      <c r="S6251">
        <v>2025</v>
      </c>
      <c r="T6251" s="12" t="s">
        <v>7261</v>
      </c>
      <c r="U6251">
        <v>57</v>
      </c>
      <c r="V6251">
        <v>249.8981</v>
      </c>
      <c r="W6251">
        <v>215.85</v>
      </c>
      <c r="X6251">
        <v>0</v>
      </c>
      <c r="Y6251">
        <v>0</v>
      </c>
      <c r="Z6251">
        <v>14244.19</v>
      </c>
      <c r="AA6251">
        <v>14460.04</v>
      </c>
      <c r="AB6251" s="12" t="s">
        <v>7339</v>
      </c>
      <c r="AC6251">
        <v>258.64449999999999</v>
      </c>
      <c r="AD6251">
        <v>2</v>
      </c>
      <c r="AE6251">
        <v>1</v>
      </c>
      <c r="AF6251">
        <v>-498.54</v>
      </c>
      <c r="AG6251">
        <v>14742.74</v>
      </c>
      <c r="AK6251">
        <v>0</v>
      </c>
      <c r="AL6251">
        <v>0</v>
      </c>
      <c r="AO6251">
        <v>0</v>
      </c>
      <c r="AP6251" s="13"/>
    </row>
    <row r="6252" spans="1:42" x14ac:dyDescent="0.35">
      <c r="A6252" s="12" t="s">
        <v>7372</v>
      </c>
      <c r="B6252" s="12" t="s">
        <v>92</v>
      </c>
      <c r="C6252" s="12" t="s">
        <v>93</v>
      </c>
      <c r="D6252" s="12" t="s">
        <v>64</v>
      </c>
      <c r="E6252" s="12" t="s">
        <v>65</v>
      </c>
      <c r="F6252">
        <v>3</v>
      </c>
      <c r="G6252">
        <v>5</v>
      </c>
      <c r="H6252">
        <v>0</v>
      </c>
      <c r="I6252" s="12" t="s">
        <v>151</v>
      </c>
      <c r="J6252" s="12" t="s">
        <v>152</v>
      </c>
      <c r="K6252" s="12" t="s">
        <v>125</v>
      </c>
      <c r="L6252" s="12" t="s">
        <v>69</v>
      </c>
      <c r="M6252">
        <v>36.479999999999997</v>
      </c>
      <c r="N6252" s="12" t="s">
        <v>97</v>
      </c>
      <c r="O6252" s="12" t="s">
        <v>98</v>
      </c>
      <c r="P6252" s="12" t="s">
        <v>72</v>
      </c>
      <c r="Q6252" s="13">
        <v>46009</v>
      </c>
      <c r="R6252" s="13">
        <v>46038</v>
      </c>
      <c r="S6252">
        <v>2025</v>
      </c>
      <c r="T6252" s="12" t="s">
        <v>7261</v>
      </c>
      <c r="U6252">
        <v>501</v>
      </c>
      <c r="V6252">
        <v>19.414100000000001</v>
      </c>
      <c r="W6252">
        <v>145.76</v>
      </c>
      <c r="X6252">
        <v>0</v>
      </c>
      <c r="Y6252">
        <v>0</v>
      </c>
      <c r="Z6252">
        <v>9726.4599999999991</v>
      </c>
      <c r="AA6252">
        <v>9872.2199999999993</v>
      </c>
      <c r="AB6252" s="12" t="s">
        <v>201</v>
      </c>
      <c r="AD6252">
        <v>0</v>
      </c>
      <c r="AE6252">
        <v>0</v>
      </c>
      <c r="AK6252">
        <v>0</v>
      </c>
      <c r="AL6252">
        <v>0</v>
      </c>
      <c r="AO6252">
        <v>0</v>
      </c>
      <c r="AP6252" s="13"/>
    </row>
    <row r="6253" spans="1:42" x14ac:dyDescent="0.35">
      <c r="A6253" s="12" t="s">
        <v>7373</v>
      </c>
      <c r="B6253" s="12" t="s">
        <v>712</v>
      </c>
      <c r="C6253" s="12" t="s">
        <v>713</v>
      </c>
      <c r="D6253" s="12" t="s">
        <v>103</v>
      </c>
      <c r="E6253" s="12" t="s">
        <v>104</v>
      </c>
      <c r="F6253">
        <v>2</v>
      </c>
      <c r="G6253">
        <v>0</v>
      </c>
      <c r="H6253">
        <v>0</v>
      </c>
      <c r="I6253" s="12" t="s">
        <v>199</v>
      </c>
      <c r="J6253" s="12" t="s">
        <v>200</v>
      </c>
      <c r="K6253" s="12" t="s">
        <v>68</v>
      </c>
      <c r="L6253" s="12" t="s">
        <v>96</v>
      </c>
      <c r="M6253">
        <v>9.4700000000000006</v>
      </c>
      <c r="N6253" s="12" t="s">
        <v>107</v>
      </c>
      <c r="O6253" s="12" t="s">
        <v>108</v>
      </c>
      <c r="P6253" s="12" t="s">
        <v>109</v>
      </c>
      <c r="Q6253" s="13">
        <v>46009</v>
      </c>
      <c r="R6253" s="13">
        <v>46027</v>
      </c>
      <c r="S6253">
        <v>2025</v>
      </c>
      <c r="T6253" s="12" t="s">
        <v>7261</v>
      </c>
      <c r="U6253">
        <v>60</v>
      </c>
      <c r="V6253">
        <v>219.5856</v>
      </c>
      <c r="W6253">
        <v>190.5</v>
      </c>
      <c r="X6253">
        <v>0</v>
      </c>
      <c r="Y6253">
        <v>0</v>
      </c>
      <c r="Z6253">
        <v>13175.14</v>
      </c>
      <c r="AA6253">
        <v>13365.64</v>
      </c>
      <c r="AB6253" s="12" t="s">
        <v>201</v>
      </c>
      <c r="AD6253">
        <v>0</v>
      </c>
      <c r="AE6253">
        <v>0</v>
      </c>
      <c r="AK6253">
        <v>0</v>
      </c>
      <c r="AL6253">
        <v>0</v>
      </c>
      <c r="AO6253">
        <v>0</v>
      </c>
      <c r="AP6253" s="13"/>
    </row>
    <row r="6254" spans="1:42" x14ac:dyDescent="0.35">
      <c r="A6254" s="12" t="s">
        <v>7374</v>
      </c>
      <c r="B6254" s="12" t="s">
        <v>513</v>
      </c>
      <c r="C6254" s="12" t="s">
        <v>514</v>
      </c>
      <c r="D6254" s="12" t="s">
        <v>269</v>
      </c>
      <c r="E6254" s="12" t="s">
        <v>65</v>
      </c>
      <c r="F6254">
        <v>1</v>
      </c>
      <c r="G6254">
        <v>2</v>
      </c>
      <c r="H6254">
        <v>1</v>
      </c>
      <c r="I6254" s="12" t="s">
        <v>515</v>
      </c>
      <c r="J6254" s="12" t="s">
        <v>516</v>
      </c>
      <c r="K6254" s="12" t="s">
        <v>68</v>
      </c>
      <c r="L6254" s="12" t="s">
        <v>134</v>
      </c>
      <c r="M6254">
        <v>3.69</v>
      </c>
      <c r="N6254" s="12" t="s">
        <v>159</v>
      </c>
      <c r="O6254" s="12" t="s">
        <v>160</v>
      </c>
      <c r="P6254" s="12" t="s">
        <v>137</v>
      </c>
      <c r="Q6254" s="13">
        <v>46010</v>
      </c>
      <c r="R6254" s="13">
        <v>46039</v>
      </c>
      <c r="S6254">
        <v>2025</v>
      </c>
      <c r="T6254" s="12" t="s">
        <v>7261</v>
      </c>
      <c r="U6254">
        <v>77</v>
      </c>
      <c r="V6254">
        <v>206.28800000000001</v>
      </c>
      <c r="W6254">
        <v>366.44</v>
      </c>
      <c r="X6254">
        <v>0</v>
      </c>
      <c r="Y6254">
        <v>0</v>
      </c>
      <c r="Z6254">
        <v>15884.18</v>
      </c>
      <c r="AA6254">
        <v>16250.62</v>
      </c>
      <c r="AB6254" s="12" t="s">
        <v>201</v>
      </c>
      <c r="AD6254">
        <v>0</v>
      </c>
      <c r="AE6254">
        <v>0</v>
      </c>
      <c r="AK6254">
        <v>0</v>
      </c>
      <c r="AL6254">
        <v>0</v>
      </c>
      <c r="AO6254">
        <v>0</v>
      </c>
      <c r="AP6254" s="13"/>
    </row>
    <row r="6255" spans="1:42" x14ac:dyDescent="0.35">
      <c r="A6255" s="12" t="s">
        <v>7375</v>
      </c>
      <c r="B6255" s="12" t="s">
        <v>408</v>
      </c>
      <c r="C6255" s="12" t="s">
        <v>409</v>
      </c>
      <c r="D6255" s="12" t="s">
        <v>130</v>
      </c>
      <c r="E6255" s="12" t="s">
        <v>65</v>
      </c>
      <c r="F6255">
        <v>3</v>
      </c>
      <c r="G6255">
        <v>5</v>
      </c>
      <c r="H6255">
        <v>0</v>
      </c>
      <c r="I6255" s="12" t="s">
        <v>105</v>
      </c>
      <c r="J6255" s="12" t="s">
        <v>106</v>
      </c>
      <c r="K6255" s="12" t="s">
        <v>81</v>
      </c>
      <c r="L6255" s="12" t="s">
        <v>96</v>
      </c>
      <c r="M6255">
        <v>5.01</v>
      </c>
      <c r="N6255" s="12" t="s">
        <v>135</v>
      </c>
      <c r="O6255" s="12" t="s">
        <v>136</v>
      </c>
      <c r="P6255" s="12" t="s">
        <v>137</v>
      </c>
      <c r="Q6255" s="13">
        <v>46010</v>
      </c>
      <c r="R6255" s="13">
        <v>46047</v>
      </c>
      <c r="S6255">
        <v>2025</v>
      </c>
      <c r="T6255" s="12" t="s">
        <v>7261</v>
      </c>
      <c r="U6255">
        <v>135</v>
      </c>
      <c r="V6255">
        <v>724.06979999999999</v>
      </c>
      <c r="W6255">
        <v>2332.54</v>
      </c>
      <c r="X6255">
        <v>0</v>
      </c>
      <c r="Y6255">
        <v>0</v>
      </c>
      <c r="Z6255">
        <v>97749.42</v>
      </c>
      <c r="AA6255">
        <v>100081.96</v>
      </c>
      <c r="AB6255" s="12" t="s">
        <v>5490</v>
      </c>
      <c r="AC6255">
        <v>724.06979999999999</v>
      </c>
      <c r="AD6255">
        <v>1</v>
      </c>
      <c r="AE6255">
        <v>1</v>
      </c>
      <c r="AF6255">
        <v>0</v>
      </c>
      <c r="AG6255">
        <v>97749.42</v>
      </c>
      <c r="AK6255">
        <v>0</v>
      </c>
      <c r="AL6255">
        <v>0</v>
      </c>
      <c r="AO6255">
        <v>0</v>
      </c>
      <c r="AP6255" s="13"/>
    </row>
    <row r="6256" spans="1:42" x14ac:dyDescent="0.35">
      <c r="A6256" s="12" t="s">
        <v>7376</v>
      </c>
      <c r="B6256" s="12" t="s">
        <v>621</v>
      </c>
      <c r="C6256" s="12" t="s">
        <v>622</v>
      </c>
      <c r="D6256" s="12" t="s">
        <v>103</v>
      </c>
      <c r="E6256" s="12" t="s">
        <v>65</v>
      </c>
      <c r="F6256">
        <v>1</v>
      </c>
      <c r="G6256">
        <v>2</v>
      </c>
      <c r="H6256">
        <v>1</v>
      </c>
      <c r="I6256" s="12" t="s">
        <v>486</v>
      </c>
      <c r="J6256" s="12" t="s">
        <v>487</v>
      </c>
      <c r="K6256" s="12" t="s">
        <v>125</v>
      </c>
      <c r="L6256" s="12" t="s">
        <v>69</v>
      </c>
      <c r="M6256">
        <v>36.86</v>
      </c>
      <c r="N6256" s="12" t="s">
        <v>145</v>
      </c>
      <c r="O6256" s="12" t="s">
        <v>146</v>
      </c>
      <c r="P6256" s="12" t="s">
        <v>109</v>
      </c>
      <c r="Q6256" s="13">
        <v>46010</v>
      </c>
      <c r="R6256" s="13">
        <v>46031</v>
      </c>
      <c r="S6256">
        <v>2025</v>
      </c>
      <c r="T6256" s="12" t="s">
        <v>7261</v>
      </c>
      <c r="U6256">
        <v>11</v>
      </c>
      <c r="V6256">
        <v>200.7516</v>
      </c>
      <c r="W6256">
        <v>43.32</v>
      </c>
      <c r="X6256">
        <v>0</v>
      </c>
      <c r="Y6256">
        <v>0</v>
      </c>
      <c r="Z6256">
        <v>2208.27</v>
      </c>
      <c r="AA6256">
        <v>2251.59</v>
      </c>
      <c r="AB6256" s="12" t="s">
        <v>5123</v>
      </c>
      <c r="AC6256">
        <v>200.7516</v>
      </c>
      <c r="AD6256">
        <v>1</v>
      </c>
      <c r="AE6256">
        <v>1</v>
      </c>
      <c r="AF6256">
        <v>0</v>
      </c>
      <c r="AG6256">
        <v>2208.27</v>
      </c>
      <c r="AK6256">
        <v>0</v>
      </c>
      <c r="AL6256">
        <v>0</v>
      </c>
      <c r="AO6256">
        <v>0</v>
      </c>
      <c r="AP6256" s="13"/>
    </row>
    <row r="6257" spans="1:42" x14ac:dyDescent="0.35">
      <c r="A6257" s="12" t="s">
        <v>7377</v>
      </c>
      <c r="B6257" s="12" t="s">
        <v>952</v>
      </c>
      <c r="C6257" s="12" t="s">
        <v>953</v>
      </c>
      <c r="D6257" s="12" t="s">
        <v>64</v>
      </c>
      <c r="E6257" s="12" t="s">
        <v>142</v>
      </c>
      <c r="F6257">
        <v>1</v>
      </c>
      <c r="G6257">
        <v>8</v>
      </c>
      <c r="H6257">
        <v>1</v>
      </c>
      <c r="I6257" s="12" t="s">
        <v>131</v>
      </c>
      <c r="J6257" s="12" t="s">
        <v>132</v>
      </c>
      <c r="K6257" s="12" t="s">
        <v>133</v>
      </c>
      <c r="L6257" s="12" t="s">
        <v>134</v>
      </c>
      <c r="M6257">
        <v>1.51</v>
      </c>
      <c r="N6257" s="12" t="s">
        <v>70</v>
      </c>
      <c r="O6257" s="12" t="s">
        <v>71</v>
      </c>
      <c r="P6257" s="12" t="s">
        <v>72</v>
      </c>
      <c r="Q6257" s="13">
        <v>46010</v>
      </c>
      <c r="R6257" s="13">
        <v>46055</v>
      </c>
      <c r="S6257">
        <v>2025</v>
      </c>
      <c r="T6257" s="12" t="s">
        <v>7261</v>
      </c>
      <c r="U6257">
        <v>614</v>
      </c>
      <c r="V6257">
        <v>31.074300000000001</v>
      </c>
      <c r="W6257">
        <v>169.53</v>
      </c>
      <c r="X6257">
        <v>0</v>
      </c>
      <c r="Y6257">
        <v>0</v>
      </c>
      <c r="Z6257">
        <v>19079.62</v>
      </c>
      <c r="AA6257">
        <v>19249.150000000001</v>
      </c>
      <c r="AB6257" s="12" t="s">
        <v>6001</v>
      </c>
      <c r="AC6257">
        <v>31.074300000000001</v>
      </c>
      <c r="AD6257">
        <v>1</v>
      </c>
      <c r="AE6257">
        <v>1</v>
      </c>
      <c r="AF6257">
        <v>0</v>
      </c>
      <c r="AG6257">
        <v>19079.62</v>
      </c>
      <c r="AK6257">
        <v>0</v>
      </c>
      <c r="AL6257">
        <v>0</v>
      </c>
      <c r="AO6257">
        <v>0</v>
      </c>
      <c r="AP6257" s="13"/>
    </row>
    <row r="6258" spans="1:42" x14ac:dyDescent="0.35">
      <c r="A6258" s="12" t="s">
        <v>7378</v>
      </c>
      <c r="B6258" s="12" t="s">
        <v>221</v>
      </c>
      <c r="C6258" s="12" t="s">
        <v>222</v>
      </c>
      <c r="D6258" s="12" t="s">
        <v>114</v>
      </c>
      <c r="E6258" s="12" t="s">
        <v>142</v>
      </c>
      <c r="F6258">
        <v>3</v>
      </c>
      <c r="G6258">
        <v>11</v>
      </c>
      <c r="H6258">
        <v>0</v>
      </c>
      <c r="I6258" s="12" t="s">
        <v>105</v>
      </c>
      <c r="J6258" s="12" t="s">
        <v>106</v>
      </c>
      <c r="K6258" s="12" t="s">
        <v>81</v>
      </c>
      <c r="L6258" s="12" t="s">
        <v>96</v>
      </c>
      <c r="M6258">
        <v>5.01</v>
      </c>
      <c r="N6258" s="12" t="s">
        <v>70</v>
      </c>
      <c r="O6258" s="12" t="s">
        <v>71</v>
      </c>
      <c r="P6258" s="12" t="s">
        <v>72</v>
      </c>
      <c r="Q6258" s="13">
        <v>46010</v>
      </c>
      <c r="R6258" s="13">
        <v>46061</v>
      </c>
      <c r="S6258">
        <v>2025</v>
      </c>
      <c r="T6258" s="12" t="s">
        <v>7261</v>
      </c>
      <c r="U6258">
        <v>135</v>
      </c>
      <c r="V6258">
        <v>257.7527</v>
      </c>
      <c r="W6258">
        <v>682.37</v>
      </c>
      <c r="X6258">
        <v>0</v>
      </c>
      <c r="Y6258">
        <v>0</v>
      </c>
      <c r="Z6258">
        <v>34796.61</v>
      </c>
      <c r="AA6258">
        <v>35478.980000000003</v>
      </c>
      <c r="AB6258" s="12" t="s">
        <v>201</v>
      </c>
      <c r="AD6258">
        <v>0</v>
      </c>
      <c r="AE6258">
        <v>0</v>
      </c>
      <c r="AK6258">
        <v>0</v>
      </c>
      <c r="AL6258">
        <v>0</v>
      </c>
      <c r="AO6258">
        <v>0</v>
      </c>
      <c r="AP6258" s="13"/>
    </row>
    <row r="6259" spans="1:42" x14ac:dyDescent="0.35">
      <c r="A6259" s="12" t="s">
        <v>7379</v>
      </c>
      <c r="B6259" s="12" t="s">
        <v>902</v>
      </c>
      <c r="C6259" s="12" t="s">
        <v>903</v>
      </c>
      <c r="D6259" s="12" t="s">
        <v>122</v>
      </c>
      <c r="E6259" s="12" t="s">
        <v>142</v>
      </c>
      <c r="F6259">
        <v>1</v>
      </c>
      <c r="G6259">
        <v>6</v>
      </c>
      <c r="H6259">
        <v>1</v>
      </c>
      <c r="I6259" s="12" t="s">
        <v>105</v>
      </c>
      <c r="J6259" s="12" t="s">
        <v>106</v>
      </c>
      <c r="K6259" s="12" t="s">
        <v>81</v>
      </c>
      <c r="L6259" s="12" t="s">
        <v>96</v>
      </c>
      <c r="M6259">
        <v>5.01</v>
      </c>
      <c r="N6259" s="12" t="s">
        <v>97</v>
      </c>
      <c r="O6259" s="12" t="s">
        <v>98</v>
      </c>
      <c r="P6259" s="12" t="s">
        <v>72</v>
      </c>
      <c r="Q6259" s="13">
        <v>46010</v>
      </c>
      <c r="R6259" s="13">
        <v>46047</v>
      </c>
      <c r="S6259">
        <v>2025</v>
      </c>
      <c r="T6259" s="12" t="s">
        <v>7261</v>
      </c>
      <c r="U6259">
        <v>431</v>
      </c>
      <c r="V6259">
        <v>41.5184</v>
      </c>
      <c r="W6259">
        <v>332.26</v>
      </c>
      <c r="X6259">
        <v>0</v>
      </c>
      <c r="Y6259">
        <v>0</v>
      </c>
      <c r="Z6259">
        <v>17894.43</v>
      </c>
      <c r="AA6259">
        <v>18226.689999999999</v>
      </c>
      <c r="AB6259" s="12" t="s">
        <v>5824</v>
      </c>
      <c r="AC6259">
        <v>41.5184</v>
      </c>
      <c r="AD6259">
        <v>1</v>
      </c>
      <c r="AE6259">
        <v>1</v>
      </c>
      <c r="AF6259">
        <v>0</v>
      </c>
      <c r="AG6259">
        <v>17894.43</v>
      </c>
      <c r="AK6259">
        <v>0</v>
      </c>
      <c r="AL6259">
        <v>0</v>
      </c>
      <c r="AO6259">
        <v>0</v>
      </c>
      <c r="AP6259" s="13"/>
    </row>
    <row r="6260" spans="1:42" x14ac:dyDescent="0.35">
      <c r="A6260" s="12" t="s">
        <v>7380</v>
      </c>
      <c r="B6260" s="12" t="s">
        <v>602</v>
      </c>
      <c r="C6260" s="12" t="s">
        <v>603</v>
      </c>
      <c r="D6260" s="12" t="s">
        <v>114</v>
      </c>
      <c r="E6260" s="12" t="s">
        <v>142</v>
      </c>
      <c r="F6260">
        <v>2</v>
      </c>
      <c r="G6260">
        <v>10</v>
      </c>
      <c r="H6260">
        <v>0</v>
      </c>
      <c r="I6260" s="12" t="s">
        <v>263</v>
      </c>
      <c r="J6260" s="12" t="s">
        <v>264</v>
      </c>
      <c r="K6260" s="12" t="s">
        <v>125</v>
      </c>
      <c r="L6260" s="12" t="s">
        <v>82</v>
      </c>
      <c r="M6260">
        <v>10.210000000000001</v>
      </c>
      <c r="N6260" s="12" t="s">
        <v>97</v>
      </c>
      <c r="O6260" s="12" t="s">
        <v>98</v>
      </c>
      <c r="P6260" s="12" t="s">
        <v>72</v>
      </c>
      <c r="Q6260" s="13">
        <v>46010</v>
      </c>
      <c r="R6260" s="13">
        <v>46054</v>
      </c>
      <c r="S6260">
        <v>2025</v>
      </c>
      <c r="T6260" s="12" t="s">
        <v>7261</v>
      </c>
      <c r="U6260">
        <v>84</v>
      </c>
      <c r="V6260">
        <v>207.9658</v>
      </c>
      <c r="W6260">
        <v>247.75</v>
      </c>
      <c r="X6260">
        <v>0</v>
      </c>
      <c r="Y6260">
        <v>0</v>
      </c>
      <c r="Z6260">
        <v>17469.13</v>
      </c>
      <c r="AA6260">
        <v>17716.88</v>
      </c>
      <c r="AB6260" s="12" t="s">
        <v>5373</v>
      </c>
      <c r="AC6260">
        <v>207.9658</v>
      </c>
      <c r="AD6260">
        <v>1</v>
      </c>
      <c r="AE6260">
        <v>1</v>
      </c>
      <c r="AF6260">
        <v>0</v>
      </c>
      <c r="AG6260">
        <v>17469.13</v>
      </c>
      <c r="AK6260">
        <v>0</v>
      </c>
      <c r="AL6260">
        <v>0</v>
      </c>
      <c r="AO6260">
        <v>0</v>
      </c>
      <c r="AP6260" s="13"/>
    </row>
    <row r="6261" spans="1:42" x14ac:dyDescent="0.35">
      <c r="A6261" s="12" t="s">
        <v>7381</v>
      </c>
      <c r="B6261" s="12" t="s">
        <v>437</v>
      </c>
      <c r="C6261" s="12" t="s">
        <v>438</v>
      </c>
      <c r="D6261" s="12" t="s">
        <v>269</v>
      </c>
      <c r="E6261" s="12" t="s">
        <v>65</v>
      </c>
      <c r="F6261">
        <v>2</v>
      </c>
      <c r="G6261">
        <v>4</v>
      </c>
      <c r="H6261">
        <v>0</v>
      </c>
      <c r="I6261" s="12" t="s">
        <v>183</v>
      </c>
      <c r="J6261" s="12" t="s">
        <v>184</v>
      </c>
      <c r="K6261" s="12" t="s">
        <v>133</v>
      </c>
      <c r="L6261" s="12" t="s">
        <v>82</v>
      </c>
      <c r="M6261">
        <v>8.6199999999999992</v>
      </c>
      <c r="N6261" s="12" t="s">
        <v>159</v>
      </c>
      <c r="O6261" s="12" t="s">
        <v>160</v>
      </c>
      <c r="P6261" s="12" t="s">
        <v>137</v>
      </c>
      <c r="Q6261" s="13">
        <v>46013</v>
      </c>
      <c r="R6261" s="13">
        <v>46037</v>
      </c>
      <c r="S6261">
        <v>2025</v>
      </c>
      <c r="T6261" s="12" t="s">
        <v>7261</v>
      </c>
      <c r="U6261">
        <v>38</v>
      </c>
      <c r="V6261">
        <v>391.95699999999999</v>
      </c>
      <c r="W6261">
        <v>215.55</v>
      </c>
      <c r="X6261">
        <v>0</v>
      </c>
      <c r="Y6261">
        <v>0</v>
      </c>
      <c r="Z6261">
        <v>14894.37</v>
      </c>
      <c r="AA6261">
        <v>15109.92</v>
      </c>
      <c r="AB6261" s="12" t="s">
        <v>5354</v>
      </c>
      <c r="AC6261">
        <v>391.95699999999999</v>
      </c>
      <c r="AD6261">
        <v>1</v>
      </c>
      <c r="AE6261">
        <v>1</v>
      </c>
      <c r="AF6261">
        <v>0</v>
      </c>
      <c r="AG6261">
        <v>14894.37</v>
      </c>
      <c r="AK6261">
        <v>0</v>
      </c>
      <c r="AL6261">
        <v>0</v>
      </c>
      <c r="AO6261">
        <v>0</v>
      </c>
      <c r="AP6261" s="13"/>
    </row>
    <row r="6262" spans="1:42" x14ac:dyDescent="0.35">
      <c r="A6262" s="12" t="s">
        <v>7382</v>
      </c>
      <c r="B6262" s="12" t="s">
        <v>609</v>
      </c>
      <c r="C6262" s="12" t="s">
        <v>610</v>
      </c>
      <c r="D6262" s="12" t="s">
        <v>64</v>
      </c>
      <c r="E6262" s="12" t="s">
        <v>104</v>
      </c>
      <c r="F6262">
        <v>1</v>
      </c>
      <c r="G6262">
        <v>0</v>
      </c>
      <c r="H6262">
        <v>1</v>
      </c>
      <c r="I6262" s="12" t="s">
        <v>227</v>
      </c>
      <c r="J6262" s="12" t="s">
        <v>228</v>
      </c>
      <c r="K6262" s="12" t="s">
        <v>89</v>
      </c>
      <c r="L6262" s="12" t="s">
        <v>96</v>
      </c>
      <c r="M6262">
        <v>9.15</v>
      </c>
      <c r="N6262" s="12" t="s">
        <v>97</v>
      </c>
      <c r="O6262" s="12" t="s">
        <v>98</v>
      </c>
      <c r="P6262" s="12" t="s">
        <v>72</v>
      </c>
      <c r="Q6262" s="13">
        <v>46013</v>
      </c>
      <c r="R6262" s="13">
        <v>46042</v>
      </c>
      <c r="S6262">
        <v>2025</v>
      </c>
      <c r="T6262" s="12" t="s">
        <v>7261</v>
      </c>
      <c r="U6262">
        <v>977</v>
      </c>
      <c r="V6262">
        <v>20.683900000000001</v>
      </c>
      <c r="W6262">
        <v>501.81</v>
      </c>
      <c r="X6262">
        <v>0</v>
      </c>
      <c r="Y6262">
        <v>0</v>
      </c>
      <c r="Z6262">
        <v>20208.169999999998</v>
      </c>
      <c r="AA6262">
        <v>20709.98</v>
      </c>
      <c r="AB6262" s="12" t="s">
        <v>5573</v>
      </c>
      <c r="AC6262">
        <v>20.683900000000001</v>
      </c>
      <c r="AD6262">
        <v>1</v>
      </c>
      <c r="AE6262">
        <v>1</v>
      </c>
      <c r="AF6262">
        <v>0</v>
      </c>
      <c r="AG6262">
        <v>20208.169999999998</v>
      </c>
      <c r="AK6262">
        <v>0</v>
      </c>
      <c r="AL6262">
        <v>0</v>
      </c>
      <c r="AO6262">
        <v>0</v>
      </c>
      <c r="AP6262" s="13"/>
    </row>
    <row r="6263" spans="1:42" x14ac:dyDescent="0.35">
      <c r="A6263" s="12" t="s">
        <v>7383</v>
      </c>
      <c r="B6263" s="12" t="s">
        <v>120</v>
      </c>
      <c r="C6263" s="12" t="s">
        <v>121</v>
      </c>
      <c r="D6263" s="12" t="s">
        <v>122</v>
      </c>
      <c r="E6263" s="12" t="s">
        <v>65</v>
      </c>
      <c r="F6263">
        <v>3</v>
      </c>
      <c r="G6263">
        <v>4</v>
      </c>
      <c r="H6263">
        <v>0</v>
      </c>
      <c r="I6263" s="12" t="s">
        <v>123</v>
      </c>
      <c r="J6263" s="12" t="s">
        <v>124</v>
      </c>
      <c r="K6263" s="12" t="s">
        <v>125</v>
      </c>
      <c r="L6263" s="12" t="s">
        <v>82</v>
      </c>
      <c r="M6263">
        <v>6.75</v>
      </c>
      <c r="N6263" s="12" t="s">
        <v>70</v>
      </c>
      <c r="O6263" s="12" t="s">
        <v>71</v>
      </c>
      <c r="P6263" s="12" t="s">
        <v>72</v>
      </c>
      <c r="Q6263" s="13">
        <v>46013</v>
      </c>
      <c r="R6263" s="13">
        <v>46037</v>
      </c>
      <c r="S6263">
        <v>2025</v>
      </c>
      <c r="T6263" s="12" t="s">
        <v>7261</v>
      </c>
      <c r="U6263">
        <v>576</v>
      </c>
      <c r="V6263">
        <v>50.976100000000002</v>
      </c>
      <c r="W6263">
        <v>230.22</v>
      </c>
      <c r="X6263">
        <v>0</v>
      </c>
      <c r="Y6263">
        <v>0</v>
      </c>
      <c r="Z6263">
        <v>29362.23</v>
      </c>
      <c r="AA6263">
        <v>29592.45</v>
      </c>
      <c r="AB6263" s="12" t="s">
        <v>5139</v>
      </c>
      <c r="AC6263">
        <v>50.976100000000002</v>
      </c>
      <c r="AD6263">
        <v>1</v>
      </c>
      <c r="AE6263">
        <v>1</v>
      </c>
      <c r="AF6263">
        <v>0</v>
      </c>
      <c r="AG6263">
        <v>29362.23</v>
      </c>
      <c r="AK6263">
        <v>0</v>
      </c>
      <c r="AL6263">
        <v>0</v>
      </c>
      <c r="AO6263">
        <v>0</v>
      </c>
      <c r="AP6263" s="13"/>
    </row>
    <row r="6264" spans="1:42" x14ac:dyDescent="0.35">
      <c r="A6264" s="12" t="s">
        <v>7384</v>
      </c>
      <c r="B6264" s="12" t="s">
        <v>451</v>
      </c>
      <c r="C6264" s="12" t="s">
        <v>452</v>
      </c>
      <c r="D6264" s="12" t="s">
        <v>175</v>
      </c>
      <c r="E6264" s="12" t="s">
        <v>104</v>
      </c>
      <c r="F6264">
        <v>3</v>
      </c>
      <c r="G6264">
        <v>1</v>
      </c>
      <c r="H6264">
        <v>0</v>
      </c>
      <c r="I6264" s="12" t="s">
        <v>176</v>
      </c>
      <c r="J6264" s="12" t="s">
        <v>177</v>
      </c>
      <c r="K6264" s="12" t="s">
        <v>125</v>
      </c>
      <c r="L6264" s="12" t="s">
        <v>134</v>
      </c>
      <c r="M6264">
        <v>1.75</v>
      </c>
      <c r="N6264" s="12" t="s">
        <v>145</v>
      </c>
      <c r="O6264" s="12" t="s">
        <v>146</v>
      </c>
      <c r="P6264" s="12" t="s">
        <v>109</v>
      </c>
      <c r="Q6264" s="13">
        <v>46013</v>
      </c>
      <c r="R6264" s="13">
        <v>46028</v>
      </c>
      <c r="S6264">
        <v>2025</v>
      </c>
      <c r="T6264" s="12" t="s">
        <v>7261</v>
      </c>
      <c r="U6264">
        <v>34</v>
      </c>
      <c r="V6264">
        <v>254.13499999999999</v>
      </c>
      <c r="W6264">
        <v>57.05</v>
      </c>
      <c r="X6264">
        <v>0</v>
      </c>
      <c r="Y6264">
        <v>0</v>
      </c>
      <c r="Z6264">
        <v>8640.59</v>
      </c>
      <c r="AA6264">
        <v>8697.64</v>
      </c>
      <c r="AB6264" s="12" t="s">
        <v>5406</v>
      </c>
      <c r="AC6264">
        <v>254.13499999999999</v>
      </c>
      <c r="AD6264">
        <v>1</v>
      </c>
      <c r="AE6264">
        <v>1</v>
      </c>
      <c r="AF6264">
        <v>0</v>
      </c>
      <c r="AG6264">
        <v>8640.59</v>
      </c>
      <c r="AK6264">
        <v>0</v>
      </c>
      <c r="AL6264">
        <v>0</v>
      </c>
      <c r="AO6264">
        <v>0</v>
      </c>
      <c r="AP6264" s="13"/>
    </row>
    <row r="6265" spans="1:42" x14ac:dyDescent="0.35">
      <c r="A6265" s="12" t="s">
        <v>7385</v>
      </c>
      <c r="B6265" s="12" t="s">
        <v>477</v>
      </c>
      <c r="C6265" s="12" t="s">
        <v>478</v>
      </c>
      <c r="D6265" s="12" t="s">
        <v>130</v>
      </c>
      <c r="E6265" s="12" t="s">
        <v>104</v>
      </c>
      <c r="F6265">
        <v>3</v>
      </c>
      <c r="G6265">
        <v>1</v>
      </c>
      <c r="H6265">
        <v>0</v>
      </c>
      <c r="I6265" s="12" t="s">
        <v>380</v>
      </c>
      <c r="J6265" s="12" t="s">
        <v>381</v>
      </c>
      <c r="K6265" s="12" t="s">
        <v>89</v>
      </c>
      <c r="L6265" s="12" t="s">
        <v>96</v>
      </c>
      <c r="M6265">
        <v>10.210000000000001</v>
      </c>
      <c r="N6265" s="12" t="s">
        <v>159</v>
      </c>
      <c r="O6265" s="12" t="s">
        <v>160</v>
      </c>
      <c r="P6265" s="12" t="s">
        <v>137</v>
      </c>
      <c r="Q6265" s="13">
        <v>46013</v>
      </c>
      <c r="R6265" s="13">
        <v>46030</v>
      </c>
      <c r="S6265">
        <v>2025</v>
      </c>
      <c r="T6265" s="12" t="s">
        <v>7261</v>
      </c>
      <c r="U6265">
        <v>53</v>
      </c>
      <c r="V6265">
        <v>656.68050000000005</v>
      </c>
      <c r="W6265">
        <v>782.92</v>
      </c>
      <c r="X6265">
        <v>0</v>
      </c>
      <c r="Y6265">
        <v>0</v>
      </c>
      <c r="Z6265">
        <v>34804.07</v>
      </c>
      <c r="AA6265">
        <v>35586.99</v>
      </c>
      <c r="AB6265" s="12" t="s">
        <v>5872</v>
      </c>
      <c r="AC6265">
        <v>656.68050000000005</v>
      </c>
      <c r="AD6265">
        <v>1</v>
      </c>
      <c r="AE6265">
        <v>1</v>
      </c>
      <c r="AF6265">
        <v>0</v>
      </c>
      <c r="AG6265">
        <v>34804.07</v>
      </c>
      <c r="AK6265">
        <v>0</v>
      </c>
      <c r="AL6265">
        <v>0</v>
      </c>
      <c r="AO6265">
        <v>0</v>
      </c>
      <c r="AP6265" s="13"/>
    </row>
    <row r="6266" spans="1:42" x14ac:dyDescent="0.35">
      <c r="A6266" s="12" t="s">
        <v>7386</v>
      </c>
      <c r="B6266" s="12" t="s">
        <v>569</v>
      </c>
      <c r="C6266" s="12" t="s">
        <v>570</v>
      </c>
      <c r="D6266" s="12" t="s">
        <v>114</v>
      </c>
      <c r="E6266" s="12" t="s">
        <v>142</v>
      </c>
      <c r="F6266">
        <v>1</v>
      </c>
      <c r="G6266">
        <v>6</v>
      </c>
      <c r="H6266">
        <v>1</v>
      </c>
      <c r="I6266" s="12" t="s">
        <v>123</v>
      </c>
      <c r="J6266" s="12" t="s">
        <v>124</v>
      </c>
      <c r="K6266" s="12" t="s">
        <v>125</v>
      </c>
      <c r="L6266" s="12" t="s">
        <v>82</v>
      </c>
      <c r="M6266">
        <v>6.75</v>
      </c>
      <c r="N6266" s="12" t="s">
        <v>70</v>
      </c>
      <c r="O6266" s="12" t="s">
        <v>71</v>
      </c>
      <c r="P6266" s="12" t="s">
        <v>72</v>
      </c>
      <c r="Q6266" s="13">
        <v>46013</v>
      </c>
      <c r="R6266" s="13">
        <v>46065</v>
      </c>
      <c r="S6266">
        <v>2025</v>
      </c>
      <c r="T6266" s="12" t="s">
        <v>7261</v>
      </c>
      <c r="U6266">
        <v>147</v>
      </c>
      <c r="V6266">
        <v>348.21159999999998</v>
      </c>
      <c r="W6266">
        <v>574.97</v>
      </c>
      <c r="X6266">
        <v>1650.52</v>
      </c>
      <c r="Y6266">
        <v>1</v>
      </c>
      <c r="Z6266">
        <v>51187.11</v>
      </c>
      <c r="AA6266">
        <v>53412.6</v>
      </c>
      <c r="AB6266" s="12" t="s">
        <v>5817</v>
      </c>
      <c r="AC6266">
        <v>348.21159999999998</v>
      </c>
      <c r="AD6266">
        <v>1</v>
      </c>
      <c r="AE6266">
        <v>1</v>
      </c>
      <c r="AF6266">
        <v>0</v>
      </c>
      <c r="AG6266">
        <v>51187.11</v>
      </c>
      <c r="AK6266">
        <v>0</v>
      </c>
      <c r="AL6266">
        <v>0</v>
      </c>
      <c r="AO6266">
        <v>0</v>
      </c>
      <c r="AP6266" s="13"/>
    </row>
    <row r="6267" spans="1:42" x14ac:dyDescent="0.35">
      <c r="A6267" s="12" t="s">
        <v>7387</v>
      </c>
      <c r="B6267" s="12" t="s">
        <v>1026</v>
      </c>
      <c r="C6267" s="12" t="s">
        <v>1027</v>
      </c>
      <c r="D6267" s="12" t="s">
        <v>122</v>
      </c>
      <c r="E6267" s="12" t="s">
        <v>104</v>
      </c>
      <c r="F6267">
        <v>3</v>
      </c>
      <c r="G6267">
        <v>1</v>
      </c>
      <c r="H6267">
        <v>0</v>
      </c>
      <c r="I6267" s="12" t="s">
        <v>183</v>
      </c>
      <c r="J6267" s="12" t="s">
        <v>184</v>
      </c>
      <c r="K6267" s="12" t="s">
        <v>133</v>
      </c>
      <c r="L6267" s="12" t="s">
        <v>82</v>
      </c>
      <c r="M6267">
        <v>8.6199999999999992</v>
      </c>
      <c r="N6267" s="12" t="s">
        <v>97</v>
      </c>
      <c r="O6267" s="12" t="s">
        <v>98</v>
      </c>
      <c r="P6267" s="12" t="s">
        <v>72</v>
      </c>
      <c r="Q6267" s="13">
        <v>46013</v>
      </c>
      <c r="R6267" s="13">
        <v>46034</v>
      </c>
      <c r="S6267">
        <v>2025</v>
      </c>
      <c r="T6267" s="12" t="s">
        <v>7261</v>
      </c>
      <c r="U6267">
        <v>1172</v>
      </c>
      <c r="V6267">
        <v>39.447400000000002</v>
      </c>
      <c r="W6267">
        <v>1037.9100000000001</v>
      </c>
      <c r="X6267">
        <v>0</v>
      </c>
      <c r="Y6267">
        <v>0</v>
      </c>
      <c r="Z6267">
        <v>46232.35</v>
      </c>
      <c r="AA6267">
        <v>47270.26</v>
      </c>
      <c r="AB6267" s="12" t="s">
        <v>201</v>
      </c>
      <c r="AD6267">
        <v>0</v>
      </c>
      <c r="AE6267">
        <v>0</v>
      </c>
      <c r="AK6267">
        <v>0</v>
      </c>
      <c r="AL6267">
        <v>0</v>
      </c>
      <c r="AO6267">
        <v>0</v>
      </c>
      <c r="AP6267" s="13"/>
    </row>
    <row r="6268" spans="1:42" x14ac:dyDescent="0.35">
      <c r="A6268" s="12" t="s">
        <v>7388</v>
      </c>
      <c r="B6268" s="12" t="s">
        <v>1179</v>
      </c>
      <c r="C6268" s="12" t="s">
        <v>1180</v>
      </c>
      <c r="D6268" s="12" t="s">
        <v>122</v>
      </c>
      <c r="E6268" s="12" t="s">
        <v>142</v>
      </c>
      <c r="F6268">
        <v>1</v>
      </c>
      <c r="G6268">
        <v>8</v>
      </c>
      <c r="H6268">
        <v>1</v>
      </c>
      <c r="I6268" s="12" t="s">
        <v>143</v>
      </c>
      <c r="J6268" s="12" t="s">
        <v>144</v>
      </c>
      <c r="K6268" s="12" t="s">
        <v>133</v>
      </c>
      <c r="L6268" s="12" t="s">
        <v>96</v>
      </c>
      <c r="M6268">
        <v>5.43</v>
      </c>
      <c r="N6268" s="12" t="s">
        <v>70</v>
      </c>
      <c r="O6268" s="12" t="s">
        <v>71</v>
      </c>
      <c r="P6268" s="12" t="s">
        <v>72</v>
      </c>
      <c r="Q6268" s="13">
        <v>46013</v>
      </c>
      <c r="R6268" s="13">
        <v>46062</v>
      </c>
      <c r="S6268">
        <v>2025</v>
      </c>
      <c r="T6268" s="12" t="s">
        <v>7261</v>
      </c>
      <c r="U6268">
        <v>1674</v>
      </c>
      <c r="V6268">
        <v>52.209899999999998</v>
      </c>
      <c r="W6268">
        <v>1374.06</v>
      </c>
      <c r="X6268">
        <v>3187.04</v>
      </c>
      <c r="Y6268">
        <v>1</v>
      </c>
      <c r="Z6268">
        <v>87399.37</v>
      </c>
      <c r="AA6268">
        <v>91960.47</v>
      </c>
      <c r="AB6268" s="12" t="s">
        <v>5533</v>
      </c>
      <c r="AC6268">
        <v>52.209899999999998</v>
      </c>
      <c r="AD6268">
        <v>1</v>
      </c>
      <c r="AE6268">
        <v>1</v>
      </c>
      <c r="AF6268">
        <v>0</v>
      </c>
      <c r="AG6268">
        <v>87399.37</v>
      </c>
      <c r="AK6268">
        <v>0</v>
      </c>
      <c r="AL6268">
        <v>0</v>
      </c>
      <c r="AO6268">
        <v>0</v>
      </c>
      <c r="AP6268" s="13"/>
    </row>
    <row r="6269" spans="1:42" x14ac:dyDescent="0.35">
      <c r="A6269" s="12" t="s">
        <v>7389</v>
      </c>
      <c r="B6269" s="12" t="s">
        <v>532</v>
      </c>
      <c r="C6269" s="12" t="s">
        <v>533</v>
      </c>
      <c r="D6269" s="12" t="s">
        <v>114</v>
      </c>
      <c r="E6269" s="12" t="s">
        <v>65</v>
      </c>
      <c r="F6269">
        <v>2</v>
      </c>
      <c r="G6269">
        <v>3</v>
      </c>
      <c r="H6269">
        <v>0</v>
      </c>
      <c r="I6269" s="12" t="s">
        <v>115</v>
      </c>
      <c r="J6269" s="12" t="s">
        <v>116</v>
      </c>
      <c r="K6269" s="12" t="s">
        <v>117</v>
      </c>
      <c r="L6269" s="12" t="s">
        <v>82</v>
      </c>
      <c r="M6269">
        <v>17.170000000000002</v>
      </c>
      <c r="N6269" s="12" t="s">
        <v>97</v>
      </c>
      <c r="O6269" s="12" t="s">
        <v>98</v>
      </c>
      <c r="P6269" s="12" t="s">
        <v>72</v>
      </c>
      <c r="Q6269" s="13">
        <v>46013</v>
      </c>
      <c r="R6269" s="13">
        <v>46043</v>
      </c>
      <c r="S6269">
        <v>2025</v>
      </c>
      <c r="T6269" s="12" t="s">
        <v>7261</v>
      </c>
      <c r="U6269">
        <v>86</v>
      </c>
      <c r="V6269">
        <v>234.55500000000001</v>
      </c>
      <c r="W6269">
        <v>450.35</v>
      </c>
      <c r="X6269">
        <v>0</v>
      </c>
      <c r="Y6269">
        <v>0</v>
      </c>
      <c r="Z6269">
        <v>20171.73</v>
      </c>
      <c r="AA6269">
        <v>20622.080000000002</v>
      </c>
      <c r="AB6269" s="12" t="s">
        <v>5930</v>
      </c>
      <c r="AC6269">
        <v>234.55500000000001</v>
      </c>
      <c r="AD6269">
        <v>1</v>
      </c>
      <c r="AE6269">
        <v>1</v>
      </c>
      <c r="AF6269">
        <v>0</v>
      </c>
      <c r="AG6269">
        <v>20171.73</v>
      </c>
      <c r="AK6269">
        <v>0</v>
      </c>
      <c r="AL6269">
        <v>0</v>
      </c>
      <c r="AO6269">
        <v>0</v>
      </c>
      <c r="AP6269" s="13"/>
    </row>
    <row r="6270" spans="1:42" x14ac:dyDescent="0.35">
      <c r="A6270" s="12" t="s">
        <v>7390</v>
      </c>
      <c r="B6270" s="12" t="s">
        <v>941</v>
      </c>
      <c r="C6270" s="12" t="s">
        <v>942</v>
      </c>
      <c r="D6270" s="12" t="s">
        <v>130</v>
      </c>
      <c r="E6270" s="12" t="s">
        <v>104</v>
      </c>
      <c r="F6270">
        <v>2</v>
      </c>
      <c r="G6270">
        <v>0</v>
      </c>
      <c r="H6270">
        <v>0</v>
      </c>
      <c r="I6270" s="12" t="s">
        <v>131</v>
      </c>
      <c r="J6270" s="12" t="s">
        <v>132</v>
      </c>
      <c r="K6270" s="12" t="s">
        <v>133</v>
      </c>
      <c r="L6270" s="12" t="s">
        <v>134</v>
      </c>
      <c r="M6270">
        <v>1.51</v>
      </c>
      <c r="N6270" s="12" t="s">
        <v>135</v>
      </c>
      <c r="O6270" s="12" t="s">
        <v>136</v>
      </c>
      <c r="P6270" s="12" t="s">
        <v>137</v>
      </c>
      <c r="Q6270" s="13">
        <v>46013</v>
      </c>
      <c r="R6270" s="13">
        <v>46029</v>
      </c>
      <c r="S6270">
        <v>2025</v>
      </c>
      <c r="T6270" s="12" t="s">
        <v>7261</v>
      </c>
      <c r="U6270">
        <v>43</v>
      </c>
      <c r="V6270">
        <v>711.96100000000001</v>
      </c>
      <c r="W6270">
        <v>460.25</v>
      </c>
      <c r="X6270">
        <v>0</v>
      </c>
      <c r="Y6270">
        <v>0</v>
      </c>
      <c r="Z6270">
        <v>30614.32</v>
      </c>
      <c r="AA6270">
        <v>31074.57</v>
      </c>
      <c r="AB6270" s="12" t="s">
        <v>5945</v>
      </c>
      <c r="AC6270">
        <v>711.96100000000001</v>
      </c>
      <c r="AD6270">
        <v>1</v>
      </c>
      <c r="AE6270">
        <v>1</v>
      </c>
      <c r="AF6270">
        <v>0</v>
      </c>
      <c r="AG6270">
        <v>30614.32</v>
      </c>
      <c r="AK6270">
        <v>0</v>
      </c>
      <c r="AL6270">
        <v>0</v>
      </c>
      <c r="AO6270">
        <v>0</v>
      </c>
      <c r="AP6270" s="13"/>
    </row>
    <row r="6271" spans="1:42" x14ac:dyDescent="0.35">
      <c r="A6271" s="12" t="s">
        <v>7391</v>
      </c>
      <c r="B6271" s="12" t="s">
        <v>640</v>
      </c>
      <c r="C6271" s="12" t="s">
        <v>641</v>
      </c>
      <c r="D6271" s="12" t="s">
        <v>130</v>
      </c>
      <c r="E6271" s="12" t="s">
        <v>104</v>
      </c>
      <c r="F6271">
        <v>3</v>
      </c>
      <c r="G6271">
        <v>0</v>
      </c>
      <c r="H6271">
        <v>0</v>
      </c>
      <c r="I6271" s="12" t="s">
        <v>123</v>
      </c>
      <c r="J6271" s="12" t="s">
        <v>124</v>
      </c>
      <c r="K6271" s="12" t="s">
        <v>125</v>
      </c>
      <c r="L6271" s="12" t="s">
        <v>82</v>
      </c>
      <c r="M6271">
        <v>6.75</v>
      </c>
      <c r="N6271" s="12" t="s">
        <v>159</v>
      </c>
      <c r="O6271" s="12" t="s">
        <v>160</v>
      </c>
      <c r="P6271" s="12" t="s">
        <v>137</v>
      </c>
      <c r="Q6271" s="13">
        <v>46013</v>
      </c>
      <c r="R6271" s="13">
        <v>46030</v>
      </c>
      <c r="S6271">
        <v>2025</v>
      </c>
      <c r="T6271" s="12" t="s">
        <v>7261</v>
      </c>
      <c r="U6271">
        <v>55</v>
      </c>
      <c r="V6271">
        <v>875.69860000000006</v>
      </c>
      <c r="W6271">
        <v>372.39</v>
      </c>
      <c r="X6271">
        <v>0</v>
      </c>
      <c r="Y6271">
        <v>0</v>
      </c>
      <c r="Z6271">
        <v>48163.42</v>
      </c>
      <c r="AA6271">
        <v>48535.81</v>
      </c>
      <c r="AB6271" s="12" t="s">
        <v>6157</v>
      </c>
      <c r="AC6271">
        <v>844.25710000000004</v>
      </c>
      <c r="AD6271">
        <v>1</v>
      </c>
      <c r="AE6271">
        <v>1</v>
      </c>
      <c r="AF6271">
        <v>1729.28</v>
      </c>
      <c r="AG6271">
        <v>46434.14</v>
      </c>
      <c r="AK6271">
        <v>0</v>
      </c>
      <c r="AL6271">
        <v>0</v>
      </c>
      <c r="AO6271">
        <v>0</v>
      </c>
      <c r="AP6271" s="13"/>
    </row>
    <row r="6272" spans="1:42" x14ac:dyDescent="0.35">
      <c r="A6272" s="12" t="s">
        <v>7392</v>
      </c>
      <c r="B6272" s="12" t="s">
        <v>221</v>
      </c>
      <c r="C6272" s="12" t="s">
        <v>222</v>
      </c>
      <c r="D6272" s="12" t="s">
        <v>114</v>
      </c>
      <c r="E6272" s="12" t="s">
        <v>142</v>
      </c>
      <c r="F6272">
        <v>3</v>
      </c>
      <c r="G6272">
        <v>11</v>
      </c>
      <c r="H6272">
        <v>0</v>
      </c>
      <c r="I6272" s="12" t="s">
        <v>151</v>
      </c>
      <c r="J6272" s="12" t="s">
        <v>152</v>
      </c>
      <c r="K6272" s="12" t="s">
        <v>125</v>
      </c>
      <c r="L6272" s="12" t="s">
        <v>69</v>
      </c>
      <c r="M6272">
        <v>36.479999999999997</v>
      </c>
      <c r="N6272" s="12" t="s">
        <v>97</v>
      </c>
      <c r="O6272" s="12" t="s">
        <v>98</v>
      </c>
      <c r="P6272" s="12" t="s">
        <v>72</v>
      </c>
      <c r="Q6272" s="13">
        <v>46013</v>
      </c>
      <c r="R6272" s="13">
        <v>46064</v>
      </c>
      <c r="S6272">
        <v>2025</v>
      </c>
      <c r="T6272" s="12" t="s">
        <v>7261</v>
      </c>
      <c r="U6272">
        <v>138</v>
      </c>
      <c r="V6272">
        <v>232.94659999999999</v>
      </c>
      <c r="W6272">
        <v>207.6</v>
      </c>
      <c r="X6272">
        <v>0</v>
      </c>
      <c r="Y6272">
        <v>0</v>
      </c>
      <c r="Z6272">
        <v>32146.63</v>
      </c>
      <c r="AA6272">
        <v>32354.23</v>
      </c>
      <c r="AB6272" s="12" t="s">
        <v>201</v>
      </c>
      <c r="AD6272">
        <v>0</v>
      </c>
      <c r="AE6272">
        <v>0</v>
      </c>
      <c r="AK6272">
        <v>0</v>
      </c>
      <c r="AL6272">
        <v>0</v>
      </c>
      <c r="AO6272">
        <v>0</v>
      </c>
      <c r="AP6272" s="13"/>
    </row>
    <row r="6273" spans="1:42" x14ac:dyDescent="0.35">
      <c r="A6273" s="12" t="s">
        <v>7393</v>
      </c>
      <c r="B6273" s="12" t="s">
        <v>972</v>
      </c>
      <c r="C6273" s="12" t="s">
        <v>973</v>
      </c>
      <c r="D6273" s="12" t="s">
        <v>130</v>
      </c>
      <c r="E6273" s="12" t="s">
        <v>142</v>
      </c>
      <c r="F6273">
        <v>2</v>
      </c>
      <c r="G6273">
        <v>9</v>
      </c>
      <c r="H6273">
        <v>0</v>
      </c>
      <c r="I6273" s="12" t="s">
        <v>676</v>
      </c>
      <c r="J6273" s="12" t="s">
        <v>677</v>
      </c>
      <c r="K6273" s="12" t="s">
        <v>68</v>
      </c>
      <c r="L6273" s="12" t="s">
        <v>96</v>
      </c>
      <c r="M6273">
        <v>3.57</v>
      </c>
      <c r="N6273" s="12" t="s">
        <v>159</v>
      </c>
      <c r="O6273" s="12" t="s">
        <v>160</v>
      </c>
      <c r="P6273" s="12" t="s">
        <v>137</v>
      </c>
      <c r="Q6273" s="13">
        <v>46013</v>
      </c>
      <c r="R6273" s="13">
        <v>46054</v>
      </c>
      <c r="S6273">
        <v>2025</v>
      </c>
      <c r="T6273" s="12" t="s">
        <v>7261</v>
      </c>
      <c r="U6273">
        <v>58</v>
      </c>
      <c r="V6273">
        <v>790.92830000000004</v>
      </c>
      <c r="W6273">
        <v>796.64</v>
      </c>
      <c r="X6273">
        <v>0</v>
      </c>
      <c r="Y6273">
        <v>0</v>
      </c>
      <c r="Z6273">
        <v>45873.84</v>
      </c>
      <c r="AA6273">
        <v>46670.48</v>
      </c>
      <c r="AB6273" s="12" t="s">
        <v>6005</v>
      </c>
      <c r="AC6273">
        <v>839.82719999999995</v>
      </c>
      <c r="AD6273">
        <v>1</v>
      </c>
      <c r="AE6273">
        <v>1</v>
      </c>
      <c r="AF6273">
        <v>-2836.14</v>
      </c>
      <c r="AG6273">
        <v>48709.98</v>
      </c>
      <c r="AK6273">
        <v>0</v>
      </c>
      <c r="AL6273">
        <v>0</v>
      </c>
      <c r="AO6273">
        <v>0</v>
      </c>
      <c r="AP6273" s="13"/>
    </row>
    <row r="6274" spans="1:42" x14ac:dyDescent="0.35">
      <c r="A6274" s="12" t="s">
        <v>7394</v>
      </c>
      <c r="B6274" s="12" t="s">
        <v>163</v>
      </c>
      <c r="C6274" s="12" t="s">
        <v>164</v>
      </c>
      <c r="D6274" s="12" t="s">
        <v>64</v>
      </c>
      <c r="E6274" s="12" t="s">
        <v>104</v>
      </c>
      <c r="F6274">
        <v>2</v>
      </c>
      <c r="G6274">
        <v>0</v>
      </c>
      <c r="H6274">
        <v>0</v>
      </c>
      <c r="I6274" s="12" t="s">
        <v>183</v>
      </c>
      <c r="J6274" s="12" t="s">
        <v>184</v>
      </c>
      <c r="K6274" s="12" t="s">
        <v>133</v>
      </c>
      <c r="L6274" s="12" t="s">
        <v>82</v>
      </c>
      <c r="M6274">
        <v>8.6199999999999992</v>
      </c>
      <c r="N6274" s="12" t="s">
        <v>97</v>
      </c>
      <c r="O6274" s="12" t="s">
        <v>98</v>
      </c>
      <c r="P6274" s="12" t="s">
        <v>72</v>
      </c>
      <c r="Q6274" s="13">
        <v>46014</v>
      </c>
      <c r="R6274" s="13">
        <v>46030</v>
      </c>
      <c r="S6274">
        <v>2025</v>
      </c>
      <c r="T6274" s="12" t="s">
        <v>7261</v>
      </c>
      <c r="U6274">
        <v>311</v>
      </c>
      <c r="V6274">
        <v>12.0688</v>
      </c>
      <c r="W6274">
        <v>72.430000000000007</v>
      </c>
      <c r="X6274">
        <v>0</v>
      </c>
      <c r="Y6274">
        <v>0</v>
      </c>
      <c r="Z6274">
        <v>3753.4</v>
      </c>
      <c r="AA6274">
        <v>3825.83</v>
      </c>
      <c r="AB6274" s="12" t="s">
        <v>6100</v>
      </c>
      <c r="AC6274">
        <v>12.0688</v>
      </c>
      <c r="AD6274">
        <v>1</v>
      </c>
      <c r="AE6274">
        <v>1</v>
      </c>
      <c r="AF6274">
        <v>0</v>
      </c>
      <c r="AG6274">
        <v>3753.4</v>
      </c>
      <c r="AK6274">
        <v>0</v>
      </c>
      <c r="AL6274">
        <v>0</v>
      </c>
      <c r="AO6274">
        <v>0</v>
      </c>
      <c r="AP6274" s="13"/>
    </row>
    <row r="6275" spans="1:42" x14ac:dyDescent="0.35">
      <c r="A6275" s="12" t="s">
        <v>7395</v>
      </c>
      <c r="B6275" s="12" t="s">
        <v>331</v>
      </c>
      <c r="C6275" s="12" t="s">
        <v>332</v>
      </c>
      <c r="D6275" s="12" t="s">
        <v>122</v>
      </c>
      <c r="E6275" s="12" t="s">
        <v>142</v>
      </c>
      <c r="F6275">
        <v>3</v>
      </c>
      <c r="G6275">
        <v>11</v>
      </c>
      <c r="H6275">
        <v>0</v>
      </c>
      <c r="I6275" s="12" t="s">
        <v>263</v>
      </c>
      <c r="J6275" s="12" t="s">
        <v>264</v>
      </c>
      <c r="K6275" s="12" t="s">
        <v>125</v>
      </c>
      <c r="L6275" s="12" t="s">
        <v>82</v>
      </c>
      <c r="M6275">
        <v>10.210000000000001</v>
      </c>
      <c r="N6275" s="12" t="s">
        <v>70</v>
      </c>
      <c r="O6275" s="12" t="s">
        <v>71</v>
      </c>
      <c r="P6275" s="12" t="s">
        <v>72</v>
      </c>
      <c r="Q6275" s="13">
        <v>46014</v>
      </c>
      <c r="R6275" s="13">
        <v>46063</v>
      </c>
      <c r="S6275">
        <v>2025</v>
      </c>
      <c r="T6275" s="12" t="s">
        <v>7261</v>
      </c>
      <c r="U6275">
        <v>1612</v>
      </c>
      <c r="V6275">
        <v>23.006</v>
      </c>
      <c r="W6275">
        <v>833.69</v>
      </c>
      <c r="X6275">
        <v>0</v>
      </c>
      <c r="Y6275">
        <v>0</v>
      </c>
      <c r="Z6275">
        <v>37085.67</v>
      </c>
      <c r="AA6275">
        <v>37919.360000000001</v>
      </c>
      <c r="AB6275" s="12" t="s">
        <v>5234</v>
      </c>
      <c r="AC6275">
        <v>23.006</v>
      </c>
      <c r="AD6275">
        <v>1</v>
      </c>
      <c r="AE6275">
        <v>1</v>
      </c>
      <c r="AF6275">
        <v>0</v>
      </c>
      <c r="AG6275">
        <v>37085.67</v>
      </c>
      <c r="AK6275">
        <v>0</v>
      </c>
      <c r="AL6275">
        <v>0</v>
      </c>
      <c r="AO6275">
        <v>0</v>
      </c>
      <c r="AP6275" s="13"/>
    </row>
    <row r="6276" spans="1:42" x14ac:dyDescent="0.35">
      <c r="A6276" s="12" t="s">
        <v>7396</v>
      </c>
      <c r="B6276" s="12" t="s">
        <v>755</v>
      </c>
      <c r="C6276" s="12" t="s">
        <v>756</v>
      </c>
      <c r="D6276" s="12" t="s">
        <v>78</v>
      </c>
      <c r="E6276" s="12" t="s">
        <v>65</v>
      </c>
      <c r="F6276">
        <v>2</v>
      </c>
      <c r="G6276">
        <v>2</v>
      </c>
      <c r="H6276">
        <v>0</v>
      </c>
      <c r="I6276" s="12" t="s">
        <v>359</v>
      </c>
      <c r="J6276" s="12" t="s">
        <v>360</v>
      </c>
      <c r="K6276" s="12" t="s">
        <v>133</v>
      </c>
      <c r="L6276" s="12" t="s">
        <v>82</v>
      </c>
      <c r="M6276">
        <v>12.65</v>
      </c>
      <c r="N6276" s="12" t="s">
        <v>70</v>
      </c>
      <c r="O6276" s="12" t="s">
        <v>71</v>
      </c>
      <c r="P6276" s="12" t="s">
        <v>72</v>
      </c>
      <c r="Q6276" s="13">
        <v>46014</v>
      </c>
      <c r="R6276" s="13">
        <v>46038</v>
      </c>
      <c r="S6276">
        <v>2025</v>
      </c>
      <c r="T6276" s="12" t="s">
        <v>7261</v>
      </c>
      <c r="U6276">
        <v>86</v>
      </c>
      <c r="V6276">
        <v>40.900399999999998</v>
      </c>
      <c r="W6276">
        <v>63.99</v>
      </c>
      <c r="X6276">
        <v>0</v>
      </c>
      <c r="Y6276">
        <v>0</v>
      </c>
      <c r="Z6276">
        <v>3517.43</v>
      </c>
      <c r="AA6276">
        <v>3581.42</v>
      </c>
      <c r="AB6276" s="12" t="s">
        <v>6215</v>
      </c>
      <c r="AC6276">
        <v>40.900399999999998</v>
      </c>
      <c r="AD6276">
        <v>1</v>
      </c>
      <c r="AE6276">
        <v>1</v>
      </c>
      <c r="AF6276">
        <v>0</v>
      </c>
      <c r="AG6276">
        <v>3517.43</v>
      </c>
      <c r="AK6276">
        <v>0</v>
      </c>
      <c r="AL6276">
        <v>0</v>
      </c>
      <c r="AO6276">
        <v>0</v>
      </c>
      <c r="AP6276" s="13"/>
    </row>
    <row r="6277" spans="1:42" x14ac:dyDescent="0.35">
      <c r="A6277" s="12" t="s">
        <v>7397</v>
      </c>
      <c r="B6277" s="12" t="s">
        <v>458</v>
      </c>
      <c r="C6277" s="12" t="s">
        <v>459</v>
      </c>
      <c r="D6277" s="12" t="s">
        <v>64</v>
      </c>
      <c r="E6277" s="12" t="s">
        <v>104</v>
      </c>
      <c r="F6277">
        <v>2</v>
      </c>
      <c r="G6277">
        <v>0</v>
      </c>
      <c r="H6277">
        <v>0</v>
      </c>
      <c r="I6277" s="12" t="s">
        <v>199</v>
      </c>
      <c r="J6277" s="12" t="s">
        <v>200</v>
      </c>
      <c r="K6277" s="12" t="s">
        <v>68</v>
      </c>
      <c r="L6277" s="12" t="s">
        <v>96</v>
      </c>
      <c r="M6277">
        <v>9.4700000000000006</v>
      </c>
      <c r="N6277" s="12" t="s">
        <v>70</v>
      </c>
      <c r="O6277" s="12" t="s">
        <v>71</v>
      </c>
      <c r="P6277" s="12" t="s">
        <v>72</v>
      </c>
      <c r="Q6277" s="13">
        <v>46014</v>
      </c>
      <c r="R6277" s="13">
        <v>46029</v>
      </c>
      <c r="S6277">
        <v>2025</v>
      </c>
      <c r="T6277" s="12" t="s">
        <v>7261</v>
      </c>
      <c r="U6277">
        <v>254</v>
      </c>
      <c r="V6277">
        <v>21.352799999999998</v>
      </c>
      <c r="W6277">
        <v>45.99</v>
      </c>
      <c r="X6277">
        <v>0</v>
      </c>
      <c r="Y6277">
        <v>0</v>
      </c>
      <c r="Z6277">
        <v>5423.61</v>
      </c>
      <c r="AA6277">
        <v>5469.6</v>
      </c>
      <c r="AB6277" s="12" t="s">
        <v>5527</v>
      </c>
      <c r="AC6277">
        <v>21.352799999999998</v>
      </c>
      <c r="AD6277">
        <v>1</v>
      </c>
      <c r="AE6277">
        <v>1</v>
      </c>
      <c r="AF6277">
        <v>0</v>
      </c>
      <c r="AG6277">
        <v>5423.61</v>
      </c>
      <c r="AK6277">
        <v>0</v>
      </c>
      <c r="AL6277">
        <v>0</v>
      </c>
      <c r="AO6277">
        <v>0</v>
      </c>
      <c r="AP6277" s="13"/>
    </row>
    <row r="6278" spans="1:42" x14ac:dyDescent="0.35">
      <c r="A6278" s="12" t="s">
        <v>7398</v>
      </c>
      <c r="B6278" s="12" t="s">
        <v>941</v>
      </c>
      <c r="C6278" s="12" t="s">
        <v>942</v>
      </c>
      <c r="D6278" s="12" t="s">
        <v>130</v>
      </c>
      <c r="E6278" s="12" t="s">
        <v>104</v>
      </c>
      <c r="F6278">
        <v>2</v>
      </c>
      <c r="G6278">
        <v>0</v>
      </c>
      <c r="H6278">
        <v>0</v>
      </c>
      <c r="I6278" s="12" t="s">
        <v>131</v>
      </c>
      <c r="J6278" s="12" t="s">
        <v>132</v>
      </c>
      <c r="K6278" s="12" t="s">
        <v>133</v>
      </c>
      <c r="L6278" s="12" t="s">
        <v>134</v>
      </c>
      <c r="M6278">
        <v>1.51</v>
      </c>
      <c r="N6278" s="12" t="s">
        <v>135</v>
      </c>
      <c r="O6278" s="12" t="s">
        <v>136</v>
      </c>
      <c r="P6278" s="12" t="s">
        <v>137</v>
      </c>
      <c r="Q6278" s="13">
        <v>46014</v>
      </c>
      <c r="R6278" s="13">
        <v>46033</v>
      </c>
      <c r="S6278">
        <v>2025</v>
      </c>
      <c r="T6278" s="12" t="s">
        <v>7261</v>
      </c>
      <c r="U6278">
        <v>68</v>
      </c>
      <c r="V6278">
        <v>669.9923</v>
      </c>
      <c r="W6278">
        <v>484.72</v>
      </c>
      <c r="X6278">
        <v>0</v>
      </c>
      <c r="Y6278">
        <v>0</v>
      </c>
      <c r="Z6278">
        <v>45559.48</v>
      </c>
      <c r="AA6278">
        <v>46044.2</v>
      </c>
      <c r="AB6278" s="12" t="s">
        <v>5945</v>
      </c>
      <c r="AC6278">
        <v>711.96100000000001</v>
      </c>
      <c r="AD6278">
        <v>1</v>
      </c>
      <c r="AE6278">
        <v>1</v>
      </c>
      <c r="AF6278">
        <v>-2853.87</v>
      </c>
      <c r="AG6278">
        <v>48413.35</v>
      </c>
      <c r="AK6278">
        <v>0</v>
      </c>
      <c r="AL6278">
        <v>0</v>
      </c>
      <c r="AO6278">
        <v>0</v>
      </c>
      <c r="AP6278" s="13"/>
    </row>
    <row r="6279" spans="1:42" x14ac:dyDescent="0.35">
      <c r="A6279" s="12" t="s">
        <v>7399</v>
      </c>
      <c r="B6279" s="12" t="s">
        <v>221</v>
      </c>
      <c r="C6279" s="12" t="s">
        <v>222</v>
      </c>
      <c r="D6279" s="12" t="s">
        <v>114</v>
      </c>
      <c r="E6279" s="12" t="s">
        <v>142</v>
      </c>
      <c r="F6279">
        <v>3</v>
      </c>
      <c r="G6279">
        <v>11</v>
      </c>
      <c r="H6279">
        <v>0</v>
      </c>
      <c r="I6279" s="12" t="s">
        <v>223</v>
      </c>
      <c r="J6279" s="12" t="s">
        <v>224</v>
      </c>
      <c r="K6279" s="12" t="s">
        <v>81</v>
      </c>
      <c r="L6279" s="12" t="s">
        <v>134</v>
      </c>
      <c r="M6279">
        <v>2.4900000000000002</v>
      </c>
      <c r="N6279" s="12" t="s">
        <v>97</v>
      </c>
      <c r="O6279" s="12" t="s">
        <v>98</v>
      </c>
      <c r="P6279" s="12" t="s">
        <v>72</v>
      </c>
      <c r="Q6279" s="13">
        <v>46014</v>
      </c>
      <c r="R6279" s="13">
        <v>46056</v>
      </c>
      <c r="S6279">
        <v>2025</v>
      </c>
      <c r="T6279" s="12" t="s">
        <v>7261</v>
      </c>
      <c r="U6279">
        <v>65</v>
      </c>
      <c r="V6279">
        <v>242.33240000000001</v>
      </c>
      <c r="W6279">
        <v>353.32</v>
      </c>
      <c r="X6279">
        <v>0</v>
      </c>
      <c r="Y6279">
        <v>0</v>
      </c>
      <c r="Z6279">
        <v>15751.61</v>
      </c>
      <c r="AA6279">
        <v>16104.93</v>
      </c>
      <c r="AB6279" s="12" t="s">
        <v>201</v>
      </c>
      <c r="AD6279">
        <v>0</v>
      </c>
      <c r="AE6279">
        <v>0</v>
      </c>
      <c r="AK6279">
        <v>0</v>
      </c>
      <c r="AL6279">
        <v>0</v>
      </c>
      <c r="AO6279">
        <v>0</v>
      </c>
      <c r="AP6279" s="13"/>
    </row>
    <row r="6280" spans="1:42" x14ac:dyDescent="0.35">
      <c r="A6280" s="12" t="s">
        <v>7400</v>
      </c>
      <c r="B6280" s="12" t="s">
        <v>802</v>
      </c>
      <c r="C6280" s="12" t="s">
        <v>803</v>
      </c>
      <c r="D6280" s="12" t="s">
        <v>114</v>
      </c>
      <c r="E6280" s="12" t="s">
        <v>65</v>
      </c>
      <c r="F6280">
        <v>3</v>
      </c>
      <c r="G6280">
        <v>5</v>
      </c>
      <c r="H6280">
        <v>0</v>
      </c>
      <c r="I6280" s="12" t="s">
        <v>804</v>
      </c>
      <c r="J6280" s="12" t="s">
        <v>342</v>
      </c>
      <c r="K6280" s="12" t="s">
        <v>117</v>
      </c>
      <c r="L6280" s="12" t="s">
        <v>69</v>
      </c>
      <c r="M6280">
        <v>30.07</v>
      </c>
      <c r="N6280" s="12" t="s">
        <v>70</v>
      </c>
      <c r="O6280" s="12" t="s">
        <v>71</v>
      </c>
      <c r="P6280" s="12" t="s">
        <v>72</v>
      </c>
      <c r="Q6280" s="13">
        <v>46015</v>
      </c>
      <c r="R6280" s="13">
        <v>46051</v>
      </c>
      <c r="S6280">
        <v>2025</v>
      </c>
      <c r="T6280" s="12" t="s">
        <v>7261</v>
      </c>
      <c r="U6280">
        <v>133</v>
      </c>
      <c r="V6280">
        <v>357.93630000000002</v>
      </c>
      <c r="W6280">
        <v>497.34</v>
      </c>
      <c r="X6280">
        <v>0</v>
      </c>
      <c r="Y6280">
        <v>0</v>
      </c>
      <c r="Z6280">
        <v>47605.53</v>
      </c>
      <c r="AA6280">
        <v>48102.87</v>
      </c>
      <c r="AB6280" s="12" t="s">
        <v>201</v>
      </c>
      <c r="AD6280">
        <v>0</v>
      </c>
      <c r="AE6280">
        <v>0</v>
      </c>
      <c r="AK6280">
        <v>0</v>
      </c>
      <c r="AL6280">
        <v>0</v>
      </c>
      <c r="AO6280">
        <v>0</v>
      </c>
      <c r="AP6280" s="13"/>
    </row>
    <row r="6281" spans="1:42" x14ac:dyDescent="0.35">
      <c r="A6281" s="12" t="s">
        <v>7401</v>
      </c>
      <c r="B6281" s="12" t="s">
        <v>843</v>
      </c>
      <c r="C6281" s="12" t="s">
        <v>844</v>
      </c>
      <c r="D6281" s="12" t="s">
        <v>175</v>
      </c>
      <c r="E6281" s="12" t="s">
        <v>65</v>
      </c>
      <c r="F6281">
        <v>3</v>
      </c>
      <c r="G6281">
        <v>5</v>
      </c>
      <c r="H6281">
        <v>0</v>
      </c>
      <c r="I6281" s="12" t="s">
        <v>359</v>
      </c>
      <c r="J6281" s="12" t="s">
        <v>360</v>
      </c>
      <c r="K6281" s="12" t="s">
        <v>133</v>
      </c>
      <c r="L6281" s="12" t="s">
        <v>82</v>
      </c>
      <c r="M6281">
        <v>12.65</v>
      </c>
      <c r="N6281" s="12" t="s">
        <v>145</v>
      </c>
      <c r="O6281" s="12" t="s">
        <v>146</v>
      </c>
      <c r="P6281" s="12" t="s">
        <v>109</v>
      </c>
      <c r="Q6281" s="13">
        <v>46015</v>
      </c>
      <c r="R6281" s="13">
        <v>46041</v>
      </c>
      <c r="S6281">
        <v>2025</v>
      </c>
      <c r="T6281" s="12" t="s">
        <v>7261</v>
      </c>
      <c r="U6281">
        <v>55</v>
      </c>
      <c r="V6281">
        <v>237.4212</v>
      </c>
      <c r="W6281">
        <v>197.5</v>
      </c>
      <c r="X6281">
        <v>0</v>
      </c>
      <c r="Y6281">
        <v>0</v>
      </c>
      <c r="Z6281">
        <v>13058.17</v>
      </c>
      <c r="AA6281">
        <v>13255.67</v>
      </c>
      <c r="AB6281" s="12" t="s">
        <v>6075</v>
      </c>
      <c r="AC6281">
        <v>237.4212</v>
      </c>
      <c r="AD6281">
        <v>1</v>
      </c>
      <c r="AE6281">
        <v>1</v>
      </c>
      <c r="AF6281">
        <v>0</v>
      </c>
      <c r="AG6281">
        <v>13058.17</v>
      </c>
      <c r="AK6281">
        <v>0</v>
      </c>
      <c r="AL6281">
        <v>0</v>
      </c>
      <c r="AO6281">
        <v>0</v>
      </c>
      <c r="AP6281" s="13"/>
    </row>
    <row r="6282" spans="1:42" x14ac:dyDescent="0.35">
      <c r="A6282" s="12" t="s">
        <v>7402</v>
      </c>
      <c r="B6282" s="12" t="s">
        <v>477</v>
      </c>
      <c r="C6282" s="12" t="s">
        <v>478</v>
      </c>
      <c r="D6282" s="12" t="s">
        <v>130</v>
      </c>
      <c r="E6282" s="12" t="s">
        <v>104</v>
      </c>
      <c r="F6282">
        <v>3</v>
      </c>
      <c r="G6282">
        <v>1</v>
      </c>
      <c r="H6282">
        <v>0</v>
      </c>
      <c r="I6282" s="12" t="s">
        <v>380</v>
      </c>
      <c r="J6282" s="12" t="s">
        <v>381</v>
      </c>
      <c r="K6282" s="12" t="s">
        <v>89</v>
      </c>
      <c r="L6282" s="12" t="s">
        <v>96</v>
      </c>
      <c r="M6282">
        <v>10.210000000000001</v>
      </c>
      <c r="N6282" s="12" t="s">
        <v>135</v>
      </c>
      <c r="O6282" s="12" t="s">
        <v>136</v>
      </c>
      <c r="P6282" s="12" t="s">
        <v>137</v>
      </c>
      <c r="Q6282" s="13">
        <v>46015</v>
      </c>
      <c r="R6282" s="13">
        <v>46032</v>
      </c>
      <c r="S6282">
        <v>2025</v>
      </c>
      <c r="T6282" s="12" t="s">
        <v>7261</v>
      </c>
      <c r="U6282">
        <v>56</v>
      </c>
      <c r="V6282">
        <v>656.68050000000005</v>
      </c>
      <c r="W6282">
        <v>339.53</v>
      </c>
      <c r="X6282">
        <v>0</v>
      </c>
      <c r="Y6282">
        <v>0</v>
      </c>
      <c r="Z6282">
        <v>36774.11</v>
      </c>
      <c r="AA6282">
        <v>37113.64</v>
      </c>
      <c r="AB6282" s="12" t="s">
        <v>5872</v>
      </c>
      <c r="AC6282">
        <v>656.68050000000005</v>
      </c>
      <c r="AD6282">
        <v>1</v>
      </c>
      <c r="AE6282">
        <v>1</v>
      </c>
      <c r="AF6282">
        <v>0</v>
      </c>
      <c r="AG6282">
        <v>36774.11</v>
      </c>
      <c r="AK6282">
        <v>0</v>
      </c>
      <c r="AL6282">
        <v>0</v>
      </c>
      <c r="AO6282">
        <v>0</v>
      </c>
      <c r="AP6282" s="13"/>
    </row>
    <row r="6283" spans="1:42" x14ac:dyDescent="0.35">
      <c r="A6283" s="12" t="s">
        <v>7403</v>
      </c>
      <c r="B6283" s="12" t="s">
        <v>978</v>
      </c>
      <c r="C6283" s="12" t="s">
        <v>979</v>
      </c>
      <c r="D6283" s="12" t="s">
        <v>122</v>
      </c>
      <c r="E6283" s="12" t="s">
        <v>65</v>
      </c>
      <c r="F6283">
        <v>1</v>
      </c>
      <c r="G6283">
        <v>2</v>
      </c>
      <c r="H6283">
        <v>1</v>
      </c>
      <c r="I6283" s="12" t="s">
        <v>310</v>
      </c>
      <c r="J6283" s="12" t="s">
        <v>311</v>
      </c>
      <c r="K6283" s="12" t="s">
        <v>81</v>
      </c>
      <c r="L6283" s="12" t="s">
        <v>69</v>
      </c>
      <c r="M6283">
        <v>28.3</v>
      </c>
      <c r="N6283" s="12" t="s">
        <v>70</v>
      </c>
      <c r="O6283" s="12" t="s">
        <v>71</v>
      </c>
      <c r="P6283" s="12" t="s">
        <v>72</v>
      </c>
      <c r="Q6283" s="13">
        <v>46015</v>
      </c>
      <c r="R6283" s="13">
        <v>46048</v>
      </c>
      <c r="S6283">
        <v>2025</v>
      </c>
      <c r="T6283" s="12" t="s">
        <v>7261</v>
      </c>
      <c r="U6283">
        <v>1487</v>
      </c>
      <c r="V6283">
        <v>43.4407</v>
      </c>
      <c r="W6283">
        <v>1398.6</v>
      </c>
      <c r="X6283">
        <v>2192.3200000000002</v>
      </c>
      <c r="Y6283">
        <v>1</v>
      </c>
      <c r="Z6283">
        <v>64596.32</v>
      </c>
      <c r="AA6283">
        <v>68187.240000000005</v>
      </c>
      <c r="AB6283" s="12" t="s">
        <v>6061</v>
      </c>
      <c r="AC6283">
        <v>43.4407</v>
      </c>
      <c r="AD6283">
        <v>1</v>
      </c>
      <c r="AE6283">
        <v>1</v>
      </c>
      <c r="AF6283">
        <v>0</v>
      </c>
      <c r="AG6283">
        <v>64596.32</v>
      </c>
      <c r="AK6283">
        <v>0</v>
      </c>
      <c r="AL6283">
        <v>0</v>
      </c>
      <c r="AO6283">
        <v>0</v>
      </c>
      <c r="AP6283" s="13"/>
    </row>
    <row r="6284" spans="1:42" x14ac:dyDescent="0.35">
      <c r="A6284" s="12" t="s">
        <v>7404</v>
      </c>
      <c r="B6284" s="12" t="s">
        <v>357</v>
      </c>
      <c r="C6284" s="12" t="s">
        <v>358</v>
      </c>
      <c r="D6284" s="12" t="s">
        <v>103</v>
      </c>
      <c r="E6284" s="12" t="s">
        <v>104</v>
      </c>
      <c r="F6284">
        <v>3</v>
      </c>
      <c r="G6284">
        <v>1</v>
      </c>
      <c r="H6284">
        <v>0</v>
      </c>
      <c r="I6284" s="12" t="s">
        <v>105</v>
      </c>
      <c r="J6284" s="12" t="s">
        <v>106</v>
      </c>
      <c r="K6284" s="12" t="s">
        <v>81</v>
      </c>
      <c r="L6284" s="12" t="s">
        <v>96</v>
      </c>
      <c r="M6284">
        <v>5.01</v>
      </c>
      <c r="N6284" s="12" t="s">
        <v>107</v>
      </c>
      <c r="O6284" s="12" t="s">
        <v>108</v>
      </c>
      <c r="P6284" s="12" t="s">
        <v>109</v>
      </c>
      <c r="Q6284" s="13">
        <v>46015</v>
      </c>
      <c r="R6284" s="13">
        <v>46038</v>
      </c>
      <c r="S6284">
        <v>2025</v>
      </c>
      <c r="T6284" s="12" t="s">
        <v>7261</v>
      </c>
      <c r="U6284">
        <v>95</v>
      </c>
      <c r="V6284">
        <v>106.63800000000001</v>
      </c>
      <c r="W6284">
        <v>135.88999999999999</v>
      </c>
      <c r="X6284">
        <v>0</v>
      </c>
      <c r="Y6284">
        <v>0</v>
      </c>
      <c r="Z6284">
        <v>10130.61</v>
      </c>
      <c r="AA6284">
        <v>10266.5</v>
      </c>
      <c r="AB6284" s="12" t="s">
        <v>5265</v>
      </c>
      <c r="AC6284">
        <v>106.63800000000001</v>
      </c>
      <c r="AD6284">
        <v>1</v>
      </c>
      <c r="AE6284">
        <v>1</v>
      </c>
      <c r="AF6284">
        <v>0</v>
      </c>
      <c r="AG6284">
        <v>10130.61</v>
      </c>
      <c r="AK6284">
        <v>0</v>
      </c>
      <c r="AL6284">
        <v>0</v>
      </c>
      <c r="AO6284">
        <v>0</v>
      </c>
      <c r="AP6284" s="13"/>
    </row>
    <row r="6285" spans="1:42" x14ac:dyDescent="0.35">
      <c r="A6285" s="12" t="s">
        <v>7405</v>
      </c>
      <c r="B6285" s="12" t="s">
        <v>1026</v>
      </c>
      <c r="C6285" s="12" t="s">
        <v>1027</v>
      </c>
      <c r="D6285" s="12" t="s">
        <v>122</v>
      </c>
      <c r="E6285" s="12" t="s">
        <v>104</v>
      </c>
      <c r="F6285">
        <v>3</v>
      </c>
      <c r="G6285">
        <v>1</v>
      </c>
      <c r="H6285">
        <v>0</v>
      </c>
      <c r="I6285" s="12" t="s">
        <v>604</v>
      </c>
      <c r="J6285" s="12" t="s">
        <v>605</v>
      </c>
      <c r="K6285" s="12" t="s">
        <v>68</v>
      </c>
      <c r="L6285" s="12" t="s">
        <v>82</v>
      </c>
      <c r="M6285">
        <v>7.24</v>
      </c>
      <c r="N6285" s="12" t="s">
        <v>97</v>
      </c>
      <c r="O6285" s="12" t="s">
        <v>98</v>
      </c>
      <c r="P6285" s="12" t="s">
        <v>72</v>
      </c>
      <c r="Q6285" s="13">
        <v>46015</v>
      </c>
      <c r="R6285" s="13">
        <v>46038</v>
      </c>
      <c r="S6285">
        <v>2025</v>
      </c>
      <c r="T6285" s="12" t="s">
        <v>7261</v>
      </c>
      <c r="U6285">
        <v>1315</v>
      </c>
      <c r="V6285">
        <v>40.553100000000001</v>
      </c>
      <c r="W6285">
        <v>765.03</v>
      </c>
      <c r="X6285">
        <v>0</v>
      </c>
      <c r="Y6285">
        <v>0</v>
      </c>
      <c r="Z6285">
        <v>53327.33</v>
      </c>
      <c r="AA6285">
        <v>54092.36</v>
      </c>
      <c r="AB6285" s="12" t="s">
        <v>6094</v>
      </c>
      <c r="AC6285">
        <v>40.553100000000001</v>
      </c>
      <c r="AD6285">
        <v>1</v>
      </c>
      <c r="AE6285">
        <v>1</v>
      </c>
      <c r="AF6285">
        <v>0</v>
      </c>
      <c r="AG6285">
        <v>53327.33</v>
      </c>
      <c r="AK6285">
        <v>0</v>
      </c>
      <c r="AL6285">
        <v>0</v>
      </c>
      <c r="AO6285">
        <v>0</v>
      </c>
      <c r="AP6285" s="13"/>
    </row>
    <row r="6286" spans="1:42" x14ac:dyDescent="0.35">
      <c r="A6286" s="12" t="s">
        <v>7406</v>
      </c>
      <c r="B6286" s="12" t="s">
        <v>1013</v>
      </c>
      <c r="C6286" s="12" t="s">
        <v>1014</v>
      </c>
      <c r="D6286" s="12" t="s">
        <v>78</v>
      </c>
      <c r="E6286" s="12" t="s">
        <v>65</v>
      </c>
      <c r="F6286">
        <v>2</v>
      </c>
      <c r="G6286">
        <v>3</v>
      </c>
      <c r="H6286">
        <v>0</v>
      </c>
      <c r="I6286" s="12" t="s">
        <v>123</v>
      </c>
      <c r="J6286" s="12" t="s">
        <v>124</v>
      </c>
      <c r="K6286" s="12" t="s">
        <v>125</v>
      </c>
      <c r="L6286" s="12" t="s">
        <v>82</v>
      </c>
      <c r="M6286">
        <v>6.75</v>
      </c>
      <c r="N6286" s="12" t="s">
        <v>70</v>
      </c>
      <c r="O6286" s="12" t="s">
        <v>71</v>
      </c>
      <c r="P6286" s="12" t="s">
        <v>72</v>
      </c>
      <c r="Q6286" s="13">
        <v>46015</v>
      </c>
      <c r="R6286" s="13">
        <v>46042</v>
      </c>
      <c r="S6286">
        <v>2025</v>
      </c>
      <c r="T6286" s="12" t="s">
        <v>7261</v>
      </c>
      <c r="U6286">
        <v>133</v>
      </c>
      <c r="V6286">
        <v>117.6116</v>
      </c>
      <c r="W6286">
        <v>292.27</v>
      </c>
      <c r="X6286">
        <v>0</v>
      </c>
      <c r="Y6286">
        <v>0</v>
      </c>
      <c r="Z6286">
        <v>15642.34</v>
      </c>
      <c r="AA6286">
        <v>15934.61</v>
      </c>
      <c r="AB6286" s="12" t="s">
        <v>6350</v>
      </c>
      <c r="AC6286">
        <v>124.94710000000001</v>
      </c>
      <c r="AD6286">
        <v>1</v>
      </c>
      <c r="AE6286">
        <v>1</v>
      </c>
      <c r="AF6286">
        <v>-975.62</v>
      </c>
      <c r="AG6286">
        <v>16617.96</v>
      </c>
      <c r="AK6286">
        <v>0</v>
      </c>
      <c r="AL6286">
        <v>0</v>
      </c>
      <c r="AO6286">
        <v>0</v>
      </c>
      <c r="AP6286" s="13"/>
    </row>
    <row r="6287" spans="1:42" x14ac:dyDescent="0.35">
      <c r="A6287" s="12" t="s">
        <v>7407</v>
      </c>
      <c r="B6287" s="12" t="s">
        <v>1013</v>
      </c>
      <c r="C6287" s="12" t="s">
        <v>1014</v>
      </c>
      <c r="D6287" s="12" t="s">
        <v>78</v>
      </c>
      <c r="E6287" s="12" t="s">
        <v>65</v>
      </c>
      <c r="F6287">
        <v>2</v>
      </c>
      <c r="G6287">
        <v>3</v>
      </c>
      <c r="H6287">
        <v>0</v>
      </c>
      <c r="I6287" s="12" t="s">
        <v>123</v>
      </c>
      <c r="J6287" s="12" t="s">
        <v>124</v>
      </c>
      <c r="K6287" s="12" t="s">
        <v>125</v>
      </c>
      <c r="L6287" s="12" t="s">
        <v>82</v>
      </c>
      <c r="M6287">
        <v>6.75</v>
      </c>
      <c r="N6287" s="12" t="s">
        <v>97</v>
      </c>
      <c r="O6287" s="12" t="s">
        <v>98</v>
      </c>
      <c r="P6287" s="12" t="s">
        <v>72</v>
      </c>
      <c r="Q6287" s="13">
        <v>46015</v>
      </c>
      <c r="R6287" s="13">
        <v>46038</v>
      </c>
      <c r="S6287">
        <v>2025</v>
      </c>
      <c r="T6287" s="12" t="s">
        <v>7261</v>
      </c>
      <c r="U6287">
        <v>75</v>
      </c>
      <c r="V6287">
        <v>124.94710000000001</v>
      </c>
      <c r="W6287">
        <v>158.29</v>
      </c>
      <c r="X6287">
        <v>0</v>
      </c>
      <c r="Y6287">
        <v>0</v>
      </c>
      <c r="Z6287">
        <v>9371.0300000000007</v>
      </c>
      <c r="AA6287">
        <v>9529.32</v>
      </c>
      <c r="AB6287" s="12" t="s">
        <v>6350</v>
      </c>
      <c r="AC6287">
        <v>124.94710000000001</v>
      </c>
      <c r="AD6287">
        <v>1</v>
      </c>
      <c r="AE6287">
        <v>1</v>
      </c>
      <c r="AF6287">
        <v>0</v>
      </c>
      <c r="AG6287">
        <v>9371.0300000000007</v>
      </c>
      <c r="AK6287">
        <v>0</v>
      </c>
      <c r="AL6287">
        <v>0</v>
      </c>
      <c r="AO6287">
        <v>0</v>
      </c>
      <c r="AP6287" s="13"/>
    </row>
    <row r="6288" spans="1:42" x14ac:dyDescent="0.35">
      <c r="A6288" s="12" t="s">
        <v>7408</v>
      </c>
      <c r="B6288" s="12" t="s">
        <v>1166</v>
      </c>
      <c r="C6288" s="12" t="s">
        <v>1167</v>
      </c>
      <c r="D6288" s="12" t="s">
        <v>175</v>
      </c>
      <c r="E6288" s="12" t="s">
        <v>65</v>
      </c>
      <c r="F6288">
        <v>3</v>
      </c>
      <c r="G6288">
        <v>5</v>
      </c>
      <c r="H6288">
        <v>0</v>
      </c>
      <c r="I6288" s="12" t="s">
        <v>105</v>
      </c>
      <c r="J6288" s="12" t="s">
        <v>106</v>
      </c>
      <c r="K6288" s="12" t="s">
        <v>81</v>
      </c>
      <c r="L6288" s="12" t="s">
        <v>96</v>
      </c>
      <c r="M6288">
        <v>5.01</v>
      </c>
      <c r="N6288" s="12" t="s">
        <v>145</v>
      </c>
      <c r="O6288" s="12" t="s">
        <v>146</v>
      </c>
      <c r="P6288" s="12" t="s">
        <v>109</v>
      </c>
      <c r="Q6288" s="13">
        <v>46015</v>
      </c>
      <c r="R6288" s="13">
        <v>46039</v>
      </c>
      <c r="S6288">
        <v>2025</v>
      </c>
      <c r="T6288" s="12" t="s">
        <v>7261</v>
      </c>
      <c r="U6288">
        <v>34</v>
      </c>
      <c r="V6288">
        <v>220.27170000000001</v>
      </c>
      <c r="W6288">
        <v>175.27</v>
      </c>
      <c r="X6288">
        <v>271.06</v>
      </c>
      <c r="Y6288">
        <v>1</v>
      </c>
      <c r="Z6288">
        <v>7489.24</v>
      </c>
      <c r="AA6288">
        <v>7935.57</v>
      </c>
      <c r="AB6288" s="12" t="s">
        <v>5837</v>
      </c>
      <c r="AC6288">
        <v>220.27170000000001</v>
      </c>
      <c r="AD6288">
        <v>1</v>
      </c>
      <c r="AE6288">
        <v>1</v>
      </c>
      <c r="AF6288">
        <v>0</v>
      </c>
      <c r="AG6288">
        <v>7489.24</v>
      </c>
      <c r="AK6288">
        <v>0</v>
      </c>
      <c r="AL6288">
        <v>0</v>
      </c>
      <c r="AO6288">
        <v>0</v>
      </c>
      <c r="AP6288" s="13"/>
    </row>
    <row r="6289" spans="1:42" x14ac:dyDescent="0.35">
      <c r="A6289" s="12" t="s">
        <v>7409</v>
      </c>
      <c r="B6289" s="12" t="s">
        <v>787</v>
      </c>
      <c r="C6289" s="12" t="s">
        <v>788</v>
      </c>
      <c r="D6289" s="12" t="s">
        <v>269</v>
      </c>
      <c r="E6289" s="12" t="s">
        <v>65</v>
      </c>
      <c r="F6289">
        <v>2</v>
      </c>
      <c r="G6289">
        <v>3</v>
      </c>
      <c r="H6289">
        <v>0</v>
      </c>
      <c r="I6289" s="12" t="s">
        <v>143</v>
      </c>
      <c r="J6289" s="12" t="s">
        <v>144</v>
      </c>
      <c r="K6289" s="12" t="s">
        <v>133</v>
      </c>
      <c r="L6289" s="12" t="s">
        <v>96</v>
      </c>
      <c r="M6289">
        <v>5.43</v>
      </c>
      <c r="N6289" s="12" t="s">
        <v>135</v>
      </c>
      <c r="O6289" s="12" t="s">
        <v>136</v>
      </c>
      <c r="P6289" s="12" t="s">
        <v>137</v>
      </c>
      <c r="Q6289" s="13">
        <v>46015</v>
      </c>
      <c r="R6289" s="13">
        <v>46041</v>
      </c>
      <c r="S6289">
        <v>2025</v>
      </c>
      <c r="T6289" s="12" t="s">
        <v>7261</v>
      </c>
      <c r="U6289">
        <v>55</v>
      </c>
      <c r="V6289">
        <v>331.79969999999997</v>
      </c>
      <c r="W6289">
        <v>424.33</v>
      </c>
      <c r="X6289">
        <v>0</v>
      </c>
      <c r="Y6289">
        <v>0</v>
      </c>
      <c r="Z6289">
        <v>18248.98</v>
      </c>
      <c r="AA6289">
        <v>18673.310000000001</v>
      </c>
      <c r="AB6289" s="12" t="s">
        <v>5902</v>
      </c>
      <c r="AC6289">
        <v>331.79969999999997</v>
      </c>
      <c r="AD6289">
        <v>1</v>
      </c>
      <c r="AE6289">
        <v>1</v>
      </c>
      <c r="AF6289">
        <v>0</v>
      </c>
      <c r="AG6289">
        <v>18248.98</v>
      </c>
      <c r="AK6289">
        <v>0</v>
      </c>
      <c r="AL6289">
        <v>0</v>
      </c>
      <c r="AO6289">
        <v>0</v>
      </c>
      <c r="AP6289" s="13"/>
    </row>
    <row r="6290" spans="1:42" x14ac:dyDescent="0.35">
      <c r="A6290" s="12" t="s">
        <v>7410</v>
      </c>
      <c r="B6290" s="12" t="s">
        <v>323</v>
      </c>
      <c r="C6290" s="12" t="s">
        <v>324</v>
      </c>
      <c r="D6290" s="12" t="s">
        <v>64</v>
      </c>
      <c r="E6290" s="12" t="s">
        <v>142</v>
      </c>
      <c r="F6290">
        <v>1</v>
      </c>
      <c r="G6290">
        <v>7</v>
      </c>
      <c r="H6290">
        <v>1</v>
      </c>
      <c r="I6290" s="12" t="s">
        <v>143</v>
      </c>
      <c r="J6290" s="12" t="s">
        <v>144</v>
      </c>
      <c r="K6290" s="12" t="s">
        <v>133</v>
      </c>
      <c r="L6290" s="12" t="s">
        <v>96</v>
      </c>
      <c r="M6290">
        <v>5.43</v>
      </c>
      <c r="N6290" s="12" t="s">
        <v>97</v>
      </c>
      <c r="O6290" s="12" t="s">
        <v>98</v>
      </c>
      <c r="P6290" s="12" t="s">
        <v>72</v>
      </c>
      <c r="Q6290" s="13">
        <v>46015</v>
      </c>
      <c r="R6290" s="13">
        <v>46063</v>
      </c>
      <c r="S6290">
        <v>2025</v>
      </c>
      <c r="T6290" s="12" t="s">
        <v>7261</v>
      </c>
      <c r="U6290">
        <v>753</v>
      </c>
      <c r="V6290">
        <v>39.226399999999998</v>
      </c>
      <c r="W6290">
        <v>614.15</v>
      </c>
      <c r="X6290">
        <v>0</v>
      </c>
      <c r="Y6290">
        <v>0</v>
      </c>
      <c r="Z6290">
        <v>29537.48</v>
      </c>
      <c r="AA6290">
        <v>30151.63</v>
      </c>
      <c r="AB6290" s="12" t="s">
        <v>5324</v>
      </c>
      <c r="AC6290">
        <v>39.226399999999998</v>
      </c>
      <c r="AD6290">
        <v>1</v>
      </c>
      <c r="AE6290">
        <v>1</v>
      </c>
      <c r="AF6290">
        <v>0</v>
      </c>
      <c r="AG6290">
        <v>29537.48</v>
      </c>
      <c r="AK6290">
        <v>0</v>
      </c>
      <c r="AL6290">
        <v>0</v>
      </c>
      <c r="AO6290">
        <v>0</v>
      </c>
      <c r="AP6290" s="13"/>
    </row>
    <row r="6291" spans="1:42" x14ac:dyDescent="0.35">
      <c r="A6291" s="12" t="s">
        <v>7411</v>
      </c>
      <c r="B6291" s="12" t="s">
        <v>149</v>
      </c>
      <c r="C6291" s="12" t="s">
        <v>150</v>
      </c>
      <c r="D6291" s="12" t="s">
        <v>78</v>
      </c>
      <c r="E6291" s="12" t="s">
        <v>65</v>
      </c>
      <c r="F6291">
        <v>2</v>
      </c>
      <c r="G6291">
        <v>2</v>
      </c>
      <c r="H6291">
        <v>0</v>
      </c>
      <c r="I6291" s="12" t="s">
        <v>151</v>
      </c>
      <c r="J6291" s="12" t="s">
        <v>152</v>
      </c>
      <c r="K6291" s="12" t="s">
        <v>125</v>
      </c>
      <c r="L6291" s="12" t="s">
        <v>69</v>
      </c>
      <c r="M6291">
        <v>36.479999999999997</v>
      </c>
      <c r="N6291" s="12" t="s">
        <v>97</v>
      </c>
      <c r="O6291" s="12" t="s">
        <v>98</v>
      </c>
      <c r="P6291" s="12" t="s">
        <v>72</v>
      </c>
      <c r="Q6291" s="13">
        <v>46016</v>
      </c>
      <c r="R6291" s="13">
        <v>46054</v>
      </c>
      <c r="S6291">
        <v>2025</v>
      </c>
      <c r="T6291" s="12" t="s">
        <v>7261</v>
      </c>
      <c r="U6291">
        <v>294</v>
      </c>
      <c r="V6291">
        <v>65.934700000000007</v>
      </c>
      <c r="W6291">
        <v>412.05</v>
      </c>
      <c r="X6291">
        <v>0</v>
      </c>
      <c r="Y6291">
        <v>0</v>
      </c>
      <c r="Z6291">
        <v>19384.8</v>
      </c>
      <c r="AA6291">
        <v>19796.849999999999</v>
      </c>
      <c r="AB6291" s="12" t="s">
        <v>5076</v>
      </c>
      <c r="AC6291">
        <v>65.934700000000007</v>
      </c>
      <c r="AD6291">
        <v>1</v>
      </c>
      <c r="AE6291">
        <v>1</v>
      </c>
      <c r="AF6291">
        <v>0</v>
      </c>
      <c r="AG6291">
        <v>19384.8</v>
      </c>
      <c r="AK6291">
        <v>0</v>
      </c>
      <c r="AL6291">
        <v>0</v>
      </c>
      <c r="AO6291">
        <v>0</v>
      </c>
      <c r="AP6291" s="13"/>
    </row>
    <row r="6292" spans="1:42" x14ac:dyDescent="0.35">
      <c r="A6292" s="12" t="s">
        <v>7412</v>
      </c>
      <c r="B6292" s="12" t="s">
        <v>766</v>
      </c>
      <c r="C6292" s="12" t="s">
        <v>767</v>
      </c>
      <c r="D6292" s="12" t="s">
        <v>175</v>
      </c>
      <c r="E6292" s="12" t="s">
        <v>65</v>
      </c>
      <c r="F6292">
        <v>3</v>
      </c>
      <c r="G6292">
        <v>5</v>
      </c>
      <c r="H6292">
        <v>0</v>
      </c>
      <c r="I6292" s="12" t="s">
        <v>87</v>
      </c>
      <c r="J6292" s="12" t="s">
        <v>88</v>
      </c>
      <c r="K6292" s="12" t="s">
        <v>89</v>
      </c>
      <c r="L6292" s="12" t="s">
        <v>69</v>
      </c>
      <c r="M6292">
        <v>14.93</v>
      </c>
      <c r="N6292" s="12" t="s">
        <v>107</v>
      </c>
      <c r="O6292" s="12" t="s">
        <v>108</v>
      </c>
      <c r="P6292" s="12" t="s">
        <v>109</v>
      </c>
      <c r="Q6292" s="13">
        <v>46016</v>
      </c>
      <c r="R6292" s="13">
        <v>46038</v>
      </c>
      <c r="S6292">
        <v>2025</v>
      </c>
      <c r="T6292" s="12" t="s">
        <v>7261</v>
      </c>
      <c r="U6292">
        <v>19</v>
      </c>
      <c r="V6292">
        <v>76.991200000000006</v>
      </c>
      <c r="W6292">
        <v>18.61</v>
      </c>
      <c r="X6292">
        <v>0</v>
      </c>
      <c r="Y6292">
        <v>0</v>
      </c>
      <c r="Z6292">
        <v>1462.83</v>
      </c>
      <c r="AA6292">
        <v>1481.44</v>
      </c>
      <c r="AB6292" s="12" t="s">
        <v>5662</v>
      </c>
      <c r="AC6292">
        <v>76.991200000000006</v>
      </c>
      <c r="AD6292">
        <v>1</v>
      </c>
      <c r="AE6292">
        <v>1</v>
      </c>
      <c r="AF6292">
        <v>0</v>
      </c>
      <c r="AG6292">
        <v>1462.83</v>
      </c>
      <c r="AK6292">
        <v>0</v>
      </c>
      <c r="AL6292">
        <v>0</v>
      </c>
      <c r="AO6292">
        <v>0</v>
      </c>
      <c r="AP6292" s="13"/>
    </row>
    <row r="6293" spans="1:42" x14ac:dyDescent="0.35">
      <c r="A6293" s="12" t="s">
        <v>7413</v>
      </c>
      <c r="B6293" s="12" t="s">
        <v>412</v>
      </c>
      <c r="C6293" s="12" t="s">
        <v>413</v>
      </c>
      <c r="D6293" s="12" t="s">
        <v>269</v>
      </c>
      <c r="E6293" s="12" t="s">
        <v>65</v>
      </c>
      <c r="F6293">
        <v>1</v>
      </c>
      <c r="G6293">
        <v>2</v>
      </c>
      <c r="H6293">
        <v>1</v>
      </c>
      <c r="I6293" s="12" t="s">
        <v>233</v>
      </c>
      <c r="J6293" s="12" t="s">
        <v>234</v>
      </c>
      <c r="K6293" s="12" t="s">
        <v>125</v>
      </c>
      <c r="L6293" s="12" t="s">
        <v>96</v>
      </c>
      <c r="M6293">
        <v>3.73</v>
      </c>
      <c r="N6293" s="12" t="s">
        <v>159</v>
      </c>
      <c r="O6293" s="12" t="s">
        <v>160</v>
      </c>
      <c r="P6293" s="12" t="s">
        <v>137</v>
      </c>
      <c r="Q6293" s="13">
        <v>46016</v>
      </c>
      <c r="R6293" s="13">
        <v>46051</v>
      </c>
      <c r="S6293">
        <v>2025</v>
      </c>
      <c r="T6293" s="12" t="s">
        <v>7261</v>
      </c>
      <c r="U6293">
        <v>120</v>
      </c>
      <c r="V6293">
        <v>103.87350000000001</v>
      </c>
      <c r="W6293">
        <v>294.64999999999998</v>
      </c>
      <c r="X6293">
        <v>0</v>
      </c>
      <c r="Y6293">
        <v>0</v>
      </c>
      <c r="Z6293">
        <v>12464.82</v>
      </c>
      <c r="AA6293">
        <v>12759.47</v>
      </c>
      <c r="AB6293" s="12" t="s">
        <v>5424</v>
      </c>
      <c r="AC6293">
        <v>103.87350000000001</v>
      </c>
      <c r="AD6293">
        <v>1</v>
      </c>
      <c r="AE6293">
        <v>1</v>
      </c>
      <c r="AF6293">
        <v>0</v>
      </c>
      <c r="AG6293">
        <v>12464.82</v>
      </c>
      <c r="AK6293">
        <v>0</v>
      </c>
      <c r="AL6293">
        <v>0</v>
      </c>
      <c r="AO6293">
        <v>0</v>
      </c>
      <c r="AP6293" s="13"/>
    </row>
    <row r="6294" spans="1:42" x14ac:dyDescent="0.35">
      <c r="A6294" s="12" t="s">
        <v>7414</v>
      </c>
      <c r="B6294" s="12" t="s">
        <v>451</v>
      </c>
      <c r="C6294" s="12" t="s">
        <v>452</v>
      </c>
      <c r="D6294" s="12" t="s">
        <v>175</v>
      </c>
      <c r="E6294" s="12" t="s">
        <v>104</v>
      </c>
      <c r="F6294">
        <v>3</v>
      </c>
      <c r="G6294">
        <v>1</v>
      </c>
      <c r="H6294">
        <v>0</v>
      </c>
      <c r="I6294" s="12" t="s">
        <v>359</v>
      </c>
      <c r="J6294" s="12" t="s">
        <v>360</v>
      </c>
      <c r="K6294" s="12" t="s">
        <v>133</v>
      </c>
      <c r="L6294" s="12" t="s">
        <v>82</v>
      </c>
      <c r="M6294">
        <v>12.65</v>
      </c>
      <c r="N6294" s="12" t="s">
        <v>145</v>
      </c>
      <c r="O6294" s="12" t="s">
        <v>146</v>
      </c>
      <c r="P6294" s="12" t="s">
        <v>109</v>
      </c>
      <c r="Q6294" s="13">
        <v>46016</v>
      </c>
      <c r="R6294" s="13">
        <v>46042</v>
      </c>
      <c r="S6294">
        <v>2025</v>
      </c>
      <c r="T6294" s="12" t="s">
        <v>7261</v>
      </c>
      <c r="U6294">
        <v>125</v>
      </c>
      <c r="V6294">
        <v>216.9588</v>
      </c>
      <c r="W6294">
        <v>501.41</v>
      </c>
      <c r="X6294">
        <v>0</v>
      </c>
      <c r="Y6294">
        <v>0</v>
      </c>
      <c r="Z6294">
        <v>27119.85</v>
      </c>
      <c r="AA6294">
        <v>27621.26</v>
      </c>
      <c r="AB6294" s="12" t="s">
        <v>5244</v>
      </c>
      <c r="AC6294">
        <v>216.9588</v>
      </c>
      <c r="AD6294">
        <v>1</v>
      </c>
      <c r="AE6294">
        <v>1</v>
      </c>
      <c r="AF6294">
        <v>0</v>
      </c>
      <c r="AG6294">
        <v>27119.85</v>
      </c>
      <c r="AK6294">
        <v>0</v>
      </c>
      <c r="AL6294">
        <v>0</v>
      </c>
      <c r="AO6294">
        <v>0</v>
      </c>
      <c r="AP6294" s="13"/>
    </row>
    <row r="6295" spans="1:42" x14ac:dyDescent="0.35">
      <c r="A6295" s="12" t="s">
        <v>7415</v>
      </c>
      <c r="B6295" s="12" t="s">
        <v>587</v>
      </c>
      <c r="C6295" s="12" t="s">
        <v>588</v>
      </c>
      <c r="D6295" s="12" t="s">
        <v>122</v>
      </c>
      <c r="E6295" s="12" t="s">
        <v>104</v>
      </c>
      <c r="F6295">
        <v>2</v>
      </c>
      <c r="G6295">
        <v>0</v>
      </c>
      <c r="H6295">
        <v>0</v>
      </c>
      <c r="I6295" s="12" t="s">
        <v>486</v>
      </c>
      <c r="J6295" s="12" t="s">
        <v>487</v>
      </c>
      <c r="K6295" s="12" t="s">
        <v>125</v>
      </c>
      <c r="L6295" s="12" t="s">
        <v>69</v>
      </c>
      <c r="M6295">
        <v>36.86</v>
      </c>
      <c r="N6295" s="12" t="s">
        <v>70</v>
      </c>
      <c r="O6295" s="12" t="s">
        <v>71</v>
      </c>
      <c r="P6295" s="12" t="s">
        <v>72</v>
      </c>
      <c r="Q6295" s="13">
        <v>46016</v>
      </c>
      <c r="R6295" s="13">
        <v>46045</v>
      </c>
      <c r="S6295">
        <v>2025</v>
      </c>
      <c r="T6295" s="12" t="s">
        <v>7261</v>
      </c>
      <c r="U6295">
        <v>1903</v>
      </c>
      <c r="V6295">
        <v>12.4541</v>
      </c>
      <c r="W6295">
        <v>247.01</v>
      </c>
      <c r="X6295">
        <v>0</v>
      </c>
      <c r="Y6295">
        <v>0</v>
      </c>
      <c r="Z6295">
        <v>23700.15</v>
      </c>
      <c r="AA6295">
        <v>23947.16</v>
      </c>
      <c r="AB6295" s="12" t="s">
        <v>201</v>
      </c>
      <c r="AD6295">
        <v>0</v>
      </c>
      <c r="AE6295">
        <v>0</v>
      </c>
      <c r="AK6295">
        <v>0</v>
      </c>
      <c r="AL6295">
        <v>0</v>
      </c>
      <c r="AO6295">
        <v>0</v>
      </c>
      <c r="AP6295" s="13"/>
    </row>
    <row r="6296" spans="1:42" x14ac:dyDescent="0.35">
      <c r="A6296" s="12" t="s">
        <v>7416</v>
      </c>
      <c r="B6296" s="12" t="s">
        <v>327</v>
      </c>
      <c r="C6296" s="12" t="s">
        <v>328</v>
      </c>
      <c r="D6296" s="12" t="s">
        <v>130</v>
      </c>
      <c r="E6296" s="12" t="s">
        <v>104</v>
      </c>
      <c r="F6296">
        <v>2</v>
      </c>
      <c r="G6296">
        <v>0</v>
      </c>
      <c r="H6296">
        <v>0</v>
      </c>
      <c r="I6296" s="12" t="s">
        <v>94</v>
      </c>
      <c r="J6296" s="12" t="s">
        <v>95</v>
      </c>
      <c r="K6296" s="12" t="s">
        <v>81</v>
      </c>
      <c r="L6296" s="12" t="s">
        <v>96</v>
      </c>
      <c r="M6296">
        <v>4.8099999999999996</v>
      </c>
      <c r="N6296" s="12" t="s">
        <v>135</v>
      </c>
      <c r="O6296" s="12" t="s">
        <v>136</v>
      </c>
      <c r="P6296" s="12" t="s">
        <v>137</v>
      </c>
      <c r="Q6296" s="13">
        <v>46017</v>
      </c>
      <c r="R6296" s="13">
        <v>46034</v>
      </c>
      <c r="S6296">
        <v>2025</v>
      </c>
      <c r="T6296" s="12" t="s">
        <v>7261</v>
      </c>
      <c r="U6296">
        <v>50</v>
      </c>
      <c r="V6296">
        <v>637.04729999999995</v>
      </c>
      <c r="W6296">
        <v>713.04</v>
      </c>
      <c r="X6296">
        <v>0</v>
      </c>
      <c r="Y6296">
        <v>0</v>
      </c>
      <c r="Z6296">
        <v>31852.37</v>
      </c>
      <c r="AA6296">
        <v>32565.41</v>
      </c>
      <c r="AB6296" s="12" t="s">
        <v>5449</v>
      </c>
      <c r="AC6296">
        <v>637.04729999999995</v>
      </c>
      <c r="AD6296">
        <v>1</v>
      </c>
      <c r="AE6296">
        <v>1</v>
      </c>
      <c r="AF6296">
        <v>0</v>
      </c>
      <c r="AG6296">
        <v>31852.37</v>
      </c>
      <c r="AK6296">
        <v>0</v>
      </c>
      <c r="AL6296">
        <v>0</v>
      </c>
      <c r="AO6296">
        <v>0</v>
      </c>
      <c r="AP6296" s="13"/>
    </row>
    <row r="6297" spans="1:42" x14ac:dyDescent="0.35">
      <c r="A6297" s="12" t="s">
        <v>7417</v>
      </c>
      <c r="B6297" s="12" t="s">
        <v>802</v>
      </c>
      <c r="C6297" s="12" t="s">
        <v>803</v>
      </c>
      <c r="D6297" s="12" t="s">
        <v>114</v>
      </c>
      <c r="E6297" s="12" t="s">
        <v>65</v>
      </c>
      <c r="F6297">
        <v>3</v>
      </c>
      <c r="G6297">
        <v>5</v>
      </c>
      <c r="H6297">
        <v>0</v>
      </c>
      <c r="I6297" s="12" t="s">
        <v>804</v>
      </c>
      <c r="J6297" s="12" t="s">
        <v>342</v>
      </c>
      <c r="K6297" s="12" t="s">
        <v>117</v>
      </c>
      <c r="L6297" s="12" t="s">
        <v>69</v>
      </c>
      <c r="M6297">
        <v>30.07</v>
      </c>
      <c r="N6297" s="12" t="s">
        <v>97</v>
      </c>
      <c r="O6297" s="12" t="s">
        <v>98</v>
      </c>
      <c r="P6297" s="12" t="s">
        <v>72</v>
      </c>
      <c r="Q6297" s="13">
        <v>46017</v>
      </c>
      <c r="R6297" s="13">
        <v>46054</v>
      </c>
      <c r="S6297">
        <v>2025</v>
      </c>
      <c r="T6297" s="12" t="s">
        <v>7261</v>
      </c>
      <c r="U6297">
        <v>139</v>
      </c>
      <c r="V6297">
        <v>340.12639999999999</v>
      </c>
      <c r="W6297">
        <v>358.48</v>
      </c>
      <c r="X6297">
        <v>1497.75</v>
      </c>
      <c r="Y6297">
        <v>1</v>
      </c>
      <c r="Z6297">
        <v>47277.57</v>
      </c>
      <c r="AA6297">
        <v>49133.8</v>
      </c>
      <c r="AB6297" s="12" t="s">
        <v>201</v>
      </c>
      <c r="AD6297">
        <v>0</v>
      </c>
      <c r="AE6297">
        <v>0</v>
      </c>
      <c r="AK6297">
        <v>0</v>
      </c>
      <c r="AL6297">
        <v>0</v>
      </c>
      <c r="AO6297">
        <v>0</v>
      </c>
      <c r="AP6297" s="13"/>
    </row>
    <row r="6298" spans="1:42" x14ac:dyDescent="0.35">
      <c r="A6298" s="12" t="s">
        <v>7418</v>
      </c>
      <c r="B6298" s="12" t="s">
        <v>416</v>
      </c>
      <c r="C6298" s="12" t="s">
        <v>417</v>
      </c>
      <c r="D6298" s="12" t="s">
        <v>78</v>
      </c>
      <c r="E6298" s="12" t="s">
        <v>65</v>
      </c>
      <c r="F6298">
        <v>3</v>
      </c>
      <c r="G6298">
        <v>5</v>
      </c>
      <c r="H6298">
        <v>0</v>
      </c>
      <c r="I6298" s="12" t="s">
        <v>87</v>
      </c>
      <c r="J6298" s="12" t="s">
        <v>88</v>
      </c>
      <c r="K6298" s="12" t="s">
        <v>89</v>
      </c>
      <c r="L6298" s="12" t="s">
        <v>69</v>
      </c>
      <c r="M6298">
        <v>14.93</v>
      </c>
      <c r="N6298" s="12" t="s">
        <v>97</v>
      </c>
      <c r="O6298" s="12" t="s">
        <v>98</v>
      </c>
      <c r="P6298" s="12" t="s">
        <v>72</v>
      </c>
      <c r="Q6298" s="13">
        <v>46017</v>
      </c>
      <c r="R6298" s="13">
        <v>46047</v>
      </c>
      <c r="S6298">
        <v>2025</v>
      </c>
      <c r="T6298" s="12" t="s">
        <v>7261</v>
      </c>
      <c r="U6298">
        <v>171</v>
      </c>
      <c r="V6298">
        <v>143.25120000000001</v>
      </c>
      <c r="W6298">
        <v>207.36</v>
      </c>
      <c r="X6298">
        <v>0</v>
      </c>
      <c r="Y6298">
        <v>0</v>
      </c>
      <c r="Z6298">
        <v>24495.96</v>
      </c>
      <c r="AA6298">
        <v>24703.32</v>
      </c>
      <c r="AB6298" s="12" t="s">
        <v>201</v>
      </c>
      <c r="AD6298">
        <v>0</v>
      </c>
      <c r="AE6298">
        <v>0</v>
      </c>
      <c r="AK6298">
        <v>0</v>
      </c>
      <c r="AL6298">
        <v>0</v>
      </c>
      <c r="AO6298">
        <v>0</v>
      </c>
      <c r="AP6298" s="13"/>
    </row>
    <row r="6299" spans="1:42" x14ac:dyDescent="0.35">
      <c r="A6299" s="12" t="s">
        <v>7419</v>
      </c>
      <c r="B6299" s="12" t="s">
        <v>395</v>
      </c>
      <c r="C6299" s="12" t="s">
        <v>396</v>
      </c>
      <c r="D6299" s="12" t="s">
        <v>130</v>
      </c>
      <c r="E6299" s="12" t="s">
        <v>104</v>
      </c>
      <c r="F6299">
        <v>3</v>
      </c>
      <c r="G6299">
        <v>1</v>
      </c>
      <c r="H6299">
        <v>0</v>
      </c>
      <c r="I6299" s="12" t="s">
        <v>341</v>
      </c>
      <c r="J6299" s="12" t="s">
        <v>342</v>
      </c>
      <c r="K6299" s="12" t="s">
        <v>117</v>
      </c>
      <c r="L6299" s="12" t="s">
        <v>82</v>
      </c>
      <c r="M6299">
        <v>18.36</v>
      </c>
      <c r="N6299" s="12" t="s">
        <v>135</v>
      </c>
      <c r="O6299" s="12" t="s">
        <v>136</v>
      </c>
      <c r="P6299" s="12" t="s">
        <v>137</v>
      </c>
      <c r="Q6299" s="13">
        <v>46017</v>
      </c>
      <c r="R6299" s="13">
        <v>46035</v>
      </c>
      <c r="S6299">
        <v>2025</v>
      </c>
      <c r="T6299" s="12" t="s">
        <v>7261</v>
      </c>
      <c r="U6299">
        <v>57</v>
      </c>
      <c r="V6299">
        <v>159.31549999999999</v>
      </c>
      <c r="W6299">
        <v>90.7</v>
      </c>
      <c r="X6299">
        <v>0</v>
      </c>
      <c r="Y6299">
        <v>0</v>
      </c>
      <c r="Z6299">
        <v>9080.98</v>
      </c>
      <c r="AA6299">
        <v>9171.68</v>
      </c>
      <c r="AB6299" s="12" t="s">
        <v>5282</v>
      </c>
      <c r="AC6299">
        <v>159.31549999999999</v>
      </c>
      <c r="AD6299">
        <v>1</v>
      </c>
      <c r="AE6299">
        <v>1</v>
      </c>
      <c r="AF6299">
        <v>0</v>
      </c>
      <c r="AG6299">
        <v>9080.98</v>
      </c>
      <c r="AK6299">
        <v>0</v>
      </c>
      <c r="AL6299">
        <v>0</v>
      </c>
      <c r="AO6299">
        <v>0</v>
      </c>
      <c r="AP6299" s="13"/>
    </row>
    <row r="6300" spans="1:42" x14ac:dyDescent="0.35">
      <c r="A6300" s="12" t="s">
        <v>7420</v>
      </c>
      <c r="B6300" s="12" t="s">
        <v>284</v>
      </c>
      <c r="C6300" s="12" t="s">
        <v>285</v>
      </c>
      <c r="D6300" s="12" t="s">
        <v>269</v>
      </c>
      <c r="E6300" s="12" t="s">
        <v>104</v>
      </c>
      <c r="F6300">
        <v>3</v>
      </c>
      <c r="G6300">
        <v>1</v>
      </c>
      <c r="H6300">
        <v>0</v>
      </c>
      <c r="I6300" s="12" t="s">
        <v>199</v>
      </c>
      <c r="J6300" s="12" t="s">
        <v>200</v>
      </c>
      <c r="K6300" s="12" t="s">
        <v>68</v>
      </c>
      <c r="L6300" s="12" t="s">
        <v>96</v>
      </c>
      <c r="M6300">
        <v>9.4700000000000006</v>
      </c>
      <c r="N6300" s="12" t="s">
        <v>135</v>
      </c>
      <c r="O6300" s="12" t="s">
        <v>136</v>
      </c>
      <c r="P6300" s="12" t="s">
        <v>137</v>
      </c>
      <c r="Q6300" s="13">
        <v>46017</v>
      </c>
      <c r="R6300" s="13">
        <v>46030</v>
      </c>
      <c r="S6300">
        <v>2025</v>
      </c>
      <c r="T6300" s="12" t="s">
        <v>7261</v>
      </c>
      <c r="U6300">
        <v>18</v>
      </c>
      <c r="V6300">
        <v>385.21550000000002</v>
      </c>
      <c r="W6300">
        <v>118.47</v>
      </c>
      <c r="X6300">
        <v>234.2</v>
      </c>
      <c r="Y6300">
        <v>1</v>
      </c>
      <c r="Z6300">
        <v>6933.88</v>
      </c>
      <c r="AA6300">
        <v>7286.55</v>
      </c>
      <c r="AB6300" s="12" t="s">
        <v>201</v>
      </c>
      <c r="AD6300">
        <v>0</v>
      </c>
      <c r="AE6300">
        <v>0</v>
      </c>
      <c r="AK6300">
        <v>0</v>
      </c>
      <c r="AL6300">
        <v>0</v>
      </c>
      <c r="AO6300">
        <v>0</v>
      </c>
      <c r="AP6300" s="13"/>
    </row>
    <row r="6301" spans="1:42" x14ac:dyDescent="0.35">
      <c r="A6301" s="12" t="s">
        <v>7421</v>
      </c>
      <c r="B6301" s="12" t="s">
        <v>255</v>
      </c>
      <c r="C6301" s="12" t="s">
        <v>256</v>
      </c>
      <c r="D6301" s="12" t="s">
        <v>103</v>
      </c>
      <c r="E6301" s="12" t="s">
        <v>65</v>
      </c>
      <c r="F6301">
        <v>2</v>
      </c>
      <c r="G6301">
        <v>4</v>
      </c>
      <c r="H6301">
        <v>0</v>
      </c>
      <c r="I6301" s="12" t="s">
        <v>143</v>
      </c>
      <c r="J6301" s="12" t="s">
        <v>144</v>
      </c>
      <c r="K6301" s="12" t="s">
        <v>133</v>
      </c>
      <c r="L6301" s="12" t="s">
        <v>96</v>
      </c>
      <c r="M6301">
        <v>5.43</v>
      </c>
      <c r="N6301" s="12" t="s">
        <v>145</v>
      </c>
      <c r="O6301" s="12" t="s">
        <v>146</v>
      </c>
      <c r="P6301" s="12" t="s">
        <v>109</v>
      </c>
      <c r="Q6301" s="13">
        <v>46017</v>
      </c>
      <c r="R6301" s="13">
        <v>46044</v>
      </c>
      <c r="S6301">
        <v>2025</v>
      </c>
      <c r="T6301" s="12" t="s">
        <v>7261</v>
      </c>
      <c r="U6301">
        <v>63</v>
      </c>
      <c r="V6301">
        <v>89.471699999999998</v>
      </c>
      <c r="W6301">
        <v>107.25</v>
      </c>
      <c r="X6301">
        <v>0</v>
      </c>
      <c r="Y6301">
        <v>0</v>
      </c>
      <c r="Z6301">
        <v>5636.72</v>
      </c>
      <c r="AA6301">
        <v>5743.97</v>
      </c>
      <c r="AB6301" s="12" t="s">
        <v>5188</v>
      </c>
      <c r="AC6301">
        <v>95.061000000000007</v>
      </c>
      <c r="AD6301">
        <v>1</v>
      </c>
      <c r="AE6301">
        <v>1</v>
      </c>
      <c r="AF6301">
        <v>-352.13</v>
      </c>
      <c r="AG6301">
        <v>5988.84</v>
      </c>
      <c r="AK6301">
        <v>0</v>
      </c>
      <c r="AL6301">
        <v>0</v>
      </c>
      <c r="AO6301">
        <v>0</v>
      </c>
      <c r="AP6301" s="13"/>
    </row>
    <row r="6302" spans="1:42" x14ac:dyDescent="0.35">
      <c r="A6302" s="12" t="s">
        <v>7422</v>
      </c>
      <c r="B6302" s="12" t="s">
        <v>289</v>
      </c>
      <c r="C6302" s="12" t="s">
        <v>290</v>
      </c>
      <c r="D6302" s="12" t="s">
        <v>175</v>
      </c>
      <c r="E6302" s="12" t="s">
        <v>104</v>
      </c>
      <c r="F6302">
        <v>3</v>
      </c>
      <c r="G6302">
        <v>1</v>
      </c>
      <c r="H6302">
        <v>0</v>
      </c>
      <c r="I6302" s="12" t="s">
        <v>157</v>
      </c>
      <c r="J6302" s="12" t="s">
        <v>158</v>
      </c>
      <c r="K6302" s="12" t="s">
        <v>117</v>
      </c>
      <c r="L6302" s="12" t="s">
        <v>96</v>
      </c>
      <c r="M6302">
        <v>4.72</v>
      </c>
      <c r="N6302" s="12" t="s">
        <v>107</v>
      </c>
      <c r="O6302" s="12" t="s">
        <v>108</v>
      </c>
      <c r="P6302" s="12" t="s">
        <v>109</v>
      </c>
      <c r="Q6302" s="13">
        <v>46017</v>
      </c>
      <c r="R6302" s="13">
        <v>46033</v>
      </c>
      <c r="S6302">
        <v>2025</v>
      </c>
      <c r="T6302" s="12" t="s">
        <v>7261</v>
      </c>
      <c r="U6302">
        <v>46</v>
      </c>
      <c r="V6302">
        <v>186.25399999999999</v>
      </c>
      <c r="W6302">
        <v>188.74</v>
      </c>
      <c r="X6302">
        <v>0</v>
      </c>
      <c r="Y6302">
        <v>0</v>
      </c>
      <c r="Z6302">
        <v>8567.68</v>
      </c>
      <c r="AA6302">
        <v>8756.42</v>
      </c>
      <c r="AB6302" s="12" t="s">
        <v>201</v>
      </c>
      <c r="AD6302">
        <v>0</v>
      </c>
      <c r="AE6302">
        <v>0</v>
      </c>
      <c r="AK6302">
        <v>0</v>
      </c>
      <c r="AL6302">
        <v>0</v>
      </c>
      <c r="AO6302">
        <v>0</v>
      </c>
      <c r="AP6302" s="13"/>
    </row>
    <row r="6303" spans="1:42" x14ac:dyDescent="0.35">
      <c r="A6303" s="12" t="s">
        <v>7423</v>
      </c>
      <c r="B6303" s="12" t="s">
        <v>323</v>
      </c>
      <c r="C6303" s="12" t="s">
        <v>324</v>
      </c>
      <c r="D6303" s="12" t="s">
        <v>64</v>
      </c>
      <c r="E6303" s="12" t="s">
        <v>142</v>
      </c>
      <c r="F6303">
        <v>1</v>
      </c>
      <c r="G6303">
        <v>7</v>
      </c>
      <c r="H6303">
        <v>1</v>
      </c>
      <c r="I6303" s="12" t="s">
        <v>143</v>
      </c>
      <c r="J6303" s="12" t="s">
        <v>144</v>
      </c>
      <c r="K6303" s="12" t="s">
        <v>133</v>
      </c>
      <c r="L6303" s="12" t="s">
        <v>96</v>
      </c>
      <c r="M6303">
        <v>5.43</v>
      </c>
      <c r="N6303" s="12" t="s">
        <v>70</v>
      </c>
      <c r="O6303" s="12" t="s">
        <v>71</v>
      </c>
      <c r="P6303" s="12" t="s">
        <v>72</v>
      </c>
      <c r="Q6303" s="13">
        <v>46017</v>
      </c>
      <c r="R6303" s="13">
        <v>46061</v>
      </c>
      <c r="S6303">
        <v>2025</v>
      </c>
      <c r="T6303" s="12" t="s">
        <v>7261</v>
      </c>
      <c r="U6303">
        <v>592</v>
      </c>
      <c r="V6303">
        <v>39.226399999999998</v>
      </c>
      <c r="W6303">
        <v>186.96</v>
      </c>
      <c r="X6303">
        <v>0</v>
      </c>
      <c r="Y6303">
        <v>0</v>
      </c>
      <c r="Z6303">
        <v>23222.03</v>
      </c>
      <c r="AA6303">
        <v>23408.99</v>
      </c>
      <c r="AB6303" s="12" t="s">
        <v>5324</v>
      </c>
      <c r="AC6303">
        <v>39.226399999999998</v>
      </c>
      <c r="AD6303">
        <v>1</v>
      </c>
      <c r="AE6303">
        <v>1</v>
      </c>
      <c r="AF6303">
        <v>0</v>
      </c>
      <c r="AG6303">
        <v>23222.03</v>
      </c>
      <c r="AK6303">
        <v>0</v>
      </c>
      <c r="AL6303">
        <v>0</v>
      </c>
      <c r="AO6303">
        <v>0</v>
      </c>
      <c r="AP6303" s="13"/>
    </row>
    <row r="6304" spans="1:42" x14ac:dyDescent="0.35">
      <c r="A6304" s="12" t="s">
        <v>7424</v>
      </c>
      <c r="B6304" s="12" t="s">
        <v>437</v>
      </c>
      <c r="C6304" s="12" t="s">
        <v>438</v>
      </c>
      <c r="D6304" s="12" t="s">
        <v>269</v>
      </c>
      <c r="E6304" s="12" t="s">
        <v>65</v>
      </c>
      <c r="F6304">
        <v>2</v>
      </c>
      <c r="G6304">
        <v>4</v>
      </c>
      <c r="H6304">
        <v>0</v>
      </c>
      <c r="I6304" s="12" t="s">
        <v>115</v>
      </c>
      <c r="J6304" s="12" t="s">
        <v>116</v>
      </c>
      <c r="K6304" s="12" t="s">
        <v>117</v>
      </c>
      <c r="L6304" s="12" t="s">
        <v>82</v>
      </c>
      <c r="M6304">
        <v>17.170000000000002</v>
      </c>
      <c r="N6304" s="12" t="s">
        <v>159</v>
      </c>
      <c r="O6304" s="12" t="s">
        <v>160</v>
      </c>
      <c r="P6304" s="12" t="s">
        <v>137</v>
      </c>
      <c r="Q6304" s="13">
        <v>46020</v>
      </c>
      <c r="R6304" s="13">
        <v>46041</v>
      </c>
      <c r="S6304">
        <v>2025</v>
      </c>
      <c r="T6304" s="12" t="s">
        <v>7261</v>
      </c>
      <c r="U6304">
        <v>10</v>
      </c>
      <c r="V6304">
        <v>409.1377</v>
      </c>
      <c r="W6304">
        <v>98.14</v>
      </c>
      <c r="X6304">
        <v>0</v>
      </c>
      <c r="Y6304">
        <v>0</v>
      </c>
      <c r="Z6304">
        <v>4091.38</v>
      </c>
      <c r="AA6304">
        <v>4189.5200000000004</v>
      </c>
      <c r="AB6304" s="12" t="s">
        <v>5505</v>
      </c>
      <c r="AC6304">
        <v>409.1377</v>
      </c>
      <c r="AD6304">
        <v>1</v>
      </c>
      <c r="AE6304">
        <v>1</v>
      </c>
      <c r="AF6304">
        <v>0</v>
      </c>
      <c r="AG6304">
        <v>4091.38</v>
      </c>
      <c r="AK6304">
        <v>0</v>
      </c>
      <c r="AL6304">
        <v>0</v>
      </c>
      <c r="AO6304">
        <v>0</v>
      </c>
      <c r="AP6304" s="13"/>
    </row>
    <row r="6305" spans="1:42" x14ac:dyDescent="0.35">
      <c r="A6305" s="12" t="s">
        <v>7425</v>
      </c>
      <c r="B6305" s="12" t="s">
        <v>843</v>
      </c>
      <c r="C6305" s="12" t="s">
        <v>844</v>
      </c>
      <c r="D6305" s="12" t="s">
        <v>175</v>
      </c>
      <c r="E6305" s="12" t="s">
        <v>65</v>
      </c>
      <c r="F6305">
        <v>3</v>
      </c>
      <c r="G6305">
        <v>5</v>
      </c>
      <c r="H6305">
        <v>0</v>
      </c>
      <c r="I6305" s="12" t="s">
        <v>359</v>
      </c>
      <c r="J6305" s="12" t="s">
        <v>360</v>
      </c>
      <c r="K6305" s="12" t="s">
        <v>133</v>
      </c>
      <c r="L6305" s="12" t="s">
        <v>82</v>
      </c>
      <c r="M6305">
        <v>12.65</v>
      </c>
      <c r="N6305" s="12" t="s">
        <v>145</v>
      </c>
      <c r="O6305" s="12" t="s">
        <v>146</v>
      </c>
      <c r="P6305" s="12" t="s">
        <v>109</v>
      </c>
      <c r="Q6305" s="13">
        <v>46020</v>
      </c>
      <c r="R6305" s="13">
        <v>46053</v>
      </c>
      <c r="S6305">
        <v>2025</v>
      </c>
      <c r="T6305" s="12" t="s">
        <v>7261</v>
      </c>
      <c r="U6305">
        <v>106</v>
      </c>
      <c r="V6305">
        <v>237.4212</v>
      </c>
      <c r="W6305">
        <v>153.88</v>
      </c>
      <c r="X6305">
        <v>0</v>
      </c>
      <c r="Y6305">
        <v>0</v>
      </c>
      <c r="Z6305">
        <v>25166.65</v>
      </c>
      <c r="AA6305">
        <v>25320.53</v>
      </c>
      <c r="AB6305" s="12" t="s">
        <v>6075</v>
      </c>
      <c r="AC6305">
        <v>237.4212</v>
      </c>
      <c r="AD6305">
        <v>1</v>
      </c>
      <c r="AE6305">
        <v>1</v>
      </c>
      <c r="AF6305">
        <v>0</v>
      </c>
      <c r="AG6305">
        <v>25166.65</v>
      </c>
      <c r="AK6305">
        <v>0</v>
      </c>
      <c r="AL6305">
        <v>0</v>
      </c>
      <c r="AO6305">
        <v>0</v>
      </c>
      <c r="AP6305" s="13"/>
    </row>
    <row r="6306" spans="1:42" x14ac:dyDescent="0.35">
      <c r="A6306" s="12" t="s">
        <v>7426</v>
      </c>
      <c r="B6306" s="12" t="s">
        <v>513</v>
      </c>
      <c r="C6306" s="12" t="s">
        <v>514</v>
      </c>
      <c r="D6306" s="12" t="s">
        <v>269</v>
      </c>
      <c r="E6306" s="12" t="s">
        <v>65</v>
      </c>
      <c r="F6306">
        <v>1</v>
      </c>
      <c r="G6306">
        <v>2</v>
      </c>
      <c r="H6306">
        <v>1</v>
      </c>
      <c r="I6306" s="12" t="s">
        <v>515</v>
      </c>
      <c r="J6306" s="12" t="s">
        <v>516</v>
      </c>
      <c r="K6306" s="12" t="s">
        <v>68</v>
      </c>
      <c r="L6306" s="12" t="s">
        <v>134</v>
      </c>
      <c r="M6306">
        <v>3.69</v>
      </c>
      <c r="N6306" s="12" t="s">
        <v>135</v>
      </c>
      <c r="O6306" s="12" t="s">
        <v>136</v>
      </c>
      <c r="P6306" s="12" t="s">
        <v>137</v>
      </c>
      <c r="Q6306" s="13">
        <v>46020</v>
      </c>
      <c r="R6306" s="13">
        <v>46043</v>
      </c>
      <c r="S6306">
        <v>2025</v>
      </c>
      <c r="T6306" s="12" t="s">
        <v>7261</v>
      </c>
      <c r="U6306">
        <v>29</v>
      </c>
      <c r="V6306">
        <v>204.58029999999999</v>
      </c>
      <c r="W6306">
        <v>96.92</v>
      </c>
      <c r="X6306">
        <v>0</v>
      </c>
      <c r="Y6306">
        <v>0</v>
      </c>
      <c r="Z6306">
        <v>5932.83</v>
      </c>
      <c r="AA6306">
        <v>6029.75</v>
      </c>
      <c r="AB6306" s="12" t="s">
        <v>201</v>
      </c>
      <c r="AD6306">
        <v>0</v>
      </c>
      <c r="AE6306">
        <v>0</v>
      </c>
      <c r="AK6306">
        <v>0</v>
      </c>
      <c r="AL6306">
        <v>0</v>
      </c>
      <c r="AO6306">
        <v>0</v>
      </c>
      <c r="AP6306" s="13"/>
    </row>
    <row r="6307" spans="1:42" x14ac:dyDescent="0.35">
      <c r="A6307" s="12" t="s">
        <v>7427</v>
      </c>
      <c r="B6307" s="12" t="s">
        <v>261</v>
      </c>
      <c r="C6307" s="12" t="s">
        <v>262</v>
      </c>
      <c r="D6307" s="12" t="s">
        <v>114</v>
      </c>
      <c r="E6307" s="12" t="s">
        <v>142</v>
      </c>
      <c r="F6307">
        <v>1</v>
      </c>
      <c r="G6307">
        <v>8</v>
      </c>
      <c r="H6307">
        <v>1</v>
      </c>
      <c r="I6307" s="12" t="s">
        <v>263</v>
      </c>
      <c r="J6307" s="12" t="s">
        <v>264</v>
      </c>
      <c r="K6307" s="12" t="s">
        <v>125</v>
      </c>
      <c r="L6307" s="12" t="s">
        <v>82</v>
      </c>
      <c r="M6307">
        <v>10.210000000000001</v>
      </c>
      <c r="N6307" s="12" t="s">
        <v>70</v>
      </c>
      <c r="O6307" s="12" t="s">
        <v>71</v>
      </c>
      <c r="P6307" s="12" t="s">
        <v>72</v>
      </c>
      <c r="Q6307" s="13">
        <v>46020</v>
      </c>
      <c r="R6307" s="13">
        <v>46072</v>
      </c>
      <c r="S6307">
        <v>2025</v>
      </c>
      <c r="T6307" s="12" t="s">
        <v>7261</v>
      </c>
      <c r="U6307">
        <v>143</v>
      </c>
      <c r="V6307">
        <v>149.49090000000001</v>
      </c>
      <c r="W6307">
        <v>336.73</v>
      </c>
      <c r="X6307">
        <v>0</v>
      </c>
      <c r="Y6307">
        <v>0</v>
      </c>
      <c r="Z6307">
        <v>21377.200000000001</v>
      </c>
      <c r="AA6307">
        <v>21713.93</v>
      </c>
      <c r="AB6307" s="12" t="s">
        <v>201</v>
      </c>
      <c r="AD6307">
        <v>0</v>
      </c>
      <c r="AE6307">
        <v>0</v>
      </c>
      <c r="AK6307">
        <v>0</v>
      </c>
      <c r="AL6307">
        <v>0</v>
      </c>
      <c r="AO6307">
        <v>0</v>
      </c>
      <c r="AP6307" s="13"/>
    </row>
    <row r="6308" spans="1:42" x14ac:dyDescent="0.35">
      <c r="A6308" s="12" t="s">
        <v>7428</v>
      </c>
      <c r="B6308" s="12" t="s">
        <v>809</v>
      </c>
      <c r="C6308" s="12" t="s">
        <v>810</v>
      </c>
      <c r="D6308" s="12" t="s">
        <v>114</v>
      </c>
      <c r="E6308" s="12" t="s">
        <v>65</v>
      </c>
      <c r="F6308">
        <v>3</v>
      </c>
      <c r="G6308">
        <v>5</v>
      </c>
      <c r="H6308">
        <v>0</v>
      </c>
      <c r="I6308" s="12" t="s">
        <v>804</v>
      </c>
      <c r="J6308" s="12" t="s">
        <v>342</v>
      </c>
      <c r="K6308" s="12" t="s">
        <v>117</v>
      </c>
      <c r="L6308" s="12" t="s">
        <v>69</v>
      </c>
      <c r="M6308">
        <v>30.07</v>
      </c>
      <c r="N6308" s="12" t="s">
        <v>70</v>
      </c>
      <c r="O6308" s="12" t="s">
        <v>71</v>
      </c>
      <c r="P6308" s="12" t="s">
        <v>72</v>
      </c>
      <c r="Q6308" s="13">
        <v>46020</v>
      </c>
      <c r="R6308" s="13">
        <v>46041</v>
      </c>
      <c r="S6308">
        <v>2025</v>
      </c>
      <c r="T6308" s="12" t="s">
        <v>7261</v>
      </c>
      <c r="U6308">
        <v>14</v>
      </c>
      <c r="V6308">
        <v>302.71480000000003</v>
      </c>
      <c r="W6308">
        <v>90.86</v>
      </c>
      <c r="X6308">
        <v>0</v>
      </c>
      <c r="Y6308">
        <v>0</v>
      </c>
      <c r="Z6308">
        <v>4238.01</v>
      </c>
      <c r="AA6308">
        <v>4328.87</v>
      </c>
      <c r="AB6308" s="12" t="s">
        <v>5511</v>
      </c>
      <c r="AC6308">
        <v>302.71480000000003</v>
      </c>
      <c r="AD6308">
        <v>1</v>
      </c>
      <c r="AE6308">
        <v>1</v>
      </c>
      <c r="AF6308">
        <v>0</v>
      </c>
      <c r="AG6308">
        <v>4238.01</v>
      </c>
      <c r="AK6308">
        <v>0</v>
      </c>
      <c r="AL6308">
        <v>0</v>
      </c>
      <c r="AO6308">
        <v>0</v>
      </c>
      <c r="AP6308" s="13"/>
    </row>
    <row r="6309" spans="1:42" x14ac:dyDescent="0.35">
      <c r="A6309" s="12" t="s">
        <v>7429</v>
      </c>
      <c r="B6309" s="12" t="s">
        <v>657</v>
      </c>
      <c r="C6309" s="12" t="s">
        <v>658</v>
      </c>
      <c r="D6309" s="12" t="s">
        <v>175</v>
      </c>
      <c r="E6309" s="12" t="s">
        <v>65</v>
      </c>
      <c r="F6309">
        <v>1</v>
      </c>
      <c r="G6309">
        <v>2</v>
      </c>
      <c r="H6309">
        <v>1</v>
      </c>
      <c r="I6309" s="12" t="s">
        <v>183</v>
      </c>
      <c r="J6309" s="12" t="s">
        <v>184</v>
      </c>
      <c r="K6309" s="12" t="s">
        <v>133</v>
      </c>
      <c r="L6309" s="12" t="s">
        <v>82</v>
      </c>
      <c r="M6309">
        <v>8.6199999999999992</v>
      </c>
      <c r="N6309" s="12" t="s">
        <v>145</v>
      </c>
      <c r="O6309" s="12" t="s">
        <v>146</v>
      </c>
      <c r="P6309" s="12" t="s">
        <v>109</v>
      </c>
      <c r="Q6309" s="13">
        <v>46020</v>
      </c>
      <c r="R6309" s="13">
        <v>46050</v>
      </c>
      <c r="S6309">
        <v>2025</v>
      </c>
      <c r="T6309" s="12" t="s">
        <v>7261</v>
      </c>
      <c r="U6309">
        <v>83</v>
      </c>
      <c r="V6309">
        <v>144.5094</v>
      </c>
      <c r="W6309">
        <v>73.930000000000007</v>
      </c>
      <c r="X6309">
        <v>0</v>
      </c>
      <c r="Y6309">
        <v>0</v>
      </c>
      <c r="Z6309">
        <v>11994.28</v>
      </c>
      <c r="AA6309">
        <v>12068.21</v>
      </c>
      <c r="AB6309" s="12" t="s">
        <v>5771</v>
      </c>
      <c r="AC6309">
        <v>144.5094</v>
      </c>
      <c r="AD6309">
        <v>1</v>
      </c>
      <c r="AE6309">
        <v>1</v>
      </c>
      <c r="AF6309">
        <v>0</v>
      </c>
      <c r="AG6309">
        <v>11994.28</v>
      </c>
      <c r="AK6309">
        <v>0</v>
      </c>
      <c r="AL6309">
        <v>0</v>
      </c>
      <c r="AO6309">
        <v>0</v>
      </c>
      <c r="AP6309" s="13"/>
    </row>
    <row r="6310" spans="1:42" x14ac:dyDescent="0.35">
      <c r="A6310" s="12" t="s">
        <v>7430</v>
      </c>
      <c r="B6310" s="12" t="s">
        <v>267</v>
      </c>
      <c r="C6310" s="12" t="s">
        <v>268</v>
      </c>
      <c r="D6310" s="12" t="s">
        <v>269</v>
      </c>
      <c r="E6310" s="12" t="s">
        <v>142</v>
      </c>
      <c r="F6310">
        <v>1</v>
      </c>
      <c r="G6310">
        <v>8</v>
      </c>
      <c r="H6310">
        <v>1</v>
      </c>
      <c r="I6310" s="12" t="s">
        <v>94</v>
      </c>
      <c r="J6310" s="12" t="s">
        <v>95</v>
      </c>
      <c r="K6310" s="12" t="s">
        <v>81</v>
      </c>
      <c r="L6310" s="12" t="s">
        <v>96</v>
      </c>
      <c r="M6310">
        <v>4.8099999999999996</v>
      </c>
      <c r="N6310" s="12" t="s">
        <v>159</v>
      </c>
      <c r="O6310" s="12" t="s">
        <v>160</v>
      </c>
      <c r="P6310" s="12" t="s">
        <v>137</v>
      </c>
      <c r="Q6310" s="13">
        <v>46020</v>
      </c>
      <c r="R6310" s="13">
        <v>46071</v>
      </c>
      <c r="S6310">
        <v>2025</v>
      </c>
      <c r="T6310" s="12" t="s">
        <v>7261</v>
      </c>
      <c r="U6310">
        <v>140</v>
      </c>
      <c r="V6310">
        <v>200.43170000000001</v>
      </c>
      <c r="W6310">
        <v>469.24</v>
      </c>
      <c r="X6310">
        <v>0</v>
      </c>
      <c r="Y6310">
        <v>0</v>
      </c>
      <c r="Z6310">
        <v>28060.44</v>
      </c>
      <c r="AA6310">
        <v>28529.68</v>
      </c>
      <c r="AB6310" s="12" t="s">
        <v>201</v>
      </c>
      <c r="AD6310">
        <v>0</v>
      </c>
      <c r="AE6310">
        <v>0</v>
      </c>
      <c r="AK6310">
        <v>0</v>
      </c>
      <c r="AL6310">
        <v>0</v>
      </c>
      <c r="AO6310">
        <v>0</v>
      </c>
      <c r="AP6310" s="13"/>
    </row>
    <row r="6311" spans="1:42" x14ac:dyDescent="0.35">
      <c r="A6311" s="12" t="s">
        <v>7431</v>
      </c>
      <c r="B6311" s="12" t="s">
        <v>1026</v>
      </c>
      <c r="C6311" s="12" t="s">
        <v>1027</v>
      </c>
      <c r="D6311" s="12" t="s">
        <v>122</v>
      </c>
      <c r="E6311" s="12" t="s">
        <v>104</v>
      </c>
      <c r="F6311">
        <v>3</v>
      </c>
      <c r="G6311">
        <v>1</v>
      </c>
      <c r="H6311">
        <v>0</v>
      </c>
      <c r="I6311" s="12" t="s">
        <v>183</v>
      </c>
      <c r="J6311" s="12" t="s">
        <v>184</v>
      </c>
      <c r="K6311" s="12" t="s">
        <v>133</v>
      </c>
      <c r="L6311" s="12" t="s">
        <v>82</v>
      </c>
      <c r="M6311">
        <v>8.6199999999999992</v>
      </c>
      <c r="N6311" s="12" t="s">
        <v>70</v>
      </c>
      <c r="O6311" s="12" t="s">
        <v>71</v>
      </c>
      <c r="P6311" s="12" t="s">
        <v>72</v>
      </c>
      <c r="Q6311" s="13">
        <v>46020</v>
      </c>
      <c r="R6311" s="13">
        <v>46047</v>
      </c>
      <c r="S6311">
        <v>2025</v>
      </c>
      <c r="T6311" s="12" t="s">
        <v>7261</v>
      </c>
      <c r="U6311">
        <v>1739</v>
      </c>
      <c r="V6311">
        <v>38.607999999999997</v>
      </c>
      <c r="W6311">
        <v>864.25</v>
      </c>
      <c r="X6311">
        <v>0</v>
      </c>
      <c r="Y6311">
        <v>0</v>
      </c>
      <c r="Z6311">
        <v>67139.31</v>
      </c>
      <c r="AA6311">
        <v>68003.56</v>
      </c>
      <c r="AB6311" s="12" t="s">
        <v>201</v>
      </c>
      <c r="AD6311">
        <v>0</v>
      </c>
      <c r="AE6311">
        <v>0</v>
      </c>
      <c r="AK6311">
        <v>0</v>
      </c>
      <c r="AL6311">
        <v>0</v>
      </c>
      <c r="AO6311">
        <v>0</v>
      </c>
      <c r="AP6311" s="13"/>
    </row>
    <row r="6312" spans="1:42" x14ac:dyDescent="0.35">
      <c r="A6312" s="12" t="s">
        <v>7432</v>
      </c>
      <c r="B6312" s="12" t="s">
        <v>1179</v>
      </c>
      <c r="C6312" s="12" t="s">
        <v>1180</v>
      </c>
      <c r="D6312" s="12" t="s">
        <v>122</v>
      </c>
      <c r="E6312" s="12" t="s">
        <v>142</v>
      </c>
      <c r="F6312">
        <v>1</v>
      </c>
      <c r="G6312">
        <v>8</v>
      </c>
      <c r="H6312">
        <v>1</v>
      </c>
      <c r="I6312" s="12" t="s">
        <v>143</v>
      </c>
      <c r="J6312" s="12" t="s">
        <v>144</v>
      </c>
      <c r="K6312" s="12" t="s">
        <v>133</v>
      </c>
      <c r="L6312" s="12" t="s">
        <v>96</v>
      </c>
      <c r="M6312">
        <v>5.43</v>
      </c>
      <c r="N6312" s="12" t="s">
        <v>97</v>
      </c>
      <c r="O6312" s="12" t="s">
        <v>98</v>
      </c>
      <c r="P6312" s="12" t="s">
        <v>72</v>
      </c>
      <c r="Q6312" s="13">
        <v>46020</v>
      </c>
      <c r="R6312" s="13">
        <v>46070</v>
      </c>
      <c r="S6312">
        <v>2025</v>
      </c>
      <c r="T6312" s="12" t="s">
        <v>7261</v>
      </c>
      <c r="U6312">
        <v>1741</v>
      </c>
      <c r="V6312">
        <v>52.209899999999998</v>
      </c>
      <c r="W6312">
        <v>1633.35</v>
      </c>
      <c r="X6312">
        <v>0</v>
      </c>
      <c r="Y6312">
        <v>0</v>
      </c>
      <c r="Z6312">
        <v>90897.44</v>
      </c>
      <c r="AA6312">
        <v>92530.79</v>
      </c>
      <c r="AB6312" s="12" t="s">
        <v>5533</v>
      </c>
      <c r="AC6312">
        <v>52.209899999999998</v>
      </c>
      <c r="AD6312">
        <v>1</v>
      </c>
      <c r="AE6312">
        <v>1</v>
      </c>
      <c r="AF6312">
        <v>0</v>
      </c>
      <c r="AG6312">
        <v>90897.44</v>
      </c>
      <c r="AK6312">
        <v>0</v>
      </c>
      <c r="AL6312">
        <v>0</v>
      </c>
      <c r="AO6312">
        <v>0</v>
      </c>
      <c r="AP6312" s="13"/>
    </row>
    <row r="6313" spans="1:42" x14ac:dyDescent="0.35">
      <c r="A6313" s="12" t="s">
        <v>7433</v>
      </c>
      <c r="B6313" s="12" t="s">
        <v>1042</v>
      </c>
      <c r="C6313" s="12" t="s">
        <v>1043</v>
      </c>
      <c r="D6313" s="12" t="s">
        <v>269</v>
      </c>
      <c r="E6313" s="12" t="s">
        <v>104</v>
      </c>
      <c r="F6313">
        <v>2</v>
      </c>
      <c r="G6313">
        <v>0</v>
      </c>
      <c r="H6313">
        <v>0</v>
      </c>
      <c r="I6313" s="12" t="s">
        <v>143</v>
      </c>
      <c r="J6313" s="12" t="s">
        <v>144</v>
      </c>
      <c r="K6313" s="12" t="s">
        <v>133</v>
      </c>
      <c r="L6313" s="12" t="s">
        <v>96</v>
      </c>
      <c r="M6313">
        <v>5.43</v>
      </c>
      <c r="N6313" s="12" t="s">
        <v>135</v>
      </c>
      <c r="O6313" s="12" t="s">
        <v>136</v>
      </c>
      <c r="P6313" s="12" t="s">
        <v>137</v>
      </c>
      <c r="Q6313" s="13">
        <v>46020</v>
      </c>
      <c r="R6313" s="13">
        <v>46043</v>
      </c>
      <c r="S6313">
        <v>2025</v>
      </c>
      <c r="T6313" s="12" t="s">
        <v>7261</v>
      </c>
      <c r="U6313">
        <v>97</v>
      </c>
      <c r="V6313">
        <v>283.76319999999998</v>
      </c>
      <c r="W6313">
        <v>363.85</v>
      </c>
      <c r="X6313">
        <v>0</v>
      </c>
      <c r="Y6313">
        <v>0</v>
      </c>
      <c r="Z6313">
        <v>27525.03</v>
      </c>
      <c r="AA6313">
        <v>27888.880000000001</v>
      </c>
      <c r="AB6313" s="12" t="s">
        <v>201</v>
      </c>
      <c r="AD6313">
        <v>0</v>
      </c>
      <c r="AE6313">
        <v>0</v>
      </c>
      <c r="AK6313">
        <v>0</v>
      </c>
      <c r="AL6313">
        <v>0</v>
      </c>
      <c r="AO6313">
        <v>0</v>
      </c>
      <c r="AP6313" s="13"/>
    </row>
    <row r="6314" spans="1:42" x14ac:dyDescent="0.35">
      <c r="A6314" s="12" t="s">
        <v>7434</v>
      </c>
      <c r="B6314" s="12" t="s">
        <v>221</v>
      </c>
      <c r="C6314" s="12" t="s">
        <v>222</v>
      </c>
      <c r="D6314" s="12" t="s">
        <v>114</v>
      </c>
      <c r="E6314" s="12" t="s">
        <v>142</v>
      </c>
      <c r="F6314">
        <v>3</v>
      </c>
      <c r="G6314">
        <v>11</v>
      </c>
      <c r="H6314">
        <v>0</v>
      </c>
      <c r="I6314" s="12" t="s">
        <v>105</v>
      </c>
      <c r="J6314" s="12" t="s">
        <v>106</v>
      </c>
      <c r="K6314" s="12" t="s">
        <v>81</v>
      </c>
      <c r="L6314" s="12" t="s">
        <v>96</v>
      </c>
      <c r="M6314">
        <v>5.01</v>
      </c>
      <c r="N6314" s="12" t="s">
        <v>97</v>
      </c>
      <c r="O6314" s="12" t="s">
        <v>98</v>
      </c>
      <c r="P6314" s="12" t="s">
        <v>72</v>
      </c>
      <c r="Q6314" s="13">
        <v>46020</v>
      </c>
      <c r="R6314" s="13">
        <v>46071</v>
      </c>
      <c r="S6314">
        <v>2025</v>
      </c>
      <c r="T6314" s="12" t="s">
        <v>7261</v>
      </c>
      <c r="U6314">
        <v>138</v>
      </c>
      <c r="V6314">
        <v>270.54570000000001</v>
      </c>
      <c r="W6314">
        <v>572.4</v>
      </c>
      <c r="X6314">
        <v>0</v>
      </c>
      <c r="Y6314">
        <v>0</v>
      </c>
      <c r="Z6314">
        <v>37335.31</v>
      </c>
      <c r="AA6314">
        <v>37907.71</v>
      </c>
      <c r="AB6314" s="12" t="s">
        <v>201</v>
      </c>
      <c r="AD6314">
        <v>0</v>
      </c>
      <c r="AE6314">
        <v>0</v>
      </c>
      <c r="AK6314">
        <v>0</v>
      </c>
      <c r="AL6314">
        <v>0</v>
      </c>
      <c r="AO6314">
        <v>0</v>
      </c>
      <c r="AP6314" s="13"/>
    </row>
    <row r="6315" spans="1:42" x14ac:dyDescent="0.35">
      <c r="A6315" s="12" t="s">
        <v>7435</v>
      </c>
      <c r="B6315" s="12" t="s">
        <v>433</v>
      </c>
      <c r="C6315" s="12" t="s">
        <v>434</v>
      </c>
      <c r="D6315" s="12" t="s">
        <v>78</v>
      </c>
      <c r="E6315" s="12" t="s">
        <v>65</v>
      </c>
      <c r="F6315">
        <v>2</v>
      </c>
      <c r="G6315">
        <v>4</v>
      </c>
      <c r="H6315">
        <v>0</v>
      </c>
      <c r="I6315" s="12" t="s">
        <v>105</v>
      </c>
      <c r="J6315" s="12" t="s">
        <v>106</v>
      </c>
      <c r="K6315" s="12" t="s">
        <v>81</v>
      </c>
      <c r="L6315" s="12" t="s">
        <v>96</v>
      </c>
      <c r="M6315">
        <v>5.01</v>
      </c>
      <c r="N6315" s="12" t="s">
        <v>70</v>
      </c>
      <c r="O6315" s="12" t="s">
        <v>71</v>
      </c>
      <c r="P6315" s="12" t="s">
        <v>72</v>
      </c>
      <c r="Q6315" s="13">
        <v>46020</v>
      </c>
      <c r="R6315" s="13">
        <v>46050</v>
      </c>
      <c r="S6315">
        <v>2025</v>
      </c>
      <c r="T6315" s="12" t="s">
        <v>7261</v>
      </c>
      <c r="U6315">
        <v>175</v>
      </c>
      <c r="V6315">
        <v>68.594099999999997</v>
      </c>
      <c r="W6315">
        <v>255.84</v>
      </c>
      <c r="X6315">
        <v>0</v>
      </c>
      <c r="Y6315">
        <v>0</v>
      </c>
      <c r="Z6315">
        <v>12003.97</v>
      </c>
      <c r="AA6315">
        <v>12259.81</v>
      </c>
      <c r="AB6315" s="12" t="s">
        <v>5436</v>
      </c>
      <c r="AC6315">
        <v>68.594099999999997</v>
      </c>
      <c r="AD6315">
        <v>1</v>
      </c>
      <c r="AE6315">
        <v>1</v>
      </c>
      <c r="AF6315">
        <v>0</v>
      </c>
      <c r="AG6315">
        <v>12003.97</v>
      </c>
      <c r="AK6315">
        <v>0</v>
      </c>
      <c r="AL6315">
        <v>0</v>
      </c>
      <c r="AO6315">
        <v>0</v>
      </c>
      <c r="AP6315" s="13"/>
    </row>
    <row r="6316" spans="1:42" x14ac:dyDescent="0.35">
      <c r="A6316" s="12" t="s">
        <v>7436</v>
      </c>
      <c r="B6316" s="12" t="s">
        <v>609</v>
      </c>
      <c r="C6316" s="12" t="s">
        <v>610</v>
      </c>
      <c r="D6316" s="12" t="s">
        <v>64</v>
      </c>
      <c r="E6316" s="12" t="s">
        <v>104</v>
      </c>
      <c r="F6316">
        <v>1</v>
      </c>
      <c r="G6316">
        <v>0</v>
      </c>
      <c r="H6316">
        <v>1</v>
      </c>
      <c r="I6316" s="12" t="s">
        <v>227</v>
      </c>
      <c r="J6316" s="12" t="s">
        <v>228</v>
      </c>
      <c r="K6316" s="12" t="s">
        <v>89</v>
      </c>
      <c r="L6316" s="12" t="s">
        <v>96</v>
      </c>
      <c r="M6316">
        <v>9.15</v>
      </c>
      <c r="N6316" s="12" t="s">
        <v>70</v>
      </c>
      <c r="O6316" s="12" t="s">
        <v>71</v>
      </c>
      <c r="P6316" s="12" t="s">
        <v>72</v>
      </c>
      <c r="Q6316" s="13">
        <v>46021</v>
      </c>
      <c r="R6316" s="13">
        <v>46037</v>
      </c>
      <c r="S6316">
        <v>2025</v>
      </c>
      <c r="T6316" s="12" t="s">
        <v>7261</v>
      </c>
      <c r="U6316">
        <v>308</v>
      </c>
      <c r="V6316">
        <v>20.683900000000001</v>
      </c>
      <c r="W6316">
        <v>83.28</v>
      </c>
      <c r="X6316">
        <v>0</v>
      </c>
      <c r="Y6316">
        <v>0</v>
      </c>
      <c r="Z6316">
        <v>6370.64</v>
      </c>
      <c r="AA6316">
        <v>6453.92</v>
      </c>
      <c r="AB6316" s="12" t="s">
        <v>5573</v>
      </c>
      <c r="AC6316">
        <v>20.683900000000001</v>
      </c>
      <c r="AD6316">
        <v>1</v>
      </c>
      <c r="AE6316">
        <v>1</v>
      </c>
      <c r="AF6316">
        <v>0</v>
      </c>
      <c r="AG6316">
        <v>6370.64</v>
      </c>
      <c r="AK6316">
        <v>0</v>
      </c>
      <c r="AL6316">
        <v>0</v>
      </c>
      <c r="AO6316">
        <v>0</v>
      </c>
      <c r="AP6316" s="13"/>
    </row>
    <row r="6317" spans="1:42" x14ac:dyDescent="0.35">
      <c r="A6317" s="12" t="s">
        <v>7437</v>
      </c>
      <c r="B6317" s="12" t="s">
        <v>646</v>
      </c>
      <c r="C6317" s="12" t="s">
        <v>647</v>
      </c>
      <c r="D6317" s="12" t="s">
        <v>175</v>
      </c>
      <c r="E6317" s="12" t="s">
        <v>104</v>
      </c>
      <c r="F6317">
        <v>3</v>
      </c>
      <c r="G6317">
        <v>1</v>
      </c>
      <c r="H6317">
        <v>0</v>
      </c>
      <c r="I6317" s="12" t="s">
        <v>227</v>
      </c>
      <c r="J6317" s="12" t="s">
        <v>228</v>
      </c>
      <c r="K6317" s="12" t="s">
        <v>89</v>
      </c>
      <c r="L6317" s="12" t="s">
        <v>96</v>
      </c>
      <c r="M6317">
        <v>9.15</v>
      </c>
      <c r="N6317" s="12" t="s">
        <v>107</v>
      </c>
      <c r="O6317" s="12" t="s">
        <v>108</v>
      </c>
      <c r="P6317" s="12" t="s">
        <v>109</v>
      </c>
      <c r="Q6317" s="13">
        <v>46021</v>
      </c>
      <c r="R6317" s="13">
        <v>46037</v>
      </c>
      <c r="S6317">
        <v>2025</v>
      </c>
      <c r="T6317" s="12" t="s">
        <v>7261</v>
      </c>
      <c r="U6317">
        <v>42</v>
      </c>
      <c r="V6317">
        <v>191.95849999999999</v>
      </c>
      <c r="W6317">
        <v>162.91999999999999</v>
      </c>
      <c r="X6317">
        <v>0</v>
      </c>
      <c r="Y6317">
        <v>0</v>
      </c>
      <c r="Z6317">
        <v>8062.26</v>
      </c>
      <c r="AA6317">
        <v>8225.18</v>
      </c>
      <c r="AB6317" s="12" t="s">
        <v>5935</v>
      </c>
      <c r="AC6317">
        <v>191.95849999999999</v>
      </c>
      <c r="AD6317">
        <v>1</v>
      </c>
      <c r="AE6317">
        <v>1</v>
      </c>
      <c r="AF6317">
        <v>0</v>
      </c>
      <c r="AG6317">
        <v>8062.26</v>
      </c>
      <c r="AK6317">
        <v>0</v>
      </c>
      <c r="AL6317">
        <v>0</v>
      </c>
      <c r="AO6317">
        <v>0</v>
      </c>
      <c r="AP6317" s="13"/>
    </row>
    <row r="6318" spans="1:42" x14ac:dyDescent="0.35">
      <c r="A6318" s="12" t="s">
        <v>7438</v>
      </c>
      <c r="B6318" s="12" t="s">
        <v>241</v>
      </c>
      <c r="C6318" s="12" t="s">
        <v>242</v>
      </c>
      <c r="D6318" s="12" t="s">
        <v>103</v>
      </c>
      <c r="E6318" s="12" t="s">
        <v>142</v>
      </c>
      <c r="F6318">
        <v>3</v>
      </c>
      <c r="G6318">
        <v>11</v>
      </c>
      <c r="H6318">
        <v>0</v>
      </c>
      <c r="I6318" s="12" t="s">
        <v>243</v>
      </c>
      <c r="J6318" s="12" t="s">
        <v>244</v>
      </c>
      <c r="K6318" s="12" t="s">
        <v>81</v>
      </c>
      <c r="L6318" s="12" t="s">
        <v>82</v>
      </c>
      <c r="M6318">
        <v>9.2200000000000006</v>
      </c>
      <c r="N6318" s="12" t="s">
        <v>107</v>
      </c>
      <c r="O6318" s="12" t="s">
        <v>108</v>
      </c>
      <c r="P6318" s="12" t="s">
        <v>109</v>
      </c>
      <c r="Q6318" s="13">
        <v>46021</v>
      </c>
      <c r="R6318" s="13">
        <v>46059</v>
      </c>
      <c r="S6318">
        <v>2025</v>
      </c>
      <c r="T6318" s="12" t="s">
        <v>7261</v>
      </c>
      <c r="U6318">
        <v>38</v>
      </c>
      <c r="V6318">
        <v>181.54560000000001</v>
      </c>
      <c r="W6318">
        <v>119.33</v>
      </c>
      <c r="X6318">
        <v>0</v>
      </c>
      <c r="Y6318">
        <v>0</v>
      </c>
      <c r="Z6318">
        <v>6898.73</v>
      </c>
      <c r="AA6318">
        <v>7018.06</v>
      </c>
      <c r="AB6318" s="12" t="s">
        <v>201</v>
      </c>
      <c r="AD6318">
        <v>0</v>
      </c>
      <c r="AE6318">
        <v>0</v>
      </c>
      <c r="AK6318">
        <v>0</v>
      </c>
      <c r="AL6318">
        <v>0</v>
      </c>
      <c r="AO6318">
        <v>0</v>
      </c>
      <c r="AP6318" s="13"/>
    </row>
    <row r="6319" spans="1:42" x14ac:dyDescent="0.35">
      <c r="A6319" s="12" t="s">
        <v>7439</v>
      </c>
      <c r="B6319" s="12" t="s">
        <v>173</v>
      </c>
      <c r="C6319" s="12" t="s">
        <v>174</v>
      </c>
      <c r="D6319" s="12" t="s">
        <v>175</v>
      </c>
      <c r="E6319" s="12" t="s">
        <v>104</v>
      </c>
      <c r="F6319">
        <v>3</v>
      </c>
      <c r="G6319">
        <v>1</v>
      </c>
      <c r="H6319">
        <v>0</v>
      </c>
      <c r="I6319" s="12" t="s">
        <v>176</v>
      </c>
      <c r="J6319" s="12" t="s">
        <v>177</v>
      </c>
      <c r="K6319" s="12" t="s">
        <v>125</v>
      </c>
      <c r="L6319" s="12" t="s">
        <v>134</v>
      </c>
      <c r="M6319">
        <v>1.75</v>
      </c>
      <c r="N6319" s="12" t="s">
        <v>107</v>
      </c>
      <c r="O6319" s="12" t="s">
        <v>108</v>
      </c>
      <c r="P6319" s="12" t="s">
        <v>109</v>
      </c>
      <c r="Q6319" s="13">
        <v>46021</v>
      </c>
      <c r="R6319" s="13">
        <v>46041</v>
      </c>
      <c r="S6319">
        <v>2025</v>
      </c>
      <c r="T6319" s="12" t="s">
        <v>7261</v>
      </c>
      <c r="U6319">
        <v>77</v>
      </c>
      <c r="V6319">
        <v>67.382400000000004</v>
      </c>
      <c r="W6319">
        <v>121.93</v>
      </c>
      <c r="X6319">
        <v>0</v>
      </c>
      <c r="Y6319">
        <v>0</v>
      </c>
      <c r="Z6319">
        <v>5188.4399999999996</v>
      </c>
      <c r="AA6319">
        <v>5310.37</v>
      </c>
      <c r="AB6319" s="12" t="s">
        <v>5221</v>
      </c>
      <c r="AC6319">
        <v>71.519599999999997</v>
      </c>
      <c r="AD6319">
        <v>1</v>
      </c>
      <c r="AE6319">
        <v>1</v>
      </c>
      <c r="AF6319">
        <v>-318.56</v>
      </c>
      <c r="AG6319">
        <v>5507.01</v>
      </c>
      <c r="AK6319">
        <v>0</v>
      </c>
      <c r="AL6319">
        <v>0</v>
      </c>
      <c r="AO6319">
        <v>0</v>
      </c>
      <c r="AP6319" s="13"/>
    </row>
    <row r="6320" spans="1:42" x14ac:dyDescent="0.35">
      <c r="A6320" s="12" t="s">
        <v>7440</v>
      </c>
      <c r="B6320" s="12" t="s">
        <v>482</v>
      </c>
      <c r="C6320" s="12" t="s">
        <v>483</v>
      </c>
      <c r="D6320" s="12" t="s">
        <v>78</v>
      </c>
      <c r="E6320" s="12" t="s">
        <v>142</v>
      </c>
      <c r="F6320">
        <v>2</v>
      </c>
      <c r="G6320">
        <v>9</v>
      </c>
      <c r="H6320">
        <v>0</v>
      </c>
      <c r="I6320" s="12" t="s">
        <v>183</v>
      </c>
      <c r="J6320" s="12" t="s">
        <v>184</v>
      </c>
      <c r="K6320" s="12" t="s">
        <v>133</v>
      </c>
      <c r="L6320" s="12" t="s">
        <v>82</v>
      </c>
      <c r="M6320">
        <v>8.6199999999999992</v>
      </c>
      <c r="N6320" s="12" t="s">
        <v>97</v>
      </c>
      <c r="O6320" s="12" t="s">
        <v>98</v>
      </c>
      <c r="P6320" s="12" t="s">
        <v>72</v>
      </c>
      <c r="Q6320" s="13">
        <v>46021</v>
      </c>
      <c r="R6320" s="13">
        <v>46063</v>
      </c>
      <c r="S6320">
        <v>2025</v>
      </c>
      <c r="T6320" s="12" t="s">
        <v>7261</v>
      </c>
      <c r="U6320">
        <v>144</v>
      </c>
      <c r="V6320">
        <v>46.313200000000002</v>
      </c>
      <c r="W6320">
        <v>63.87</v>
      </c>
      <c r="X6320">
        <v>0</v>
      </c>
      <c r="Y6320">
        <v>0</v>
      </c>
      <c r="Z6320">
        <v>6669.1</v>
      </c>
      <c r="AA6320">
        <v>6732.97</v>
      </c>
      <c r="AB6320" s="12" t="s">
        <v>201</v>
      </c>
      <c r="AD6320">
        <v>0</v>
      </c>
      <c r="AE6320">
        <v>0</v>
      </c>
      <c r="AK6320">
        <v>0</v>
      </c>
      <c r="AL6320">
        <v>0</v>
      </c>
      <c r="AO6320">
        <v>0</v>
      </c>
      <c r="AP6320" s="13"/>
    </row>
    <row r="6321" spans="1:42" x14ac:dyDescent="0.35">
      <c r="A6321" s="12" t="s">
        <v>7441</v>
      </c>
      <c r="B6321" s="12" t="s">
        <v>323</v>
      </c>
      <c r="C6321" s="12" t="s">
        <v>324</v>
      </c>
      <c r="D6321" s="12" t="s">
        <v>64</v>
      </c>
      <c r="E6321" s="12" t="s">
        <v>142</v>
      </c>
      <c r="F6321">
        <v>1</v>
      </c>
      <c r="G6321">
        <v>7</v>
      </c>
      <c r="H6321">
        <v>1</v>
      </c>
      <c r="I6321" s="12" t="s">
        <v>143</v>
      </c>
      <c r="J6321" s="12" t="s">
        <v>144</v>
      </c>
      <c r="K6321" s="12" t="s">
        <v>133</v>
      </c>
      <c r="L6321" s="12" t="s">
        <v>96</v>
      </c>
      <c r="M6321">
        <v>5.43</v>
      </c>
      <c r="N6321" s="12" t="s">
        <v>97</v>
      </c>
      <c r="O6321" s="12" t="s">
        <v>98</v>
      </c>
      <c r="P6321" s="12" t="s">
        <v>72</v>
      </c>
      <c r="Q6321" s="13">
        <v>46021</v>
      </c>
      <c r="R6321" s="13">
        <v>46065</v>
      </c>
      <c r="S6321">
        <v>2025</v>
      </c>
      <c r="T6321" s="12" t="s">
        <v>7261</v>
      </c>
      <c r="U6321">
        <v>579</v>
      </c>
      <c r="V6321">
        <v>39.226399999999998</v>
      </c>
      <c r="W6321">
        <v>244.5</v>
      </c>
      <c r="X6321">
        <v>0</v>
      </c>
      <c r="Y6321">
        <v>0</v>
      </c>
      <c r="Z6321">
        <v>22712.09</v>
      </c>
      <c r="AA6321">
        <v>22956.59</v>
      </c>
      <c r="AB6321" s="12" t="s">
        <v>5324</v>
      </c>
      <c r="AC6321">
        <v>39.226399999999998</v>
      </c>
      <c r="AD6321">
        <v>1</v>
      </c>
      <c r="AE6321">
        <v>1</v>
      </c>
      <c r="AF6321">
        <v>0</v>
      </c>
      <c r="AG6321">
        <v>22712.09</v>
      </c>
      <c r="AK6321">
        <v>0</v>
      </c>
      <c r="AL6321">
        <v>0</v>
      </c>
      <c r="AO6321">
        <v>0</v>
      </c>
      <c r="AP6321" s="13"/>
    </row>
    <row r="6322" spans="1:42" x14ac:dyDescent="0.35">
      <c r="A6322" s="12" t="s">
        <v>7442</v>
      </c>
      <c r="B6322" s="12" t="s">
        <v>602</v>
      </c>
      <c r="C6322" s="12" t="s">
        <v>603</v>
      </c>
      <c r="D6322" s="12" t="s">
        <v>114</v>
      </c>
      <c r="E6322" s="12" t="s">
        <v>142</v>
      </c>
      <c r="F6322">
        <v>2</v>
      </c>
      <c r="G6322">
        <v>10</v>
      </c>
      <c r="H6322">
        <v>0</v>
      </c>
      <c r="I6322" s="12" t="s">
        <v>263</v>
      </c>
      <c r="J6322" s="12" t="s">
        <v>264</v>
      </c>
      <c r="K6322" s="12" t="s">
        <v>125</v>
      </c>
      <c r="L6322" s="12" t="s">
        <v>82</v>
      </c>
      <c r="M6322">
        <v>10.210000000000001</v>
      </c>
      <c r="N6322" s="12" t="s">
        <v>97</v>
      </c>
      <c r="O6322" s="12" t="s">
        <v>98</v>
      </c>
      <c r="P6322" s="12" t="s">
        <v>72</v>
      </c>
      <c r="Q6322" s="13">
        <v>46021</v>
      </c>
      <c r="R6322" s="13">
        <v>46059</v>
      </c>
      <c r="S6322">
        <v>2025</v>
      </c>
      <c r="T6322" s="12" t="s">
        <v>7261</v>
      </c>
      <c r="U6322">
        <v>37</v>
      </c>
      <c r="V6322">
        <v>207.9658</v>
      </c>
      <c r="W6322">
        <v>154.94</v>
      </c>
      <c r="X6322">
        <v>0</v>
      </c>
      <c r="Y6322">
        <v>0</v>
      </c>
      <c r="Z6322">
        <v>7694.73</v>
      </c>
      <c r="AA6322">
        <v>7849.67</v>
      </c>
      <c r="AB6322" s="12" t="s">
        <v>5373</v>
      </c>
      <c r="AC6322">
        <v>207.9658</v>
      </c>
      <c r="AD6322">
        <v>1</v>
      </c>
      <c r="AE6322">
        <v>1</v>
      </c>
      <c r="AF6322">
        <v>0</v>
      </c>
      <c r="AG6322">
        <v>7694.73</v>
      </c>
      <c r="AK6322">
        <v>0</v>
      </c>
      <c r="AL6322">
        <v>0</v>
      </c>
      <c r="AO6322">
        <v>0</v>
      </c>
      <c r="AP6322" s="13"/>
    </row>
    <row r="6323" spans="1:42" x14ac:dyDescent="0.35">
      <c r="A6323" s="12" t="s">
        <v>7443</v>
      </c>
      <c r="B6323" s="12" t="s">
        <v>674</v>
      </c>
      <c r="C6323" s="12" t="s">
        <v>675</v>
      </c>
      <c r="D6323" s="12" t="s">
        <v>269</v>
      </c>
      <c r="E6323" s="12" t="s">
        <v>142</v>
      </c>
      <c r="F6323">
        <v>1</v>
      </c>
      <c r="G6323">
        <v>7</v>
      </c>
      <c r="H6323">
        <v>1</v>
      </c>
      <c r="I6323" s="12" t="s">
        <v>676</v>
      </c>
      <c r="J6323" s="12" t="s">
        <v>677</v>
      </c>
      <c r="K6323" s="12" t="s">
        <v>68</v>
      </c>
      <c r="L6323" s="12" t="s">
        <v>96</v>
      </c>
      <c r="M6323">
        <v>3.57</v>
      </c>
      <c r="N6323" s="12" t="s">
        <v>159</v>
      </c>
      <c r="O6323" s="12" t="s">
        <v>160</v>
      </c>
      <c r="P6323" s="12" t="s">
        <v>137</v>
      </c>
      <c r="Q6323" s="13">
        <v>46022</v>
      </c>
      <c r="R6323" s="13">
        <v>46073</v>
      </c>
      <c r="S6323">
        <v>2025</v>
      </c>
      <c r="T6323" s="12" t="s">
        <v>7261</v>
      </c>
      <c r="U6323">
        <v>139</v>
      </c>
      <c r="V6323">
        <v>344.29180000000002</v>
      </c>
      <c r="W6323">
        <v>763.96</v>
      </c>
      <c r="X6323">
        <v>0</v>
      </c>
      <c r="Y6323">
        <v>0</v>
      </c>
      <c r="Z6323">
        <v>47856.56</v>
      </c>
      <c r="AA6323">
        <v>48620.52</v>
      </c>
      <c r="AB6323" s="12" t="s">
        <v>201</v>
      </c>
      <c r="AD6323">
        <v>0</v>
      </c>
      <c r="AE6323">
        <v>0</v>
      </c>
      <c r="AK6323">
        <v>0</v>
      </c>
      <c r="AL6323">
        <v>0</v>
      </c>
      <c r="AO6323">
        <v>0</v>
      </c>
      <c r="AP6323" s="13"/>
    </row>
    <row r="6324" spans="1:42" x14ac:dyDescent="0.35">
      <c r="A6324" s="12" t="s">
        <v>7444</v>
      </c>
      <c r="B6324" s="12" t="s">
        <v>112</v>
      </c>
      <c r="C6324" s="12" t="s">
        <v>113</v>
      </c>
      <c r="D6324" s="12" t="s">
        <v>114</v>
      </c>
      <c r="E6324" s="12" t="s">
        <v>104</v>
      </c>
      <c r="F6324">
        <v>3</v>
      </c>
      <c r="G6324">
        <v>1</v>
      </c>
      <c r="H6324">
        <v>0</v>
      </c>
      <c r="I6324" s="12" t="s">
        <v>227</v>
      </c>
      <c r="J6324" s="12" t="s">
        <v>228</v>
      </c>
      <c r="K6324" s="12" t="s">
        <v>89</v>
      </c>
      <c r="L6324" s="12" t="s">
        <v>96</v>
      </c>
      <c r="M6324">
        <v>9.15</v>
      </c>
      <c r="N6324" s="12" t="s">
        <v>97</v>
      </c>
      <c r="O6324" s="12" t="s">
        <v>98</v>
      </c>
      <c r="P6324" s="12" t="s">
        <v>72</v>
      </c>
      <c r="Q6324" s="13">
        <v>46022</v>
      </c>
      <c r="R6324" s="13">
        <v>46038</v>
      </c>
      <c r="S6324">
        <v>2025</v>
      </c>
      <c r="T6324" s="12" t="s">
        <v>7261</v>
      </c>
      <c r="U6324">
        <v>41</v>
      </c>
      <c r="V6324">
        <v>268.97469999999998</v>
      </c>
      <c r="W6324">
        <v>88.09</v>
      </c>
      <c r="X6324">
        <v>0</v>
      </c>
      <c r="Y6324">
        <v>0</v>
      </c>
      <c r="Z6324">
        <v>11027.96</v>
      </c>
      <c r="AA6324">
        <v>11116.05</v>
      </c>
      <c r="AB6324" s="12" t="s">
        <v>201</v>
      </c>
      <c r="AD6324">
        <v>0</v>
      </c>
      <c r="AE6324">
        <v>0</v>
      </c>
      <c r="AK6324">
        <v>0</v>
      </c>
      <c r="AL6324">
        <v>0</v>
      </c>
      <c r="AO6324">
        <v>0</v>
      </c>
      <c r="AP6324" s="13"/>
    </row>
    <row r="6325" spans="1:42" x14ac:dyDescent="0.35">
      <c r="A6325" s="12" t="s">
        <v>7445</v>
      </c>
      <c r="B6325" s="12" t="s">
        <v>408</v>
      </c>
      <c r="C6325" s="12" t="s">
        <v>409</v>
      </c>
      <c r="D6325" s="12" t="s">
        <v>130</v>
      </c>
      <c r="E6325" s="12" t="s">
        <v>65</v>
      </c>
      <c r="F6325">
        <v>3</v>
      </c>
      <c r="G6325">
        <v>5</v>
      </c>
      <c r="H6325">
        <v>0</v>
      </c>
      <c r="I6325" s="12" t="s">
        <v>94</v>
      </c>
      <c r="J6325" s="12" t="s">
        <v>95</v>
      </c>
      <c r="K6325" s="12" t="s">
        <v>81</v>
      </c>
      <c r="L6325" s="12" t="s">
        <v>96</v>
      </c>
      <c r="M6325">
        <v>4.8099999999999996</v>
      </c>
      <c r="N6325" s="12" t="s">
        <v>159</v>
      </c>
      <c r="O6325" s="12" t="s">
        <v>160</v>
      </c>
      <c r="P6325" s="12" t="s">
        <v>137</v>
      </c>
      <c r="Q6325" s="13">
        <v>46022</v>
      </c>
      <c r="R6325" s="13">
        <v>46051</v>
      </c>
      <c r="S6325">
        <v>2025</v>
      </c>
      <c r="T6325" s="12" t="s">
        <v>7261</v>
      </c>
      <c r="U6325">
        <v>74</v>
      </c>
      <c r="V6325">
        <v>790.26430000000005</v>
      </c>
      <c r="W6325">
        <v>1366.41</v>
      </c>
      <c r="X6325">
        <v>0</v>
      </c>
      <c r="Y6325">
        <v>0</v>
      </c>
      <c r="Z6325">
        <v>58479.56</v>
      </c>
      <c r="AA6325">
        <v>59845.97</v>
      </c>
      <c r="AB6325" s="12" t="s">
        <v>201</v>
      </c>
      <c r="AD6325">
        <v>0</v>
      </c>
      <c r="AE6325">
        <v>0</v>
      </c>
      <c r="AK6325">
        <v>0</v>
      </c>
      <c r="AL6325">
        <v>0</v>
      </c>
      <c r="AO6325">
        <v>0</v>
      </c>
      <c r="AP6325" s="13"/>
    </row>
    <row r="6326" spans="1:42" x14ac:dyDescent="0.35">
      <c r="A6326" s="12" t="s">
        <v>7446</v>
      </c>
      <c r="B6326" s="12" t="s">
        <v>339</v>
      </c>
      <c r="C6326" s="12" t="s">
        <v>340</v>
      </c>
      <c r="D6326" s="12" t="s">
        <v>103</v>
      </c>
      <c r="E6326" s="12" t="s">
        <v>142</v>
      </c>
      <c r="F6326">
        <v>2</v>
      </c>
      <c r="G6326">
        <v>9</v>
      </c>
      <c r="H6326">
        <v>0</v>
      </c>
      <c r="I6326" s="12" t="s">
        <v>169</v>
      </c>
      <c r="J6326" s="12" t="s">
        <v>170</v>
      </c>
      <c r="K6326" s="12" t="s">
        <v>89</v>
      </c>
      <c r="L6326" s="12" t="s">
        <v>134</v>
      </c>
      <c r="M6326">
        <v>1.37</v>
      </c>
      <c r="N6326" s="12" t="s">
        <v>107</v>
      </c>
      <c r="O6326" s="12" t="s">
        <v>108</v>
      </c>
      <c r="P6326" s="12" t="s">
        <v>109</v>
      </c>
      <c r="Q6326" s="13">
        <v>46022</v>
      </c>
      <c r="R6326" s="13">
        <v>46071</v>
      </c>
      <c r="S6326">
        <v>2025</v>
      </c>
      <c r="T6326" s="12" t="s">
        <v>7261</v>
      </c>
      <c r="U6326">
        <v>122</v>
      </c>
      <c r="V6326">
        <v>236.3116</v>
      </c>
      <c r="W6326">
        <v>181.54</v>
      </c>
      <c r="X6326">
        <v>922.12</v>
      </c>
      <c r="Y6326">
        <v>1</v>
      </c>
      <c r="Z6326">
        <v>28830.02</v>
      </c>
      <c r="AA6326">
        <v>29933.68</v>
      </c>
      <c r="AB6326" s="12" t="s">
        <v>5394</v>
      </c>
      <c r="AC6326">
        <v>236.3116</v>
      </c>
      <c r="AD6326">
        <v>1</v>
      </c>
      <c r="AE6326">
        <v>1</v>
      </c>
      <c r="AF6326">
        <v>0</v>
      </c>
      <c r="AG6326">
        <v>28830.02</v>
      </c>
      <c r="AK6326">
        <v>0</v>
      </c>
      <c r="AL6326">
        <v>0</v>
      </c>
      <c r="AO6326">
        <v>0</v>
      </c>
      <c r="AP6326" s="13"/>
    </row>
    <row r="6327" spans="1:42" x14ac:dyDescent="0.35">
      <c r="A6327" s="12" t="s">
        <v>7447</v>
      </c>
      <c r="B6327" s="12" t="s">
        <v>924</v>
      </c>
      <c r="C6327" s="12" t="s">
        <v>925</v>
      </c>
      <c r="D6327" s="12" t="s">
        <v>103</v>
      </c>
      <c r="E6327" s="12" t="s">
        <v>104</v>
      </c>
      <c r="F6327">
        <v>2</v>
      </c>
      <c r="G6327">
        <v>0</v>
      </c>
      <c r="H6327">
        <v>0</v>
      </c>
      <c r="I6327" s="12" t="s">
        <v>335</v>
      </c>
      <c r="J6327" s="12" t="s">
        <v>336</v>
      </c>
      <c r="K6327" s="12" t="s">
        <v>89</v>
      </c>
      <c r="L6327" s="12" t="s">
        <v>82</v>
      </c>
      <c r="M6327">
        <v>16</v>
      </c>
      <c r="N6327" s="12" t="s">
        <v>107</v>
      </c>
      <c r="O6327" s="12" t="s">
        <v>108</v>
      </c>
      <c r="P6327" s="12" t="s">
        <v>109</v>
      </c>
      <c r="Q6327" s="13">
        <v>46022</v>
      </c>
      <c r="R6327" s="13">
        <v>46034</v>
      </c>
      <c r="S6327">
        <v>2025</v>
      </c>
      <c r="T6327" s="12" t="s">
        <v>7261</v>
      </c>
      <c r="U6327">
        <v>14</v>
      </c>
      <c r="V6327">
        <v>172.25299999999999</v>
      </c>
      <c r="W6327">
        <v>51.95</v>
      </c>
      <c r="X6327">
        <v>0</v>
      </c>
      <c r="Y6327">
        <v>0</v>
      </c>
      <c r="Z6327">
        <v>2411.54</v>
      </c>
      <c r="AA6327">
        <v>2463.4899999999998</v>
      </c>
      <c r="AB6327" s="12" t="s">
        <v>201</v>
      </c>
      <c r="AD6327">
        <v>0</v>
      </c>
      <c r="AE6327">
        <v>0</v>
      </c>
      <c r="AK6327">
        <v>0</v>
      </c>
      <c r="AL6327">
        <v>0</v>
      </c>
      <c r="AO6327">
        <v>0</v>
      </c>
      <c r="AP6327" s="13"/>
    </row>
    <row r="6328" spans="1:42" x14ac:dyDescent="0.35">
      <c r="A6328" s="12" t="s">
        <v>7448</v>
      </c>
      <c r="B6328" s="12" t="s">
        <v>447</v>
      </c>
      <c r="C6328" s="12" t="s">
        <v>448</v>
      </c>
      <c r="D6328" s="12" t="s">
        <v>269</v>
      </c>
      <c r="E6328" s="12" t="s">
        <v>65</v>
      </c>
      <c r="F6328">
        <v>2</v>
      </c>
      <c r="G6328">
        <v>2</v>
      </c>
      <c r="H6328">
        <v>0</v>
      </c>
      <c r="I6328" s="12" t="s">
        <v>94</v>
      </c>
      <c r="J6328" s="12" t="s">
        <v>95</v>
      </c>
      <c r="K6328" s="12" t="s">
        <v>81</v>
      </c>
      <c r="L6328" s="12" t="s">
        <v>96</v>
      </c>
      <c r="M6328">
        <v>4.8099999999999996</v>
      </c>
      <c r="N6328" s="12" t="s">
        <v>159</v>
      </c>
      <c r="O6328" s="12" t="s">
        <v>160</v>
      </c>
      <c r="P6328" s="12" t="s">
        <v>137</v>
      </c>
      <c r="Q6328" s="13">
        <v>46022</v>
      </c>
      <c r="R6328" s="13">
        <v>46047</v>
      </c>
      <c r="S6328">
        <v>2025</v>
      </c>
      <c r="T6328" s="12" t="s">
        <v>7261</v>
      </c>
      <c r="U6328">
        <v>42</v>
      </c>
      <c r="V6328">
        <v>367.30009999999999</v>
      </c>
      <c r="W6328">
        <v>177.62</v>
      </c>
      <c r="X6328">
        <v>0</v>
      </c>
      <c r="Y6328">
        <v>0</v>
      </c>
      <c r="Z6328">
        <v>15426.6</v>
      </c>
      <c r="AA6328">
        <v>15604.22</v>
      </c>
      <c r="AB6328" s="12" t="s">
        <v>5685</v>
      </c>
      <c r="AC6328">
        <v>367.30009999999999</v>
      </c>
      <c r="AD6328">
        <v>1</v>
      </c>
      <c r="AE6328">
        <v>1</v>
      </c>
      <c r="AF6328">
        <v>0</v>
      </c>
      <c r="AG6328">
        <v>15426.6</v>
      </c>
      <c r="AK6328">
        <v>0</v>
      </c>
      <c r="AL6328">
        <v>0</v>
      </c>
      <c r="AO6328">
        <v>0</v>
      </c>
      <c r="AP6328" s="13"/>
    </row>
  </sheetData>
  <phoneticPr fontId="6"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7DD4F-F4DB-456D-A612-2159998AE42C}">
  <dimension ref="A1:AA186"/>
  <sheetViews>
    <sheetView workbookViewId="0"/>
  </sheetViews>
  <sheetFormatPr defaultRowHeight="14.5" x14ac:dyDescent="0.35"/>
  <cols>
    <col min="1" max="1" width="13.1796875" bestFit="1" customWidth="1"/>
    <col min="2" max="2" width="28.36328125" bestFit="1" customWidth="1"/>
    <col min="3" max="3" width="13.90625" bestFit="1" customWidth="1"/>
    <col min="4" max="4" width="11.36328125" bestFit="1" customWidth="1"/>
    <col min="5" max="5" width="23.1796875" bestFit="1" customWidth="1"/>
    <col min="6" max="6" width="20.36328125" bestFit="1" customWidth="1"/>
    <col min="7" max="7" width="10.81640625" bestFit="1" customWidth="1"/>
    <col min="8" max="8" width="27.6328125" bestFit="1" customWidth="1"/>
    <col min="9" max="9" width="12.08984375" bestFit="1" customWidth="1"/>
    <col min="10" max="10" width="23.90625" bestFit="1" customWidth="1"/>
    <col min="11" max="11" width="10.7265625" bestFit="1" customWidth="1"/>
    <col min="12" max="12" width="10.453125" bestFit="1" customWidth="1"/>
    <col min="13" max="13" width="14.36328125" bestFit="1" customWidth="1"/>
    <col min="14" max="14" width="7.54296875" bestFit="1" customWidth="1"/>
    <col min="15" max="15" width="10" bestFit="1" customWidth="1"/>
    <col min="16" max="16" width="12.54296875" bestFit="1" customWidth="1"/>
    <col min="17" max="17" width="9.1796875" bestFit="1" customWidth="1"/>
    <col min="18" max="18" width="11.7265625" bestFit="1" customWidth="1"/>
    <col min="19" max="19" width="11.08984375" bestFit="1" customWidth="1"/>
    <col min="20" max="20" width="10.81640625" bestFit="1" customWidth="1"/>
    <col min="21" max="21" width="15.1796875" bestFit="1" customWidth="1"/>
    <col min="22" max="22" width="21.7265625" bestFit="1" customWidth="1"/>
    <col min="23" max="23" width="18.36328125" bestFit="1" customWidth="1"/>
    <col min="24" max="24" width="17.453125" bestFit="1" customWidth="1"/>
    <col min="25" max="25" width="18.81640625" bestFit="1" customWidth="1"/>
    <col min="26" max="26" width="19" bestFit="1" customWidth="1"/>
    <col min="27" max="27" width="19.08984375" bestFit="1" customWidth="1"/>
  </cols>
  <sheetData>
    <row r="1" spans="1:27" s="3" customFormat="1" x14ac:dyDescent="0.35">
      <c r="A1" s="3" t="s">
        <v>18</v>
      </c>
      <c r="B1" s="3" t="s">
        <v>19</v>
      </c>
      <c r="C1" s="3" t="s">
        <v>20</v>
      </c>
      <c r="D1" s="3" t="s">
        <v>21</v>
      </c>
      <c r="E1" s="3" t="s">
        <v>22</v>
      </c>
      <c r="F1" s="3" t="s">
        <v>23</v>
      </c>
      <c r="G1" s="3" t="s">
        <v>25</v>
      </c>
      <c r="H1" s="3" t="s">
        <v>26</v>
      </c>
      <c r="I1" s="3" t="s">
        <v>28</v>
      </c>
      <c r="J1" s="3" t="s">
        <v>29</v>
      </c>
      <c r="K1" s="3" t="s">
        <v>7449</v>
      </c>
      <c r="L1" s="3" t="s">
        <v>7450</v>
      </c>
      <c r="M1" s="3" t="s">
        <v>7451</v>
      </c>
      <c r="N1" s="3" t="s">
        <v>7452</v>
      </c>
      <c r="O1" s="3" t="s">
        <v>7453</v>
      </c>
      <c r="P1" s="3" t="s">
        <v>7454</v>
      </c>
      <c r="Q1" s="3" t="s">
        <v>7455</v>
      </c>
      <c r="R1" s="3" t="s">
        <v>7456</v>
      </c>
      <c r="S1" s="3" t="s">
        <v>7457</v>
      </c>
      <c r="T1" s="3" t="s">
        <v>7458</v>
      </c>
      <c r="U1" s="3" t="s">
        <v>7459</v>
      </c>
      <c r="V1" s="3" t="s">
        <v>7460</v>
      </c>
      <c r="W1" s="3" t="s">
        <v>7461</v>
      </c>
      <c r="X1" s="3" t="s">
        <v>7462</v>
      </c>
      <c r="Y1" s="3" t="s">
        <v>7463</v>
      </c>
      <c r="Z1" s="3" t="s">
        <v>7464</v>
      </c>
      <c r="AA1" s="3" t="s">
        <v>7465</v>
      </c>
    </row>
    <row r="2" spans="1:27" x14ac:dyDescent="0.35">
      <c r="A2" s="12" t="s">
        <v>869</v>
      </c>
      <c r="B2" s="12" t="s">
        <v>870</v>
      </c>
      <c r="C2" s="12" t="s">
        <v>130</v>
      </c>
      <c r="D2" s="12" t="s">
        <v>104</v>
      </c>
      <c r="E2">
        <v>2</v>
      </c>
      <c r="F2">
        <v>0</v>
      </c>
      <c r="G2" s="12" t="s">
        <v>515</v>
      </c>
      <c r="H2" s="12" t="s">
        <v>516</v>
      </c>
      <c r="I2" s="12" t="s">
        <v>134</v>
      </c>
      <c r="J2">
        <v>3.69</v>
      </c>
      <c r="K2" s="13">
        <v>45043</v>
      </c>
      <c r="L2" s="13">
        <v>45973</v>
      </c>
      <c r="M2">
        <v>2.5459999999999998</v>
      </c>
      <c r="N2">
        <v>34</v>
      </c>
      <c r="O2">
        <v>2688</v>
      </c>
      <c r="P2">
        <v>1686697.08</v>
      </c>
      <c r="Q2">
        <v>1108</v>
      </c>
      <c r="R2">
        <v>714564.24</v>
      </c>
      <c r="S2">
        <v>583.34230000000002</v>
      </c>
      <c r="T2">
        <v>652.11720000000003</v>
      </c>
      <c r="U2">
        <v>471.76670000000001</v>
      </c>
      <c r="V2">
        <v>8</v>
      </c>
      <c r="W2">
        <v>2</v>
      </c>
      <c r="X2">
        <v>-4.4740000000000002</v>
      </c>
      <c r="Y2">
        <v>-55.93</v>
      </c>
      <c r="Z2">
        <v>180.35050000000001</v>
      </c>
      <c r="AA2">
        <v>199828.4</v>
      </c>
    </row>
    <row r="3" spans="1:27" x14ac:dyDescent="0.35">
      <c r="A3" s="12" t="s">
        <v>972</v>
      </c>
      <c r="B3" s="12" t="s">
        <v>973</v>
      </c>
      <c r="C3" s="12" t="s">
        <v>130</v>
      </c>
      <c r="D3" s="12" t="s">
        <v>142</v>
      </c>
      <c r="E3">
        <v>2</v>
      </c>
      <c r="F3">
        <v>9</v>
      </c>
      <c r="G3" s="12" t="s">
        <v>676</v>
      </c>
      <c r="H3" s="12" t="s">
        <v>677</v>
      </c>
      <c r="I3" s="12" t="s">
        <v>96</v>
      </c>
      <c r="J3">
        <v>3.57</v>
      </c>
      <c r="K3" s="13">
        <v>45054</v>
      </c>
      <c r="L3" s="13">
        <v>46013</v>
      </c>
      <c r="M3">
        <v>2.6259999999999999</v>
      </c>
      <c r="N3">
        <v>32</v>
      </c>
      <c r="O3">
        <v>2380</v>
      </c>
      <c r="P3">
        <v>2003959.39</v>
      </c>
      <c r="Q3">
        <v>1189</v>
      </c>
      <c r="R3">
        <v>997643.82</v>
      </c>
      <c r="S3">
        <v>849.1721</v>
      </c>
      <c r="T3">
        <v>832.80709999999999</v>
      </c>
      <c r="U3">
        <v>682.1857</v>
      </c>
      <c r="V3">
        <v>8</v>
      </c>
      <c r="W3">
        <v>2</v>
      </c>
      <c r="X3">
        <v>0.73799999999999999</v>
      </c>
      <c r="Y3">
        <v>9.23</v>
      </c>
      <c r="Z3">
        <v>150.62139999999999</v>
      </c>
      <c r="AA3">
        <v>179088.8</v>
      </c>
    </row>
    <row r="4" spans="1:27" x14ac:dyDescent="0.35">
      <c r="A4" s="12" t="s">
        <v>231</v>
      </c>
      <c r="B4" s="12" t="s">
        <v>232</v>
      </c>
      <c r="C4" s="12" t="s">
        <v>130</v>
      </c>
      <c r="D4" s="12" t="s">
        <v>65</v>
      </c>
      <c r="E4">
        <v>1</v>
      </c>
      <c r="F4">
        <v>2</v>
      </c>
      <c r="G4" s="12" t="s">
        <v>233</v>
      </c>
      <c r="H4" s="12" t="s">
        <v>234</v>
      </c>
      <c r="I4" s="12" t="s">
        <v>96</v>
      </c>
      <c r="J4">
        <v>3.73</v>
      </c>
      <c r="K4" s="13">
        <v>44960</v>
      </c>
      <c r="L4" s="13">
        <v>46007</v>
      </c>
      <c r="M4">
        <v>2.867</v>
      </c>
      <c r="N4">
        <v>48</v>
      </c>
      <c r="O4">
        <v>4301</v>
      </c>
      <c r="P4">
        <v>2459614.58</v>
      </c>
      <c r="Q4">
        <v>1521</v>
      </c>
      <c r="R4">
        <v>686912.99</v>
      </c>
      <c r="S4">
        <v>416.40039999999999</v>
      </c>
      <c r="T4">
        <v>443.97469999999998</v>
      </c>
      <c r="U4">
        <v>327.86180000000002</v>
      </c>
      <c r="V4">
        <v>8</v>
      </c>
      <c r="W4">
        <v>2</v>
      </c>
      <c r="X4">
        <v>-2.262</v>
      </c>
      <c r="Y4">
        <v>-28.28</v>
      </c>
      <c r="Z4">
        <v>116.1129</v>
      </c>
      <c r="AA4">
        <v>176607.69</v>
      </c>
    </row>
    <row r="5" spans="1:27" x14ac:dyDescent="0.35">
      <c r="A5" s="12" t="s">
        <v>408</v>
      </c>
      <c r="B5" s="12" t="s">
        <v>409</v>
      </c>
      <c r="C5" s="12" t="s">
        <v>130</v>
      </c>
      <c r="D5" s="12" t="s">
        <v>65</v>
      </c>
      <c r="E5">
        <v>3</v>
      </c>
      <c r="F5">
        <v>5</v>
      </c>
      <c r="G5" s="12" t="s">
        <v>105</v>
      </c>
      <c r="H5" s="12" t="s">
        <v>106</v>
      </c>
      <c r="I5" s="12" t="s">
        <v>96</v>
      </c>
      <c r="J5">
        <v>5.01</v>
      </c>
      <c r="K5" s="13">
        <v>44991</v>
      </c>
      <c r="L5" s="13">
        <v>46010</v>
      </c>
      <c r="M5">
        <v>2.79</v>
      </c>
      <c r="N5">
        <v>33</v>
      </c>
      <c r="O5">
        <v>2680</v>
      </c>
      <c r="P5">
        <v>1994642.87</v>
      </c>
      <c r="Q5">
        <v>1357</v>
      </c>
      <c r="R5">
        <v>988567.39</v>
      </c>
      <c r="S5">
        <v>770.47230000000002</v>
      </c>
      <c r="T5">
        <v>724.06979999999999</v>
      </c>
      <c r="U5">
        <v>610.55539999999996</v>
      </c>
      <c r="V5">
        <v>8</v>
      </c>
      <c r="W5">
        <v>2</v>
      </c>
      <c r="X5">
        <v>2.202</v>
      </c>
      <c r="Y5">
        <v>27.53</v>
      </c>
      <c r="Z5">
        <v>113.51439999999999</v>
      </c>
      <c r="AA5">
        <v>154039.04000000001</v>
      </c>
    </row>
    <row r="6" spans="1:27" x14ac:dyDescent="0.35">
      <c r="A6" s="12" t="s">
        <v>598</v>
      </c>
      <c r="B6" s="12" t="s">
        <v>599</v>
      </c>
      <c r="C6" s="12" t="s">
        <v>269</v>
      </c>
      <c r="D6" s="12" t="s">
        <v>65</v>
      </c>
      <c r="E6">
        <v>1</v>
      </c>
      <c r="F6">
        <v>2</v>
      </c>
      <c r="G6" s="12" t="s">
        <v>176</v>
      </c>
      <c r="H6" s="12" t="s">
        <v>177</v>
      </c>
      <c r="I6" s="12" t="s">
        <v>134</v>
      </c>
      <c r="J6">
        <v>1.75</v>
      </c>
      <c r="K6" s="13">
        <v>45015</v>
      </c>
      <c r="L6" s="13">
        <v>46007</v>
      </c>
      <c r="M6">
        <v>2.7160000000000002</v>
      </c>
      <c r="N6">
        <v>33</v>
      </c>
      <c r="O6">
        <v>2500</v>
      </c>
      <c r="P6">
        <v>1176025.1399999999</v>
      </c>
      <c r="Q6">
        <v>875</v>
      </c>
      <c r="R6">
        <v>436614.97</v>
      </c>
      <c r="S6">
        <v>454.90469999999999</v>
      </c>
      <c r="T6">
        <v>499.50450000000001</v>
      </c>
      <c r="U6">
        <v>379.00490000000002</v>
      </c>
      <c r="V6">
        <v>6.5</v>
      </c>
      <c r="W6">
        <v>2</v>
      </c>
      <c r="X6">
        <v>-3.504</v>
      </c>
      <c r="Y6">
        <v>-53.91</v>
      </c>
      <c r="Z6">
        <v>120.4996</v>
      </c>
      <c r="AA6">
        <v>105437.11</v>
      </c>
    </row>
    <row r="7" spans="1:27" x14ac:dyDescent="0.35">
      <c r="A7" s="12" t="s">
        <v>978</v>
      </c>
      <c r="B7" s="12" t="s">
        <v>979</v>
      </c>
      <c r="C7" s="12" t="s">
        <v>122</v>
      </c>
      <c r="D7" s="12" t="s">
        <v>65</v>
      </c>
      <c r="E7">
        <v>1</v>
      </c>
      <c r="F7">
        <v>2</v>
      </c>
      <c r="G7" s="12" t="s">
        <v>310</v>
      </c>
      <c r="H7" s="12" t="s">
        <v>311</v>
      </c>
      <c r="I7" s="12" t="s">
        <v>69</v>
      </c>
      <c r="J7">
        <v>28.3</v>
      </c>
      <c r="K7" s="13">
        <v>45055</v>
      </c>
      <c r="L7" s="13">
        <v>46015</v>
      </c>
      <c r="M7">
        <v>2.6280000000000001</v>
      </c>
      <c r="N7">
        <v>43</v>
      </c>
      <c r="O7">
        <v>50236</v>
      </c>
      <c r="P7">
        <v>2184683.88</v>
      </c>
      <c r="Q7">
        <v>23567</v>
      </c>
      <c r="R7">
        <v>1026650.19</v>
      </c>
      <c r="S7">
        <v>43.709699999999998</v>
      </c>
      <c r="T7">
        <v>43.691200000000002</v>
      </c>
      <c r="U7">
        <v>39.263300000000001</v>
      </c>
      <c r="V7">
        <v>4</v>
      </c>
      <c r="W7">
        <v>1.5</v>
      </c>
      <c r="X7">
        <v>1.6E-2</v>
      </c>
      <c r="Y7">
        <v>0.4</v>
      </c>
      <c r="Z7">
        <v>4.4279000000000002</v>
      </c>
      <c r="AA7">
        <v>104353.4</v>
      </c>
    </row>
    <row r="8" spans="1:27" x14ac:dyDescent="0.35">
      <c r="A8" s="12" t="s">
        <v>630</v>
      </c>
      <c r="B8" s="12" t="s">
        <v>631</v>
      </c>
      <c r="C8" s="12" t="s">
        <v>130</v>
      </c>
      <c r="D8" s="12" t="s">
        <v>65</v>
      </c>
      <c r="E8">
        <v>1</v>
      </c>
      <c r="F8">
        <v>2</v>
      </c>
      <c r="G8" s="12" t="s">
        <v>335</v>
      </c>
      <c r="H8" s="12" t="s">
        <v>336</v>
      </c>
      <c r="I8" s="12" t="s">
        <v>82</v>
      </c>
      <c r="J8">
        <v>16</v>
      </c>
      <c r="K8" s="13">
        <v>45020</v>
      </c>
      <c r="L8" s="13">
        <v>46008</v>
      </c>
      <c r="M8">
        <v>2.7050000000000001</v>
      </c>
      <c r="N8">
        <v>51</v>
      </c>
      <c r="O8">
        <v>3886</v>
      </c>
      <c r="P8">
        <v>1721836.95</v>
      </c>
      <c r="Q8">
        <v>1026</v>
      </c>
      <c r="R8">
        <v>454797.44</v>
      </c>
      <c r="S8">
        <v>432.77460000000002</v>
      </c>
      <c r="T8">
        <v>444.29629999999997</v>
      </c>
      <c r="U8">
        <v>345.38839999999999</v>
      </c>
      <c r="V8">
        <v>8</v>
      </c>
      <c r="W8">
        <v>2</v>
      </c>
      <c r="X8">
        <v>-0.97599999999999998</v>
      </c>
      <c r="Y8">
        <v>-12.2</v>
      </c>
      <c r="Z8">
        <v>98.907899999999998</v>
      </c>
      <c r="AA8">
        <v>101479.51</v>
      </c>
    </row>
    <row r="9" spans="1:27" x14ac:dyDescent="0.35">
      <c r="A9" s="12" t="s">
        <v>902</v>
      </c>
      <c r="B9" s="12" t="s">
        <v>903</v>
      </c>
      <c r="C9" s="12" t="s">
        <v>122</v>
      </c>
      <c r="D9" s="12" t="s">
        <v>142</v>
      </c>
      <c r="E9">
        <v>1</v>
      </c>
      <c r="F9">
        <v>6</v>
      </c>
      <c r="G9" s="12" t="s">
        <v>105</v>
      </c>
      <c r="H9" s="12" t="s">
        <v>106</v>
      </c>
      <c r="I9" s="12" t="s">
        <v>96</v>
      </c>
      <c r="J9">
        <v>5.01</v>
      </c>
      <c r="K9" s="13">
        <v>45047</v>
      </c>
      <c r="L9" s="13">
        <v>46010</v>
      </c>
      <c r="M9">
        <v>2.637</v>
      </c>
      <c r="N9">
        <v>48</v>
      </c>
      <c r="O9">
        <v>54417</v>
      </c>
      <c r="P9">
        <v>2260442.23</v>
      </c>
      <c r="Q9">
        <v>16744</v>
      </c>
      <c r="R9">
        <v>694927.1</v>
      </c>
      <c r="S9">
        <v>40.079000000000001</v>
      </c>
      <c r="T9">
        <v>41.748399999999997</v>
      </c>
      <c r="U9">
        <v>35.988700000000001</v>
      </c>
      <c r="V9">
        <v>4</v>
      </c>
      <c r="W9">
        <v>1.5</v>
      </c>
      <c r="X9">
        <v>-1.56</v>
      </c>
      <c r="Y9">
        <v>-39</v>
      </c>
      <c r="Z9">
        <v>5.7596999999999996</v>
      </c>
      <c r="AA9">
        <v>96439.91</v>
      </c>
    </row>
    <row r="10" spans="1:27" x14ac:dyDescent="0.35">
      <c r="A10" s="12" t="s">
        <v>404</v>
      </c>
      <c r="B10" s="12" t="s">
        <v>405</v>
      </c>
      <c r="C10" s="12" t="s">
        <v>269</v>
      </c>
      <c r="D10" s="12" t="s">
        <v>65</v>
      </c>
      <c r="E10">
        <v>3</v>
      </c>
      <c r="F10">
        <v>5</v>
      </c>
      <c r="G10" s="12" t="s">
        <v>79</v>
      </c>
      <c r="H10" s="12" t="s">
        <v>80</v>
      </c>
      <c r="I10" s="12" t="s">
        <v>82</v>
      </c>
      <c r="J10">
        <v>12.07</v>
      </c>
      <c r="K10" s="13">
        <v>44991</v>
      </c>
      <c r="L10" s="13">
        <v>46001</v>
      </c>
      <c r="M10">
        <v>2.7650000000000001</v>
      </c>
      <c r="N10">
        <v>35</v>
      </c>
      <c r="O10">
        <v>2857</v>
      </c>
      <c r="P10">
        <v>1231784.56</v>
      </c>
      <c r="Q10">
        <v>1293</v>
      </c>
      <c r="R10">
        <v>557683.88</v>
      </c>
      <c r="S10">
        <v>430.41070000000002</v>
      </c>
      <c r="T10">
        <v>430.10059999999999</v>
      </c>
      <c r="U10">
        <v>357.41860000000003</v>
      </c>
      <c r="V10">
        <v>6.5</v>
      </c>
      <c r="W10">
        <v>2</v>
      </c>
      <c r="X10">
        <v>2.5999999999999999E-2</v>
      </c>
      <c r="Y10">
        <v>0.4</v>
      </c>
      <c r="Z10">
        <v>72.682000000000002</v>
      </c>
      <c r="AA10">
        <v>93977.83</v>
      </c>
    </row>
    <row r="11" spans="1:27" x14ac:dyDescent="0.35">
      <c r="A11" s="12" t="s">
        <v>1179</v>
      </c>
      <c r="B11" s="12" t="s">
        <v>1180</v>
      </c>
      <c r="C11" s="12" t="s">
        <v>122</v>
      </c>
      <c r="D11" s="12" t="s">
        <v>142</v>
      </c>
      <c r="E11">
        <v>1</v>
      </c>
      <c r="F11">
        <v>8</v>
      </c>
      <c r="G11" s="12" t="s">
        <v>143</v>
      </c>
      <c r="H11" s="12" t="s">
        <v>144</v>
      </c>
      <c r="I11" s="12" t="s">
        <v>96</v>
      </c>
      <c r="J11">
        <v>5.43</v>
      </c>
      <c r="K11" s="13">
        <v>45082</v>
      </c>
      <c r="L11" s="13">
        <v>46020</v>
      </c>
      <c r="M11">
        <v>2.5680000000000001</v>
      </c>
      <c r="N11">
        <v>42</v>
      </c>
      <c r="O11">
        <v>48448</v>
      </c>
      <c r="P11">
        <v>2532755.25</v>
      </c>
      <c r="Q11">
        <v>21131</v>
      </c>
      <c r="R11">
        <v>1096526.6499999999</v>
      </c>
      <c r="S11">
        <v>53.203499999999998</v>
      </c>
      <c r="T11">
        <v>52.209899999999998</v>
      </c>
      <c r="U11">
        <v>47.908499999999997</v>
      </c>
      <c r="V11">
        <v>4</v>
      </c>
      <c r="W11">
        <v>1.5</v>
      </c>
      <c r="X11">
        <v>0.73199999999999998</v>
      </c>
      <c r="Y11">
        <v>18.3</v>
      </c>
      <c r="Z11">
        <v>4.3014000000000001</v>
      </c>
      <c r="AA11">
        <v>90892.88</v>
      </c>
    </row>
    <row r="12" spans="1:27" x14ac:dyDescent="0.35">
      <c r="A12" s="12" t="s">
        <v>640</v>
      </c>
      <c r="B12" s="12" t="s">
        <v>641</v>
      </c>
      <c r="C12" s="12" t="s">
        <v>130</v>
      </c>
      <c r="D12" s="12" t="s">
        <v>104</v>
      </c>
      <c r="E12">
        <v>3</v>
      </c>
      <c r="F12">
        <v>0</v>
      </c>
      <c r="G12" s="12" t="s">
        <v>209</v>
      </c>
      <c r="H12" s="12" t="s">
        <v>210</v>
      </c>
      <c r="I12" s="12" t="s">
        <v>96</v>
      </c>
      <c r="J12">
        <v>7.82</v>
      </c>
      <c r="K12" s="13">
        <v>45020</v>
      </c>
      <c r="L12" s="13">
        <v>45924</v>
      </c>
      <c r="M12">
        <v>2.4750000000000001</v>
      </c>
      <c r="N12">
        <v>33</v>
      </c>
      <c r="O12">
        <v>2685</v>
      </c>
      <c r="P12">
        <v>2650922.96</v>
      </c>
      <c r="Q12">
        <v>675</v>
      </c>
      <c r="R12">
        <v>646871.89</v>
      </c>
      <c r="S12">
        <v>1008.4116</v>
      </c>
      <c r="T12">
        <v>947.05309999999997</v>
      </c>
      <c r="U12">
        <v>820.37549999999999</v>
      </c>
      <c r="V12">
        <v>8</v>
      </c>
      <c r="W12">
        <v>2</v>
      </c>
      <c r="X12">
        <v>2.5049999999999999</v>
      </c>
      <c r="Y12">
        <v>31.31</v>
      </c>
      <c r="Z12">
        <v>126.6776</v>
      </c>
      <c r="AA12">
        <v>85507.38</v>
      </c>
    </row>
    <row r="13" spans="1:27" x14ac:dyDescent="0.35">
      <c r="A13" s="12" t="s">
        <v>221</v>
      </c>
      <c r="B13" s="12" t="s">
        <v>222</v>
      </c>
      <c r="C13" s="12" t="s">
        <v>114</v>
      </c>
      <c r="D13" s="12" t="s">
        <v>142</v>
      </c>
      <c r="E13">
        <v>3</v>
      </c>
      <c r="F13">
        <v>11</v>
      </c>
      <c r="G13" s="12" t="s">
        <v>105</v>
      </c>
      <c r="H13" s="12" t="s">
        <v>106</v>
      </c>
      <c r="I13" s="12" t="s">
        <v>96</v>
      </c>
      <c r="J13">
        <v>5.01</v>
      </c>
      <c r="K13" s="13">
        <v>45089</v>
      </c>
      <c r="L13" s="13">
        <v>46020</v>
      </c>
      <c r="M13">
        <v>2.5489999999999999</v>
      </c>
      <c r="N13">
        <v>38</v>
      </c>
      <c r="O13">
        <v>2765</v>
      </c>
      <c r="P13">
        <v>703073.96</v>
      </c>
      <c r="Q13">
        <v>1548</v>
      </c>
      <c r="R13">
        <v>410583.38</v>
      </c>
      <c r="S13">
        <v>231.46299999999999</v>
      </c>
      <c r="T13">
        <v>264.58909999999997</v>
      </c>
      <c r="U13">
        <v>214.1721</v>
      </c>
      <c r="V13">
        <v>3</v>
      </c>
      <c r="W13">
        <v>1.5</v>
      </c>
      <c r="X13">
        <v>-5.3879999999999999</v>
      </c>
      <c r="Y13">
        <v>-179.6</v>
      </c>
      <c r="Z13">
        <v>50.417000000000002</v>
      </c>
      <c r="AA13">
        <v>78045.539999999994</v>
      </c>
    </row>
    <row r="14" spans="1:27" x14ac:dyDescent="0.35">
      <c r="A14" s="12" t="s">
        <v>323</v>
      </c>
      <c r="B14" s="12" t="s">
        <v>324</v>
      </c>
      <c r="C14" s="12" t="s">
        <v>64</v>
      </c>
      <c r="D14" s="12" t="s">
        <v>142</v>
      </c>
      <c r="E14">
        <v>1</v>
      </c>
      <c r="F14">
        <v>7</v>
      </c>
      <c r="G14" s="12" t="s">
        <v>143</v>
      </c>
      <c r="H14" s="12" t="s">
        <v>144</v>
      </c>
      <c r="I14" s="12" t="s">
        <v>96</v>
      </c>
      <c r="J14">
        <v>5.43</v>
      </c>
      <c r="K14" s="13">
        <v>44977</v>
      </c>
      <c r="L14" s="13">
        <v>46021</v>
      </c>
      <c r="M14">
        <v>2.8580000000000001</v>
      </c>
      <c r="N14">
        <v>51</v>
      </c>
      <c r="O14">
        <v>27823</v>
      </c>
      <c r="P14">
        <v>1097581.0900000001</v>
      </c>
      <c r="Q14">
        <v>9567</v>
      </c>
      <c r="R14">
        <v>375755.12</v>
      </c>
      <c r="S14">
        <v>39.042700000000004</v>
      </c>
      <c r="T14">
        <v>39.3292</v>
      </c>
      <c r="U14">
        <v>31.729500000000002</v>
      </c>
      <c r="V14">
        <v>7</v>
      </c>
      <c r="W14">
        <v>2</v>
      </c>
      <c r="X14">
        <v>-0.25600000000000001</v>
      </c>
      <c r="Y14">
        <v>-3.66</v>
      </c>
      <c r="Z14">
        <v>7.5997000000000003</v>
      </c>
      <c r="AA14">
        <v>72706.7</v>
      </c>
    </row>
    <row r="15" spans="1:27" x14ac:dyDescent="0.35">
      <c r="A15" s="12" t="s">
        <v>1026</v>
      </c>
      <c r="B15" s="12" t="s">
        <v>1027</v>
      </c>
      <c r="C15" s="12" t="s">
        <v>122</v>
      </c>
      <c r="D15" s="12" t="s">
        <v>104</v>
      </c>
      <c r="E15">
        <v>3</v>
      </c>
      <c r="F15">
        <v>1</v>
      </c>
      <c r="G15" s="12" t="s">
        <v>183</v>
      </c>
      <c r="H15" s="12" t="s">
        <v>184</v>
      </c>
      <c r="I15" s="12" t="s">
        <v>82</v>
      </c>
      <c r="J15">
        <v>8.6199999999999992</v>
      </c>
      <c r="K15" s="13">
        <v>45072</v>
      </c>
      <c r="L15" s="13">
        <v>46020</v>
      </c>
      <c r="M15">
        <v>2.5950000000000002</v>
      </c>
      <c r="N15">
        <v>31</v>
      </c>
      <c r="O15">
        <v>31524</v>
      </c>
      <c r="P15">
        <v>1373719.6</v>
      </c>
      <c r="Q15">
        <v>17826</v>
      </c>
      <c r="R15">
        <v>739415.54</v>
      </c>
      <c r="S15">
        <v>41.886099999999999</v>
      </c>
      <c r="T15">
        <v>41.381100000000004</v>
      </c>
      <c r="U15">
        <v>37.675899999999999</v>
      </c>
      <c r="V15">
        <v>4</v>
      </c>
      <c r="W15">
        <v>1.5</v>
      </c>
      <c r="X15">
        <v>0.46600000000000003</v>
      </c>
      <c r="Y15">
        <v>11.65</v>
      </c>
      <c r="Z15">
        <v>3.7052</v>
      </c>
      <c r="AA15">
        <v>66048.73</v>
      </c>
    </row>
    <row r="16" spans="1:27" x14ac:dyDescent="0.35">
      <c r="A16" s="12" t="s">
        <v>990</v>
      </c>
      <c r="B16" s="12" t="s">
        <v>991</v>
      </c>
      <c r="C16" s="12" t="s">
        <v>122</v>
      </c>
      <c r="D16" s="12" t="s">
        <v>142</v>
      </c>
      <c r="E16">
        <v>1</v>
      </c>
      <c r="F16">
        <v>6</v>
      </c>
      <c r="G16" s="12" t="s">
        <v>217</v>
      </c>
      <c r="H16" s="12" t="s">
        <v>218</v>
      </c>
      <c r="I16" s="12" t="s">
        <v>82</v>
      </c>
      <c r="J16">
        <v>14.24</v>
      </c>
      <c r="K16" s="13">
        <v>45056</v>
      </c>
      <c r="L16" s="13">
        <v>46002</v>
      </c>
      <c r="M16">
        <v>2.59</v>
      </c>
      <c r="N16">
        <v>46</v>
      </c>
      <c r="O16">
        <v>53429</v>
      </c>
      <c r="P16">
        <v>1796814.85</v>
      </c>
      <c r="Q16">
        <v>19787</v>
      </c>
      <c r="R16">
        <v>667640.96</v>
      </c>
      <c r="S16">
        <v>33.697499999999998</v>
      </c>
      <c r="T16">
        <v>33.5533</v>
      </c>
      <c r="U16">
        <v>30.316600000000001</v>
      </c>
      <c r="V16">
        <v>4</v>
      </c>
      <c r="W16">
        <v>1.5</v>
      </c>
      <c r="X16">
        <v>0.16600000000000001</v>
      </c>
      <c r="Y16">
        <v>4.1500000000000004</v>
      </c>
      <c r="Z16">
        <v>3.2366999999999999</v>
      </c>
      <c r="AA16">
        <v>64044.58</v>
      </c>
    </row>
    <row r="17" spans="1:27" x14ac:dyDescent="0.35">
      <c r="A17" s="12" t="s">
        <v>706</v>
      </c>
      <c r="B17" s="12" t="s">
        <v>707</v>
      </c>
      <c r="C17" s="12" t="s">
        <v>130</v>
      </c>
      <c r="D17" s="12" t="s">
        <v>142</v>
      </c>
      <c r="E17">
        <v>1</v>
      </c>
      <c r="F17">
        <v>8</v>
      </c>
      <c r="G17" s="12" t="s">
        <v>263</v>
      </c>
      <c r="H17" s="12" t="s">
        <v>264</v>
      </c>
      <c r="I17" s="12" t="s">
        <v>82</v>
      </c>
      <c r="J17">
        <v>10.210000000000001</v>
      </c>
      <c r="K17" s="13">
        <v>45028</v>
      </c>
      <c r="L17" s="13">
        <v>45953</v>
      </c>
      <c r="M17">
        <v>2.5329999999999999</v>
      </c>
      <c r="N17">
        <v>46</v>
      </c>
      <c r="O17">
        <v>3547</v>
      </c>
      <c r="P17">
        <v>984380.65</v>
      </c>
      <c r="Q17">
        <v>1229</v>
      </c>
      <c r="R17">
        <v>341330.3</v>
      </c>
      <c r="S17">
        <v>277.71210000000002</v>
      </c>
      <c r="T17">
        <v>276.71809999999999</v>
      </c>
      <c r="U17">
        <v>224.83779999999999</v>
      </c>
      <c r="V17">
        <v>8</v>
      </c>
      <c r="W17">
        <v>2</v>
      </c>
      <c r="X17">
        <v>0.14199999999999999</v>
      </c>
      <c r="Y17">
        <v>1.78</v>
      </c>
      <c r="Z17">
        <v>51.880299999999998</v>
      </c>
      <c r="AA17">
        <v>63760.89</v>
      </c>
    </row>
    <row r="18" spans="1:27" x14ac:dyDescent="0.35">
      <c r="A18" s="12" t="s">
        <v>855</v>
      </c>
      <c r="B18" s="12" t="s">
        <v>856</v>
      </c>
      <c r="C18" s="12" t="s">
        <v>269</v>
      </c>
      <c r="D18" s="12" t="s">
        <v>65</v>
      </c>
      <c r="E18">
        <v>3</v>
      </c>
      <c r="F18">
        <v>5</v>
      </c>
      <c r="G18" s="12" t="s">
        <v>94</v>
      </c>
      <c r="H18" s="12" t="s">
        <v>95</v>
      </c>
      <c r="I18" s="12" t="s">
        <v>96</v>
      </c>
      <c r="J18">
        <v>4.8099999999999996</v>
      </c>
      <c r="K18" s="13">
        <v>45042</v>
      </c>
      <c r="L18" s="13">
        <v>46001</v>
      </c>
      <c r="M18">
        <v>2.6259999999999999</v>
      </c>
      <c r="N18">
        <v>31</v>
      </c>
      <c r="O18">
        <v>2748</v>
      </c>
      <c r="P18">
        <v>1320770.2</v>
      </c>
      <c r="Q18">
        <v>1173</v>
      </c>
      <c r="R18">
        <v>548805.62</v>
      </c>
      <c r="S18">
        <v>493.6902</v>
      </c>
      <c r="T18">
        <v>466.4701</v>
      </c>
      <c r="U18">
        <v>413.81459999999998</v>
      </c>
      <c r="V18">
        <v>6.5</v>
      </c>
      <c r="W18">
        <v>2</v>
      </c>
      <c r="X18">
        <v>2.137</v>
      </c>
      <c r="Y18">
        <v>32.880000000000003</v>
      </c>
      <c r="Z18">
        <v>52.655500000000004</v>
      </c>
      <c r="AA18">
        <v>61764.9</v>
      </c>
    </row>
    <row r="19" spans="1:27" x14ac:dyDescent="0.35">
      <c r="A19" s="12" t="s">
        <v>399</v>
      </c>
      <c r="B19" s="12" t="s">
        <v>400</v>
      </c>
      <c r="C19" s="12" t="s">
        <v>114</v>
      </c>
      <c r="D19" s="12" t="s">
        <v>65</v>
      </c>
      <c r="E19">
        <v>1</v>
      </c>
      <c r="F19">
        <v>2</v>
      </c>
      <c r="G19" s="12" t="s">
        <v>151</v>
      </c>
      <c r="H19" s="12" t="s">
        <v>152</v>
      </c>
      <c r="I19" s="12" t="s">
        <v>69</v>
      </c>
      <c r="J19">
        <v>36.479999999999997</v>
      </c>
      <c r="K19" s="13">
        <v>44988</v>
      </c>
      <c r="L19" s="13">
        <v>45968</v>
      </c>
      <c r="M19">
        <v>2.6829999999999998</v>
      </c>
      <c r="N19">
        <v>47</v>
      </c>
      <c r="O19">
        <v>3888</v>
      </c>
      <c r="P19">
        <v>1165680.6200000001</v>
      </c>
      <c r="Q19">
        <v>1203</v>
      </c>
      <c r="R19">
        <v>378324.53</v>
      </c>
      <c r="S19">
        <v>291.2355</v>
      </c>
      <c r="T19">
        <v>319.6986</v>
      </c>
      <c r="U19">
        <v>268.38170000000002</v>
      </c>
      <c r="V19">
        <v>3</v>
      </c>
      <c r="W19">
        <v>1.5</v>
      </c>
      <c r="X19">
        <v>-3.536</v>
      </c>
      <c r="Y19">
        <v>-117.87</v>
      </c>
      <c r="Z19">
        <v>51.316899999999997</v>
      </c>
      <c r="AA19">
        <v>61734.18</v>
      </c>
    </row>
    <row r="20" spans="1:27" x14ac:dyDescent="0.35">
      <c r="A20" s="12" t="s">
        <v>674</v>
      </c>
      <c r="B20" s="12" t="s">
        <v>675</v>
      </c>
      <c r="C20" s="12" t="s">
        <v>269</v>
      </c>
      <c r="D20" s="12" t="s">
        <v>142</v>
      </c>
      <c r="E20">
        <v>1</v>
      </c>
      <c r="F20">
        <v>7</v>
      </c>
      <c r="G20" s="12" t="s">
        <v>676</v>
      </c>
      <c r="H20" s="12" t="s">
        <v>677</v>
      </c>
      <c r="I20" s="12" t="s">
        <v>96</v>
      </c>
      <c r="J20">
        <v>3.57</v>
      </c>
      <c r="K20" s="13">
        <v>45026</v>
      </c>
      <c r="L20" s="13">
        <v>46022</v>
      </c>
      <c r="M20">
        <v>2.7269999999999999</v>
      </c>
      <c r="N20">
        <v>49</v>
      </c>
      <c r="O20">
        <v>3822</v>
      </c>
      <c r="P20">
        <v>1395391.53</v>
      </c>
      <c r="Q20">
        <v>1109</v>
      </c>
      <c r="R20">
        <v>403455.27</v>
      </c>
      <c r="S20">
        <v>356.65309999999999</v>
      </c>
      <c r="T20">
        <v>351.4468</v>
      </c>
      <c r="U20">
        <v>296.92680000000001</v>
      </c>
      <c r="V20">
        <v>6.5</v>
      </c>
      <c r="W20">
        <v>2</v>
      </c>
      <c r="X20">
        <v>0.53800000000000003</v>
      </c>
      <c r="Y20">
        <v>8.2799999999999994</v>
      </c>
      <c r="Z20">
        <v>54.52</v>
      </c>
      <c r="AA20">
        <v>60462.65</v>
      </c>
    </row>
    <row r="21" spans="1:27" x14ac:dyDescent="0.35">
      <c r="A21" s="12" t="s">
        <v>472</v>
      </c>
      <c r="B21" s="12" t="s">
        <v>473</v>
      </c>
      <c r="C21" s="12" t="s">
        <v>122</v>
      </c>
      <c r="D21" s="12" t="s">
        <v>142</v>
      </c>
      <c r="E21">
        <v>2</v>
      </c>
      <c r="F21">
        <v>9</v>
      </c>
      <c r="G21" s="12" t="s">
        <v>209</v>
      </c>
      <c r="H21" s="12" t="s">
        <v>210</v>
      </c>
      <c r="I21" s="12" t="s">
        <v>96</v>
      </c>
      <c r="J21">
        <v>7.82</v>
      </c>
      <c r="K21" s="13">
        <v>44999</v>
      </c>
      <c r="L21" s="13">
        <v>45937</v>
      </c>
      <c r="M21">
        <v>2.5680000000000001</v>
      </c>
      <c r="N21">
        <v>37</v>
      </c>
      <c r="O21">
        <v>41838</v>
      </c>
      <c r="P21">
        <v>2009871.34</v>
      </c>
      <c r="Q21">
        <v>15253</v>
      </c>
      <c r="R21">
        <v>742352.47</v>
      </c>
      <c r="S21">
        <v>48.7896</v>
      </c>
      <c r="T21">
        <v>47.517299999999999</v>
      </c>
      <c r="U21">
        <v>43.933900000000001</v>
      </c>
      <c r="V21">
        <v>4</v>
      </c>
      <c r="W21">
        <v>1.5</v>
      </c>
      <c r="X21">
        <v>1.024</v>
      </c>
      <c r="Y21">
        <v>25.6</v>
      </c>
      <c r="Z21">
        <v>3.5834000000000001</v>
      </c>
      <c r="AA21">
        <v>54657.48</v>
      </c>
    </row>
    <row r="22" spans="1:27" x14ac:dyDescent="0.35">
      <c r="A22" s="12" t="s">
        <v>408</v>
      </c>
      <c r="B22" s="12" t="s">
        <v>409</v>
      </c>
      <c r="C22" s="12" t="s">
        <v>130</v>
      </c>
      <c r="D22" s="12" t="s">
        <v>65</v>
      </c>
      <c r="E22">
        <v>3</v>
      </c>
      <c r="F22">
        <v>5</v>
      </c>
      <c r="G22" s="12" t="s">
        <v>94</v>
      </c>
      <c r="H22" s="12" t="s">
        <v>95</v>
      </c>
      <c r="I22" s="12" t="s">
        <v>96</v>
      </c>
      <c r="J22">
        <v>4.8099999999999996</v>
      </c>
      <c r="K22" s="13">
        <v>45013</v>
      </c>
      <c r="L22" s="13">
        <v>46022</v>
      </c>
      <c r="M22">
        <v>2.762</v>
      </c>
      <c r="N22">
        <v>10</v>
      </c>
      <c r="O22">
        <v>609</v>
      </c>
      <c r="P22">
        <v>475562.92</v>
      </c>
      <c r="Q22">
        <v>311</v>
      </c>
      <c r="R22">
        <v>241053.34</v>
      </c>
      <c r="S22">
        <v>770.47230000000002</v>
      </c>
      <c r="T22">
        <v>772.28819999999996</v>
      </c>
      <c r="U22">
        <v>611.98249999999996</v>
      </c>
      <c r="V22">
        <v>8</v>
      </c>
      <c r="W22">
        <v>2</v>
      </c>
      <c r="X22">
        <v>-8.5000000000000006E-2</v>
      </c>
      <c r="Y22">
        <v>-1.06</v>
      </c>
      <c r="Z22">
        <v>160.3057</v>
      </c>
      <c r="AA22">
        <v>49855.09</v>
      </c>
    </row>
    <row r="23" spans="1:27" x14ac:dyDescent="0.35">
      <c r="A23" s="12" t="s">
        <v>712</v>
      </c>
      <c r="B23" s="12" t="s">
        <v>713</v>
      </c>
      <c r="C23" s="12" t="s">
        <v>103</v>
      </c>
      <c r="D23" s="12" t="s">
        <v>104</v>
      </c>
      <c r="E23">
        <v>2</v>
      </c>
      <c r="F23">
        <v>0</v>
      </c>
      <c r="G23" s="12" t="s">
        <v>199</v>
      </c>
      <c r="H23" s="12" t="s">
        <v>200</v>
      </c>
      <c r="I23" s="12" t="s">
        <v>96</v>
      </c>
      <c r="J23">
        <v>9.4700000000000006</v>
      </c>
      <c r="K23" s="13">
        <v>45028</v>
      </c>
      <c r="L23" s="13">
        <v>46009</v>
      </c>
      <c r="M23">
        <v>2.6859999999999999</v>
      </c>
      <c r="N23">
        <v>30</v>
      </c>
      <c r="O23">
        <v>2356</v>
      </c>
      <c r="P23">
        <v>516219.85</v>
      </c>
      <c r="Q23">
        <v>1042</v>
      </c>
      <c r="R23">
        <v>235463.37</v>
      </c>
      <c r="S23">
        <v>190.51339999999999</v>
      </c>
      <c r="T23">
        <v>227.32849999999999</v>
      </c>
      <c r="U23">
        <v>180.45079999999999</v>
      </c>
      <c r="V23">
        <v>2</v>
      </c>
      <c r="W23">
        <v>1.5</v>
      </c>
      <c r="X23">
        <v>-6.7990000000000004</v>
      </c>
      <c r="Y23">
        <v>-339.95</v>
      </c>
      <c r="Z23">
        <v>46.877699999999997</v>
      </c>
      <c r="AA23">
        <v>48846.59</v>
      </c>
    </row>
    <row r="24" spans="1:27" x14ac:dyDescent="0.35">
      <c r="A24" s="12" t="s">
        <v>284</v>
      </c>
      <c r="B24" s="12" t="s">
        <v>285</v>
      </c>
      <c r="C24" s="12" t="s">
        <v>269</v>
      </c>
      <c r="D24" s="12" t="s">
        <v>104</v>
      </c>
      <c r="E24">
        <v>3</v>
      </c>
      <c r="F24">
        <v>1</v>
      </c>
      <c r="G24" s="12" t="s">
        <v>199</v>
      </c>
      <c r="H24" s="12" t="s">
        <v>200</v>
      </c>
      <c r="I24" s="12" t="s">
        <v>96</v>
      </c>
      <c r="J24">
        <v>9.4700000000000006</v>
      </c>
      <c r="K24" s="13">
        <v>44971</v>
      </c>
      <c r="L24" s="13">
        <v>46017</v>
      </c>
      <c r="M24">
        <v>2.8639999999999999</v>
      </c>
      <c r="N24">
        <v>44</v>
      </c>
      <c r="O24">
        <v>3701</v>
      </c>
      <c r="P24">
        <v>1458753.55</v>
      </c>
      <c r="Q24">
        <v>1078</v>
      </c>
      <c r="R24">
        <v>412368.8</v>
      </c>
      <c r="S24">
        <v>397.87</v>
      </c>
      <c r="T24">
        <v>370.56310000000002</v>
      </c>
      <c r="U24">
        <v>328.2054</v>
      </c>
      <c r="V24">
        <v>6.5</v>
      </c>
      <c r="W24">
        <v>2</v>
      </c>
      <c r="X24">
        <v>2.452</v>
      </c>
      <c r="Y24">
        <v>37.72</v>
      </c>
      <c r="Z24">
        <v>42.357700000000001</v>
      </c>
      <c r="AA24">
        <v>45661.64</v>
      </c>
    </row>
    <row r="25" spans="1:27" x14ac:dyDescent="0.35">
      <c r="A25" s="12" t="s">
        <v>823</v>
      </c>
      <c r="B25" s="12" t="s">
        <v>824</v>
      </c>
      <c r="C25" s="12" t="s">
        <v>114</v>
      </c>
      <c r="D25" s="12" t="s">
        <v>142</v>
      </c>
      <c r="E25">
        <v>1</v>
      </c>
      <c r="F25">
        <v>8</v>
      </c>
      <c r="G25" s="12" t="s">
        <v>515</v>
      </c>
      <c r="H25" s="12" t="s">
        <v>516</v>
      </c>
      <c r="I25" s="12" t="s">
        <v>134</v>
      </c>
      <c r="J25">
        <v>3.69</v>
      </c>
      <c r="K25" s="13">
        <v>45041</v>
      </c>
      <c r="L25" s="13">
        <v>45987</v>
      </c>
      <c r="M25">
        <v>2.59</v>
      </c>
      <c r="N25">
        <v>54</v>
      </c>
      <c r="O25">
        <v>4508</v>
      </c>
      <c r="P25">
        <v>1632451.31</v>
      </c>
      <c r="Q25">
        <v>1518</v>
      </c>
      <c r="R25">
        <v>550211.69999999995</v>
      </c>
      <c r="S25">
        <v>360.32150000000001</v>
      </c>
      <c r="T25">
        <v>361.69060000000002</v>
      </c>
      <c r="U25">
        <v>332.98829999999998</v>
      </c>
      <c r="V25">
        <v>3</v>
      </c>
      <c r="W25">
        <v>1.5</v>
      </c>
      <c r="X25">
        <v>-0.14699999999999999</v>
      </c>
      <c r="Y25">
        <v>-4.9000000000000004</v>
      </c>
      <c r="Z25">
        <v>28.702300000000001</v>
      </c>
      <c r="AA25">
        <v>43570.09</v>
      </c>
    </row>
    <row r="26" spans="1:27" x14ac:dyDescent="0.35">
      <c r="A26" s="12" t="s">
        <v>308</v>
      </c>
      <c r="B26" s="12" t="s">
        <v>309</v>
      </c>
      <c r="C26" s="12" t="s">
        <v>122</v>
      </c>
      <c r="D26" s="12" t="s">
        <v>142</v>
      </c>
      <c r="E26">
        <v>1</v>
      </c>
      <c r="F26">
        <v>6</v>
      </c>
      <c r="G26" s="12" t="s">
        <v>310</v>
      </c>
      <c r="H26" s="12" t="s">
        <v>311</v>
      </c>
      <c r="I26" s="12" t="s">
        <v>69</v>
      </c>
      <c r="J26">
        <v>28.3</v>
      </c>
      <c r="K26" s="13">
        <v>44974</v>
      </c>
      <c r="L26" s="13">
        <v>45975</v>
      </c>
      <c r="M26">
        <v>2.7410000000000001</v>
      </c>
      <c r="N26">
        <v>48</v>
      </c>
      <c r="O26">
        <v>47879</v>
      </c>
      <c r="P26">
        <v>2779489.03</v>
      </c>
      <c r="Q26">
        <v>11552</v>
      </c>
      <c r="R26">
        <v>660641.39</v>
      </c>
      <c r="S26">
        <v>59.409700000000001</v>
      </c>
      <c r="T26">
        <v>56.789000000000001</v>
      </c>
      <c r="U26">
        <v>53.120600000000003</v>
      </c>
      <c r="V26">
        <v>4</v>
      </c>
      <c r="W26">
        <v>1.5</v>
      </c>
      <c r="X26">
        <v>1.633</v>
      </c>
      <c r="Y26">
        <v>40.83</v>
      </c>
      <c r="Z26">
        <v>3.6684000000000001</v>
      </c>
      <c r="AA26">
        <v>42377.36</v>
      </c>
    </row>
    <row r="27" spans="1:27" x14ac:dyDescent="0.35">
      <c r="A27" s="12" t="s">
        <v>952</v>
      </c>
      <c r="B27" s="12" t="s">
        <v>953</v>
      </c>
      <c r="C27" s="12" t="s">
        <v>64</v>
      </c>
      <c r="D27" s="12" t="s">
        <v>142</v>
      </c>
      <c r="E27">
        <v>1</v>
      </c>
      <c r="F27">
        <v>8</v>
      </c>
      <c r="G27" s="12" t="s">
        <v>131</v>
      </c>
      <c r="H27" s="12" t="s">
        <v>132</v>
      </c>
      <c r="I27" s="12" t="s">
        <v>134</v>
      </c>
      <c r="J27">
        <v>1.51</v>
      </c>
      <c r="K27" s="13">
        <v>45051</v>
      </c>
      <c r="L27" s="13">
        <v>46010</v>
      </c>
      <c r="M27">
        <v>2.6259999999999999</v>
      </c>
      <c r="N27">
        <v>51</v>
      </c>
      <c r="O27">
        <v>27940</v>
      </c>
      <c r="P27">
        <v>869989.05</v>
      </c>
      <c r="Q27">
        <v>8454</v>
      </c>
      <c r="R27">
        <v>264990.96999999997</v>
      </c>
      <c r="S27">
        <v>31.146599999999999</v>
      </c>
      <c r="T27">
        <v>30.6557</v>
      </c>
      <c r="U27">
        <v>25.7423</v>
      </c>
      <c r="V27">
        <v>7</v>
      </c>
      <c r="W27">
        <v>2</v>
      </c>
      <c r="X27">
        <v>0.60299999999999998</v>
      </c>
      <c r="Y27">
        <v>8.61</v>
      </c>
      <c r="Z27">
        <v>4.9134000000000002</v>
      </c>
      <c r="AA27">
        <v>41537.769999999997</v>
      </c>
    </row>
    <row r="28" spans="1:27" x14ac:dyDescent="0.35">
      <c r="A28" s="12" t="s">
        <v>347</v>
      </c>
      <c r="B28" s="12" t="s">
        <v>348</v>
      </c>
      <c r="C28" s="12" t="s">
        <v>78</v>
      </c>
      <c r="D28" s="12" t="s">
        <v>104</v>
      </c>
      <c r="E28">
        <v>3</v>
      </c>
      <c r="F28">
        <v>1</v>
      </c>
      <c r="G28" s="12" t="s">
        <v>105</v>
      </c>
      <c r="H28" s="12" t="s">
        <v>106</v>
      </c>
      <c r="I28" s="12" t="s">
        <v>96</v>
      </c>
      <c r="J28">
        <v>5.01</v>
      </c>
      <c r="K28" s="13">
        <v>45042</v>
      </c>
      <c r="L28" s="13">
        <v>45924</v>
      </c>
      <c r="M28">
        <v>2.415</v>
      </c>
      <c r="N28">
        <v>33</v>
      </c>
      <c r="O28">
        <v>5298</v>
      </c>
      <c r="P28">
        <v>547715.9</v>
      </c>
      <c r="Q28">
        <v>1932</v>
      </c>
      <c r="R28">
        <v>208598.07</v>
      </c>
      <c r="S28">
        <v>99.534000000000006</v>
      </c>
      <c r="T28">
        <v>109.0634</v>
      </c>
      <c r="U28">
        <v>87.9375</v>
      </c>
      <c r="V28">
        <v>5</v>
      </c>
      <c r="W28">
        <v>2</v>
      </c>
      <c r="X28">
        <v>-3.859</v>
      </c>
      <c r="Y28">
        <v>-77.180000000000007</v>
      </c>
      <c r="Z28">
        <v>21.125900000000001</v>
      </c>
      <c r="AA28">
        <v>40815.32</v>
      </c>
    </row>
    <row r="29" spans="1:27" x14ac:dyDescent="0.35">
      <c r="A29" s="12" t="s">
        <v>740</v>
      </c>
      <c r="B29" s="12" t="s">
        <v>741</v>
      </c>
      <c r="C29" s="12" t="s">
        <v>64</v>
      </c>
      <c r="D29" s="12" t="s">
        <v>104</v>
      </c>
      <c r="E29">
        <v>2</v>
      </c>
      <c r="F29">
        <v>0</v>
      </c>
      <c r="G29" s="12" t="s">
        <v>183</v>
      </c>
      <c r="H29" s="12" t="s">
        <v>184</v>
      </c>
      <c r="I29" s="12" t="s">
        <v>82</v>
      </c>
      <c r="J29">
        <v>8.6199999999999992</v>
      </c>
      <c r="K29" s="13">
        <v>45030</v>
      </c>
      <c r="L29" s="13">
        <v>45947</v>
      </c>
      <c r="M29">
        <v>2.5110000000000001</v>
      </c>
      <c r="N29">
        <v>36</v>
      </c>
      <c r="O29">
        <v>19225</v>
      </c>
      <c r="P29">
        <v>783866.79</v>
      </c>
      <c r="Q29">
        <v>5413</v>
      </c>
      <c r="R29">
        <v>221109.18</v>
      </c>
      <c r="S29">
        <v>40.509</v>
      </c>
      <c r="T29">
        <v>41.1374</v>
      </c>
      <c r="U29">
        <v>33.760800000000003</v>
      </c>
      <c r="V29">
        <v>7</v>
      </c>
      <c r="W29">
        <v>2</v>
      </c>
      <c r="X29">
        <v>-0.61499999999999999</v>
      </c>
      <c r="Y29">
        <v>-8.7899999999999991</v>
      </c>
      <c r="Z29">
        <v>7.3765999999999998</v>
      </c>
      <c r="AA29">
        <v>39929.54</v>
      </c>
    </row>
    <row r="30" spans="1:27" x14ac:dyDescent="0.35">
      <c r="A30" s="12" t="s">
        <v>1042</v>
      </c>
      <c r="B30" s="12" t="s">
        <v>1043</v>
      </c>
      <c r="C30" s="12" t="s">
        <v>269</v>
      </c>
      <c r="D30" s="12" t="s">
        <v>104</v>
      </c>
      <c r="E30">
        <v>2</v>
      </c>
      <c r="F30">
        <v>0</v>
      </c>
      <c r="G30" s="12" t="s">
        <v>143</v>
      </c>
      <c r="H30" s="12" t="s">
        <v>144</v>
      </c>
      <c r="I30" s="12" t="s">
        <v>96</v>
      </c>
      <c r="J30">
        <v>5.43</v>
      </c>
      <c r="K30" s="13">
        <v>45064</v>
      </c>
      <c r="L30" s="13">
        <v>46020</v>
      </c>
      <c r="M30">
        <v>2.617</v>
      </c>
      <c r="N30">
        <v>30</v>
      </c>
      <c r="O30">
        <v>2102</v>
      </c>
      <c r="P30">
        <v>621882.59</v>
      </c>
      <c r="Q30">
        <v>996</v>
      </c>
      <c r="R30">
        <v>301642.46999999997</v>
      </c>
      <c r="S30">
        <v>290.76319999999998</v>
      </c>
      <c r="T30">
        <v>283.76319999999998</v>
      </c>
      <c r="U30">
        <v>243.8672</v>
      </c>
      <c r="V30">
        <v>6.5</v>
      </c>
      <c r="W30">
        <v>2</v>
      </c>
      <c r="X30">
        <v>0.92700000000000005</v>
      </c>
      <c r="Y30">
        <v>14.26</v>
      </c>
      <c r="Z30">
        <v>39.896000000000001</v>
      </c>
      <c r="AA30">
        <v>39736.42</v>
      </c>
    </row>
    <row r="31" spans="1:27" x14ac:dyDescent="0.35">
      <c r="A31" s="12" t="s">
        <v>670</v>
      </c>
      <c r="B31" s="12" t="s">
        <v>671</v>
      </c>
      <c r="C31" s="12" t="s">
        <v>175</v>
      </c>
      <c r="D31" s="12" t="s">
        <v>142</v>
      </c>
      <c r="E31">
        <v>2</v>
      </c>
      <c r="F31">
        <v>9</v>
      </c>
      <c r="G31" s="12" t="s">
        <v>105</v>
      </c>
      <c r="H31" s="12" t="s">
        <v>106</v>
      </c>
      <c r="I31" s="12" t="s">
        <v>96</v>
      </c>
      <c r="J31">
        <v>5.01</v>
      </c>
      <c r="K31" s="13">
        <v>45084</v>
      </c>
      <c r="L31" s="13">
        <v>46003</v>
      </c>
      <c r="M31">
        <v>2.516</v>
      </c>
      <c r="N31">
        <v>31</v>
      </c>
      <c r="O31">
        <v>2736</v>
      </c>
      <c r="P31">
        <v>419511.64</v>
      </c>
      <c r="Q31">
        <v>1204</v>
      </c>
      <c r="R31">
        <v>193171.34</v>
      </c>
      <c r="S31">
        <v>148.4254</v>
      </c>
      <c r="T31">
        <v>161.3254</v>
      </c>
      <c r="U31">
        <v>128.73439999999999</v>
      </c>
      <c r="V31">
        <v>5.5</v>
      </c>
      <c r="W31">
        <v>2</v>
      </c>
      <c r="X31">
        <v>-3.3679999999999999</v>
      </c>
      <c r="Y31">
        <v>-61.24</v>
      </c>
      <c r="Z31">
        <v>32.591000000000001</v>
      </c>
      <c r="AA31">
        <v>39239.57</v>
      </c>
    </row>
    <row r="32" spans="1:27" x14ac:dyDescent="0.35">
      <c r="A32" s="12" t="s">
        <v>609</v>
      </c>
      <c r="B32" s="12" t="s">
        <v>610</v>
      </c>
      <c r="C32" s="12" t="s">
        <v>64</v>
      </c>
      <c r="D32" s="12" t="s">
        <v>104</v>
      </c>
      <c r="E32">
        <v>1</v>
      </c>
      <c r="F32">
        <v>0</v>
      </c>
      <c r="G32" s="12" t="s">
        <v>227</v>
      </c>
      <c r="H32" s="12" t="s">
        <v>228</v>
      </c>
      <c r="I32" s="12" t="s">
        <v>96</v>
      </c>
      <c r="J32">
        <v>9.15</v>
      </c>
      <c r="K32" s="13">
        <v>45016</v>
      </c>
      <c r="L32" s="13">
        <v>46021</v>
      </c>
      <c r="M32">
        <v>2.7519999999999998</v>
      </c>
      <c r="N32">
        <v>41</v>
      </c>
      <c r="O32">
        <v>25595</v>
      </c>
      <c r="P32">
        <v>528983.68999999994</v>
      </c>
      <c r="Q32">
        <v>10035</v>
      </c>
      <c r="R32">
        <v>208052.08</v>
      </c>
      <c r="S32">
        <v>20.547999999999998</v>
      </c>
      <c r="T32">
        <v>20.493600000000001</v>
      </c>
      <c r="U32">
        <v>16.828099999999999</v>
      </c>
      <c r="V32">
        <v>7</v>
      </c>
      <c r="W32">
        <v>2</v>
      </c>
      <c r="X32">
        <v>9.6000000000000002E-2</v>
      </c>
      <c r="Y32">
        <v>1.37</v>
      </c>
      <c r="Z32">
        <v>3.6655000000000002</v>
      </c>
      <c r="AA32">
        <v>36783.370000000003</v>
      </c>
    </row>
    <row r="33" spans="1:27" x14ac:dyDescent="0.35">
      <c r="A33" s="12" t="s">
        <v>327</v>
      </c>
      <c r="B33" s="12" t="s">
        <v>328</v>
      </c>
      <c r="C33" s="12" t="s">
        <v>130</v>
      </c>
      <c r="D33" s="12" t="s">
        <v>104</v>
      </c>
      <c r="E33">
        <v>2</v>
      </c>
      <c r="F33">
        <v>0</v>
      </c>
      <c r="G33" s="12" t="s">
        <v>94</v>
      </c>
      <c r="H33" s="12" t="s">
        <v>95</v>
      </c>
      <c r="I33" s="12" t="s">
        <v>96</v>
      </c>
      <c r="J33">
        <v>4.8099999999999996</v>
      </c>
      <c r="K33" s="13">
        <v>44978</v>
      </c>
      <c r="L33" s="13">
        <v>46017</v>
      </c>
      <c r="M33">
        <v>2.8450000000000002</v>
      </c>
      <c r="N33">
        <v>35</v>
      </c>
      <c r="O33">
        <v>2837</v>
      </c>
      <c r="P33">
        <v>1992112.21</v>
      </c>
      <c r="Q33">
        <v>847</v>
      </c>
      <c r="R33">
        <v>550530.43999999994</v>
      </c>
      <c r="S33">
        <v>762.93029999999999</v>
      </c>
      <c r="T33">
        <v>645.14020000000005</v>
      </c>
      <c r="U33">
        <v>601.8125</v>
      </c>
      <c r="V33">
        <v>8</v>
      </c>
      <c r="W33">
        <v>2</v>
      </c>
      <c r="X33">
        <v>5.7249999999999996</v>
      </c>
      <c r="Y33">
        <v>71.56</v>
      </c>
      <c r="Z33">
        <v>43.3277</v>
      </c>
      <c r="AA33">
        <v>36698.519999999997</v>
      </c>
    </row>
    <row r="34" spans="1:27" x14ac:dyDescent="0.35">
      <c r="A34" s="12" t="s">
        <v>561</v>
      </c>
      <c r="B34" s="12" t="s">
        <v>562</v>
      </c>
      <c r="C34" s="12" t="s">
        <v>130</v>
      </c>
      <c r="D34" s="12" t="s">
        <v>142</v>
      </c>
      <c r="E34">
        <v>1</v>
      </c>
      <c r="F34">
        <v>9</v>
      </c>
      <c r="G34" s="12" t="s">
        <v>223</v>
      </c>
      <c r="H34" s="12" t="s">
        <v>224</v>
      </c>
      <c r="I34" s="12" t="s">
        <v>134</v>
      </c>
      <c r="J34">
        <v>2.4900000000000002</v>
      </c>
      <c r="K34" s="13">
        <v>45009</v>
      </c>
      <c r="L34" s="13">
        <v>45996</v>
      </c>
      <c r="M34">
        <v>2.702</v>
      </c>
      <c r="N34">
        <v>43</v>
      </c>
      <c r="O34">
        <v>3121</v>
      </c>
      <c r="P34">
        <v>1754728.17</v>
      </c>
      <c r="Q34">
        <v>1158</v>
      </c>
      <c r="R34">
        <v>601807.02</v>
      </c>
      <c r="S34">
        <v>590.36090000000002</v>
      </c>
      <c r="T34">
        <v>502.8981</v>
      </c>
      <c r="U34">
        <v>471.27269999999999</v>
      </c>
      <c r="V34">
        <v>8</v>
      </c>
      <c r="W34">
        <v>2</v>
      </c>
      <c r="X34">
        <v>5.7610000000000001</v>
      </c>
      <c r="Y34">
        <v>72.010000000000005</v>
      </c>
      <c r="Z34">
        <v>31.625399999999999</v>
      </c>
      <c r="AA34">
        <v>36622.18</v>
      </c>
    </row>
    <row r="35" spans="1:27" x14ac:dyDescent="0.35">
      <c r="A35" s="12" t="s">
        <v>963</v>
      </c>
      <c r="B35" s="12" t="s">
        <v>964</v>
      </c>
      <c r="C35" s="12" t="s">
        <v>114</v>
      </c>
      <c r="D35" s="12" t="s">
        <v>142</v>
      </c>
      <c r="E35">
        <v>1</v>
      </c>
      <c r="F35">
        <v>6</v>
      </c>
      <c r="G35" s="12" t="s">
        <v>176</v>
      </c>
      <c r="H35" s="12" t="s">
        <v>177</v>
      </c>
      <c r="I35" s="12" t="s">
        <v>134</v>
      </c>
      <c r="J35">
        <v>1.75</v>
      </c>
      <c r="K35" s="13">
        <v>45054</v>
      </c>
      <c r="L35" s="13">
        <v>45967</v>
      </c>
      <c r="M35">
        <v>2.5</v>
      </c>
      <c r="N35">
        <v>36</v>
      </c>
      <c r="O35">
        <v>2820</v>
      </c>
      <c r="P35">
        <v>566164.31000000006</v>
      </c>
      <c r="Q35">
        <v>1093</v>
      </c>
      <c r="R35">
        <v>230122.71</v>
      </c>
      <c r="S35">
        <v>194.73220000000001</v>
      </c>
      <c r="T35">
        <v>213.84719999999999</v>
      </c>
      <c r="U35">
        <v>180.45419999999999</v>
      </c>
      <c r="V35">
        <v>3</v>
      </c>
      <c r="W35">
        <v>1.5</v>
      </c>
      <c r="X35">
        <v>-3.8170000000000002</v>
      </c>
      <c r="Y35">
        <v>-127.23</v>
      </c>
      <c r="Z35">
        <v>33.393000000000001</v>
      </c>
      <c r="AA35">
        <v>36498.53</v>
      </c>
    </row>
    <row r="36" spans="1:27" x14ac:dyDescent="0.35">
      <c r="A36" s="12" t="s">
        <v>1433</v>
      </c>
      <c r="B36" s="12" t="s">
        <v>1434</v>
      </c>
      <c r="C36" s="12" t="s">
        <v>269</v>
      </c>
      <c r="D36" s="12" t="s">
        <v>65</v>
      </c>
      <c r="E36">
        <v>3</v>
      </c>
      <c r="F36">
        <v>5</v>
      </c>
      <c r="G36" s="12" t="s">
        <v>223</v>
      </c>
      <c r="H36" s="12" t="s">
        <v>224</v>
      </c>
      <c r="I36" s="12" t="s">
        <v>134</v>
      </c>
      <c r="J36">
        <v>2.4900000000000002</v>
      </c>
      <c r="K36" s="13">
        <v>45121</v>
      </c>
      <c r="L36" s="13">
        <v>45964</v>
      </c>
      <c r="M36">
        <v>2.3079999999999998</v>
      </c>
      <c r="N36">
        <v>23</v>
      </c>
      <c r="O36">
        <v>1992</v>
      </c>
      <c r="P36">
        <v>944664.04</v>
      </c>
      <c r="Q36">
        <v>335</v>
      </c>
      <c r="R36">
        <v>163550.84</v>
      </c>
      <c r="S36">
        <v>457.42090000000002</v>
      </c>
      <c r="T36">
        <v>496.68369999999999</v>
      </c>
      <c r="U36">
        <v>391.6961</v>
      </c>
      <c r="V36">
        <v>6.5</v>
      </c>
      <c r="W36">
        <v>2</v>
      </c>
      <c r="X36">
        <v>-3.6320000000000001</v>
      </c>
      <c r="Y36">
        <v>-55.88</v>
      </c>
      <c r="Z36">
        <v>104.9876</v>
      </c>
      <c r="AA36">
        <v>35170.85</v>
      </c>
    </row>
    <row r="37" spans="1:27" x14ac:dyDescent="0.35">
      <c r="A37" s="12" t="s">
        <v>1013</v>
      </c>
      <c r="B37" s="12" t="s">
        <v>1014</v>
      </c>
      <c r="C37" s="12" t="s">
        <v>78</v>
      </c>
      <c r="D37" s="12" t="s">
        <v>65</v>
      </c>
      <c r="E37">
        <v>2</v>
      </c>
      <c r="F37">
        <v>3</v>
      </c>
      <c r="G37" s="12" t="s">
        <v>123</v>
      </c>
      <c r="H37" s="12" t="s">
        <v>124</v>
      </c>
      <c r="I37" s="12" t="s">
        <v>82</v>
      </c>
      <c r="J37">
        <v>6.75</v>
      </c>
      <c r="K37" s="13">
        <v>45058</v>
      </c>
      <c r="L37" s="13">
        <v>46015</v>
      </c>
      <c r="M37">
        <v>2.62</v>
      </c>
      <c r="N37">
        <v>35</v>
      </c>
      <c r="O37">
        <v>5676</v>
      </c>
      <c r="P37">
        <v>706453.46</v>
      </c>
      <c r="Q37">
        <v>2388</v>
      </c>
      <c r="R37">
        <v>295175.15999999997</v>
      </c>
      <c r="S37">
        <v>124.3326</v>
      </c>
      <c r="T37">
        <v>123.17010000000001</v>
      </c>
      <c r="U37">
        <v>108.6979</v>
      </c>
      <c r="V37">
        <v>5</v>
      </c>
      <c r="W37">
        <v>2</v>
      </c>
      <c r="X37">
        <v>0.35799999999999998</v>
      </c>
      <c r="Y37">
        <v>7.16</v>
      </c>
      <c r="Z37">
        <v>14.472200000000001</v>
      </c>
      <c r="AA37">
        <v>34559.660000000003</v>
      </c>
    </row>
    <row r="38" spans="1:27" x14ac:dyDescent="0.35">
      <c r="A38" s="12" t="s">
        <v>62</v>
      </c>
      <c r="B38" s="12" t="s">
        <v>63</v>
      </c>
      <c r="C38" s="12" t="s">
        <v>64</v>
      </c>
      <c r="D38" s="12" t="s">
        <v>65</v>
      </c>
      <c r="E38">
        <v>1</v>
      </c>
      <c r="F38">
        <v>2</v>
      </c>
      <c r="G38" s="12" t="s">
        <v>66</v>
      </c>
      <c r="H38" s="12" t="s">
        <v>67</v>
      </c>
      <c r="I38" s="12" t="s">
        <v>69</v>
      </c>
      <c r="J38">
        <v>17.66</v>
      </c>
      <c r="K38" s="13">
        <v>44935</v>
      </c>
      <c r="L38" s="13">
        <v>45992</v>
      </c>
      <c r="M38">
        <v>2.8940000000000001</v>
      </c>
      <c r="N38">
        <v>40</v>
      </c>
      <c r="O38">
        <v>19449</v>
      </c>
      <c r="P38">
        <v>487860.71</v>
      </c>
      <c r="Q38">
        <v>7718</v>
      </c>
      <c r="R38">
        <v>190069.43</v>
      </c>
      <c r="S38">
        <v>24.687000000000001</v>
      </c>
      <c r="T38">
        <v>24.406500000000001</v>
      </c>
      <c r="U38">
        <v>20.0105</v>
      </c>
      <c r="V38">
        <v>7</v>
      </c>
      <c r="W38">
        <v>2</v>
      </c>
      <c r="X38">
        <v>0.39400000000000002</v>
      </c>
      <c r="Y38">
        <v>5.63</v>
      </c>
      <c r="Z38">
        <v>4.3959999999999999</v>
      </c>
      <c r="AA38">
        <v>33928.1</v>
      </c>
    </row>
    <row r="39" spans="1:27" x14ac:dyDescent="0.35">
      <c r="A39" s="12" t="s">
        <v>685</v>
      </c>
      <c r="B39" s="12" t="s">
        <v>686</v>
      </c>
      <c r="C39" s="12" t="s">
        <v>175</v>
      </c>
      <c r="D39" s="12" t="s">
        <v>104</v>
      </c>
      <c r="E39">
        <v>2</v>
      </c>
      <c r="F39">
        <v>0</v>
      </c>
      <c r="G39" s="12" t="s">
        <v>243</v>
      </c>
      <c r="H39" s="12" t="s">
        <v>244</v>
      </c>
      <c r="I39" s="12" t="s">
        <v>82</v>
      </c>
      <c r="J39">
        <v>9.2200000000000006</v>
      </c>
      <c r="K39" s="13">
        <v>45026</v>
      </c>
      <c r="L39" s="13">
        <v>45975</v>
      </c>
      <c r="M39">
        <v>2.5979999999999999</v>
      </c>
      <c r="N39">
        <v>27</v>
      </c>
      <c r="O39">
        <v>2227</v>
      </c>
      <c r="P39">
        <v>527115.59</v>
      </c>
      <c r="Q39">
        <v>838</v>
      </c>
      <c r="R39">
        <v>196044.88</v>
      </c>
      <c r="S39">
        <v>221.7389</v>
      </c>
      <c r="T39">
        <v>231.3716</v>
      </c>
      <c r="U39">
        <v>191.4316</v>
      </c>
      <c r="V39">
        <v>5.5</v>
      </c>
      <c r="W39">
        <v>2</v>
      </c>
      <c r="X39">
        <v>-1.65</v>
      </c>
      <c r="Y39">
        <v>-30</v>
      </c>
      <c r="Z39">
        <v>39.94</v>
      </c>
      <c r="AA39">
        <v>33469.699999999997</v>
      </c>
    </row>
    <row r="40" spans="1:27" x14ac:dyDescent="0.35">
      <c r="A40" s="12" t="s">
        <v>972</v>
      </c>
      <c r="B40" s="12" t="s">
        <v>973</v>
      </c>
      <c r="C40" s="12" t="s">
        <v>130</v>
      </c>
      <c r="D40" s="12" t="s">
        <v>142</v>
      </c>
      <c r="E40">
        <v>2</v>
      </c>
      <c r="F40">
        <v>9</v>
      </c>
      <c r="G40" s="12" t="s">
        <v>66</v>
      </c>
      <c r="H40" s="12" t="s">
        <v>67</v>
      </c>
      <c r="I40" s="12" t="s">
        <v>69</v>
      </c>
      <c r="J40">
        <v>17.66</v>
      </c>
      <c r="K40" s="13">
        <v>45098</v>
      </c>
      <c r="L40" s="13">
        <v>45908</v>
      </c>
      <c r="M40">
        <v>2.218</v>
      </c>
      <c r="N40">
        <v>12</v>
      </c>
      <c r="O40">
        <v>932</v>
      </c>
      <c r="P40">
        <v>750910.47</v>
      </c>
      <c r="Q40">
        <v>474</v>
      </c>
      <c r="R40">
        <v>371869.5</v>
      </c>
      <c r="S40">
        <v>859.46040000000005</v>
      </c>
      <c r="T40">
        <v>784.53480000000002</v>
      </c>
      <c r="U40">
        <v>714.34379999999999</v>
      </c>
      <c r="V40">
        <v>8</v>
      </c>
      <c r="W40">
        <v>2</v>
      </c>
      <c r="X40">
        <v>4.03</v>
      </c>
      <c r="Y40">
        <v>50.38</v>
      </c>
      <c r="Z40">
        <v>70.191000000000003</v>
      </c>
      <c r="AA40">
        <v>33270.53</v>
      </c>
    </row>
    <row r="41" spans="1:27" x14ac:dyDescent="0.35">
      <c r="A41" s="12" t="s">
        <v>728</v>
      </c>
      <c r="B41" s="12" t="s">
        <v>729</v>
      </c>
      <c r="C41" s="12" t="s">
        <v>269</v>
      </c>
      <c r="D41" s="12" t="s">
        <v>65</v>
      </c>
      <c r="E41">
        <v>2</v>
      </c>
      <c r="F41">
        <v>3</v>
      </c>
      <c r="G41" s="12" t="s">
        <v>310</v>
      </c>
      <c r="H41" s="12" t="s">
        <v>311</v>
      </c>
      <c r="I41" s="12" t="s">
        <v>69</v>
      </c>
      <c r="J41">
        <v>28.3</v>
      </c>
      <c r="K41" s="13">
        <v>45030</v>
      </c>
      <c r="L41" s="13">
        <v>45988</v>
      </c>
      <c r="M41">
        <v>2.6230000000000002</v>
      </c>
      <c r="N41">
        <v>34</v>
      </c>
      <c r="O41">
        <v>2442</v>
      </c>
      <c r="P41">
        <v>894759.87</v>
      </c>
      <c r="Q41">
        <v>703</v>
      </c>
      <c r="R41">
        <v>251919.65</v>
      </c>
      <c r="S41">
        <v>374.99740000000003</v>
      </c>
      <c r="T41">
        <v>361.08710000000002</v>
      </c>
      <c r="U41">
        <v>314.3888</v>
      </c>
      <c r="V41">
        <v>6.5</v>
      </c>
      <c r="W41">
        <v>2</v>
      </c>
      <c r="X41">
        <v>1.431</v>
      </c>
      <c r="Y41">
        <v>22.02</v>
      </c>
      <c r="Z41">
        <v>46.698300000000003</v>
      </c>
      <c r="AA41">
        <v>32828.879999999997</v>
      </c>
    </row>
    <row r="42" spans="1:27" x14ac:dyDescent="0.35">
      <c r="A42" s="12" t="s">
        <v>537</v>
      </c>
      <c r="B42" s="12" t="s">
        <v>538</v>
      </c>
      <c r="C42" s="12" t="s">
        <v>103</v>
      </c>
      <c r="D42" s="12" t="s">
        <v>104</v>
      </c>
      <c r="E42">
        <v>3</v>
      </c>
      <c r="F42">
        <v>0</v>
      </c>
      <c r="G42" s="12" t="s">
        <v>380</v>
      </c>
      <c r="H42" s="12" t="s">
        <v>381</v>
      </c>
      <c r="I42" s="12" t="s">
        <v>96</v>
      </c>
      <c r="J42">
        <v>10.210000000000001</v>
      </c>
      <c r="K42" s="13">
        <v>45007</v>
      </c>
      <c r="L42" s="13">
        <v>46008</v>
      </c>
      <c r="M42">
        <v>2.7410000000000001</v>
      </c>
      <c r="N42">
        <v>33</v>
      </c>
      <c r="O42">
        <v>2497</v>
      </c>
      <c r="P42">
        <v>607917.69999999995</v>
      </c>
      <c r="Q42">
        <v>1007</v>
      </c>
      <c r="R42">
        <v>245216.27</v>
      </c>
      <c r="S42">
        <v>228.6361</v>
      </c>
      <c r="T42">
        <v>246.30879999999999</v>
      </c>
      <c r="U42">
        <v>216.3194</v>
      </c>
      <c r="V42">
        <v>2</v>
      </c>
      <c r="W42">
        <v>1.5</v>
      </c>
      <c r="X42">
        <v>-2.754</v>
      </c>
      <c r="Y42">
        <v>-137.69999999999999</v>
      </c>
      <c r="Z42">
        <v>29.9894</v>
      </c>
      <c r="AA42">
        <v>30199.29</v>
      </c>
    </row>
    <row r="43" spans="1:27" x14ac:dyDescent="0.35">
      <c r="A43" s="12" t="s">
        <v>569</v>
      </c>
      <c r="B43" s="12" t="s">
        <v>570</v>
      </c>
      <c r="C43" s="12" t="s">
        <v>114</v>
      </c>
      <c r="D43" s="12" t="s">
        <v>142</v>
      </c>
      <c r="E43">
        <v>1</v>
      </c>
      <c r="F43">
        <v>6</v>
      </c>
      <c r="G43" s="12" t="s">
        <v>123</v>
      </c>
      <c r="H43" s="12" t="s">
        <v>124</v>
      </c>
      <c r="I43" s="12" t="s">
        <v>82</v>
      </c>
      <c r="J43">
        <v>6.75</v>
      </c>
      <c r="K43" s="13">
        <v>45012</v>
      </c>
      <c r="L43" s="13">
        <v>46013</v>
      </c>
      <c r="M43">
        <v>2.7410000000000001</v>
      </c>
      <c r="N43">
        <v>32</v>
      </c>
      <c r="O43">
        <v>2523</v>
      </c>
      <c r="P43">
        <v>879386.33</v>
      </c>
      <c r="Q43">
        <v>1146</v>
      </c>
      <c r="R43">
        <v>398238.54</v>
      </c>
      <c r="S43">
        <v>349.9393</v>
      </c>
      <c r="T43">
        <v>348.21159999999998</v>
      </c>
      <c r="U43">
        <v>321.90969999999999</v>
      </c>
      <c r="V43">
        <v>3</v>
      </c>
      <c r="W43">
        <v>1.5</v>
      </c>
      <c r="X43">
        <v>0.18099999999999999</v>
      </c>
      <c r="Y43">
        <v>6.03</v>
      </c>
      <c r="Z43">
        <v>26.3019</v>
      </c>
      <c r="AA43">
        <v>30141.98</v>
      </c>
    </row>
    <row r="44" spans="1:27" x14ac:dyDescent="0.35">
      <c r="A44" s="12" t="s">
        <v>498</v>
      </c>
      <c r="B44" s="12" t="s">
        <v>499</v>
      </c>
      <c r="C44" s="12" t="s">
        <v>175</v>
      </c>
      <c r="D44" s="12" t="s">
        <v>104</v>
      </c>
      <c r="E44">
        <v>3</v>
      </c>
      <c r="F44">
        <v>1</v>
      </c>
      <c r="G44" s="12" t="s">
        <v>233</v>
      </c>
      <c r="H44" s="12" t="s">
        <v>234</v>
      </c>
      <c r="I44" s="12" t="s">
        <v>96</v>
      </c>
      <c r="J44">
        <v>3.73</v>
      </c>
      <c r="K44" s="13">
        <v>45000</v>
      </c>
      <c r="L44" s="13">
        <v>46007</v>
      </c>
      <c r="M44">
        <v>2.7570000000000001</v>
      </c>
      <c r="N44">
        <v>30</v>
      </c>
      <c r="O44">
        <v>2576</v>
      </c>
      <c r="P44">
        <v>686749.06</v>
      </c>
      <c r="Q44">
        <v>1056</v>
      </c>
      <c r="R44">
        <v>278430.2</v>
      </c>
      <c r="S44">
        <v>275.12700000000001</v>
      </c>
      <c r="T44">
        <v>262.52229999999997</v>
      </c>
      <c r="U44">
        <v>235.39580000000001</v>
      </c>
      <c r="V44">
        <v>5.5</v>
      </c>
      <c r="W44">
        <v>2</v>
      </c>
      <c r="X44">
        <v>1.6870000000000001</v>
      </c>
      <c r="Y44">
        <v>30.67</v>
      </c>
      <c r="Z44">
        <v>27.1265</v>
      </c>
      <c r="AA44">
        <v>28645.58</v>
      </c>
    </row>
    <row r="45" spans="1:27" x14ac:dyDescent="0.35">
      <c r="A45" s="12" t="s">
        <v>1166</v>
      </c>
      <c r="B45" s="12" t="s">
        <v>1167</v>
      </c>
      <c r="C45" s="12" t="s">
        <v>175</v>
      </c>
      <c r="D45" s="12" t="s">
        <v>65</v>
      </c>
      <c r="E45">
        <v>3</v>
      </c>
      <c r="F45">
        <v>5</v>
      </c>
      <c r="G45" s="12" t="s">
        <v>143</v>
      </c>
      <c r="H45" s="12" t="s">
        <v>144</v>
      </c>
      <c r="I45" s="12" t="s">
        <v>96</v>
      </c>
      <c r="J45">
        <v>5.43</v>
      </c>
      <c r="K45" s="13">
        <v>45079</v>
      </c>
      <c r="L45" s="13">
        <v>45989</v>
      </c>
      <c r="M45">
        <v>2.4910000000000001</v>
      </c>
      <c r="N45">
        <v>37</v>
      </c>
      <c r="O45">
        <v>3017</v>
      </c>
      <c r="P45">
        <v>749674.4</v>
      </c>
      <c r="Q45">
        <v>942</v>
      </c>
      <c r="R45">
        <v>231906.56</v>
      </c>
      <c r="S45">
        <v>248.16210000000001</v>
      </c>
      <c r="T45">
        <v>245.05629999999999</v>
      </c>
      <c r="U45">
        <v>215.54409999999999</v>
      </c>
      <c r="V45">
        <v>5.5</v>
      </c>
      <c r="W45">
        <v>2</v>
      </c>
      <c r="X45">
        <v>0.504</v>
      </c>
      <c r="Y45">
        <v>9.16</v>
      </c>
      <c r="Z45">
        <v>29.5122</v>
      </c>
      <c r="AA45">
        <v>27800.51</v>
      </c>
    </row>
    <row r="46" spans="1:27" x14ac:dyDescent="0.35">
      <c r="A46" s="12" t="s">
        <v>261</v>
      </c>
      <c r="B46" s="12" t="s">
        <v>262</v>
      </c>
      <c r="C46" s="12" t="s">
        <v>114</v>
      </c>
      <c r="D46" s="12" t="s">
        <v>142</v>
      </c>
      <c r="E46">
        <v>1</v>
      </c>
      <c r="F46">
        <v>8</v>
      </c>
      <c r="G46" s="12" t="s">
        <v>263</v>
      </c>
      <c r="H46" s="12" t="s">
        <v>264</v>
      </c>
      <c r="I46" s="12" t="s">
        <v>82</v>
      </c>
      <c r="J46">
        <v>10.210000000000001</v>
      </c>
      <c r="K46" s="13">
        <v>44967</v>
      </c>
      <c r="L46" s="13">
        <v>46020</v>
      </c>
      <c r="M46">
        <v>2.883</v>
      </c>
      <c r="N46">
        <v>48</v>
      </c>
      <c r="O46">
        <v>4085</v>
      </c>
      <c r="P46">
        <v>580591.93000000005</v>
      </c>
      <c r="Q46">
        <v>1149</v>
      </c>
      <c r="R46">
        <v>172940.94</v>
      </c>
      <c r="S46">
        <v>139.99549999999999</v>
      </c>
      <c r="T46">
        <v>152.34989999999999</v>
      </c>
      <c r="U46">
        <v>128.22630000000001</v>
      </c>
      <c r="V46">
        <v>3</v>
      </c>
      <c r="W46">
        <v>1.5</v>
      </c>
      <c r="X46">
        <v>-2.9769999999999999</v>
      </c>
      <c r="Y46">
        <v>-99.23</v>
      </c>
      <c r="Z46">
        <v>24.1236</v>
      </c>
      <c r="AA46">
        <v>27718</v>
      </c>
    </row>
    <row r="47" spans="1:27" x14ac:dyDescent="0.35">
      <c r="A47" s="12" t="s">
        <v>447</v>
      </c>
      <c r="B47" s="12" t="s">
        <v>448</v>
      </c>
      <c r="C47" s="12" t="s">
        <v>269</v>
      </c>
      <c r="D47" s="12" t="s">
        <v>65</v>
      </c>
      <c r="E47">
        <v>2</v>
      </c>
      <c r="F47">
        <v>2</v>
      </c>
      <c r="G47" s="12" t="s">
        <v>94</v>
      </c>
      <c r="H47" s="12" t="s">
        <v>95</v>
      </c>
      <c r="I47" s="12" t="s">
        <v>96</v>
      </c>
      <c r="J47">
        <v>4.8099999999999996</v>
      </c>
      <c r="K47" s="13">
        <v>44994</v>
      </c>
      <c r="L47" s="13">
        <v>46022</v>
      </c>
      <c r="M47">
        <v>2.8149999999999999</v>
      </c>
      <c r="N47">
        <v>29</v>
      </c>
      <c r="O47">
        <v>2163</v>
      </c>
      <c r="P47">
        <v>816692.85</v>
      </c>
      <c r="Q47">
        <v>807</v>
      </c>
      <c r="R47">
        <v>293757.81</v>
      </c>
      <c r="S47">
        <v>388.54930000000002</v>
      </c>
      <c r="T47">
        <v>354.90120000000002</v>
      </c>
      <c r="U47">
        <v>321.57389999999998</v>
      </c>
      <c r="V47">
        <v>6.5</v>
      </c>
      <c r="W47">
        <v>2</v>
      </c>
      <c r="X47">
        <v>3.1669999999999998</v>
      </c>
      <c r="Y47">
        <v>48.72</v>
      </c>
      <c r="Z47">
        <v>33.327300000000001</v>
      </c>
      <c r="AA47">
        <v>26895.15</v>
      </c>
    </row>
    <row r="48" spans="1:27" x14ac:dyDescent="0.35">
      <c r="A48" s="12" t="s">
        <v>442</v>
      </c>
      <c r="B48" s="12" t="s">
        <v>443</v>
      </c>
      <c r="C48" s="12" t="s">
        <v>130</v>
      </c>
      <c r="D48" s="12" t="s">
        <v>65</v>
      </c>
      <c r="E48">
        <v>3</v>
      </c>
      <c r="F48">
        <v>4</v>
      </c>
      <c r="G48" s="12" t="s">
        <v>251</v>
      </c>
      <c r="H48" s="12" t="s">
        <v>252</v>
      </c>
      <c r="I48" s="12" t="s">
        <v>69</v>
      </c>
      <c r="J48">
        <v>34.49</v>
      </c>
      <c r="K48" s="13">
        <v>44994</v>
      </c>
      <c r="L48" s="13">
        <v>45978</v>
      </c>
      <c r="M48">
        <v>2.694</v>
      </c>
      <c r="N48">
        <v>35</v>
      </c>
      <c r="O48">
        <v>2552</v>
      </c>
      <c r="P48">
        <v>1435577.49</v>
      </c>
      <c r="Q48">
        <v>793</v>
      </c>
      <c r="R48">
        <v>402552.1</v>
      </c>
      <c r="S48">
        <v>615.01959999999997</v>
      </c>
      <c r="T48">
        <v>524.31690000000003</v>
      </c>
      <c r="U48">
        <v>491.28480000000002</v>
      </c>
      <c r="V48">
        <v>8</v>
      </c>
      <c r="W48">
        <v>2</v>
      </c>
      <c r="X48">
        <v>5.7510000000000003</v>
      </c>
      <c r="Y48">
        <v>71.89</v>
      </c>
      <c r="Z48">
        <v>33.0321</v>
      </c>
      <c r="AA48">
        <v>26194.43</v>
      </c>
    </row>
    <row r="49" spans="1:27" x14ac:dyDescent="0.35">
      <c r="A49" s="12" t="s">
        <v>747</v>
      </c>
      <c r="B49" s="12" t="s">
        <v>748</v>
      </c>
      <c r="C49" s="12" t="s">
        <v>114</v>
      </c>
      <c r="D49" s="12" t="s">
        <v>104</v>
      </c>
      <c r="E49">
        <v>2</v>
      </c>
      <c r="F49">
        <v>0</v>
      </c>
      <c r="G49" s="12" t="s">
        <v>380</v>
      </c>
      <c r="H49" s="12" t="s">
        <v>381</v>
      </c>
      <c r="I49" s="12" t="s">
        <v>96</v>
      </c>
      <c r="J49">
        <v>10.210000000000001</v>
      </c>
      <c r="K49" s="13">
        <v>45047</v>
      </c>
      <c r="L49" s="13">
        <v>45954</v>
      </c>
      <c r="M49">
        <v>2.4830000000000001</v>
      </c>
      <c r="N49">
        <v>36</v>
      </c>
      <c r="O49">
        <v>2993</v>
      </c>
      <c r="P49">
        <v>738416.67</v>
      </c>
      <c r="Q49">
        <v>719</v>
      </c>
      <c r="R49">
        <v>182509.34</v>
      </c>
      <c r="S49">
        <v>245.56890000000001</v>
      </c>
      <c r="T49">
        <v>262.20100000000002</v>
      </c>
      <c r="U49">
        <v>227.6814</v>
      </c>
      <c r="V49">
        <v>3</v>
      </c>
      <c r="W49">
        <v>1.5</v>
      </c>
      <c r="X49">
        <v>-2.6739999999999999</v>
      </c>
      <c r="Y49">
        <v>-89.13</v>
      </c>
      <c r="Z49">
        <v>34.519599999999997</v>
      </c>
      <c r="AA49">
        <v>24819.56</v>
      </c>
    </row>
    <row r="50" spans="1:27" x14ac:dyDescent="0.35">
      <c r="A50" s="12" t="s">
        <v>477</v>
      </c>
      <c r="B50" s="12" t="s">
        <v>478</v>
      </c>
      <c r="C50" s="12" t="s">
        <v>130</v>
      </c>
      <c r="D50" s="12" t="s">
        <v>104</v>
      </c>
      <c r="E50">
        <v>3</v>
      </c>
      <c r="F50">
        <v>1</v>
      </c>
      <c r="G50" s="12" t="s">
        <v>380</v>
      </c>
      <c r="H50" s="12" t="s">
        <v>381</v>
      </c>
      <c r="I50" s="12" t="s">
        <v>96</v>
      </c>
      <c r="J50">
        <v>10.210000000000001</v>
      </c>
      <c r="K50" s="13">
        <v>45070</v>
      </c>
      <c r="L50" s="13">
        <v>46015</v>
      </c>
      <c r="M50">
        <v>2.5870000000000002</v>
      </c>
      <c r="N50">
        <v>25</v>
      </c>
      <c r="O50">
        <v>2142</v>
      </c>
      <c r="P50">
        <v>1548783.63</v>
      </c>
      <c r="Q50">
        <v>850</v>
      </c>
      <c r="R50">
        <v>566653.15</v>
      </c>
      <c r="S50">
        <v>778.59670000000006</v>
      </c>
      <c r="T50">
        <v>656.68050000000005</v>
      </c>
      <c r="U50">
        <v>627.52589999999998</v>
      </c>
      <c r="V50">
        <v>8</v>
      </c>
      <c r="W50">
        <v>2</v>
      </c>
      <c r="X50">
        <v>6.37</v>
      </c>
      <c r="Y50">
        <v>79.63</v>
      </c>
      <c r="Z50">
        <v>29.154599999999999</v>
      </c>
      <c r="AA50">
        <v>24781.41</v>
      </c>
    </row>
    <row r="51" spans="1:27" x14ac:dyDescent="0.35">
      <c r="A51" s="12" t="s">
        <v>302</v>
      </c>
      <c r="B51" s="12" t="s">
        <v>303</v>
      </c>
      <c r="C51" s="12" t="s">
        <v>78</v>
      </c>
      <c r="D51" s="12" t="s">
        <v>65</v>
      </c>
      <c r="E51">
        <v>2</v>
      </c>
      <c r="F51">
        <v>3</v>
      </c>
      <c r="G51" s="12" t="s">
        <v>335</v>
      </c>
      <c r="H51" s="12" t="s">
        <v>336</v>
      </c>
      <c r="I51" s="12" t="s">
        <v>82</v>
      </c>
      <c r="J51">
        <v>16</v>
      </c>
      <c r="K51" s="13">
        <v>44978</v>
      </c>
      <c r="L51" s="13">
        <v>45985</v>
      </c>
      <c r="M51">
        <v>2.7570000000000001</v>
      </c>
      <c r="N51">
        <v>38</v>
      </c>
      <c r="O51">
        <v>6412</v>
      </c>
      <c r="P51">
        <v>907439.27</v>
      </c>
      <c r="Q51">
        <v>1682</v>
      </c>
      <c r="R51">
        <v>232154.42</v>
      </c>
      <c r="S51">
        <v>144.41300000000001</v>
      </c>
      <c r="T51">
        <v>139.67009999999999</v>
      </c>
      <c r="U51">
        <v>125.369</v>
      </c>
      <c r="V51">
        <v>5</v>
      </c>
      <c r="W51">
        <v>2</v>
      </c>
      <c r="X51">
        <v>1.204</v>
      </c>
      <c r="Y51">
        <v>24.08</v>
      </c>
      <c r="Z51">
        <v>14.3011</v>
      </c>
      <c r="AA51">
        <v>24054.41</v>
      </c>
    </row>
    <row r="52" spans="1:27" x14ac:dyDescent="0.35">
      <c r="A52" s="12" t="s">
        <v>472</v>
      </c>
      <c r="B52" s="12" t="s">
        <v>473</v>
      </c>
      <c r="C52" s="12" t="s">
        <v>122</v>
      </c>
      <c r="D52" s="12" t="s">
        <v>142</v>
      </c>
      <c r="E52">
        <v>2</v>
      </c>
      <c r="F52">
        <v>9</v>
      </c>
      <c r="G52" s="12" t="s">
        <v>87</v>
      </c>
      <c r="H52" s="12" t="s">
        <v>88</v>
      </c>
      <c r="I52" s="12" t="s">
        <v>69</v>
      </c>
      <c r="J52">
        <v>14.93</v>
      </c>
      <c r="K52" s="13">
        <v>45083</v>
      </c>
      <c r="L52" s="13">
        <v>45989</v>
      </c>
      <c r="M52">
        <v>2.48</v>
      </c>
      <c r="N52">
        <v>13</v>
      </c>
      <c r="O52">
        <v>15050</v>
      </c>
      <c r="P52">
        <v>714291.69</v>
      </c>
      <c r="Q52">
        <v>8489</v>
      </c>
      <c r="R52">
        <v>398339.53</v>
      </c>
      <c r="S52">
        <v>48.7896</v>
      </c>
      <c r="T52">
        <v>46.924199999999999</v>
      </c>
      <c r="U52">
        <v>44.091999999999999</v>
      </c>
      <c r="V52">
        <v>4</v>
      </c>
      <c r="W52">
        <v>1.5</v>
      </c>
      <c r="X52">
        <v>1.5589999999999999</v>
      </c>
      <c r="Y52">
        <v>38.979999999999997</v>
      </c>
      <c r="Z52">
        <v>2.8321999999999998</v>
      </c>
      <c r="AA52">
        <v>24042.55</v>
      </c>
    </row>
    <row r="53" spans="1:27" x14ac:dyDescent="0.35">
      <c r="A53" s="12" t="s">
        <v>241</v>
      </c>
      <c r="B53" s="12" t="s">
        <v>242</v>
      </c>
      <c r="C53" s="12" t="s">
        <v>103</v>
      </c>
      <c r="D53" s="12" t="s">
        <v>142</v>
      </c>
      <c r="E53">
        <v>3</v>
      </c>
      <c r="F53">
        <v>11</v>
      </c>
      <c r="G53" s="12" t="s">
        <v>243</v>
      </c>
      <c r="H53" s="12" t="s">
        <v>244</v>
      </c>
      <c r="I53" s="12" t="s">
        <v>82</v>
      </c>
      <c r="J53">
        <v>9.2200000000000006</v>
      </c>
      <c r="K53" s="13">
        <v>44963</v>
      </c>
      <c r="L53" s="13">
        <v>46021</v>
      </c>
      <c r="M53">
        <v>2.8969999999999998</v>
      </c>
      <c r="N53">
        <v>34</v>
      </c>
      <c r="O53">
        <v>2639</v>
      </c>
      <c r="P53">
        <v>468993.31</v>
      </c>
      <c r="Q53">
        <v>966</v>
      </c>
      <c r="R53">
        <v>170591.16</v>
      </c>
      <c r="S53">
        <v>164.8845</v>
      </c>
      <c r="T53">
        <v>179.61799999999999</v>
      </c>
      <c r="U53">
        <v>155.5112</v>
      </c>
      <c r="V53">
        <v>2</v>
      </c>
      <c r="W53">
        <v>1.5</v>
      </c>
      <c r="X53">
        <v>-2.9990000000000001</v>
      </c>
      <c r="Y53">
        <v>-149.94999999999999</v>
      </c>
      <c r="Z53">
        <v>24.1068</v>
      </c>
      <c r="AA53">
        <v>23287.18</v>
      </c>
    </row>
    <row r="54" spans="1:27" x14ac:dyDescent="0.35">
      <c r="A54" s="12" t="s">
        <v>1054</v>
      </c>
      <c r="B54" s="12" t="s">
        <v>1055</v>
      </c>
      <c r="C54" s="12" t="s">
        <v>122</v>
      </c>
      <c r="D54" s="12" t="s">
        <v>65</v>
      </c>
      <c r="E54">
        <v>1</v>
      </c>
      <c r="F54">
        <v>2</v>
      </c>
      <c r="G54" s="12" t="s">
        <v>176</v>
      </c>
      <c r="H54" s="12" t="s">
        <v>177</v>
      </c>
      <c r="I54" s="12" t="s">
        <v>134</v>
      </c>
      <c r="J54">
        <v>1.75</v>
      </c>
      <c r="K54" s="13">
        <v>45068</v>
      </c>
      <c r="L54" s="13">
        <v>45939</v>
      </c>
      <c r="M54">
        <v>2.3849999999999998</v>
      </c>
      <c r="N54">
        <v>42</v>
      </c>
      <c r="O54">
        <v>41616</v>
      </c>
      <c r="P54">
        <v>1920222.62</v>
      </c>
      <c r="Q54">
        <v>10320</v>
      </c>
      <c r="R54">
        <v>469098.47</v>
      </c>
      <c r="S54">
        <v>46.916699999999999</v>
      </c>
      <c r="T54">
        <v>44.811300000000003</v>
      </c>
      <c r="U54">
        <v>42.5642</v>
      </c>
      <c r="V54">
        <v>4</v>
      </c>
      <c r="W54">
        <v>1.5</v>
      </c>
      <c r="X54">
        <v>1.907</v>
      </c>
      <c r="Y54">
        <v>47.68</v>
      </c>
      <c r="Z54">
        <v>2.2471000000000001</v>
      </c>
      <c r="AA54">
        <v>23190.07</v>
      </c>
    </row>
    <row r="55" spans="1:27" x14ac:dyDescent="0.35">
      <c r="A55" s="12" t="s">
        <v>454</v>
      </c>
      <c r="B55" s="12" t="s">
        <v>455</v>
      </c>
      <c r="C55" s="12" t="s">
        <v>122</v>
      </c>
      <c r="D55" s="12" t="s">
        <v>104</v>
      </c>
      <c r="E55">
        <v>3</v>
      </c>
      <c r="F55">
        <v>1</v>
      </c>
      <c r="G55" s="12" t="s">
        <v>87</v>
      </c>
      <c r="H55" s="12" t="s">
        <v>88</v>
      </c>
      <c r="I55" s="12" t="s">
        <v>69</v>
      </c>
      <c r="J55">
        <v>14.93</v>
      </c>
      <c r="K55" s="13">
        <v>44995</v>
      </c>
      <c r="L55" s="13">
        <v>46000</v>
      </c>
      <c r="M55">
        <v>2.7519999999999998</v>
      </c>
      <c r="N55">
        <v>32</v>
      </c>
      <c r="O55">
        <v>33689</v>
      </c>
      <c r="P55">
        <v>720260.52</v>
      </c>
      <c r="Q55">
        <v>12880</v>
      </c>
      <c r="R55">
        <v>270899.89</v>
      </c>
      <c r="S55">
        <v>21.657</v>
      </c>
      <c r="T55">
        <v>21.032599999999999</v>
      </c>
      <c r="U55">
        <v>19.355699999999999</v>
      </c>
      <c r="V55">
        <v>4</v>
      </c>
      <c r="W55">
        <v>1.5</v>
      </c>
      <c r="X55">
        <v>1.0580000000000001</v>
      </c>
      <c r="Y55">
        <v>26.45</v>
      </c>
      <c r="Z55">
        <v>1.6769000000000001</v>
      </c>
      <c r="AA55">
        <v>21598.47</v>
      </c>
    </row>
    <row r="56" spans="1:27" x14ac:dyDescent="0.35">
      <c r="A56" s="12" t="s">
        <v>289</v>
      </c>
      <c r="B56" s="12" t="s">
        <v>290</v>
      </c>
      <c r="C56" s="12" t="s">
        <v>175</v>
      </c>
      <c r="D56" s="12" t="s">
        <v>104</v>
      </c>
      <c r="E56">
        <v>3</v>
      </c>
      <c r="F56">
        <v>1</v>
      </c>
      <c r="G56" s="12" t="s">
        <v>157</v>
      </c>
      <c r="H56" s="12" t="s">
        <v>158</v>
      </c>
      <c r="I56" s="12" t="s">
        <v>96</v>
      </c>
      <c r="J56">
        <v>4.72</v>
      </c>
      <c r="K56" s="13">
        <v>44971</v>
      </c>
      <c r="L56" s="13">
        <v>46017</v>
      </c>
      <c r="M56">
        <v>2.8639999999999999</v>
      </c>
      <c r="N56">
        <v>46</v>
      </c>
      <c r="O56">
        <v>3432</v>
      </c>
      <c r="P56">
        <v>646628.55000000005</v>
      </c>
      <c r="Q56">
        <v>945</v>
      </c>
      <c r="R56">
        <v>179227.78</v>
      </c>
      <c r="S56">
        <v>194.9136</v>
      </c>
      <c r="T56">
        <v>187.89179999999999</v>
      </c>
      <c r="U56">
        <v>165.75970000000001</v>
      </c>
      <c r="V56">
        <v>5.5</v>
      </c>
      <c r="W56">
        <v>2</v>
      </c>
      <c r="X56">
        <v>1.2729999999999999</v>
      </c>
      <c r="Y56">
        <v>23.15</v>
      </c>
      <c r="Z56">
        <v>22.132100000000001</v>
      </c>
      <c r="AA56">
        <v>20914.810000000001</v>
      </c>
    </row>
    <row r="57" spans="1:27" x14ac:dyDescent="0.35">
      <c r="A57" s="12" t="s">
        <v>317</v>
      </c>
      <c r="B57" s="12" t="s">
        <v>318</v>
      </c>
      <c r="C57" s="12" t="s">
        <v>64</v>
      </c>
      <c r="D57" s="12" t="s">
        <v>104</v>
      </c>
      <c r="E57">
        <v>2</v>
      </c>
      <c r="F57">
        <v>0</v>
      </c>
      <c r="G57" s="12" t="s">
        <v>169</v>
      </c>
      <c r="H57" s="12" t="s">
        <v>170</v>
      </c>
      <c r="I57" s="12" t="s">
        <v>134</v>
      </c>
      <c r="J57">
        <v>1.37</v>
      </c>
      <c r="K57" s="13">
        <v>44977</v>
      </c>
      <c r="L57" s="13">
        <v>45954</v>
      </c>
      <c r="M57">
        <v>2.6749999999999998</v>
      </c>
      <c r="N57">
        <v>33</v>
      </c>
      <c r="O57">
        <v>16981</v>
      </c>
      <c r="P57">
        <v>268745.28999999998</v>
      </c>
      <c r="Q57">
        <v>7248</v>
      </c>
      <c r="R57">
        <v>114688</v>
      </c>
      <c r="S57">
        <v>15.744</v>
      </c>
      <c r="T57">
        <v>15.823399999999999</v>
      </c>
      <c r="U57">
        <v>12.966100000000001</v>
      </c>
      <c r="V57">
        <v>7</v>
      </c>
      <c r="W57">
        <v>2</v>
      </c>
      <c r="X57">
        <v>-0.188</v>
      </c>
      <c r="Y57">
        <v>-2.69</v>
      </c>
      <c r="Z57">
        <v>2.8573</v>
      </c>
      <c r="AA57">
        <v>20709.71</v>
      </c>
    </row>
    <row r="58" spans="1:27" x14ac:dyDescent="0.35">
      <c r="A58" s="12" t="s">
        <v>391</v>
      </c>
      <c r="B58" s="12" t="s">
        <v>392</v>
      </c>
      <c r="C58" s="12" t="s">
        <v>114</v>
      </c>
      <c r="D58" s="12" t="s">
        <v>65</v>
      </c>
      <c r="E58">
        <v>2</v>
      </c>
      <c r="F58">
        <v>2</v>
      </c>
      <c r="G58" s="12" t="s">
        <v>310</v>
      </c>
      <c r="H58" s="12" t="s">
        <v>311</v>
      </c>
      <c r="I58" s="12" t="s">
        <v>69</v>
      </c>
      <c r="J58">
        <v>28.3</v>
      </c>
      <c r="K58" s="13">
        <v>44987</v>
      </c>
      <c r="L58" s="13">
        <v>45996</v>
      </c>
      <c r="M58">
        <v>2.762</v>
      </c>
      <c r="N58">
        <v>34</v>
      </c>
      <c r="O58">
        <v>2429</v>
      </c>
      <c r="P58">
        <v>547963.41</v>
      </c>
      <c r="Q58">
        <v>555</v>
      </c>
      <c r="R58">
        <v>133552.26</v>
      </c>
      <c r="S58">
        <v>223.56530000000001</v>
      </c>
      <c r="T58">
        <v>242.6498</v>
      </c>
      <c r="U58">
        <v>205.5266</v>
      </c>
      <c r="V58">
        <v>3</v>
      </c>
      <c r="W58">
        <v>1.5</v>
      </c>
      <c r="X58">
        <v>-3.01</v>
      </c>
      <c r="Y58">
        <v>-100.33</v>
      </c>
      <c r="Z58">
        <v>37.123199999999997</v>
      </c>
      <c r="AA58">
        <v>20603.38</v>
      </c>
    </row>
    <row r="59" spans="1:27" x14ac:dyDescent="0.35">
      <c r="A59" s="12" t="s">
        <v>207</v>
      </c>
      <c r="B59" s="12" t="s">
        <v>208</v>
      </c>
      <c r="C59" s="12" t="s">
        <v>78</v>
      </c>
      <c r="D59" s="12" t="s">
        <v>65</v>
      </c>
      <c r="E59">
        <v>2</v>
      </c>
      <c r="F59">
        <v>3</v>
      </c>
      <c r="G59" s="12" t="s">
        <v>209</v>
      </c>
      <c r="H59" s="12" t="s">
        <v>210</v>
      </c>
      <c r="I59" s="12" t="s">
        <v>96</v>
      </c>
      <c r="J59">
        <v>7.82</v>
      </c>
      <c r="K59" s="13">
        <v>44959</v>
      </c>
      <c r="L59" s="13">
        <v>45995</v>
      </c>
      <c r="M59">
        <v>2.8359999999999999</v>
      </c>
      <c r="N59">
        <v>49</v>
      </c>
      <c r="O59">
        <v>9353</v>
      </c>
      <c r="P59">
        <v>1395237.24</v>
      </c>
      <c r="Q59">
        <v>2061</v>
      </c>
      <c r="R59">
        <v>295051.96000000002</v>
      </c>
      <c r="S59">
        <v>152.13079999999999</v>
      </c>
      <c r="T59">
        <v>141.48689999999999</v>
      </c>
      <c r="U59">
        <v>131.535</v>
      </c>
      <c r="V59">
        <v>5</v>
      </c>
      <c r="W59">
        <v>2</v>
      </c>
      <c r="X59">
        <v>2.5249999999999999</v>
      </c>
      <c r="Y59">
        <v>50.5</v>
      </c>
      <c r="Z59">
        <v>9.9519000000000002</v>
      </c>
      <c r="AA59">
        <v>20510.78</v>
      </c>
    </row>
    <row r="60" spans="1:27" x14ac:dyDescent="0.35">
      <c r="A60" s="12" t="s">
        <v>416</v>
      </c>
      <c r="B60" s="12" t="s">
        <v>417</v>
      </c>
      <c r="C60" s="12" t="s">
        <v>78</v>
      </c>
      <c r="D60" s="12" t="s">
        <v>65</v>
      </c>
      <c r="E60">
        <v>3</v>
      </c>
      <c r="F60">
        <v>5</v>
      </c>
      <c r="G60" s="12" t="s">
        <v>87</v>
      </c>
      <c r="H60" s="12" t="s">
        <v>88</v>
      </c>
      <c r="I60" s="12" t="s">
        <v>69</v>
      </c>
      <c r="J60">
        <v>14.93</v>
      </c>
      <c r="K60" s="13">
        <v>45015</v>
      </c>
      <c r="L60" s="13">
        <v>46017</v>
      </c>
      <c r="M60">
        <v>2.7429999999999999</v>
      </c>
      <c r="N60">
        <v>11</v>
      </c>
      <c r="O60">
        <v>1762</v>
      </c>
      <c r="P60">
        <v>263936.83</v>
      </c>
      <c r="Q60">
        <v>858</v>
      </c>
      <c r="R60">
        <v>131512.04</v>
      </c>
      <c r="S60">
        <v>144.15710000000001</v>
      </c>
      <c r="T60">
        <v>149.0299</v>
      </c>
      <c r="U60">
        <v>125.2368</v>
      </c>
      <c r="V60">
        <v>5</v>
      </c>
      <c r="W60">
        <v>2</v>
      </c>
      <c r="X60">
        <v>-1.2190000000000001</v>
      </c>
      <c r="Y60">
        <v>-24.38</v>
      </c>
      <c r="Z60">
        <v>23.793099999999999</v>
      </c>
      <c r="AA60">
        <v>20414.48</v>
      </c>
    </row>
    <row r="61" spans="1:27" x14ac:dyDescent="0.35">
      <c r="A61" s="12" t="s">
        <v>532</v>
      </c>
      <c r="B61" s="12" t="s">
        <v>533</v>
      </c>
      <c r="C61" s="12" t="s">
        <v>114</v>
      </c>
      <c r="D61" s="12" t="s">
        <v>65</v>
      </c>
      <c r="E61">
        <v>2</v>
      </c>
      <c r="F61">
        <v>3</v>
      </c>
      <c r="G61" s="12" t="s">
        <v>105</v>
      </c>
      <c r="H61" s="12" t="s">
        <v>106</v>
      </c>
      <c r="I61" s="12" t="s">
        <v>96</v>
      </c>
      <c r="J61">
        <v>5.01</v>
      </c>
      <c r="K61" s="13">
        <v>45006</v>
      </c>
      <c r="L61" s="13">
        <v>45993</v>
      </c>
      <c r="M61">
        <v>2.702</v>
      </c>
      <c r="N61">
        <v>36</v>
      </c>
      <c r="O61">
        <v>2822</v>
      </c>
      <c r="P61">
        <v>703533.44</v>
      </c>
      <c r="Q61">
        <v>1100</v>
      </c>
      <c r="R61">
        <v>273589.31</v>
      </c>
      <c r="S61">
        <v>251.49690000000001</v>
      </c>
      <c r="T61">
        <v>249.89959999999999</v>
      </c>
      <c r="U61">
        <v>231.62729999999999</v>
      </c>
      <c r="V61">
        <v>3</v>
      </c>
      <c r="W61">
        <v>1.5</v>
      </c>
      <c r="X61">
        <v>0.23599999999999999</v>
      </c>
      <c r="Y61">
        <v>7.87</v>
      </c>
      <c r="Z61">
        <v>18.272300000000001</v>
      </c>
      <c r="AA61">
        <v>20099.53</v>
      </c>
    </row>
    <row r="62" spans="1:27" x14ac:dyDescent="0.35">
      <c r="A62" s="12" t="s">
        <v>412</v>
      </c>
      <c r="B62" s="12" t="s">
        <v>413</v>
      </c>
      <c r="C62" s="12" t="s">
        <v>269</v>
      </c>
      <c r="D62" s="12" t="s">
        <v>65</v>
      </c>
      <c r="E62">
        <v>1</v>
      </c>
      <c r="F62">
        <v>2</v>
      </c>
      <c r="G62" s="12" t="s">
        <v>233</v>
      </c>
      <c r="H62" s="12" t="s">
        <v>234</v>
      </c>
      <c r="I62" s="12" t="s">
        <v>96</v>
      </c>
      <c r="J62">
        <v>3.73</v>
      </c>
      <c r="K62" s="13">
        <v>44992</v>
      </c>
      <c r="L62" s="13">
        <v>46016</v>
      </c>
      <c r="M62">
        <v>2.8039999999999998</v>
      </c>
      <c r="N62">
        <v>37</v>
      </c>
      <c r="O62">
        <v>3044</v>
      </c>
      <c r="P62">
        <v>317795.65999999997</v>
      </c>
      <c r="Q62">
        <v>1128</v>
      </c>
      <c r="R62">
        <v>117169.32</v>
      </c>
      <c r="S62">
        <v>104.4832</v>
      </c>
      <c r="T62">
        <v>103.87350000000001</v>
      </c>
      <c r="U62">
        <v>86.537099999999995</v>
      </c>
      <c r="V62">
        <v>6.5</v>
      </c>
      <c r="W62">
        <v>2</v>
      </c>
      <c r="X62">
        <v>0.20899999999999999</v>
      </c>
      <c r="Y62">
        <v>3.22</v>
      </c>
      <c r="Z62">
        <v>17.336400000000001</v>
      </c>
      <c r="AA62">
        <v>19555.46</v>
      </c>
    </row>
    <row r="63" spans="1:27" x14ac:dyDescent="0.35">
      <c r="A63" s="12" t="s">
        <v>680</v>
      </c>
      <c r="B63" s="12" t="s">
        <v>681</v>
      </c>
      <c r="C63" s="12" t="s">
        <v>122</v>
      </c>
      <c r="D63" s="12" t="s">
        <v>104</v>
      </c>
      <c r="E63">
        <v>3</v>
      </c>
      <c r="F63">
        <v>1</v>
      </c>
      <c r="G63" s="12" t="s">
        <v>227</v>
      </c>
      <c r="H63" s="12" t="s">
        <v>228</v>
      </c>
      <c r="I63" s="12" t="s">
        <v>96</v>
      </c>
      <c r="J63">
        <v>9.15</v>
      </c>
      <c r="K63" s="13">
        <v>45043</v>
      </c>
      <c r="L63" s="13">
        <v>46009</v>
      </c>
      <c r="M63">
        <v>2.645</v>
      </c>
      <c r="N63">
        <v>34</v>
      </c>
      <c r="O63">
        <v>33925</v>
      </c>
      <c r="P63">
        <v>788331.88</v>
      </c>
      <c r="Q63">
        <v>12385</v>
      </c>
      <c r="R63">
        <v>279640.28999999998</v>
      </c>
      <c r="S63">
        <v>23.246099999999998</v>
      </c>
      <c r="T63">
        <v>22.4269</v>
      </c>
      <c r="U63">
        <v>20.866900000000001</v>
      </c>
      <c r="V63">
        <v>4</v>
      </c>
      <c r="W63">
        <v>1.5</v>
      </c>
      <c r="X63">
        <v>1.347</v>
      </c>
      <c r="Y63">
        <v>33.68</v>
      </c>
      <c r="Z63">
        <v>1.56</v>
      </c>
      <c r="AA63">
        <v>19320.810000000001</v>
      </c>
    </row>
    <row r="64" spans="1:27" x14ac:dyDescent="0.35">
      <c r="A64" s="12" t="s">
        <v>503</v>
      </c>
      <c r="B64" s="12" t="s">
        <v>504</v>
      </c>
      <c r="C64" s="12" t="s">
        <v>103</v>
      </c>
      <c r="D64" s="12" t="s">
        <v>104</v>
      </c>
      <c r="E64">
        <v>3</v>
      </c>
      <c r="F64">
        <v>1</v>
      </c>
      <c r="G64" s="12" t="s">
        <v>209</v>
      </c>
      <c r="H64" s="12" t="s">
        <v>210</v>
      </c>
      <c r="I64" s="12" t="s">
        <v>96</v>
      </c>
      <c r="J64">
        <v>7.82</v>
      </c>
      <c r="K64" s="13">
        <v>45001</v>
      </c>
      <c r="L64" s="13">
        <v>45989</v>
      </c>
      <c r="M64">
        <v>2.7050000000000001</v>
      </c>
      <c r="N64">
        <v>35</v>
      </c>
      <c r="O64">
        <v>3100</v>
      </c>
      <c r="P64">
        <v>501523.77</v>
      </c>
      <c r="Q64">
        <v>941</v>
      </c>
      <c r="R64">
        <v>161059.34</v>
      </c>
      <c r="S64">
        <v>158.00909999999999</v>
      </c>
      <c r="T64">
        <v>169.64699999999999</v>
      </c>
      <c r="U64">
        <v>149.60589999999999</v>
      </c>
      <c r="V64">
        <v>2</v>
      </c>
      <c r="W64">
        <v>1.5</v>
      </c>
      <c r="X64">
        <v>-2.6619999999999999</v>
      </c>
      <c r="Y64">
        <v>-133.1</v>
      </c>
      <c r="Z64">
        <v>20.0411</v>
      </c>
      <c r="AA64">
        <v>18858.72</v>
      </c>
    </row>
    <row r="65" spans="1:27" x14ac:dyDescent="0.35">
      <c r="A65" s="12" t="s">
        <v>513</v>
      </c>
      <c r="B65" s="12" t="s">
        <v>514</v>
      </c>
      <c r="C65" s="12" t="s">
        <v>269</v>
      </c>
      <c r="D65" s="12" t="s">
        <v>65</v>
      </c>
      <c r="E65">
        <v>1</v>
      </c>
      <c r="F65">
        <v>2</v>
      </c>
      <c r="G65" s="12" t="s">
        <v>515</v>
      </c>
      <c r="H65" s="12" t="s">
        <v>516</v>
      </c>
      <c r="I65" s="12" t="s">
        <v>134</v>
      </c>
      <c r="J65">
        <v>3.69</v>
      </c>
      <c r="K65" s="13">
        <v>45002</v>
      </c>
      <c r="L65" s="13">
        <v>46020</v>
      </c>
      <c r="M65">
        <v>2.7869999999999999</v>
      </c>
      <c r="N65">
        <v>56</v>
      </c>
      <c r="O65">
        <v>4541</v>
      </c>
      <c r="P65">
        <v>999955.22</v>
      </c>
      <c r="Q65">
        <v>1743</v>
      </c>
      <c r="R65">
        <v>362542.5</v>
      </c>
      <c r="S65">
        <v>230.55160000000001</v>
      </c>
      <c r="T65">
        <v>201.7996</v>
      </c>
      <c r="U65">
        <v>191.17009999999999</v>
      </c>
      <c r="V65">
        <v>6.5</v>
      </c>
      <c r="W65">
        <v>2</v>
      </c>
      <c r="X65">
        <v>4.6669999999999998</v>
      </c>
      <c r="Y65">
        <v>71.8</v>
      </c>
      <c r="Z65">
        <v>10.6295</v>
      </c>
      <c r="AA65">
        <v>18527.3</v>
      </c>
    </row>
    <row r="66" spans="1:27" x14ac:dyDescent="0.35">
      <c r="A66" s="12" t="s">
        <v>802</v>
      </c>
      <c r="B66" s="12" t="s">
        <v>803</v>
      </c>
      <c r="C66" s="12" t="s">
        <v>114</v>
      </c>
      <c r="D66" s="12" t="s">
        <v>65</v>
      </c>
      <c r="E66">
        <v>3</v>
      </c>
      <c r="F66">
        <v>5</v>
      </c>
      <c r="G66" s="12" t="s">
        <v>804</v>
      </c>
      <c r="H66" s="12" t="s">
        <v>342</v>
      </c>
      <c r="I66" s="12" t="s">
        <v>69</v>
      </c>
      <c r="J66">
        <v>30.07</v>
      </c>
      <c r="K66" s="13">
        <v>45040</v>
      </c>
      <c r="L66" s="13">
        <v>46017</v>
      </c>
      <c r="M66">
        <v>2.6749999999999998</v>
      </c>
      <c r="N66">
        <v>25</v>
      </c>
      <c r="O66">
        <v>2076</v>
      </c>
      <c r="P66">
        <v>744865.6</v>
      </c>
      <c r="Q66">
        <v>707</v>
      </c>
      <c r="R66">
        <v>254892.28</v>
      </c>
      <c r="S66">
        <v>350.55540000000002</v>
      </c>
      <c r="T66">
        <v>348.8349</v>
      </c>
      <c r="U66">
        <v>323.12529999999998</v>
      </c>
      <c r="V66">
        <v>3</v>
      </c>
      <c r="W66">
        <v>1.5</v>
      </c>
      <c r="X66">
        <v>0.184</v>
      </c>
      <c r="Y66">
        <v>6.13</v>
      </c>
      <c r="Z66">
        <v>25.709599999999998</v>
      </c>
      <c r="AA66">
        <v>18176.7</v>
      </c>
    </row>
    <row r="67" spans="1:27" x14ac:dyDescent="0.35">
      <c r="A67" s="12" t="s">
        <v>544</v>
      </c>
      <c r="B67" s="12" t="s">
        <v>545</v>
      </c>
      <c r="C67" s="12" t="s">
        <v>175</v>
      </c>
      <c r="D67" s="12" t="s">
        <v>65</v>
      </c>
      <c r="E67">
        <v>3</v>
      </c>
      <c r="F67">
        <v>5</v>
      </c>
      <c r="G67" s="12" t="s">
        <v>66</v>
      </c>
      <c r="H67" s="12" t="s">
        <v>67</v>
      </c>
      <c r="I67" s="12" t="s">
        <v>69</v>
      </c>
      <c r="J67">
        <v>17.66</v>
      </c>
      <c r="K67" s="13">
        <v>45008</v>
      </c>
      <c r="L67" s="13">
        <v>45989</v>
      </c>
      <c r="M67">
        <v>2.6859999999999999</v>
      </c>
      <c r="N67">
        <v>34</v>
      </c>
      <c r="O67">
        <v>2880</v>
      </c>
      <c r="P67">
        <v>446441.35</v>
      </c>
      <c r="Q67">
        <v>997</v>
      </c>
      <c r="R67">
        <v>152579.23000000001</v>
      </c>
      <c r="S67">
        <v>157.10480000000001</v>
      </c>
      <c r="T67">
        <v>153.1823</v>
      </c>
      <c r="U67">
        <v>134.95820000000001</v>
      </c>
      <c r="V67">
        <v>5.5</v>
      </c>
      <c r="W67">
        <v>2</v>
      </c>
      <c r="X67">
        <v>0.93700000000000006</v>
      </c>
      <c r="Y67">
        <v>17.04</v>
      </c>
      <c r="Z67">
        <v>18.2241</v>
      </c>
      <c r="AA67">
        <v>18169.419999999998</v>
      </c>
    </row>
    <row r="68" spans="1:27" x14ac:dyDescent="0.35">
      <c r="A68" s="12" t="s">
        <v>120</v>
      </c>
      <c r="B68" s="12" t="s">
        <v>121</v>
      </c>
      <c r="C68" s="12" t="s">
        <v>122</v>
      </c>
      <c r="D68" s="12" t="s">
        <v>65</v>
      </c>
      <c r="E68">
        <v>3</v>
      </c>
      <c r="F68">
        <v>4</v>
      </c>
      <c r="G68" s="12" t="s">
        <v>123</v>
      </c>
      <c r="H68" s="12" t="s">
        <v>124</v>
      </c>
      <c r="I68" s="12" t="s">
        <v>82</v>
      </c>
      <c r="J68">
        <v>6.75</v>
      </c>
      <c r="K68" s="13">
        <v>44942</v>
      </c>
      <c r="L68" s="13">
        <v>46013</v>
      </c>
      <c r="M68">
        <v>2.9319999999999999</v>
      </c>
      <c r="N68">
        <v>43</v>
      </c>
      <c r="O68">
        <v>48760</v>
      </c>
      <c r="P68">
        <v>2597636.5099999998</v>
      </c>
      <c r="Q68">
        <v>15515</v>
      </c>
      <c r="R68">
        <v>781906.11</v>
      </c>
      <c r="S68">
        <v>55.544699999999999</v>
      </c>
      <c r="T68">
        <v>50.415799999999997</v>
      </c>
      <c r="U68">
        <v>49.279000000000003</v>
      </c>
      <c r="V68">
        <v>4</v>
      </c>
      <c r="W68">
        <v>1.5</v>
      </c>
      <c r="X68">
        <v>3.25</v>
      </c>
      <c r="Y68">
        <v>81.25</v>
      </c>
      <c r="Z68">
        <v>1.1368</v>
      </c>
      <c r="AA68">
        <v>17637.669999999998</v>
      </c>
    </row>
    <row r="69" spans="1:27" x14ac:dyDescent="0.35">
      <c r="A69" s="12" t="s">
        <v>787</v>
      </c>
      <c r="B69" s="12" t="s">
        <v>788</v>
      </c>
      <c r="C69" s="12" t="s">
        <v>269</v>
      </c>
      <c r="D69" s="12" t="s">
        <v>65</v>
      </c>
      <c r="E69">
        <v>2</v>
      </c>
      <c r="F69">
        <v>3</v>
      </c>
      <c r="G69" s="12" t="s">
        <v>143</v>
      </c>
      <c r="H69" s="12" t="s">
        <v>144</v>
      </c>
      <c r="I69" s="12" t="s">
        <v>96</v>
      </c>
      <c r="J69">
        <v>5.43</v>
      </c>
      <c r="K69" s="13">
        <v>45036</v>
      </c>
      <c r="L69" s="13">
        <v>46015</v>
      </c>
      <c r="M69">
        <v>2.68</v>
      </c>
      <c r="N69">
        <v>34</v>
      </c>
      <c r="O69">
        <v>2835</v>
      </c>
      <c r="P69">
        <v>980501.13</v>
      </c>
      <c r="Q69">
        <v>770</v>
      </c>
      <c r="R69">
        <v>255417.23</v>
      </c>
      <c r="S69">
        <v>354.36430000000001</v>
      </c>
      <c r="T69">
        <v>318.80689999999998</v>
      </c>
      <c r="U69">
        <v>295.95460000000003</v>
      </c>
      <c r="V69">
        <v>6.5</v>
      </c>
      <c r="W69">
        <v>2</v>
      </c>
      <c r="X69">
        <v>3.8679999999999999</v>
      </c>
      <c r="Y69">
        <v>59.51</v>
      </c>
      <c r="Z69">
        <v>22.8523</v>
      </c>
      <c r="AA69">
        <v>17596.29</v>
      </c>
    </row>
    <row r="70" spans="1:27" x14ac:dyDescent="0.35">
      <c r="A70" s="12" t="s">
        <v>1026</v>
      </c>
      <c r="B70" s="12" t="s">
        <v>1027</v>
      </c>
      <c r="C70" s="12" t="s">
        <v>122</v>
      </c>
      <c r="D70" s="12" t="s">
        <v>104</v>
      </c>
      <c r="E70">
        <v>3</v>
      </c>
      <c r="F70">
        <v>1</v>
      </c>
      <c r="G70" s="12" t="s">
        <v>604</v>
      </c>
      <c r="H70" s="12" t="s">
        <v>605</v>
      </c>
      <c r="I70" s="12" t="s">
        <v>82</v>
      </c>
      <c r="J70">
        <v>7.24</v>
      </c>
      <c r="K70" s="13">
        <v>45062</v>
      </c>
      <c r="L70" s="13">
        <v>46015</v>
      </c>
      <c r="M70">
        <v>2.609</v>
      </c>
      <c r="N70">
        <v>13</v>
      </c>
      <c r="O70">
        <v>11418</v>
      </c>
      <c r="P70">
        <v>466847.62</v>
      </c>
      <c r="Q70">
        <v>5942</v>
      </c>
      <c r="R70">
        <v>239544.16</v>
      </c>
      <c r="S70">
        <v>41.886099999999999</v>
      </c>
      <c r="T70">
        <v>40.553100000000001</v>
      </c>
      <c r="U70">
        <v>37.654400000000003</v>
      </c>
      <c r="V70">
        <v>4</v>
      </c>
      <c r="W70">
        <v>1.5</v>
      </c>
      <c r="X70">
        <v>1.232</v>
      </c>
      <c r="Y70">
        <v>30.8</v>
      </c>
      <c r="Z70">
        <v>2.8986999999999998</v>
      </c>
      <c r="AA70">
        <v>17224.080000000002</v>
      </c>
    </row>
    <row r="71" spans="1:27" x14ac:dyDescent="0.35">
      <c r="A71" s="12" t="s">
        <v>293</v>
      </c>
      <c r="B71" s="12" t="s">
        <v>294</v>
      </c>
      <c r="C71" s="12" t="s">
        <v>114</v>
      </c>
      <c r="D71" s="12" t="s">
        <v>142</v>
      </c>
      <c r="E71">
        <v>1</v>
      </c>
      <c r="F71">
        <v>6</v>
      </c>
      <c r="G71" s="12" t="s">
        <v>195</v>
      </c>
      <c r="H71" s="12" t="s">
        <v>196</v>
      </c>
      <c r="I71" s="12" t="s">
        <v>134</v>
      </c>
      <c r="J71">
        <v>4.7699999999999996</v>
      </c>
      <c r="K71" s="13">
        <v>44971</v>
      </c>
      <c r="L71" s="13">
        <v>45985</v>
      </c>
      <c r="M71">
        <v>2.7759999999999998</v>
      </c>
      <c r="N71">
        <v>47</v>
      </c>
      <c r="O71">
        <v>3872</v>
      </c>
      <c r="P71">
        <v>785876.57</v>
      </c>
      <c r="Q71">
        <v>1458</v>
      </c>
      <c r="R71">
        <v>291900.53999999998</v>
      </c>
      <c r="S71">
        <v>206.0489</v>
      </c>
      <c r="T71">
        <v>200.9084</v>
      </c>
      <c r="U71">
        <v>189.34270000000001</v>
      </c>
      <c r="V71">
        <v>3</v>
      </c>
      <c r="W71">
        <v>1.5</v>
      </c>
      <c r="X71">
        <v>0.90600000000000003</v>
      </c>
      <c r="Y71">
        <v>30.2</v>
      </c>
      <c r="Z71">
        <v>11.5657</v>
      </c>
      <c r="AA71">
        <v>16862.78</v>
      </c>
    </row>
    <row r="72" spans="1:27" x14ac:dyDescent="0.35">
      <c r="A72" s="12" t="s">
        <v>843</v>
      </c>
      <c r="B72" s="12" t="s">
        <v>844</v>
      </c>
      <c r="C72" s="12" t="s">
        <v>175</v>
      </c>
      <c r="D72" s="12" t="s">
        <v>65</v>
      </c>
      <c r="E72">
        <v>3</v>
      </c>
      <c r="F72">
        <v>5</v>
      </c>
      <c r="G72" s="12" t="s">
        <v>359</v>
      </c>
      <c r="H72" s="12" t="s">
        <v>360</v>
      </c>
      <c r="I72" s="12" t="s">
        <v>82</v>
      </c>
      <c r="J72">
        <v>12.65</v>
      </c>
      <c r="K72" s="13">
        <v>45042</v>
      </c>
      <c r="L72" s="13">
        <v>46020</v>
      </c>
      <c r="M72">
        <v>2.6779999999999999</v>
      </c>
      <c r="N72">
        <v>41</v>
      </c>
      <c r="O72">
        <v>3108</v>
      </c>
      <c r="P72">
        <v>784247.97</v>
      </c>
      <c r="Q72">
        <v>939</v>
      </c>
      <c r="R72">
        <v>223646.53</v>
      </c>
      <c r="S72">
        <v>255.6455</v>
      </c>
      <c r="T72">
        <v>237.4212</v>
      </c>
      <c r="U72">
        <v>219.7073</v>
      </c>
      <c r="V72">
        <v>5.5</v>
      </c>
      <c r="W72">
        <v>2</v>
      </c>
      <c r="X72">
        <v>2.7240000000000002</v>
      </c>
      <c r="Y72">
        <v>49.53</v>
      </c>
      <c r="Z72">
        <v>17.713899999999999</v>
      </c>
      <c r="AA72">
        <v>16633.349999999999</v>
      </c>
    </row>
    <row r="73" spans="1:27" x14ac:dyDescent="0.35">
      <c r="A73" s="12" t="s">
        <v>1042</v>
      </c>
      <c r="B73" s="12" t="s">
        <v>1043</v>
      </c>
      <c r="C73" s="12" t="s">
        <v>269</v>
      </c>
      <c r="D73" s="12" t="s">
        <v>104</v>
      </c>
      <c r="E73">
        <v>2</v>
      </c>
      <c r="F73">
        <v>0</v>
      </c>
      <c r="G73" s="12" t="s">
        <v>199</v>
      </c>
      <c r="H73" s="12" t="s">
        <v>200</v>
      </c>
      <c r="I73" s="12" t="s">
        <v>96</v>
      </c>
      <c r="J73">
        <v>9.4700000000000006</v>
      </c>
      <c r="K73" s="13">
        <v>45119</v>
      </c>
      <c r="L73" s="13">
        <v>46008</v>
      </c>
      <c r="M73">
        <v>2.4340000000000002</v>
      </c>
      <c r="N73">
        <v>14</v>
      </c>
      <c r="O73">
        <v>1047</v>
      </c>
      <c r="P73">
        <v>304158.86</v>
      </c>
      <c r="Q73">
        <v>381</v>
      </c>
      <c r="R73">
        <v>110576.5</v>
      </c>
      <c r="S73">
        <v>290.76319999999998</v>
      </c>
      <c r="T73">
        <v>290.11180000000002</v>
      </c>
      <c r="U73">
        <v>246.88509999999999</v>
      </c>
      <c r="V73">
        <v>6.5</v>
      </c>
      <c r="W73">
        <v>2</v>
      </c>
      <c r="X73">
        <v>9.1999999999999998E-2</v>
      </c>
      <c r="Y73">
        <v>1.42</v>
      </c>
      <c r="Z73">
        <v>43.226700000000001</v>
      </c>
      <c r="AA73">
        <v>16469.37</v>
      </c>
    </row>
    <row r="74" spans="1:27" x14ac:dyDescent="0.35">
      <c r="A74" s="12" t="s">
        <v>451</v>
      </c>
      <c r="B74" s="12" t="s">
        <v>452</v>
      </c>
      <c r="C74" s="12" t="s">
        <v>175</v>
      </c>
      <c r="D74" s="12" t="s">
        <v>104</v>
      </c>
      <c r="E74">
        <v>3</v>
      </c>
      <c r="F74">
        <v>1</v>
      </c>
      <c r="G74" s="12" t="s">
        <v>176</v>
      </c>
      <c r="H74" s="12" t="s">
        <v>177</v>
      </c>
      <c r="I74" s="12" t="s">
        <v>134</v>
      </c>
      <c r="J74">
        <v>1.75</v>
      </c>
      <c r="K74" s="13">
        <v>45176</v>
      </c>
      <c r="L74" s="13">
        <v>46013</v>
      </c>
      <c r="M74">
        <v>2.2919999999999998</v>
      </c>
      <c r="N74">
        <v>14</v>
      </c>
      <c r="O74">
        <v>1081</v>
      </c>
      <c r="P74">
        <v>274892.65000000002</v>
      </c>
      <c r="Q74">
        <v>505</v>
      </c>
      <c r="R74">
        <v>129357.78</v>
      </c>
      <c r="S74">
        <v>257.9332</v>
      </c>
      <c r="T74">
        <v>258.81709999999998</v>
      </c>
      <c r="U74">
        <v>226.56720000000001</v>
      </c>
      <c r="V74">
        <v>5.5</v>
      </c>
      <c r="W74">
        <v>2</v>
      </c>
      <c r="X74">
        <v>-0.14899999999999999</v>
      </c>
      <c r="Y74">
        <v>-2.71</v>
      </c>
      <c r="Z74">
        <v>32.249899999999997</v>
      </c>
      <c r="AA74">
        <v>16286.18</v>
      </c>
    </row>
    <row r="75" spans="1:27" x14ac:dyDescent="0.35">
      <c r="A75" s="12" t="s">
        <v>416</v>
      </c>
      <c r="B75" s="12" t="s">
        <v>417</v>
      </c>
      <c r="C75" s="12" t="s">
        <v>78</v>
      </c>
      <c r="D75" s="12" t="s">
        <v>65</v>
      </c>
      <c r="E75">
        <v>3</v>
      </c>
      <c r="F75">
        <v>5</v>
      </c>
      <c r="G75" s="12" t="s">
        <v>169</v>
      </c>
      <c r="H75" s="12" t="s">
        <v>170</v>
      </c>
      <c r="I75" s="12" t="s">
        <v>134</v>
      </c>
      <c r="J75">
        <v>1.37</v>
      </c>
      <c r="K75" s="13">
        <v>44992</v>
      </c>
      <c r="L75" s="13">
        <v>46008</v>
      </c>
      <c r="M75">
        <v>2.782</v>
      </c>
      <c r="N75">
        <v>31</v>
      </c>
      <c r="O75">
        <v>4950</v>
      </c>
      <c r="P75">
        <v>662734.66</v>
      </c>
      <c r="Q75">
        <v>2730</v>
      </c>
      <c r="R75">
        <v>356890.28</v>
      </c>
      <c r="S75">
        <v>144.15710000000001</v>
      </c>
      <c r="T75">
        <v>130.79089999999999</v>
      </c>
      <c r="U75">
        <v>124.98650000000001</v>
      </c>
      <c r="V75">
        <v>5</v>
      </c>
      <c r="W75">
        <v>2</v>
      </c>
      <c r="X75">
        <v>3.4380000000000002</v>
      </c>
      <c r="Y75">
        <v>68.760000000000005</v>
      </c>
      <c r="Z75">
        <v>5.8044000000000002</v>
      </c>
      <c r="AA75">
        <v>15846.12</v>
      </c>
    </row>
    <row r="76" spans="1:27" x14ac:dyDescent="0.35">
      <c r="A76" s="12" t="s">
        <v>92</v>
      </c>
      <c r="B76" s="12" t="s">
        <v>93</v>
      </c>
      <c r="C76" s="12" t="s">
        <v>64</v>
      </c>
      <c r="D76" s="12" t="s">
        <v>65</v>
      </c>
      <c r="E76">
        <v>3</v>
      </c>
      <c r="F76">
        <v>5</v>
      </c>
      <c r="G76" s="12" t="s">
        <v>94</v>
      </c>
      <c r="H76" s="12" t="s">
        <v>95</v>
      </c>
      <c r="I76" s="12" t="s">
        <v>96</v>
      </c>
      <c r="J76">
        <v>4.8099999999999996</v>
      </c>
      <c r="K76" s="13">
        <v>44938</v>
      </c>
      <c r="L76" s="13">
        <v>45967</v>
      </c>
      <c r="M76">
        <v>2.8170000000000002</v>
      </c>
      <c r="N76">
        <v>35</v>
      </c>
      <c r="O76">
        <v>18868</v>
      </c>
      <c r="P76">
        <v>453542.12</v>
      </c>
      <c r="Q76">
        <v>4757</v>
      </c>
      <c r="R76">
        <v>110300.62</v>
      </c>
      <c r="S76">
        <v>24.617899999999999</v>
      </c>
      <c r="T76">
        <v>23.314299999999999</v>
      </c>
      <c r="U76">
        <v>20.066299999999998</v>
      </c>
      <c r="V76">
        <v>7</v>
      </c>
      <c r="W76">
        <v>2</v>
      </c>
      <c r="X76">
        <v>1.913</v>
      </c>
      <c r="Y76">
        <v>27.33</v>
      </c>
      <c r="Z76">
        <v>3.2480000000000002</v>
      </c>
      <c r="AA76">
        <v>15450.57</v>
      </c>
    </row>
    <row r="77" spans="1:27" x14ac:dyDescent="0.35">
      <c r="A77" s="12" t="s">
        <v>362</v>
      </c>
      <c r="B77" s="12" t="s">
        <v>363</v>
      </c>
      <c r="C77" s="12" t="s">
        <v>78</v>
      </c>
      <c r="D77" s="12" t="s">
        <v>104</v>
      </c>
      <c r="E77">
        <v>3</v>
      </c>
      <c r="F77">
        <v>0</v>
      </c>
      <c r="G77" s="12" t="s">
        <v>157</v>
      </c>
      <c r="H77" s="12" t="s">
        <v>158</v>
      </c>
      <c r="I77" s="12" t="s">
        <v>96</v>
      </c>
      <c r="J77">
        <v>4.72</v>
      </c>
      <c r="K77" s="13">
        <v>44981</v>
      </c>
      <c r="L77" s="13">
        <v>45978</v>
      </c>
      <c r="M77">
        <v>2.73</v>
      </c>
      <c r="N77">
        <v>39</v>
      </c>
      <c r="O77">
        <v>6505</v>
      </c>
      <c r="P77">
        <v>399560.43</v>
      </c>
      <c r="Q77">
        <v>2178</v>
      </c>
      <c r="R77">
        <v>132803.72</v>
      </c>
      <c r="S77">
        <v>62.393500000000003</v>
      </c>
      <c r="T77">
        <v>61.2727</v>
      </c>
      <c r="U77">
        <v>54.240600000000001</v>
      </c>
      <c r="V77">
        <v>5</v>
      </c>
      <c r="W77">
        <v>2</v>
      </c>
      <c r="X77">
        <v>0.66200000000000003</v>
      </c>
      <c r="Y77">
        <v>13.24</v>
      </c>
      <c r="Z77">
        <v>7.0320999999999998</v>
      </c>
      <c r="AA77">
        <v>15315.89</v>
      </c>
    </row>
    <row r="78" spans="1:27" x14ac:dyDescent="0.35">
      <c r="A78" s="12" t="s">
        <v>773</v>
      </c>
      <c r="B78" s="12" t="s">
        <v>774</v>
      </c>
      <c r="C78" s="12" t="s">
        <v>64</v>
      </c>
      <c r="D78" s="12" t="s">
        <v>142</v>
      </c>
      <c r="E78">
        <v>1</v>
      </c>
      <c r="F78">
        <v>7</v>
      </c>
      <c r="G78" s="12" t="s">
        <v>251</v>
      </c>
      <c r="H78" s="12" t="s">
        <v>252</v>
      </c>
      <c r="I78" s="12" t="s">
        <v>69</v>
      </c>
      <c r="J78">
        <v>34.49</v>
      </c>
      <c r="K78" s="13">
        <v>45035</v>
      </c>
      <c r="L78" s="13">
        <v>46000</v>
      </c>
      <c r="M78">
        <v>2.6419999999999999</v>
      </c>
      <c r="N78">
        <v>44</v>
      </c>
      <c r="O78">
        <v>24807</v>
      </c>
      <c r="P78">
        <v>249162.42</v>
      </c>
      <c r="Q78">
        <v>9725</v>
      </c>
      <c r="R78">
        <v>96484.25</v>
      </c>
      <c r="S78">
        <v>10.0604</v>
      </c>
      <c r="T78">
        <v>9.8642000000000003</v>
      </c>
      <c r="U78">
        <v>8.3050999999999995</v>
      </c>
      <c r="V78">
        <v>7</v>
      </c>
      <c r="W78">
        <v>2</v>
      </c>
      <c r="X78">
        <v>0.74299999999999999</v>
      </c>
      <c r="Y78">
        <v>10.61</v>
      </c>
      <c r="Z78">
        <v>1.5590999999999999</v>
      </c>
      <c r="AA78">
        <v>15162.23</v>
      </c>
    </row>
    <row r="79" spans="1:27" x14ac:dyDescent="0.35">
      <c r="A79" s="12" t="s">
        <v>140</v>
      </c>
      <c r="B79" s="12" t="s">
        <v>141</v>
      </c>
      <c r="C79" s="12" t="s">
        <v>103</v>
      </c>
      <c r="D79" s="12" t="s">
        <v>142</v>
      </c>
      <c r="E79">
        <v>1</v>
      </c>
      <c r="F79">
        <v>7</v>
      </c>
      <c r="G79" s="12" t="s">
        <v>143</v>
      </c>
      <c r="H79" s="12" t="s">
        <v>144</v>
      </c>
      <c r="I79" s="12" t="s">
        <v>96</v>
      </c>
      <c r="J79">
        <v>5.43</v>
      </c>
      <c r="K79" s="13">
        <v>44942</v>
      </c>
      <c r="L79" s="13">
        <v>46008</v>
      </c>
      <c r="M79">
        <v>2.919</v>
      </c>
      <c r="N79">
        <v>53</v>
      </c>
      <c r="O79">
        <v>4606</v>
      </c>
      <c r="P79">
        <v>973880.22</v>
      </c>
      <c r="Q79">
        <v>1624</v>
      </c>
      <c r="R79">
        <v>343371.67</v>
      </c>
      <c r="S79">
        <v>211.78559999999999</v>
      </c>
      <c r="T79">
        <v>208.8246</v>
      </c>
      <c r="U79">
        <v>199.6574</v>
      </c>
      <c r="V79">
        <v>2</v>
      </c>
      <c r="W79">
        <v>1.5</v>
      </c>
      <c r="X79">
        <v>0.48099999999999998</v>
      </c>
      <c r="Y79">
        <v>24.05</v>
      </c>
      <c r="Z79">
        <v>9.1671999999999993</v>
      </c>
      <c r="AA79">
        <v>14887.57</v>
      </c>
    </row>
    <row r="80" spans="1:27" x14ac:dyDescent="0.35">
      <c r="A80" s="12" t="s">
        <v>420</v>
      </c>
      <c r="B80" s="12" t="s">
        <v>421</v>
      </c>
      <c r="C80" s="12" t="s">
        <v>269</v>
      </c>
      <c r="D80" s="12" t="s">
        <v>104</v>
      </c>
      <c r="E80">
        <v>2</v>
      </c>
      <c r="F80">
        <v>0</v>
      </c>
      <c r="G80" s="12" t="s">
        <v>335</v>
      </c>
      <c r="H80" s="12" t="s">
        <v>336</v>
      </c>
      <c r="I80" s="12" t="s">
        <v>82</v>
      </c>
      <c r="J80">
        <v>16</v>
      </c>
      <c r="K80" s="13">
        <v>45020</v>
      </c>
      <c r="L80" s="13">
        <v>45888</v>
      </c>
      <c r="M80">
        <v>2.3759999999999999</v>
      </c>
      <c r="N80">
        <v>11</v>
      </c>
      <c r="O80">
        <v>968</v>
      </c>
      <c r="P80">
        <v>149011.92000000001</v>
      </c>
      <c r="Q80">
        <v>442</v>
      </c>
      <c r="R80">
        <v>71954.62</v>
      </c>
      <c r="S80">
        <v>146.53960000000001</v>
      </c>
      <c r="T80">
        <v>158.11240000000001</v>
      </c>
      <c r="U80">
        <v>124.9118</v>
      </c>
      <c r="V80">
        <v>6.5</v>
      </c>
      <c r="W80">
        <v>2</v>
      </c>
      <c r="X80">
        <v>-3.25</v>
      </c>
      <c r="Y80">
        <v>-50</v>
      </c>
      <c r="Z80">
        <v>33.200600000000001</v>
      </c>
      <c r="AA80">
        <v>14674.67</v>
      </c>
    </row>
    <row r="81" spans="1:27" x14ac:dyDescent="0.35">
      <c r="A81" s="12" t="s">
        <v>657</v>
      </c>
      <c r="B81" s="12" t="s">
        <v>658</v>
      </c>
      <c r="C81" s="12" t="s">
        <v>175</v>
      </c>
      <c r="D81" s="12" t="s">
        <v>65</v>
      </c>
      <c r="E81">
        <v>1</v>
      </c>
      <c r="F81">
        <v>2</v>
      </c>
      <c r="G81" s="12" t="s">
        <v>183</v>
      </c>
      <c r="H81" s="12" t="s">
        <v>184</v>
      </c>
      <c r="I81" s="12" t="s">
        <v>82</v>
      </c>
      <c r="J81">
        <v>8.6199999999999992</v>
      </c>
      <c r="K81" s="13">
        <v>45022</v>
      </c>
      <c r="L81" s="13">
        <v>46020</v>
      </c>
      <c r="M81">
        <v>2.7320000000000002</v>
      </c>
      <c r="N81">
        <v>41</v>
      </c>
      <c r="O81">
        <v>3332</v>
      </c>
      <c r="P81">
        <v>499075.22</v>
      </c>
      <c r="Q81">
        <v>1010</v>
      </c>
      <c r="R81">
        <v>146322.32999999999</v>
      </c>
      <c r="S81">
        <v>152.28909999999999</v>
      </c>
      <c r="T81">
        <v>144.5094</v>
      </c>
      <c r="U81">
        <v>130.48140000000001</v>
      </c>
      <c r="V81">
        <v>5.5</v>
      </c>
      <c r="W81">
        <v>2</v>
      </c>
      <c r="X81">
        <v>1.901</v>
      </c>
      <c r="Y81">
        <v>34.56</v>
      </c>
      <c r="Z81">
        <v>14.028</v>
      </c>
      <c r="AA81">
        <v>14168.28</v>
      </c>
    </row>
    <row r="82" spans="1:27" x14ac:dyDescent="0.35">
      <c r="A82" s="12" t="s">
        <v>273</v>
      </c>
      <c r="B82" s="12" t="s">
        <v>274</v>
      </c>
      <c r="C82" s="12" t="s">
        <v>175</v>
      </c>
      <c r="D82" s="12" t="s">
        <v>104</v>
      </c>
      <c r="E82">
        <v>3</v>
      </c>
      <c r="F82">
        <v>1</v>
      </c>
      <c r="G82" s="12" t="s">
        <v>275</v>
      </c>
      <c r="H82" s="12" t="s">
        <v>276</v>
      </c>
      <c r="I82" s="12" t="s">
        <v>82</v>
      </c>
      <c r="J82">
        <v>14.26</v>
      </c>
      <c r="K82" s="13">
        <v>44970</v>
      </c>
      <c r="L82" s="13">
        <v>45967</v>
      </c>
      <c r="M82">
        <v>2.73</v>
      </c>
      <c r="N82">
        <v>31</v>
      </c>
      <c r="O82">
        <v>3099</v>
      </c>
      <c r="P82">
        <v>344474.38</v>
      </c>
      <c r="Q82">
        <v>1160</v>
      </c>
      <c r="R82">
        <v>125932.28</v>
      </c>
      <c r="S82">
        <v>113.5119</v>
      </c>
      <c r="T82">
        <v>108.56229999999999</v>
      </c>
      <c r="U82">
        <v>97.268100000000004</v>
      </c>
      <c r="V82">
        <v>5.5</v>
      </c>
      <c r="W82">
        <v>2</v>
      </c>
      <c r="X82">
        <v>1.62</v>
      </c>
      <c r="Y82">
        <v>29.45</v>
      </c>
      <c r="Z82">
        <v>11.2942</v>
      </c>
      <c r="AA82">
        <v>13101.27</v>
      </c>
    </row>
    <row r="83" spans="1:27" x14ac:dyDescent="0.35">
      <c r="A83" s="12" t="s">
        <v>509</v>
      </c>
      <c r="B83" s="12" t="s">
        <v>510</v>
      </c>
      <c r="C83" s="12" t="s">
        <v>78</v>
      </c>
      <c r="D83" s="12" t="s">
        <v>142</v>
      </c>
      <c r="E83">
        <v>3</v>
      </c>
      <c r="F83">
        <v>11</v>
      </c>
      <c r="G83" s="12" t="s">
        <v>176</v>
      </c>
      <c r="H83" s="12" t="s">
        <v>177</v>
      </c>
      <c r="I83" s="12" t="s">
        <v>134</v>
      </c>
      <c r="J83">
        <v>1.75</v>
      </c>
      <c r="K83" s="13">
        <v>45001</v>
      </c>
      <c r="L83" s="13">
        <v>45986</v>
      </c>
      <c r="M83">
        <v>2.6970000000000001</v>
      </c>
      <c r="N83">
        <v>38</v>
      </c>
      <c r="O83">
        <v>6364</v>
      </c>
      <c r="P83">
        <v>908076.9</v>
      </c>
      <c r="Q83">
        <v>1997</v>
      </c>
      <c r="R83">
        <v>272611.59999999998</v>
      </c>
      <c r="S83">
        <v>144.17500000000001</v>
      </c>
      <c r="T83">
        <v>132.05629999999999</v>
      </c>
      <c r="U83">
        <v>125.54819999999999</v>
      </c>
      <c r="V83">
        <v>5</v>
      </c>
      <c r="W83">
        <v>2</v>
      </c>
      <c r="X83">
        <v>3.2029999999999998</v>
      </c>
      <c r="Y83">
        <v>64.06</v>
      </c>
      <c r="Z83">
        <v>6.5080999999999998</v>
      </c>
      <c r="AA83">
        <v>12996.75</v>
      </c>
    </row>
    <row r="84" spans="1:27" x14ac:dyDescent="0.35">
      <c r="A84" s="12" t="s">
        <v>587</v>
      </c>
      <c r="B84" s="12" t="s">
        <v>588</v>
      </c>
      <c r="C84" s="12" t="s">
        <v>122</v>
      </c>
      <c r="D84" s="12" t="s">
        <v>104</v>
      </c>
      <c r="E84">
        <v>2</v>
      </c>
      <c r="F84">
        <v>0</v>
      </c>
      <c r="G84" s="12" t="s">
        <v>486</v>
      </c>
      <c r="H84" s="12" t="s">
        <v>487</v>
      </c>
      <c r="I84" s="12" t="s">
        <v>69</v>
      </c>
      <c r="J84">
        <v>36.86</v>
      </c>
      <c r="K84" s="13">
        <v>45030</v>
      </c>
      <c r="L84" s="13">
        <v>46016</v>
      </c>
      <c r="M84">
        <v>2.7</v>
      </c>
      <c r="N84">
        <v>43</v>
      </c>
      <c r="O84">
        <v>49809</v>
      </c>
      <c r="P84">
        <v>608710.99</v>
      </c>
      <c r="Q84">
        <v>13437</v>
      </c>
      <c r="R84">
        <v>163132.38</v>
      </c>
      <c r="S84">
        <v>12.387</v>
      </c>
      <c r="T84">
        <v>12.045999999999999</v>
      </c>
      <c r="U84">
        <v>11.0943</v>
      </c>
      <c r="V84">
        <v>4</v>
      </c>
      <c r="W84">
        <v>1.5</v>
      </c>
      <c r="X84">
        <v>1.0289999999999999</v>
      </c>
      <c r="Y84">
        <v>25.73</v>
      </c>
      <c r="Z84">
        <v>0.95169999999999999</v>
      </c>
      <c r="AA84">
        <v>12788.36</v>
      </c>
    </row>
    <row r="85" spans="1:27" x14ac:dyDescent="0.35">
      <c r="A85" s="12" t="s">
        <v>238</v>
      </c>
      <c r="B85" s="12" t="s">
        <v>239</v>
      </c>
      <c r="C85" s="12" t="s">
        <v>122</v>
      </c>
      <c r="D85" s="12" t="s">
        <v>65</v>
      </c>
      <c r="E85">
        <v>3</v>
      </c>
      <c r="F85">
        <v>4</v>
      </c>
      <c r="G85" s="12" t="s">
        <v>243</v>
      </c>
      <c r="H85" s="12" t="s">
        <v>244</v>
      </c>
      <c r="I85" s="12" t="s">
        <v>82</v>
      </c>
      <c r="J85">
        <v>9.2200000000000006</v>
      </c>
      <c r="K85" s="13">
        <v>45028</v>
      </c>
      <c r="L85" s="13">
        <v>45985</v>
      </c>
      <c r="M85">
        <v>2.62</v>
      </c>
      <c r="N85">
        <v>11</v>
      </c>
      <c r="O85">
        <v>11196</v>
      </c>
      <c r="P85">
        <v>408088.41</v>
      </c>
      <c r="Q85">
        <v>4839</v>
      </c>
      <c r="R85">
        <v>173841.09</v>
      </c>
      <c r="S85">
        <v>37.143599999999999</v>
      </c>
      <c r="T85">
        <v>35.924999999999997</v>
      </c>
      <c r="U85">
        <v>33.375999999999998</v>
      </c>
      <c r="V85">
        <v>4</v>
      </c>
      <c r="W85">
        <v>1.5</v>
      </c>
      <c r="X85">
        <v>1.2649999999999999</v>
      </c>
      <c r="Y85">
        <v>31.63</v>
      </c>
      <c r="Z85">
        <v>2.5489999999999999</v>
      </c>
      <c r="AA85">
        <v>12334.61</v>
      </c>
    </row>
    <row r="86" spans="1:27" x14ac:dyDescent="0.35">
      <c r="A86" s="12" t="s">
        <v>331</v>
      </c>
      <c r="B86" s="12" t="s">
        <v>332</v>
      </c>
      <c r="C86" s="12" t="s">
        <v>122</v>
      </c>
      <c r="D86" s="12" t="s">
        <v>142</v>
      </c>
      <c r="E86">
        <v>3</v>
      </c>
      <c r="F86">
        <v>11</v>
      </c>
      <c r="G86" s="12" t="s">
        <v>263</v>
      </c>
      <c r="H86" s="12" t="s">
        <v>264</v>
      </c>
      <c r="I86" s="12" t="s">
        <v>82</v>
      </c>
      <c r="J86">
        <v>10.210000000000001</v>
      </c>
      <c r="K86" s="13">
        <v>44978</v>
      </c>
      <c r="L86" s="13">
        <v>46014</v>
      </c>
      <c r="M86">
        <v>2.8359999999999999</v>
      </c>
      <c r="N86">
        <v>44</v>
      </c>
      <c r="O86">
        <v>46352</v>
      </c>
      <c r="P86">
        <v>1108624.6000000001</v>
      </c>
      <c r="Q86">
        <v>17639</v>
      </c>
      <c r="R86">
        <v>406880.67</v>
      </c>
      <c r="S86">
        <v>25.052199999999999</v>
      </c>
      <c r="T86">
        <v>23.006</v>
      </c>
      <c r="U86">
        <v>22.313500000000001</v>
      </c>
      <c r="V86">
        <v>4</v>
      </c>
      <c r="W86">
        <v>1.5</v>
      </c>
      <c r="X86">
        <v>2.9590000000000001</v>
      </c>
      <c r="Y86">
        <v>73.98</v>
      </c>
      <c r="Z86">
        <v>0.6925</v>
      </c>
      <c r="AA86">
        <v>12215.01</v>
      </c>
    </row>
    <row r="87" spans="1:27" x14ac:dyDescent="0.35">
      <c r="A87" s="12" t="s">
        <v>891</v>
      </c>
      <c r="B87" s="12" t="s">
        <v>892</v>
      </c>
      <c r="C87" s="12" t="s">
        <v>122</v>
      </c>
      <c r="D87" s="12" t="s">
        <v>65</v>
      </c>
      <c r="E87">
        <v>3</v>
      </c>
      <c r="F87">
        <v>5</v>
      </c>
      <c r="G87" s="12" t="s">
        <v>195</v>
      </c>
      <c r="H87" s="12" t="s">
        <v>196</v>
      </c>
      <c r="I87" s="12" t="s">
        <v>134</v>
      </c>
      <c r="J87">
        <v>4.7699999999999996</v>
      </c>
      <c r="K87" s="13">
        <v>45047</v>
      </c>
      <c r="L87" s="13">
        <v>45974</v>
      </c>
      <c r="M87">
        <v>2.5379999999999998</v>
      </c>
      <c r="N87">
        <v>28</v>
      </c>
      <c r="O87">
        <v>30404</v>
      </c>
      <c r="P87">
        <v>1158095.33</v>
      </c>
      <c r="Q87">
        <v>10527</v>
      </c>
      <c r="R87">
        <v>382655.51</v>
      </c>
      <c r="S87">
        <v>39.456000000000003</v>
      </c>
      <c r="T87">
        <v>36.718299999999999</v>
      </c>
      <c r="U87">
        <v>35.572699999999998</v>
      </c>
      <c r="V87">
        <v>4</v>
      </c>
      <c r="W87">
        <v>1.5</v>
      </c>
      <c r="X87">
        <v>2.794</v>
      </c>
      <c r="Y87">
        <v>69.849999999999994</v>
      </c>
      <c r="Z87">
        <v>1.1456</v>
      </c>
      <c r="AA87">
        <v>12059.22</v>
      </c>
    </row>
    <row r="88" spans="1:27" x14ac:dyDescent="0.35">
      <c r="A88" s="12" t="s">
        <v>465</v>
      </c>
      <c r="B88" s="12" t="s">
        <v>466</v>
      </c>
      <c r="C88" s="12" t="s">
        <v>78</v>
      </c>
      <c r="D88" s="12" t="s">
        <v>142</v>
      </c>
      <c r="E88">
        <v>3</v>
      </c>
      <c r="F88">
        <v>11</v>
      </c>
      <c r="G88" s="12" t="s">
        <v>195</v>
      </c>
      <c r="H88" s="12" t="s">
        <v>196</v>
      </c>
      <c r="I88" s="12" t="s">
        <v>134</v>
      </c>
      <c r="J88">
        <v>4.7699999999999996</v>
      </c>
      <c r="K88" s="13">
        <v>44998</v>
      </c>
      <c r="L88" s="13">
        <v>45954</v>
      </c>
      <c r="M88">
        <v>2.617</v>
      </c>
      <c r="N88">
        <v>36</v>
      </c>
      <c r="O88">
        <v>6405</v>
      </c>
      <c r="P88">
        <v>691976.39</v>
      </c>
      <c r="Q88">
        <v>1220</v>
      </c>
      <c r="R88">
        <v>128326.03</v>
      </c>
      <c r="S88">
        <v>108.7921</v>
      </c>
      <c r="T88">
        <v>104.9778</v>
      </c>
      <c r="U88">
        <v>95.126199999999997</v>
      </c>
      <c r="V88">
        <v>5</v>
      </c>
      <c r="W88">
        <v>2</v>
      </c>
      <c r="X88">
        <v>1.3540000000000001</v>
      </c>
      <c r="Y88">
        <v>27.08</v>
      </c>
      <c r="Z88">
        <v>9.8515999999999995</v>
      </c>
      <c r="AA88">
        <v>12019</v>
      </c>
    </row>
    <row r="89" spans="1:27" x14ac:dyDescent="0.35">
      <c r="A89" s="12" t="s">
        <v>740</v>
      </c>
      <c r="B89" s="12" t="s">
        <v>741</v>
      </c>
      <c r="C89" s="12" t="s">
        <v>64</v>
      </c>
      <c r="D89" s="12" t="s">
        <v>104</v>
      </c>
      <c r="E89">
        <v>2</v>
      </c>
      <c r="F89">
        <v>0</v>
      </c>
      <c r="G89" s="12" t="s">
        <v>151</v>
      </c>
      <c r="H89" s="12" t="s">
        <v>152</v>
      </c>
      <c r="I89" s="12" t="s">
        <v>69</v>
      </c>
      <c r="J89">
        <v>36.479999999999997</v>
      </c>
      <c r="K89" s="13">
        <v>45266</v>
      </c>
      <c r="L89" s="13">
        <v>46003</v>
      </c>
      <c r="M89">
        <v>2.0179999999999998</v>
      </c>
      <c r="N89">
        <v>10</v>
      </c>
      <c r="O89">
        <v>7416</v>
      </c>
      <c r="P89">
        <v>293315.65999999997</v>
      </c>
      <c r="Q89">
        <v>4125</v>
      </c>
      <c r="R89">
        <v>161639.82999999999</v>
      </c>
      <c r="S89">
        <v>41.2042</v>
      </c>
      <c r="T89">
        <v>38.488</v>
      </c>
      <c r="U89">
        <v>35.591000000000001</v>
      </c>
      <c r="V89">
        <v>7</v>
      </c>
      <c r="W89">
        <v>2</v>
      </c>
      <c r="X89">
        <v>3.323</v>
      </c>
      <c r="Y89">
        <v>47.47</v>
      </c>
      <c r="Z89">
        <v>2.8969999999999998</v>
      </c>
      <c r="AA89">
        <v>11950.13</v>
      </c>
    </row>
    <row r="90" spans="1:27" x14ac:dyDescent="0.35">
      <c r="A90" s="12" t="s">
        <v>458</v>
      </c>
      <c r="B90" s="12" t="s">
        <v>459</v>
      </c>
      <c r="C90" s="12" t="s">
        <v>64</v>
      </c>
      <c r="D90" s="12" t="s">
        <v>104</v>
      </c>
      <c r="E90">
        <v>2</v>
      </c>
      <c r="F90">
        <v>0</v>
      </c>
      <c r="G90" s="12" t="s">
        <v>143</v>
      </c>
      <c r="H90" s="12" t="s">
        <v>144</v>
      </c>
      <c r="I90" s="12" t="s">
        <v>96</v>
      </c>
      <c r="J90">
        <v>5.43</v>
      </c>
      <c r="K90" s="13">
        <v>44999</v>
      </c>
      <c r="L90" s="13">
        <v>45947</v>
      </c>
      <c r="M90">
        <v>2.5950000000000002</v>
      </c>
      <c r="N90">
        <v>17</v>
      </c>
      <c r="O90">
        <v>10166</v>
      </c>
      <c r="P90">
        <v>245533.36</v>
      </c>
      <c r="Q90">
        <v>4035</v>
      </c>
      <c r="R90">
        <v>94243.88</v>
      </c>
      <c r="S90">
        <v>24.782299999999999</v>
      </c>
      <c r="T90">
        <v>23.3566</v>
      </c>
      <c r="U90">
        <v>20.528400000000001</v>
      </c>
      <c r="V90">
        <v>7</v>
      </c>
      <c r="W90">
        <v>2</v>
      </c>
      <c r="X90">
        <v>2.2570000000000001</v>
      </c>
      <c r="Y90">
        <v>32.24</v>
      </c>
      <c r="Z90">
        <v>2.8281999999999998</v>
      </c>
      <c r="AA90">
        <v>11411.79</v>
      </c>
    </row>
    <row r="91" spans="1:27" x14ac:dyDescent="0.35">
      <c r="A91" s="12" t="s">
        <v>1666</v>
      </c>
      <c r="B91" s="12" t="s">
        <v>1667</v>
      </c>
      <c r="C91" s="12" t="s">
        <v>78</v>
      </c>
      <c r="D91" s="12" t="s">
        <v>65</v>
      </c>
      <c r="E91">
        <v>2</v>
      </c>
      <c r="F91">
        <v>3</v>
      </c>
      <c r="G91" s="12" t="s">
        <v>310</v>
      </c>
      <c r="H91" s="12" t="s">
        <v>311</v>
      </c>
      <c r="I91" s="12" t="s">
        <v>69</v>
      </c>
      <c r="J91">
        <v>28.3</v>
      </c>
      <c r="K91" s="13">
        <v>45159</v>
      </c>
      <c r="L91" s="13">
        <v>45993</v>
      </c>
      <c r="M91">
        <v>2.2829999999999999</v>
      </c>
      <c r="N91">
        <v>30</v>
      </c>
      <c r="O91">
        <v>5732</v>
      </c>
      <c r="P91">
        <v>421775.51</v>
      </c>
      <c r="Q91">
        <v>2132</v>
      </c>
      <c r="R91">
        <v>154072.79</v>
      </c>
      <c r="S91">
        <v>75.643699999999995</v>
      </c>
      <c r="T91">
        <v>72.626000000000005</v>
      </c>
      <c r="U91">
        <v>67.284599999999998</v>
      </c>
      <c r="V91">
        <v>5</v>
      </c>
      <c r="W91">
        <v>2</v>
      </c>
      <c r="X91">
        <v>1.7669999999999999</v>
      </c>
      <c r="Y91">
        <v>35.340000000000003</v>
      </c>
      <c r="Z91">
        <v>5.3414000000000001</v>
      </c>
      <c r="AA91">
        <v>11387.83</v>
      </c>
    </row>
    <row r="92" spans="1:27" x14ac:dyDescent="0.35">
      <c r="A92" s="12" t="s">
        <v>112</v>
      </c>
      <c r="B92" s="12" t="s">
        <v>113</v>
      </c>
      <c r="C92" s="12" t="s">
        <v>114</v>
      </c>
      <c r="D92" s="12" t="s">
        <v>104</v>
      </c>
      <c r="E92">
        <v>3</v>
      </c>
      <c r="F92">
        <v>1</v>
      </c>
      <c r="G92" s="12" t="s">
        <v>227</v>
      </c>
      <c r="H92" s="12" t="s">
        <v>228</v>
      </c>
      <c r="I92" s="12" t="s">
        <v>96</v>
      </c>
      <c r="J92">
        <v>9.15</v>
      </c>
      <c r="K92" s="13">
        <v>44971</v>
      </c>
      <c r="L92" s="13">
        <v>46022</v>
      </c>
      <c r="M92">
        <v>2.8769999999999998</v>
      </c>
      <c r="N92">
        <v>33</v>
      </c>
      <c r="O92">
        <v>2633</v>
      </c>
      <c r="P92">
        <v>684612.82</v>
      </c>
      <c r="Q92">
        <v>478</v>
      </c>
      <c r="R92">
        <v>126145.13</v>
      </c>
      <c r="S92">
        <v>264.17590000000001</v>
      </c>
      <c r="T92">
        <v>265.51659999999998</v>
      </c>
      <c r="U92">
        <v>242.0112</v>
      </c>
      <c r="V92">
        <v>3</v>
      </c>
      <c r="W92">
        <v>1.5</v>
      </c>
      <c r="X92">
        <v>-0.17599999999999999</v>
      </c>
      <c r="Y92">
        <v>-5.87</v>
      </c>
      <c r="Z92">
        <v>23.505400000000002</v>
      </c>
      <c r="AA92">
        <v>11235.6</v>
      </c>
    </row>
    <row r="93" spans="1:27" x14ac:dyDescent="0.35">
      <c r="A93" s="12" t="s">
        <v>602</v>
      </c>
      <c r="B93" s="12" t="s">
        <v>603</v>
      </c>
      <c r="C93" s="12" t="s">
        <v>114</v>
      </c>
      <c r="D93" s="12" t="s">
        <v>142</v>
      </c>
      <c r="E93">
        <v>2</v>
      </c>
      <c r="F93">
        <v>10</v>
      </c>
      <c r="G93" s="12" t="s">
        <v>263</v>
      </c>
      <c r="H93" s="12" t="s">
        <v>264</v>
      </c>
      <c r="I93" s="12" t="s">
        <v>82</v>
      </c>
      <c r="J93">
        <v>10.210000000000001</v>
      </c>
      <c r="K93" s="13">
        <v>45026</v>
      </c>
      <c r="L93" s="13">
        <v>46021</v>
      </c>
      <c r="M93">
        <v>2.7240000000000002</v>
      </c>
      <c r="N93">
        <v>39</v>
      </c>
      <c r="O93">
        <v>3209</v>
      </c>
      <c r="P93">
        <v>676343.03</v>
      </c>
      <c r="Q93">
        <v>966</v>
      </c>
      <c r="R93">
        <v>201893.77</v>
      </c>
      <c r="S93">
        <v>213.4624</v>
      </c>
      <c r="T93">
        <v>207.9658</v>
      </c>
      <c r="U93">
        <v>196.46610000000001</v>
      </c>
      <c r="V93">
        <v>3</v>
      </c>
      <c r="W93">
        <v>1.5</v>
      </c>
      <c r="X93">
        <v>0.95299999999999996</v>
      </c>
      <c r="Y93">
        <v>31.77</v>
      </c>
      <c r="Z93">
        <v>11.499700000000001</v>
      </c>
      <c r="AA93">
        <v>11108.71</v>
      </c>
    </row>
    <row r="94" spans="1:27" x14ac:dyDescent="0.35">
      <c r="A94" s="12" t="s">
        <v>378</v>
      </c>
      <c r="B94" s="12" t="s">
        <v>379</v>
      </c>
      <c r="C94" s="12" t="s">
        <v>64</v>
      </c>
      <c r="D94" s="12" t="s">
        <v>104</v>
      </c>
      <c r="E94">
        <v>3</v>
      </c>
      <c r="F94">
        <v>1</v>
      </c>
      <c r="G94" s="12" t="s">
        <v>380</v>
      </c>
      <c r="H94" s="12" t="s">
        <v>381</v>
      </c>
      <c r="I94" s="12" t="s">
        <v>96</v>
      </c>
      <c r="J94">
        <v>10.210000000000001</v>
      </c>
      <c r="K94" s="13">
        <v>44986</v>
      </c>
      <c r="L94" s="13">
        <v>45992</v>
      </c>
      <c r="M94">
        <v>2.754</v>
      </c>
      <c r="N94">
        <v>32</v>
      </c>
      <c r="O94">
        <v>19486</v>
      </c>
      <c r="P94">
        <v>306334.3</v>
      </c>
      <c r="Q94">
        <v>6655</v>
      </c>
      <c r="R94">
        <v>102166.11</v>
      </c>
      <c r="S94">
        <v>16.822099999999999</v>
      </c>
      <c r="T94">
        <v>15.3193</v>
      </c>
      <c r="U94">
        <v>13.774699999999999</v>
      </c>
      <c r="V94">
        <v>7</v>
      </c>
      <c r="W94">
        <v>2</v>
      </c>
      <c r="X94">
        <v>3.3410000000000002</v>
      </c>
      <c r="Y94">
        <v>47.73</v>
      </c>
      <c r="Z94">
        <v>1.5446</v>
      </c>
      <c r="AA94">
        <v>10279.31</v>
      </c>
    </row>
    <row r="95" spans="1:27" x14ac:dyDescent="0.35">
      <c r="A95" s="12" t="s">
        <v>924</v>
      </c>
      <c r="B95" s="12" t="s">
        <v>925</v>
      </c>
      <c r="C95" s="12" t="s">
        <v>103</v>
      </c>
      <c r="D95" s="12" t="s">
        <v>104</v>
      </c>
      <c r="E95">
        <v>2</v>
      </c>
      <c r="F95">
        <v>0</v>
      </c>
      <c r="G95" s="12" t="s">
        <v>335</v>
      </c>
      <c r="H95" s="12" t="s">
        <v>336</v>
      </c>
      <c r="I95" s="12" t="s">
        <v>82</v>
      </c>
      <c r="J95">
        <v>16</v>
      </c>
      <c r="K95" s="13">
        <v>45049</v>
      </c>
      <c r="L95" s="13">
        <v>46022</v>
      </c>
      <c r="M95">
        <v>2.6640000000000001</v>
      </c>
      <c r="N95">
        <v>33</v>
      </c>
      <c r="O95">
        <v>2901</v>
      </c>
      <c r="P95">
        <v>482782.04</v>
      </c>
      <c r="Q95">
        <v>649</v>
      </c>
      <c r="R95">
        <v>108826.11</v>
      </c>
      <c r="S95">
        <v>161.51509999999999</v>
      </c>
      <c r="T95">
        <v>168.8391</v>
      </c>
      <c r="U95">
        <v>153.0521</v>
      </c>
      <c r="V95">
        <v>2</v>
      </c>
      <c r="W95">
        <v>1.5</v>
      </c>
      <c r="X95">
        <v>-1.679</v>
      </c>
      <c r="Y95">
        <v>-83.95</v>
      </c>
      <c r="Z95">
        <v>15.787000000000001</v>
      </c>
      <c r="AA95">
        <v>10245.73</v>
      </c>
    </row>
    <row r="96" spans="1:27" x14ac:dyDescent="0.35">
      <c r="A96" s="12" t="s">
        <v>565</v>
      </c>
      <c r="B96" s="12" t="s">
        <v>566</v>
      </c>
      <c r="C96" s="12" t="s">
        <v>122</v>
      </c>
      <c r="D96" s="12" t="s">
        <v>104</v>
      </c>
      <c r="E96">
        <v>3</v>
      </c>
      <c r="F96">
        <v>1</v>
      </c>
      <c r="G96" s="12" t="s">
        <v>131</v>
      </c>
      <c r="H96" s="12" t="s">
        <v>132</v>
      </c>
      <c r="I96" s="12" t="s">
        <v>134</v>
      </c>
      <c r="J96">
        <v>1.51</v>
      </c>
      <c r="K96" s="13">
        <v>45226</v>
      </c>
      <c r="L96" s="13">
        <v>45891</v>
      </c>
      <c r="M96">
        <v>1.821</v>
      </c>
      <c r="N96">
        <v>11</v>
      </c>
      <c r="O96">
        <v>13914</v>
      </c>
      <c r="P96">
        <v>491272.03</v>
      </c>
      <c r="Q96">
        <v>7045</v>
      </c>
      <c r="R96">
        <v>244452.42</v>
      </c>
      <c r="S96">
        <v>36.2883</v>
      </c>
      <c r="T96">
        <v>35.119900000000001</v>
      </c>
      <c r="U96">
        <v>33.688600000000001</v>
      </c>
      <c r="V96">
        <v>4</v>
      </c>
      <c r="W96">
        <v>1.5</v>
      </c>
      <c r="X96">
        <v>1.782</v>
      </c>
      <c r="Y96">
        <v>44.55</v>
      </c>
      <c r="Z96">
        <v>1.4313</v>
      </c>
      <c r="AA96">
        <v>10083.51</v>
      </c>
    </row>
    <row r="97" spans="1:27" x14ac:dyDescent="0.35">
      <c r="A97" s="12" t="s">
        <v>494</v>
      </c>
      <c r="B97" s="12" t="s">
        <v>495</v>
      </c>
      <c r="C97" s="12" t="s">
        <v>175</v>
      </c>
      <c r="D97" s="12" t="s">
        <v>65</v>
      </c>
      <c r="E97">
        <v>2</v>
      </c>
      <c r="F97">
        <v>3</v>
      </c>
      <c r="G97" s="12" t="s">
        <v>515</v>
      </c>
      <c r="H97" s="12" t="s">
        <v>516</v>
      </c>
      <c r="I97" s="12" t="s">
        <v>134</v>
      </c>
      <c r="J97">
        <v>3.69</v>
      </c>
      <c r="K97" s="13">
        <v>45055</v>
      </c>
      <c r="L97" s="13">
        <v>45996</v>
      </c>
      <c r="M97">
        <v>2.5760000000000001</v>
      </c>
      <c r="N97">
        <v>41</v>
      </c>
      <c r="O97">
        <v>3091</v>
      </c>
      <c r="P97">
        <v>482928.6</v>
      </c>
      <c r="Q97">
        <v>1022</v>
      </c>
      <c r="R97">
        <v>154190.82999999999</v>
      </c>
      <c r="S97">
        <v>162.8912</v>
      </c>
      <c r="T97">
        <v>150.57810000000001</v>
      </c>
      <c r="U97">
        <v>140.8023</v>
      </c>
      <c r="V97">
        <v>5.5</v>
      </c>
      <c r="W97">
        <v>2</v>
      </c>
      <c r="X97">
        <v>3.0049999999999999</v>
      </c>
      <c r="Y97">
        <v>54.64</v>
      </c>
      <c r="Z97">
        <v>9.7758000000000003</v>
      </c>
      <c r="AA97">
        <v>9990.84</v>
      </c>
    </row>
    <row r="98" spans="1:27" x14ac:dyDescent="0.35">
      <c r="A98" s="12" t="s">
        <v>249</v>
      </c>
      <c r="B98" s="12" t="s">
        <v>250</v>
      </c>
      <c r="C98" s="12" t="s">
        <v>64</v>
      </c>
      <c r="D98" s="12" t="s">
        <v>65</v>
      </c>
      <c r="E98">
        <v>2</v>
      </c>
      <c r="F98">
        <v>3</v>
      </c>
      <c r="G98" s="12" t="s">
        <v>251</v>
      </c>
      <c r="H98" s="12" t="s">
        <v>252</v>
      </c>
      <c r="I98" s="12" t="s">
        <v>69</v>
      </c>
      <c r="J98">
        <v>34.49</v>
      </c>
      <c r="K98" s="13">
        <v>44964</v>
      </c>
      <c r="L98" s="13">
        <v>45996</v>
      </c>
      <c r="M98">
        <v>2.8250000000000002</v>
      </c>
      <c r="N98">
        <v>52</v>
      </c>
      <c r="O98">
        <v>27905</v>
      </c>
      <c r="P98">
        <v>286535.88</v>
      </c>
      <c r="Q98">
        <v>8400</v>
      </c>
      <c r="R98">
        <v>83090.64</v>
      </c>
      <c r="S98">
        <v>10.6486</v>
      </c>
      <c r="T98">
        <v>9.8320000000000007</v>
      </c>
      <c r="U98">
        <v>8.6746999999999996</v>
      </c>
      <c r="V98">
        <v>7</v>
      </c>
      <c r="W98">
        <v>2</v>
      </c>
      <c r="X98">
        <v>2.7839999999999998</v>
      </c>
      <c r="Y98">
        <v>39.770000000000003</v>
      </c>
      <c r="Z98">
        <v>1.1573</v>
      </c>
      <c r="AA98">
        <v>9721.16</v>
      </c>
    </row>
    <row r="99" spans="1:27" x14ac:dyDescent="0.35">
      <c r="A99" s="12" t="s">
        <v>1075</v>
      </c>
      <c r="B99" s="12" t="s">
        <v>1076</v>
      </c>
      <c r="C99" s="12" t="s">
        <v>103</v>
      </c>
      <c r="D99" s="12" t="s">
        <v>65</v>
      </c>
      <c r="E99">
        <v>2</v>
      </c>
      <c r="F99">
        <v>4</v>
      </c>
      <c r="G99" s="12" t="s">
        <v>183</v>
      </c>
      <c r="H99" s="12" t="s">
        <v>184</v>
      </c>
      <c r="I99" s="12" t="s">
        <v>82</v>
      </c>
      <c r="J99">
        <v>8.6199999999999992</v>
      </c>
      <c r="K99" s="13">
        <v>45079</v>
      </c>
      <c r="L99" s="13">
        <v>45981</v>
      </c>
      <c r="M99">
        <v>2.4700000000000002</v>
      </c>
      <c r="N99">
        <v>29</v>
      </c>
      <c r="O99">
        <v>2324</v>
      </c>
      <c r="P99">
        <v>169261</v>
      </c>
      <c r="Q99">
        <v>1053</v>
      </c>
      <c r="R99">
        <v>79251.86</v>
      </c>
      <c r="S99">
        <v>68.470200000000006</v>
      </c>
      <c r="T99">
        <v>74.169300000000007</v>
      </c>
      <c r="U99">
        <v>65.137299999999996</v>
      </c>
      <c r="V99">
        <v>2</v>
      </c>
      <c r="W99">
        <v>1.5</v>
      </c>
      <c r="X99">
        <v>-3.2909999999999999</v>
      </c>
      <c r="Y99">
        <v>-164.55</v>
      </c>
      <c r="Z99">
        <v>9.032</v>
      </c>
      <c r="AA99">
        <v>9510.7199999999993</v>
      </c>
    </row>
    <row r="100" spans="1:27" x14ac:dyDescent="0.35">
      <c r="A100" s="12" t="s">
        <v>809</v>
      </c>
      <c r="B100" s="12" t="s">
        <v>810</v>
      </c>
      <c r="C100" s="12" t="s">
        <v>114</v>
      </c>
      <c r="D100" s="12" t="s">
        <v>65</v>
      </c>
      <c r="E100">
        <v>3</v>
      </c>
      <c r="F100">
        <v>5</v>
      </c>
      <c r="G100" s="12" t="s">
        <v>811</v>
      </c>
      <c r="H100" s="12" t="s">
        <v>812</v>
      </c>
      <c r="I100" s="12" t="s">
        <v>69</v>
      </c>
      <c r="J100">
        <v>26.4</v>
      </c>
      <c r="K100" s="13">
        <v>45040</v>
      </c>
      <c r="L100" s="13">
        <v>45987</v>
      </c>
      <c r="M100">
        <v>2.593</v>
      </c>
      <c r="N100">
        <v>13</v>
      </c>
      <c r="O100">
        <v>1021</v>
      </c>
      <c r="P100">
        <v>324800.11</v>
      </c>
      <c r="Q100">
        <v>542</v>
      </c>
      <c r="R100">
        <v>171422.7</v>
      </c>
      <c r="S100">
        <v>323.22789999999998</v>
      </c>
      <c r="T100">
        <v>315.6524</v>
      </c>
      <c r="U100">
        <v>298.68119999999999</v>
      </c>
      <c r="V100">
        <v>3</v>
      </c>
      <c r="W100">
        <v>1.5</v>
      </c>
      <c r="X100">
        <v>0.91100000000000003</v>
      </c>
      <c r="Y100">
        <v>30.37</v>
      </c>
      <c r="Z100">
        <v>16.9712</v>
      </c>
      <c r="AA100">
        <v>9198.39</v>
      </c>
    </row>
    <row r="101" spans="1:27" x14ac:dyDescent="0.35">
      <c r="A101" s="12" t="s">
        <v>670</v>
      </c>
      <c r="B101" s="12" t="s">
        <v>671</v>
      </c>
      <c r="C101" s="12" t="s">
        <v>175</v>
      </c>
      <c r="D101" s="12" t="s">
        <v>142</v>
      </c>
      <c r="E101">
        <v>2</v>
      </c>
      <c r="F101">
        <v>9</v>
      </c>
      <c r="G101" s="12" t="s">
        <v>233</v>
      </c>
      <c r="H101" s="12" t="s">
        <v>234</v>
      </c>
      <c r="I101" s="12" t="s">
        <v>96</v>
      </c>
      <c r="J101">
        <v>3.73</v>
      </c>
      <c r="K101" s="13">
        <v>45023</v>
      </c>
      <c r="L101" s="13">
        <v>45994</v>
      </c>
      <c r="M101">
        <v>2.6579999999999999</v>
      </c>
      <c r="N101">
        <v>15</v>
      </c>
      <c r="O101">
        <v>1134</v>
      </c>
      <c r="P101">
        <v>167148.84</v>
      </c>
      <c r="Q101">
        <v>663</v>
      </c>
      <c r="R101">
        <v>96494.47</v>
      </c>
      <c r="S101">
        <v>151.31620000000001</v>
      </c>
      <c r="T101">
        <v>144.0438</v>
      </c>
      <c r="U101">
        <v>130.1917</v>
      </c>
      <c r="V101">
        <v>5.5</v>
      </c>
      <c r="W101">
        <v>2</v>
      </c>
      <c r="X101">
        <v>1.8360000000000001</v>
      </c>
      <c r="Y101">
        <v>33.380000000000003</v>
      </c>
      <c r="Z101">
        <v>13.8521</v>
      </c>
      <c r="AA101">
        <v>9183.94</v>
      </c>
    </row>
    <row r="102" spans="1:27" x14ac:dyDescent="0.35">
      <c r="A102" s="12" t="s">
        <v>454</v>
      </c>
      <c r="B102" s="12" t="s">
        <v>455</v>
      </c>
      <c r="C102" s="12" t="s">
        <v>122</v>
      </c>
      <c r="D102" s="12" t="s">
        <v>104</v>
      </c>
      <c r="E102">
        <v>3</v>
      </c>
      <c r="F102">
        <v>1</v>
      </c>
      <c r="G102" s="12" t="s">
        <v>243</v>
      </c>
      <c r="H102" s="12" t="s">
        <v>244</v>
      </c>
      <c r="I102" s="12" t="s">
        <v>82</v>
      </c>
      <c r="J102">
        <v>9.2200000000000006</v>
      </c>
      <c r="K102" s="13">
        <v>45044</v>
      </c>
      <c r="L102" s="13">
        <v>45958</v>
      </c>
      <c r="M102">
        <v>2.5019999999999998</v>
      </c>
      <c r="N102">
        <v>12</v>
      </c>
      <c r="O102">
        <v>14543</v>
      </c>
      <c r="P102">
        <v>309597.33</v>
      </c>
      <c r="Q102">
        <v>8291</v>
      </c>
      <c r="R102">
        <v>176766.84</v>
      </c>
      <c r="S102">
        <v>21.796199999999999</v>
      </c>
      <c r="T102">
        <v>20.770800000000001</v>
      </c>
      <c r="U102">
        <v>19.6799</v>
      </c>
      <c r="V102">
        <v>4</v>
      </c>
      <c r="W102">
        <v>1.5</v>
      </c>
      <c r="X102">
        <v>1.907</v>
      </c>
      <c r="Y102">
        <v>47.68</v>
      </c>
      <c r="Z102">
        <v>1.0909</v>
      </c>
      <c r="AA102">
        <v>9044.52</v>
      </c>
    </row>
    <row r="103" spans="1:27" x14ac:dyDescent="0.35">
      <c r="A103" s="12" t="s">
        <v>617</v>
      </c>
      <c r="B103" s="12" t="s">
        <v>618</v>
      </c>
      <c r="C103" s="12" t="s">
        <v>78</v>
      </c>
      <c r="D103" s="12" t="s">
        <v>65</v>
      </c>
      <c r="E103">
        <v>2</v>
      </c>
      <c r="F103">
        <v>4</v>
      </c>
      <c r="G103" s="12" t="s">
        <v>209</v>
      </c>
      <c r="H103" s="12" t="s">
        <v>210</v>
      </c>
      <c r="I103" s="12" t="s">
        <v>96</v>
      </c>
      <c r="J103">
        <v>7.82</v>
      </c>
      <c r="K103" s="13">
        <v>45135</v>
      </c>
      <c r="L103" s="13">
        <v>45908</v>
      </c>
      <c r="M103">
        <v>2.1160000000000001</v>
      </c>
      <c r="N103">
        <v>11</v>
      </c>
      <c r="O103">
        <v>1952</v>
      </c>
      <c r="P103">
        <v>210631.75</v>
      </c>
      <c r="Q103">
        <v>581</v>
      </c>
      <c r="R103">
        <v>62967.74</v>
      </c>
      <c r="S103">
        <v>104.35680000000001</v>
      </c>
      <c r="T103">
        <v>108.7697</v>
      </c>
      <c r="U103">
        <v>93.6233</v>
      </c>
      <c r="V103">
        <v>5</v>
      </c>
      <c r="W103">
        <v>2</v>
      </c>
      <c r="X103">
        <v>-1.976</v>
      </c>
      <c r="Y103">
        <v>-39.520000000000003</v>
      </c>
      <c r="Z103">
        <v>15.1464</v>
      </c>
      <c r="AA103">
        <v>8800.0300000000007</v>
      </c>
    </row>
    <row r="104" spans="1:27" x14ac:dyDescent="0.35">
      <c r="A104" s="12" t="s">
        <v>909</v>
      </c>
      <c r="B104" s="12" t="s">
        <v>910</v>
      </c>
      <c r="C104" s="12" t="s">
        <v>269</v>
      </c>
      <c r="D104" s="12" t="s">
        <v>65</v>
      </c>
      <c r="E104">
        <v>3</v>
      </c>
      <c r="F104">
        <v>4</v>
      </c>
      <c r="G104" s="12" t="s">
        <v>199</v>
      </c>
      <c r="H104" s="12" t="s">
        <v>200</v>
      </c>
      <c r="I104" s="12" t="s">
        <v>96</v>
      </c>
      <c r="J104">
        <v>9.4700000000000006</v>
      </c>
      <c r="K104" s="13">
        <v>45048</v>
      </c>
      <c r="L104" s="13">
        <v>45975</v>
      </c>
      <c r="M104">
        <v>2.5379999999999998</v>
      </c>
      <c r="N104">
        <v>26</v>
      </c>
      <c r="O104">
        <v>2323</v>
      </c>
      <c r="P104">
        <v>249076.99</v>
      </c>
      <c r="Q104">
        <v>739</v>
      </c>
      <c r="R104">
        <v>77444.23</v>
      </c>
      <c r="S104">
        <v>108.32040000000001</v>
      </c>
      <c r="T104">
        <v>103.0488</v>
      </c>
      <c r="U104">
        <v>91.333500000000001</v>
      </c>
      <c r="V104">
        <v>6.5</v>
      </c>
      <c r="W104">
        <v>2</v>
      </c>
      <c r="X104">
        <v>1.9470000000000001</v>
      </c>
      <c r="Y104">
        <v>29.95</v>
      </c>
      <c r="Z104">
        <v>11.715299999999999</v>
      </c>
      <c r="AA104">
        <v>8657.61</v>
      </c>
    </row>
    <row r="105" spans="1:27" x14ac:dyDescent="0.35">
      <c r="A105" s="12" t="s">
        <v>420</v>
      </c>
      <c r="B105" s="12" t="s">
        <v>421</v>
      </c>
      <c r="C105" s="12" t="s">
        <v>269</v>
      </c>
      <c r="D105" s="12" t="s">
        <v>104</v>
      </c>
      <c r="E105">
        <v>2</v>
      </c>
      <c r="F105">
        <v>0</v>
      </c>
      <c r="G105" s="12" t="s">
        <v>380</v>
      </c>
      <c r="H105" s="12" t="s">
        <v>381</v>
      </c>
      <c r="I105" s="12" t="s">
        <v>96</v>
      </c>
      <c r="J105">
        <v>10.210000000000001</v>
      </c>
      <c r="K105" s="13">
        <v>44992</v>
      </c>
      <c r="L105" s="13">
        <v>45975</v>
      </c>
      <c r="M105">
        <v>2.6909999999999998</v>
      </c>
      <c r="N105">
        <v>24</v>
      </c>
      <c r="O105">
        <v>1839</v>
      </c>
      <c r="P105">
        <v>261557.1</v>
      </c>
      <c r="Q105">
        <v>451</v>
      </c>
      <c r="R105">
        <v>62230.92</v>
      </c>
      <c r="S105">
        <v>143.18369999999999</v>
      </c>
      <c r="T105">
        <v>137.98429999999999</v>
      </c>
      <c r="U105">
        <v>119.4944</v>
      </c>
      <c r="V105">
        <v>6.5</v>
      </c>
      <c r="W105">
        <v>2</v>
      </c>
      <c r="X105">
        <v>1.365</v>
      </c>
      <c r="Y105">
        <v>21</v>
      </c>
      <c r="Z105">
        <v>18.489899999999999</v>
      </c>
      <c r="AA105">
        <v>8338.94</v>
      </c>
    </row>
    <row r="106" spans="1:27" x14ac:dyDescent="0.35">
      <c r="A106" s="12" t="s">
        <v>85</v>
      </c>
      <c r="B106" s="12" t="s">
        <v>86</v>
      </c>
      <c r="C106" s="12" t="s">
        <v>78</v>
      </c>
      <c r="D106" s="12" t="s">
        <v>65</v>
      </c>
      <c r="E106">
        <v>3</v>
      </c>
      <c r="F106">
        <v>5</v>
      </c>
      <c r="G106" s="12" t="s">
        <v>87</v>
      </c>
      <c r="H106" s="12" t="s">
        <v>88</v>
      </c>
      <c r="I106" s="12" t="s">
        <v>69</v>
      </c>
      <c r="J106">
        <v>14.93</v>
      </c>
      <c r="K106" s="13">
        <v>44937</v>
      </c>
      <c r="L106" s="13">
        <v>45995</v>
      </c>
      <c r="M106">
        <v>2.8969999999999998</v>
      </c>
      <c r="N106">
        <v>38</v>
      </c>
      <c r="O106">
        <v>5799</v>
      </c>
      <c r="P106">
        <v>812425.27</v>
      </c>
      <c r="Q106">
        <v>1705</v>
      </c>
      <c r="R106">
        <v>227013.86</v>
      </c>
      <c r="S106">
        <v>147.55000000000001</v>
      </c>
      <c r="T106">
        <v>132.05160000000001</v>
      </c>
      <c r="U106">
        <v>127.1758</v>
      </c>
      <c r="V106">
        <v>5</v>
      </c>
      <c r="W106">
        <v>2</v>
      </c>
      <c r="X106">
        <v>3.7589999999999999</v>
      </c>
      <c r="Y106">
        <v>75.180000000000007</v>
      </c>
      <c r="Z106">
        <v>4.8757999999999999</v>
      </c>
      <c r="AA106">
        <v>8313.24</v>
      </c>
    </row>
    <row r="107" spans="1:27" x14ac:dyDescent="0.35">
      <c r="A107" s="12" t="s">
        <v>167</v>
      </c>
      <c r="B107" s="12" t="s">
        <v>168</v>
      </c>
      <c r="C107" s="12" t="s">
        <v>64</v>
      </c>
      <c r="D107" s="12" t="s">
        <v>104</v>
      </c>
      <c r="E107">
        <v>3</v>
      </c>
      <c r="F107">
        <v>1</v>
      </c>
      <c r="G107" s="12" t="s">
        <v>169</v>
      </c>
      <c r="H107" s="12" t="s">
        <v>170</v>
      </c>
      <c r="I107" s="12" t="s">
        <v>134</v>
      </c>
      <c r="J107">
        <v>1.37</v>
      </c>
      <c r="K107" s="13">
        <v>44949</v>
      </c>
      <c r="L107" s="13">
        <v>46006</v>
      </c>
      <c r="M107">
        <v>2.8940000000000001</v>
      </c>
      <c r="N107">
        <v>35</v>
      </c>
      <c r="O107">
        <v>18595</v>
      </c>
      <c r="P107">
        <v>486590.2</v>
      </c>
      <c r="Q107">
        <v>8069</v>
      </c>
      <c r="R107">
        <v>195709.11</v>
      </c>
      <c r="S107">
        <v>28.7181</v>
      </c>
      <c r="T107">
        <v>24.298999999999999</v>
      </c>
      <c r="U107">
        <v>23.277999999999999</v>
      </c>
      <c r="V107">
        <v>7</v>
      </c>
      <c r="W107">
        <v>2</v>
      </c>
      <c r="X107">
        <v>5.61</v>
      </c>
      <c r="Y107">
        <v>80.14</v>
      </c>
      <c r="Z107">
        <v>1.0209999999999999</v>
      </c>
      <c r="AA107">
        <v>8238.81</v>
      </c>
    </row>
    <row r="108" spans="1:27" x14ac:dyDescent="0.35">
      <c r="A108" s="12" t="s">
        <v>685</v>
      </c>
      <c r="B108" s="12" t="s">
        <v>686</v>
      </c>
      <c r="C108" s="12" t="s">
        <v>175</v>
      </c>
      <c r="D108" s="12" t="s">
        <v>104</v>
      </c>
      <c r="E108">
        <v>2</v>
      </c>
      <c r="F108">
        <v>0</v>
      </c>
      <c r="G108" s="12" t="s">
        <v>195</v>
      </c>
      <c r="H108" s="12" t="s">
        <v>196</v>
      </c>
      <c r="I108" s="12" t="s">
        <v>134</v>
      </c>
      <c r="J108">
        <v>4.7699999999999996</v>
      </c>
      <c r="K108" s="13">
        <v>45085</v>
      </c>
      <c r="L108" s="13">
        <v>45891</v>
      </c>
      <c r="M108">
        <v>2.2069999999999999</v>
      </c>
      <c r="N108">
        <v>10</v>
      </c>
      <c r="O108">
        <v>765</v>
      </c>
      <c r="P108">
        <v>168686.27</v>
      </c>
      <c r="Q108">
        <v>313</v>
      </c>
      <c r="R108">
        <v>69401.490000000005</v>
      </c>
      <c r="S108">
        <v>221.7389</v>
      </c>
      <c r="T108">
        <v>221.73</v>
      </c>
      <c r="U108">
        <v>195.7131</v>
      </c>
      <c r="V108">
        <v>5.5</v>
      </c>
      <c r="W108">
        <v>2</v>
      </c>
      <c r="X108">
        <v>2E-3</v>
      </c>
      <c r="Y108">
        <v>0.04</v>
      </c>
      <c r="Z108">
        <v>26.0169</v>
      </c>
      <c r="AA108">
        <v>8143.29</v>
      </c>
    </row>
    <row r="109" spans="1:27" x14ac:dyDescent="0.35">
      <c r="A109" s="12" t="s">
        <v>395</v>
      </c>
      <c r="B109" s="12" t="s">
        <v>396</v>
      </c>
      <c r="C109" s="12" t="s">
        <v>130</v>
      </c>
      <c r="D109" s="12" t="s">
        <v>104</v>
      </c>
      <c r="E109">
        <v>3</v>
      </c>
      <c r="F109">
        <v>1</v>
      </c>
      <c r="G109" s="12" t="s">
        <v>341</v>
      </c>
      <c r="H109" s="12" t="s">
        <v>342</v>
      </c>
      <c r="I109" s="12" t="s">
        <v>82</v>
      </c>
      <c r="J109">
        <v>18.36</v>
      </c>
      <c r="K109" s="13">
        <v>44988</v>
      </c>
      <c r="L109" s="13">
        <v>46017</v>
      </c>
      <c r="M109">
        <v>2.8170000000000002</v>
      </c>
      <c r="N109">
        <v>33</v>
      </c>
      <c r="O109">
        <v>2764</v>
      </c>
      <c r="P109">
        <v>476303.08</v>
      </c>
      <c r="Q109">
        <v>875</v>
      </c>
      <c r="R109">
        <v>139401.07</v>
      </c>
      <c r="S109">
        <v>190.43799999999999</v>
      </c>
      <c r="T109">
        <v>159.31549999999999</v>
      </c>
      <c r="U109">
        <v>150.5719</v>
      </c>
      <c r="V109">
        <v>8</v>
      </c>
      <c r="W109">
        <v>2</v>
      </c>
      <c r="X109">
        <v>6.1369999999999996</v>
      </c>
      <c r="Y109">
        <v>76.709999999999994</v>
      </c>
      <c r="Z109">
        <v>8.7436000000000007</v>
      </c>
      <c r="AA109">
        <v>7650.65</v>
      </c>
    </row>
    <row r="110" spans="1:27" x14ac:dyDescent="0.35">
      <c r="A110" s="12" t="s">
        <v>1220</v>
      </c>
      <c r="B110" s="12" t="s">
        <v>1221</v>
      </c>
      <c r="C110" s="12" t="s">
        <v>175</v>
      </c>
      <c r="D110" s="12" t="s">
        <v>104</v>
      </c>
      <c r="E110">
        <v>3</v>
      </c>
      <c r="F110">
        <v>1</v>
      </c>
      <c r="G110" s="12" t="s">
        <v>251</v>
      </c>
      <c r="H110" s="12" t="s">
        <v>252</v>
      </c>
      <c r="I110" s="12" t="s">
        <v>69</v>
      </c>
      <c r="J110">
        <v>34.49</v>
      </c>
      <c r="K110" s="13">
        <v>45124</v>
      </c>
      <c r="L110" s="13">
        <v>46003</v>
      </c>
      <c r="M110">
        <v>2.407</v>
      </c>
      <c r="N110">
        <v>27</v>
      </c>
      <c r="O110">
        <v>2297</v>
      </c>
      <c r="P110">
        <v>318386.89</v>
      </c>
      <c r="Q110">
        <v>539</v>
      </c>
      <c r="R110">
        <v>74250.33</v>
      </c>
      <c r="S110">
        <v>138.98759999999999</v>
      </c>
      <c r="T110">
        <v>135.29990000000001</v>
      </c>
      <c r="U110">
        <v>121.29430000000001</v>
      </c>
      <c r="V110">
        <v>5.5</v>
      </c>
      <c r="W110">
        <v>2</v>
      </c>
      <c r="X110">
        <v>1.111</v>
      </c>
      <c r="Y110">
        <v>20.2</v>
      </c>
      <c r="Z110">
        <v>14.005599999999999</v>
      </c>
      <c r="AA110">
        <v>7549</v>
      </c>
    </row>
    <row r="111" spans="1:27" x14ac:dyDescent="0.35">
      <c r="A111" s="12" t="s">
        <v>76</v>
      </c>
      <c r="B111" s="12" t="s">
        <v>77</v>
      </c>
      <c r="C111" s="12" t="s">
        <v>78</v>
      </c>
      <c r="D111" s="12" t="s">
        <v>65</v>
      </c>
      <c r="E111">
        <v>2</v>
      </c>
      <c r="F111">
        <v>4</v>
      </c>
      <c r="G111" s="12" t="s">
        <v>79</v>
      </c>
      <c r="H111" s="12" t="s">
        <v>80</v>
      </c>
      <c r="I111" s="12" t="s">
        <v>82</v>
      </c>
      <c r="J111">
        <v>12.07</v>
      </c>
      <c r="K111" s="13">
        <v>44937</v>
      </c>
      <c r="L111" s="13">
        <v>45992</v>
      </c>
      <c r="M111">
        <v>2.8879999999999999</v>
      </c>
      <c r="N111">
        <v>41</v>
      </c>
      <c r="O111">
        <v>6741</v>
      </c>
      <c r="P111">
        <v>301194.8</v>
      </c>
      <c r="Q111">
        <v>2141</v>
      </c>
      <c r="R111">
        <v>92966.51</v>
      </c>
      <c r="S111">
        <v>45.991</v>
      </c>
      <c r="T111">
        <v>43.147799999999997</v>
      </c>
      <c r="U111">
        <v>39.658700000000003</v>
      </c>
      <c r="V111">
        <v>5</v>
      </c>
      <c r="W111">
        <v>2</v>
      </c>
      <c r="X111">
        <v>2.1850000000000001</v>
      </c>
      <c r="Y111">
        <v>43.7</v>
      </c>
      <c r="Z111">
        <v>3.4891000000000001</v>
      </c>
      <c r="AA111">
        <v>7470.13</v>
      </c>
    </row>
    <row r="112" spans="1:27" x14ac:dyDescent="0.35">
      <c r="A112" s="12" t="s">
        <v>621</v>
      </c>
      <c r="B112" s="12" t="s">
        <v>622</v>
      </c>
      <c r="C112" s="12" t="s">
        <v>103</v>
      </c>
      <c r="D112" s="12" t="s">
        <v>65</v>
      </c>
      <c r="E112">
        <v>1</v>
      </c>
      <c r="F112">
        <v>2</v>
      </c>
      <c r="G112" s="12" t="s">
        <v>486</v>
      </c>
      <c r="H112" s="12" t="s">
        <v>487</v>
      </c>
      <c r="I112" s="12" t="s">
        <v>69</v>
      </c>
      <c r="J112">
        <v>36.86</v>
      </c>
      <c r="K112" s="13">
        <v>45016</v>
      </c>
      <c r="L112" s="13">
        <v>46010</v>
      </c>
      <c r="M112">
        <v>2.7210000000000001</v>
      </c>
      <c r="N112">
        <v>43</v>
      </c>
      <c r="O112">
        <v>3570</v>
      </c>
      <c r="P112">
        <v>718633.76</v>
      </c>
      <c r="Q112">
        <v>1283</v>
      </c>
      <c r="R112">
        <v>257265.86</v>
      </c>
      <c r="S112">
        <v>202.44030000000001</v>
      </c>
      <c r="T112">
        <v>197.4195</v>
      </c>
      <c r="U112">
        <v>191.6122</v>
      </c>
      <c r="V112">
        <v>2</v>
      </c>
      <c r="W112">
        <v>1.5</v>
      </c>
      <c r="X112">
        <v>0.91900000000000004</v>
      </c>
      <c r="Y112">
        <v>45.95</v>
      </c>
      <c r="Z112">
        <v>5.8072999999999997</v>
      </c>
      <c r="AA112">
        <v>7450.82</v>
      </c>
    </row>
    <row r="113" spans="1:27" x14ac:dyDescent="0.35">
      <c r="A113" s="12" t="s">
        <v>941</v>
      </c>
      <c r="B113" s="12" t="s">
        <v>942</v>
      </c>
      <c r="C113" s="12" t="s">
        <v>130</v>
      </c>
      <c r="D113" s="12" t="s">
        <v>104</v>
      </c>
      <c r="E113">
        <v>2</v>
      </c>
      <c r="F113">
        <v>0</v>
      </c>
      <c r="G113" s="12" t="s">
        <v>151</v>
      </c>
      <c r="H113" s="12" t="s">
        <v>152</v>
      </c>
      <c r="I113" s="12" t="s">
        <v>69</v>
      </c>
      <c r="J113">
        <v>36.479999999999997</v>
      </c>
      <c r="K113" s="13">
        <v>45069</v>
      </c>
      <c r="L113" s="13">
        <v>45929</v>
      </c>
      <c r="M113">
        <v>2.355</v>
      </c>
      <c r="N113">
        <v>10</v>
      </c>
      <c r="O113">
        <v>706</v>
      </c>
      <c r="P113">
        <v>693520.54</v>
      </c>
      <c r="Q113">
        <v>105</v>
      </c>
      <c r="R113">
        <v>99338.54</v>
      </c>
      <c r="S113">
        <v>1034.5934</v>
      </c>
      <c r="T113">
        <v>919.21429999999998</v>
      </c>
      <c r="U113">
        <v>850.13909999999998</v>
      </c>
      <c r="V113">
        <v>8</v>
      </c>
      <c r="W113">
        <v>2</v>
      </c>
      <c r="X113">
        <v>4.8979999999999997</v>
      </c>
      <c r="Y113">
        <v>61.23</v>
      </c>
      <c r="Z113">
        <v>69.075199999999995</v>
      </c>
      <c r="AA113">
        <v>7252.9</v>
      </c>
    </row>
    <row r="114" spans="1:27" x14ac:dyDescent="0.35">
      <c r="A114" s="12" t="s">
        <v>101</v>
      </c>
      <c r="B114" s="12" t="s">
        <v>102</v>
      </c>
      <c r="C114" s="12" t="s">
        <v>103</v>
      </c>
      <c r="D114" s="12" t="s">
        <v>104</v>
      </c>
      <c r="E114">
        <v>1</v>
      </c>
      <c r="F114">
        <v>0</v>
      </c>
      <c r="G114" s="12" t="s">
        <v>105</v>
      </c>
      <c r="H114" s="12" t="s">
        <v>106</v>
      </c>
      <c r="I114" s="12" t="s">
        <v>96</v>
      </c>
      <c r="J114">
        <v>5.01</v>
      </c>
      <c r="K114" s="13">
        <v>44942</v>
      </c>
      <c r="L114" s="13">
        <v>45993</v>
      </c>
      <c r="M114">
        <v>2.8769999999999998</v>
      </c>
      <c r="N114">
        <v>39</v>
      </c>
      <c r="O114">
        <v>2626</v>
      </c>
      <c r="P114">
        <v>538943.5</v>
      </c>
      <c r="Q114">
        <v>850</v>
      </c>
      <c r="R114">
        <v>172120.59</v>
      </c>
      <c r="S114">
        <v>204.35300000000001</v>
      </c>
      <c r="T114">
        <v>200.99549999999999</v>
      </c>
      <c r="U114">
        <v>192.81389999999999</v>
      </c>
      <c r="V114">
        <v>2</v>
      </c>
      <c r="W114">
        <v>1.5</v>
      </c>
      <c r="X114">
        <v>0.57399999999999995</v>
      </c>
      <c r="Y114">
        <v>28.7</v>
      </c>
      <c r="Z114">
        <v>8.1815999999999995</v>
      </c>
      <c r="AA114">
        <v>6954.38</v>
      </c>
    </row>
    <row r="115" spans="1:27" x14ac:dyDescent="0.35">
      <c r="A115" s="12" t="s">
        <v>350</v>
      </c>
      <c r="B115" s="12" t="s">
        <v>351</v>
      </c>
      <c r="C115" s="12" t="s">
        <v>64</v>
      </c>
      <c r="D115" s="12" t="s">
        <v>104</v>
      </c>
      <c r="E115">
        <v>3</v>
      </c>
      <c r="F115">
        <v>1</v>
      </c>
      <c r="G115" s="12" t="s">
        <v>486</v>
      </c>
      <c r="H115" s="12" t="s">
        <v>487</v>
      </c>
      <c r="I115" s="12" t="s">
        <v>69</v>
      </c>
      <c r="J115">
        <v>36.86</v>
      </c>
      <c r="K115" s="13">
        <v>45000</v>
      </c>
      <c r="L115" s="13">
        <v>45953</v>
      </c>
      <c r="M115">
        <v>2.609</v>
      </c>
      <c r="N115">
        <v>24</v>
      </c>
      <c r="O115">
        <v>13010</v>
      </c>
      <c r="P115">
        <v>109500.78</v>
      </c>
      <c r="Q115">
        <v>6420</v>
      </c>
      <c r="R115">
        <v>52715.92</v>
      </c>
      <c r="S115">
        <v>8.7273999999999994</v>
      </c>
      <c r="T115">
        <v>8.2452000000000005</v>
      </c>
      <c r="U115">
        <v>7.2220000000000004</v>
      </c>
      <c r="V115">
        <v>7</v>
      </c>
      <c r="W115">
        <v>2</v>
      </c>
      <c r="X115">
        <v>2.1549999999999998</v>
      </c>
      <c r="Y115">
        <v>30.79</v>
      </c>
      <c r="Z115">
        <v>1.0232000000000001</v>
      </c>
      <c r="AA115">
        <v>6568.94</v>
      </c>
    </row>
    <row r="116" spans="1:27" x14ac:dyDescent="0.35">
      <c r="A116" s="12" t="s">
        <v>155</v>
      </c>
      <c r="B116" s="12" t="s">
        <v>156</v>
      </c>
      <c r="C116" s="12" t="s">
        <v>130</v>
      </c>
      <c r="D116" s="12" t="s">
        <v>104</v>
      </c>
      <c r="E116">
        <v>3</v>
      </c>
      <c r="F116">
        <v>1</v>
      </c>
      <c r="G116" s="12" t="s">
        <v>157</v>
      </c>
      <c r="H116" s="12" t="s">
        <v>158</v>
      </c>
      <c r="I116" s="12" t="s">
        <v>96</v>
      </c>
      <c r="J116">
        <v>4.72</v>
      </c>
      <c r="K116" s="13">
        <v>44946</v>
      </c>
      <c r="L116" s="13">
        <v>45967</v>
      </c>
      <c r="M116">
        <v>2.7949999999999999</v>
      </c>
      <c r="N116">
        <v>28</v>
      </c>
      <c r="O116">
        <v>2171</v>
      </c>
      <c r="P116">
        <v>431422.04</v>
      </c>
      <c r="Q116">
        <v>457</v>
      </c>
      <c r="R116">
        <v>84204.51</v>
      </c>
      <c r="S116">
        <v>206.28880000000001</v>
      </c>
      <c r="T116">
        <v>177.73990000000001</v>
      </c>
      <c r="U116">
        <v>163.404</v>
      </c>
      <c r="V116">
        <v>8</v>
      </c>
      <c r="W116">
        <v>2</v>
      </c>
      <c r="X116">
        <v>5.1890000000000001</v>
      </c>
      <c r="Y116">
        <v>64.86</v>
      </c>
      <c r="Z116">
        <v>14.335900000000001</v>
      </c>
      <c r="AA116">
        <v>6551.49</v>
      </c>
    </row>
    <row r="117" spans="1:27" x14ac:dyDescent="0.35">
      <c r="A117" s="12" t="s">
        <v>317</v>
      </c>
      <c r="B117" s="12" t="s">
        <v>318</v>
      </c>
      <c r="C117" s="12" t="s">
        <v>64</v>
      </c>
      <c r="D117" s="12" t="s">
        <v>104</v>
      </c>
      <c r="E117">
        <v>2</v>
      </c>
      <c r="F117">
        <v>0</v>
      </c>
      <c r="G117" s="12" t="s">
        <v>183</v>
      </c>
      <c r="H117" s="12" t="s">
        <v>184</v>
      </c>
      <c r="I117" s="12" t="s">
        <v>82</v>
      </c>
      <c r="J117">
        <v>8.6199999999999992</v>
      </c>
      <c r="K117" s="13">
        <v>45133</v>
      </c>
      <c r="L117" s="13">
        <v>46007</v>
      </c>
      <c r="M117">
        <v>2.3929999999999998</v>
      </c>
      <c r="N117">
        <v>11</v>
      </c>
      <c r="O117">
        <v>5932</v>
      </c>
      <c r="P117">
        <v>94000.97</v>
      </c>
      <c r="Q117">
        <v>3070</v>
      </c>
      <c r="R117">
        <v>48335.93</v>
      </c>
      <c r="S117">
        <v>16.2315</v>
      </c>
      <c r="T117">
        <v>15.7446</v>
      </c>
      <c r="U117">
        <v>13.6439</v>
      </c>
      <c r="V117">
        <v>7</v>
      </c>
      <c r="W117">
        <v>2</v>
      </c>
      <c r="X117">
        <v>1.2649999999999999</v>
      </c>
      <c r="Y117">
        <v>18.07</v>
      </c>
      <c r="Z117">
        <v>2.1006999999999998</v>
      </c>
      <c r="AA117">
        <v>6449.15</v>
      </c>
    </row>
    <row r="118" spans="1:27" x14ac:dyDescent="0.35">
      <c r="A118" s="12" t="s">
        <v>876</v>
      </c>
      <c r="B118" s="12" t="s">
        <v>877</v>
      </c>
      <c r="C118" s="12" t="s">
        <v>269</v>
      </c>
      <c r="D118" s="12" t="s">
        <v>142</v>
      </c>
      <c r="E118">
        <v>3</v>
      </c>
      <c r="F118">
        <v>11</v>
      </c>
      <c r="G118" s="12" t="s">
        <v>515</v>
      </c>
      <c r="H118" s="12" t="s">
        <v>516</v>
      </c>
      <c r="I118" s="12" t="s">
        <v>134</v>
      </c>
      <c r="J118">
        <v>3.69</v>
      </c>
      <c r="K118" s="13">
        <v>45082</v>
      </c>
      <c r="L118" s="13">
        <v>45964</v>
      </c>
      <c r="M118">
        <v>2.415</v>
      </c>
      <c r="N118">
        <v>29</v>
      </c>
      <c r="O118">
        <v>2109</v>
      </c>
      <c r="P118">
        <v>397861.17</v>
      </c>
      <c r="Q118">
        <v>823</v>
      </c>
      <c r="R118">
        <v>146910.85999999999</v>
      </c>
      <c r="S118">
        <v>201.90870000000001</v>
      </c>
      <c r="T118">
        <v>179.24969999999999</v>
      </c>
      <c r="U118">
        <v>171.6584</v>
      </c>
      <c r="V118">
        <v>6.5</v>
      </c>
      <c r="W118">
        <v>2</v>
      </c>
      <c r="X118">
        <v>4.8099999999999996</v>
      </c>
      <c r="Y118">
        <v>74</v>
      </c>
      <c r="Z118">
        <v>7.5913000000000004</v>
      </c>
      <c r="AA118">
        <v>6247.64</v>
      </c>
    </row>
    <row r="119" spans="1:27" x14ac:dyDescent="0.35">
      <c r="A119" s="12" t="s">
        <v>646</v>
      </c>
      <c r="B119" s="12" t="s">
        <v>647</v>
      </c>
      <c r="C119" s="12" t="s">
        <v>175</v>
      </c>
      <c r="D119" s="12" t="s">
        <v>104</v>
      </c>
      <c r="E119">
        <v>3</v>
      </c>
      <c r="F119">
        <v>1</v>
      </c>
      <c r="G119" s="12" t="s">
        <v>227</v>
      </c>
      <c r="H119" s="12" t="s">
        <v>228</v>
      </c>
      <c r="I119" s="12" t="s">
        <v>96</v>
      </c>
      <c r="J119">
        <v>9.15</v>
      </c>
      <c r="K119" s="13">
        <v>45036</v>
      </c>
      <c r="L119" s="13">
        <v>46021</v>
      </c>
      <c r="M119">
        <v>2.6970000000000001</v>
      </c>
      <c r="N119">
        <v>33</v>
      </c>
      <c r="O119">
        <v>2780</v>
      </c>
      <c r="P119">
        <v>574272.96</v>
      </c>
      <c r="Q119">
        <v>811</v>
      </c>
      <c r="R119">
        <v>159952.85999999999</v>
      </c>
      <c r="S119">
        <v>216.21350000000001</v>
      </c>
      <c r="T119">
        <v>193.26390000000001</v>
      </c>
      <c r="U119">
        <v>185.619</v>
      </c>
      <c r="V119">
        <v>5.5</v>
      </c>
      <c r="W119">
        <v>2</v>
      </c>
      <c r="X119">
        <v>4.0759999999999996</v>
      </c>
      <c r="Y119">
        <v>74.11</v>
      </c>
      <c r="Z119">
        <v>7.6448999999999998</v>
      </c>
      <c r="AA119">
        <v>6200</v>
      </c>
    </row>
    <row r="120" spans="1:27" x14ac:dyDescent="0.35">
      <c r="A120" s="12" t="s">
        <v>1220</v>
      </c>
      <c r="B120" s="12" t="s">
        <v>1221</v>
      </c>
      <c r="C120" s="12" t="s">
        <v>175</v>
      </c>
      <c r="D120" s="12" t="s">
        <v>104</v>
      </c>
      <c r="E120">
        <v>3</v>
      </c>
      <c r="F120">
        <v>1</v>
      </c>
      <c r="G120" s="12" t="s">
        <v>515</v>
      </c>
      <c r="H120" s="12" t="s">
        <v>516</v>
      </c>
      <c r="I120" s="12" t="s">
        <v>134</v>
      </c>
      <c r="J120">
        <v>3.69</v>
      </c>
      <c r="K120" s="13">
        <v>45086</v>
      </c>
      <c r="L120" s="13">
        <v>45996</v>
      </c>
      <c r="M120">
        <v>2.4910000000000001</v>
      </c>
      <c r="N120">
        <v>12</v>
      </c>
      <c r="O120">
        <v>803</v>
      </c>
      <c r="P120">
        <v>108689.09</v>
      </c>
      <c r="Q120">
        <v>480</v>
      </c>
      <c r="R120">
        <v>63724.76</v>
      </c>
      <c r="S120">
        <v>138.98759999999999</v>
      </c>
      <c r="T120">
        <v>133.24299999999999</v>
      </c>
      <c r="U120">
        <v>120.7193</v>
      </c>
      <c r="V120">
        <v>5.5</v>
      </c>
      <c r="W120">
        <v>2</v>
      </c>
      <c r="X120">
        <v>1.68</v>
      </c>
      <c r="Y120">
        <v>30.55</v>
      </c>
      <c r="Z120">
        <v>12.5237</v>
      </c>
      <c r="AA120">
        <v>6011.38</v>
      </c>
    </row>
    <row r="121" spans="1:27" x14ac:dyDescent="0.35">
      <c r="A121" s="12" t="s">
        <v>755</v>
      </c>
      <c r="B121" s="12" t="s">
        <v>756</v>
      </c>
      <c r="C121" s="12" t="s">
        <v>78</v>
      </c>
      <c r="D121" s="12" t="s">
        <v>65</v>
      </c>
      <c r="E121">
        <v>2</v>
      </c>
      <c r="F121">
        <v>2</v>
      </c>
      <c r="G121" s="12" t="s">
        <v>359</v>
      </c>
      <c r="H121" s="12" t="s">
        <v>360</v>
      </c>
      <c r="I121" s="12" t="s">
        <v>82</v>
      </c>
      <c r="J121">
        <v>12.65</v>
      </c>
      <c r="K121" s="13">
        <v>45034</v>
      </c>
      <c r="L121" s="13">
        <v>46014</v>
      </c>
      <c r="M121">
        <v>2.6829999999999998</v>
      </c>
      <c r="N121">
        <v>36</v>
      </c>
      <c r="O121">
        <v>7145</v>
      </c>
      <c r="P121">
        <v>310906.21000000002</v>
      </c>
      <c r="Q121">
        <v>2523</v>
      </c>
      <c r="R121">
        <v>106381.94</v>
      </c>
      <c r="S121">
        <v>44.434699999999999</v>
      </c>
      <c r="T121">
        <v>40.900399999999998</v>
      </c>
      <c r="U121">
        <v>38.721699999999998</v>
      </c>
      <c r="V121">
        <v>5</v>
      </c>
      <c r="W121">
        <v>2</v>
      </c>
      <c r="X121">
        <v>3.0419999999999998</v>
      </c>
      <c r="Y121">
        <v>60.84</v>
      </c>
      <c r="Z121">
        <v>2.1787000000000001</v>
      </c>
      <c r="AA121">
        <v>5496.86</v>
      </c>
    </row>
    <row r="122" spans="1:27" x14ac:dyDescent="0.35">
      <c r="A122" s="12" t="s">
        <v>112</v>
      </c>
      <c r="B122" s="12" t="s">
        <v>113</v>
      </c>
      <c r="C122" s="12" t="s">
        <v>114</v>
      </c>
      <c r="D122" s="12" t="s">
        <v>104</v>
      </c>
      <c r="E122">
        <v>3</v>
      </c>
      <c r="F122">
        <v>1</v>
      </c>
      <c r="G122" s="12" t="s">
        <v>115</v>
      </c>
      <c r="H122" s="12" t="s">
        <v>116</v>
      </c>
      <c r="I122" s="12" t="s">
        <v>82</v>
      </c>
      <c r="J122">
        <v>17.170000000000002</v>
      </c>
      <c r="K122" s="13">
        <v>44942</v>
      </c>
      <c r="L122" s="13">
        <v>45994</v>
      </c>
      <c r="M122">
        <v>2.88</v>
      </c>
      <c r="N122">
        <v>12</v>
      </c>
      <c r="O122">
        <v>1032</v>
      </c>
      <c r="P122">
        <v>268634.64</v>
      </c>
      <c r="Q122">
        <v>349</v>
      </c>
      <c r="R122">
        <v>90085.119999999995</v>
      </c>
      <c r="S122">
        <v>264.17590000000001</v>
      </c>
      <c r="T122">
        <v>257.51960000000003</v>
      </c>
      <c r="U122">
        <v>241.98910000000001</v>
      </c>
      <c r="V122">
        <v>3</v>
      </c>
      <c r="W122">
        <v>1.5</v>
      </c>
      <c r="X122">
        <v>0.88200000000000001</v>
      </c>
      <c r="Y122">
        <v>29.4</v>
      </c>
      <c r="Z122">
        <v>15.5305</v>
      </c>
      <c r="AA122">
        <v>5420.14</v>
      </c>
    </row>
    <row r="123" spans="1:27" x14ac:dyDescent="0.35">
      <c r="A123" s="12" t="s">
        <v>827</v>
      </c>
      <c r="B123" s="12" t="s">
        <v>828</v>
      </c>
      <c r="C123" s="12" t="s">
        <v>175</v>
      </c>
      <c r="D123" s="12" t="s">
        <v>104</v>
      </c>
      <c r="E123">
        <v>2</v>
      </c>
      <c r="F123">
        <v>0</v>
      </c>
      <c r="G123" s="12" t="s">
        <v>183</v>
      </c>
      <c r="H123" s="12" t="s">
        <v>184</v>
      </c>
      <c r="I123" s="12" t="s">
        <v>82</v>
      </c>
      <c r="J123">
        <v>8.6199999999999992</v>
      </c>
      <c r="K123" s="13">
        <v>45041</v>
      </c>
      <c r="L123" s="13">
        <v>45968</v>
      </c>
      <c r="M123">
        <v>2.5379999999999998</v>
      </c>
      <c r="N123">
        <v>29</v>
      </c>
      <c r="O123">
        <v>2388</v>
      </c>
      <c r="P123">
        <v>248611.91</v>
      </c>
      <c r="Q123">
        <v>555</v>
      </c>
      <c r="R123">
        <v>57151.45</v>
      </c>
      <c r="S123">
        <v>107.794</v>
      </c>
      <c r="T123">
        <v>102.61539999999999</v>
      </c>
      <c r="U123">
        <v>93.377099999999999</v>
      </c>
      <c r="V123">
        <v>5.5</v>
      </c>
      <c r="W123">
        <v>2</v>
      </c>
      <c r="X123">
        <v>1.921</v>
      </c>
      <c r="Y123">
        <v>34.93</v>
      </c>
      <c r="Z123">
        <v>9.2383000000000006</v>
      </c>
      <c r="AA123">
        <v>5127.24</v>
      </c>
    </row>
    <row r="124" spans="1:27" x14ac:dyDescent="0.35">
      <c r="A124" s="12" t="s">
        <v>193</v>
      </c>
      <c r="B124" s="12" t="s">
        <v>194</v>
      </c>
      <c r="C124" s="12" t="s">
        <v>114</v>
      </c>
      <c r="D124" s="12" t="s">
        <v>65</v>
      </c>
      <c r="E124">
        <v>3</v>
      </c>
      <c r="F124">
        <v>4</v>
      </c>
      <c r="G124" s="12" t="s">
        <v>195</v>
      </c>
      <c r="H124" s="12" t="s">
        <v>196</v>
      </c>
      <c r="I124" s="12" t="s">
        <v>134</v>
      </c>
      <c r="J124">
        <v>4.7699999999999996</v>
      </c>
      <c r="K124" s="13">
        <v>44956</v>
      </c>
      <c r="L124" s="13">
        <v>45978</v>
      </c>
      <c r="M124">
        <v>2.798</v>
      </c>
      <c r="N124">
        <v>32</v>
      </c>
      <c r="O124">
        <v>2266</v>
      </c>
      <c r="P124">
        <v>239450.41</v>
      </c>
      <c r="Q124">
        <v>807</v>
      </c>
      <c r="R124">
        <v>84169.51</v>
      </c>
      <c r="S124">
        <v>107.28270000000001</v>
      </c>
      <c r="T124">
        <v>104.5202</v>
      </c>
      <c r="U124">
        <v>98.518299999999996</v>
      </c>
      <c r="V124">
        <v>3</v>
      </c>
      <c r="W124">
        <v>1.5</v>
      </c>
      <c r="X124">
        <v>0.92800000000000005</v>
      </c>
      <c r="Y124">
        <v>30.93</v>
      </c>
      <c r="Z124">
        <v>6.0019</v>
      </c>
      <c r="AA124">
        <v>4843.53</v>
      </c>
    </row>
    <row r="125" spans="1:27" x14ac:dyDescent="0.35">
      <c r="A125" s="12" t="s">
        <v>357</v>
      </c>
      <c r="B125" s="12" t="s">
        <v>358</v>
      </c>
      <c r="C125" s="12" t="s">
        <v>103</v>
      </c>
      <c r="D125" s="12" t="s">
        <v>104</v>
      </c>
      <c r="E125">
        <v>3</v>
      </c>
      <c r="F125">
        <v>1</v>
      </c>
      <c r="G125" s="12" t="s">
        <v>105</v>
      </c>
      <c r="H125" s="12" t="s">
        <v>106</v>
      </c>
      <c r="I125" s="12" t="s">
        <v>96</v>
      </c>
      <c r="J125">
        <v>5.01</v>
      </c>
      <c r="K125" s="13">
        <v>45044</v>
      </c>
      <c r="L125" s="13">
        <v>46015</v>
      </c>
      <c r="M125">
        <v>2.6579999999999999</v>
      </c>
      <c r="N125">
        <v>32</v>
      </c>
      <c r="O125">
        <v>2573</v>
      </c>
      <c r="P125">
        <v>275362.48</v>
      </c>
      <c r="Q125">
        <v>913</v>
      </c>
      <c r="R125">
        <v>97631</v>
      </c>
      <c r="S125">
        <v>107.20099999999999</v>
      </c>
      <c r="T125">
        <v>106.63800000000001</v>
      </c>
      <c r="U125">
        <v>101.5963</v>
      </c>
      <c r="V125">
        <v>2</v>
      </c>
      <c r="W125">
        <v>1.5</v>
      </c>
      <c r="X125">
        <v>0.19800000000000001</v>
      </c>
      <c r="Y125">
        <v>9.9</v>
      </c>
      <c r="Z125">
        <v>5.0416999999999996</v>
      </c>
      <c r="AA125">
        <v>4603.07</v>
      </c>
    </row>
    <row r="126" spans="1:27" x14ac:dyDescent="0.35">
      <c r="A126" s="12" t="s">
        <v>617</v>
      </c>
      <c r="B126" s="12" t="s">
        <v>618</v>
      </c>
      <c r="C126" s="12" t="s">
        <v>78</v>
      </c>
      <c r="D126" s="12" t="s">
        <v>65</v>
      </c>
      <c r="E126">
        <v>2</v>
      </c>
      <c r="F126">
        <v>4</v>
      </c>
      <c r="G126" s="12" t="s">
        <v>341</v>
      </c>
      <c r="H126" s="12" t="s">
        <v>342</v>
      </c>
      <c r="I126" s="12" t="s">
        <v>82</v>
      </c>
      <c r="J126">
        <v>18.36</v>
      </c>
      <c r="K126" s="13">
        <v>45016</v>
      </c>
      <c r="L126" s="13">
        <v>45993</v>
      </c>
      <c r="M126">
        <v>2.6749999999999998</v>
      </c>
      <c r="N126">
        <v>32</v>
      </c>
      <c r="O126">
        <v>4883</v>
      </c>
      <c r="P126">
        <v>499181.64</v>
      </c>
      <c r="Q126">
        <v>1736</v>
      </c>
      <c r="R126">
        <v>168450.68</v>
      </c>
      <c r="S126">
        <v>108.2711</v>
      </c>
      <c r="T126">
        <v>97.033799999999999</v>
      </c>
      <c r="U126">
        <v>94.389399999999995</v>
      </c>
      <c r="V126">
        <v>5</v>
      </c>
      <c r="W126">
        <v>2</v>
      </c>
      <c r="X126">
        <v>4.0140000000000002</v>
      </c>
      <c r="Y126">
        <v>80.28</v>
      </c>
      <c r="Z126">
        <v>2.6444000000000001</v>
      </c>
      <c r="AA126">
        <v>4590.68</v>
      </c>
    </row>
    <row r="127" spans="1:27" x14ac:dyDescent="0.35">
      <c r="A127" s="12" t="s">
        <v>728</v>
      </c>
      <c r="B127" s="12" t="s">
        <v>729</v>
      </c>
      <c r="C127" s="12" t="s">
        <v>269</v>
      </c>
      <c r="D127" s="12" t="s">
        <v>65</v>
      </c>
      <c r="E127">
        <v>2</v>
      </c>
      <c r="F127">
        <v>3</v>
      </c>
      <c r="G127" s="12" t="s">
        <v>243</v>
      </c>
      <c r="H127" s="12" t="s">
        <v>244</v>
      </c>
      <c r="I127" s="12" t="s">
        <v>82</v>
      </c>
      <c r="J127">
        <v>9.2200000000000006</v>
      </c>
      <c r="K127" s="13">
        <v>45036</v>
      </c>
      <c r="L127" s="13">
        <v>45772</v>
      </c>
      <c r="M127">
        <v>2.0150000000000001</v>
      </c>
      <c r="N127">
        <v>13</v>
      </c>
      <c r="O127">
        <v>872</v>
      </c>
      <c r="P127">
        <v>314095.84999999998</v>
      </c>
      <c r="Q127">
        <v>211</v>
      </c>
      <c r="R127">
        <v>73631.09</v>
      </c>
      <c r="S127">
        <v>374.99740000000003</v>
      </c>
      <c r="T127">
        <v>348.96249999999998</v>
      </c>
      <c r="U127">
        <v>327.5018</v>
      </c>
      <c r="V127">
        <v>6.5</v>
      </c>
      <c r="W127">
        <v>2</v>
      </c>
      <c r="X127">
        <v>3.508</v>
      </c>
      <c r="Y127">
        <v>53.97</v>
      </c>
      <c r="Z127">
        <v>21.460699999999999</v>
      </c>
      <c r="AA127">
        <v>4528.21</v>
      </c>
    </row>
    <row r="128" spans="1:27" x14ac:dyDescent="0.35">
      <c r="A128" s="12" t="s">
        <v>957</v>
      </c>
      <c r="B128" s="12" t="s">
        <v>958</v>
      </c>
      <c r="C128" s="12" t="s">
        <v>103</v>
      </c>
      <c r="D128" s="12" t="s">
        <v>142</v>
      </c>
      <c r="E128">
        <v>1</v>
      </c>
      <c r="F128">
        <v>7</v>
      </c>
      <c r="G128" s="12" t="s">
        <v>183</v>
      </c>
      <c r="H128" s="12" t="s">
        <v>184</v>
      </c>
      <c r="I128" s="12" t="s">
        <v>82</v>
      </c>
      <c r="J128">
        <v>8.6199999999999992</v>
      </c>
      <c r="K128" s="13">
        <v>45051</v>
      </c>
      <c r="L128" s="13">
        <v>46008</v>
      </c>
      <c r="M128">
        <v>2.62</v>
      </c>
      <c r="N128">
        <v>39</v>
      </c>
      <c r="O128">
        <v>2804</v>
      </c>
      <c r="P128">
        <v>544254.17000000004</v>
      </c>
      <c r="Q128">
        <v>1341</v>
      </c>
      <c r="R128">
        <v>256192.96</v>
      </c>
      <c r="S128">
        <v>199.1737</v>
      </c>
      <c r="T128">
        <v>192.04259999999999</v>
      </c>
      <c r="U128">
        <v>188.90539999999999</v>
      </c>
      <c r="V128">
        <v>2</v>
      </c>
      <c r="W128">
        <v>1.5</v>
      </c>
      <c r="X128">
        <v>1.3819999999999999</v>
      </c>
      <c r="Y128">
        <v>69.099999999999994</v>
      </c>
      <c r="Z128">
        <v>3.1372</v>
      </c>
      <c r="AA128">
        <v>4207.03</v>
      </c>
    </row>
    <row r="129" spans="1:27" x14ac:dyDescent="0.35">
      <c r="A129" s="12" t="s">
        <v>149</v>
      </c>
      <c r="B129" s="12" t="s">
        <v>150</v>
      </c>
      <c r="C129" s="12" t="s">
        <v>78</v>
      </c>
      <c r="D129" s="12" t="s">
        <v>65</v>
      </c>
      <c r="E129">
        <v>2</v>
      </c>
      <c r="F129">
        <v>2</v>
      </c>
      <c r="G129" s="12" t="s">
        <v>169</v>
      </c>
      <c r="H129" s="12" t="s">
        <v>170</v>
      </c>
      <c r="I129" s="12" t="s">
        <v>134</v>
      </c>
      <c r="J129">
        <v>1.37</v>
      </c>
      <c r="K129" s="13">
        <v>44977</v>
      </c>
      <c r="L129" s="13">
        <v>45910</v>
      </c>
      <c r="M129">
        <v>2.5539999999999998</v>
      </c>
      <c r="N129">
        <v>10</v>
      </c>
      <c r="O129">
        <v>1813</v>
      </c>
      <c r="P129">
        <v>134874.32999999999</v>
      </c>
      <c r="Q129">
        <v>842</v>
      </c>
      <c r="R129">
        <v>61424.9</v>
      </c>
      <c r="S129">
        <v>76.092399999999998</v>
      </c>
      <c r="T129">
        <v>71.565399999999997</v>
      </c>
      <c r="U129">
        <v>66.749399999999994</v>
      </c>
      <c r="V129">
        <v>5</v>
      </c>
      <c r="W129">
        <v>2</v>
      </c>
      <c r="X129">
        <v>2.3730000000000002</v>
      </c>
      <c r="Y129">
        <v>47.46</v>
      </c>
      <c r="Z129">
        <v>4.8159999999999998</v>
      </c>
      <c r="AA129">
        <v>4055.07</v>
      </c>
    </row>
    <row r="130" spans="1:27" x14ac:dyDescent="0.35">
      <c r="A130" s="12" t="s">
        <v>433</v>
      </c>
      <c r="B130" s="12" t="s">
        <v>434</v>
      </c>
      <c r="C130" s="12" t="s">
        <v>78</v>
      </c>
      <c r="D130" s="12" t="s">
        <v>65</v>
      </c>
      <c r="E130">
        <v>2</v>
      </c>
      <c r="F130">
        <v>4</v>
      </c>
      <c r="G130" s="12" t="s">
        <v>105</v>
      </c>
      <c r="H130" s="12" t="s">
        <v>106</v>
      </c>
      <c r="I130" s="12" t="s">
        <v>96</v>
      </c>
      <c r="J130">
        <v>5.01</v>
      </c>
      <c r="K130" s="13">
        <v>44995</v>
      </c>
      <c r="L130" s="13">
        <v>46020</v>
      </c>
      <c r="M130">
        <v>2.806</v>
      </c>
      <c r="N130">
        <v>38</v>
      </c>
      <c r="O130">
        <v>6132</v>
      </c>
      <c r="P130">
        <v>441784.73</v>
      </c>
      <c r="Q130">
        <v>2261</v>
      </c>
      <c r="R130">
        <v>155225.25</v>
      </c>
      <c r="S130">
        <v>76.331100000000006</v>
      </c>
      <c r="T130">
        <v>67.722499999999997</v>
      </c>
      <c r="U130">
        <v>66.0989</v>
      </c>
      <c r="V130">
        <v>5</v>
      </c>
      <c r="W130">
        <v>2</v>
      </c>
      <c r="X130">
        <v>4.1749999999999998</v>
      </c>
      <c r="Y130">
        <v>83.5</v>
      </c>
      <c r="Z130">
        <v>1.6235999999999999</v>
      </c>
      <c r="AA130">
        <v>3670.87</v>
      </c>
    </row>
    <row r="131" spans="1:27" x14ac:dyDescent="0.35">
      <c r="A131" s="12" t="s">
        <v>167</v>
      </c>
      <c r="B131" s="12" t="s">
        <v>168</v>
      </c>
      <c r="C131" s="12" t="s">
        <v>64</v>
      </c>
      <c r="D131" s="12" t="s">
        <v>104</v>
      </c>
      <c r="E131">
        <v>3</v>
      </c>
      <c r="F131">
        <v>1</v>
      </c>
      <c r="G131" s="12" t="s">
        <v>243</v>
      </c>
      <c r="H131" s="12" t="s">
        <v>244</v>
      </c>
      <c r="I131" s="12" t="s">
        <v>82</v>
      </c>
      <c r="J131">
        <v>9.2200000000000006</v>
      </c>
      <c r="K131" s="13">
        <v>45006</v>
      </c>
      <c r="L131" s="13">
        <v>45902</v>
      </c>
      <c r="M131">
        <v>2.4529999999999998</v>
      </c>
      <c r="N131">
        <v>11</v>
      </c>
      <c r="O131">
        <v>6941</v>
      </c>
      <c r="P131">
        <v>196535.06</v>
      </c>
      <c r="Q131">
        <v>883</v>
      </c>
      <c r="R131">
        <v>24148.48</v>
      </c>
      <c r="S131">
        <v>28.7181</v>
      </c>
      <c r="T131">
        <v>28.0687</v>
      </c>
      <c r="U131">
        <v>24.035</v>
      </c>
      <c r="V131">
        <v>7</v>
      </c>
      <c r="W131">
        <v>2</v>
      </c>
      <c r="X131">
        <v>0.92800000000000005</v>
      </c>
      <c r="Y131">
        <v>13.26</v>
      </c>
      <c r="Z131">
        <v>4.0336999999999996</v>
      </c>
      <c r="AA131">
        <v>3561.76</v>
      </c>
    </row>
    <row r="132" spans="1:27" x14ac:dyDescent="0.35">
      <c r="A132" s="12" t="s">
        <v>848</v>
      </c>
      <c r="B132" s="12" t="s">
        <v>849</v>
      </c>
      <c r="C132" s="12" t="s">
        <v>103</v>
      </c>
      <c r="D132" s="12" t="s">
        <v>65</v>
      </c>
      <c r="E132">
        <v>2</v>
      </c>
      <c r="F132">
        <v>4</v>
      </c>
      <c r="G132" s="12" t="s">
        <v>87</v>
      </c>
      <c r="H132" s="12" t="s">
        <v>88</v>
      </c>
      <c r="I132" s="12" t="s">
        <v>69</v>
      </c>
      <c r="J132">
        <v>14.93</v>
      </c>
      <c r="K132" s="13">
        <v>45042</v>
      </c>
      <c r="L132" s="13">
        <v>45994</v>
      </c>
      <c r="M132">
        <v>2.6059999999999999</v>
      </c>
      <c r="N132">
        <v>29</v>
      </c>
      <c r="O132">
        <v>2539</v>
      </c>
      <c r="P132">
        <v>305945.69</v>
      </c>
      <c r="Q132">
        <v>671</v>
      </c>
      <c r="R132">
        <v>79860.52</v>
      </c>
      <c r="S132">
        <v>119.7901</v>
      </c>
      <c r="T132">
        <v>118.5639</v>
      </c>
      <c r="U132">
        <v>113.6465</v>
      </c>
      <c r="V132">
        <v>2</v>
      </c>
      <c r="W132">
        <v>1.5</v>
      </c>
      <c r="X132">
        <v>0.39400000000000002</v>
      </c>
      <c r="Y132">
        <v>19.7</v>
      </c>
      <c r="Z132">
        <v>4.9173999999999998</v>
      </c>
      <c r="AA132">
        <v>3299.58</v>
      </c>
    </row>
    <row r="133" spans="1:27" x14ac:dyDescent="0.35">
      <c r="A133" s="12" t="s">
        <v>255</v>
      </c>
      <c r="B133" s="12" t="s">
        <v>256</v>
      </c>
      <c r="C133" s="12" t="s">
        <v>103</v>
      </c>
      <c r="D133" s="12" t="s">
        <v>65</v>
      </c>
      <c r="E133">
        <v>2</v>
      </c>
      <c r="F133">
        <v>4</v>
      </c>
      <c r="G133" s="12" t="s">
        <v>143</v>
      </c>
      <c r="H133" s="12" t="s">
        <v>144</v>
      </c>
      <c r="I133" s="12" t="s">
        <v>96</v>
      </c>
      <c r="J133">
        <v>5.43</v>
      </c>
      <c r="K133" s="13">
        <v>44981</v>
      </c>
      <c r="L133" s="13">
        <v>46017</v>
      </c>
      <c r="M133">
        <v>2.8359999999999999</v>
      </c>
      <c r="N133">
        <v>43</v>
      </c>
      <c r="O133">
        <v>3328</v>
      </c>
      <c r="P133">
        <v>317183.21000000002</v>
      </c>
      <c r="Q133">
        <v>1175</v>
      </c>
      <c r="R133">
        <v>111076.02</v>
      </c>
      <c r="S133">
        <v>96.960700000000003</v>
      </c>
      <c r="T133">
        <v>94.292199999999994</v>
      </c>
      <c r="U133">
        <v>91.561499999999995</v>
      </c>
      <c r="V133">
        <v>2</v>
      </c>
      <c r="W133">
        <v>1.5</v>
      </c>
      <c r="X133">
        <v>0.97899999999999998</v>
      </c>
      <c r="Y133">
        <v>48.95</v>
      </c>
      <c r="Z133">
        <v>2.7307000000000001</v>
      </c>
      <c r="AA133">
        <v>3208.53</v>
      </c>
    </row>
    <row r="134" spans="1:27" x14ac:dyDescent="0.35">
      <c r="A134" s="12" t="s">
        <v>458</v>
      </c>
      <c r="B134" s="12" t="s">
        <v>459</v>
      </c>
      <c r="C134" s="12" t="s">
        <v>64</v>
      </c>
      <c r="D134" s="12" t="s">
        <v>104</v>
      </c>
      <c r="E134">
        <v>2</v>
      </c>
      <c r="F134">
        <v>0</v>
      </c>
      <c r="G134" s="12" t="s">
        <v>199</v>
      </c>
      <c r="H134" s="12" t="s">
        <v>200</v>
      </c>
      <c r="I134" s="12" t="s">
        <v>96</v>
      </c>
      <c r="J134">
        <v>9.4700000000000006</v>
      </c>
      <c r="K134" s="13">
        <v>44995</v>
      </c>
      <c r="L134" s="13">
        <v>46014</v>
      </c>
      <c r="M134">
        <v>2.79</v>
      </c>
      <c r="N134">
        <v>30</v>
      </c>
      <c r="O134">
        <v>17775</v>
      </c>
      <c r="P134">
        <v>411088.14</v>
      </c>
      <c r="Q134">
        <v>6387</v>
      </c>
      <c r="R134">
        <v>137637.38</v>
      </c>
      <c r="S134">
        <v>24.464700000000001</v>
      </c>
      <c r="T134">
        <v>20.480899999999998</v>
      </c>
      <c r="U134">
        <v>19.980499999999999</v>
      </c>
      <c r="V134">
        <v>7</v>
      </c>
      <c r="W134">
        <v>2</v>
      </c>
      <c r="X134">
        <v>6.1719999999999997</v>
      </c>
      <c r="Y134">
        <v>88.17</v>
      </c>
      <c r="Z134">
        <v>0.50039999999999996</v>
      </c>
      <c r="AA134">
        <v>3195.9</v>
      </c>
    </row>
    <row r="135" spans="1:27" x14ac:dyDescent="0.35">
      <c r="A135" s="12" t="s">
        <v>428</v>
      </c>
      <c r="B135" s="12" t="s">
        <v>429</v>
      </c>
      <c r="C135" s="12" t="s">
        <v>64</v>
      </c>
      <c r="D135" s="12" t="s">
        <v>65</v>
      </c>
      <c r="E135">
        <v>3</v>
      </c>
      <c r="F135">
        <v>4</v>
      </c>
      <c r="G135" s="12" t="s">
        <v>380</v>
      </c>
      <c r="H135" s="12" t="s">
        <v>381</v>
      </c>
      <c r="I135" s="12" t="s">
        <v>96</v>
      </c>
      <c r="J135">
        <v>10.210000000000001</v>
      </c>
      <c r="K135" s="13">
        <v>44993</v>
      </c>
      <c r="L135" s="13">
        <v>45964</v>
      </c>
      <c r="M135">
        <v>2.6579999999999999</v>
      </c>
      <c r="N135">
        <v>21</v>
      </c>
      <c r="O135">
        <v>12729</v>
      </c>
      <c r="P135">
        <v>178685.16</v>
      </c>
      <c r="Q135">
        <v>4344</v>
      </c>
      <c r="R135">
        <v>56583</v>
      </c>
      <c r="S135">
        <v>15.0402</v>
      </c>
      <c r="T135">
        <v>13.129200000000001</v>
      </c>
      <c r="U135">
        <v>12.4017</v>
      </c>
      <c r="V135">
        <v>7</v>
      </c>
      <c r="W135">
        <v>2</v>
      </c>
      <c r="X135">
        <v>4.9829999999999997</v>
      </c>
      <c r="Y135">
        <v>71.19</v>
      </c>
      <c r="Z135">
        <v>0.72750000000000004</v>
      </c>
      <c r="AA135">
        <v>3160.14</v>
      </c>
    </row>
    <row r="136" spans="1:27" x14ac:dyDescent="0.35">
      <c r="A136" s="12" t="s">
        <v>267</v>
      </c>
      <c r="B136" s="12" t="s">
        <v>268</v>
      </c>
      <c r="C136" s="12" t="s">
        <v>269</v>
      </c>
      <c r="D136" s="12" t="s">
        <v>142</v>
      </c>
      <c r="E136">
        <v>1</v>
      </c>
      <c r="F136">
        <v>8</v>
      </c>
      <c r="G136" s="12" t="s">
        <v>94</v>
      </c>
      <c r="H136" s="12" t="s">
        <v>95</v>
      </c>
      <c r="I136" s="12" t="s">
        <v>96</v>
      </c>
      <c r="J136">
        <v>4.8099999999999996</v>
      </c>
      <c r="K136" s="13">
        <v>44967</v>
      </c>
      <c r="L136" s="13">
        <v>46020</v>
      </c>
      <c r="M136">
        <v>2.883</v>
      </c>
      <c r="N136">
        <v>41</v>
      </c>
      <c r="O136">
        <v>3047</v>
      </c>
      <c r="P136">
        <v>708070.03</v>
      </c>
      <c r="Q136">
        <v>984</v>
      </c>
      <c r="R136">
        <v>215560.72</v>
      </c>
      <c r="S136">
        <v>247.31829999999999</v>
      </c>
      <c r="T136">
        <v>206.69030000000001</v>
      </c>
      <c r="U136">
        <v>203.75399999999999</v>
      </c>
      <c r="V136">
        <v>6.5</v>
      </c>
      <c r="W136">
        <v>2</v>
      </c>
      <c r="X136">
        <v>6.0350000000000001</v>
      </c>
      <c r="Y136">
        <v>92.85</v>
      </c>
      <c r="Z136">
        <v>2.9363000000000001</v>
      </c>
      <c r="AA136">
        <v>2889.36</v>
      </c>
    </row>
    <row r="137" spans="1:27" x14ac:dyDescent="0.35">
      <c r="A137" s="12" t="s">
        <v>378</v>
      </c>
      <c r="B137" s="12" t="s">
        <v>379</v>
      </c>
      <c r="C137" s="12" t="s">
        <v>64</v>
      </c>
      <c r="D137" s="12" t="s">
        <v>104</v>
      </c>
      <c r="E137">
        <v>3</v>
      </c>
      <c r="F137">
        <v>1</v>
      </c>
      <c r="G137" s="12" t="s">
        <v>176</v>
      </c>
      <c r="H137" s="12" t="s">
        <v>177</v>
      </c>
      <c r="I137" s="12" t="s">
        <v>134</v>
      </c>
      <c r="J137">
        <v>1.75</v>
      </c>
      <c r="K137" s="13">
        <v>45139</v>
      </c>
      <c r="L137" s="13">
        <v>45971</v>
      </c>
      <c r="M137">
        <v>2.278</v>
      </c>
      <c r="N137">
        <v>11</v>
      </c>
      <c r="O137">
        <v>5312</v>
      </c>
      <c r="P137">
        <v>84529.9</v>
      </c>
      <c r="Q137">
        <v>1727</v>
      </c>
      <c r="R137">
        <v>25960.35</v>
      </c>
      <c r="S137">
        <v>16.367000000000001</v>
      </c>
      <c r="T137">
        <v>15.2897</v>
      </c>
      <c r="U137">
        <v>13.873100000000001</v>
      </c>
      <c r="V137">
        <v>7</v>
      </c>
      <c r="W137">
        <v>2</v>
      </c>
      <c r="X137">
        <v>2.9449999999999998</v>
      </c>
      <c r="Y137">
        <v>42.07</v>
      </c>
      <c r="Z137">
        <v>1.4166000000000001</v>
      </c>
      <c r="AA137">
        <v>2446.42</v>
      </c>
    </row>
    <row r="138" spans="1:27" x14ac:dyDescent="0.35">
      <c r="A138" s="12" t="s">
        <v>238</v>
      </c>
      <c r="B138" s="12" t="s">
        <v>239</v>
      </c>
      <c r="C138" s="12" t="s">
        <v>122</v>
      </c>
      <c r="D138" s="12" t="s">
        <v>65</v>
      </c>
      <c r="E138">
        <v>3</v>
      </c>
      <c r="F138">
        <v>4</v>
      </c>
      <c r="G138" s="12" t="s">
        <v>79</v>
      </c>
      <c r="H138" s="12" t="s">
        <v>80</v>
      </c>
      <c r="I138" s="12" t="s">
        <v>82</v>
      </c>
      <c r="J138">
        <v>12.07</v>
      </c>
      <c r="K138" s="13">
        <v>44972</v>
      </c>
      <c r="L138" s="13">
        <v>46001</v>
      </c>
      <c r="M138">
        <v>2.8170000000000002</v>
      </c>
      <c r="N138">
        <v>45</v>
      </c>
      <c r="O138">
        <v>51389</v>
      </c>
      <c r="P138">
        <v>1833123.34</v>
      </c>
      <c r="Q138">
        <v>17019</v>
      </c>
      <c r="R138">
        <v>578524.14</v>
      </c>
      <c r="S138">
        <v>37.616399999999999</v>
      </c>
      <c r="T138">
        <v>33.671799999999998</v>
      </c>
      <c r="U138">
        <v>33.530099999999997</v>
      </c>
      <c r="V138">
        <v>4</v>
      </c>
      <c r="W138">
        <v>1.5</v>
      </c>
      <c r="X138">
        <v>3.8559999999999999</v>
      </c>
      <c r="Y138">
        <v>96.4</v>
      </c>
      <c r="Z138">
        <v>0.14169999999999999</v>
      </c>
      <c r="AA138">
        <v>2410.89</v>
      </c>
    </row>
    <row r="139" spans="1:27" x14ac:dyDescent="0.35">
      <c r="A139" s="12" t="s">
        <v>215</v>
      </c>
      <c r="B139" s="12" t="s">
        <v>216</v>
      </c>
      <c r="C139" s="12" t="s">
        <v>122</v>
      </c>
      <c r="D139" s="12" t="s">
        <v>142</v>
      </c>
      <c r="E139">
        <v>3</v>
      </c>
      <c r="F139">
        <v>11</v>
      </c>
      <c r="G139" s="12" t="s">
        <v>217</v>
      </c>
      <c r="H139" s="12" t="s">
        <v>218</v>
      </c>
      <c r="I139" s="12" t="s">
        <v>82</v>
      </c>
      <c r="J139">
        <v>14.24</v>
      </c>
      <c r="K139" s="13">
        <v>44959</v>
      </c>
      <c r="L139" s="13">
        <v>45947</v>
      </c>
      <c r="M139">
        <v>2.7050000000000001</v>
      </c>
      <c r="N139">
        <v>30</v>
      </c>
      <c r="O139">
        <v>30505</v>
      </c>
      <c r="P139">
        <v>453299.55</v>
      </c>
      <c r="Q139">
        <v>5569</v>
      </c>
      <c r="R139">
        <v>78235.03</v>
      </c>
      <c r="S139">
        <v>15.3515</v>
      </c>
      <c r="T139">
        <v>14.1587</v>
      </c>
      <c r="U139">
        <v>13.746600000000001</v>
      </c>
      <c r="V139">
        <v>4</v>
      </c>
      <c r="W139">
        <v>1.5</v>
      </c>
      <c r="X139">
        <v>2.9460000000000002</v>
      </c>
      <c r="Y139">
        <v>73.650000000000006</v>
      </c>
      <c r="Z139">
        <v>0.41210000000000002</v>
      </c>
      <c r="AA139">
        <v>2294.98</v>
      </c>
    </row>
    <row r="140" spans="1:27" x14ac:dyDescent="0.35">
      <c r="A140" s="12" t="s">
        <v>736</v>
      </c>
      <c r="B140" s="12" t="s">
        <v>737</v>
      </c>
      <c r="C140" s="12" t="s">
        <v>64</v>
      </c>
      <c r="D140" s="12" t="s">
        <v>104</v>
      </c>
      <c r="E140">
        <v>3</v>
      </c>
      <c r="F140">
        <v>1</v>
      </c>
      <c r="G140" s="12" t="s">
        <v>94</v>
      </c>
      <c r="H140" s="12" t="s">
        <v>95</v>
      </c>
      <c r="I140" s="12" t="s">
        <v>96</v>
      </c>
      <c r="J140">
        <v>4.8099999999999996</v>
      </c>
      <c r="K140" s="13">
        <v>45030</v>
      </c>
      <c r="L140" s="13">
        <v>46007</v>
      </c>
      <c r="M140">
        <v>2.6749999999999998</v>
      </c>
      <c r="N140">
        <v>26</v>
      </c>
      <c r="O140">
        <v>12007</v>
      </c>
      <c r="P140">
        <v>274573.63</v>
      </c>
      <c r="Q140">
        <v>2339</v>
      </c>
      <c r="R140">
        <v>49654.16</v>
      </c>
      <c r="S140">
        <v>24.696300000000001</v>
      </c>
      <c r="T140">
        <v>21.2288</v>
      </c>
      <c r="U140">
        <v>20.338699999999999</v>
      </c>
      <c r="V140">
        <v>7</v>
      </c>
      <c r="W140">
        <v>2</v>
      </c>
      <c r="X140">
        <v>5.4989999999999997</v>
      </c>
      <c r="Y140">
        <v>78.56</v>
      </c>
      <c r="Z140">
        <v>0.8901</v>
      </c>
      <c r="AA140">
        <v>2081.94</v>
      </c>
    </row>
    <row r="141" spans="1:27" x14ac:dyDescent="0.35">
      <c r="A141" s="12" t="s">
        <v>747</v>
      </c>
      <c r="B141" s="12" t="s">
        <v>748</v>
      </c>
      <c r="C141" s="12" t="s">
        <v>114</v>
      </c>
      <c r="D141" s="12" t="s">
        <v>104</v>
      </c>
      <c r="E141">
        <v>2</v>
      </c>
      <c r="F141">
        <v>0</v>
      </c>
      <c r="G141" s="12" t="s">
        <v>251</v>
      </c>
      <c r="H141" s="12" t="s">
        <v>252</v>
      </c>
      <c r="I141" s="12" t="s">
        <v>69</v>
      </c>
      <c r="J141">
        <v>34.49</v>
      </c>
      <c r="K141" s="13">
        <v>45033</v>
      </c>
      <c r="L141" s="13">
        <v>45856</v>
      </c>
      <c r="M141">
        <v>2.2530000000000001</v>
      </c>
      <c r="N141">
        <v>10</v>
      </c>
      <c r="O141">
        <v>866</v>
      </c>
      <c r="P141">
        <v>210618.59</v>
      </c>
      <c r="Q141">
        <v>211</v>
      </c>
      <c r="R141">
        <v>50810.48</v>
      </c>
      <c r="S141">
        <v>245.56890000000001</v>
      </c>
      <c r="T141">
        <v>238.95949999999999</v>
      </c>
      <c r="U141">
        <v>229.28210000000001</v>
      </c>
      <c r="V141">
        <v>3</v>
      </c>
      <c r="W141">
        <v>1.5</v>
      </c>
      <c r="X141">
        <v>1.204</v>
      </c>
      <c r="Y141">
        <v>40.130000000000003</v>
      </c>
      <c r="Z141">
        <v>9.6774000000000004</v>
      </c>
      <c r="AA141">
        <v>2041.93</v>
      </c>
    </row>
    <row r="142" spans="1:27" x14ac:dyDescent="0.35">
      <c r="A142" s="12" t="s">
        <v>1034</v>
      </c>
      <c r="B142" s="12" t="s">
        <v>1035</v>
      </c>
      <c r="C142" s="12" t="s">
        <v>64</v>
      </c>
      <c r="D142" s="12" t="s">
        <v>104</v>
      </c>
      <c r="E142">
        <v>2</v>
      </c>
      <c r="F142">
        <v>0</v>
      </c>
      <c r="G142" s="12" t="s">
        <v>157</v>
      </c>
      <c r="H142" s="12" t="s">
        <v>158</v>
      </c>
      <c r="I142" s="12" t="s">
        <v>96</v>
      </c>
      <c r="J142">
        <v>4.72</v>
      </c>
      <c r="K142" s="13">
        <v>45064</v>
      </c>
      <c r="L142" s="13">
        <v>45999</v>
      </c>
      <c r="M142">
        <v>2.56</v>
      </c>
      <c r="N142">
        <v>41</v>
      </c>
      <c r="O142">
        <v>22921</v>
      </c>
      <c r="P142">
        <v>217409.18</v>
      </c>
      <c r="Q142">
        <v>6822</v>
      </c>
      <c r="R142">
        <v>59773.36</v>
      </c>
      <c r="S142">
        <v>9.9979999999999993</v>
      </c>
      <c r="T142">
        <v>8.5963999999999992</v>
      </c>
      <c r="U142">
        <v>8.3028999999999993</v>
      </c>
      <c r="V142">
        <v>7</v>
      </c>
      <c r="W142">
        <v>2</v>
      </c>
      <c r="X142">
        <v>5.73</v>
      </c>
      <c r="Y142">
        <v>81.86</v>
      </c>
      <c r="Z142">
        <v>0.29349999999999998</v>
      </c>
      <c r="AA142">
        <v>2002.26</v>
      </c>
    </row>
    <row r="143" spans="1:27" x14ac:dyDescent="0.35">
      <c r="A143" s="12" t="s">
        <v>532</v>
      </c>
      <c r="B143" s="12" t="s">
        <v>533</v>
      </c>
      <c r="C143" s="12" t="s">
        <v>114</v>
      </c>
      <c r="D143" s="12" t="s">
        <v>65</v>
      </c>
      <c r="E143">
        <v>2</v>
      </c>
      <c r="F143">
        <v>3</v>
      </c>
      <c r="G143" s="12" t="s">
        <v>115</v>
      </c>
      <c r="H143" s="12" t="s">
        <v>116</v>
      </c>
      <c r="I143" s="12" t="s">
        <v>82</v>
      </c>
      <c r="J143">
        <v>17.170000000000002</v>
      </c>
      <c r="K143" s="13">
        <v>45042</v>
      </c>
      <c r="L143" s="13">
        <v>46013</v>
      </c>
      <c r="M143">
        <v>2.6579999999999999</v>
      </c>
      <c r="N143">
        <v>11</v>
      </c>
      <c r="O143">
        <v>874</v>
      </c>
      <c r="P143">
        <v>210676.29</v>
      </c>
      <c r="Q143">
        <v>486</v>
      </c>
      <c r="R143">
        <v>114631.59</v>
      </c>
      <c r="S143">
        <v>250.00970000000001</v>
      </c>
      <c r="T143">
        <v>234.55500000000001</v>
      </c>
      <c r="U143">
        <v>230.56649999999999</v>
      </c>
      <c r="V143">
        <v>3</v>
      </c>
      <c r="W143">
        <v>1.5</v>
      </c>
      <c r="X143">
        <v>2.3719999999999999</v>
      </c>
      <c r="Y143">
        <v>79.069999999999993</v>
      </c>
      <c r="Z143">
        <v>3.9885000000000002</v>
      </c>
      <c r="AA143">
        <v>1938.41</v>
      </c>
    </row>
    <row r="144" spans="1:27" x14ac:dyDescent="0.35">
      <c r="A144" s="12" t="s">
        <v>802</v>
      </c>
      <c r="B144" s="12" t="s">
        <v>803</v>
      </c>
      <c r="C144" s="12" t="s">
        <v>114</v>
      </c>
      <c r="D144" s="12" t="s">
        <v>65</v>
      </c>
      <c r="E144">
        <v>3</v>
      </c>
      <c r="F144">
        <v>5</v>
      </c>
      <c r="G144" s="12" t="s">
        <v>87</v>
      </c>
      <c r="H144" s="12" t="s">
        <v>88</v>
      </c>
      <c r="I144" s="12" t="s">
        <v>69</v>
      </c>
      <c r="J144">
        <v>14.93</v>
      </c>
      <c r="K144" s="13">
        <v>45069</v>
      </c>
      <c r="L144" s="13">
        <v>45986</v>
      </c>
      <c r="M144">
        <v>2.5110000000000001</v>
      </c>
      <c r="N144">
        <v>10</v>
      </c>
      <c r="O144">
        <v>910</v>
      </c>
      <c r="P144">
        <v>311357.25</v>
      </c>
      <c r="Q144">
        <v>390</v>
      </c>
      <c r="R144">
        <v>129497.3</v>
      </c>
      <c r="S144">
        <v>350.71699999999998</v>
      </c>
      <c r="T144">
        <v>329.8329</v>
      </c>
      <c r="U144">
        <v>324.89319999999998</v>
      </c>
      <c r="V144">
        <v>3</v>
      </c>
      <c r="W144">
        <v>1.5</v>
      </c>
      <c r="X144">
        <v>2.4159999999999999</v>
      </c>
      <c r="Y144">
        <v>80.53</v>
      </c>
      <c r="Z144">
        <v>4.9397000000000002</v>
      </c>
      <c r="AA144">
        <v>1926.48</v>
      </c>
    </row>
    <row r="145" spans="1:27" x14ac:dyDescent="0.35">
      <c r="A145" s="12" t="s">
        <v>173</v>
      </c>
      <c r="B145" s="12" t="s">
        <v>174</v>
      </c>
      <c r="C145" s="12" t="s">
        <v>175</v>
      </c>
      <c r="D145" s="12" t="s">
        <v>104</v>
      </c>
      <c r="E145">
        <v>3</v>
      </c>
      <c r="F145">
        <v>1</v>
      </c>
      <c r="G145" s="12" t="s">
        <v>227</v>
      </c>
      <c r="H145" s="12" t="s">
        <v>228</v>
      </c>
      <c r="I145" s="12" t="s">
        <v>96</v>
      </c>
      <c r="J145">
        <v>9.15</v>
      </c>
      <c r="K145" s="13">
        <v>44960</v>
      </c>
      <c r="L145" s="13">
        <v>45700</v>
      </c>
      <c r="M145">
        <v>2.0259999999999998</v>
      </c>
      <c r="N145">
        <v>11</v>
      </c>
      <c r="O145">
        <v>881</v>
      </c>
      <c r="P145">
        <v>70434.27</v>
      </c>
      <c r="Q145">
        <v>221</v>
      </c>
      <c r="R145">
        <v>17666.3</v>
      </c>
      <c r="S145">
        <v>79.9559</v>
      </c>
      <c r="T145">
        <v>79.938000000000002</v>
      </c>
      <c r="U145">
        <v>71.297700000000006</v>
      </c>
      <c r="V145">
        <v>5.5</v>
      </c>
      <c r="W145">
        <v>2</v>
      </c>
      <c r="X145">
        <v>1.0999999999999999E-2</v>
      </c>
      <c r="Y145">
        <v>0.2</v>
      </c>
      <c r="Z145">
        <v>8.6402999999999999</v>
      </c>
      <c r="AA145">
        <v>1909.51</v>
      </c>
    </row>
    <row r="146" spans="1:27" x14ac:dyDescent="0.35">
      <c r="A146" s="12" t="s">
        <v>482</v>
      </c>
      <c r="B146" s="12" t="s">
        <v>483</v>
      </c>
      <c r="C146" s="12" t="s">
        <v>78</v>
      </c>
      <c r="D146" s="12" t="s">
        <v>142</v>
      </c>
      <c r="E146">
        <v>2</v>
      </c>
      <c r="F146">
        <v>9</v>
      </c>
      <c r="G146" s="12" t="s">
        <v>87</v>
      </c>
      <c r="H146" s="12" t="s">
        <v>88</v>
      </c>
      <c r="I146" s="12" t="s">
        <v>69</v>
      </c>
      <c r="J146">
        <v>14.93</v>
      </c>
      <c r="K146" s="13">
        <v>44999</v>
      </c>
      <c r="L146" s="13">
        <v>45996</v>
      </c>
      <c r="M146">
        <v>2.73</v>
      </c>
      <c r="N146">
        <v>36</v>
      </c>
      <c r="O146">
        <v>5985</v>
      </c>
      <c r="P146">
        <v>284783.89</v>
      </c>
      <c r="Q146">
        <v>1566</v>
      </c>
      <c r="R146">
        <v>70028.679999999993</v>
      </c>
      <c r="S146">
        <v>49.985599999999998</v>
      </c>
      <c r="T146">
        <v>44.658099999999997</v>
      </c>
      <c r="U146">
        <v>43.454099999999997</v>
      </c>
      <c r="V146">
        <v>5</v>
      </c>
      <c r="W146">
        <v>2</v>
      </c>
      <c r="X146">
        <v>4.0449999999999999</v>
      </c>
      <c r="Y146">
        <v>80.900000000000006</v>
      </c>
      <c r="Z146">
        <v>1.204</v>
      </c>
      <c r="AA146">
        <v>1885.46</v>
      </c>
    </row>
    <row r="147" spans="1:27" x14ac:dyDescent="0.35">
      <c r="A147" s="12" t="s">
        <v>766</v>
      </c>
      <c r="B147" s="12" t="s">
        <v>767</v>
      </c>
      <c r="C147" s="12" t="s">
        <v>175</v>
      </c>
      <c r="D147" s="12" t="s">
        <v>65</v>
      </c>
      <c r="E147">
        <v>3</v>
      </c>
      <c r="F147">
        <v>5</v>
      </c>
      <c r="G147" s="12" t="s">
        <v>87</v>
      </c>
      <c r="H147" s="12" t="s">
        <v>88</v>
      </c>
      <c r="I147" s="12" t="s">
        <v>69</v>
      </c>
      <c r="J147">
        <v>14.93</v>
      </c>
      <c r="K147" s="13">
        <v>45035</v>
      </c>
      <c r="L147" s="13">
        <v>46016</v>
      </c>
      <c r="M147">
        <v>2.6859999999999999</v>
      </c>
      <c r="N147">
        <v>36</v>
      </c>
      <c r="O147">
        <v>3096</v>
      </c>
      <c r="P147">
        <v>256520.55</v>
      </c>
      <c r="Q147">
        <v>744</v>
      </c>
      <c r="R147">
        <v>58668.9</v>
      </c>
      <c r="S147">
        <v>86.977900000000005</v>
      </c>
      <c r="T147">
        <v>76.991200000000006</v>
      </c>
      <c r="U147">
        <v>74.716899999999995</v>
      </c>
      <c r="V147">
        <v>5.5</v>
      </c>
      <c r="W147">
        <v>2</v>
      </c>
      <c r="X147">
        <v>4.4390000000000001</v>
      </c>
      <c r="Y147">
        <v>80.709999999999994</v>
      </c>
      <c r="Z147">
        <v>2.2743000000000002</v>
      </c>
      <c r="AA147">
        <v>1692.08</v>
      </c>
    </row>
    <row r="148" spans="1:27" x14ac:dyDescent="0.35">
      <c r="A148" s="12" t="s">
        <v>1034</v>
      </c>
      <c r="B148" s="12" t="s">
        <v>1035</v>
      </c>
      <c r="C148" s="12" t="s">
        <v>64</v>
      </c>
      <c r="D148" s="12" t="s">
        <v>104</v>
      </c>
      <c r="E148">
        <v>2</v>
      </c>
      <c r="F148">
        <v>0</v>
      </c>
      <c r="G148" s="12" t="s">
        <v>676</v>
      </c>
      <c r="H148" s="12" t="s">
        <v>677</v>
      </c>
      <c r="I148" s="12" t="s">
        <v>96</v>
      </c>
      <c r="J148">
        <v>3.57</v>
      </c>
      <c r="K148" s="13">
        <v>45153</v>
      </c>
      <c r="L148" s="13">
        <v>45964</v>
      </c>
      <c r="M148">
        <v>2.2200000000000002</v>
      </c>
      <c r="N148">
        <v>11</v>
      </c>
      <c r="O148">
        <v>5784</v>
      </c>
      <c r="P148">
        <v>58137.23</v>
      </c>
      <c r="Q148">
        <v>1352</v>
      </c>
      <c r="R148">
        <v>13447.26</v>
      </c>
      <c r="S148">
        <v>10.226599999999999</v>
      </c>
      <c r="T148">
        <v>9.9461999999999993</v>
      </c>
      <c r="U148">
        <v>8.7049000000000003</v>
      </c>
      <c r="V148">
        <v>7</v>
      </c>
      <c r="W148">
        <v>2</v>
      </c>
      <c r="X148">
        <v>1.244</v>
      </c>
      <c r="Y148">
        <v>17.77</v>
      </c>
      <c r="Z148">
        <v>1.2413000000000001</v>
      </c>
      <c r="AA148">
        <v>1678.24</v>
      </c>
    </row>
    <row r="149" spans="1:27" x14ac:dyDescent="0.35">
      <c r="A149" s="12" t="s">
        <v>173</v>
      </c>
      <c r="B149" s="12" t="s">
        <v>174</v>
      </c>
      <c r="C149" s="12" t="s">
        <v>175</v>
      </c>
      <c r="D149" s="12" t="s">
        <v>104</v>
      </c>
      <c r="E149">
        <v>3</v>
      </c>
      <c r="F149">
        <v>1</v>
      </c>
      <c r="G149" s="12" t="s">
        <v>176</v>
      </c>
      <c r="H149" s="12" t="s">
        <v>177</v>
      </c>
      <c r="I149" s="12" t="s">
        <v>134</v>
      </c>
      <c r="J149">
        <v>1.75</v>
      </c>
      <c r="K149" s="13">
        <v>44950</v>
      </c>
      <c r="L149" s="13">
        <v>46021</v>
      </c>
      <c r="M149">
        <v>2.9319999999999999</v>
      </c>
      <c r="N149">
        <v>27</v>
      </c>
      <c r="O149">
        <v>1963</v>
      </c>
      <c r="P149">
        <v>149481.98000000001</v>
      </c>
      <c r="Q149">
        <v>684</v>
      </c>
      <c r="R149">
        <v>48881.47</v>
      </c>
      <c r="S149">
        <v>79.994600000000005</v>
      </c>
      <c r="T149">
        <v>70.064999999999998</v>
      </c>
      <c r="U149">
        <v>67.768299999999996</v>
      </c>
      <c r="V149">
        <v>5.5</v>
      </c>
      <c r="W149">
        <v>2</v>
      </c>
      <c r="X149">
        <v>4.4189999999999996</v>
      </c>
      <c r="Y149">
        <v>80.349999999999994</v>
      </c>
      <c r="Z149">
        <v>2.2967</v>
      </c>
      <c r="AA149">
        <v>1570.92</v>
      </c>
    </row>
    <row r="150" spans="1:27" x14ac:dyDescent="0.35">
      <c r="A150" s="12" t="s">
        <v>792</v>
      </c>
      <c r="B150" s="12" t="s">
        <v>793</v>
      </c>
      <c r="C150" s="12" t="s">
        <v>103</v>
      </c>
      <c r="D150" s="12" t="s">
        <v>65</v>
      </c>
      <c r="E150">
        <v>2</v>
      </c>
      <c r="F150">
        <v>3</v>
      </c>
      <c r="G150" s="12" t="s">
        <v>115</v>
      </c>
      <c r="H150" s="12" t="s">
        <v>116</v>
      </c>
      <c r="I150" s="12" t="s">
        <v>82</v>
      </c>
      <c r="J150">
        <v>17.170000000000002</v>
      </c>
      <c r="K150" s="13">
        <v>45036</v>
      </c>
      <c r="L150" s="13">
        <v>45953</v>
      </c>
      <c r="M150">
        <v>2.5110000000000001</v>
      </c>
      <c r="N150">
        <v>29</v>
      </c>
      <c r="O150">
        <v>2191</v>
      </c>
      <c r="P150">
        <v>217665.18</v>
      </c>
      <c r="Q150">
        <v>458</v>
      </c>
      <c r="R150">
        <v>45100.800000000003</v>
      </c>
      <c r="S150">
        <v>99.173299999999998</v>
      </c>
      <c r="T150">
        <v>97.497299999999996</v>
      </c>
      <c r="U150">
        <v>94.267799999999994</v>
      </c>
      <c r="V150">
        <v>2</v>
      </c>
      <c r="W150">
        <v>1.5</v>
      </c>
      <c r="X150">
        <v>0.67700000000000005</v>
      </c>
      <c r="Y150">
        <v>33.85</v>
      </c>
      <c r="Z150">
        <v>3.2294999999999998</v>
      </c>
      <c r="AA150">
        <v>1479.11</v>
      </c>
    </row>
    <row r="151" spans="1:27" x14ac:dyDescent="0.35">
      <c r="A151" s="12" t="s">
        <v>193</v>
      </c>
      <c r="B151" s="12" t="s">
        <v>194</v>
      </c>
      <c r="C151" s="12" t="s">
        <v>114</v>
      </c>
      <c r="D151" s="12" t="s">
        <v>65</v>
      </c>
      <c r="E151">
        <v>3</v>
      </c>
      <c r="F151">
        <v>4</v>
      </c>
      <c r="G151" s="12" t="s">
        <v>143</v>
      </c>
      <c r="H151" s="12" t="s">
        <v>144</v>
      </c>
      <c r="I151" s="12" t="s">
        <v>96</v>
      </c>
      <c r="J151">
        <v>5.43</v>
      </c>
      <c r="K151" s="13">
        <v>44959</v>
      </c>
      <c r="L151" s="13">
        <v>45938</v>
      </c>
      <c r="M151">
        <v>2.68</v>
      </c>
      <c r="N151">
        <v>11</v>
      </c>
      <c r="O151">
        <v>652</v>
      </c>
      <c r="P151">
        <v>69062.559999999998</v>
      </c>
      <c r="Q151">
        <v>259</v>
      </c>
      <c r="R151">
        <v>27210.61</v>
      </c>
      <c r="S151">
        <v>107.28270000000001</v>
      </c>
      <c r="T151">
        <v>104.46510000000001</v>
      </c>
      <c r="U151">
        <v>98.873099999999994</v>
      </c>
      <c r="V151">
        <v>3</v>
      </c>
      <c r="W151">
        <v>1.5</v>
      </c>
      <c r="X151">
        <v>0.98799999999999999</v>
      </c>
      <c r="Y151">
        <v>32.93</v>
      </c>
      <c r="Z151">
        <v>5.5919999999999996</v>
      </c>
      <c r="AA151">
        <v>1448.33</v>
      </c>
    </row>
    <row r="152" spans="1:27" x14ac:dyDescent="0.35">
      <c r="A152" s="12" t="s">
        <v>482</v>
      </c>
      <c r="B152" s="12" t="s">
        <v>483</v>
      </c>
      <c r="C152" s="12" t="s">
        <v>78</v>
      </c>
      <c r="D152" s="12" t="s">
        <v>142</v>
      </c>
      <c r="E152">
        <v>2</v>
      </c>
      <c r="F152">
        <v>9</v>
      </c>
      <c r="G152" s="12" t="s">
        <v>183</v>
      </c>
      <c r="H152" s="12" t="s">
        <v>184</v>
      </c>
      <c r="I152" s="12" t="s">
        <v>82</v>
      </c>
      <c r="J152">
        <v>8.6199999999999992</v>
      </c>
      <c r="K152" s="13">
        <v>45069</v>
      </c>
      <c r="L152" s="13">
        <v>46021</v>
      </c>
      <c r="M152">
        <v>2.6059999999999999</v>
      </c>
      <c r="N152">
        <v>11</v>
      </c>
      <c r="O152">
        <v>1684</v>
      </c>
      <c r="P152">
        <v>81688.039999999994</v>
      </c>
      <c r="Q152">
        <v>503</v>
      </c>
      <c r="R152">
        <v>22905.09</v>
      </c>
      <c r="S152">
        <v>49.685899999999997</v>
      </c>
      <c r="T152">
        <v>46.313200000000002</v>
      </c>
      <c r="U152">
        <v>43.469099999999997</v>
      </c>
      <c r="V152">
        <v>5</v>
      </c>
      <c r="W152">
        <v>2</v>
      </c>
      <c r="X152">
        <v>2.661</v>
      </c>
      <c r="Y152">
        <v>53.22</v>
      </c>
      <c r="Z152">
        <v>2.8441000000000001</v>
      </c>
      <c r="AA152">
        <v>1430.58</v>
      </c>
    </row>
    <row r="153" spans="1:27" x14ac:dyDescent="0.35">
      <c r="A153" s="12" t="s">
        <v>548</v>
      </c>
      <c r="B153" s="12" t="s">
        <v>549</v>
      </c>
      <c r="C153" s="12" t="s">
        <v>78</v>
      </c>
      <c r="D153" s="12" t="s">
        <v>104</v>
      </c>
      <c r="E153">
        <v>3</v>
      </c>
      <c r="F153">
        <v>1</v>
      </c>
      <c r="G153" s="12" t="s">
        <v>223</v>
      </c>
      <c r="H153" s="12" t="s">
        <v>224</v>
      </c>
      <c r="I153" s="12" t="s">
        <v>134</v>
      </c>
      <c r="J153">
        <v>2.4900000000000002</v>
      </c>
      <c r="K153" s="13">
        <v>45008</v>
      </c>
      <c r="L153" s="13">
        <v>45950</v>
      </c>
      <c r="M153">
        <v>2.5790000000000002</v>
      </c>
      <c r="N153">
        <v>23</v>
      </c>
      <c r="O153">
        <v>3851</v>
      </c>
      <c r="P153">
        <v>230387.7</v>
      </c>
      <c r="Q153">
        <v>832</v>
      </c>
      <c r="R153">
        <v>47667.01</v>
      </c>
      <c r="S153">
        <v>62.471600000000002</v>
      </c>
      <c r="T153">
        <v>56.384999999999998</v>
      </c>
      <c r="U153">
        <v>54.730800000000002</v>
      </c>
      <c r="V153">
        <v>5</v>
      </c>
      <c r="W153">
        <v>2</v>
      </c>
      <c r="X153">
        <v>3.8969999999999998</v>
      </c>
      <c r="Y153">
        <v>77.94</v>
      </c>
      <c r="Z153">
        <v>1.6541999999999999</v>
      </c>
      <c r="AA153">
        <v>1376.29</v>
      </c>
    </row>
    <row r="154" spans="1:27" x14ac:dyDescent="0.35">
      <c r="A154" s="12" t="s">
        <v>519</v>
      </c>
      <c r="B154" s="12" t="s">
        <v>520</v>
      </c>
      <c r="C154" s="12" t="s">
        <v>78</v>
      </c>
      <c r="D154" s="12" t="s">
        <v>65</v>
      </c>
      <c r="E154">
        <v>2</v>
      </c>
      <c r="F154">
        <v>3</v>
      </c>
      <c r="G154" s="12" t="s">
        <v>143</v>
      </c>
      <c r="H154" s="12" t="s">
        <v>144</v>
      </c>
      <c r="I154" s="12" t="s">
        <v>96</v>
      </c>
      <c r="J154">
        <v>5.43</v>
      </c>
      <c r="K154" s="13">
        <v>45078</v>
      </c>
      <c r="L154" s="13">
        <v>45975</v>
      </c>
      <c r="M154">
        <v>2.456</v>
      </c>
      <c r="N154">
        <v>29</v>
      </c>
      <c r="O154">
        <v>4745</v>
      </c>
      <c r="P154">
        <v>141708.59</v>
      </c>
      <c r="Q154">
        <v>2386</v>
      </c>
      <c r="R154">
        <v>68573.38</v>
      </c>
      <c r="S154">
        <v>31.7883</v>
      </c>
      <c r="T154">
        <v>28.570399999999999</v>
      </c>
      <c r="U154">
        <v>28.025700000000001</v>
      </c>
      <c r="V154">
        <v>5</v>
      </c>
      <c r="W154">
        <v>2</v>
      </c>
      <c r="X154">
        <v>4.2530000000000001</v>
      </c>
      <c r="Y154">
        <v>85.06</v>
      </c>
      <c r="Z154">
        <v>0.54469999999999996</v>
      </c>
      <c r="AA154">
        <v>1299.6500000000001</v>
      </c>
    </row>
    <row r="155" spans="1:27" x14ac:dyDescent="0.35">
      <c r="A155" s="12" t="s">
        <v>1108</v>
      </c>
      <c r="B155" s="12" t="s">
        <v>1109</v>
      </c>
      <c r="C155" s="12" t="s">
        <v>103</v>
      </c>
      <c r="D155" s="12" t="s">
        <v>65</v>
      </c>
      <c r="E155">
        <v>3</v>
      </c>
      <c r="F155">
        <v>4</v>
      </c>
      <c r="G155" s="12" t="s">
        <v>79</v>
      </c>
      <c r="H155" s="12" t="s">
        <v>80</v>
      </c>
      <c r="I155" s="12" t="s">
        <v>82</v>
      </c>
      <c r="J155">
        <v>12.07</v>
      </c>
      <c r="K155" s="13">
        <v>45154</v>
      </c>
      <c r="L155" s="13">
        <v>45988</v>
      </c>
      <c r="M155">
        <v>2.2829999999999999</v>
      </c>
      <c r="N155">
        <v>25</v>
      </c>
      <c r="O155">
        <v>2143</v>
      </c>
      <c r="P155">
        <v>183592.36</v>
      </c>
      <c r="Q155">
        <v>995</v>
      </c>
      <c r="R155">
        <v>84691.73</v>
      </c>
      <c r="S155">
        <v>86.615200000000002</v>
      </c>
      <c r="T155">
        <v>83.939599999999999</v>
      </c>
      <c r="U155">
        <v>82.710999999999999</v>
      </c>
      <c r="V155">
        <v>2</v>
      </c>
      <c r="W155">
        <v>1.5</v>
      </c>
      <c r="X155">
        <v>1.365</v>
      </c>
      <c r="Y155">
        <v>68.25</v>
      </c>
      <c r="Z155">
        <v>1.2285999999999999</v>
      </c>
      <c r="AA155">
        <v>1222.46</v>
      </c>
    </row>
    <row r="156" spans="1:27" x14ac:dyDescent="0.35">
      <c r="A156" s="12" t="s">
        <v>548</v>
      </c>
      <c r="B156" s="12" t="s">
        <v>549</v>
      </c>
      <c r="C156" s="12" t="s">
        <v>78</v>
      </c>
      <c r="D156" s="12" t="s">
        <v>104</v>
      </c>
      <c r="E156">
        <v>3</v>
      </c>
      <c r="F156">
        <v>1</v>
      </c>
      <c r="G156" s="12" t="s">
        <v>199</v>
      </c>
      <c r="H156" s="12" t="s">
        <v>200</v>
      </c>
      <c r="I156" s="12" t="s">
        <v>96</v>
      </c>
      <c r="J156">
        <v>9.4700000000000006</v>
      </c>
      <c r="K156" s="13">
        <v>45050</v>
      </c>
      <c r="L156" s="13">
        <v>45729</v>
      </c>
      <c r="M156">
        <v>1.859</v>
      </c>
      <c r="N156">
        <v>11</v>
      </c>
      <c r="O156">
        <v>2099</v>
      </c>
      <c r="P156">
        <v>126816.22</v>
      </c>
      <c r="Q156">
        <v>473</v>
      </c>
      <c r="R156">
        <v>27966.22</v>
      </c>
      <c r="S156">
        <v>62.471600000000002</v>
      </c>
      <c r="T156">
        <v>59.1252</v>
      </c>
      <c r="U156">
        <v>56.789900000000003</v>
      </c>
      <c r="V156">
        <v>5</v>
      </c>
      <c r="W156">
        <v>2</v>
      </c>
      <c r="X156">
        <v>2.9180000000000001</v>
      </c>
      <c r="Y156">
        <v>58.36</v>
      </c>
      <c r="Z156">
        <v>2.3353000000000002</v>
      </c>
      <c r="AA156">
        <v>1104.5999999999999</v>
      </c>
    </row>
    <row r="157" spans="1:27" x14ac:dyDescent="0.35">
      <c r="A157" s="12" t="s">
        <v>732</v>
      </c>
      <c r="B157" s="12" t="s">
        <v>733</v>
      </c>
      <c r="C157" s="12" t="s">
        <v>114</v>
      </c>
      <c r="D157" s="12" t="s">
        <v>104</v>
      </c>
      <c r="E157">
        <v>3</v>
      </c>
      <c r="F157">
        <v>1</v>
      </c>
      <c r="G157" s="12" t="s">
        <v>251</v>
      </c>
      <c r="H157" s="12" t="s">
        <v>252</v>
      </c>
      <c r="I157" s="12" t="s">
        <v>69</v>
      </c>
      <c r="J157">
        <v>34.49</v>
      </c>
      <c r="K157" s="13">
        <v>45034</v>
      </c>
      <c r="L157" s="13">
        <v>45973</v>
      </c>
      <c r="M157">
        <v>2.5710000000000002</v>
      </c>
      <c r="N157">
        <v>10</v>
      </c>
      <c r="O157">
        <v>856</v>
      </c>
      <c r="P157">
        <v>261423.25</v>
      </c>
      <c r="Q157">
        <v>241</v>
      </c>
      <c r="R157">
        <v>71111.39</v>
      </c>
      <c r="S157">
        <v>314.15269999999998</v>
      </c>
      <c r="T157">
        <v>295.06799999999998</v>
      </c>
      <c r="U157">
        <v>290.4898</v>
      </c>
      <c r="V157">
        <v>3</v>
      </c>
      <c r="W157">
        <v>1.5</v>
      </c>
      <c r="X157">
        <v>2.4079999999999999</v>
      </c>
      <c r="Y157">
        <v>80.27</v>
      </c>
      <c r="Z157">
        <v>4.5781999999999998</v>
      </c>
      <c r="AA157">
        <v>1103.3499999999999</v>
      </c>
    </row>
    <row r="158" spans="1:27" x14ac:dyDescent="0.35">
      <c r="A158" s="12" t="s">
        <v>85</v>
      </c>
      <c r="B158" s="12" t="s">
        <v>86</v>
      </c>
      <c r="C158" s="12" t="s">
        <v>78</v>
      </c>
      <c r="D158" s="12" t="s">
        <v>65</v>
      </c>
      <c r="E158">
        <v>3</v>
      </c>
      <c r="F158">
        <v>5</v>
      </c>
      <c r="G158" s="12" t="s">
        <v>195</v>
      </c>
      <c r="H158" s="12" t="s">
        <v>196</v>
      </c>
      <c r="I158" s="12" t="s">
        <v>134</v>
      </c>
      <c r="J158">
        <v>4.7699999999999996</v>
      </c>
      <c r="K158" s="13">
        <v>45119</v>
      </c>
      <c r="L158" s="13">
        <v>45958</v>
      </c>
      <c r="M158">
        <v>2.2970000000000002</v>
      </c>
      <c r="N158">
        <v>16</v>
      </c>
      <c r="O158">
        <v>2338</v>
      </c>
      <c r="P158">
        <v>327410.89</v>
      </c>
      <c r="Q158">
        <v>633</v>
      </c>
      <c r="R158">
        <v>84013.59</v>
      </c>
      <c r="S158">
        <v>147.55000000000001</v>
      </c>
      <c r="T158">
        <v>132.72290000000001</v>
      </c>
      <c r="U158">
        <v>131.1506</v>
      </c>
      <c r="V158">
        <v>5</v>
      </c>
      <c r="W158">
        <v>2</v>
      </c>
      <c r="X158">
        <v>4.5060000000000002</v>
      </c>
      <c r="Y158">
        <v>90.12</v>
      </c>
      <c r="Z158">
        <v>1.5723</v>
      </c>
      <c r="AA158">
        <v>995.27</v>
      </c>
    </row>
    <row r="159" spans="1:27" x14ac:dyDescent="0.35">
      <c r="A159" s="12" t="s">
        <v>809</v>
      </c>
      <c r="B159" s="12" t="s">
        <v>810</v>
      </c>
      <c r="C159" s="12" t="s">
        <v>114</v>
      </c>
      <c r="D159" s="12" t="s">
        <v>65</v>
      </c>
      <c r="E159">
        <v>3</v>
      </c>
      <c r="F159">
        <v>5</v>
      </c>
      <c r="G159" s="12" t="s">
        <v>804</v>
      </c>
      <c r="H159" s="12" t="s">
        <v>342</v>
      </c>
      <c r="I159" s="12" t="s">
        <v>69</v>
      </c>
      <c r="J159">
        <v>30.07</v>
      </c>
      <c r="K159" s="13">
        <v>45044</v>
      </c>
      <c r="L159" s="13">
        <v>46020</v>
      </c>
      <c r="M159">
        <v>2.6720000000000002</v>
      </c>
      <c r="N159">
        <v>31</v>
      </c>
      <c r="O159">
        <v>2120</v>
      </c>
      <c r="P159">
        <v>670358.59</v>
      </c>
      <c r="Q159">
        <v>726</v>
      </c>
      <c r="R159">
        <v>223968.49</v>
      </c>
      <c r="S159">
        <v>326.9255</v>
      </c>
      <c r="T159">
        <v>302.71480000000003</v>
      </c>
      <c r="U159">
        <v>301.37189999999998</v>
      </c>
      <c r="V159">
        <v>3</v>
      </c>
      <c r="W159">
        <v>1.5</v>
      </c>
      <c r="X159">
        <v>2.8380000000000001</v>
      </c>
      <c r="Y159">
        <v>94.6</v>
      </c>
      <c r="Z159">
        <v>1.3429</v>
      </c>
      <c r="AA159">
        <v>974.95</v>
      </c>
    </row>
    <row r="160" spans="1:27" x14ac:dyDescent="0.35">
      <c r="A160" s="12" t="s">
        <v>519</v>
      </c>
      <c r="B160" s="12" t="s">
        <v>520</v>
      </c>
      <c r="C160" s="12" t="s">
        <v>78</v>
      </c>
      <c r="D160" s="12" t="s">
        <v>65</v>
      </c>
      <c r="E160">
        <v>2</v>
      </c>
      <c r="F160">
        <v>3</v>
      </c>
      <c r="G160" s="12" t="s">
        <v>66</v>
      </c>
      <c r="H160" s="12" t="s">
        <v>67</v>
      </c>
      <c r="I160" s="12" t="s">
        <v>69</v>
      </c>
      <c r="J160">
        <v>17.66</v>
      </c>
      <c r="K160" s="13">
        <v>45002</v>
      </c>
      <c r="L160" s="13">
        <v>46008</v>
      </c>
      <c r="M160">
        <v>2.754</v>
      </c>
      <c r="N160">
        <v>12</v>
      </c>
      <c r="O160">
        <v>1497</v>
      </c>
      <c r="P160">
        <v>52384.18</v>
      </c>
      <c r="Q160">
        <v>109</v>
      </c>
      <c r="R160">
        <v>3835.5</v>
      </c>
      <c r="S160">
        <v>31.7883</v>
      </c>
      <c r="T160">
        <v>35.188099999999999</v>
      </c>
      <c r="U160">
        <v>27.6006</v>
      </c>
      <c r="V160">
        <v>5</v>
      </c>
      <c r="W160">
        <v>2</v>
      </c>
      <c r="X160">
        <v>-3.758</v>
      </c>
      <c r="Y160">
        <v>-75.16</v>
      </c>
      <c r="Z160">
        <v>7.5875000000000004</v>
      </c>
      <c r="AA160">
        <v>827.03</v>
      </c>
    </row>
    <row r="161" spans="1:27" x14ac:dyDescent="0.35">
      <c r="A161" s="12" t="s">
        <v>163</v>
      </c>
      <c r="B161" s="12" t="s">
        <v>164</v>
      </c>
      <c r="C161" s="12" t="s">
        <v>64</v>
      </c>
      <c r="D161" s="12" t="s">
        <v>104</v>
      </c>
      <c r="E161">
        <v>2</v>
      </c>
      <c r="F161">
        <v>0</v>
      </c>
      <c r="G161" s="12" t="s">
        <v>79</v>
      </c>
      <c r="H161" s="12" t="s">
        <v>80</v>
      </c>
      <c r="I161" s="12" t="s">
        <v>82</v>
      </c>
      <c r="J161">
        <v>12.07</v>
      </c>
      <c r="K161" s="13">
        <v>44949</v>
      </c>
      <c r="L161" s="13">
        <v>46007</v>
      </c>
      <c r="M161">
        <v>2.8969999999999998</v>
      </c>
      <c r="N161">
        <v>45</v>
      </c>
      <c r="O161">
        <v>24453</v>
      </c>
      <c r="P161">
        <v>281133.19</v>
      </c>
      <c r="Q161">
        <v>9823</v>
      </c>
      <c r="R161">
        <v>103402.37</v>
      </c>
      <c r="S161">
        <v>12.8643</v>
      </c>
      <c r="T161">
        <v>10.482900000000001</v>
      </c>
      <c r="U161">
        <v>10.4251</v>
      </c>
      <c r="V161">
        <v>7</v>
      </c>
      <c r="W161">
        <v>2</v>
      </c>
      <c r="X161">
        <v>6.8230000000000004</v>
      </c>
      <c r="Y161">
        <v>97.47</v>
      </c>
      <c r="Z161">
        <v>5.7799999999999997E-2</v>
      </c>
      <c r="AA161">
        <v>567.77</v>
      </c>
    </row>
    <row r="162" spans="1:27" x14ac:dyDescent="0.35">
      <c r="A162" s="12" t="s">
        <v>255</v>
      </c>
      <c r="B162" s="12" t="s">
        <v>256</v>
      </c>
      <c r="C162" s="12" t="s">
        <v>103</v>
      </c>
      <c r="D162" s="12" t="s">
        <v>65</v>
      </c>
      <c r="E162">
        <v>2</v>
      </c>
      <c r="F162">
        <v>4</v>
      </c>
      <c r="G162" s="12" t="s">
        <v>251</v>
      </c>
      <c r="H162" s="12" t="s">
        <v>252</v>
      </c>
      <c r="I162" s="12" t="s">
        <v>69</v>
      </c>
      <c r="J162">
        <v>34.49</v>
      </c>
      <c r="K162" s="13">
        <v>44965</v>
      </c>
      <c r="L162" s="13">
        <v>45947</v>
      </c>
      <c r="M162">
        <v>2.6890000000000001</v>
      </c>
      <c r="N162">
        <v>11</v>
      </c>
      <c r="O162">
        <v>830</v>
      </c>
      <c r="P162">
        <v>78584.02</v>
      </c>
      <c r="Q162">
        <v>212</v>
      </c>
      <c r="R162">
        <v>19817.91</v>
      </c>
      <c r="S162">
        <v>95.9011</v>
      </c>
      <c r="T162">
        <v>93.480699999999999</v>
      </c>
      <c r="U162">
        <v>90.830200000000005</v>
      </c>
      <c r="V162">
        <v>2</v>
      </c>
      <c r="W162">
        <v>1.5</v>
      </c>
      <c r="X162">
        <v>0.94599999999999995</v>
      </c>
      <c r="Y162">
        <v>47.3</v>
      </c>
      <c r="Z162">
        <v>2.6505000000000001</v>
      </c>
      <c r="AA162">
        <v>561.91</v>
      </c>
    </row>
    <row r="163" spans="1:27" x14ac:dyDescent="0.35">
      <c r="A163" s="12" t="s">
        <v>490</v>
      </c>
      <c r="B163" s="12" t="s">
        <v>491</v>
      </c>
      <c r="C163" s="12" t="s">
        <v>130</v>
      </c>
      <c r="D163" s="12" t="s">
        <v>104</v>
      </c>
      <c r="E163">
        <v>3</v>
      </c>
      <c r="F163">
        <v>1</v>
      </c>
      <c r="G163" s="12" t="s">
        <v>176</v>
      </c>
      <c r="H163" s="12" t="s">
        <v>177</v>
      </c>
      <c r="I163" s="12" t="s">
        <v>134</v>
      </c>
      <c r="J163">
        <v>1.75</v>
      </c>
      <c r="K163" s="13">
        <v>45000</v>
      </c>
      <c r="L163" s="13">
        <v>45980</v>
      </c>
      <c r="M163">
        <v>2.6829999999999998</v>
      </c>
      <c r="N163">
        <v>38</v>
      </c>
      <c r="O163">
        <v>3225</v>
      </c>
      <c r="P163">
        <v>850281.54</v>
      </c>
      <c r="Q163">
        <v>1232</v>
      </c>
      <c r="R163">
        <v>292146.15999999997</v>
      </c>
      <c r="S163">
        <v>297.19900000000001</v>
      </c>
      <c r="T163">
        <v>237.95959999999999</v>
      </c>
      <c r="U163">
        <v>237.62389999999999</v>
      </c>
      <c r="V163">
        <v>8</v>
      </c>
      <c r="W163">
        <v>2</v>
      </c>
      <c r="X163">
        <v>7.9509999999999996</v>
      </c>
      <c r="Y163">
        <v>99.39</v>
      </c>
      <c r="Z163">
        <v>0.3357</v>
      </c>
      <c r="AA163">
        <v>413.64</v>
      </c>
    </row>
    <row r="164" spans="1:27" x14ac:dyDescent="0.35">
      <c r="A164" s="12" t="s">
        <v>339</v>
      </c>
      <c r="B164" s="12" t="s">
        <v>340</v>
      </c>
      <c r="C164" s="12" t="s">
        <v>103</v>
      </c>
      <c r="D164" s="12" t="s">
        <v>142</v>
      </c>
      <c r="E164">
        <v>2</v>
      </c>
      <c r="F164">
        <v>9</v>
      </c>
      <c r="G164" s="12" t="s">
        <v>169</v>
      </c>
      <c r="H164" s="12" t="s">
        <v>170</v>
      </c>
      <c r="I164" s="12" t="s">
        <v>134</v>
      </c>
      <c r="J164">
        <v>1.37</v>
      </c>
      <c r="K164" s="13">
        <v>44979</v>
      </c>
      <c r="L164" s="13">
        <v>46022</v>
      </c>
      <c r="M164">
        <v>2.8559999999999999</v>
      </c>
      <c r="N164">
        <v>37</v>
      </c>
      <c r="O164">
        <v>2612</v>
      </c>
      <c r="P164">
        <v>637297.78</v>
      </c>
      <c r="Q164">
        <v>675</v>
      </c>
      <c r="R164">
        <v>159510.34</v>
      </c>
      <c r="S164">
        <v>249.9879</v>
      </c>
      <c r="T164">
        <v>236.3116</v>
      </c>
      <c r="U164">
        <v>235.97210000000001</v>
      </c>
      <c r="V164">
        <v>2</v>
      </c>
      <c r="W164">
        <v>1.5</v>
      </c>
      <c r="X164">
        <v>1.9510000000000001</v>
      </c>
      <c r="Y164">
        <v>97.55</v>
      </c>
      <c r="Z164">
        <v>0.33950000000000002</v>
      </c>
      <c r="AA164">
        <v>229.16</v>
      </c>
    </row>
    <row r="165" spans="1:27" x14ac:dyDescent="0.35">
      <c r="A165" s="12" t="s">
        <v>544</v>
      </c>
      <c r="B165" s="12" t="s">
        <v>545</v>
      </c>
      <c r="C165" s="12" t="s">
        <v>175</v>
      </c>
      <c r="D165" s="12" t="s">
        <v>65</v>
      </c>
      <c r="E165">
        <v>3</v>
      </c>
      <c r="F165">
        <v>5</v>
      </c>
      <c r="G165" s="12" t="s">
        <v>359</v>
      </c>
      <c r="H165" s="12" t="s">
        <v>360</v>
      </c>
      <c r="I165" s="12" t="s">
        <v>82</v>
      </c>
      <c r="J165">
        <v>12.65</v>
      </c>
      <c r="K165" s="13">
        <v>45056</v>
      </c>
      <c r="L165" s="13">
        <v>45999</v>
      </c>
      <c r="M165">
        <v>2.5819999999999999</v>
      </c>
      <c r="N165">
        <v>10</v>
      </c>
      <c r="O165">
        <v>936</v>
      </c>
      <c r="P165">
        <v>137581.18</v>
      </c>
      <c r="Q165">
        <v>399</v>
      </c>
      <c r="R165">
        <v>55159.26</v>
      </c>
      <c r="S165">
        <v>155.36940000000001</v>
      </c>
      <c r="T165">
        <v>134.7713</v>
      </c>
      <c r="U165">
        <v>134.255</v>
      </c>
      <c r="V165">
        <v>5.5</v>
      </c>
      <c r="W165">
        <v>2</v>
      </c>
      <c r="X165">
        <v>5.36</v>
      </c>
      <c r="Y165">
        <v>97.45</v>
      </c>
      <c r="Z165">
        <v>0.51629999999999998</v>
      </c>
      <c r="AA165">
        <v>206</v>
      </c>
    </row>
    <row r="166" spans="1:27" x14ac:dyDescent="0.35">
      <c r="A166" s="12" t="s">
        <v>766</v>
      </c>
      <c r="B166" s="12" t="s">
        <v>767</v>
      </c>
      <c r="C166" s="12" t="s">
        <v>175</v>
      </c>
      <c r="D166" s="12" t="s">
        <v>65</v>
      </c>
      <c r="E166">
        <v>3</v>
      </c>
      <c r="F166">
        <v>5</v>
      </c>
      <c r="G166" s="12" t="s">
        <v>157</v>
      </c>
      <c r="H166" s="12" t="s">
        <v>158</v>
      </c>
      <c r="I166" s="12" t="s">
        <v>96</v>
      </c>
      <c r="J166">
        <v>4.72</v>
      </c>
      <c r="K166" s="13">
        <v>45098</v>
      </c>
      <c r="L166" s="13">
        <v>45985</v>
      </c>
      <c r="M166">
        <v>2.4279999999999999</v>
      </c>
      <c r="N166">
        <v>11</v>
      </c>
      <c r="O166">
        <v>960</v>
      </c>
      <c r="P166">
        <v>79099.14</v>
      </c>
      <c r="Q166">
        <v>475</v>
      </c>
      <c r="R166">
        <v>37684.18</v>
      </c>
      <c r="S166">
        <v>88.5655</v>
      </c>
      <c r="T166">
        <v>77.425799999999995</v>
      </c>
      <c r="U166">
        <v>77.199200000000005</v>
      </c>
      <c r="V166">
        <v>5.5</v>
      </c>
      <c r="W166">
        <v>2</v>
      </c>
      <c r="X166">
        <v>5.3849999999999998</v>
      </c>
      <c r="Y166">
        <v>97.91</v>
      </c>
      <c r="Z166">
        <v>0.2266</v>
      </c>
      <c r="AA166">
        <v>107.64</v>
      </c>
    </row>
    <row r="167" spans="1:27" x14ac:dyDescent="0.35">
      <c r="A167" s="12" t="s">
        <v>732</v>
      </c>
      <c r="B167" s="12" t="s">
        <v>733</v>
      </c>
      <c r="C167" s="12" t="s">
        <v>114</v>
      </c>
      <c r="D167" s="12" t="s">
        <v>104</v>
      </c>
      <c r="E167">
        <v>3</v>
      </c>
      <c r="F167">
        <v>1</v>
      </c>
      <c r="G167" s="12" t="s">
        <v>199</v>
      </c>
      <c r="H167" s="12" t="s">
        <v>200</v>
      </c>
      <c r="I167" s="12" t="s">
        <v>96</v>
      </c>
      <c r="J167">
        <v>9.4700000000000006</v>
      </c>
      <c r="K167" s="13">
        <v>45030</v>
      </c>
      <c r="L167" s="13">
        <v>45967</v>
      </c>
      <c r="M167">
        <v>2.5649999999999999</v>
      </c>
      <c r="N167">
        <v>25</v>
      </c>
      <c r="O167">
        <v>2181</v>
      </c>
      <c r="P167">
        <v>669019.6</v>
      </c>
      <c r="Q167">
        <v>499</v>
      </c>
      <c r="R167">
        <v>147169.32999999999</v>
      </c>
      <c r="S167">
        <v>314.15269999999998</v>
      </c>
      <c r="T167">
        <v>290.7165</v>
      </c>
      <c r="U167">
        <v>290.54289999999997</v>
      </c>
      <c r="V167">
        <v>3</v>
      </c>
      <c r="W167">
        <v>1.5</v>
      </c>
      <c r="X167">
        <v>2.9769999999999999</v>
      </c>
      <c r="Y167">
        <v>99.23</v>
      </c>
      <c r="Z167">
        <v>0.1736</v>
      </c>
      <c r="AA167">
        <v>86.64</v>
      </c>
    </row>
    <row r="168" spans="1:27" x14ac:dyDescent="0.35">
      <c r="A168" s="12" t="s">
        <v>613</v>
      </c>
      <c r="B168" s="12" t="s">
        <v>614</v>
      </c>
      <c r="C168" s="12" t="s">
        <v>130</v>
      </c>
      <c r="D168" s="12" t="s">
        <v>104</v>
      </c>
      <c r="E168">
        <v>3</v>
      </c>
      <c r="F168">
        <v>1</v>
      </c>
      <c r="G168" s="12" t="s">
        <v>676</v>
      </c>
      <c r="H168" s="12" t="s">
        <v>677</v>
      </c>
      <c r="I168" s="12" t="s">
        <v>96</v>
      </c>
      <c r="J168">
        <v>3.57</v>
      </c>
      <c r="K168" s="13">
        <v>45030</v>
      </c>
      <c r="L168" s="13">
        <v>45950</v>
      </c>
      <c r="M168">
        <v>2.5190000000000001</v>
      </c>
      <c r="N168">
        <v>11</v>
      </c>
      <c r="O168">
        <v>778</v>
      </c>
      <c r="P168">
        <v>143259.6</v>
      </c>
      <c r="Q168">
        <v>200</v>
      </c>
      <c r="R168">
        <v>33971.129999999997</v>
      </c>
      <c r="S168">
        <v>195.35140000000001</v>
      </c>
      <c r="T168">
        <v>157.54730000000001</v>
      </c>
      <c r="U168">
        <v>158.34270000000001</v>
      </c>
      <c r="V168">
        <v>8</v>
      </c>
      <c r="W168">
        <v>2</v>
      </c>
      <c r="X168">
        <v>8.1839999999999993</v>
      </c>
      <c r="Y168">
        <v>102.3</v>
      </c>
      <c r="Z168">
        <v>-0.7954</v>
      </c>
      <c r="AA168">
        <v>-159.08000000000001</v>
      </c>
    </row>
    <row r="169" spans="1:27" x14ac:dyDescent="0.35">
      <c r="A169" s="12" t="s">
        <v>503</v>
      </c>
      <c r="B169" s="12" t="s">
        <v>504</v>
      </c>
      <c r="C169" s="12" t="s">
        <v>103</v>
      </c>
      <c r="D169" s="12" t="s">
        <v>104</v>
      </c>
      <c r="E169">
        <v>3</v>
      </c>
      <c r="F169">
        <v>1</v>
      </c>
      <c r="G169" s="12" t="s">
        <v>251</v>
      </c>
      <c r="H169" s="12" t="s">
        <v>252</v>
      </c>
      <c r="I169" s="12" t="s">
        <v>69</v>
      </c>
      <c r="J169">
        <v>34.49</v>
      </c>
      <c r="K169" s="13">
        <v>45111</v>
      </c>
      <c r="L169" s="13">
        <v>46002</v>
      </c>
      <c r="M169">
        <v>2.4390000000000001</v>
      </c>
      <c r="N169">
        <v>10</v>
      </c>
      <c r="O169">
        <v>758</v>
      </c>
      <c r="P169">
        <v>117017.33</v>
      </c>
      <c r="Q169">
        <v>204</v>
      </c>
      <c r="R169">
        <v>30472.91</v>
      </c>
      <c r="S169">
        <v>158.00909999999999</v>
      </c>
      <c r="T169">
        <v>149.37700000000001</v>
      </c>
      <c r="U169">
        <v>150.41200000000001</v>
      </c>
      <c r="V169">
        <v>2</v>
      </c>
      <c r="W169">
        <v>1.5</v>
      </c>
      <c r="X169">
        <v>2.2770000000000001</v>
      </c>
      <c r="Y169">
        <v>113.85</v>
      </c>
      <c r="Z169">
        <v>-1.0349999999999999</v>
      </c>
      <c r="AA169">
        <v>-211.14</v>
      </c>
    </row>
    <row r="170" spans="1:27" x14ac:dyDescent="0.35">
      <c r="A170" s="12" t="s">
        <v>837</v>
      </c>
      <c r="B170" s="12" t="s">
        <v>838</v>
      </c>
      <c r="C170" s="12" t="s">
        <v>114</v>
      </c>
      <c r="D170" s="12" t="s">
        <v>104</v>
      </c>
      <c r="E170">
        <v>2</v>
      </c>
      <c r="F170">
        <v>0</v>
      </c>
      <c r="G170" s="12" t="s">
        <v>199</v>
      </c>
      <c r="H170" s="12" t="s">
        <v>200</v>
      </c>
      <c r="I170" s="12" t="s">
        <v>96</v>
      </c>
      <c r="J170">
        <v>9.4700000000000006</v>
      </c>
      <c r="K170" s="13">
        <v>45042</v>
      </c>
      <c r="L170" s="13">
        <v>45999</v>
      </c>
      <c r="M170">
        <v>2.62</v>
      </c>
      <c r="N170">
        <v>39</v>
      </c>
      <c r="O170">
        <v>2593</v>
      </c>
      <c r="P170">
        <v>180034.16</v>
      </c>
      <c r="Q170">
        <v>852</v>
      </c>
      <c r="R170">
        <v>57621.64</v>
      </c>
      <c r="S170">
        <v>72.603499999999997</v>
      </c>
      <c r="T170">
        <v>66.785399999999996</v>
      </c>
      <c r="U170">
        <v>67.034599999999998</v>
      </c>
      <c r="V170">
        <v>3</v>
      </c>
      <c r="W170">
        <v>1.5</v>
      </c>
      <c r="X170">
        <v>3.1379999999999999</v>
      </c>
      <c r="Y170">
        <v>104.6</v>
      </c>
      <c r="Z170">
        <v>-0.2492</v>
      </c>
      <c r="AA170">
        <v>-212.32</v>
      </c>
    </row>
    <row r="171" spans="1:27" x14ac:dyDescent="0.35">
      <c r="A171" s="12" t="s">
        <v>712</v>
      </c>
      <c r="B171" s="12" t="s">
        <v>713</v>
      </c>
      <c r="C171" s="12" t="s">
        <v>103</v>
      </c>
      <c r="D171" s="12" t="s">
        <v>104</v>
      </c>
      <c r="E171">
        <v>2</v>
      </c>
      <c r="F171">
        <v>0</v>
      </c>
      <c r="G171" s="12" t="s">
        <v>105</v>
      </c>
      <c r="H171" s="12" t="s">
        <v>106</v>
      </c>
      <c r="I171" s="12" t="s">
        <v>96</v>
      </c>
      <c r="J171">
        <v>5.01</v>
      </c>
      <c r="K171" s="13">
        <v>45124</v>
      </c>
      <c r="L171" s="13">
        <v>45840</v>
      </c>
      <c r="M171">
        <v>1.96</v>
      </c>
      <c r="N171">
        <v>11</v>
      </c>
      <c r="O171">
        <v>882</v>
      </c>
      <c r="P171">
        <v>177905.6</v>
      </c>
      <c r="Q171">
        <v>114</v>
      </c>
      <c r="R171">
        <v>22214.91</v>
      </c>
      <c r="S171">
        <v>202.47229999999999</v>
      </c>
      <c r="T171">
        <v>191.297</v>
      </c>
      <c r="U171">
        <v>194.61160000000001</v>
      </c>
      <c r="V171">
        <v>2</v>
      </c>
      <c r="W171">
        <v>1.5</v>
      </c>
      <c r="X171">
        <v>2.855</v>
      </c>
      <c r="Y171">
        <v>142.75</v>
      </c>
      <c r="Z171">
        <v>-3.3146</v>
      </c>
      <c r="AA171">
        <v>-377.86</v>
      </c>
    </row>
    <row r="172" spans="1:27" x14ac:dyDescent="0.35">
      <c r="A172" s="12" t="s">
        <v>339</v>
      </c>
      <c r="B172" s="12" t="s">
        <v>340</v>
      </c>
      <c r="C172" s="12" t="s">
        <v>103</v>
      </c>
      <c r="D172" s="12" t="s">
        <v>142</v>
      </c>
      <c r="E172">
        <v>2</v>
      </c>
      <c r="F172">
        <v>9</v>
      </c>
      <c r="G172" s="12" t="s">
        <v>341</v>
      </c>
      <c r="H172" s="12" t="s">
        <v>342</v>
      </c>
      <c r="I172" s="12" t="s">
        <v>82</v>
      </c>
      <c r="J172">
        <v>18.36</v>
      </c>
      <c r="K172" s="13">
        <v>44979</v>
      </c>
      <c r="L172" s="13">
        <v>45831</v>
      </c>
      <c r="M172">
        <v>2.3330000000000002</v>
      </c>
      <c r="N172">
        <v>15</v>
      </c>
      <c r="O172">
        <v>1270</v>
      </c>
      <c r="P172">
        <v>309321.51</v>
      </c>
      <c r="Q172">
        <v>251</v>
      </c>
      <c r="R172">
        <v>59673.77</v>
      </c>
      <c r="S172">
        <v>249.9879</v>
      </c>
      <c r="T172">
        <v>236.22890000000001</v>
      </c>
      <c r="U172">
        <v>238.4786</v>
      </c>
      <c r="V172">
        <v>2</v>
      </c>
      <c r="W172">
        <v>1.5</v>
      </c>
      <c r="X172">
        <v>2.3980000000000001</v>
      </c>
      <c r="Y172">
        <v>119.9</v>
      </c>
      <c r="Z172">
        <v>-2.2496999999999998</v>
      </c>
      <c r="AA172">
        <v>-564.66999999999996</v>
      </c>
    </row>
    <row r="173" spans="1:27" x14ac:dyDescent="0.35">
      <c r="A173" s="12" t="s">
        <v>736</v>
      </c>
      <c r="B173" s="12" t="s">
        <v>737</v>
      </c>
      <c r="C173" s="12" t="s">
        <v>64</v>
      </c>
      <c r="D173" s="12" t="s">
        <v>104</v>
      </c>
      <c r="E173">
        <v>3</v>
      </c>
      <c r="F173">
        <v>1</v>
      </c>
      <c r="G173" s="12" t="s">
        <v>115</v>
      </c>
      <c r="H173" s="12" t="s">
        <v>116</v>
      </c>
      <c r="I173" s="12" t="s">
        <v>82</v>
      </c>
      <c r="J173">
        <v>17.170000000000002</v>
      </c>
      <c r="K173" s="13">
        <v>45275</v>
      </c>
      <c r="L173" s="13">
        <v>45978</v>
      </c>
      <c r="M173">
        <v>1.925</v>
      </c>
      <c r="N173">
        <v>11</v>
      </c>
      <c r="O173">
        <v>6412</v>
      </c>
      <c r="P173">
        <v>150309.81</v>
      </c>
      <c r="Q173">
        <v>1448</v>
      </c>
      <c r="R173">
        <v>31594.63</v>
      </c>
      <c r="S173">
        <v>24.950800000000001</v>
      </c>
      <c r="T173">
        <v>21.297499999999999</v>
      </c>
      <c r="U173">
        <v>21.697700000000001</v>
      </c>
      <c r="V173">
        <v>7</v>
      </c>
      <c r="W173">
        <v>2</v>
      </c>
      <c r="X173">
        <v>7.8959999999999999</v>
      </c>
      <c r="Y173">
        <v>112.8</v>
      </c>
      <c r="Z173">
        <v>-0.4002</v>
      </c>
      <c r="AA173">
        <v>-579.49</v>
      </c>
    </row>
    <row r="174" spans="1:27" x14ac:dyDescent="0.35">
      <c r="A174" s="12" t="s">
        <v>433</v>
      </c>
      <c r="B174" s="12" t="s">
        <v>434</v>
      </c>
      <c r="C174" s="12" t="s">
        <v>78</v>
      </c>
      <c r="D174" s="12" t="s">
        <v>65</v>
      </c>
      <c r="E174">
        <v>2</v>
      </c>
      <c r="F174">
        <v>4</v>
      </c>
      <c r="G174" s="12" t="s">
        <v>243</v>
      </c>
      <c r="H174" s="12" t="s">
        <v>244</v>
      </c>
      <c r="I174" s="12" t="s">
        <v>82</v>
      </c>
      <c r="J174">
        <v>9.2200000000000006</v>
      </c>
      <c r="K174" s="13">
        <v>44993</v>
      </c>
      <c r="L174" s="13">
        <v>45999</v>
      </c>
      <c r="M174">
        <v>2.754</v>
      </c>
      <c r="N174">
        <v>11</v>
      </c>
      <c r="O174">
        <v>2155</v>
      </c>
      <c r="P174">
        <v>153669.84</v>
      </c>
      <c r="Q174">
        <v>488</v>
      </c>
      <c r="R174">
        <v>33446.35</v>
      </c>
      <c r="S174">
        <v>80.636700000000005</v>
      </c>
      <c r="T174">
        <v>68.537599999999998</v>
      </c>
      <c r="U174">
        <v>70.013800000000003</v>
      </c>
      <c r="V174">
        <v>5</v>
      </c>
      <c r="W174">
        <v>2</v>
      </c>
      <c r="X174">
        <v>5.7320000000000002</v>
      </c>
      <c r="Y174">
        <v>114.64</v>
      </c>
      <c r="Z174">
        <v>-1.4762</v>
      </c>
      <c r="AA174">
        <v>-720.39</v>
      </c>
    </row>
    <row r="175" spans="1:27" x14ac:dyDescent="0.35">
      <c r="A175" s="12" t="s">
        <v>694</v>
      </c>
      <c r="B175" s="12" t="s">
        <v>695</v>
      </c>
      <c r="C175" s="12" t="s">
        <v>103</v>
      </c>
      <c r="D175" s="12" t="s">
        <v>65</v>
      </c>
      <c r="E175">
        <v>2</v>
      </c>
      <c r="F175">
        <v>3</v>
      </c>
      <c r="G175" s="12" t="s">
        <v>263</v>
      </c>
      <c r="H175" s="12" t="s">
        <v>264</v>
      </c>
      <c r="I175" s="12" t="s">
        <v>82</v>
      </c>
      <c r="J175">
        <v>10.210000000000001</v>
      </c>
      <c r="K175" s="13">
        <v>45027</v>
      </c>
      <c r="L175" s="13">
        <v>45987</v>
      </c>
      <c r="M175">
        <v>2.6280000000000001</v>
      </c>
      <c r="N175">
        <v>34</v>
      </c>
      <c r="O175">
        <v>2905</v>
      </c>
      <c r="P175">
        <v>612707.97</v>
      </c>
      <c r="Q175">
        <v>1427</v>
      </c>
      <c r="R175">
        <v>296432.44</v>
      </c>
      <c r="S175">
        <v>215.60980000000001</v>
      </c>
      <c r="T175">
        <v>203.7877</v>
      </c>
      <c r="U175">
        <v>204.46109999999999</v>
      </c>
      <c r="V175">
        <v>2</v>
      </c>
      <c r="W175">
        <v>1.5</v>
      </c>
      <c r="X175">
        <v>2.1230000000000002</v>
      </c>
      <c r="Y175">
        <v>106.15</v>
      </c>
      <c r="Z175">
        <v>-0.6734</v>
      </c>
      <c r="AA175">
        <v>-960.99</v>
      </c>
    </row>
    <row r="176" spans="1:27" x14ac:dyDescent="0.35">
      <c r="A176" s="12" t="s">
        <v>149</v>
      </c>
      <c r="B176" s="12" t="s">
        <v>150</v>
      </c>
      <c r="C176" s="12" t="s">
        <v>78</v>
      </c>
      <c r="D176" s="12" t="s">
        <v>65</v>
      </c>
      <c r="E176">
        <v>2</v>
      </c>
      <c r="F176">
        <v>2</v>
      </c>
      <c r="G176" s="12" t="s">
        <v>151</v>
      </c>
      <c r="H176" s="12" t="s">
        <v>152</v>
      </c>
      <c r="I176" s="12" t="s">
        <v>69</v>
      </c>
      <c r="J176">
        <v>36.479999999999997</v>
      </c>
      <c r="K176" s="13">
        <v>44946</v>
      </c>
      <c r="L176" s="13">
        <v>46016</v>
      </c>
      <c r="M176">
        <v>2.93</v>
      </c>
      <c r="N176">
        <v>43</v>
      </c>
      <c r="O176">
        <v>6634</v>
      </c>
      <c r="P176">
        <v>469491.7</v>
      </c>
      <c r="Q176">
        <v>2120</v>
      </c>
      <c r="R176">
        <v>138121.38</v>
      </c>
      <c r="S176">
        <v>76.092399999999998</v>
      </c>
      <c r="T176">
        <v>64.948700000000002</v>
      </c>
      <c r="U176">
        <v>65.474400000000003</v>
      </c>
      <c r="V176">
        <v>5</v>
      </c>
      <c r="W176">
        <v>2</v>
      </c>
      <c r="X176">
        <v>5.2619999999999996</v>
      </c>
      <c r="Y176">
        <v>105.24</v>
      </c>
      <c r="Z176">
        <v>-0.52569999999999995</v>
      </c>
      <c r="AA176">
        <v>-1114.42</v>
      </c>
    </row>
    <row r="177" spans="1:27" x14ac:dyDescent="0.35">
      <c r="A177" s="12" t="s">
        <v>451</v>
      </c>
      <c r="B177" s="12" t="s">
        <v>452</v>
      </c>
      <c r="C177" s="12" t="s">
        <v>175</v>
      </c>
      <c r="D177" s="12" t="s">
        <v>104</v>
      </c>
      <c r="E177">
        <v>3</v>
      </c>
      <c r="F177">
        <v>1</v>
      </c>
      <c r="G177" s="12" t="s">
        <v>359</v>
      </c>
      <c r="H177" s="12" t="s">
        <v>360</v>
      </c>
      <c r="I177" s="12" t="s">
        <v>82</v>
      </c>
      <c r="J177">
        <v>12.65</v>
      </c>
      <c r="K177" s="13">
        <v>45019</v>
      </c>
      <c r="L177" s="13">
        <v>46016</v>
      </c>
      <c r="M177">
        <v>2.73</v>
      </c>
      <c r="N177">
        <v>37</v>
      </c>
      <c r="O177">
        <v>3270</v>
      </c>
      <c r="P177">
        <v>774087.27</v>
      </c>
      <c r="Q177">
        <v>1435</v>
      </c>
      <c r="R177">
        <v>314555.83</v>
      </c>
      <c r="S177">
        <v>254.15530000000001</v>
      </c>
      <c r="T177">
        <v>216.9588</v>
      </c>
      <c r="U177">
        <v>217.785</v>
      </c>
      <c r="V177">
        <v>5.5</v>
      </c>
      <c r="W177">
        <v>2</v>
      </c>
      <c r="X177">
        <v>5.6319999999999997</v>
      </c>
      <c r="Y177">
        <v>102.4</v>
      </c>
      <c r="Z177">
        <v>-0.82620000000000005</v>
      </c>
      <c r="AA177">
        <v>-1185.5999999999999</v>
      </c>
    </row>
    <row r="178" spans="1:27" x14ac:dyDescent="0.35">
      <c r="A178" s="12" t="s">
        <v>437</v>
      </c>
      <c r="B178" s="12" t="s">
        <v>438</v>
      </c>
      <c r="C178" s="12" t="s">
        <v>269</v>
      </c>
      <c r="D178" s="12" t="s">
        <v>65</v>
      </c>
      <c r="E178">
        <v>2</v>
      </c>
      <c r="F178">
        <v>4</v>
      </c>
      <c r="G178" s="12" t="s">
        <v>115</v>
      </c>
      <c r="H178" s="12" t="s">
        <v>116</v>
      </c>
      <c r="I178" s="12" t="s">
        <v>82</v>
      </c>
      <c r="J178">
        <v>17.170000000000002</v>
      </c>
      <c r="K178" s="13">
        <v>44994</v>
      </c>
      <c r="L178" s="13">
        <v>46020</v>
      </c>
      <c r="M178">
        <v>2.8090000000000002</v>
      </c>
      <c r="N178">
        <v>39</v>
      </c>
      <c r="O178">
        <v>2839</v>
      </c>
      <c r="P178">
        <v>1234680.8999999999</v>
      </c>
      <c r="Q178">
        <v>1207</v>
      </c>
      <c r="R178">
        <v>490628.94</v>
      </c>
      <c r="S178">
        <v>496.18430000000001</v>
      </c>
      <c r="T178">
        <v>409.1377</v>
      </c>
      <c r="U178">
        <v>410.82119999999998</v>
      </c>
      <c r="V178">
        <v>6.5</v>
      </c>
      <c r="W178">
        <v>2</v>
      </c>
      <c r="X178">
        <v>6.6369999999999996</v>
      </c>
      <c r="Y178">
        <v>102.11</v>
      </c>
      <c r="Z178">
        <v>-1.6835</v>
      </c>
      <c r="AA178">
        <v>-2031.98</v>
      </c>
    </row>
    <row r="179" spans="1:27" x14ac:dyDescent="0.35">
      <c r="A179" s="12" t="s">
        <v>613</v>
      </c>
      <c r="B179" s="12" t="s">
        <v>614</v>
      </c>
      <c r="C179" s="12" t="s">
        <v>130</v>
      </c>
      <c r="D179" s="12" t="s">
        <v>104</v>
      </c>
      <c r="E179">
        <v>3</v>
      </c>
      <c r="F179">
        <v>1</v>
      </c>
      <c r="G179" s="12" t="s">
        <v>66</v>
      </c>
      <c r="H179" s="12" t="s">
        <v>67</v>
      </c>
      <c r="I179" s="12" t="s">
        <v>69</v>
      </c>
      <c r="J179">
        <v>17.66</v>
      </c>
      <c r="K179" s="13">
        <v>45016</v>
      </c>
      <c r="L179" s="13">
        <v>46006</v>
      </c>
      <c r="M179">
        <v>2.71</v>
      </c>
      <c r="N179">
        <v>34</v>
      </c>
      <c r="O179">
        <v>2632</v>
      </c>
      <c r="P179">
        <v>459559.73</v>
      </c>
      <c r="Q179">
        <v>1097</v>
      </c>
      <c r="R179">
        <v>170604.06</v>
      </c>
      <c r="S179">
        <v>195.35140000000001</v>
      </c>
      <c r="T179">
        <v>153.92060000000001</v>
      </c>
      <c r="U179">
        <v>155.8409</v>
      </c>
      <c r="V179">
        <v>8</v>
      </c>
      <c r="W179">
        <v>2</v>
      </c>
      <c r="X179">
        <v>8.4190000000000005</v>
      </c>
      <c r="Y179">
        <v>105.24</v>
      </c>
      <c r="Z179">
        <v>-1.9202999999999999</v>
      </c>
      <c r="AA179">
        <v>-2106.5700000000002</v>
      </c>
    </row>
    <row r="180" spans="1:27" x14ac:dyDescent="0.35">
      <c r="A180" s="12" t="s">
        <v>661</v>
      </c>
      <c r="B180" s="12" t="s">
        <v>662</v>
      </c>
      <c r="C180" s="12" t="s">
        <v>175</v>
      </c>
      <c r="D180" s="12" t="s">
        <v>104</v>
      </c>
      <c r="E180">
        <v>1</v>
      </c>
      <c r="F180">
        <v>0</v>
      </c>
      <c r="G180" s="12" t="s">
        <v>183</v>
      </c>
      <c r="H180" s="12" t="s">
        <v>184</v>
      </c>
      <c r="I180" s="12" t="s">
        <v>82</v>
      </c>
      <c r="J180">
        <v>8.6199999999999992</v>
      </c>
      <c r="K180" s="13">
        <v>45022</v>
      </c>
      <c r="L180" s="13">
        <v>45996</v>
      </c>
      <c r="M180">
        <v>2.6669999999999998</v>
      </c>
      <c r="N180">
        <v>61</v>
      </c>
      <c r="O180">
        <v>4893</v>
      </c>
      <c r="P180">
        <v>886857.56</v>
      </c>
      <c r="Q180">
        <v>1796</v>
      </c>
      <c r="R180">
        <v>301950.75</v>
      </c>
      <c r="S180">
        <v>194.86689999999999</v>
      </c>
      <c r="T180">
        <v>166.30070000000001</v>
      </c>
      <c r="U180">
        <v>167.5771</v>
      </c>
      <c r="V180">
        <v>5.5</v>
      </c>
      <c r="W180">
        <v>2</v>
      </c>
      <c r="X180">
        <v>5.7709999999999999</v>
      </c>
      <c r="Y180">
        <v>104.93</v>
      </c>
      <c r="Z180">
        <v>-1.2764</v>
      </c>
      <c r="AA180">
        <v>-2292.41</v>
      </c>
    </row>
    <row r="181" spans="1:27" x14ac:dyDescent="0.35">
      <c r="A181" s="12" t="s">
        <v>555</v>
      </c>
      <c r="B181" s="12" t="s">
        <v>556</v>
      </c>
      <c r="C181" s="12" t="s">
        <v>114</v>
      </c>
      <c r="D181" s="12" t="s">
        <v>142</v>
      </c>
      <c r="E181">
        <v>1</v>
      </c>
      <c r="F181">
        <v>6</v>
      </c>
      <c r="G181" s="12" t="s">
        <v>151</v>
      </c>
      <c r="H181" s="12" t="s">
        <v>152</v>
      </c>
      <c r="I181" s="12" t="s">
        <v>69</v>
      </c>
      <c r="J181">
        <v>36.479999999999997</v>
      </c>
      <c r="K181" s="13">
        <v>45009</v>
      </c>
      <c r="L181" s="13">
        <v>45947</v>
      </c>
      <c r="M181">
        <v>2.5680000000000001</v>
      </c>
      <c r="N181">
        <v>44</v>
      </c>
      <c r="O181">
        <v>3584</v>
      </c>
      <c r="P181">
        <v>1008505.19</v>
      </c>
      <c r="Q181">
        <v>848</v>
      </c>
      <c r="R181">
        <v>225360.51</v>
      </c>
      <c r="S181">
        <v>290.42770000000002</v>
      </c>
      <c r="T181">
        <v>265.5249</v>
      </c>
      <c r="U181">
        <v>268.57639999999998</v>
      </c>
      <c r="V181">
        <v>3</v>
      </c>
      <c r="W181">
        <v>1.5</v>
      </c>
      <c r="X181">
        <v>3.431</v>
      </c>
      <c r="Y181">
        <v>114.37</v>
      </c>
      <c r="Z181">
        <v>-3.0514999999999999</v>
      </c>
      <c r="AA181">
        <v>-2587.6999999999998</v>
      </c>
    </row>
    <row r="182" spans="1:27" x14ac:dyDescent="0.35">
      <c r="A182" s="12" t="s">
        <v>565</v>
      </c>
      <c r="B182" s="12" t="s">
        <v>566</v>
      </c>
      <c r="C182" s="12" t="s">
        <v>122</v>
      </c>
      <c r="D182" s="12" t="s">
        <v>104</v>
      </c>
      <c r="E182">
        <v>3</v>
      </c>
      <c r="F182">
        <v>1</v>
      </c>
      <c r="G182" s="12" t="s">
        <v>87</v>
      </c>
      <c r="H182" s="12" t="s">
        <v>88</v>
      </c>
      <c r="I182" s="12" t="s">
        <v>69</v>
      </c>
      <c r="J182">
        <v>14.93</v>
      </c>
      <c r="K182" s="13">
        <v>45012</v>
      </c>
      <c r="L182" s="13">
        <v>46006</v>
      </c>
      <c r="M182">
        <v>2.7210000000000001</v>
      </c>
      <c r="N182">
        <v>31</v>
      </c>
      <c r="O182">
        <v>33689</v>
      </c>
      <c r="P182">
        <v>1157828.17</v>
      </c>
      <c r="Q182">
        <v>15621</v>
      </c>
      <c r="R182">
        <v>518750.69</v>
      </c>
      <c r="S182">
        <v>36.6648</v>
      </c>
      <c r="T182">
        <v>32.602800000000002</v>
      </c>
      <c r="U182">
        <v>32.810299999999998</v>
      </c>
      <c r="V182">
        <v>4</v>
      </c>
      <c r="W182">
        <v>1.5</v>
      </c>
      <c r="X182">
        <v>4.2229999999999999</v>
      </c>
      <c r="Y182">
        <v>105.58</v>
      </c>
      <c r="Z182">
        <v>-0.20749999999999999</v>
      </c>
      <c r="AA182">
        <v>-3241.01</v>
      </c>
    </row>
    <row r="183" spans="1:27" x14ac:dyDescent="0.35">
      <c r="A183" s="12" t="s">
        <v>1134</v>
      </c>
      <c r="B183" s="12" t="s">
        <v>1135</v>
      </c>
      <c r="C183" s="12" t="s">
        <v>269</v>
      </c>
      <c r="D183" s="12" t="s">
        <v>104</v>
      </c>
      <c r="E183">
        <v>2</v>
      </c>
      <c r="F183">
        <v>0</v>
      </c>
      <c r="G183" s="12" t="s">
        <v>380</v>
      </c>
      <c r="H183" s="12" t="s">
        <v>381</v>
      </c>
      <c r="I183" s="12" t="s">
        <v>96</v>
      </c>
      <c r="J183">
        <v>10.210000000000001</v>
      </c>
      <c r="K183" s="13">
        <v>45076</v>
      </c>
      <c r="L183" s="13">
        <v>45905</v>
      </c>
      <c r="M183">
        <v>2.27</v>
      </c>
      <c r="N183">
        <v>24</v>
      </c>
      <c r="O183">
        <v>2007</v>
      </c>
      <c r="P183">
        <v>205446.11</v>
      </c>
      <c r="Q183">
        <v>752</v>
      </c>
      <c r="R183">
        <v>73352.479999999996</v>
      </c>
      <c r="S183">
        <v>107.5608</v>
      </c>
      <c r="T183">
        <v>87.644300000000001</v>
      </c>
      <c r="U183">
        <v>92.341399999999993</v>
      </c>
      <c r="V183">
        <v>6.5</v>
      </c>
      <c r="W183">
        <v>2</v>
      </c>
      <c r="X183">
        <v>8.6270000000000007</v>
      </c>
      <c r="Y183">
        <v>132.72</v>
      </c>
      <c r="Z183">
        <v>-4.6970999999999998</v>
      </c>
      <c r="AA183">
        <v>-3532.22</v>
      </c>
    </row>
    <row r="184" spans="1:27" x14ac:dyDescent="0.35">
      <c r="A184" s="12" t="s">
        <v>128</v>
      </c>
      <c r="B184" s="12" t="s">
        <v>129</v>
      </c>
      <c r="C184" s="12" t="s">
        <v>130</v>
      </c>
      <c r="D184" s="12" t="s">
        <v>65</v>
      </c>
      <c r="E184">
        <v>3</v>
      </c>
      <c r="F184">
        <v>5</v>
      </c>
      <c r="G184" s="12" t="s">
        <v>131</v>
      </c>
      <c r="H184" s="12" t="s">
        <v>132</v>
      </c>
      <c r="I184" s="12" t="s">
        <v>134</v>
      </c>
      <c r="J184">
        <v>1.51</v>
      </c>
      <c r="K184" s="13">
        <v>44942</v>
      </c>
      <c r="L184" s="13">
        <v>45995</v>
      </c>
      <c r="M184">
        <v>2.883</v>
      </c>
      <c r="N184">
        <v>32</v>
      </c>
      <c r="O184">
        <v>2280</v>
      </c>
      <c r="P184">
        <v>998579.05</v>
      </c>
      <c r="Q184">
        <v>948</v>
      </c>
      <c r="R184">
        <v>358229.94</v>
      </c>
      <c r="S184">
        <v>501.92320000000001</v>
      </c>
      <c r="T184">
        <v>351.10759999999999</v>
      </c>
      <c r="U184">
        <v>394.67320000000001</v>
      </c>
      <c r="V184">
        <v>8</v>
      </c>
      <c r="W184">
        <v>2</v>
      </c>
      <c r="X184">
        <v>11.657999999999999</v>
      </c>
      <c r="Y184">
        <v>145.72999999999999</v>
      </c>
      <c r="Z184">
        <v>-43.565600000000003</v>
      </c>
      <c r="AA184">
        <v>-41300.19</v>
      </c>
    </row>
    <row r="185" spans="1:27" x14ac:dyDescent="0.35">
      <c r="A185" s="12" t="s">
        <v>941</v>
      </c>
      <c r="B185" s="12" t="s">
        <v>942</v>
      </c>
      <c r="C185" s="12" t="s">
        <v>130</v>
      </c>
      <c r="D185" s="12" t="s">
        <v>104</v>
      </c>
      <c r="E185">
        <v>2</v>
      </c>
      <c r="F185">
        <v>0</v>
      </c>
      <c r="G185" s="12" t="s">
        <v>131</v>
      </c>
      <c r="H185" s="12" t="s">
        <v>132</v>
      </c>
      <c r="I185" s="12" t="s">
        <v>134</v>
      </c>
      <c r="J185">
        <v>1.51</v>
      </c>
      <c r="K185" s="13">
        <v>45050</v>
      </c>
      <c r="L185" s="13">
        <v>46014</v>
      </c>
      <c r="M185">
        <v>2.6389999999999998</v>
      </c>
      <c r="N185">
        <v>36</v>
      </c>
      <c r="O185">
        <v>2509</v>
      </c>
      <c r="P185">
        <v>2164721.7400000002</v>
      </c>
      <c r="Q185">
        <v>970</v>
      </c>
      <c r="R185">
        <v>748493.18</v>
      </c>
      <c r="S185">
        <v>990.29020000000003</v>
      </c>
      <c r="T185">
        <v>699.49869999999999</v>
      </c>
      <c r="U185">
        <v>794.69140000000004</v>
      </c>
      <c r="V185">
        <v>8</v>
      </c>
      <c r="W185">
        <v>2</v>
      </c>
      <c r="X185">
        <v>12.340999999999999</v>
      </c>
      <c r="Y185">
        <v>154.26</v>
      </c>
      <c r="Z185">
        <v>-95.192700000000002</v>
      </c>
      <c r="AA185">
        <v>-92336.94</v>
      </c>
    </row>
    <row r="186" spans="1:27" x14ac:dyDescent="0.35">
      <c r="A186" s="12" t="s">
        <v>1068</v>
      </c>
      <c r="B186" s="12" t="s">
        <v>1069</v>
      </c>
      <c r="C186" s="12" t="s">
        <v>122</v>
      </c>
      <c r="D186" s="12" t="s">
        <v>65</v>
      </c>
      <c r="E186">
        <v>2</v>
      </c>
      <c r="F186">
        <v>2</v>
      </c>
      <c r="G186" s="12" t="s">
        <v>79</v>
      </c>
      <c r="H186" s="12" t="s">
        <v>80</v>
      </c>
      <c r="I186" s="12" t="s">
        <v>82</v>
      </c>
      <c r="J186">
        <v>12.07</v>
      </c>
      <c r="K186" s="13">
        <v>45069</v>
      </c>
      <c r="L186" s="13">
        <v>45999</v>
      </c>
      <c r="M186">
        <v>2.5459999999999998</v>
      </c>
      <c r="N186">
        <v>46</v>
      </c>
      <c r="O186">
        <v>52764</v>
      </c>
      <c r="P186">
        <v>1198647.57</v>
      </c>
      <c r="Q186">
        <v>16885</v>
      </c>
      <c r="R186">
        <v>350455.91</v>
      </c>
      <c r="S186">
        <v>28.931100000000001</v>
      </c>
      <c r="T186">
        <v>20.513200000000001</v>
      </c>
      <c r="U186">
        <v>26.075199999999999</v>
      </c>
      <c r="V186">
        <v>4</v>
      </c>
      <c r="W186">
        <v>1.5</v>
      </c>
      <c r="X186">
        <v>12.632</v>
      </c>
      <c r="Y186">
        <v>315.8</v>
      </c>
      <c r="Z186">
        <v>-5.5620000000000003</v>
      </c>
      <c r="AA186">
        <v>-93913.66</v>
      </c>
    </row>
  </sheetData>
  <phoneticPr fontId="6"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E68FA-FAD7-47F7-B011-B8DB4C0BCA8C}">
  <dimension ref="A1:AH186"/>
  <sheetViews>
    <sheetView workbookViewId="0"/>
  </sheetViews>
  <sheetFormatPr defaultRowHeight="14.5" x14ac:dyDescent="0.35"/>
  <cols>
    <col min="1" max="1" width="13.36328125" bestFit="1" customWidth="1"/>
    <col min="2" max="2" width="12.08984375" bestFit="1" customWidth="1"/>
    <col min="3" max="3" width="13.1796875" bestFit="1" customWidth="1"/>
    <col min="4" max="4" width="28.36328125" bestFit="1" customWidth="1"/>
    <col min="5" max="5" width="13.90625" bestFit="1" customWidth="1"/>
    <col min="6" max="6" width="11.36328125" bestFit="1" customWidth="1"/>
    <col min="7" max="7" width="23.1796875" bestFit="1" customWidth="1"/>
    <col min="8" max="8" width="20.36328125" bestFit="1" customWidth="1"/>
    <col min="9" max="9" width="15.6328125" bestFit="1" customWidth="1"/>
    <col min="10" max="10" width="10.81640625" bestFit="1" customWidth="1"/>
    <col min="11" max="11" width="27.6328125" bestFit="1" customWidth="1"/>
    <col min="12" max="12" width="12.08984375" bestFit="1" customWidth="1"/>
    <col min="13" max="13" width="23.90625" bestFit="1" customWidth="1"/>
    <col min="14" max="14" width="9.6328125" bestFit="1" customWidth="1"/>
    <col min="15" max="15" width="15.90625" bestFit="1" customWidth="1"/>
    <col min="16" max="16" width="18.81640625" bestFit="1" customWidth="1"/>
    <col min="17" max="17" width="11.08984375" bestFit="1" customWidth="1"/>
    <col min="18" max="18" width="10.81640625" bestFit="1" customWidth="1"/>
    <col min="19" max="19" width="15.1796875" bestFit="1" customWidth="1"/>
    <col min="20" max="20" width="21.7265625" bestFit="1" customWidth="1"/>
    <col min="21" max="21" width="17.453125" bestFit="1" customWidth="1"/>
    <col min="22" max="22" width="18.81640625" bestFit="1" customWidth="1"/>
    <col min="23" max="23" width="19" bestFit="1" customWidth="1"/>
    <col min="24" max="24" width="9.1796875" bestFit="1" customWidth="1"/>
    <col min="25" max="25" width="11.7265625" bestFit="1" customWidth="1"/>
    <col min="26" max="26" width="19.08984375" bestFit="1" customWidth="1"/>
    <col min="27" max="27" width="15.36328125" bestFit="1" customWidth="1"/>
    <col min="28" max="28" width="8.453125" bestFit="1" customWidth="1"/>
    <col min="29" max="29" width="18.36328125" bestFit="1" customWidth="1"/>
    <col min="30" max="30" width="19.7265625" bestFit="1" customWidth="1"/>
    <col min="31" max="31" width="15.26953125" bestFit="1" customWidth="1"/>
    <col min="32" max="32" width="17.7265625" bestFit="1" customWidth="1"/>
    <col min="33" max="33" width="14.26953125" bestFit="1" customWidth="1"/>
    <col min="34" max="34" width="80.7265625" bestFit="1" customWidth="1"/>
  </cols>
  <sheetData>
    <row r="1" spans="1:34" s="3" customFormat="1" x14ac:dyDescent="0.35">
      <c r="A1" s="3" t="s">
        <v>7466</v>
      </c>
      <c r="B1" s="3" t="s">
        <v>7467</v>
      </c>
      <c r="C1" s="3" t="s">
        <v>18</v>
      </c>
      <c r="D1" s="3" t="s">
        <v>19</v>
      </c>
      <c r="E1" s="3" t="s">
        <v>20</v>
      </c>
      <c r="F1" s="3" t="s">
        <v>21</v>
      </c>
      <c r="G1" s="3" t="s">
        <v>22</v>
      </c>
      <c r="H1" s="3" t="s">
        <v>23</v>
      </c>
      <c r="I1" s="3" t="s">
        <v>24</v>
      </c>
      <c r="J1" s="3" t="s">
        <v>25</v>
      </c>
      <c r="K1" s="3" t="s">
        <v>26</v>
      </c>
      <c r="L1" s="3" t="s">
        <v>28</v>
      </c>
      <c r="M1" s="3" t="s">
        <v>29</v>
      </c>
      <c r="N1" s="3" t="s">
        <v>30</v>
      </c>
      <c r="O1" s="3" t="s">
        <v>31</v>
      </c>
      <c r="P1" s="3" t="s">
        <v>32</v>
      </c>
      <c r="Q1" s="3" t="s">
        <v>7457</v>
      </c>
      <c r="R1" s="3" t="s">
        <v>7458</v>
      </c>
      <c r="S1" s="3" t="s">
        <v>7459</v>
      </c>
      <c r="T1" s="3" t="s">
        <v>7460</v>
      </c>
      <c r="U1" s="3" t="s">
        <v>7462</v>
      </c>
      <c r="V1" s="3" t="s">
        <v>7463</v>
      </c>
      <c r="W1" s="3" t="s">
        <v>7464</v>
      </c>
      <c r="X1" s="3" t="s">
        <v>7455</v>
      </c>
      <c r="Y1" s="3" t="s">
        <v>7456</v>
      </c>
      <c r="Z1" s="3" t="s">
        <v>7465</v>
      </c>
      <c r="AA1" s="3" t="s">
        <v>57</v>
      </c>
      <c r="AB1" s="3" t="s">
        <v>7468</v>
      </c>
      <c r="AC1" s="3" t="s">
        <v>7469</v>
      </c>
      <c r="AD1" s="3" t="s">
        <v>55</v>
      </c>
      <c r="AE1" s="3" t="s">
        <v>7470</v>
      </c>
      <c r="AF1" s="3" t="s">
        <v>7471</v>
      </c>
      <c r="AG1" s="3" t="s">
        <v>7472</v>
      </c>
      <c r="AH1" s="3" t="s">
        <v>7473</v>
      </c>
    </row>
    <row r="2" spans="1:34" x14ac:dyDescent="0.35">
      <c r="A2">
        <v>1</v>
      </c>
      <c r="B2">
        <v>1</v>
      </c>
      <c r="C2" s="12" t="s">
        <v>869</v>
      </c>
      <c r="D2" s="12" t="s">
        <v>870</v>
      </c>
      <c r="E2" s="12" t="s">
        <v>130</v>
      </c>
      <c r="F2" s="12" t="s">
        <v>104</v>
      </c>
      <c r="G2">
        <v>2</v>
      </c>
      <c r="H2">
        <v>0</v>
      </c>
      <c r="I2">
        <v>0</v>
      </c>
      <c r="J2" s="12" t="s">
        <v>515</v>
      </c>
      <c r="K2" s="12" t="s">
        <v>516</v>
      </c>
      <c r="L2" s="12" t="s">
        <v>134</v>
      </c>
      <c r="M2">
        <v>3.69</v>
      </c>
      <c r="N2" s="12" t="s">
        <v>135</v>
      </c>
      <c r="O2" s="12" t="s">
        <v>136</v>
      </c>
      <c r="P2" s="12" t="s">
        <v>137</v>
      </c>
      <c r="Q2">
        <v>583.34230000000002</v>
      </c>
      <c r="R2">
        <v>652.11720000000003</v>
      </c>
      <c r="S2">
        <v>471.76670000000001</v>
      </c>
      <c r="T2">
        <v>8</v>
      </c>
      <c r="U2">
        <v>-4.4740000000000002</v>
      </c>
      <c r="V2">
        <v>-55.93</v>
      </c>
      <c r="W2">
        <v>180.35050000000001</v>
      </c>
      <c r="X2">
        <v>1108</v>
      </c>
      <c r="Y2">
        <v>714564.24</v>
      </c>
      <c r="Z2">
        <v>199828.4</v>
      </c>
      <c r="AA2">
        <v>6453.74</v>
      </c>
      <c r="AC2">
        <v>714564.24</v>
      </c>
      <c r="AD2">
        <v>99.1</v>
      </c>
      <c r="AE2">
        <v>59</v>
      </c>
      <c r="AF2" s="12" t="s">
        <v>7474</v>
      </c>
      <c r="AG2">
        <v>1</v>
      </c>
      <c r="AH2" s="12" t="s">
        <v>7475</v>
      </c>
    </row>
    <row r="3" spans="1:34" x14ac:dyDescent="0.35">
      <c r="A3">
        <v>2</v>
      </c>
      <c r="B3">
        <v>2</v>
      </c>
      <c r="C3" s="12" t="s">
        <v>972</v>
      </c>
      <c r="D3" s="12" t="s">
        <v>973</v>
      </c>
      <c r="E3" s="12" t="s">
        <v>130</v>
      </c>
      <c r="F3" s="12" t="s">
        <v>142</v>
      </c>
      <c r="G3">
        <v>2</v>
      </c>
      <c r="H3">
        <v>9</v>
      </c>
      <c r="I3">
        <v>0</v>
      </c>
      <c r="J3" s="12" t="s">
        <v>676</v>
      </c>
      <c r="K3" s="12" t="s">
        <v>677</v>
      </c>
      <c r="L3" s="12" t="s">
        <v>96</v>
      </c>
      <c r="M3">
        <v>3.57</v>
      </c>
      <c r="N3" s="12" t="s">
        <v>135</v>
      </c>
      <c r="O3" s="12" t="s">
        <v>136</v>
      </c>
      <c r="P3" s="12" t="s">
        <v>137</v>
      </c>
      <c r="Q3">
        <v>849.1721</v>
      </c>
      <c r="R3">
        <v>832.80709999999999</v>
      </c>
      <c r="S3">
        <v>682.1857</v>
      </c>
      <c r="T3">
        <v>8</v>
      </c>
      <c r="U3">
        <v>0.73799999999999999</v>
      </c>
      <c r="V3">
        <v>9.23</v>
      </c>
      <c r="W3">
        <v>150.62139999999999</v>
      </c>
      <c r="X3">
        <v>1189</v>
      </c>
      <c r="Y3">
        <v>997643.82</v>
      </c>
      <c r="Z3">
        <v>179088.8</v>
      </c>
      <c r="AA3">
        <v>6721.47</v>
      </c>
      <c r="AB3">
        <v>-1116.53</v>
      </c>
      <c r="AC3">
        <v>0</v>
      </c>
      <c r="AD3">
        <v>99.15</v>
      </c>
      <c r="AE3">
        <v>35</v>
      </c>
      <c r="AF3" s="12" t="s">
        <v>7476</v>
      </c>
      <c r="AG3">
        <v>1</v>
      </c>
      <c r="AH3" s="12" t="s">
        <v>7477</v>
      </c>
    </row>
    <row r="4" spans="1:34" x14ac:dyDescent="0.35">
      <c r="A4">
        <v>3</v>
      </c>
      <c r="B4">
        <v>3</v>
      </c>
      <c r="C4" s="12" t="s">
        <v>231</v>
      </c>
      <c r="D4" s="12" t="s">
        <v>232</v>
      </c>
      <c r="E4" s="12" t="s">
        <v>130</v>
      </c>
      <c r="F4" s="12" t="s">
        <v>65</v>
      </c>
      <c r="G4">
        <v>1</v>
      </c>
      <c r="H4">
        <v>2</v>
      </c>
      <c r="I4">
        <v>1</v>
      </c>
      <c r="J4" s="12" t="s">
        <v>233</v>
      </c>
      <c r="K4" s="12" t="s">
        <v>234</v>
      </c>
      <c r="L4" s="12" t="s">
        <v>96</v>
      </c>
      <c r="M4">
        <v>3.73</v>
      </c>
      <c r="N4" s="12" t="s">
        <v>135</v>
      </c>
      <c r="O4" s="12" t="s">
        <v>136</v>
      </c>
      <c r="P4" s="12" t="s">
        <v>137</v>
      </c>
      <c r="Q4">
        <v>416.40039999999999</v>
      </c>
      <c r="R4">
        <v>443.97469999999998</v>
      </c>
      <c r="S4">
        <v>327.86180000000002</v>
      </c>
      <c r="T4">
        <v>8</v>
      </c>
      <c r="U4">
        <v>-2.262</v>
      </c>
      <c r="V4">
        <v>-28.28</v>
      </c>
      <c r="W4">
        <v>116.1129</v>
      </c>
      <c r="X4">
        <v>1521</v>
      </c>
      <c r="Y4">
        <v>686912.99</v>
      </c>
      <c r="Z4">
        <v>176607.69</v>
      </c>
      <c r="AA4">
        <v>5872.56</v>
      </c>
      <c r="AC4">
        <v>686912.99</v>
      </c>
      <c r="AD4">
        <v>99.09</v>
      </c>
      <c r="AE4">
        <v>37</v>
      </c>
      <c r="AF4" s="12" t="s">
        <v>7474</v>
      </c>
      <c r="AG4">
        <v>1</v>
      </c>
      <c r="AH4" s="12" t="s">
        <v>7475</v>
      </c>
    </row>
    <row r="5" spans="1:34" x14ac:dyDescent="0.35">
      <c r="A5">
        <v>4</v>
      </c>
      <c r="B5">
        <v>4</v>
      </c>
      <c r="C5" s="12" t="s">
        <v>408</v>
      </c>
      <c r="D5" s="12" t="s">
        <v>409</v>
      </c>
      <c r="E5" s="12" t="s">
        <v>130</v>
      </c>
      <c r="F5" s="12" t="s">
        <v>65</v>
      </c>
      <c r="G5">
        <v>3</v>
      </c>
      <c r="H5">
        <v>5</v>
      </c>
      <c r="I5">
        <v>0</v>
      </c>
      <c r="J5" s="12" t="s">
        <v>105</v>
      </c>
      <c r="K5" s="12" t="s">
        <v>106</v>
      </c>
      <c r="L5" s="12" t="s">
        <v>96</v>
      </c>
      <c r="M5">
        <v>5.01</v>
      </c>
      <c r="N5" s="12" t="s">
        <v>135</v>
      </c>
      <c r="O5" s="12" t="s">
        <v>136</v>
      </c>
      <c r="P5" s="12" t="s">
        <v>137</v>
      </c>
      <c r="Q5">
        <v>770.47230000000002</v>
      </c>
      <c r="R5">
        <v>724.06979999999999</v>
      </c>
      <c r="S5">
        <v>610.55539999999996</v>
      </c>
      <c r="T5">
        <v>8</v>
      </c>
      <c r="U5">
        <v>2.202</v>
      </c>
      <c r="V5">
        <v>27.53</v>
      </c>
      <c r="W5">
        <v>113.51439999999999</v>
      </c>
      <c r="X5">
        <v>1357</v>
      </c>
      <c r="Y5">
        <v>988567.39</v>
      </c>
      <c r="Z5">
        <v>154039.04000000001</v>
      </c>
      <c r="AA5">
        <v>5129.45</v>
      </c>
      <c r="AB5">
        <v>2149.92</v>
      </c>
      <c r="AC5">
        <v>0</v>
      </c>
      <c r="AD5">
        <v>99.26</v>
      </c>
      <c r="AE5">
        <v>70</v>
      </c>
      <c r="AF5" s="12" t="s">
        <v>7476</v>
      </c>
      <c r="AG5">
        <v>1</v>
      </c>
      <c r="AH5" s="12" t="s">
        <v>7478</v>
      </c>
    </row>
    <row r="6" spans="1:34" x14ac:dyDescent="0.35">
      <c r="A6">
        <v>5</v>
      </c>
      <c r="B6">
        <v>1</v>
      </c>
      <c r="C6" s="12" t="s">
        <v>598</v>
      </c>
      <c r="D6" s="12" t="s">
        <v>599</v>
      </c>
      <c r="E6" s="12" t="s">
        <v>269</v>
      </c>
      <c r="F6" s="12" t="s">
        <v>65</v>
      </c>
      <c r="G6">
        <v>1</v>
      </c>
      <c r="H6">
        <v>2</v>
      </c>
      <c r="I6">
        <v>1</v>
      </c>
      <c r="J6" s="12" t="s">
        <v>176</v>
      </c>
      <c r="K6" s="12" t="s">
        <v>177</v>
      </c>
      <c r="L6" s="12" t="s">
        <v>134</v>
      </c>
      <c r="M6">
        <v>1.75</v>
      </c>
      <c r="N6" s="12" t="s">
        <v>159</v>
      </c>
      <c r="O6" s="12" t="s">
        <v>160</v>
      </c>
      <c r="P6" s="12" t="s">
        <v>137</v>
      </c>
      <c r="Q6">
        <v>454.90469999999999</v>
      </c>
      <c r="R6">
        <v>499.50450000000001</v>
      </c>
      <c r="S6">
        <v>379.00490000000002</v>
      </c>
      <c r="T6">
        <v>6.5</v>
      </c>
      <c r="U6">
        <v>-3.504</v>
      </c>
      <c r="V6">
        <v>-53.91</v>
      </c>
      <c r="W6">
        <v>120.4996</v>
      </c>
      <c r="X6">
        <v>875</v>
      </c>
      <c r="Y6">
        <v>436614.97</v>
      </c>
      <c r="Z6">
        <v>105437.11</v>
      </c>
      <c r="AA6">
        <v>3030.77</v>
      </c>
      <c r="AB6">
        <v>0</v>
      </c>
      <c r="AC6">
        <v>378435.02</v>
      </c>
      <c r="AD6">
        <v>98.95</v>
      </c>
      <c r="AE6">
        <v>37</v>
      </c>
      <c r="AF6" s="12" t="s">
        <v>7474</v>
      </c>
      <c r="AG6">
        <v>1</v>
      </c>
      <c r="AH6" s="12" t="s">
        <v>7475</v>
      </c>
    </row>
    <row r="7" spans="1:34" x14ac:dyDescent="0.35">
      <c r="A7">
        <v>6</v>
      </c>
      <c r="B7">
        <v>1</v>
      </c>
      <c r="C7" s="12" t="s">
        <v>978</v>
      </c>
      <c r="D7" s="12" t="s">
        <v>979</v>
      </c>
      <c r="E7" s="12" t="s">
        <v>122</v>
      </c>
      <c r="F7" s="12" t="s">
        <v>65</v>
      </c>
      <c r="G7">
        <v>1</v>
      </c>
      <c r="H7">
        <v>2</v>
      </c>
      <c r="I7">
        <v>1</v>
      </c>
      <c r="J7" s="12" t="s">
        <v>310</v>
      </c>
      <c r="K7" s="12" t="s">
        <v>311</v>
      </c>
      <c r="L7" s="12" t="s">
        <v>69</v>
      </c>
      <c r="M7">
        <v>28.3</v>
      </c>
      <c r="N7" s="12" t="s">
        <v>70</v>
      </c>
      <c r="O7" s="12" t="s">
        <v>71</v>
      </c>
      <c r="P7" s="12" t="s">
        <v>72</v>
      </c>
      <c r="Q7">
        <v>43.709699999999998</v>
      </c>
      <c r="R7">
        <v>43.691200000000002</v>
      </c>
      <c r="S7">
        <v>39.263300000000001</v>
      </c>
      <c r="T7">
        <v>4</v>
      </c>
      <c r="U7">
        <v>1.6E-2</v>
      </c>
      <c r="V7">
        <v>0.4</v>
      </c>
      <c r="W7">
        <v>4.4279000000000002</v>
      </c>
      <c r="X7">
        <v>23567</v>
      </c>
      <c r="Y7">
        <v>1026650.19</v>
      </c>
      <c r="Z7">
        <v>104353.4</v>
      </c>
      <c r="AA7">
        <v>7411.81</v>
      </c>
      <c r="AB7">
        <v>1892.88</v>
      </c>
      <c r="AC7">
        <v>0</v>
      </c>
      <c r="AD7">
        <v>99.23</v>
      </c>
      <c r="AE7">
        <v>60</v>
      </c>
      <c r="AF7" s="12" t="s">
        <v>7476</v>
      </c>
      <c r="AG7">
        <v>1</v>
      </c>
      <c r="AH7" s="12" t="s">
        <v>7479</v>
      </c>
    </row>
    <row r="8" spans="1:34" x14ac:dyDescent="0.35">
      <c r="A8">
        <v>7</v>
      </c>
      <c r="B8">
        <v>2</v>
      </c>
      <c r="C8" s="12" t="s">
        <v>630</v>
      </c>
      <c r="D8" s="12" t="s">
        <v>631</v>
      </c>
      <c r="E8" s="12" t="s">
        <v>130</v>
      </c>
      <c r="F8" s="12" t="s">
        <v>65</v>
      </c>
      <c r="G8">
        <v>1</v>
      </c>
      <c r="H8">
        <v>2</v>
      </c>
      <c r="I8">
        <v>1</v>
      </c>
      <c r="J8" s="12" t="s">
        <v>335</v>
      </c>
      <c r="K8" s="12" t="s">
        <v>336</v>
      </c>
      <c r="L8" s="12" t="s">
        <v>82</v>
      </c>
      <c r="M8">
        <v>16</v>
      </c>
      <c r="N8" s="12" t="s">
        <v>159</v>
      </c>
      <c r="O8" s="12" t="s">
        <v>160</v>
      </c>
      <c r="P8" s="12" t="s">
        <v>137</v>
      </c>
      <c r="Q8">
        <v>432.77460000000002</v>
      </c>
      <c r="R8">
        <v>444.29629999999997</v>
      </c>
      <c r="S8">
        <v>345.38839999999999</v>
      </c>
      <c r="T8">
        <v>8</v>
      </c>
      <c r="U8">
        <v>-0.97599999999999998</v>
      </c>
      <c r="V8">
        <v>-12.2</v>
      </c>
      <c r="W8">
        <v>98.907899999999998</v>
      </c>
      <c r="X8">
        <v>1026</v>
      </c>
      <c r="Y8">
        <v>454797.44</v>
      </c>
      <c r="Z8">
        <v>101479.51</v>
      </c>
      <c r="AA8">
        <v>3530.55</v>
      </c>
      <c r="AB8">
        <v>-1270.08</v>
      </c>
      <c r="AC8">
        <v>0</v>
      </c>
      <c r="AD8">
        <v>99.2</v>
      </c>
      <c r="AE8">
        <v>60</v>
      </c>
      <c r="AF8" s="12" t="s">
        <v>7476</v>
      </c>
      <c r="AG8">
        <v>1</v>
      </c>
      <c r="AH8" s="12" t="s">
        <v>7479</v>
      </c>
    </row>
    <row r="9" spans="1:34" x14ac:dyDescent="0.35">
      <c r="A9">
        <v>8</v>
      </c>
      <c r="B9">
        <v>2</v>
      </c>
      <c r="C9" s="12" t="s">
        <v>902</v>
      </c>
      <c r="D9" s="12" t="s">
        <v>903</v>
      </c>
      <c r="E9" s="12" t="s">
        <v>122</v>
      </c>
      <c r="F9" s="12" t="s">
        <v>142</v>
      </c>
      <c r="G9">
        <v>1</v>
      </c>
      <c r="H9">
        <v>6</v>
      </c>
      <c r="I9">
        <v>1</v>
      </c>
      <c r="J9" s="12" t="s">
        <v>105</v>
      </c>
      <c r="K9" s="12" t="s">
        <v>106</v>
      </c>
      <c r="L9" s="12" t="s">
        <v>96</v>
      </c>
      <c r="M9">
        <v>5.01</v>
      </c>
      <c r="N9" s="12" t="s">
        <v>70</v>
      </c>
      <c r="O9" s="12" t="s">
        <v>71</v>
      </c>
      <c r="P9" s="12" t="s">
        <v>72</v>
      </c>
      <c r="Q9">
        <v>40.079000000000001</v>
      </c>
      <c r="R9">
        <v>41.748399999999997</v>
      </c>
      <c r="S9">
        <v>35.988700000000001</v>
      </c>
      <c r="T9">
        <v>4</v>
      </c>
      <c r="U9">
        <v>-1.56</v>
      </c>
      <c r="V9">
        <v>-39</v>
      </c>
      <c r="W9">
        <v>5.7596999999999996</v>
      </c>
      <c r="X9">
        <v>16744</v>
      </c>
      <c r="Y9">
        <v>694927.1</v>
      </c>
      <c r="Z9">
        <v>96439.91</v>
      </c>
      <c r="AA9">
        <v>4725.75</v>
      </c>
      <c r="AB9">
        <v>-1228.31</v>
      </c>
      <c r="AC9">
        <v>0</v>
      </c>
      <c r="AD9">
        <v>99.26</v>
      </c>
      <c r="AE9">
        <v>27</v>
      </c>
      <c r="AF9" s="12" t="s">
        <v>7480</v>
      </c>
      <c r="AG9">
        <v>1</v>
      </c>
      <c r="AH9" s="12" t="s">
        <v>7481</v>
      </c>
    </row>
    <row r="10" spans="1:34" x14ac:dyDescent="0.35">
      <c r="A10">
        <v>9</v>
      </c>
      <c r="B10">
        <v>5</v>
      </c>
      <c r="C10" s="12" t="s">
        <v>404</v>
      </c>
      <c r="D10" s="12" t="s">
        <v>405</v>
      </c>
      <c r="E10" s="12" t="s">
        <v>269</v>
      </c>
      <c r="F10" s="12" t="s">
        <v>65</v>
      </c>
      <c r="G10">
        <v>3</v>
      </c>
      <c r="H10">
        <v>5</v>
      </c>
      <c r="I10">
        <v>0</v>
      </c>
      <c r="J10" s="12" t="s">
        <v>79</v>
      </c>
      <c r="K10" s="12" t="s">
        <v>80</v>
      </c>
      <c r="L10" s="12" t="s">
        <v>82</v>
      </c>
      <c r="M10">
        <v>12.07</v>
      </c>
      <c r="N10" s="12" t="s">
        <v>135</v>
      </c>
      <c r="O10" s="12" t="s">
        <v>136</v>
      </c>
      <c r="P10" s="12" t="s">
        <v>137</v>
      </c>
      <c r="Q10">
        <v>430.41070000000002</v>
      </c>
      <c r="R10">
        <v>430.10059999999999</v>
      </c>
      <c r="S10">
        <v>357.41860000000003</v>
      </c>
      <c r="T10">
        <v>6.5</v>
      </c>
      <c r="U10">
        <v>2.5999999999999999E-2</v>
      </c>
      <c r="V10">
        <v>0.4</v>
      </c>
      <c r="W10">
        <v>72.682000000000002</v>
      </c>
      <c r="X10">
        <v>1293</v>
      </c>
      <c r="Y10">
        <v>557683.88</v>
      </c>
      <c r="Z10">
        <v>93977.83</v>
      </c>
      <c r="AA10">
        <v>3886.54</v>
      </c>
      <c r="AB10">
        <v>1533.19</v>
      </c>
      <c r="AC10">
        <v>0</v>
      </c>
      <c r="AD10">
        <v>99.23</v>
      </c>
      <c r="AE10">
        <v>79</v>
      </c>
      <c r="AF10" s="12" t="s">
        <v>7476</v>
      </c>
      <c r="AG10">
        <v>1</v>
      </c>
      <c r="AH10" s="12" t="s">
        <v>7482</v>
      </c>
    </row>
    <row r="11" spans="1:34" x14ac:dyDescent="0.35">
      <c r="A11">
        <v>10</v>
      </c>
      <c r="B11">
        <v>1</v>
      </c>
      <c r="C11" s="12" t="s">
        <v>1179</v>
      </c>
      <c r="D11" s="12" t="s">
        <v>1180</v>
      </c>
      <c r="E11" s="12" t="s">
        <v>122</v>
      </c>
      <c r="F11" s="12" t="s">
        <v>142</v>
      </c>
      <c r="G11">
        <v>1</v>
      </c>
      <c r="H11">
        <v>8</v>
      </c>
      <c r="I11">
        <v>1</v>
      </c>
      <c r="J11" s="12" t="s">
        <v>143</v>
      </c>
      <c r="K11" s="12" t="s">
        <v>144</v>
      </c>
      <c r="L11" s="12" t="s">
        <v>96</v>
      </c>
      <c r="M11">
        <v>5.43</v>
      </c>
      <c r="N11" s="12" t="s">
        <v>97</v>
      </c>
      <c r="O11" s="12" t="s">
        <v>98</v>
      </c>
      <c r="P11" s="12" t="s">
        <v>72</v>
      </c>
      <c r="Q11">
        <v>53.203499999999998</v>
      </c>
      <c r="R11">
        <v>52.209899999999998</v>
      </c>
      <c r="S11">
        <v>47.908499999999997</v>
      </c>
      <c r="T11">
        <v>4</v>
      </c>
      <c r="U11">
        <v>0.73199999999999998</v>
      </c>
      <c r="V11">
        <v>18.3</v>
      </c>
      <c r="W11">
        <v>4.3014000000000001</v>
      </c>
      <c r="X11">
        <v>21131</v>
      </c>
      <c r="Y11">
        <v>1096526.6499999999</v>
      </c>
      <c r="Z11">
        <v>90892.88</v>
      </c>
      <c r="AA11">
        <v>4801.95</v>
      </c>
      <c r="AB11">
        <v>-6814.55</v>
      </c>
      <c r="AC11">
        <v>0</v>
      </c>
      <c r="AD11">
        <v>99.42</v>
      </c>
      <c r="AE11">
        <v>27</v>
      </c>
      <c r="AF11" s="12" t="s">
        <v>7480</v>
      </c>
      <c r="AG11">
        <v>1</v>
      </c>
      <c r="AH11" s="12" t="s">
        <v>7481</v>
      </c>
    </row>
    <row r="12" spans="1:34" x14ac:dyDescent="0.35">
      <c r="A12">
        <v>11</v>
      </c>
      <c r="B12">
        <v>6</v>
      </c>
      <c r="C12" s="12" t="s">
        <v>640</v>
      </c>
      <c r="D12" s="12" t="s">
        <v>641</v>
      </c>
      <c r="E12" s="12" t="s">
        <v>130</v>
      </c>
      <c r="F12" s="12" t="s">
        <v>104</v>
      </c>
      <c r="G12">
        <v>3</v>
      </c>
      <c r="H12">
        <v>0</v>
      </c>
      <c r="I12">
        <v>0</v>
      </c>
      <c r="J12" s="12" t="s">
        <v>209</v>
      </c>
      <c r="K12" s="12" t="s">
        <v>210</v>
      </c>
      <c r="L12" s="12" t="s">
        <v>96</v>
      </c>
      <c r="M12">
        <v>7.82</v>
      </c>
      <c r="N12" s="12" t="s">
        <v>135</v>
      </c>
      <c r="O12" s="12" t="s">
        <v>136</v>
      </c>
      <c r="P12" s="12" t="s">
        <v>137</v>
      </c>
      <c r="Q12">
        <v>1008.4116</v>
      </c>
      <c r="R12">
        <v>947.05309999999997</v>
      </c>
      <c r="S12">
        <v>820.37549999999999</v>
      </c>
      <c r="T12">
        <v>8</v>
      </c>
      <c r="U12">
        <v>2.5049999999999999</v>
      </c>
      <c r="V12">
        <v>31.31</v>
      </c>
      <c r="W12">
        <v>126.6776</v>
      </c>
      <c r="X12">
        <v>675</v>
      </c>
      <c r="Y12">
        <v>646871.89</v>
      </c>
      <c r="Z12">
        <v>85507.38</v>
      </c>
      <c r="AA12">
        <v>8674.26</v>
      </c>
      <c r="AB12">
        <v>-3184.75</v>
      </c>
      <c r="AC12">
        <v>0</v>
      </c>
      <c r="AD12">
        <v>98.67</v>
      </c>
      <c r="AE12">
        <v>77</v>
      </c>
      <c r="AF12" s="12" t="s">
        <v>7476</v>
      </c>
      <c r="AG12">
        <v>1</v>
      </c>
      <c r="AH12" s="12" t="s">
        <v>7478</v>
      </c>
    </row>
    <row r="13" spans="1:34" x14ac:dyDescent="0.35">
      <c r="A13">
        <v>12</v>
      </c>
      <c r="B13">
        <v>3</v>
      </c>
      <c r="C13" s="12" t="s">
        <v>221</v>
      </c>
      <c r="D13" s="12" t="s">
        <v>222</v>
      </c>
      <c r="E13" s="12" t="s">
        <v>114</v>
      </c>
      <c r="F13" s="12" t="s">
        <v>142</v>
      </c>
      <c r="G13">
        <v>3</v>
      </c>
      <c r="H13">
        <v>11</v>
      </c>
      <c r="I13">
        <v>0</v>
      </c>
      <c r="J13" s="12" t="s">
        <v>105</v>
      </c>
      <c r="K13" s="12" t="s">
        <v>106</v>
      </c>
      <c r="L13" s="12" t="s">
        <v>96</v>
      </c>
      <c r="M13">
        <v>5.01</v>
      </c>
      <c r="N13" s="12" t="s">
        <v>70</v>
      </c>
      <c r="O13" s="12" t="s">
        <v>71</v>
      </c>
      <c r="P13" s="12" t="s">
        <v>72</v>
      </c>
      <c r="Q13">
        <v>231.46299999999999</v>
      </c>
      <c r="R13">
        <v>264.58909999999997</v>
      </c>
      <c r="S13">
        <v>214.1721</v>
      </c>
      <c r="T13">
        <v>3</v>
      </c>
      <c r="U13">
        <v>-5.3879999999999999</v>
      </c>
      <c r="V13">
        <v>-179.6</v>
      </c>
      <c r="W13">
        <v>50.417000000000002</v>
      </c>
      <c r="X13">
        <v>1548</v>
      </c>
      <c r="Y13">
        <v>410583.38</v>
      </c>
      <c r="Z13">
        <v>78045.539999999994</v>
      </c>
      <c r="AA13">
        <v>5312.16</v>
      </c>
      <c r="AC13">
        <v>410583.38</v>
      </c>
      <c r="AD13">
        <v>98.43</v>
      </c>
      <c r="AE13">
        <v>61</v>
      </c>
      <c r="AF13" s="12" t="s">
        <v>7474</v>
      </c>
      <c r="AG13">
        <v>1</v>
      </c>
      <c r="AH13" s="12" t="s">
        <v>7475</v>
      </c>
    </row>
    <row r="14" spans="1:34" x14ac:dyDescent="0.35">
      <c r="A14">
        <v>13</v>
      </c>
      <c r="B14">
        <v>2</v>
      </c>
      <c r="C14" s="12" t="s">
        <v>323</v>
      </c>
      <c r="D14" s="12" t="s">
        <v>324</v>
      </c>
      <c r="E14" s="12" t="s">
        <v>64</v>
      </c>
      <c r="F14" s="12" t="s">
        <v>142</v>
      </c>
      <c r="G14">
        <v>1</v>
      </c>
      <c r="H14">
        <v>7</v>
      </c>
      <c r="I14">
        <v>1</v>
      </c>
      <c r="J14" s="12" t="s">
        <v>143</v>
      </c>
      <c r="K14" s="12" t="s">
        <v>144</v>
      </c>
      <c r="L14" s="12" t="s">
        <v>96</v>
      </c>
      <c r="M14">
        <v>5.43</v>
      </c>
      <c r="N14" s="12" t="s">
        <v>97</v>
      </c>
      <c r="O14" s="12" t="s">
        <v>98</v>
      </c>
      <c r="P14" s="12" t="s">
        <v>72</v>
      </c>
      <c r="Q14">
        <v>39.042700000000004</v>
      </c>
      <c r="R14">
        <v>39.3292</v>
      </c>
      <c r="S14">
        <v>31.729500000000002</v>
      </c>
      <c r="T14">
        <v>7</v>
      </c>
      <c r="U14">
        <v>-0.25600000000000001</v>
      </c>
      <c r="V14">
        <v>-3.66</v>
      </c>
      <c r="W14">
        <v>7.5997000000000003</v>
      </c>
      <c r="X14">
        <v>9567</v>
      </c>
      <c r="Y14">
        <v>375755.12</v>
      </c>
      <c r="Z14">
        <v>72706.7</v>
      </c>
      <c r="AA14">
        <v>2512.0100000000002</v>
      </c>
      <c r="AB14">
        <v>359.32</v>
      </c>
      <c r="AC14">
        <v>0</v>
      </c>
      <c r="AD14">
        <v>99.12</v>
      </c>
      <c r="AE14">
        <v>27</v>
      </c>
      <c r="AF14" s="12" t="s">
        <v>7480</v>
      </c>
      <c r="AG14">
        <v>1</v>
      </c>
      <c r="AH14" s="12" t="s">
        <v>7481</v>
      </c>
    </row>
    <row r="15" spans="1:34" x14ac:dyDescent="0.35">
      <c r="A15">
        <v>14</v>
      </c>
      <c r="B15">
        <v>4</v>
      </c>
      <c r="C15" s="12" t="s">
        <v>1026</v>
      </c>
      <c r="D15" s="12" t="s">
        <v>1027</v>
      </c>
      <c r="E15" s="12" t="s">
        <v>122</v>
      </c>
      <c r="F15" s="12" t="s">
        <v>104</v>
      </c>
      <c r="G15">
        <v>3</v>
      </c>
      <c r="H15">
        <v>1</v>
      </c>
      <c r="I15">
        <v>0</v>
      </c>
      <c r="J15" s="12" t="s">
        <v>183</v>
      </c>
      <c r="K15" s="12" t="s">
        <v>184</v>
      </c>
      <c r="L15" s="12" t="s">
        <v>82</v>
      </c>
      <c r="M15">
        <v>8.6199999999999992</v>
      </c>
      <c r="N15" s="12" t="s">
        <v>70</v>
      </c>
      <c r="O15" s="12" t="s">
        <v>71</v>
      </c>
      <c r="P15" s="12" t="s">
        <v>72</v>
      </c>
      <c r="Q15">
        <v>41.886099999999999</v>
      </c>
      <c r="R15">
        <v>41.381100000000004</v>
      </c>
      <c r="S15">
        <v>37.675899999999999</v>
      </c>
      <c r="T15">
        <v>4</v>
      </c>
      <c r="U15">
        <v>0.46600000000000003</v>
      </c>
      <c r="V15">
        <v>11.65</v>
      </c>
      <c r="W15">
        <v>3.7052</v>
      </c>
      <c r="X15">
        <v>17826</v>
      </c>
      <c r="Y15">
        <v>739415.54</v>
      </c>
      <c r="Z15">
        <v>66048.73</v>
      </c>
      <c r="AA15">
        <v>3333.92</v>
      </c>
      <c r="AB15">
        <v>-4513.82</v>
      </c>
      <c r="AC15">
        <v>625911.87</v>
      </c>
      <c r="AD15">
        <v>99.4</v>
      </c>
      <c r="AE15">
        <v>90</v>
      </c>
      <c r="AF15" s="12" t="s">
        <v>7474</v>
      </c>
      <c r="AG15">
        <v>1</v>
      </c>
      <c r="AH15" s="12" t="s">
        <v>7475</v>
      </c>
    </row>
    <row r="16" spans="1:34" x14ac:dyDescent="0.35">
      <c r="A16">
        <v>15</v>
      </c>
      <c r="B16">
        <v>3</v>
      </c>
      <c r="C16" s="12" t="s">
        <v>990</v>
      </c>
      <c r="D16" s="12" t="s">
        <v>991</v>
      </c>
      <c r="E16" s="12" t="s">
        <v>122</v>
      </c>
      <c r="F16" s="12" t="s">
        <v>142</v>
      </c>
      <c r="G16">
        <v>1</v>
      </c>
      <c r="H16">
        <v>6</v>
      </c>
      <c r="I16">
        <v>1</v>
      </c>
      <c r="J16" s="12" t="s">
        <v>217</v>
      </c>
      <c r="K16" s="12" t="s">
        <v>218</v>
      </c>
      <c r="L16" s="12" t="s">
        <v>82</v>
      </c>
      <c r="M16">
        <v>14.24</v>
      </c>
      <c r="N16" s="12" t="s">
        <v>97</v>
      </c>
      <c r="O16" s="12" t="s">
        <v>98</v>
      </c>
      <c r="P16" s="12" t="s">
        <v>72</v>
      </c>
      <c r="Q16">
        <v>33.697499999999998</v>
      </c>
      <c r="R16">
        <v>33.5533</v>
      </c>
      <c r="S16">
        <v>30.316600000000001</v>
      </c>
      <c r="T16">
        <v>4</v>
      </c>
      <c r="U16">
        <v>0.16600000000000001</v>
      </c>
      <c r="V16">
        <v>4.1500000000000004</v>
      </c>
      <c r="W16">
        <v>3.2366999999999999</v>
      </c>
      <c r="X16">
        <v>19787</v>
      </c>
      <c r="Y16">
        <v>667640.96</v>
      </c>
      <c r="Z16">
        <v>64044.58</v>
      </c>
      <c r="AA16">
        <v>3746.83</v>
      </c>
      <c r="AB16">
        <v>3309.11</v>
      </c>
      <c r="AC16">
        <v>0</v>
      </c>
      <c r="AD16">
        <v>99.27</v>
      </c>
      <c r="AE16">
        <v>36</v>
      </c>
      <c r="AF16" s="12" t="s">
        <v>7480</v>
      </c>
      <c r="AG16">
        <v>1</v>
      </c>
      <c r="AH16" s="12" t="s">
        <v>7481</v>
      </c>
    </row>
    <row r="17" spans="1:34" x14ac:dyDescent="0.35">
      <c r="A17">
        <v>16</v>
      </c>
      <c r="B17">
        <v>7</v>
      </c>
      <c r="C17" s="12" t="s">
        <v>706</v>
      </c>
      <c r="D17" s="12" t="s">
        <v>707</v>
      </c>
      <c r="E17" s="12" t="s">
        <v>130</v>
      </c>
      <c r="F17" s="12" t="s">
        <v>142</v>
      </c>
      <c r="G17">
        <v>1</v>
      </c>
      <c r="H17">
        <v>8</v>
      </c>
      <c r="I17">
        <v>1</v>
      </c>
      <c r="J17" s="12" t="s">
        <v>263</v>
      </c>
      <c r="K17" s="12" t="s">
        <v>264</v>
      </c>
      <c r="L17" s="12" t="s">
        <v>82</v>
      </c>
      <c r="M17">
        <v>10.210000000000001</v>
      </c>
      <c r="N17" s="12" t="s">
        <v>135</v>
      </c>
      <c r="O17" s="12" t="s">
        <v>136</v>
      </c>
      <c r="P17" s="12" t="s">
        <v>137</v>
      </c>
      <c r="Q17">
        <v>277.71210000000002</v>
      </c>
      <c r="R17">
        <v>276.71809999999999</v>
      </c>
      <c r="S17">
        <v>224.83779999999999</v>
      </c>
      <c r="T17">
        <v>8</v>
      </c>
      <c r="U17">
        <v>0.14199999999999999</v>
      </c>
      <c r="V17">
        <v>1.78</v>
      </c>
      <c r="W17">
        <v>51.880299999999998</v>
      </c>
      <c r="X17">
        <v>1229</v>
      </c>
      <c r="Y17">
        <v>341330.3</v>
      </c>
      <c r="Z17">
        <v>63760.89</v>
      </c>
      <c r="AA17">
        <v>2214.7399999999998</v>
      </c>
      <c r="AB17">
        <v>1085.55</v>
      </c>
      <c r="AC17">
        <v>0</v>
      </c>
      <c r="AD17">
        <v>99.35</v>
      </c>
      <c r="AE17">
        <v>36</v>
      </c>
      <c r="AF17" s="12" t="s">
        <v>7480</v>
      </c>
      <c r="AG17">
        <v>1</v>
      </c>
      <c r="AH17" s="12" t="s">
        <v>7481</v>
      </c>
    </row>
    <row r="18" spans="1:34" x14ac:dyDescent="0.35">
      <c r="A18">
        <v>17</v>
      </c>
      <c r="B18">
        <v>8</v>
      </c>
      <c r="C18" s="12" t="s">
        <v>855</v>
      </c>
      <c r="D18" s="12" t="s">
        <v>856</v>
      </c>
      <c r="E18" s="12" t="s">
        <v>269</v>
      </c>
      <c r="F18" s="12" t="s">
        <v>65</v>
      </c>
      <c r="G18">
        <v>3</v>
      </c>
      <c r="H18">
        <v>5</v>
      </c>
      <c r="I18">
        <v>0</v>
      </c>
      <c r="J18" s="12" t="s">
        <v>94</v>
      </c>
      <c r="K18" s="12" t="s">
        <v>95</v>
      </c>
      <c r="L18" s="12" t="s">
        <v>96</v>
      </c>
      <c r="M18">
        <v>4.8099999999999996</v>
      </c>
      <c r="N18" s="12" t="s">
        <v>135</v>
      </c>
      <c r="O18" s="12" t="s">
        <v>136</v>
      </c>
      <c r="P18" s="12" t="s">
        <v>137</v>
      </c>
      <c r="Q18">
        <v>493.6902</v>
      </c>
      <c r="R18">
        <v>466.4701</v>
      </c>
      <c r="S18">
        <v>413.81459999999998</v>
      </c>
      <c r="T18">
        <v>6.5</v>
      </c>
      <c r="U18">
        <v>2.137</v>
      </c>
      <c r="V18">
        <v>32.880000000000003</v>
      </c>
      <c r="W18">
        <v>52.655500000000004</v>
      </c>
      <c r="X18">
        <v>1173</v>
      </c>
      <c r="Y18">
        <v>548805.62</v>
      </c>
      <c r="Z18">
        <v>61764.9</v>
      </c>
      <c r="AA18">
        <v>3744.06</v>
      </c>
      <c r="AB18">
        <v>-4017.96</v>
      </c>
      <c r="AC18">
        <v>0</v>
      </c>
      <c r="AD18">
        <v>99.22</v>
      </c>
      <c r="AE18">
        <v>70</v>
      </c>
      <c r="AF18" s="12" t="s">
        <v>7476</v>
      </c>
      <c r="AG18">
        <v>1</v>
      </c>
      <c r="AH18" s="12" t="s">
        <v>7478</v>
      </c>
    </row>
    <row r="19" spans="1:34" x14ac:dyDescent="0.35">
      <c r="A19">
        <v>18</v>
      </c>
      <c r="B19">
        <v>4</v>
      </c>
      <c r="C19" s="12" t="s">
        <v>399</v>
      </c>
      <c r="D19" s="12" t="s">
        <v>400</v>
      </c>
      <c r="E19" s="12" t="s">
        <v>114</v>
      </c>
      <c r="F19" s="12" t="s">
        <v>65</v>
      </c>
      <c r="G19">
        <v>1</v>
      </c>
      <c r="H19">
        <v>2</v>
      </c>
      <c r="I19">
        <v>1</v>
      </c>
      <c r="J19" s="12" t="s">
        <v>151</v>
      </c>
      <c r="K19" s="12" t="s">
        <v>152</v>
      </c>
      <c r="L19" s="12" t="s">
        <v>69</v>
      </c>
      <c r="M19">
        <v>36.479999999999997</v>
      </c>
      <c r="N19" s="12" t="s">
        <v>97</v>
      </c>
      <c r="O19" s="12" t="s">
        <v>98</v>
      </c>
      <c r="P19" s="12" t="s">
        <v>72</v>
      </c>
      <c r="Q19">
        <v>291.2355</v>
      </c>
      <c r="R19">
        <v>319.6986</v>
      </c>
      <c r="S19">
        <v>268.38170000000002</v>
      </c>
      <c r="T19">
        <v>3</v>
      </c>
      <c r="U19">
        <v>-3.536</v>
      </c>
      <c r="V19">
        <v>-117.87</v>
      </c>
      <c r="W19">
        <v>51.316899999999997</v>
      </c>
      <c r="X19">
        <v>1203</v>
      </c>
      <c r="Y19">
        <v>378324.53</v>
      </c>
      <c r="Z19">
        <v>61734.18</v>
      </c>
      <c r="AA19">
        <v>4989.08</v>
      </c>
      <c r="AB19">
        <v>0</v>
      </c>
      <c r="AC19">
        <v>373648.3</v>
      </c>
      <c r="AD19">
        <v>98.67</v>
      </c>
      <c r="AE19">
        <v>64</v>
      </c>
      <c r="AF19" s="12" t="s">
        <v>7474</v>
      </c>
      <c r="AG19">
        <v>1</v>
      </c>
      <c r="AH19" s="12" t="s">
        <v>7475</v>
      </c>
    </row>
    <row r="20" spans="1:34" x14ac:dyDescent="0.35">
      <c r="A20">
        <v>19</v>
      </c>
      <c r="B20">
        <v>3</v>
      </c>
      <c r="C20" s="12" t="s">
        <v>674</v>
      </c>
      <c r="D20" s="12" t="s">
        <v>675</v>
      </c>
      <c r="E20" s="12" t="s">
        <v>269</v>
      </c>
      <c r="F20" s="12" t="s">
        <v>142</v>
      </c>
      <c r="G20">
        <v>1</v>
      </c>
      <c r="H20">
        <v>7</v>
      </c>
      <c r="I20">
        <v>1</v>
      </c>
      <c r="J20" s="12" t="s">
        <v>676</v>
      </c>
      <c r="K20" s="12" t="s">
        <v>677</v>
      </c>
      <c r="L20" s="12" t="s">
        <v>96</v>
      </c>
      <c r="M20">
        <v>3.57</v>
      </c>
      <c r="N20" s="12" t="s">
        <v>159</v>
      </c>
      <c r="O20" s="12" t="s">
        <v>160</v>
      </c>
      <c r="P20" s="12" t="s">
        <v>137</v>
      </c>
      <c r="Q20">
        <v>356.65309999999999</v>
      </c>
      <c r="R20">
        <v>351.4468</v>
      </c>
      <c r="S20">
        <v>296.92680000000001</v>
      </c>
      <c r="T20">
        <v>6.5</v>
      </c>
      <c r="U20">
        <v>0.53800000000000003</v>
      </c>
      <c r="V20">
        <v>8.2799999999999994</v>
      </c>
      <c r="W20">
        <v>54.52</v>
      </c>
      <c r="X20">
        <v>1109</v>
      </c>
      <c r="Y20">
        <v>403455.27</v>
      </c>
      <c r="Z20">
        <v>60462.65</v>
      </c>
      <c r="AA20">
        <v>2515.61</v>
      </c>
      <c r="AC20">
        <v>403455.27</v>
      </c>
      <c r="AD20">
        <v>99.15</v>
      </c>
      <c r="AE20">
        <v>23</v>
      </c>
      <c r="AF20" s="12" t="s">
        <v>7474</v>
      </c>
      <c r="AG20">
        <v>1</v>
      </c>
      <c r="AH20" s="12" t="s">
        <v>7475</v>
      </c>
    </row>
    <row r="21" spans="1:34" x14ac:dyDescent="0.35">
      <c r="A21">
        <v>20</v>
      </c>
      <c r="B21">
        <v>5</v>
      </c>
      <c r="C21" s="12" t="s">
        <v>472</v>
      </c>
      <c r="D21" s="12" t="s">
        <v>473</v>
      </c>
      <c r="E21" s="12" t="s">
        <v>122</v>
      </c>
      <c r="F21" s="12" t="s">
        <v>142</v>
      </c>
      <c r="G21">
        <v>2</v>
      </c>
      <c r="H21">
        <v>9</v>
      </c>
      <c r="I21">
        <v>0</v>
      </c>
      <c r="J21" s="12" t="s">
        <v>209</v>
      </c>
      <c r="K21" s="12" t="s">
        <v>210</v>
      </c>
      <c r="L21" s="12" t="s">
        <v>96</v>
      </c>
      <c r="M21">
        <v>7.82</v>
      </c>
      <c r="N21" s="12" t="s">
        <v>70</v>
      </c>
      <c r="O21" s="12" t="s">
        <v>71</v>
      </c>
      <c r="P21" s="12" t="s">
        <v>72</v>
      </c>
      <c r="Q21">
        <v>48.7896</v>
      </c>
      <c r="R21">
        <v>47.517299999999999</v>
      </c>
      <c r="S21">
        <v>43.933900000000001</v>
      </c>
      <c r="T21">
        <v>4</v>
      </c>
      <c r="U21">
        <v>1.024</v>
      </c>
      <c r="V21">
        <v>25.6</v>
      </c>
      <c r="W21">
        <v>3.5834000000000001</v>
      </c>
      <c r="X21">
        <v>15253</v>
      </c>
      <c r="Y21">
        <v>742352.47</v>
      </c>
      <c r="Z21">
        <v>54657.48</v>
      </c>
      <c r="AA21">
        <v>4865.5600000000004</v>
      </c>
      <c r="AB21">
        <v>0</v>
      </c>
      <c r="AC21">
        <v>548411.66</v>
      </c>
      <c r="AD21">
        <v>99.34</v>
      </c>
      <c r="AE21">
        <v>47</v>
      </c>
      <c r="AF21" s="12" t="s">
        <v>7474</v>
      </c>
      <c r="AG21">
        <v>1</v>
      </c>
      <c r="AH21" s="12" t="s">
        <v>7475</v>
      </c>
    </row>
    <row r="22" spans="1:34" x14ac:dyDescent="0.35">
      <c r="A22">
        <v>21</v>
      </c>
      <c r="B22">
        <v>4</v>
      </c>
      <c r="C22" s="12" t="s">
        <v>408</v>
      </c>
      <c r="D22" s="12" t="s">
        <v>409</v>
      </c>
      <c r="E22" s="12" t="s">
        <v>130</v>
      </c>
      <c r="F22" s="12" t="s">
        <v>65</v>
      </c>
      <c r="G22">
        <v>3</v>
      </c>
      <c r="H22">
        <v>5</v>
      </c>
      <c r="I22">
        <v>0</v>
      </c>
      <c r="J22" s="12" t="s">
        <v>94</v>
      </c>
      <c r="K22" s="12" t="s">
        <v>95</v>
      </c>
      <c r="L22" s="12" t="s">
        <v>96</v>
      </c>
      <c r="M22">
        <v>4.8099999999999996</v>
      </c>
      <c r="N22" s="12" t="s">
        <v>159</v>
      </c>
      <c r="O22" s="12" t="s">
        <v>160</v>
      </c>
      <c r="P22" s="12" t="s">
        <v>137</v>
      </c>
      <c r="Q22">
        <v>770.47230000000002</v>
      </c>
      <c r="R22">
        <v>772.28819999999996</v>
      </c>
      <c r="S22">
        <v>611.98249999999996</v>
      </c>
      <c r="T22">
        <v>8</v>
      </c>
      <c r="U22">
        <v>-8.5000000000000006E-2</v>
      </c>
      <c r="V22">
        <v>-1.06</v>
      </c>
      <c r="W22">
        <v>160.3057</v>
      </c>
      <c r="X22">
        <v>311</v>
      </c>
      <c r="Y22">
        <v>241053.34</v>
      </c>
      <c r="Z22">
        <v>49855.09</v>
      </c>
      <c r="AA22">
        <v>1534.4</v>
      </c>
      <c r="AC22">
        <v>241053.34</v>
      </c>
      <c r="AD22">
        <v>99.16</v>
      </c>
      <c r="AE22">
        <v>74</v>
      </c>
      <c r="AF22" s="12" t="s">
        <v>7474</v>
      </c>
      <c r="AG22">
        <v>1</v>
      </c>
      <c r="AH22" s="12" t="s">
        <v>7475</v>
      </c>
    </row>
    <row r="23" spans="1:34" x14ac:dyDescent="0.35">
      <c r="A23">
        <v>22</v>
      </c>
      <c r="B23">
        <v>1</v>
      </c>
      <c r="C23" s="12" t="s">
        <v>712</v>
      </c>
      <c r="D23" s="12" t="s">
        <v>713</v>
      </c>
      <c r="E23" s="12" t="s">
        <v>103</v>
      </c>
      <c r="F23" s="12" t="s">
        <v>104</v>
      </c>
      <c r="G23">
        <v>2</v>
      </c>
      <c r="H23">
        <v>0</v>
      </c>
      <c r="I23">
        <v>0</v>
      </c>
      <c r="J23" s="12" t="s">
        <v>199</v>
      </c>
      <c r="K23" s="12" t="s">
        <v>200</v>
      </c>
      <c r="L23" s="12" t="s">
        <v>96</v>
      </c>
      <c r="M23">
        <v>9.4700000000000006</v>
      </c>
      <c r="N23" s="12" t="s">
        <v>107</v>
      </c>
      <c r="O23" s="12" t="s">
        <v>108</v>
      </c>
      <c r="P23" s="12" t="s">
        <v>109</v>
      </c>
      <c r="Q23">
        <v>190.51339999999999</v>
      </c>
      <c r="R23">
        <v>227.32849999999999</v>
      </c>
      <c r="S23">
        <v>180.45079999999999</v>
      </c>
      <c r="T23">
        <v>2</v>
      </c>
      <c r="U23">
        <v>-6.7990000000000004</v>
      </c>
      <c r="V23">
        <v>-339.95</v>
      </c>
      <c r="W23">
        <v>46.877699999999997</v>
      </c>
      <c r="X23">
        <v>1042</v>
      </c>
      <c r="Y23">
        <v>235463.37</v>
      </c>
      <c r="Z23">
        <v>48846.59</v>
      </c>
      <c r="AA23">
        <v>1817.91</v>
      </c>
      <c r="AC23">
        <v>235463.37</v>
      </c>
      <c r="AD23">
        <v>99.02</v>
      </c>
      <c r="AE23">
        <v>76</v>
      </c>
      <c r="AF23" s="12" t="s">
        <v>7474</v>
      </c>
      <c r="AG23">
        <v>1</v>
      </c>
      <c r="AH23" s="12" t="s">
        <v>7475</v>
      </c>
    </row>
    <row r="24" spans="1:34" x14ac:dyDescent="0.35">
      <c r="A24">
        <v>23</v>
      </c>
      <c r="B24">
        <v>9</v>
      </c>
      <c r="C24" s="12" t="s">
        <v>284</v>
      </c>
      <c r="D24" s="12" t="s">
        <v>285</v>
      </c>
      <c r="E24" s="12" t="s">
        <v>269</v>
      </c>
      <c r="F24" s="12" t="s">
        <v>104</v>
      </c>
      <c r="G24">
        <v>3</v>
      </c>
      <c r="H24">
        <v>1</v>
      </c>
      <c r="I24">
        <v>0</v>
      </c>
      <c r="J24" s="12" t="s">
        <v>199</v>
      </c>
      <c r="K24" s="12" t="s">
        <v>200</v>
      </c>
      <c r="L24" s="12" t="s">
        <v>96</v>
      </c>
      <c r="M24">
        <v>9.4700000000000006</v>
      </c>
      <c r="N24" s="12" t="s">
        <v>135</v>
      </c>
      <c r="O24" s="12" t="s">
        <v>136</v>
      </c>
      <c r="P24" s="12" t="s">
        <v>137</v>
      </c>
      <c r="Q24">
        <v>397.87</v>
      </c>
      <c r="R24">
        <v>370.56310000000002</v>
      </c>
      <c r="S24">
        <v>328.2054</v>
      </c>
      <c r="T24">
        <v>6.5</v>
      </c>
      <c r="U24">
        <v>2.452</v>
      </c>
      <c r="V24">
        <v>37.72</v>
      </c>
      <c r="W24">
        <v>42.357700000000001</v>
      </c>
      <c r="X24">
        <v>1078</v>
      </c>
      <c r="Y24">
        <v>412368.8</v>
      </c>
      <c r="Z24">
        <v>45661.64</v>
      </c>
      <c r="AA24">
        <v>3817.99</v>
      </c>
      <c r="AC24">
        <v>412368.8</v>
      </c>
      <c r="AD24">
        <v>99.06</v>
      </c>
      <c r="AE24">
        <v>90</v>
      </c>
      <c r="AF24" s="12" t="s">
        <v>7474</v>
      </c>
      <c r="AG24">
        <v>0</v>
      </c>
      <c r="AH24" s="12" t="s">
        <v>7475</v>
      </c>
    </row>
    <row r="25" spans="1:34" x14ac:dyDescent="0.35">
      <c r="A25">
        <v>24</v>
      </c>
      <c r="B25">
        <v>5</v>
      </c>
      <c r="C25" s="12" t="s">
        <v>823</v>
      </c>
      <c r="D25" s="12" t="s">
        <v>824</v>
      </c>
      <c r="E25" s="12" t="s">
        <v>114</v>
      </c>
      <c r="F25" s="12" t="s">
        <v>142</v>
      </c>
      <c r="G25">
        <v>1</v>
      </c>
      <c r="H25">
        <v>8</v>
      </c>
      <c r="I25">
        <v>1</v>
      </c>
      <c r="J25" s="12" t="s">
        <v>515</v>
      </c>
      <c r="K25" s="12" t="s">
        <v>516</v>
      </c>
      <c r="L25" s="12" t="s">
        <v>134</v>
      </c>
      <c r="M25">
        <v>3.69</v>
      </c>
      <c r="N25" s="12" t="s">
        <v>97</v>
      </c>
      <c r="O25" s="12" t="s">
        <v>98</v>
      </c>
      <c r="P25" s="12" t="s">
        <v>72</v>
      </c>
      <c r="Q25">
        <v>360.32150000000001</v>
      </c>
      <c r="R25">
        <v>361.69060000000002</v>
      </c>
      <c r="S25">
        <v>332.98829999999998</v>
      </c>
      <c r="T25">
        <v>3</v>
      </c>
      <c r="U25">
        <v>-0.14699999999999999</v>
      </c>
      <c r="V25">
        <v>-4.9000000000000004</v>
      </c>
      <c r="W25">
        <v>28.702300000000001</v>
      </c>
      <c r="X25">
        <v>1518</v>
      </c>
      <c r="Y25">
        <v>550211.69999999995</v>
      </c>
      <c r="Z25">
        <v>43570.09</v>
      </c>
      <c r="AA25">
        <v>8343.48</v>
      </c>
      <c r="AB25">
        <v>1153.07</v>
      </c>
      <c r="AC25">
        <v>0</v>
      </c>
      <c r="AD25">
        <v>98.4</v>
      </c>
      <c r="AE25">
        <v>19</v>
      </c>
      <c r="AF25" s="12" t="s">
        <v>7480</v>
      </c>
      <c r="AG25">
        <v>1</v>
      </c>
      <c r="AH25" s="12" t="s">
        <v>7481</v>
      </c>
    </row>
    <row r="26" spans="1:34" x14ac:dyDescent="0.35">
      <c r="A26">
        <v>25</v>
      </c>
      <c r="B26">
        <v>6</v>
      </c>
      <c r="C26" s="12" t="s">
        <v>308</v>
      </c>
      <c r="D26" s="12" t="s">
        <v>309</v>
      </c>
      <c r="E26" s="12" t="s">
        <v>122</v>
      </c>
      <c r="F26" s="12" t="s">
        <v>142</v>
      </c>
      <c r="G26">
        <v>1</v>
      </c>
      <c r="H26">
        <v>6</v>
      </c>
      <c r="I26">
        <v>1</v>
      </c>
      <c r="J26" s="12" t="s">
        <v>310</v>
      </c>
      <c r="K26" s="12" t="s">
        <v>311</v>
      </c>
      <c r="L26" s="12" t="s">
        <v>69</v>
      </c>
      <c r="M26">
        <v>28.3</v>
      </c>
      <c r="N26" s="12" t="s">
        <v>70</v>
      </c>
      <c r="O26" s="12" t="s">
        <v>71</v>
      </c>
      <c r="P26" s="12" t="s">
        <v>72</v>
      </c>
      <c r="Q26">
        <v>59.409700000000001</v>
      </c>
      <c r="R26">
        <v>56.789000000000001</v>
      </c>
      <c r="S26">
        <v>53.120600000000003</v>
      </c>
      <c r="T26">
        <v>4</v>
      </c>
      <c r="U26">
        <v>1.633</v>
      </c>
      <c r="V26">
        <v>40.83</v>
      </c>
      <c r="W26">
        <v>3.6684000000000001</v>
      </c>
      <c r="X26">
        <v>11552</v>
      </c>
      <c r="Y26">
        <v>660641.39</v>
      </c>
      <c r="Z26">
        <v>42377.36</v>
      </c>
      <c r="AA26">
        <v>4293.41</v>
      </c>
      <c r="AB26">
        <v>2169.2600000000002</v>
      </c>
      <c r="AC26">
        <v>0</v>
      </c>
      <c r="AD26">
        <v>99.35</v>
      </c>
      <c r="AE26">
        <v>46</v>
      </c>
      <c r="AF26" s="12" t="s">
        <v>7480</v>
      </c>
      <c r="AG26">
        <v>1</v>
      </c>
      <c r="AH26" s="12" t="s">
        <v>7481</v>
      </c>
    </row>
    <row r="27" spans="1:34" x14ac:dyDescent="0.35">
      <c r="A27">
        <v>26</v>
      </c>
      <c r="B27">
        <v>7</v>
      </c>
      <c r="C27" s="12" t="s">
        <v>952</v>
      </c>
      <c r="D27" s="12" t="s">
        <v>953</v>
      </c>
      <c r="E27" s="12" t="s">
        <v>64</v>
      </c>
      <c r="F27" s="12" t="s">
        <v>142</v>
      </c>
      <c r="G27">
        <v>1</v>
      </c>
      <c r="H27">
        <v>8</v>
      </c>
      <c r="I27">
        <v>1</v>
      </c>
      <c r="J27" s="12" t="s">
        <v>131</v>
      </c>
      <c r="K27" s="12" t="s">
        <v>132</v>
      </c>
      <c r="L27" s="12" t="s">
        <v>134</v>
      </c>
      <c r="M27">
        <v>1.51</v>
      </c>
      <c r="N27" s="12" t="s">
        <v>70</v>
      </c>
      <c r="O27" s="12" t="s">
        <v>71</v>
      </c>
      <c r="P27" s="12" t="s">
        <v>72</v>
      </c>
      <c r="Q27">
        <v>31.146599999999999</v>
      </c>
      <c r="R27">
        <v>30.6557</v>
      </c>
      <c r="S27">
        <v>25.7423</v>
      </c>
      <c r="T27">
        <v>7</v>
      </c>
      <c r="U27">
        <v>0.60299999999999998</v>
      </c>
      <c r="V27">
        <v>8.61</v>
      </c>
      <c r="W27">
        <v>4.9134000000000002</v>
      </c>
      <c r="X27">
        <v>8454</v>
      </c>
      <c r="Y27">
        <v>264990.96999999997</v>
      </c>
      <c r="Z27">
        <v>41537.769999999997</v>
      </c>
      <c r="AA27">
        <v>1970.28</v>
      </c>
      <c r="AB27">
        <v>2140.0100000000002</v>
      </c>
      <c r="AC27">
        <v>0</v>
      </c>
      <c r="AD27">
        <v>99.2</v>
      </c>
      <c r="AE27">
        <v>19</v>
      </c>
      <c r="AF27" s="12" t="s">
        <v>7480</v>
      </c>
      <c r="AG27">
        <v>1</v>
      </c>
      <c r="AH27" s="12" t="s">
        <v>7481</v>
      </c>
    </row>
    <row r="28" spans="1:34" x14ac:dyDescent="0.35">
      <c r="A28">
        <v>27</v>
      </c>
      <c r="B28">
        <v>8</v>
      </c>
      <c r="C28" s="12" t="s">
        <v>347</v>
      </c>
      <c r="D28" s="12" t="s">
        <v>348</v>
      </c>
      <c r="E28" s="12" t="s">
        <v>78</v>
      </c>
      <c r="F28" s="12" t="s">
        <v>104</v>
      </c>
      <c r="G28">
        <v>3</v>
      </c>
      <c r="H28">
        <v>1</v>
      </c>
      <c r="I28">
        <v>0</v>
      </c>
      <c r="J28" s="12" t="s">
        <v>105</v>
      </c>
      <c r="K28" s="12" t="s">
        <v>106</v>
      </c>
      <c r="L28" s="12" t="s">
        <v>96</v>
      </c>
      <c r="M28">
        <v>5.01</v>
      </c>
      <c r="N28" s="12" t="s">
        <v>70</v>
      </c>
      <c r="O28" s="12" t="s">
        <v>71</v>
      </c>
      <c r="P28" s="12" t="s">
        <v>72</v>
      </c>
      <c r="Q28">
        <v>99.534000000000006</v>
      </c>
      <c r="R28">
        <v>109.0634</v>
      </c>
      <c r="S28">
        <v>87.9375</v>
      </c>
      <c r="T28">
        <v>5</v>
      </c>
      <c r="U28">
        <v>-3.859</v>
      </c>
      <c r="V28">
        <v>-77.180000000000007</v>
      </c>
      <c r="W28">
        <v>21.125900000000001</v>
      </c>
      <c r="X28">
        <v>1932</v>
      </c>
      <c r="Y28">
        <v>208598.07</v>
      </c>
      <c r="Z28">
        <v>40815.32</v>
      </c>
      <c r="AA28">
        <v>3115.06</v>
      </c>
      <c r="AB28">
        <v>0</v>
      </c>
      <c r="AC28">
        <v>162967.31</v>
      </c>
      <c r="AD28">
        <v>98.5</v>
      </c>
      <c r="AE28">
        <v>81</v>
      </c>
      <c r="AF28" s="12" t="s">
        <v>7474</v>
      </c>
      <c r="AG28">
        <v>1</v>
      </c>
      <c r="AH28" s="12" t="s">
        <v>7475</v>
      </c>
    </row>
    <row r="29" spans="1:34" x14ac:dyDescent="0.35">
      <c r="A29">
        <v>28</v>
      </c>
      <c r="B29">
        <v>9</v>
      </c>
      <c r="C29" s="12" t="s">
        <v>740</v>
      </c>
      <c r="D29" s="12" t="s">
        <v>741</v>
      </c>
      <c r="E29" s="12" t="s">
        <v>64</v>
      </c>
      <c r="F29" s="12" t="s">
        <v>104</v>
      </c>
      <c r="G29">
        <v>2</v>
      </c>
      <c r="H29">
        <v>0</v>
      </c>
      <c r="I29">
        <v>0</v>
      </c>
      <c r="J29" s="12" t="s">
        <v>183</v>
      </c>
      <c r="K29" s="12" t="s">
        <v>184</v>
      </c>
      <c r="L29" s="12" t="s">
        <v>82</v>
      </c>
      <c r="M29">
        <v>8.6199999999999992</v>
      </c>
      <c r="N29" s="12" t="s">
        <v>70</v>
      </c>
      <c r="O29" s="12" t="s">
        <v>71</v>
      </c>
      <c r="P29" s="12" t="s">
        <v>72</v>
      </c>
      <c r="Q29">
        <v>40.509</v>
      </c>
      <c r="R29">
        <v>41.1374</v>
      </c>
      <c r="S29">
        <v>33.760800000000003</v>
      </c>
      <c r="T29">
        <v>7</v>
      </c>
      <c r="U29">
        <v>-0.61499999999999999</v>
      </c>
      <c r="V29">
        <v>-8.7899999999999991</v>
      </c>
      <c r="W29">
        <v>7.3765999999999998</v>
      </c>
      <c r="X29">
        <v>5413</v>
      </c>
      <c r="Y29">
        <v>221109.18</v>
      </c>
      <c r="Z29">
        <v>39929.54</v>
      </c>
      <c r="AA29">
        <v>1829.63</v>
      </c>
      <c r="AB29">
        <v>-1582.36</v>
      </c>
      <c r="AC29">
        <v>0</v>
      </c>
      <c r="AD29">
        <v>99.17</v>
      </c>
      <c r="AE29">
        <v>72</v>
      </c>
      <c r="AF29" s="12" t="s">
        <v>7476</v>
      </c>
      <c r="AG29">
        <v>0</v>
      </c>
      <c r="AH29" s="12" t="s">
        <v>7482</v>
      </c>
    </row>
    <row r="30" spans="1:34" x14ac:dyDescent="0.35">
      <c r="A30">
        <v>29</v>
      </c>
      <c r="B30">
        <v>10</v>
      </c>
      <c r="C30" s="12" t="s">
        <v>1042</v>
      </c>
      <c r="D30" s="12" t="s">
        <v>1043</v>
      </c>
      <c r="E30" s="12" t="s">
        <v>269</v>
      </c>
      <c r="F30" s="12" t="s">
        <v>104</v>
      </c>
      <c r="G30">
        <v>2</v>
      </c>
      <c r="H30">
        <v>0</v>
      </c>
      <c r="I30">
        <v>0</v>
      </c>
      <c r="J30" s="12" t="s">
        <v>143</v>
      </c>
      <c r="K30" s="12" t="s">
        <v>144</v>
      </c>
      <c r="L30" s="12" t="s">
        <v>96</v>
      </c>
      <c r="M30">
        <v>5.43</v>
      </c>
      <c r="N30" s="12" t="s">
        <v>135</v>
      </c>
      <c r="O30" s="12" t="s">
        <v>136</v>
      </c>
      <c r="P30" s="12" t="s">
        <v>137</v>
      </c>
      <c r="Q30">
        <v>290.76319999999998</v>
      </c>
      <c r="R30">
        <v>283.76319999999998</v>
      </c>
      <c r="S30">
        <v>243.8672</v>
      </c>
      <c r="T30">
        <v>6.5</v>
      </c>
      <c r="U30">
        <v>0.92700000000000005</v>
      </c>
      <c r="V30">
        <v>14.26</v>
      </c>
      <c r="W30">
        <v>39.896000000000001</v>
      </c>
      <c r="X30">
        <v>996</v>
      </c>
      <c r="Y30">
        <v>301642.46999999997</v>
      </c>
      <c r="Z30">
        <v>39736.42</v>
      </c>
      <c r="AA30">
        <v>3061.66</v>
      </c>
      <c r="AB30">
        <v>0</v>
      </c>
      <c r="AC30">
        <v>291742.31</v>
      </c>
      <c r="AD30">
        <v>98.89</v>
      </c>
      <c r="AE30">
        <v>67</v>
      </c>
      <c r="AF30" s="12" t="s">
        <v>7474</v>
      </c>
      <c r="AG30">
        <v>0</v>
      </c>
      <c r="AH30" s="12" t="s">
        <v>7475</v>
      </c>
    </row>
    <row r="31" spans="1:34" x14ac:dyDescent="0.35">
      <c r="A31">
        <v>30</v>
      </c>
      <c r="B31">
        <v>2</v>
      </c>
      <c r="C31" s="12" t="s">
        <v>670</v>
      </c>
      <c r="D31" s="12" t="s">
        <v>671</v>
      </c>
      <c r="E31" s="12" t="s">
        <v>175</v>
      </c>
      <c r="F31" s="12" t="s">
        <v>142</v>
      </c>
      <c r="G31">
        <v>2</v>
      </c>
      <c r="H31">
        <v>9</v>
      </c>
      <c r="I31">
        <v>0</v>
      </c>
      <c r="J31" s="12" t="s">
        <v>105</v>
      </c>
      <c r="K31" s="12" t="s">
        <v>106</v>
      </c>
      <c r="L31" s="12" t="s">
        <v>96</v>
      </c>
      <c r="M31">
        <v>5.01</v>
      </c>
      <c r="N31" s="12" t="s">
        <v>107</v>
      </c>
      <c r="O31" s="12" t="s">
        <v>108</v>
      </c>
      <c r="P31" s="12" t="s">
        <v>109</v>
      </c>
      <c r="Q31">
        <v>148.4254</v>
      </c>
      <c r="R31">
        <v>161.3254</v>
      </c>
      <c r="S31">
        <v>128.73439999999999</v>
      </c>
      <c r="T31">
        <v>5.5</v>
      </c>
      <c r="U31">
        <v>-3.3679999999999999</v>
      </c>
      <c r="V31">
        <v>-61.24</v>
      </c>
      <c r="W31">
        <v>32.591000000000001</v>
      </c>
      <c r="X31">
        <v>1204</v>
      </c>
      <c r="Y31">
        <v>193171.34</v>
      </c>
      <c r="Z31">
        <v>39239.57</v>
      </c>
      <c r="AA31">
        <v>1599.14</v>
      </c>
      <c r="AC31">
        <v>193171.34</v>
      </c>
      <c r="AD31">
        <v>99.11</v>
      </c>
      <c r="AE31">
        <v>47</v>
      </c>
      <c r="AF31" s="12" t="s">
        <v>7474</v>
      </c>
      <c r="AG31">
        <v>1</v>
      </c>
      <c r="AH31" s="12" t="s">
        <v>7475</v>
      </c>
    </row>
    <row r="32" spans="1:34" x14ac:dyDescent="0.35">
      <c r="A32">
        <v>31</v>
      </c>
      <c r="B32">
        <v>10</v>
      </c>
      <c r="C32" s="12" t="s">
        <v>609</v>
      </c>
      <c r="D32" s="12" t="s">
        <v>610</v>
      </c>
      <c r="E32" s="12" t="s">
        <v>64</v>
      </c>
      <c r="F32" s="12" t="s">
        <v>104</v>
      </c>
      <c r="G32">
        <v>1</v>
      </c>
      <c r="H32">
        <v>0</v>
      </c>
      <c r="I32">
        <v>1</v>
      </c>
      <c r="J32" s="12" t="s">
        <v>227</v>
      </c>
      <c r="K32" s="12" t="s">
        <v>228</v>
      </c>
      <c r="L32" s="12" t="s">
        <v>96</v>
      </c>
      <c r="M32">
        <v>9.15</v>
      </c>
      <c r="N32" s="12" t="s">
        <v>70</v>
      </c>
      <c r="O32" s="12" t="s">
        <v>71</v>
      </c>
      <c r="P32" s="12" t="s">
        <v>72</v>
      </c>
      <c r="Q32">
        <v>20.547999999999998</v>
      </c>
      <c r="R32">
        <v>20.493600000000001</v>
      </c>
      <c r="S32">
        <v>16.828099999999999</v>
      </c>
      <c r="T32">
        <v>7</v>
      </c>
      <c r="U32">
        <v>9.6000000000000002E-2</v>
      </c>
      <c r="V32">
        <v>1.37</v>
      </c>
      <c r="W32">
        <v>3.6655000000000002</v>
      </c>
      <c r="X32">
        <v>10035</v>
      </c>
      <c r="Y32">
        <v>208052.08</v>
      </c>
      <c r="Z32">
        <v>36783.370000000003</v>
      </c>
      <c r="AA32">
        <v>1560.98</v>
      </c>
      <c r="AB32">
        <v>481.8</v>
      </c>
      <c r="AC32">
        <v>0</v>
      </c>
      <c r="AD32">
        <v>99.14</v>
      </c>
      <c r="AE32">
        <v>50</v>
      </c>
      <c r="AF32" s="12" t="s">
        <v>7476</v>
      </c>
      <c r="AG32">
        <v>0</v>
      </c>
      <c r="AH32" s="12" t="s">
        <v>7479</v>
      </c>
    </row>
    <row r="33" spans="1:34" x14ac:dyDescent="0.35">
      <c r="A33">
        <v>32</v>
      </c>
      <c r="B33">
        <v>11</v>
      </c>
      <c r="C33" s="12" t="s">
        <v>327</v>
      </c>
      <c r="D33" s="12" t="s">
        <v>328</v>
      </c>
      <c r="E33" s="12" t="s">
        <v>130</v>
      </c>
      <c r="F33" s="12" t="s">
        <v>104</v>
      </c>
      <c r="G33">
        <v>2</v>
      </c>
      <c r="H33">
        <v>0</v>
      </c>
      <c r="I33">
        <v>0</v>
      </c>
      <c r="J33" s="12" t="s">
        <v>94</v>
      </c>
      <c r="K33" s="12" t="s">
        <v>95</v>
      </c>
      <c r="L33" s="12" t="s">
        <v>96</v>
      </c>
      <c r="M33">
        <v>4.8099999999999996</v>
      </c>
      <c r="N33" s="12" t="s">
        <v>135</v>
      </c>
      <c r="O33" s="12" t="s">
        <v>136</v>
      </c>
      <c r="P33" s="12" t="s">
        <v>137</v>
      </c>
      <c r="Q33">
        <v>762.93029999999999</v>
      </c>
      <c r="R33">
        <v>645.14020000000005</v>
      </c>
      <c r="S33">
        <v>601.8125</v>
      </c>
      <c r="T33">
        <v>8</v>
      </c>
      <c r="U33">
        <v>5.7249999999999996</v>
      </c>
      <c r="V33">
        <v>71.56</v>
      </c>
      <c r="W33">
        <v>43.3277</v>
      </c>
      <c r="X33">
        <v>847</v>
      </c>
      <c r="Y33">
        <v>550530.43999999994</v>
      </c>
      <c r="Z33">
        <v>36698.519999999997</v>
      </c>
      <c r="AA33">
        <v>3245.43</v>
      </c>
      <c r="AB33">
        <v>1019.7</v>
      </c>
      <c r="AC33">
        <v>0</v>
      </c>
      <c r="AD33">
        <v>99.37</v>
      </c>
      <c r="AE33">
        <v>63</v>
      </c>
      <c r="AF33" s="12" t="s">
        <v>7476</v>
      </c>
      <c r="AG33">
        <v>0</v>
      </c>
      <c r="AH33" s="12" t="s">
        <v>7478</v>
      </c>
    </row>
    <row r="34" spans="1:34" x14ac:dyDescent="0.35">
      <c r="A34">
        <v>33</v>
      </c>
      <c r="B34">
        <v>12</v>
      </c>
      <c r="C34" s="12" t="s">
        <v>561</v>
      </c>
      <c r="D34" s="12" t="s">
        <v>562</v>
      </c>
      <c r="E34" s="12" t="s">
        <v>130</v>
      </c>
      <c r="F34" s="12" t="s">
        <v>142</v>
      </c>
      <c r="G34">
        <v>1</v>
      </c>
      <c r="H34">
        <v>9</v>
      </c>
      <c r="I34">
        <v>1</v>
      </c>
      <c r="J34" s="12" t="s">
        <v>223</v>
      </c>
      <c r="K34" s="12" t="s">
        <v>224</v>
      </c>
      <c r="L34" s="12" t="s">
        <v>134</v>
      </c>
      <c r="M34">
        <v>2.4900000000000002</v>
      </c>
      <c r="N34" s="12" t="s">
        <v>135</v>
      </c>
      <c r="O34" s="12" t="s">
        <v>136</v>
      </c>
      <c r="P34" s="12" t="s">
        <v>137</v>
      </c>
      <c r="Q34">
        <v>590.36090000000002</v>
      </c>
      <c r="R34">
        <v>502.8981</v>
      </c>
      <c r="S34">
        <v>471.27269999999999</v>
      </c>
      <c r="T34">
        <v>8</v>
      </c>
      <c r="U34">
        <v>5.7610000000000001</v>
      </c>
      <c r="V34">
        <v>72.010000000000005</v>
      </c>
      <c r="W34">
        <v>31.625399999999999</v>
      </c>
      <c r="X34">
        <v>1158</v>
      </c>
      <c r="Y34">
        <v>601807.02</v>
      </c>
      <c r="Z34">
        <v>36622.18</v>
      </c>
      <c r="AA34">
        <v>4690.5600000000004</v>
      </c>
      <c r="AC34">
        <v>601807.02</v>
      </c>
      <c r="AD34">
        <v>99.15</v>
      </c>
      <c r="AE34">
        <v>17</v>
      </c>
      <c r="AF34" s="12" t="s">
        <v>7474</v>
      </c>
      <c r="AG34">
        <v>0</v>
      </c>
      <c r="AH34" s="12" t="s">
        <v>7475</v>
      </c>
    </row>
    <row r="35" spans="1:34" x14ac:dyDescent="0.35">
      <c r="A35">
        <v>34</v>
      </c>
      <c r="B35">
        <v>6</v>
      </c>
      <c r="C35" s="12" t="s">
        <v>963</v>
      </c>
      <c r="D35" s="12" t="s">
        <v>964</v>
      </c>
      <c r="E35" s="12" t="s">
        <v>114</v>
      </c>
      <c r="F35" s="12" t="s">
        <v>142</v>
      </c>
      <c r="G35">
        <v>1</v>
      </c>
      <c r="H35">
        <v>6</v>
      </c>
      <c r="I35">
        <v>1</v>
      </c>
      <c r="J35" s="12" t="s">
        <v>176</v>
      </c>
      <c r="K35" s="12" t="s">
        <v>177</v>
      </c>
      <c r="L35" s="12" t="s">
        <v>134</v>
      </c>
      <c r="M35">
        <v>1.75</v>
      </c>
      <c r="N35" s="12" t="s">
        <v>97</v>
      </c>
      <c r="O35" s="12" t="s">
        <v>98</v>
      </c>
      <c r="P35" s="12" t="s">
        <v>72</v>
      </c>
      <c r="Q35">
        <v>194.73220000000001</v>
      </c>
      <c r="R35">
        <v>213.84719999999999</v>
      </c>
      <c r="S35">
        <v>180.45419999999999</v>
      </c>
      <c r="T35">
        <v>3</v>
      </c>
      <c r="U35">
        <v>-3.8170000000000002</v>
      </c>
      <c r="V35">
        <v>-127.23</v>
      </c>
      <c r="W35">
        <v>33.393000000000001</v>
      </c>
      <c r="X35">
        <v>1093</v>
      </c>
      <c r="Y35">
        <v>230122.71</v>
      </c>
      <c r="Z35">
        <v>36498.53</v>
      </c>
      <c r="AA35">
        <v>3172.04</v>
      </c>
      <c r="AB35">
        <v>307.70999999999998</v>
      </c>
      <c r="AC35">
        <v>187680.47</v>
      </c>
      <c r="AD35">
        <v>98.63</v>
      </c>
      <c r="AE35">
        <v>23</v>
      </c>
      <c r="AF35" s="12" t="s">
        <v>7474</v>
      </c>
      <c r="AG35">
        <v>1</v>
      </c>
      <c r="AH35" s="12" t="s">
        <v>7475</v>
      </c>
    </row>
    <row r="36" spans="1:34" x14ac:dyDescent="0.35">
      <c r="A36">
        <v>35</v>
      </c>
      <c r="B36">
        <v>5</v>
      </c>
      <c r="C36" s="12" t="s">
        <v>1433</v>
      </c>
      <c r="D36" s="12" t="s">
        <v>1434</v>
      </c>
      <c r="E36" s="12" t="s">
        <v>269</v>
      </c>
      <c r="F36" s="12" t="s">
        <v>65</v>
      </c>
      <c r="G36">
        <v>3</v>
      </c>
      <c r="H36">
        <v>5</v>
      </c>
      <c r="I36">
        <v>0</v>
      </c>
      <c r="J36" s="12" t="s">
        <v>223</v>
      </c>
      <c r="K36" s="12" t="s">
        <v>224</v>
      </c>
      <c r="L36" s="12" t="s">
        <v>134</v>
      </c>
      <c r="M36">
        <v>2.4900000000000002</v>
      </c>
      <c r="N36" s="12" t="s">
        <v>159</v>
      </c>
      <c r="O36" s="12" t="s">
        <v>160</v>
      </c>
      <c r="P36" s="12" t="s">
        <v>137</v>
      </c>
      <c r="Q36">
        <v>457.42090000000002</v>
      </c>
      <c r="R36">
        <v>496.68369999999999</v>
      </c>
      <c r="S36">
        <v>391.6961</v>
      </c>
      <c r="T36">
        <v>6.5</v>
      </c>
      <c r="U36">
        <v>-3.6320000000000001</v>
      </c>
      <c r="V36">
        <v>-55.88</v>
      </c>
      <c r="W36">
        <v>104.9876</v>
      </c>
      <c r="X36">
        <v>335</v>
      </c>
      <c r="Y36">
        <v>163550.84</v>
      </c>
      <c r="Z36">
        <v>35170.85</v>
      </c>
      <c r="AA36">
        <v>1943.44</v>
      </c>
      <c r="AC36">
        <v>163550.84</v>
      </c>
      <c r="AD36">
        <v>98.81</v>
      </c>
      <c r="AE36">
        <v>66</v>
      </c>
      <c r="AF36" s="12" t="s">
        <v>7474</v>
      </c>
      <c r="AG36">
        <v>1</v>
      </c>
      <c r="AH36" s="12" t="s">
        <v>7475</v>
      </c>
    </row>
    <row r="37" spans="1:34" x14ac:dyDescent="0.35">
      <c r="A37">
        <v>36</v>
      </c>
      <c r="B37">
        <v>11</v>
      </c>
      <c r="C37" s="12" t="s">
        <v>1013</v>
      </c>
      <c r="D37" s="12" t="s">
        <v>1014</v>
      </c>
      <c r="E37" s="12" t="s">
        <v>78</v>
      </c>
      <c r="F37" s="12" t="s">
        <v>65</v>
      </c>
      <c r="G37">
        <v>2</v>
      </c>
      <c r="H37">
        <v>3</v>
      </c>
      <c r="I37">
        <v>0</v>
      </c>
      <c r="J37" s="12" t="s">
        <v>123</v>
      </c>
      <c r="K37" s="12" t="s">
        <v>124</v>
      </c>
      <c r="L37" s="12" t="s">
        <v>82</v>
      </c>
      <c r="M37">
        <v>6.75</v>
      </c>
      <c r="N37" s="12" t="s">
        <v>70</v>
      </c>
      <c r="O37" s="12" t="s">
        <v>71</v>
      </c>
      <c r="P37" s="12" t="s">
        <v>72</v>
      </c>
      <c r="Q37">
        <v>124.3326</v>
      </c>
      <c r="R37">
        <v>123.17010000000001</v>
      </c>
      <c r="S37">
        <v>108.6979</v>
      </c>
      <c r="T37">
        <v>5</v>
      </c>
      <c r="U37">
        <v>0.35799999999999998</v>
      </c>
      <c r="V37">
        <v>7.16</v>
      </c>
      <c r="W37">
        <v>14.472200000000001</v>
      </c>
      <c r="X37">
        <v>2388</v>
      </c>
      <c r="Y37">
        <v>295175.15999999997</v>
      </c>
      <c r="Z37">
        <v>34559.660000000003</v>
      </c>
      <c r="AA37">
        <v>3591.75</v>
      </c>
      <c r="AB37">
        <v>-3335.09</v>
      </c>
      <c r="AC37">
        <v>0</v>
      </c>
      <c r="AD37">
        <v>98.48</v>
      </c>
      <c r="AE37">
        <v>56</v>
      </c>
      <c r="AF37" s="12" t="s">
        <v>7476</v>
      </c>
      <c r="AG37">
        <v>0</v>
      </c>
      <c r="AH37" s="12" t="s">
        <v>7478</v>
      </c>
    </row>
    <row r="38" spans="1:34" x14ac:dyDescent="0.35">
      <c r="A38">
        <v>37</v>
      </c>
      <c r="B38">
        <v>7</v>
      </c>
      <c r="C38" s="12" t="s">
        <v>62</v>
      </c>
      <c r="D38" s="12" t="s">
        <v>63</v>
      </c>
      <c r="E38" s="12" t="s">
        <v>64</v>
      </c>
      <c r="F38" s="12" t="s">
        <v>65</v>
      </c>
      <c r="G38">
        <v>1</v>
      </c>
      <c r="H38">
        <v>2</v>
      </c>
      <c r="I38">
        <v>1</v>
      </c>
      <c r="J38" s="12" t="s">
        <v>66</v>
      </c>
      <c r="K38" s="12" t="s">
        <v>67</v>
      </c>
      <c r="L38" s="12" t="s">
        <v>69</v>
      </c>
      <c r="M38">
        <v>17.66</v>
      </c>
      <c r="N38" s="12" t="s">
        <v>97</v>
      </c>
      <c r="O38" s="12" t="s">
        <v>98</v>
      </c>
      <c r="P38" s="12" t="s">
        <v>72</v>
      </c>
      <c r="Q38">
        <v>24.687000000000001</v>
      </c>
      <c r="R38">
        <v>24.406500000000001</v>
      </c>
      <c r="S38">
        <v>20.0105</v>
      </c>
      <c r="T38">
        <v>7</v>
      </c>
      <c r="U38">
        <v>0.39400000000000002</v>
      </c>
      <c r="V38">
        <v>5.63</v>
      </c>
      <c r="W38">
        <v>4.3959999999999999</v>
      </c>
      <c r="X38">
        <v>7718</v>
      </c>
      <c r="Y38">
        <v>190069.43</v>
      </c>
      <c r="Z38">
        <v>33928.1</v>
      </c>
      <c r="AA38">
        <v>1476.8</v>
      </c>
      <c r="AC38">
        <v>190069.43</v>
      </c>
      <c r="AD38">
        <v>99.11</v>
      </c>
      <c r="AE38">
        <v>64</v>
      </c>
      <c r="AF38" s="12" t="s">
        <v>7474</v>
      </c>
      <c r="AG38">
        <v>1</v>
      </c>
      <c r="AH38" s="12" t="s">
        <v>7475</v>
      </c>
    </row>
    <row r="39" spans="1:34" x14ac:dyDescent="0.35">
      <c r="A39">
        <v>38</v>
      </c>
      <c r="B39">
        <v>3</v>
      </c>
      <c r="C39" s="12" t="s">
        <v>685</v>
      </c>
      <c r="D39" s="12" t="s">
        <v>686</v>
      </c>
      <c r="E39" s="12" t="s">
        <v>175</v>
      </c>
      <c r="F39" s="12" t="s">
        <v>104</v>
      </c>
      <c r="G39">
        <v>2</v>
      </c>
      <c r="H39">
        <v>0</v>
      </c>
      <c r="I39">
        <v>0</v>
      </c>
      <c r="J39" s="12" t="s">
        <v>243</v>
      </c>
      <c r="K39" s="12" t="s">
        <v>244</v>
      </c>
      <c r="L39" s="12" t="s">
        <v>82</v>
      </c>
      <c r="M39">
        <v>9.2200000000000006</v>
      </c>
      <c r="N39" s="12" t="s">
        <v>107</v>
      </c>
      <c r="O39" s="12" t="s">
        <v>108</v>
      </c>
      <c r="P39" s="12" t="s">
        <v>109</v>
      </c>
      <c r="Q39">
        <v>221.7389</v>
      </c>
      <c r="R39">
        <v>231.3716</v>
      </c>
      <c r="S39">
        <v>191.4316</v>
      </c>
      <c r="T39">
        <v>5.5</v>
      </c>
      <c r="U39">
        <v>-1.65</v>
      </c>
      <c r="V39">
        <v>-30</v>
      </c>
      <c r="W39">
        <v>39.94</v>
      </c>
      <c r="X39">
        <v>838</v>
      </c>
      <c r="Y39">
        <v>196044.88</v>
      </c>
      <c r="Z39">
        <v>33469.699999999997</v>
      </c>
      <c r="AA39">
        <v>1404.96</v>
      </c>
      <c r="AC39">
        <v>196044.88</v>
      </c>
      <c r="AD39">
        <v>99.28</v>
      </c>
      <c r="AE39">
        <v>76</v>
      </c>
      <c r="AF39" s="12" t="s">
        <v>7474</v>
      </c>
      <c r="AG39">
        <v>1</v>
      </c>
      <c r="AH39" s="12" t="s">
        <v>7475</v>
      </c>
    </row>
    <row r="40" spans="1:34" x14ac:dyDescent="0.35">
      <c r="A40">
        <v>39</v>
      </c>
      <c r="B40">
        <v>6</v>
      </c>
      <c r="C40" s="12" t="s">
        <v>972</v>
      </c>
      <c r="D40" s="12" t="s">
        <v>973</v>
      </c>
      <c r="E40" s="12" t="s">
        <v>130</v>
      </c>
      <c r="F40" s="12" t="s">
        <v>142</v>
      </c>
      <c r="G40">
        <v>2</v>
      </c>
      <c r="H40">
        <v>9</v>
      </c>
      <c r="I40">
        <v>0</v>
      </c>
      <c r="J40" s="12" t="s">
        <v>66</v>
      </c>
      <c r="K40" s="12" t="s">
        <v>67</v>
      </c>
      <c r="L40" s="12" t="s">
        <v>69</v>
      </c>
      <c r="M40">
        <v>17.66</v>
      </c>
      <c r="N40" s="12" t="s">
        <v>159</v>
      </c>
      <c r="O40" s="12" t="s">
        <v>160</v>
      </c>
      <c r="P40" s="12" t="s">
        <v>137</v>
      </c>
      <c r="Q40">
        <v>859.46040000000005</v>
      </c>
      <c r="R40">
        <v>784.53480000000002</v>
      </c>
      <c r="S40">
        <v>714.34379999999999</v>
      </c>
      <c r="T40">
        <v>8</v>
      </c>
      <c r="U40">
        <v>4.03</v>
      </c>
      <c r="V40">
        <v>50.38</v>
      </c>
      <c r="W40">
        <v>70.191000000000003</v>
      </c>
      <c r="X40">
        <v>474</v>
      </c>
      <c r="Y40">
        <v>371869.5</v>
      </c>
      <c r="Z40">
        <v>33270.53</v>
      </c>
      <c r="AA40">
        <v>2353.59</v>
      </c>
      <c r="AB40">
        <v>0</v>
      </c>
      <c r="AC40">
        <v>0</v>
      </c>
      <c r="AD40">
        <v>99.37</v>
      </c>
      <c r="AE40">
        <v>62</v>
      </c>
      <c r="AF40" s="12" t="s">
        <v>7476</v>
      </c>
      <c r="AG40">
        <v>1</v>
      </c>
      <c r="AH40" s="12" t="s">
        <v>7482</v>
      </c>
    </row>
    <row r="41" spans="1:34" x14ac:dyDescent="0.35">
      <c r="A41">
        <v>40</v>
      </c>
      <c r="B41">
        <v>13</v>
      </c>
      <c r="C41" s="12" t="s">
        <v>728</v>
      </c>
      <c r="D41" s="12" t="s">
        <v>729</v>
      </c>
      <c r="E41" s="12" t="s">
        <v>269</v>
      </c>
      <c r="F41" s="12" t="s">
        <v>65</v>
      </c>
      <c r="G41">
        <v>2</v>
      </c>
      <c r="H41">
        <v>3</v>
      </c>
      <c r="I41">
        <v>0</v>
      </c>
      <c r="J41" s="12" t="s">
        <v>310</v>
      </c>
      <c r="K41" s="12" t="s">
        <v>311</v>
      </c>
      <c r="L41" s="12" t="s">
        <v>69</v>
      </c>
      <c r="M41">
        <v>28.3</v>
      </c>
      <c r="N41" s="12" t="s">
        <v>135</v>
      </c>
      <c r="O41" s="12" t="s">
        <v>136</v>
      </c>
      <c r="P41" s="12" t="s">
        <v>137</v>
      </c>
      <c r="Q41">
        <v>374.99740000000003</v>
      </c>
      <c r="R41">
        <v>361.08710000000002</v>
      </c>
      <c r="S41">
        <v>314.3888</v>
      </c>
      <c r="T41">
        <v>6.5</v>
      </c>
      <c r="U41">
        <v>1.431</v>
      </c>
      <c r="V41">
        <v>22.02</v>
      </c>
      <c r="W41">
        <v>46.698300000000003</v>
      </c>
      <c r="X41">
        <v>703</v>
      </c>
      <c r="Y41">
        <v>251919.65</v>
      </c>
      <c r="Z41">
        <v>32828.879999999997</v>
      </c>
      <c r="AA41">
        <v>2501.6799999999998</v>
      </c>
      <c r="AB41">
        <v>-312.95999999999998</v>
      </c>
      <c r="AC41">
        <v>0</v>
      </c>
      <c r="AD41">
        <v>99</v>
      </c>
      <c r="AE41">
        <v>75</v>
      </c>
      <c r="AF41" s="12" t="s">
        <v>7476</v>
      </c>
      <c r="AG41">
        <v>0</v>
      </c>
      <c r="AH41" s="12" t="s">
        <v>7482</v>
      </c>
    </row>
    <row r="42" spans="1:34" x14ac:dyDescent="0.35">
      <c r="A42">
        <v>41</v>
      </c>
      <c r="B42">
        <v>4</v>
      </c>
      <c r="C42" s="12" t="s">
        <v>537</v>
      </c>
      <c r="D42" s="12" t="s">
        <v>538</v>
      </c>
      <c r="E42" s="12" t="s">
        <v>103</v>
      </c>
      <c r="F42" s="12" t="s">
        <v>104</v>
      </c>
      <c r="G42">
        <v>3</v>
      </c>
      <c r="H42">
        <v>0</v>
      </c>
      <c r="I42">
        <v>0</v>
      </c>
      <c r="J42" s="12" t="s">
        <v>380</v>
      </c>
      <c r="K42" s="12" t="s">
        <v>381</v>
      </c>
      <c r="L42" s="12" t="s">
        <v>96</v>
      </c>
      <c r="M42">
        <v>10.210000000000001</v>
      </c>
      <c r="N42" s="12" t="s">
        <v>107</v>
      </c>
      <c r="O42" s="12" t="s">
        <v>108</v>
      </c>
      <c r="P42" s="12" t="s">
        <v>109</v>
      </c>
      <c r="Q42">
        <v>228.6361</v>
      </c>
      <c r="R42">
        <v>246.30879999999999</v>
      </c>
      <c r="S42">
        <v>216.3194</v>
      </c>
      <c r="T42">
        <v>2</v>
      </c>
      <c r="U42">
        <v>-2.754</v>
      </c>
      <c r="V42">
        <v>-137.69999999999999</v>
      </c>
      <c r="W42">
        <v>29.9894</v>
      </c>
      <c r="X42">
        <v>1007</v>
      </c>
      <c r="Y42">
        <v>245216.27</v>
      </c>
      <c r="Z42">
        <v>30199.29</v>
      </c>
      <c r="AA42">
        <v>1694.49</v>
      </c>
      <c r="AB42">
        <v>1040.3399999999999</v>
      </c>
      <c r="AC42">
        <v>0</v>
      </c>
      <c r="AD42">
        <v>99.19</v>
      </c>
      <c r="AE42">
        <v>86</v>
      </c>
      <c r="AF42" s="12" t="s">
        <v>7476</v>
      </c>
      <c r="AG42">
        <v>1</v>
      </c>
      <c r="AH42" s="12" t="s">
        <v>7482</v>
      </c>
    </row>
    <row r="43" spans="1:34" x14ac:dyDescent="0.35">
      <c r="A43">
        <v>42</v>
      </c>
      <c r="B43">
        <v>8</v>
      </c>
      <c r="C43" s="12" t="s">
        <v>569</v>
      </c>
      <c r="D43" s="12" t="s">
        <v>570</v>
      </c>
      <c r="E43" s="12" t="s">
        <v>114</v>
      </c>
      <c r="F43" s="12" t="s">
        <v>142</v>
      </c>
      <c r="G43">
        <v>1</v>
      </c>
      <c r="H43">
        <v>6</v>
      </c>
      <c r="I43">
        <v>1</v>
      </c>
      <c r="J43" s="12" t="s">
        <v>123</v>
      </c>
      <c r="K43" s="12" t="s">
        <v>124</v>
      </c>
      <c r="L43" s="12" t="s">
        <v>82</v>
      </c>
      <c r="M43">
        <v>6.75</v>
      </c>
      <c r="N43" s="12" t="s">
        <v>97</v>
      </c>
      <c r="O43" s="12" t="s">
        <v>98</v>
      </c>
      <c r="P43" s="12" t="s">
        <v>72</v>
      </c>
      <c r="Q43">
        <v>349.9393</v>
      </c>
      <c r="R43">
        <v>348.21159999999998</v>
      </c>
      <c r="S43">
        <v>321.90969999999999</v>
      </c>
      <c r="T43">
        <v>3</v>
      </c>
      <c r="U43">
        <v>0.18099999999999999</v>
      </c>
      <c r="V43">
        <v>6.03</v>
      </c>
      <c r="W43">
        <v>26.3019</v>
      </c>
      <c r="X43">
        <v>1146</v>
      </c>
      <c r="Y43">
        <v>398238.54</v>
      </c>
      <c r="Z43">
        <v>30141.98</v>
      </c>
      <c r="AA43">
        <v>3812.36</v>
      </c>
      <c r="AB43">
        <v>-1026.5</v>
      </c>
      <c r="AC43">
        <v>0</v>
      </c>
      <c r="AD43">
        <v>98.9</v>
      </c>
      <c r="AE43">
        <v>27</v>
      </c>
      <c r="AF43" s="12" t="s">
        <v>7483</v>
      </c>
      <c r="AG43">
        <v>0</v>
      </c>
      <c r="AH43" s="12" t="s">
        <v>7484</v>
      </c>
    </row>
    <row r="44" spans="1:34" x14ac:dyDescent="0.35">
      <c r="A44">
        <v>43</v>
      </c>
      <c r="B44">
        <v>1</v>
      </c>
      <c r="C44" s="12" t="s">
        <v>498</v>
      </c>
      <c r="D44" s="12" t="s">
        <v>499</v>
      </c>
      <c r="E44" s="12" t="s">
        <v>175</v>
      </c>
      <c r="F44" s="12" t="s">
        <v>104</v>
      </c>
      <c r="G44">
        <v>3</v>
      </c>
      <c r="H44">
        <v>1</v>
      </c>
      <c r="I44">
        <v>0</v>
      </c>
      <c r="J44" s="12" t="s">
        <v>233</v>
      </c>
      <c r="K44" s="12" t="s">
        <v>234</v>
      </c>
      <c r="L44" s="12" t="s">
        <v>96</v>
      </c>
      <c r="M44">
        <v>3.73</v>
      </c>
      <c r="N44" s="12" t="s">
        <v>145</v>
      </c>
      <c r="O44" s="12" t="s">
        <v>146</v>
      </c>
      <c r="P44" s="12" t="s">
        <v>109</v>
      </c>
      <c r="Q44">
        <v>275.12700000000001</v>
      </c>
      <c r="R44">
        <v>262.52229999999997</v>
      </c>
      <c r="S44">
        <v>235.39580000000001</v>
      </c>
      <c r="T44">
        <v>5.5</v>
      </c>
      <c r="U44">
        <v>1.6870000000000001</v>
      </c>
      <c r="V44">
        <v>30.67</v>
      </c>
      <c r="W44">
        <v>27.1265</v>
      </c>
      <c r="X44">
        <v>1056</v>
      </c>
      <c r="Y44">
        <v>278430.2</v>
      </c>
      <c r="Z44">
        <v>28645.58</v>
      </c>
      <c r="AA44">
        <v>2381.34</v>
      </c>
      <c r="AB44">
        <v>0</v>
      </c>
      <c r="AC44">
        <v>0</v>
      </c>
      <c r="AD44">
        <v>99.04</v>
      </c>
      <c r="AE44">
        <v>69</v>
      </c>
      <c r="AF44" s="12" t="s">
        <v>7476</v>
      </c>
      <c r="AG44">
        <v>1</v>
      </c>
      <c r="AH44" s="12" t="s">
        <v>7478</v>
      </c>
    </row>
    <row r="45" spans="1:34" x14ac:dyDescent="0.35">
      <c r="A45">
        <v>44</v>
      </c>
      <c r="B45">
        <v>5</v>
      </c>
      <c r="C45" s="12" t="s">
        <v>1166</v>
      </c>
      <c r="D45" s="12" t="s">
        <v>1167</v>
      </c>
      <c r="E45" s="12" t="s">
        <v>175</v>
      </c>
      <c r="F45" s="12" t="s">
        <v>65</v>
      </c>
      <c r="G45">
        <v>3</v>
      </c>
      <c r="H45">
        <v>5</v>
      </c>
      <c r="I45">
        <v>0</v>
      </c>
      <c r="J45" s="12" t="s">
        <v>143</v>
      </c>
      <c r="K45" s="12" t="s">
        <v>144</v>
      </c>
      <c r="L45" s="12" t="s">
        <v>96</v>
      </c>
      <c r="M45">
        <v>5.43</v>
      </c>
      <c r="N45" s="12" t="s">
        <v>107</v>
      </c>
      <c r="O45" s="12" t="s">
        <v>108</v>
      </c>
      <c r="P45" s="12" t="s">
        <v>109</v>
      </c>
      <c r="Q45">
        <v>248.16210000000001</v>
      </c>
      <c r="R45">
        <v>245.05629999999999</v>
      </c>
      <c r="S45">
        <v>215.54409999999999</v>
      </c>
      <c r="T45">
        <v>5.5</v>
      </c>
      <c r="U45">
        <v>0.504</v>
      </c>
      <c r="V45">
        <v>9.16</v>
      </c>
      <c r="W45">
        <v>29.5122</v>
      </c>
      <c r="X45">
        <v>942</v>
      </c>
      <c r="Y45">
        <v>231906.56</v>
      </c>
      <c r="Z45">
        <v>27800.51</v>
      </c>
      <c r="AA45">
        <v>2967.7</v>
      </c>
      <c r="AC45">
        <v>231906.56</v>
      </c>
      <c r="AD45">
        <v>98.73</v>
      </c>
      <c r="AE45">
        <v>74</v>
      </c>
      <c r="AF45" s="12" t="s">
        <v>7474</v>
      </c>
      <c r="AG45">
        <v>1</v>
      </c>
      <c r="AH45" s="12" t="s">
        <v>7475</v>
      </c>
    </row>
    <row r="46" spans="1:34" x14ac:dyDescent="0.35">
      <c r="A46">
        <v>45</v>
      </c>
      <c r="B46">
        <v>12</v>
      </c>
      <c r="C46" s="12" t="s">
        <v>261</v>
      </c>
      <c r="D46" s="12" t="s">
        <v>262</v>
      </c>
      <c r="E46" s="12" t="s">
        <v>114</v>
      </c>
      <c r="F46" s="12" t="s">
        <v>142</v>
      </c>
      <c r="G46">
        <v>1</v>
      </c>
      <c r="H46">
        <v>8</v>
      </c>
      <c r="I46">
        <v>1</v>
      </c>
      <c r="J46" s="12" t="s">
        <v>263</v>
      </c>
      <c r="K46" s="12" t="s">
        <v>264</v>
      </c>
      <c r="L46" s="12" t="s">
        <v>82</v>
      </c>
      <c r="M46">
        <v>10.210000000000001</v>
      </c>
      <c r="N46" s="12" t="s">
        <v>70</v>
      </c>
      <c r="O46" s="12" t="s">
        <v>71</v>
      </c>
      <c r="P46" s="12" t="s">
        <v>72</v>
      </c>
      <c r="Q46">
        <v>139.99549999999999</v>
      </c>
      <c r="R46">
        <v>152.34989999999999</v>
      </c>
      <c r="S46">
        <v>128.22630000000001</v>
      </c>
      <c r="T46">
        <v>3</v>
      </c>
      <c r="U46">
        <v>-2.9769999999999999</v>
      </c>
      <c r="V46">
        <v>-99.23</v>
      </c>
      <c r="W46">
        <v>24.1236</v>
      </c>
      <c r="X46">
        <v>1149</v>
      </c>
      <c r="Y46">
        <v>172940.94</v>
      </c>
      <c r="Z46">
        <v>27718</v>
      </c>
      <c r="AA46">
        <v>3012.42</v>
      </c>
      <c r="AB46">
        <v>0</v>
      </c>
      <c r="AC46">
        <v>159569.91</v>
      </c>
      <c r="AD46">
        <v>98.01</v>
      </c>
      <c r="AE46">
        <v>40</v>
      </c>
      <c r="AF46" s="12" t="s">
        <v>7474</v>
      </c>
      <c r="AG46">
        <v>0</v>
      </c>
      <c r="AH46" s="12" t="s">
        <v>7475</v>
      </c>
    </row>
    <row r="47" spans="1:34" x14ac:dyDescent="0.35">
      <c r="A47">
        <v>46</v>
      </c>
      <c r="B47">
        <v>14</v>
      </c>
      <c r="C47" s="12" t="s">
        <v>447</v>
      </c>
      <c r="D47" s="12" t="s">
        <v>448</v>
      </c>
      <c r="E47" s="12" t="s">
        <v>269</v>
      </c>
      <c r="F47" s="12" t="s">
        <v>65</v>
      </c>
      <c r="G47">
        <v>2</v>
      </c>
      <c r="H47">
        <v>2</v>
      </c>
      <c r="I47">
        <v>0</v>
      </c>
      <c r="J47" s="12" t="s">
        <v>94</v>
      </c>
      <c r="K47" s="12" t="s">
        <v>95</v>
      </c>
      <c r="L47" s="12" t="s">
        <v>96</v>
      </c>
      <c r="M47">
        <v>4.8099999999999996</v>
      </c>
      <c r="N47" s="12" t="s">
        <v>135</v>
      </c>
      <c r="O47" s="12" t="s">
        <v>136</v>
      </c>
      <c r="P47" s="12" t="s">
        <v>137</v>
      </c>
      <c r="Q47">
        <v>388.54930000000002</v>
      </c>
      <c r="R47">
        <v>354.90120000000002</v>
      </c>
      <c r="S47">
        <v>321.57389999999998</v>
      </c>
      <c r="T47">
        <v>6.5</v>
      </c>
      <c r="U47">
        <v>3.1669999999999998</v>
      </c>
      <c r="V47">
        <v>48.72</v>
      </c>
      <c r="W47">
        <v>33.327300000000001</v>
      </c>
      <c r="X47">
        <v>807</v>
      </c>
      <c r="Y47">
        <v>293757.81</v>
      </c>
      <c r="Z47">
        <v>26895.15</v>
      </c>
      <c r="AA47">
        <v>2203.8000000000002</v>
      </c>
      <c r="AB47">
        <v>-2653.36</v>
      </c>
      <c r="AC47">
        <v>0</v>
      </c>
      <c r="AD47">
        <v>99.06</v>
      </c>
      <c r="AE47">
        <v>63</v>
      </c>
      <c r="AF47" s="12" t="s">
        <v>7476</v>
      </c>
      <c r="AG47">
        <v>0</v>
      </c>
      <c r="AH47" s="12" t="s">
        <v>7478</v>
      </c>
    </row>
    <row r="48" spans="1:34" x14ac:dyDescent="0.35">
      <c r="A48">
        <v>47</v>
      </c>
      <c r="B48">
        <v>7</v>
      </c>
      <c r="C48" s="12" t="s">
        <v>442</v>
      </c>
      <c r="D48" s="12" t="s">
        <v>443</v>
      </c>
      <c r="E48" s="12" t="s">
        <v>130</v>
      </c>
      <c r="F48" s="12" t="s">
        <v>65</v>
      </c>
      <c r="G48">
        <v>3</v>
      </c>
      <c r="H48">
        <v>4</v>
      </c>
      <c r="I48">
        <v>0</v>
      </c>
      <c r="J48" s="12" t="s">
        <v>251</v>
      </c>
      <c r="K48" s="12" t="s">
        <v>252</v>
      </c>
      <c r="L48" s="12" t="s">
        <v>69</v>
      </c>
      <c r="M48">
        <v>34.49</v>
      </c>
      <c r="N48" s="12" t="s">
        <v>159</v>
      </c>
      <c r="O48" s="12" t="s">
        <v>160</v>
      </c>
      <c r="P48" s="12" t="s">
        <v>137</v>
      </c>
      <c r="Q48">
        <v>615.01959999999997</v>
      </c>
      <c r="R48">
        <v>524.31690000000003</v>
      </c>
      <c r="S48">
        <v>491.28480000000002</v>
      </c>
      <c r="T48">
        <v>8</v>
      </c>
      <c r="U48">
        <v>5.7510000000000003</v>
      </c>
      <c r="V48">
        <v>71.89</v>
      </c>
      <c r="W48">
        <v>33.0321</v>
      </c>
      <c r="X48">
        <v>793</v>
      </c>
      <c r="Y48">
        <v>402552.1</v>
      </c>
      <c r="Z48">
        <v>26194.43</v>
      </c>
      <c r="AA48">
        <v>3568.32</v>
      </c>
      <c r="AB48">
        <v>-5386.22</v>
      </c>
      <c r="AC48">
        <v>0</v>
      </c>
      <c r="AD48">
        <v>99.12</v>
      </c>
      <c r="AE48">
        <v>89</v>
      </c>
      <c r="AF48" s="12" t="s">
        <v>7476</v>
      </c>
      <c r="AG48">
        <v>1</v>
      </c>
      <c r="AH48" s="12" t="s">
        <v>7482</v>
      </c>
    </row>
    <row r="49" spans="1:34" x14ac:dyDescent="0.35">
      <c r="A49">
        <v>48</v>
      </c>
      <c r="B49">
        <v>13</v>
      </c>
      <c r="C49" s="12" t="s">
        <v>747</v>
      </c>
      <c r="D49" s="12" t="s">
        <v>748</v>
      </c>
      <c r="E49" s="12" t="s">
        <v>114</v>
      </c>
      <c r="F49" s="12" t="s">
        <v>104</v>
      </c>
      <c r="G49">
        <v>2</v>
      </c>
      <c r="H49">
        <v>0</v>
      </c>
      <c r="I49">
        <v>0</v>
      </c>
      <c r="J49" s="12" t="s">
        <v>380</v>
      </c>
      <c r="K49" s="12" t="s">
        <v>381</v>
      </c>
      <c r="L49" s="12" t="s">
        <v>96</v>
      </c>
      <c r="M49">
        <v>10.210000000000001</v>
      </c>
      <c r="N49" s="12" t="s">
        <v>70</v>
      </c>
      <c r="O49" s="12" t="s">
        <v>71</v>
      </c>
      <c r="P49" s="12" t="s">
        <v>72</v>
      </c>
      <c r="Q49">
        <v>245.56890000000001</v>
      </c>
      <c r="R49">
        <v>262.20100000000002</v>
      </c>
      <c r="S49">
        <v>227.6814</v>
      </c>
      <c r="T49">
        <v>3</v>
      </c>
      <c r="U49">
        <v>-2.6739999999999999</v>
      </c>
      <c r="V49">
        <v>-89.13</v>
      </c>
      <c r="W49">
        <v>34.519599999999997</v>
      </c>
      <c r="X49">
        <v>719</v>
      </c>
      <c r="Y49">
        <v>182509.34</v>
      </c>
      <c r="Z49">
        <v>24819.56</v>
      </c>
      <c r="AA49">
        <v>2541.36</v>
      </c>
      <c r="AB49">
        <v>0</v>
      </c>
      <c r="AC49">
        <v>134581.95000000001</v>
      </c>
      <c r="AD49">
        <v>98.61</v>
      </c>
      <c r="AE49">
        <v>76</v>
      </c>
      <c r="AF49" s="12" t="s">
        <v>7474</v>
      </c>
      <c r="AG49">
        <v>0</v>
      </c>
      <c r="AH49" s="12" t="s">
        <v>7475</v>
      </c>
    </row>
    <row r="50" spans="1:34" x14ac:dyDescent="0.35">
      <c r="A50">
        <v>49</v>
      </c>
      <c r="B50">
        <v>15</v>
      </c>
      <c r="C50" s="12" t="s">
        <v>477</v>
      </c>
      <c r="D50" s="12" t="s">
        <v>478</v>
      </c>
      <c r="E50" s="12" t="s">
        <v>130</v>
      </c>
      <c r="F50" s="12" t="s">
        <v>104</v>
      </c>
      <c r="G50">
        <v>3</v>
      </c>
      <c r="H50">
        <v>1</v>
      </c>
      <c r="I50">
        <v>0</v>
      </c>
      <c r="J50" s="12" t="s">
        <v>380</v>
      </c>
      <c r="K50" s="12" t="s">
        <v>381</v>
      </c>
      <c r="L50" s="12" t="s">
        <v>96</v>
      </c>
      <c r="M50">
        <v>10.210000000000001</v>
      </c>
      <c r="N50" s="12" t="s">
        <v>135</v>
      </c>
      <c r="O50" s="12" t="s">
        <v>136</v>
      </c>
      <c r="P50" s="12" t="s">
        <v>137</v>
      </c>
      <c r="Q50">
        <v>778.59670000000006</v>
      </c>
      <c r="R50">
        <v>656.68050000000005</v>
      </c>
      <c r="S50">
        <v>627.52589999999998</v>
      </c>
      <c r="T50">
        <v>8</v>
      </c>
      <c r="U50">
        <v>6.37</v>
      </c>
      <c r="V50">
        <v>79.63</v>
      </c>
      <c r="W50">
        <v>29.154599999999999</v>
      </c>
      <c r="X50">
        <v>850</v>
      </c>
      <c r="Y50">
        <v>566653.15</v>
      </c>
      <c r="Z50">
        <v>24781.41</v>
      </c>
      <c r="AA50">
        <v>3359.17</v>
      </c>
      <c r="AB50">
        <v>-2773.55</v>
      </c>
      <c r="AC50">
        <v>0</v>
      </c>
      <c r="AD50">
        <v>99.33</v>
      </c>
      <c r="AE50">
        <v>86</v>
      </c>
      <c r="AF50" s="12" t="s">
        <v>7476</v>
      </c>
      <c r="AG50">
        <v>0</v>
      </c>
      <c r="AH50" s="12" t="s">
        <v>7482</v>
      </c>
    </row>
    <row r="51" spans="1:34" x14ac:dyDescent="0.35">
      <c r="A51">
        <v>50</v>
      </c>
      <c r="B51">
        <v>9</v>
      </c>
      <c r="C51" s="12" t="s">
        <v>302</v>
      </c>
      <c r="D51" s="12" t="s">
        <v>303</v>
      </c>
      <c r="E51" s="12" t="s">
        <v>78</v>
      </c>
      <c r="F51" s="12" t="s">
        <v>65</v>
      </c>
      <c r="G51">
        <v>2</v>
      </c>
      <c r="H51">
        <v>3</v>
      </c>
      <c r="I51">
        <v>0</v>
      </c>
      <c r="J51" s="12" t="s">
        <v>335</v>
      </c>
      <c r="K51" s="12" t="s">
        <v>336</v>
      </c>
      <c r="L51" s="12" t="s">
        <v>82</v>
      </c>
      <c r="M51">
        <v>16</v>
      </c>
      <c r="N51" s="12" t="s">
        <v>97</v>
      </c>
      <c r="O51" s="12" t="s">
        <v>98</v>
      </c>
      <c r="P51" s="12" t="s">
        <v>72</v>
      </c>
      <c r="Q51">
        <v>144.41300000000001</v>
      </c>
      <c r="R51">
        <v>139.67009999999999</v>
      </c>
      <c r="S51">
        <v>125.369</v>
      </c>
      <c r="T51">
        <v>5</v>
      </c>
      <c r="U51">
        <v>1.204</v>
      </c>
      <c r="V51">
        <v>24.08</v>
      </c>
      <c r="W51">
        <v>14.3011</v>
      </c>
      <c r="X51">
        <v>1682</v>
      </c>
      <c r="Y51">
        <v>232154.42</v>
      </c>
      <c r="Z51">
        <v>24054.41</v>
      </c>
      <c r="AA51">
        <v>4264.03</v>
      </c>
      <c r="AB51">
        <v>337.49</v>
      </c>
      <c r="AC51">
        <v>0</v>
      </c>
      <c r="AD51">
        <v>98.16</v>
      </c>
      <c r="AE51">
        <v>75</v>
      </c>
      <c r="AF51" s="12" t="s">
        <v>7476</v>
      </c>
      <c r="AG51">
        <v>0</v>
      </c>
      <c r="AH51" s="12" t="s">
        <v>7482</v>
      </c>
    </row>
    <row r="52" spans="1:34" x14ac:dyDescent="0.35">
      <c r="A52">
        <v>51</v>
      </c>
      <c r="B52">
        <v>10</v>
      </c>
      <c r="C52" s="12" t="s">
        <v>472</v>
      </c>
      <c r="D52" s="12" t="s">
        <v>473</v>
      </c>
      <c r="E52" s="12" t="s">
        <v>122</v>
      </c>
      <c r="F52" s="12" t="s">
        <v>142</v>
      </c>
      <c r="G52">
        <v>2</v>
      </c>
      <c r="H52">
        <v>9</v>
      </c>
      <c r="I52">
        <v>0</v>
      </c>
      <c r="J52" s="12" t="s">
        <v>87</v>
      </c>
      <c r="K52" s="12" t="s">
        <v>88</v>
      </c>
      <c r="L52" s="12" t="s">
        <v>69</v>
      </c>
      <c r="M52">
        <v>14.93</v>
      </c>
      <c r="N52" s="12" t="s">
        <v>97</v>
      </c>
      <c r="O52" s="12" t="s">
        <v>98</v>
      </c>
      <c r="P52" s="12" t="s">
        <v>72</v>
      </c>
      <c r="Q52">
        <v>48.7896</v>
      </c>
      <c r="R52">
        <v>46.924199999999999</v>
      </c>
      <c r="S52">
        <v>44.091999999999999</v>
      </c>
      <c r="T52">
        <v>4</v>
      </c>
      <c r="U52">
        <v>1.5589999999999999</v>
      </c>
      <c r="V52">
        <v>38.979999999999997</v>
      </c>
      <c r="W52">
        <v>2.8321999999999998</v>
      </c>
      <c r="X52">
        <v>8489</v>
      </c>
      <c r="Y52">
        <v>398339.53</v>
      </c>
      <c r="Z52">
        <v>24042.55</v>
      </c>
      <c r="AA52">
        <v>2064.67</v>
      </c>
      <c r="AB52">
        <v>0</v>
      </c>
      <c r="AC52">
        <v>0</v>
      </c>
      <c r="AD52">
        <v>99.35</v>
      </c>
      <c r="AE52">
        <v>52</v>
      </c>
      <c r="AF52" s="12" t="s">
        <v>7476</v>
      </c>
      <c r="AG52">
        <v>0</v>
      </c>
      <c r="AH52" s="12" t="s">
        <v>7482</v>
      </c>
    </row>
    <row r="53" spans="1:34" x14ac:dyDescent="0.35">
      <c r="A53">
        <v>52</v>
      </c>
      <c r="B53">
        <v>6</v>
      </c>
      <c r="C53" s="12" t="s">
        <v>241</v>
      </c>
      <c r="D53" s="12" t="s">
        <v>242</v>
      </c>
      <c r="E53" s="12" t="s">
        <v>103</v>
      </c>
      <c r="F53" s="12" t="s">
        <v>142</v>
      </c>
      <c r="G53">
        <v>3</v>
      </c>
      <c r="H53">
        <v>11</v>
      </c>
      <c r="I53">
        <v>0</v>
      </c>
      <c r="J53" s="12" t="s">
        <v>243</v>
      </c>
      <c r="K53" s="12" t="s">
        <v>244</v>
      </c>
      <c r="L53" s="12" t="s">
        <v>82</v>
      </c>
      <c r="M53">
        <v>9.2200000000000006</v>
      </c>
      <c r="N53" s="12" t="s">
        <v>107</v>
      </c>
      <c r="O53" s="12" t="s">
        <v>108</v>
      </c>
      <c r="P53" s="12" t="s">
        <v>109</v>
      </c>
      <c r="Q53">
        <v>164.8845</v>
      </c>
      <c r="R53">
        <v>179.61799999999999</v>
      </c>
      <c r="S53">
        <v>155.5112</v>
      </c>
      <c r="T53">
        <v>2</v>
      </c>
      <c r="U53">
        <v>-2.9990000000000001</v>
      </c>
      <c r="V53">
        <v>-149.94999999999999</v>
      </c>
      <c r="W53">
        <v>24.1068</v>
      </c>
      <c r="X53">
        <v>966</v>
      </c>
      <c r="Y53">
        <v>170591.16</v>
      </c>
      <c r="Z53">
        <v>23287.18</v>
      </c>
      <c r="AA53">
        <v>1232.8599999999999</v>
      </c>
      <c r="AC53">
        <v>170591.16</v>
      </c>
      <c r="AD53">
        <v>99.25</v>
      </c>
      <c r="AE53">
        <v>70</v>
      </c>
      <c r="AF53" s="12" t="s">
        <v>7474</v>
      </c>
      <c r="AG53">
        <v>1</v>
      </c>
      <c r="AH53" s="12" t="s">
        <v>7475</v>
      </c>
    </row>
    <row r="54" spans="1:34" x14ac:dyDescent="0.35">
      <c r="A54">
        <v>53</v>
      </c>
      <c r="B54">
        <v>11</v>
      </c>
      <c r="C54" s="12" t="s">
        <v>1054</v>
      </c>
      <c r="D54" s="12" t="s">
        <v>1055</v>
      </c>
      <c r="E54" s="12" t="s">
        <v>122</v>
      </c>
      <c r="F54" s="12" t="s">
        <v>65</v>
      </c>
      <c r="G54">
        <v>1</v>
      </c>
      <c r="H54">
        <v>2</v>
      </c>
      <c r="I54">
        <v>1</v>
      </c>
      <c r="J54" s="12" t="s">
        <v>176</v>
      </c>
      <c r="K54" s="12" t="s">
        <v>177</v>
      </c>
      <c r="L54" s="12" t="s">
        <v>134</v>
      </c>
      <c r="M54">
        <v>1.75</v>
      </c>
      <c r="N54" s="12" t="s">
        <v>97</v>
      </c>
      <c r="O54" s="12" t="s">
        <v>98</v>
      </c>
      <c r="P54" s="12" t="s">
        <v>72</v>
      </c>
      <c r="Q54">
        <v>46.916699999999999</v>
      </c>
      <c r="R54">
        <v>44.811300000000003</v>
      </c>
      <c r="S54">
        <v>42.5642</v>
      </c>
      <c r="T54">
        <v>4</v>
      </c>
      <c r="U54">
        <v>1.907</v>
      </c>
      <c r="V54">
        <v>47.68</v>
      </c>
      <c r="W54">
        <v>2.2471000000000001</v>
      </c>
      <c r="X54">
        <v>10320</v>
      </c>
      <c r="Y54">
        <v>469098.47</v>
      </c>
      <c r="Z54">
        <v>23190.07</v>
      </c>
      <c r="AA54">
        <v>3892.08</v>
      </c>
      <c r="AB54">
        <v>3378.6</v>
      </c>
      <c r="AC54">
        <v>0</v>
      </c>
      <c r="AD54">
        <v>99.17</v>
      </c>
      <c r="AE54">
        <v>33</v>
      </c>
      <c r="AF54" s="12" t="s">
        <v>7483</v>
      </c>
      <c r="AG54">
        <v>0</v>
      </c>
      <c r="AH54" s="12" t="s">
        <v>7484</v>
      </c>
    </row>
    <row r="55" spans="1:34" x14ac:dyDescent="0.35">
      <c r="A55">
        <v>54</v>
      </c>
      <c r="B55">
        <v>14</v>
      </c>
      <c r="C55" s="12" t="s">
        <v>454</v>
      </c>
      <c r="D55" s="12" t="s">
        <v>455</v>
      </c>
      <c r="E55" s="12" t="s">
        <v>122</v>
      </c>
      <c r="F55" s="12" t="s">
        <v>104</v>
      </c>
      <c r="G55">
        <v>3</v>
      </c>
      <c r="H55">
        <v>1</v>
      </c>
      <c r="I55">
        <v>0</v>
      </c>
      <c r="J55" s="12" t="s">
        <v>87</v>
      </c>
      <c r="K55" s="12" t="s">
        <v>88</v>
      </c>
      <c r="L55" s="12" t="s">
        <v>69</v>
      </c>
      <c r="M55">
        <v>14.93</v>
      </c>
      <c r="N55" s="12" t="s">
        <v>70</v>
      </c>
      <c r="O55" s="12" t="s">
        <v>71</v>
      </c>
      <c r="P55" s="12" t="s">
        <v>72</v>
      </c>
      <c r="Q55">
        <v>21.657</v>
      </c>
      <c r="R55">
        <v>21.032599999999999</v>
      </c>
      <c r="S55">
        <v>19.355699999999999</v>
      </c>
      <c r="T55">
        <v>4</v>
      </c>
      <c r="U55">
        <v>1.0580000000000001</v>
      </c>
      <c r="V55">
        <v>26.45</v>
      </c>
      <c r="W55">
        <v>1.6769000000000001</v>
      </c>
      <c r="X55">
        <v>12880</v>
      </c>
      <c r="Y55">
        <v>270899.89</v>
      </c>
      <c r="Z55">
        <v>21598.47</v>
      </c>
      <c r="AA55">
        <v>1913.97</v>
      </c>
      <c r="AB55">
        <v>0</v>
      </c>
      <c r="AC55">
        <v>0</v>
      </c>
      <c r="AD55">
        <v>99.29</v>
      </c>
      <c r="AE55">
        <v>86</v>
      </c>
      <c r="AF55" s="12" t="s">
        <v>7476</v>
      </c>
      <c r="AG55">
        <v>0</v>
      </c>
      <c r="AH55" s="12" t="s">
        <v>7482</v>
      </c>
    </row>
    <row r="56" spans="1:34" x14ac:dyDescent="0.35">
      <c r="A56">
        <v>55</v>
      </c>
      <c r="B56">
        <v>7</v>
      </c>
      <c r="C56" s="12" t="s">
        <v>289</v>
      </c>
      <c r="D56" s="12" t="s">
        <v>290</v>
      </c>
      <c r="E56" s="12" t="s">
        <v>175</v>
      </c>
      <c r="F56" s="12" t="s">
        <v>104</v>
      </c>
      <c r="G56">
        <v>3</v>
      </c>
      <c r="H56">
        <v>1</v>
      </c>
      <c r="I56">
        <v>0</v>
      </c>
      <c r="J56" s="12" t="s">
        <v>157</v>
      </c>
      <c r="K56" s="12" t="s">
        <v>158</v>
      </c>
      <c r="L56" s="12" t="s">
        <v>96</v>
      </c>
      <c r="M56">
        <v>4.72</v>
      </c>
      <c r="N56" s="12" t="s">
        <v>107</v>
      </c>
      <c r="O56" s="12" t="s">
        <v>108</v>
      </c>
      <c r="P56" s="12" t="s">
        <v>109</v>
      </c>
      <c r="Q56">
        <v>194.9136</v>
      </c>
      <c r="R56">
        <v>187.89179999999999</v>
      </c>
      <c r="S56">
        <v>165.75970000000001</v>
      </c>
      <c r="T56">
        <v>5.5</v>
      </c>
      <c r="U56">
        <v>1.2729999999999999</v>
      </c>
      <c r="V56">
        <v>23.15</v>
      </c>
      <c r="W56">
        <v>22.132100000000001</v>
      </c>
      <c r="X56">
        <v>945</v>
      </c>
      <c r="Y56">
        <v>179227.78</v>
      </c>
      <c r="Z56">
        <v>20914.810000000001</v>
      </c>
      <c r="AA56">
        <v>2084.9899999999998</v>
      </c>
      <c r="AC56">
        <v>179227.78</v>
      </c>
      <c r="AD56">
        <v>98.78</v>
      </c>
      <c r="AE56">
        <v>81</v>
      </c>
      <c r="AF56" s="12" t="s">
        <v>7474</v>
      </c>
      <c r="AG56">
        <v>1</v>
      </c>
      <c r="AH56" s="12" t="s">
        <v>7475</v>
      </c>
    </row>
    <row r="57" spans="1:34" x14ac:dyDescent="0.35">
      <c r="A57">
        <v>56</v>
      </c>
      <c r="B57">
        <v>15</v>
      </c>
      <c r="C57" s="12" t="s">
        <v>317</v>
      </c>
      <c r="D57" s="12" t="s">
        <v>318</v>
      </c>
      <c r="E57" s="12" t="s">
        <v>64</v>
      </c>
      <c r="F57" s="12" t="s">
        <v>104</v>
      </c>
      <c r="G57">
        <v>2</v>
      </c>
      <c r="H57">
        <v>0</v>
      </c>
      <c r="I57">
        <v>0</v>
      </c>
      <c r="J57" s="12" t="s">
        <v>169</v>
      </c>
      <c r="K57" s="12" t="s">
        <v>170</v>
      </c>
      <c r="L57" s="12" t="s">
        <v>134</v>
      </c>
      <c r="M57">
        <v>1.37</v>
      </c>
      <c r="N57" s="12" t="s">
        <v>70</v>
      </c>
      <c r="O57" s="12" t="s">
        <v>71</v>
      </c>
      <c r="P57" s="12" t="s">
        <v>72</v>
      </c>
      <c r="Q57">
        <v>15.744</v>
      </c>
      <c r="R57">
        <v>15.823399999999999</v>
      </c>
      <c r="S57">
        <v>12.966100000000001</v>
      </c>
      <c r="T57">
        <v>7</v>
      </c>
      <c r="U57">
        <v>-0.188</v>
      </c>
      <c r="V57">
        <v>-2.69</v>
      </c>
      <c r="W57">
        <v>2.8573</v>
      </c>
      <c r="X57">
        <v>7248</v>
      </c>
      <c r="Y57">
        <v>114688</v>
      </c>
      <c r="Z57">
        <v>20709.71</v>
      </c>
      <c r="AA57">
        <v>1107.6300000000001</v>
      </c>
      <c r="AB57">
        <v>0</v>
      </c>
      <c r="AC57">
        <v>0</v>
      </c>
      <c r="AD57">
        <v>99.03</v>
      </c>
      <c r="AE57">
        <v>55</v>
      </c>
      <c r="AF57" s="12" t="s">
        <v>7476</v>
      </c>
      <c r="AG57">
        <v>0</v>
      </c>
      <c r="AH57" s="12" t="s">
        <v>7478</v>
      </c>
    </row>
    <row r="58" spans="1:34" x14ac:dyDescent="0.35">
      <c r="A58">
        <v>57</v>
      </c>
      <c r="B58">
        <v>16</v>
      </c>
      <c r="C58" s="12" t="s">
        <v>391</v>
      </c>
      <c r="D58" s="12" t="s">
        <v>392</v>
      </c>
      <c r="E58" s="12" t="s">
        <v>114</v>
      </c>
      <c r="F58" s="12" t="s">
        <v>65</v>
      </c>
      <c r="G58">
        <v>2</v>
      </c>
      <c r="H58">
        <v>2</v>
      </c>
      <c r="I58">
        <v>0</v>
      </c>
      <c r="J58" s="12" t="s">
        <v>310</v>
      </c>
      <c r="K58" s="12" t="s">
        <v>311</v>
      </c>
      <c r="L58" s="12" t="s">
        <v>69</v>
      </c>
      <c r="M58">
        <v>28.3</v>
      </c>
      <c r="N58" s="12" t="s">
        <v>70</v>
      </c>
      <c r="O58" s="12" t="s">
        <v>71</v>
      </c>
      <c r="P58" s="12" t="s">
        <v>72</v>
      </c>
      <c r="Q58">
        <v>223.56530000000001</v>
      </c>
      <c r="R58">
        <v>242.6498</v>
      </c>
      <c r="S58">
        <v>205.5266</v>
      </c>
      <c r="T58">
        <v>3</v>
      </c>
      <c r="U58">
        <v>-3.01</v>
      </c>
      <c r="V58">
        <v>-100.33</v>
      </c>
      <c r="W58">
        <v>37.123199999999997</v>
      </c>
      <c r="X58">
        <v>555</v>
      </c>
      <c r="Y58">
        <v>133552.26</v>
      </c>
      <c r="Z58">
        <v>20603.38</v>
      </c>
      <c r="AA58">
        <v>1913.67</v>
      </c>
      <c r="AB58">
        <v>0</v>
      </c>
      <c r="AC58">
        <v>126281.44</v>
      </c>
      <c r="AD58">
        <v>98.07</v>
      </c>
      <c r="AE58">
        <v>86</v>
      </c>
      <c r="AF58" s="12" t="s">
        <v>7474</v>
      </c>
      <c r="AG58">
        <v>0</v>
      </c>
      <c r="AH58" s="12" t="s">
        <v>7475</v>
      </c>
    </row>
    <row r="59" spans="1:34" x14ac:dyDescent="0.35">
      <c r="A59">
        <v>58</v>
      </c>
      <c r="B59">
        <v>12</v>
      </c>
      <c r="C59" s="12" t="s">
        <v>207</v>
      </c>
      <c r="D59" s="12" t="s">
        <v>208</v>
      </c>
      <c r="E59" s="12" t="s">
        <v>78</v>
      </c>
      <c r="F59" s="12" t="s">
        <v>65</v>
      </c>
      <c r="G59">
        <v>2</v>
      </c>
      <c r="H59">
        <v>3</v>
      </c>
      <c r="I59">
        <v>0</v>
      </c>
      <c r="J59" s="12" t="s">
        <v>209</v>
      </c>
      <c r="K59" s="12" t="s">
        <v>210</v>
      </c>
      <c r="L59" s="12" t="s">
        <v>96</v>
      </c>
      <c r="M59">
        <v>7.82</v>
      </c>
      <c r="N59" s="12" t="s">
        <v>97</v>
      </c>
      <c r="O59" s="12" t="s">
        <v>98</v>
      </c>
      <c r="P59" s="12" t="s">
        <v>72</v>
      </c>
      <c r="Q59">
        <v>152.13079999999999</v>
      </c>
      <c r="R59">
        <v>141.48689999999999</v>
      </c>
      <c r="S59">
        <v>131.535</v>
      </c>
      <c r="T59">
        <v>5</v>
      </c>
      <c r="U59">
        <v>2.5249999999999999</v>
      </c>
      <c r="V59">
        <v>50.5</v>
      </c>
      <c r="W59">
        <v>9.9519000000000002</v>
      </c>
      <c r="X59">
        <v>2061</v>
      </c>
      <c r="Y59">
        <v>295051.96000000002</v>
      </c>
      <c r="Z59">
        <v>20510.78</v>
      </c>
      <c r="AA59">
        <v>3320.29</v>
      </c>
      <c r="AB59">
        <v>-4149.38</v>
      </c>
      <c r="AC59">
        <v>0</v>
      </c>
      <c r="AD59">
        <v>98.88</v>
      </c>
      <c r="AE59">
        <v>56</v>
      </c>
      <c r="AF59" s="12" t="s">
        <v>7476</v>
      </c>
      <c r="AG59">
        <v>0</v>
      </c>
      <c r="AH59" s="12" t="s">
        <v>7478</v>
      </c>
    </row>
    <row r="60" spans="1:34" x14ac:dyDescent="0.35">
      <c r="A60">
        <v>59</v>
      </c>
      <c r="B60">
        <v>13</v>
      </c>
      <c r="C60" s="12" t="s">
        <v>416</v>
      </c>
      <c r="D60" s="12" t="s">
        <v>417</v>
      </c>
      <c r="E60" s="12" t="s">
        <v>78</v>
      </c>
      <c r="F60" s="12" t="s">
        <v>65</v>
      </c>
      <c r="G60">
        <v>3</v>
      </c>
      <c r="H60">
        <v>5</v>
      </c>
      <c r="I60">
        <v>0</v>
      </c>
      <c r="J60" s="12" t="s">
        <v>87</v>
      </c>
      <c r="K60" s="12" t="s">
        <v>88</v>
      </c>
      <c r="L60" s="12" t="s">
        <v>69</v>
      </c>
      <c r="M60">
        <v>14.93</v>
      </c>
      <c r="N60" s="12" t="s">
        <v>97</v>
      </c>
      <c r="O60" s="12" t="s">
        <v>98</v>
      </c>
      <c r="P60" s="12" t="s">
        <v>72</v>
      </c>
      <c r="Q60">
        <v>144.15710000000001</v>
      </c>
      <c r="R60">
        <v>149.0299</v>
      </c>
      <c r="S60">
        <v>125.2368</v>
      </c>
      <c r="T60">
        <v>5</v>
      </c>
      <c r="U60">
        <v>-1.2190000000000001</v>
      </c>
      <c r="V60">
        <v>-24.38</v>
      </c>
      <c r="W60">
        <v>23.793099999999999</v>
      </c>
      <c r="X60">
        <v>858</v>
      </c>
      <c r="Y60">
        <v>131512.04</v>
      </c>
      <c r="Z60">
        <v>20414.48</v>
      </c>
      <c r="AA60">
        <v>2344.23</v>
      </c>
      <c r="AC60">
        <v>131512.04</v>
      </c>
      <c r="AD60">
        <v>97.82</v>
      </c>
      <c r="AE60">
        <v>83</v>
      </c>
      <c r="AF60" s="12" t="s">
        <v>7474</v>
      </c>
      <c r="AG60">
        <v>0</v>
      </c>
      <c r="AH60" s="12" t="s">
        <v>7475</v>
      </c>
    </row>
    <row r="61" spans="1:34" x14ac:dyDescent="0.35">
      <c r="A61">
        <v>60</v>
      </c>
      <c r="B61">
        <v>14</v>
      </c>
      <c r="C61" s="12" t="s">
        <v>532</v>
      </c>
      <c r="D61" s="12" t="s">
        <v>533</v>
      </c>
      <c r="E61" s="12" t="s">
        <v>114</v>
      </c>
      <c r="F61" s="12" t="s">
        <v>65</v>
      </c>
      <c r="G61">
        <v>2</v>
      </c>
      <c r="H61">
        <v>3</v>
      </c>
      <c r="I61">
        <v>0</v>
      </c>
      <c r="J61" s="12" t="s">
        <v>105</v>
      </c>
      <c r="K61" s="12" t="s">
        <v>106</v>
      </c>
      <c r="L61" s="12" t="s">
        <v>96</v>
      </c>
      <c r="M61">
        <v>5.01</v>
      </c>
      <c r="N61" s="12" t="s">
        <v>97</v>
      </c>
      <c r="O61" s="12" t="s">
        <v>98</v>
      </c>
      <c r="P61" s="12" t="s">
        <v>72</v>
      </c>
      <c r="Q61">
        <v>251.49690000000001</v>
      </c>
      <c r="R61">
        <v>249.89959999999999</v>
      </c>
      <c r="S61">
        <v>231.62729999999999</v>
      </c>
      <c r="T61">
        <v>3</v>
      </c>
      <c r="U61">
        <v>0.23599999999999999</v>
      </c>
      <c r="V61">
        <v>7.87</v>
      </c>
      <c r="W61">
        <v>18.272300000000001</v>
      </c>
      <c r="X61">
        <v>1100</v>
      </c>
      <c r="Y61">
        <v>273589.31</v>
      </c>
      <c r="Z61">
        <v>20099.53</v>
      </c>
      <c r="AA61">
        <v>4733.68</v>
      </c>
      <c r="AB61">
        <v>-1307.67</v>
      </c>
      <c r="AC61">
        <v>0</v>
      </c>
      <c r="AD61">
        <v>98.27</v>
      </c>
      <c r="AE61">
        <v>56</v>
      </c>
      <c r="AF61" s="12" t="s">
        <v>7476</v>
      </c>
      <c r="AG61">
        <v>0</v>
      </c>
      <c r="AH61" s="12" t="s">
        <v>7478</v>
      </c>
    </row>
    <row r="62" spans="1:34" x14ac:dyDescent="0.35">
      <c r="A62">
        <v>61</v>
      </c>
      <c r="B62">
        <v>8</v>
      </c>
      <c r="C62" s="12" t="s">
        <v>412</v>
      </c>
      <c r="D62" s="12" t="s">
        <v>413</v>
      </c>
      <c r="E62" s="12" t="s">
        <v>269</v>
      </c>
      <c r="F62" s="12" t="s">
        <v>65</v>
      </c>
      <c r="G62">
        <v>1</v>
      </c>
      <c r="H62">
        <v>2</v>
      </c>
      <c r="I62">
        <v>1</v>
      </c>
      <c r="J62" s="12" t="s">
        <v>233</v>
      </c>
      <c r="K62" s="12" t="s">
        <v>234</v>
      </c>
      <c r="L62" s="12" t="s">
        <v>96</v>
      </c>
      <c r="M62">
        <v>3.73</v>
      </c>
      <c r="N62" s="12" t="s">
        <v>159</v>
      </c>
      <c r="O62" s="12" t="s">
        <v>160</v>
      </c>
      <c r="P62" s="12" t="s">
        <v>137</v>
      </c>
      <c r="Q62">
        <v>104.4832</v>
      </c>
      <c r="R62">
        <v>103.87350000000001</v>
      </c>
      <c r="S62">
        <v>86.537099999999995</v>
      </c>
      <c r="T62">
        <v>6.5</v>
      </c>
      <c r="U62">
        <v>0.20899999999999999</v>
      </c>
      <c r="V62">
        <v>3.22</v>
      </c>
      <c r="W62">
        <v>17.336400000000001</v>
      </c>
      <c r="X62">
        <v>1128</v>
      </c>
      <c r="Y62">
        <v>117169.32</v>
      </c>
      <c r="Z62">
        <v>19555.46</v>
      </c>
      <c r="AA62">
        <v>623.22</v>
      </c>
      <c r="AB62">
        <v>0</v>
      </c>
      <c r="AC62">
        <v>0</v>
      </c>
      <c r="AD62">
        <v>99.33</v>
      </c>
      <c r="AE62">
        <v>33</v>
      </c>
      <c r="AF62" s="12" t="s">
        <v>7483</v>
      </c>
      <c r="AG62">
        <v>0</v>
      </c>
      <c r="AH62" s="12" t="s">
        <v>7484</v>
      </c>
    </row>
    <row r="63" spans="1:34" x14ac:dyDescent="0.35">
      <c r="A63">
        <v>62</v>
      </c>
      <c r="B63">
        <v>17</v>
      </c>
      <c r="C63" s="12" t="s">
        <v>680</v>
      </c>
      <c r="D63" s="12" t="s">
        <v>681</v>
      </c>
      <c r="E63" s="12" t="s">
        <v>122</v>
      </c>
      <c r="F63" s="12" t="s">
        <v>104</v>
      </c>
      <c r="G63">
        <v>3</v>
      </c>
      <c r="H63">
        <v>1</v>
      </c>
      <c r="I63">
        <v>0</v>
      </c>
      <c r="J63" s="12" t="s">
        <v>227</v>
      </c>
      <c r="K63" s="12" t="s">
        <v>228</v>
      </c>
      <c r="L63" s="12" t="s">
        <v>96</v>
      </c>
      <c r="M63">
        <v>9.15</v>
      </c>
      <c r="N63" s="12" t="s">
        <v>70</v>
      </c>
      <c r="O63" s="12" t="s">
        <v>71</v>
      </c>
      <c r="P63" s="12" t="s">
        <v>72</v>
      </c>
      <c r="Q63">
        <v>23.246099999999998</v>
      </c>
      <c r="R63">
        <v>22.4269</v>
      </c>
      <c r="S63">
        <v>20.866900000000001</v>
      </c>
      <c r="T63">
        <v>4</v>
      </c>
      <c r="U63">
        <v>1.347</v>
      </c>
      <c r="V63">
        <v>33.68</v>
      </c>
      <c r="W63">
        <v>1.56</v>
      </c>
      <c r="X63">
        <v>12385</v>
      </c>
      <c r="Y63">
        <v>279640.28999999998</v>
      </c>
      <c r="Z63">
        <v>19320.810000000001</v>
      </c>
      <c r="AA63">
        <v>1720.22</v>
      </c>
      <c r="AC63">
        <v>279640.28999999998</v>
      </c>
      <c r="AD63">
        <v>99.2</v>
      </c>
      <c r="AE63">
        <v>90</v>
      </c>
      <c r="AF63" s="12" t="s">
        <v>7474</v>
      </c>
      <c r="AG63">
        <v>0</v>
      </c>
      <c r="AH63" s="12" t="s">
        <v>7475</v>
      </c>
    </row>
    <row r="64" spans="1:34" x14ac:dyDescent="0.35">
      <c r="A64">
        <v>63</v>
      </c>
      <c r="B64">
        <v>8</v>
      </c>
      <c r="C64" s="12" t="s">
        <v>503</v>
      </c>
      <c r="D64" s="12" t="s">
        <v>504</v>
      </c>
      <c r="E64" s="12" t="s">
        <v>103</v>
      </c>
      <c r="F64" s="12" t="s">
        <v>104</v>
      </c>
      <c r="G64">
        <v>3</v>
      </c>
      <c r="H64">
        <v>1</v>
      </c>
      <c r="I64">
        <v>0</v>
      </c>
      <c r="J64" s="12" t="s">
        <v>209</v>
      </c>
      <c r="K64" s="12" t="s">
        <v>210</v>
      </c>
      <c r="L64" s="12" t="s">
        <v>96</v>
      </c>
      <c r="M64">
        <v>7.82</v>
      </c>
      <c r="N64" s="12" t="s">
        <v>107</v>
      </c>
      <c r="O64" s="12" t="s">
        <v>108</v>
      </c>
      <c r="P64" s="12" t="s">
        <v>109</v>
      </c>
      <c r="Q64">
        <v>158.00909999999999</v>
      </c>
      <c r="R64">
        <v>169.64699999999999</v>
      </c>
      <c r="S64">
        <v>149.60589999999999</v>
      </c>
      <c r="T64">
        <v>2</v>
      </c>
      <c r="U64">
        <v>-2.6619999999999999</v>
      </c>
      <c r="V64">
        <v>-133.1</v>
      </c>
      <c r="W64">
        <v>20.0411</v>
      </c>
      <c r="X64">
        <v>941</v>
      </c>
      <c r="Y64">
        <v>161059.34</v>
      </c>
      <c r="Z64">
        <v>18858.72</v>
      </c>
      <c r="AA64">
        <v>1198.1600000000001</v>
      </c>
      <c r="AC64">
        <v>161059.34</v>
      </c>
      <c r="AD64">
        <v>99.26</v>
      </c>
      <c r="AE64">
        <v>81</v>
      </c>
      <c r="AF64" s="12" t="s">
        <v>7474</v>
      </c>
      <c r="AG64">
        <v>1</v>
      </c>
      <c r="AH64" s="12" t="s">
        <v>7475</v>
      </c>
    </row>
    <row r="65" spans="1:34" x14ac:dyDescent="0.35">
      <c r="A65">
        <v>64</v>
      </c>
      <c r="B65">
        <v>9</v>
      </c>
      <c r="C65" s="12" t="s">
        <v>513</v>
      </c>
      <c r="D65" s="12" t="s">
        <v>514</v>
      </c>
      <c r="E65" s="12" t="s">
        <v>269</v>
      </c>
      <c r="F65" s="12" t="s">
        <v>65</v>
      </c>
      <c r="G65">
        <v>1</v>
      </c>
      <c r="H65">
        <v>2</v>
      </c>
      <c r="I65">
        <v>1</v>
      </c>
      <c r="J65" s="12" t="s">
        <v>515</v>
      </c>
      <c r="K65" s="12" t="s">
        <v>516</v>
      </c>
      <c r="L65" s="12" t="s">
        <v>134</v>
      </c>
      <c r="M65">
        <v>3.69</v>
      </c>
      <c r="N65" s="12" t="s">
        <v>159</v>
      </c>
      <c r="O65" s="12" t="s">
        <v>160</v>
      </c>
      <c r="P65" s="12" t="s">
        <v>137</v>
      </c>
      <c r="Q65">
        <v>230.55160000000001</v>
      </c>
      <c r="R65">
        <v>201.7996</v>
      </c>
      <c r="S65">
        <v>191.17009999999999</v>
      </c>
      <c r="T65">
        <v>6.5</v>
      </c>
      <c r="U65">
        <v>4.6669999999999998</v>
      </c>
      <c r="V65">
        <v>71.8</v>
      </c>
      <c r="W65">
        <v>10.6295</v>
      </c>
      <c r="X65">
        <v>1743</v>
      </c>
      <c r="Y65">
        <v>362542.5</v>
      </c>
      <c r="Z65">
        <v>18527.3</v>
      </c>
      <c r="AA65">
        <v>3959.69</v>
      </c>
      <c r="AC65">
        <v>362542.5</v>
      </c>
      <c r="AD65">
        <v>98.84</v>
      </c>
      <c r="AE65">
        <v>37</v>
      </c>
      <c r="AF65" s="12" t="s">
        <v>7474</v>
      </c>
      <c r="AG65">
        <v>0</v>
      </c>
      <c r="AH65" s="12" t="s">
        <v>7475</v>
      </c>
    </row>
    <row r="66" spans="1:34" x14ac:dyDescent="0.35">
      <c r="A66">
        <v>65</v>
      </c>
      <c r="B66">
        <v>18</v>
      </c>
      <c r="C66" s="12" t="s">
        <v>802</v>
      </c>
      <c r="D66" s="12" t="s">
        <v>803</v>
      </c>
      <c r="E66" s="12" t="s">
        <v>114</v>
      </c>
      <c r="F66" s="12" t="s">
        <v>65</v>
      </c>
      <c r="G66">
        <v>3</v>
      </c>
      <c r="H66">
        <v>5</v>
      </c>
      <c r="I66">
        <v>0</v>
      </c>
      <c r="J66" s="12" t="s">
        <v>804</v>
      </c>
      <c r="K66" s="12" t="s">
        <v>342</v>
      </c>
      <c r="L66" s="12" t="s">
        <v>69</v>
      </c>
      <c r="M66">
        <v>30.07</v>
      </c>
      <c r="N66" s="12" t="s">
        <v>70</v>
      </c>
      <c r="O66" s="12" t="s">
        <v>71</v>
      </c>
      <c r="P66" s="12" t="s">
        <v>72</v>
      </c>
      <c r="Q66">
        <v>350.55540000000002</v>
      </c>
      <c r="R66">
        <v>348.8349</v>
      </c>
      <c r="S66">
        <v>323.12529999999998</v>
      </c>
      <c r="T66">
        <v>3</v>
      </c>
      <c r="U66">
        <v>0.184</v>
      </c>
      <c r="V66">
        <v>6.13</v>
      </c>
      <c r="W66">
        <v>25.709599999999998</v>
      </c>
      <c r="X66">
        <v>707</v>
      </c>
      <c r="Y66">
        <v>254892.28</v>
      </c>
      <c r="Z66">
        <v>18176.7</v>
      </c>
      <c r="AA66">
        <v>2235.35</v>
      </c>
      <c r="AC66">
        <v>254892.28</v>
      </c>
      <c r="AD66">
        <v>98.62</v>
      </c>
      <c r="AE66">
        <v>93</v>
      </c>
      <c r="AF66" s="12" t="s">
        <v>7474</v>
      </c>
      <c r="AG66">
        <v>0</v>
      </c>
      <c r="AH66" s="12" t="s">
        <v>7475</v>
      </c>
    </row>
    <row r="67" spans="1:34" x14ac:dyDescent="0.35">
      <c r="A67">
        <v>66</v>
      </c>
      <c r="B67">
        <v>9</v>
      </c>
      <c r="C67" s="12" t="s">
        <v>544</v>
      </c>
      <c r="D67" s="12" t="s">
        <v>545</v>
      </c>
      <c r="E67" s="12" t="s">
        <v>175</v>
      </c>
      <c r="F67" s="12" t="s">
        <v>65</v>
      </c>
      <c r="G67">
        <v>3</v>
      </c>
      <c r="H67">
        <v>5</v>
      </c>
      <c r="I67">
        <v>0</v>
      </c>
      <c r="J67" s="12" t="s">
        <v>66</v>
      </c>
      <c r="K67" s="12" t="s">
        <v>67</v>
      </c>
      <c r="L67" s="12" t="s">
        <v>69</v>
      </c>
      <c r="M67">
        <v>17.66</v>
      </c>
      <c r="N67" s="12" t="s">
        <v>107</v>
      </c>
      <c r="O67" s="12" t="s">
        <v>108</v>
      </c>
      <c r="P67" s="12" t="s">
        <v>109</v>
      </c>
      <c r="Q67">
        <v>157.10480000000001</v>
      </c>
      <c r="R67">
        <v>153.1823</v>
      </c>
      <c r="S67">
        <v>134.95820000000001</v>
      </c>
      <c r="T67">
        <v>5.5</v>
      </c>
      <c r="U67">
        <v>0.93700000000000006</v>
      </c>
      <c r="V67">
        <v>17.04</v>
      </c>
      <c r="W67">
        <v>18.2241</v>
      </c>
      <c r="X67">
        <v>997</v>
      </c>
      <c r="Y67">
        <v>152579.23000000001</v>
      </c>
      <c r="Z67">
        <v>18169.419999999998</v>
      </c>
      <c r="AA67">
        <v>1369.1</v>
      </c>
      <c r="AC67">
        <v>152579.23000000001</v>
      </c>
      <c r="AD67">
        <v>99.1</v>
      </c>
      <c r="AE67">
        <v>93</v>
      </c>
      <c r="AF67" s="12" t="s">
        <v>7474</v>
      </c>
      <c r="AG67">
        <v>0</v>
      </c>
      <c r="AH67" s="12" t="s">
        <v>7475</v>
      </c>
    </row>
    <row r="68" spans="1:34" x14ac:dyDescent="0.35">
      <c r="A68">
        <v>67</v>
      </c>
      <c r="B68">
        <v>19</v>
      </c>
      <c r="C68" s="12" t="s">
        <v>120</v>
      </c>
      <c r="D68" s="12" t="s">
        <v>121</v>
      </c>
      <c r="E68" s="12" t="s">
        <v>122</v>
      </c>
      <c r="F68" s="12" t="s">
        <v>65</v>
      </c>
      <c r="G68">
        <v>3</v>
      </c>
      <c r="H68">
        <v>4</v>
      </c>
      <c r="I68">
        <v>0</v>
      </c>
      <c r="J68" s="12" t="s">
        <v>123</v>
      </c>
      <c r="K68" s="12" t="s">
        <v>124</v>
      </c>
      <c r="L68" s="12" t="s">
        <v>82</v>
      </c>
      <c r="M68">
        <v>6.75</v>
      </c>
      <c r="N68" s="12" t="s">
        <v>70</v>
      </c>
      <c r="O68" s="12" t="s">
        <v>71</v>
      </c>
      <c r="P68" s="12" t="s">
        <v>72</v>
      </c>
      <c r="Q68">
        <v>55.544699999999999</v>
      </c>
      <c r="R68">
        <v>50.415799999999997</v>
      </c>
      <c r="S68">
        <v>49.279000000000003</v>
      </c>
      <c r="T68">
        <v>4</v>
      </c>
      <c r="U68">
        <v>3.25</v>
      </c>
      <c r="V68">
        <v>81.25</v>
      </c>
      <c r="W68">
        <v>1.1368</v>
      </c>
      <c r="X68">
        <v>15515</v>
      </c>
      <c r="Y68">
        <v>781906.11</v>
      </c>
      <c r="Z68">
        <v>17637.669999999998</v>
      </c>
      <c r="AA68">
        <v>3281.78</v>
      </c>
      <c r="AB68">
        <v>-9498.43</v>
      </c>
      <c r="AC68">
        <v>0</v>
      </c>
      <c r="AD68">
        <v>99.41</v>
      </c>
      <c r="AE68">
        <v>70</v>
      </c>
      <c r="AF68" s="12" t="s">
        <v>7476</v>
      </c>
      <c r="AG68">
        <v>0</v>
      </c>
      <c r="AH68" s="12" t="s">
        <v>7478</v>
      </c>
    </row>
    <row r="69" spans="1:34" x14ac:dyDescent="0.35">
      <c r="A69">
        <v>68</v>
      </c>
      <c r="B69">
        <v>10</v>
      </c>
      <c r="C69" s="12" t="s">
        <v>787</v>
      </c>
      <c r="D69" s="12" t="s">
        <v>788</v>
      </c>
      <c r="E69" s="12" t="s">
        <v>269</v>
      </c>
      <c r="F69" s="12" t="s">
        <v>65</v>
      </c>
      <c r="G69">
        <v>2</v>
      </c>
      <c r="H69">
        <v>3</v>
      </c>
      <c r="I69">
        <v>0</v>
      </c>
      <c r="J69" s="12" t="s">
        <v>143</v>
      </c>
      <c r="K69" s="12" t="s">
        <v>144</v>
      </c>
      <c r="L69" s="12" t="s">
        <v>96</v>
      </c>
      <c r="M69">
        <v>5.43</v>
      </c>
      <c r="N69" s="12" t="s">
        <v>159</v>
      </c>
      <c r="O69" s="12" t="s">
        <v>160</v>
      </c>
      <c r="P69" s="12" t="s">
        <v>137</v>
      </c>
      <c r="Q69">
        <v>354.36430000000001</v>
      </c>
      <c r="R69">
        <v>318.80689999999998</v>
      </c>
      <c r="S69">
        <v>295.95460000000003</v>
      </c>
      <c r="T69">
        <v>6.5</v>
      </c>
      <c r="U69">
        <v>3.8679999999999999</v>
      </c>
      <c r="V69">
        <v>59.51</v>
      </c>
      <c r="W69">
        <v>22.8523</v>
      </c>
      <c r="X69">
        <v>770</v>
      </c>
      <c r="Y69">
        <v>255417.23</v>
      </c>
      <c r="Z69">
        <v>17596.29</v>
      </c>
      <c r="AA69">
        <v>1982.93</v>
      </c>
      <c r="AB69">
        <v>-2273.7399999999998</v>
      </c>
      <c r="AC69">
        <v>0</v>
      </c>
      <c r="AD69">
        <v>99.16</v>
      </c>
      <c r="AE69">
        <v>56</v>
      </c>
      <c r="AF69" s="12" t="s">
        <v>7476</v>
      </c>
      <c r="AG69">
        <v>0</v>
      </c>
      <c r="AH69" s="12" t="s">
        <v>7478</v>
      </c>
    </row>
    <row r="70" spans="1:34" x14ac:dyDescent="0.35">
      <c r="A70">
        <v>69</v>
      </c>
      <c r="B70">
        <v>15</v>
      </c>
      <c r="C70" s="12" t="s">
        <v>1026</v>
      </c>
      <c r="D70" s="12" t="s">
        <v>1027</v>
      </c>
      <c r="E70" s="12" t="s">
        <v>122</v>
      </c>
      <c r="F70" s="12" t="s">
        <v>104</v>
      </c>
      <c r="G70">
        <v>3</v>
      </c>
      <c r="H70">
        <v>1</v>
      </c>
      <c r="I70">
        <v>0</v>
      </c>
      <c r="J70" s="12" t="s">
        <v>604</v>
      </c>
      <c r="K70" s="12" t="s">
        <v>605</v>
      </c>
      <c r="L70" s="12" t="s">
        <v>82</v>
      </c>
      <c r="M70">
        <v>7.24</v>
      </c>
      <c r="N70" s="12" t="s">
        <v>97</v>
      </c>
      <c r="O70" s="12" t="s">
        <v>98</v>
      </c>
      <c r="P70" s="12" t="s">
        <v>72</v>
      </c>
      <c r="Q70">
        <v>41.886099999999999</v>
      </c>
      <c r="R70">
        <v>40.553100000000001</v>
      </c>
      <c r="S70">
        <v>37.654400000000003</v>
      </c>
      <c r="T70">
        <v>4</v>
      </c>
      <c r="U70">
        <v>1.232</v>
      </c>
      <c r="V70">
        <v>30.8</v>
      </c>
      <c r="W70">
        <v>2.8986999999999998</v>
      </c>
      <c r="X70">
        <v>5942</v>
      </c>
      <c r="Y70">
        <v>239544.16</v>
      </c>
      <c r="Z70">
        <v>17224.080000000002</v>
      </c>
      <c r="AA70">
        <v>1403.09</v>
      </c>
      <c r="AB70">
        <v>-2888.01</v>
      </c>
      <c r="AC70">
        <v>0</v>
      </c>
      <c r="AD70">
        <v>99.24</v>
      </c>
      <c r="AE70">
        <v>77</v>
      </c>
      <c r="AF70" s="12" t="s">
        <v>7476</v>
      </c>
      <c r="AG70">
        <v>0</v>
      </c>
      <c r="AH70" s="12" t="s">
        <v>7478</v>
      </c>
    </row>
    <row r="71" spans="1:34" x14ac:dyDescent="0.35">
      <c r="A71">
        <v>70</v>
      </c>
      <c r="B71">
        <v>20</v>
      </c>
      <c r="C71" s="12" t="s">
        <v>293</v>
      </c>
      <c r="D71" s="12" t="s">
        <v>294</v>
      </c>
      <c r="E71" s="12" t="s">
        <v>114</v>
      </c>
      <c r="F71" s="12" t="s">
        <v>142</v>
      </c>
      <c r="G71">
        <v>1</v>
      </c>
      <c r="H71">
        <v>6</v>
      </c>
      <c r="I71">
        <v>1</v>
      </c>
      <c r="J71" s="12" t="s">
        <v>195</v>
      </c>
      <c r="K71" s="12" t="s">
        <v>196</v>
      </c>
      <c r="L71" s="12" t="s">
        <v>134</v>
      </c>
      <c r="M71">
        <v>4.7699999999999996</v>
      </c>
      <c r="N71" s="12" t="s">
        <v>70</v>
      </c>
      <c r="O71" s="12" t="s">
        <v>71</v>
      </c>
      <c r="P71" s="12" t="s">
        <v>72</v>
      </c>
      <c r="Q71">
        <v>206.0489</v>
      </c>
      <c r="R71">
        <v>200.9084</v>
      </c>
      <c r="S71">
        <v>189.34270000000001</v>
      </c>
      <c r="T71">
        <v>3</v>
      </c>
      <c r="U71">
        <v>0.90600000000000003</v>
      </c>
      <c r="V71">
        <v>30.2</v>
      </c>
      <c r="W71">
        <v>11.5657</v>
      </c>
      <c r="X71">
        <v>1458</v>
      </c>
      <c r="Y71">
        <v>291900.53999999998</v>
      </c>
      <c r="Z71">
        <v>16862.78</v>
      </c>
      <c r="AA71">
        <v>5395.14</v>
      </c>
      <c r="AB71">
        <v>562.54999999999995</v>
      </c>
      <c r="AC71">
        <v>0</v>
      </c>
      <c r="AD71">
        <v>98.05</v>
      </c>
      <c r="AE71">
        <v>27</v>
      </c>
      <c r="AF71" s="12" t="s">
        <v>7483</v>
      </c>
      <c r="AG71">
        <v>0</v>
      </c>
      <c r="AH71" s="12" t="s">
        <v>7484</v>
      </c>
    </row>
    <row r="72" spans="1:34" x14ac:dyDescent="0.35">
      <c r="A72">
        <v>71</v>
      </c>
      <c r="B72">
        <v>10</v>
      </c>
      <c r="C72" s="12" t="s">
        <v>843</v>
      </c>
      <c r="D72" s="12" t="s">
        <v>844</v>
      </c>
      <c r="E72" s="12" t="s">
        <v>175</v>
      </c>
      <c r="F72" s="12" t="s">
        <v>65</v>
      </c>
      <c r="G72">
        <v>3</v>
      </c>
      <c r="H72">
        <v>5</v>
      </c>
      <c r="I72">
        <v>0</v>
      </c>
      <c r="J72" s="12" t="s">
        <v>359</v>
      </c>
      <c r="K72" s="12" t="s">
        <v>360</v>
      </c>
      <c r="L72" s="12" t="s">
        <v>82</v>
      </c>
      <c r="M72">
        <v>12.65</v>
      </c>
      <c r="N72" s="12" t="s">
        <v>107</v>
      </c>
      <c r="O72" s="12" t="s">
        <v>108</v>
      </c>
      <c r="P72" s="12" t="s">
        <v>109</v>
      </c>
      <c r="Q72">
        <v>255.6455</v>
      </c>
      <c r="R72">
        <v>237.4212</v>
      </c>
      <c r="S72">
        <v>219.7073</v>
      </c>
      <c r="T72">
        <v>5.5</v>
      </c>
      <c r="U72">
        <v>2.7240000000000002</v>
      </c>
      <c r="V72">
        <v>49.53</v>
      </c>
      <c r="W72">
        <v>17.713899999999999</v>
      </c>
      <c r="X72">
        <v>939</v>
      </c>
      <c r="Y72">
        <v>223646.53</v>
      </c>
      <c r="Z72">
        <v>16633.349999999999</v>
      </c>
      <c r="AA72">
        <v>1648.18</v>
      </c>
      <c r="AB72">
        <v>492.72</v>
      </c>
      <c r="AC72">
        <v>0</v>
      </c>
      <c r="AD72">
        <v>99.1</v>
      </c>
      <c r="AE72">
        <v>79</v>
      </c>
      <c r="AF72" s="12" t="s">
        <v>7476</v>
      </c>
      <c r="AG72">
        <v>0</v>
      </c>
      <c r="AH72" s="12" t="s">
        <v>7482</v>
      </c>
    </row>
    <row r="73" spans="1:34" x14ac:dyDescent="0.35">
      <c r="A73">
        <v>72</v>
      </c>
      <c r="B73">
        <v>11</v>
      </c>
      <c r="C73" s="12" t="s">
        <v>1042</v>
      </c>
      <c r="D73" s="12" t="s">
        <v>1043</v>
      </c>
      <c r="E73" s="12" t="s">
        <v>269</v>
      </c>
      <c r="F73" s="12" t="s">
        <v>104</v>
      </c>
      <c r="G73">
        <v>2</v>
      </c>
      <c r="H73">
        <v>0</v>
      </c>
      <c r="I73">
        <v>0</v>
      </c>
      <c r="J73" s="12" t="s">
        <v>199</v>
      </c>
      <c r="K73" s="12" t="s">
        <v>200</v>
      </c>
      <c r="L73" s="12" t="s">
        <v>96</v>
      </c>
      <c r="M73">
        <v>9.4700000000000006</v>
      </c>
      <c r="N73" s="12" t="s">
        <v>159</v>
      </c>
      <c r="O73" s="12" t="s">
        <v>160</v>
      </c>
      <c r="P73" s="12" t="s">
        <v>137</v>
      </c>
      <c r="Q73">
        <v>290.76319999999998</v>
      </c>
      <c r="R73">
        <v>290.11180000000002</v>
      </c>
      <c r="S73">
        <v>246.88509999999999</v>
      </c>
      <c r="T73">
        <v>6.5</v>
      </c>
      <c r="U73">
        <v>9.1999999999999998E-2</v>
      </c>
      <c r="V73">
        <v>1.42</v>
      </c>
      <c r="W73">
        <v>43.226700000000001</v>
      </c>
      <c r="X73">
        <v>381</v>
      </c>
      <c r="Y73">
        <v>110576.5</v>
      </c>
      <c r="Z73">
        <v>16469.37</v>
      </c>
      <c r="AA73">
        <v>870.66</v>
      </c>
      <c r="AB73">
        <v>0</v>
      </c>
      <c r="AC73">
        <v>0</v>
      </c>
      <c r="AD73">
        <v>99.19</v>
      </c>
      <c r="AE73">
        <v>72</v>
      </c>
      <c r="AF73" s="12" t="s">
        <v>7476</v>
      </c>
      <c r="AG73">
        <v>0</v>
      </c>
      <c r="AH73" s="12" t="s">
        <v>7482</v>
      </c>
    </row>
    <row r="74" spans="1:34" x14ac:dyDescent="0.35">
      <c r="A74">
        <v>73</v>
      </c>
      <c r="B74">
        <v>2</v>
      </c>
      <c r="C74" s="12" t="s">
        <v>451</v>
      </c>
      <c r="D74" s="12" t="s">
        <v>452</v>
      </c>
      <c r="E74" s="12" t="s">
        <v>175</v>
      </c>
      <c r="F74" s="12" t="s">
        <v>104</v>
      </c>
      <c r="G74">
        <v>3</v>
      </c>
      <c r="H74">
        <v>1</v>
      </c>
      <c r="I74">
        <v>0</v>
      </c>
      <c r="J74" s="12" t="s">
        <v>176</v>
      </c>
      <c r="K74" s="12" t="s">
        <v>177</v>
      </c>
      <c r="L74" s="12" t="s">
        <v>134</v>
      </c>
      <c r="M74">
        <v>1.75</v>
      </c>
      <c r="N74" s="12" t="s">
        <v>145</v>
      </c>
      <c r="O74" s="12" t="s">
        <v>146</v>
      </c>
      <c r="P74" s="12" t="s">
        <v>109</v>
      </c>
      <c r="Q74">
        <v>257.9332</v>
      </c>
      <c r="R74">
        <v>258.81709999999998</v>
      </c>
      <c r="S74">
        <v>226.56720000000001</v>
      </c>
      <c r="T74">
        <v>5.5</v>
      </c>
      <c r="U74">
        <v>-0.14899999999999999</v>
      </c>
      <c r="V74">
        <v>-2.71</v>
      </c>
      <c r="W74">
        <v>32.249899999999997</v>
      </c>
      <c r="X74">
        <v>505</v>
      </c>
      <c r="Y74">
        <v>129357.78</v>
      </c>
      <c r="Z74">
        <v>16286.18</v>
      </c>
      <c r="AA74">
        <v>1016.55</v>
      </c>
      <c r="AB74">
        <v>1019.6</v>
      </c>
      <c r="AC74">
        <v>0</v>
      </c>
      <c r="AD74">
        <v>99.15</v>
      </c>
      <c r="AE74">
        <v>69</v>
      </c>
      <c r="AF74" s="12" t="s">
        <v>7476</v>
      </c>
      <c r="AG74">
        <v>1</v>
      </c>
      <c r="AH74" s="12" t="s">
        <v>7478</v>
      </c>
    </row>
    <row r="75" spans="1:34" x14ac:dyDescent="0.35">
      <c r="A75">
        <v>74</v>
      </c>
      <c r="B75">
        <v>21</v>
      </c>
      <c r="C75" s="12" t="s">
        <v>416</v>
      </c>
      <c r="D75" s="12" t="s">
        <v>417</v>
      </c>
      <c r="E75" s="12" t="s">
        <v>78</v>
      </c>
      <c r="F75" s="12" t="s">
        <v>65</v>
      </c>
      <c r="G75">
        <v>3</v>
      </c>
      <c r="H75">
        <v>5</v>
      </c>
      <c r="I75">
        <v>0</v>
      </c>
      <c r="J75" s="12" t="s">
        <v>169</v>
      </c>
      <c r="K75" s="12" t="s">
        <v>170</v>
      </c>
      <c r="L75" s="12" t="s">
        <v>134</v>
      </c>
      <c r="M75">
        <v>1.37</v>
      </c>
      <c r="N75" s="12" t="s">
        <v>70</v>
      </c>
      <c r="O75" s="12" t="s">
        <v>71</v>
      </c>
      <c r="P75" s="12" t="s">
        <v>72</v>
      </c>
      <c r="Q75">
        <v>144.15710000000001</v>
      </c>
      <c r="R75">
        <v>130.79089999999999</v>
      </c>
      <c r="S75">
        <v>124.98650000000001</v>
      </c>
      <c r="T75">
        <v>5</v>
      </c>
      <c r="U75">
        <v>3.4380000000000002</v>
      </c>
      <c r="V75">
        <v>68.760000000000005</v>
      </c>
      <c r="W75">
        <v>5.8044000000000002</v>
      </c>
      <c r="X75">
        <v>2730</v>
      </c>
      <c r="Y75">
        <v>356890.28</v>
      </c>
      <c r="Z75">
        <v>15846.12</v>
      </c>
      <c r="AA75">
        <v>5494.08</v>
      </c>
      <c r="AB75">
        <v>745.39</v>
      </c>
      <c r="AC75">
        <v>0</v>
      </c>
      <c r="AD75">
        <v>98.32</v>
      </c>
      <c r="AE75">
        <v>62</v>
      </c>
      <c r="AF75" s="12" t="s">
        <v>7476</v>
      </c>
      <c r="AG75">
        <v>0</v>
      </c>
      <c r="AH75" s="12" t="s">
        <v>7478</v>
      </c>
    </row>
    <row r="76" spans="1:34" x14ac:dyDescent="0.35">
      <c r="A76">
        <v>75</v>
      </c>
      <c r="B76">
        <v>22</v>
      </c>
      <c r="C76" s="12" t="s">
        <v>92</v>
      </c>
      <c r="D76" s="12" t="s">
        <v>93</v>
      </c>
      <c r="E76" s="12" t="s">
        <v>64</v>
      </c>
      <c r="F76" s="12" t="s">
        <v>65</v>
      </c>
      <c r="G76">
        <v>3</v>
      </c>
      <c r="H76">
        <v>5</v>
      </c>
      <c r="I76">
        <v>0</v>
      </c>
      <c r="J76" s="12" t="s">
        <v>94</v>
      </c>
      <c r="K76" s="12" t="s">
        <v>95</v>
      </c>
      <c r="L76" s="12" t="s">
        <v>96</v>
      </c>
      <c r="M76">
        <v>4.8099999999999996</v>
      </c>
      <c r="N76" s="12" t="s">
        <v>70</v>
      </c>
      <c r="O76" s="12" t="s">
        <v>71</v>
      </c>
      <c r="P76" s="12" t="s">
        <v>72</v>
      </c>
      <c r="Q76">
        <v>24.617899999999999</v>
      </c>
      <c r="R76">
        <v>23.314299999999999</v>
      </c>
      <c r="S76">
        <v>20.066299999999998</v>
      </c>
      <c r="T76">
        <v>7</v>
      </c>
      <c r="U76">
        <v>1.913</v>
      </c>
      <c r="V76">
        <v>27.33</v>
      </c>
      <c r="W76">
        <v>3.2480000000000002</v>
      </c>
      <c r="X76">
        <v>4757</v>
      </c>
      <c r="Y76">
        <v>110300.62</v>
      </c>
      <c r="Z76">
        <v>15450.57</v>
      </c>
      <c r="AA76">
        <v>881.38</v>
      </c>
      <c r="AB76">
        <v>150.86000000000001</v>
      </c>
      <c r="AC76">
        <v>0</v>
      </c>
      <c r="AD76">
        <v>99.2</v>
      </c>
      <c r="AE76">
        <v>70</v>
      </c>
      <c r="AF76" s="12" t="s">
        <v>7476</v>
      </c>
      <c r="AG76">
        <v>0</v>
      </c>
      <c r="AH76" s="12" t="s">
        <v>7478</v>
      </c>
    </row>
    <row r="77" spans="1:34" x14ac:dyDescent="0.35">
      <c r="A77">
        <v>76</v>
      </c>
      <c r="B77">
        <v>23</v>
      </c>
      <c r="C77" s="12" t="s">
        <v>362</v>
      </c>
      <c r="D77" s="12" t="s">
        <v>363</v>
      </c>
      <c r="E77" s="12" t="s">
        <v>78</v>
      </c>
      <c r="F77" s="12" t="s">
        <v>104</v>
      </c>
      <c r="G77">
        <v>3</v>
      </c>
      <c r="H77">
        <v>0</v>
      </c>
      <c r="I77">
        <v>0</v>
      </c>
      <c r="J77" s="12" t="s">
        <v>157</v>
      </c>
      <c r="K77" s="12" t="s">
        <v>158</v>
      </c>
      <c r="L77" s="12" t="s">
        <v>96</v>
      </c>
      <c r="M77">
        <v>4.72</v>
      </c>
      <c r="N77" s="12" t="s">
        <v>70</v>
      </c>
      <c r="O77" s="12" t="s">
        <v>71</v>
      </c>
      <c r="P77" s="12" t="s">
        <v>72</v>
      </c>
      <c r="Q77">
        <v>62.393500000000003</v>
      </c>
      <c r="R77">
        <v>61.2727</v>
      </c>
      <c r="S77">
        <v>54.240600000000001</v>
      </c>
      <c r="T77">
        <v>5</v>
      </c>
      <c r="U77">
        <v>0.66200000000000003</v>
      </c>
      <c r="V77">
        <v>13.24</v>
      </c>
      <c r="W77">
        <v>7.0320999999999998</v>
      </c>
      <c r="X77">
        <v>2178</v>
      </c>
      <c r="Y77">
        <v>132803.72</v>
      </c>
      <c r="Z77">
        <v>15315.89</v>
      </c>
      <c r="AA77">
        <v>1997.05</v>
      </c>
      <c r="AB77">
        <v>0</v>
      </c>
      <c r="AC77">
        <v>109709.15</v>
      </c>
      <c r="AD77">
        <v>98.48</v>
      </c>
      <c r="AE77">
        <v>81</v>
      </c>
      <c r="AF77" s="12" t="s">
        <v>7474</v>
      </c>
      <c r="AG77">
        <v>0</v>
      </c>
      <c r="AH77" s="12" t="s">
        <v>7475</v>
      </c>
    </row>
    <row r="78" spans="1:34" x14ac:dyDescent="0.35">
      <c r="A78">
        <v>77</v>
      </c>
      <c r="B78">
        <v>16</v>
      </c>
      <c r="C78" s="12" t="s">
        <v>773</v>
      </c>
      <c r="D78" s="12" t="s">
        <v>774</v>
      </c>
      <c r="E78" s="12" t="s">
        <v>64</v>
      </c>
      <c r="F78" s="12" t="s">
        <v>142</v>
      </c>
      <c r="G78">
        <v>1</v>
      </c>
      <c r="H78">
        <v>7</v>
      </c>
      <c r="I78">
        <v>1</v>
      </c>
      <c r="J78" s="12" t="s">
        <v>251</v>
      </c>
      <c r="K78" s="12" t="s">
        <v>252</v>
      </c>
      <c r="L78" s="12" t="s">
        <v>69</v>
      </c>
      <c r="M78">
        <v>34.49</v>
      </c>
      <c r="N78" s="12" t="s">
        <v>97</v>
      </c>
      <c r="O78" s="12" t="s">
        <v>98</v>
      </c>
      <c r="P78" s="12" t="s">
        <v>72</v>
      </c>
      <c r="Q78">
        <v>10.0604</v>
      </c>
      <c r="R78">
        <v>9.8642000000000003</v>
      </c>
      <c r="S78">
        <v>8.3050999999999995</v>
      </c>
      <c r="T78">
        <v>7</v>
      </c>
      <c r="U78">
        <v>0.74299999999999999</v>
      </c>
      <c r="V78">
        <v>10.61</v>
      </c>
      <c r="W78">
        <v>1.5590999999999999</v>
      </c>
      <c r="X78">
        <v>9725</v>
      </c>
      <c r="Y78">
        <v>96484.25</v>
      </c>
      <c r="Z78">
        <v>15162.23</v>
      </c>
      <c r="AA78">
        <v>623.5</v>
      </c>
      <c r="AB78">
        <v>-669.36</v>
      </c>
      <c r="AC78">
        <v>0</v>
      </c>
      <c r="AD78">
        <v>99.2</v>
      </c>
      <c r="AE78">
        <v>46</v>
      </c>
      <c r="AF78" s="12" t="s">
        <v>7476</v>
      </c>
      <c r="AG78">
        <v>0</v>
      </c>
      <c r="AH78" s="12" t="s">
        <v>7479</v>
      </c>
    </row>
    <row r="79" spans="1:34" x14ac:dyDescent="0.35">
      <c r="A79">
        <v>78</v>
      </c>
      <c r="B79">
        <v>11</v>
      </c>
      <c r="C79" s="12" t="s">
        <v>140</v>
      </c>
      <c r="D79" s="12" t="s">
        <v>141</v>
      </c>
      <c r="E79" s="12" t="s">
        <v>103</v>
      </c>
      <c r="F79" s="12" t="s">
        <v>142</v>
      </c>
      <c r="G79">
        <v>1</v>
      </c>
      <c r="H79">
        <v>7</v>
      </c>
      <c r="I79">
        <v>1</v>
      </c>
      <c r="J79" s="12" t="s">
        <v>143</v>
      </c>
      <c r="K79" s="12" t="s">
        <v>144</v>
      </c>
      <c r="L79" s="12" t="s">
        <v>96</v>
      </c>
      <c r="M79">
        <v>5.43</v>
      </c>
      <c r="N79" s="12" t="s">
        <v>107</v>
      </c>
      <c r="O79" s="12" t="s">
        <v>108</v>
      </c>
      <c r="P79" s="12" t="s">
        <v>109</v>
      </c>
      <c r="Q79">
        <v>211.78559999999999</v>
      </c>
      <c r="R79">
        <v>208.8246</v>
      </c>
      <c r="S79">
        <v>199.6574</v>
      </c>
      <c r="T79">
        <v>2</v>
      </c>
      <c r="U79">
        <v>0.48099999999999998</v>
      </c>
      <c r="V79">
        <v>24.05</v>
      </c>
      <c r="W79">
        <v>9.1671999999999993</v>
      </c>
      <c r="X79">
        <v>1624</v>
      </c>
      <c r="Y79">
        <v>343371.67</v>
      </c>
      <c r="Z79">
        <v>14887.57</v>
      </c>
      <c r="AA79">
        <v>2545.06</v>
      </c>
      <c r="AB79">
        <v>793.05</v>
      </c>
      <c r="AC79">
        <v>0</v>
      </c>
      <c r="AD79">
        <v>99.16</v>
      </c>
      <c r="AE79">
        <v>27</v>
      </c>
      <c r="AF79" s="12" t="s">
        <v>7483</v>
      </c>
      <c r="AG79">
        <v>0</v>
      </c>
      <c r="AH79" s="12" t="s">
        <v>7484</v>
      </c>
    </row>
    <row r="80" spans="1:34" x14ac:dyDescent="0.35">
      <c r="A80">
        <v>79</v>
      </c>
      <c r="B80">
        <v>12</v>
      </c>
      <c r="C80" s="12" t="s">
        <v>420</v>
      </c>
      <c r="D80" s="12" t="s">
        <v>421</v>
      </c>
      <c r="E80" s="12" t="s">
        <v>269</v>
      </c>
      <c r="F80" s="12" t="s">
        <v>104</v>
      </c>
      <c r="G80">
        <v>2</v>
      </c>
      <c r="H80">
        <v>0</v>
      </c>
      <c r="I80">
        <v>0</v>
      </c>
      <c r="J80" s="12" t="s">
        <v>335</v>
      </c>
      <c r="K80" s="12" t="s">
        <v>336</v>
      </c>
      <c r="L80" s="12" t="s">
        <v>82</v>
      </c>
      <c r="M80">
        <v>16</v>
      </c>
      <c r="N80" s="12" t="s">
        <v>159</v>
      </c>
      <c r="O80" s="12" t="s">
        <v>160</v>
      </c>
      <c r="P80" s="12" t="s">
        <v>137</v>
      </c>
      <c r="Q80">
        <v>146.53960000000001</v>
      </c>
      <c r="R80">
        <v>158.11240000000001</v>
      </c>
      <c r="S80">
        <v>124.9118</v>
      </c>
      <c r="T80">
        <v>6.5</v>
      </c>
      <c r="U80">
        <v>-3.25</v>
      </c>
      <c r="V80">
        <v>-50</v>
      </c>
      <c r="W80">
        <v>33.200600000000001</v>
      </c>
      <c r="X80">
        <v>442</v>
      </c>
      <c r="Y80">
        <v>71954.62</v>
      </c>
      <c r="Z80">
        <v>14674.67</v>
      </c>
      <c r="AA80">
        <v>815.87</v>
      </c>
      <c r="AC80">
        <v>71954.62</v>
      </c>
      <c r="AD80">
        <v>98.87</v>
      </c>
      <c r="AE80">
        <v>86</v>
      </c>
      <c r="AF80" s="12" t="s">
        <v>7474</v>
      </c>
      <c r="AG80">
        <v>0</v>
      </c>
      <c r="AH80" s="12" t="s">
        <v>7475</v>
      </c>
    </row>
    <row r="81" spans="1:34" x14ac:dyDescent="0.35">
      <c r="A81">
        <v>80</v>
      </c>
      <c r="B81">
        <v>3</v>
      </c>
      <c r="C81" s="12" t="s">
        <v>657</v>
      </c>
      <c r="D81" s="12" t="s">
        <v>658</v>
      </c>
      <c r="E81" s="12" t="s">
        <v>175</v>
      </c>
      <c r="F81" s="12" t="s">
        <v>65</v>
      </c>
      <c r="G81">
        <v>1</v>
      </c>
      <c r="H81">
        <v>2</v>
      </c>
      <c r="I81">
        <v>1</v>
      </c>
      <c r="J81" s="12" t="s">
        <v>183</v>
      </c>
      <c r="K81" s="12" t="s">
        <v>184</v>
      </c>
      <c r="L81" s="12" t="s">
        <v>82</v>
      </c>
      <c r="M81">
        <v>8.6199999999999992</v>
      </c>
      <c r="N81" s="12" t="s">
        <v>145</v>
      </c>
      <c r="O81" s="12" t="s">
        <v>146</v>
      </c>
      <c r="P81" s="12" t="s">
        <v>109</v>
      </c>
      <c r="Q81">
        <v>152.28909999999999</v>
      </c>
      <c r="R81">
        <v>144.5094</v>
      </c>
      <c r="S81">
        <v>130.48140000000001</v>
      </c>
      <c r="T81">
        <v>5.5</v>
      </c>
      <c r="U81">
        <v>1.901</v>
      </c>
      <c r="V81">
        <v>34.56</v>
      </c>
      <c r="W81">
        <v>14.028</v>
      </c>
      <c r="X81">
        <v>1010</v>
      </c>
      <c r="Y81">
        <v>146322.32999999999</v>
      </c>
      <c r="Z81">
        <v>14168.28</v>
      </c>
      <c r="AA81">
        <v>144.51</v>
      </c>
      <c r="AB81">
        <v>-344.2</v>
      </c>
      <c r="AC81">
        <v>0</v>
      </c>
      <c r="AD81">
        <v>99.84</v>
      </c>
      <c r="AE81">
        <v>50</v>
      </c>
      <c r="AF81" s="12" t="s">
        <v>7476</v>
      </c>
      <c r="AG81">
        <v>1</v>
      </c>
      <c r="AH81" s="12" t="s">
        <v>7479</v>
      </c>
    </row>
    <row r="82" spans="1:34" x14ac:dyDescent="0.35">
      <c r="A82">
        <v>81</v>
      </c>
      <c r="B82">
        <v>12</v>
      </c>
      <c r="C82" s="12" t="s">
        <v>273</v>
      </c>
      <c r="D82" s="12" t="s">
        <v>274</v>
      </c>
      <c r="E82" s="12" t="s">
        <v>175</v>
      </c>
      <c r="F82" s="12" t="s">
        <v>104</v>
      </c>
      <c r="G82">
        <v>3</v>
      </c>
      <c r="H82">
        <v>1</v>
      </c>
      <c r="I82">
        <v>0</v>
      </c>
      <c r="J82" s="12" t="s">
        <v>275</v>
      </c>
      <c r="K82" s="12" t="s">
        <v>276</v>
      </c>
      <c r="L82" s="12" t="s">
        <v>82</v>
      </c>
      <c r="M82">
        <v>14.26</v>
      </c>
      <c r="N82" s="12" t="s">
        <v>107</v>
      </c>
      <c r="O82" s="12" t="s">
        <v>108</v>
      </c>
      <c r="P82" s="12" t="s">
        <v>109</v>
      </c>
      <c r="Q82">
        <v>113.5119</v>
      </c>
      <c r="R82">
        <v>108.56229999999999</v>
      </c>
      <c r="S82">
        <v>97.268100000000004</v>
      </c>
      <c r="T82">
        <v>5.5</v>
      </c>
      <c r="U82">
        <v>1.62</v>
      </c>
      <c r="V82">
        <v>29.45</v>
      </c>
      <c r="W82">
        <v>11.2942</v>
      </c>
      <c r="X82">
        <v>1160</v>
      </c>
      <c r="Y82">
        <v>125932.28</v>
      </c>
      <c r="Z82">
        <v>13101.27</v>
      </c>
      <c r="AA82">
        <v>1085.5999999999999</v>
      </c>
      <c r="AB82">
        <v>0</v>
      </c>
      <c r="AC82">
        <v>0</v>
      </c>
      <c r="AD82">
        <v>99.14</v>
      </c>
      <c r="AE82">
        <v>86</v>
      </c>
      <c r="AF82" s="12" t="s">
        <v>7476</v>
      </c>
      <c r="AG82">
        <v>0</v>
      </c>
      <c r="AH82" s="12" t="s">
        <v>7482</v>
      </c>
    </row>
    <row r="83" spans="1:34" x14ac:dyDescent="0.35">
      <c r="A83">
        <v>82</v>
      </c>
      <c r="B83">
        <v>24</v>
      </c>
      <c r="C83" s="12" t="s">
        <v>509</v>
      </c>
      <c r="D83" s="12" t="s">
        <v>510</v>
      </c>
      <c r="E83" s="12" t="s">
        <v>78</v>
      </c>
      <c r="F83" s="12" t="s">
        <v>142</v>
      </c>
      <c r="G83">
        <v>3</v>
      </c>
      <c r="H83">
        <v>11</v>
      </c>
      <c r="I83">
        <v>0</v>
      </c>
      <c r="J83" s="12" t="s">
        <v>176</v>
      </c>
      <c r="K83" s="12" t="s">
        <v>177</v>
      </c>
      <c r="L83" s="12" t="s">
        <v>134</v>
      </c>
      <c r="M83">
        <v>1.75</v>
      </c>
      <c r="N83" s="12" t="s">
        <v>70</v>
      </c>
      <c r="O83" s="12" t="s">
        <v>71</v>
      </c>
      <c r="P83" s="12" t="s">
        <v>72</v>
      </c>
      <c r="Q83">
        <v>144.17500000000001</v>
      </c>
      <c r="R83">
        <v>132.05629999999999</v>
      </c>
      <c r="S83">
        <v>125.54819999999999</v>
      </c>
      <c r="T83">
        <v>5</v>
      </c>
      <c r="U83">
        <v>3.2029999999999998</v>
      </c>
      <c r="V83">
        <v>64.06</v>
      </c>
      <c r="W83">
        <v>6.5080999999999998</v>
      </c>
      <c r="X83">
        <v>1997</v>
      </c>
      <c r="Y83">
        <v>272611.59999999998</v>
      </c>
      <c r="Z83">
        <v>12996.75</v>
      </c>
      <c r="AA83">
        <v>2748.74</v>
      </c>
      <c r="AC83">
        <v>272611.59999999998</v>
      </c>
      <c r="AD83">
        <v>98.88</v>
      </c>
      <c r="AE83">
        <v>53</v>
      </c>
      <c r="AF83" s="12" t="s">
        <v>7474</v>
      </c>
      <c r="AG83">
        <v>0</v>
      </c>
      <c r="AH83" s="12" t="s">
        <v>7475</v>
      </c>
    </row>
    <row r="84" spans="1:34" x14ac:dyDescent="0.35">
      <c r="A84">
        <v>83</v>
      </c>
      <c r="B84">
        <v>25</v>
      </c>
      <c r="C84" s="12" t="s">
        <v>587</v>
      </c>
      <c r="D84" s="12" t="s">
        <v>588</v>
      </c>
      <c r="E84" s="12" t="s">
        <v>122</v>
      </c>
      <c r="F84" s="12" t="s">
        <v>104</v>
      </c>
      <c r="G84">
        <v>2</v>
      </c>
      <c r="H84">
        <v>0</v>
      </c>
      <c r="I84">
        <v>0</v>
      </c>
      <c r="J84" s="12" t="s">
        <v>486</v>
      </c>
      <c r="K84" s="12" t="s">
        <v>487</v>
      </c>
      <c r="L84" s="12" t="s">
        <v>69</v>
      </c>
      <c r="M84">
        <v>36.86</v>
      </c>
      <c r="N84" s="12" t="s">
        <v>70</v>
      </c>
      <c r="O84" s="12" t="s">
        <v>71</v>
      </c>
      <c r="P84" s="12" t="s">
        <v>72</v>
      </c>
      <c r="Q84">
        <v>12.387</v>
      </c>
      <c r="R84">
        <v>12.045999999999999</v>
      </c>
      <c r="S84">
        <v>11.0943</v>
      </c>
      <c r="T84">
        <v>4</v>
      </c>
      <c r="U84">
        <v>1.0289999999999999</v>
      </c>
      <c r="V84">
        <v>25.73</v>
      </c>
      <c r="W84">
        <v>0.95169999999999999</v>
      </c>
      <c r="X84">
        <v>13437</v>
      </c>
      <c r="Y84">
        <v>163132.38</v>
      </c>
      <c r="Z84">
        <v>12788.36</v>
      </c>
      <c r="AA84">
        <v>1029.3</v>
      </c>
      <c r="AB84">
        <v>0</v>
      </c>
      <c r="AC84">
        <v>122626.99</v>
      </c>
      <c r="AD84">
        <v>99.14</v>
      </c>
      <c r="AE84">
        <v>86</v>
      </c>
      <c r="AF84" s="12" t="s">
        <v>7474</v>
      </c>
      <c r="AG84">
        <v>0</v>
      </c>
      <c r="AH84" s="12" t="s">
        <v>7475</v>
      </c>
    </row>
    <row r="85" spans="1:34" x14ac:dyDescent="0.35">
      <c r="A85">
        <v>84</v>
      </c>
      <c r="B85">
        <v>17</v>
      </c>
      <c r="C85" s="12" t="s">
        <v>238</v>
      </c>
      <c r="D85" s="12" t="s">
        <v>239</v>
      </c>
      <c r="E85" s="12" t="s">
        <v>122</v>
      </c>
      <c r="F85" s="12" t="s">
        <v>65</v>
      </c>
      <c r="G85">
        <v>3</v>
      </c>
      <c r="H85">
        <v>4</v>
      </c>
      <c r="I85">
        <v>0</v>
      </c>
      <c r="J85" s="12" t="s">
        <v>243</v>
      </c>
      <c r="K85" s="12" t="s">
        <v>244</v>
      </c>
      <c r="L85" s="12" t="s">
        <v>82</v>
      </c>
      <c r="M85">
        <v>9.2200000000000006</v>
      </c>
      <c r="N85" s="12" t="s">
        <v>97</v>
      </c>
      <c r="O85" s="12" t="s">
        <v>98</v>
      </c>
      <c r="P85" s="12" t="s">
        <v>72</v>
      </c>
      <c r="Q85">
        <v>37.143599999999999</v>
      </c>
      <c r="R85">
        <v>35.924999999999997</v>
      </c>
      <c r="S85">
        <v>33.375999999999998</v>
      </c>
      <c r="T85">
        <v>4</v>
      </c>
      <c r="U85">
        <v>1.2649999999999999</v>
      </c>
      <c r="V85">
        <v>31.63</v>
      </c>
      <c r="W85">
        <v>2.5489999999999999</v>
      </c>
      <c r="X85">
        <v>4839</v>
      </c>
      <c r="Y85">
        <v>173841.09</v>
      </c>
      <c r="Z85">
        <v>12334.61</v>
      </c>
      <c r="AA85">
        <v>898.14</v>
      </c>
      <c r="AB85">
        <v>0</v>
      </c>
      <c r="AC85">
        <v>0</v>
      </c>
      <c r="AD85">
        <v>99.48</v>
      </c>
      <c r="AE85">
        <v>79</v>
      </c>
      <c r="AF85" s="12" t="s">
        <v>7476</v>
      </c>
      <c r="AG85">
        <v>0</v>
      </c>
      <c r="AH85" s="12" t="s">
        <v>7482</v>
      </c>
    </row>
    <row r="86" spans="1:34" x14ac:dyDescent="0.35">
      <c r="A86">
        <v>85</v>
      </c>
      <c r="B86">
        <v>26</v>
      </c>
      <c r="C86" s="12" t="s">
        <v>331</v>
      </c>
      <c r="D86" s="12" t="s">
        <v>332</v>
      </c>
      <c r="E86" s="12" t="s">
        <v>122</v>
      </c>
      <c r="F86" s="12" t="s">
        <v>142</v>
      </c>
      <c r="G86">
        <v>3</v>
      </c>
      <c r="H86">
        <v>11</v>
      </c>
      <c r="I86">
        <v>0</v>
      </c>
      <c r="J86" s="12" t="s">
        <v>263</v>
      </c>
      <c r="K86" s="12" t="s">
        <v>264</v>
      </c>
      <c r="L86" s="12" t="s">
        <v>82</v>
      </c>
      <c r="M86">
        <v>10.210000000000001</v>
      </c>
      <c r="N86" s="12" t="s">
        <v>70</v>
      </c>
      <c r="O86" s="12" t="s">
        <v>71</v>
      </c>
      <c r="P86" s="12" t="s">
        <v>72</v>
      </c>
      <c r="Q86">
        <v>25.052199999999999</v>
      </c>
      <c r="R86">
        <v>23.006</v>
      </c>
      <c r="S86">
        <v>22.313500000000001</v>
      </c>
      <c r="T86">
        <v>4</v>
      </c>
      <c r="U86">
        <v>2.9590000000000001</v>
      </c>
      <c r="V86">
        <v>73.98</v>
      </c>
      <c r="W86">
        <v>0.6925</v>
      </c>
      <c r="X86">
        <v>17639</v>
      </c>
      <c r="Y86">
        <v>406880.67</v>
      </c>
      <c r="Z86">
        <v>12215.01</v>
      </c>
      <c r="AA86">
        <v>2170.2800000000002</v>
      </c>
      <c r="AB86">
        <v>1077.83</v>
      </c>
      <c r="AC86">
        <v>0</v>
      </c>
      <c r="AD86">
        <v>99.32</v>
      </c>
      <c r="AE86">
        <v>66</v>
      </c>
      <c r="AF86" s="12" t="s">
        <v>7476</v>
      </c>
      <c r="AG86">
        <v>0</v>
      </c>
      <c r="AH86" s="12" t="s">
        <v>7482</v>
      </c>
    </row>
    <row r="87" spans="1:34" x14ac:dyDescent="0.35">
      <c r="A87">
        <v>86</v>
      </c>
      <c r="B87">
        <v>18</v>
      </c>
      <c r="C87" s="12" t="s">
        <v>891</v>
      </c>
      <c r="D87" s="12" t="s">
        <v>892</v>
      </c>
      <c r="E87" s="12" t="s">
        <v>122</v>
      </c>
      <c r="F87" s="12" t="s">
        <v>65</v>
      </c>
      <c r="G87">
        <v>3</v>
      </c>
      <c r="H87">
        <v>5</v>
      </c>
      <c r="I87">
        <v>0</v>
      </c>
      <c r="J87" s="12" t="s">
        <v>195</v>
      </c>
      <c r="K87" s="12" t="s">
        <v>196</v>
      </c>
      <c r="L87" s="12" t="s">
        <v>134</v>
      </c>
      <c r="M87">
        <v>4.7699999999999996</v>
      </c>
      <c r="N87" s="12" t="s">
        <v>97</v>
      </c>
      <c r="O87" s="12" t="s">
        <v>98</v>
      </c>
      <c r="P87" s="12" t="s">
        <v>72</v>
      </c>
      <c r="Q87">
        <v>39.456000000000003</v>
      </c>
      <c r="R87">
        <v>36.718299999999999</v>
      </c>
      <c r="S87">
        <v>35.572699999999998</v>
      </c>
      <c r="T87">
        <v>4</v>
      </c>
      <c r="U87">
        <v>2.794</v>
      </c>
      <c r="V87">
        <v>69.849999999999994</v>
      </c>
      <c r="W87">
        <v>1.1456</v>
      </c>
      <c r="X87">
        <v>10527</v>
      </c>
      <c r="Y87">
        <v>382655.51</v>
      </c>
      <c r="Z87">
        <v>12059.22</v>
      </c>
      <c r="AA87">
        <v>2492.91</v>
      </c>
      <c r="AB87">
        <v>-4011.9</v>
      </c>
      <c r="AC87">
        <v>0</v>
      </c>
      <c r="AD87">
        <v>99.34</v>
      </c>
      <c r="AE87">
        <v>70</v>
      </c>
      <c r="AF87" s="12" t="s">
        <v>7476</v>
      </c>
      <c r="AG87">
        <v>0</v>
      </c>
      <c r="AH87" s="12" t="s">
        <v>7478</v>
      </c>
    </row>
    <row r="88" spans="1:34" x14ac:dyDescent="0.35">
      <c r="A88">
        <v>87</v>
      </c>
      <c r="B88">
        <v>27</v>
      </c>
      <c r="C88" s="12" t="s">
        <v>465</v>
      </c>
      <c r="D88" s="12" t="s">
        <v>466</v>
      </c>
      <c r="E88" s="12" t="s">
        <v>78</v>
      </c>
      <c r="F88" s="12" t="s">
        <v>142</v>
      </c>
      <c r="G88">
        <v>3</v>
      </c>
      <c r="H88">
        <v>11</v>
      </c>
      <c r="I88">
        <v>0</v>
      </c>
      <c r="J88" s="12" t="s">
        <v>195</v>
      </c>
      <c r="K88" s="12" t="s">
        <v>196</v>
      </c>
      <c r="L88" s="12" t="s">
        <v>134</v>
      </c>
      <c r="M88">
        <v>4.7699999999999996</v>
      </c>
      <c r="N88" s="12" t="s">
        <v>70</v>
      </c>
      <c r="O88" s="12" t="s">
        <v>71</v>
      </c>
      <c r="P88" s="12" t="s">
        <v>72</v>
      </c>
      <c r="Q88">
        <v>108.7921</v>
      </c>
      <c r="R88">
        <v>104.9778</v>
      </c>
      <c r="S88">
        <v>95.126199999999997</v>
      </c>
      <c r="T88">
        <v>5</v>
      </c>
      <c r="U88">
        <v>1.3540000000000001</v>
      </c>
      <c r="V88">
        <v>27.08</v>
      </c>
      <c r="W88">
        <v>9.8515999999999995</v>
      </c>
      <c r="X88">
        <v>1220</v>
      </c>
      <c r="Y88">
        <v>128326.03</v>
      </c>
      <c r="Z88">
        <v>12019</v>
      </c>
      <c r="AA88">
        <v>1887.5</v>
      </c>
      <c r="AB88">
        <v>-459.97</v>
      </c>
      <c r="AC88">
        <v>0</v>
      </c>
      <c r="AD88">
        <v>98.52</v>
      </c>
      <c r="AE88">
        <v>57</v>
      </c>
      <c r="AF88" s="12" t="s">
        <v>7476</v>
      </c>
      <c r="AG88">
        <v>0</v>
      </c>
      <c r="AH88" s="12" t="s">
        <v>7478</v>
      </c>
    </row>
    <row r="89" spans="1:34" x14ac:dyDescent="0.35">
      <c r="A89">
        <v>88</v>
      </c>
      <c r="B89">
        <v>19</v>
      </c>
      <c r="C89" s="12" t="s">
        <v>740</v>
      </c>
      <c r="D89" s="12" t="s">
        <v>741</v>
      </c>
      <c r="E89" s="12" t="s">
        <v>64</v>
      </c>
      <c r="F89" s="12" t="s">
        <v>104</v>
      </c>
      <c r="G89">
        <v>2</v>
      </c>
      <c r="H89">
        <v>0</v>
      </c>
      <c r="I89">
        <v>0</v>
      </c>
      <c r="J89" s="12" t="s">
        <v>151</v>
      </c>
      <c r="K89" s="12" t="s">
        <v>152</v>
      </c>
      <c r="L89" s="12" t="s">
        <v>69</v>
      </c>
      <c r="M89">
        <v>36.479999999999997</v>
      </c>
      <c r="N89" s="12" t="s">
        <v>97</v>
      </c>
      <c r="O89" s="12" t="s">
        <v>98</v>
      </c>
      <c r="P89" s="12" t="s">
        <v>72</v>
      </c>
      <c r="Q89">
        <v>41.2042</v>
      </c>
      <c r="R89">
        <v>38.488</v>
      </c>
      <c r="S89">
        <v>35.591000000000001</v>
      </c>
      <c r="T89">
        <v>7</v>
      </c>
      <c r="U89">
        <v>3.323</v>
      </c>
      <c r="V89">
        <v>47.47</v>
      </c>
      <c r="W89">
        <v>2.8969999999999998</v>
      </c>
      <c r="X89">
        <v>4125</v>
      </c>
      <c r="Y89">
        <v>161639.82999999999</v>
      </c>
      <c r="Z89">
        <v>11950.13</v>
      </c>
      <c r="AA89">
        <v>1489.21</v>
      </c>
      <c r="AB89">
        <v>0</v>
      </c>
      <c r="AC89">
        <v>0</v>
      </c>
      <c r="AD89">
        <v>99.08</v>
      </c>
      <c r="AE89">
        <v>82</v>
      </c>
      <c r="AF89" s="12" t="s">
        <v>7476</v>
      </c>
      <c r="AG89">
        <v>0</v>
      </c>
      <c r="AH89" s="12" t="s">
        <v>7482</v>
      </c>
    </row>
    <row r="90" spans="1:34" x14ac:dyDescent="0.35">
      <c r="A90">
        <v>89</v>
      </c>
      <c r="B90">
        <v>20</v>
      </c>
      <c r="C90" s="12" t="s">
        <v>458</v>
      </c>
      <c r="D90" s="12" t="s">
        <v>459</v>
      </c>
      <c r="E90" s="12" t="s">
        <v>64</v>
      </c>
      <c r="F90" s="12" t="s">
        <v>104</v>
      </c>
      <c r="G90">
        <v>2</v>
      </c>
      <c r="H90">
        <v>0</v>
      </c>
      <c r="I90">
        <v>0</v>
      </c>
      <c r="J90" s="12" t="s">
        <v>143</v>
      </c>
      <c r="K90" s="12" t="s">
        <v>144</v>
      </c>
      <c r="L90" s="12" t="s">
        <v>96</v>
      </c>
      <c r="M90">
        <v>5.43</v>
      </c>
      <c r="N90" s="12" t="s">
        <v>97</v>
      </c>
      <c r="O90" s="12" t="s">
        <v>98</v>
      </c>
      <c r="P90" s="12" t="s">
        <v>72</v>
      </c>
      <c r="Q90">
        <v>24.782299999999999</v>
      </c>
      <c r="R90">
        <v>23.3566</v>
      </c>
      <c r="S90">
        <v>20.528400000000001</v>
      </c>
      <c r="T90">
        <v>7</v>
      </c>
      <c r="U90">
        <v>2.2570000000000001</v>
      </c>
      <c r="V90">
        <v>32.24</v>
      </c>
      <c r="W90">
        <v>2.8281999999999998</v>
      </c>
      <c r="X90">
        <v>4035</v>
      </c>
      <c r="Y90">
        <v>94243.88</v>
      </c>
      <c r="Z90">
        <v>11411.79</v>
      </c>
      <c r="AA90">
        <v>747.41</v>
      </c>
      <c r="AB90">
        <v>0</v>
      </c>
      <c r="AC90">
        <v>0</v>
      </c>
      <c r="AD90">
        <v>99.21</v>
      </c>
      <c r="AE90">
        <v>63</v>
      </c>
      <c r="AF90" s="12" t="s">
        <v>7476</v>
      </c>
      <c r="AG90">
        <v>0</v>
      </c>
      <c r="AH90" s="12" t="s">
        <v>7478</v>
      </c>
    </row>
    <row r="91" spans="1:34" x14ac:dyDescent="0.35">
      <c r="A91">
        <v>90</v>
      </c>
      <c r="B91">
        <v>28</v>
      </c>
      <c r="C91" s="12" t="s">
        <v>1666</v>
      </c>
      <c r="D91" s="12" t="s">
        <v>1667</v>
      </c>
      <c r="E91" s="12" t="s">
        <v>78</v>
      </c>
      <c r="F91" s="12" t="s">
        <v>65</v>
      </c>
      <c r="G91">
        <v>2</v>
      </c>
      <c r="H91">
        <v>3</v>
      </c>
      <c r="I91">
        <v>0</v>
      </c>
      <c r="J91" s="12" t="s">
        <v>310</v>
      </c>
      <c r="K91" s="12" t="s">
        <v>311</v>
      </c>
      <c r="L91" s="12" t="s">
        <v>69</v>
      </c>
      <c r="M91">
        <v>28.3</v>
      </c>
      <c r="N91" s="12" t="s">
        <v>70</v>
      </c>
      <c r="O91" s="12" t="s">
        <v>71</v>
      </c>
      <c r="P91" s="12" t="s">
        <v>72</v>
      </c>
      <c r="Q91">
        <v>75.643699999999995</v>
      </c>
      <c r="R91">
        <v>72.626000000000005</v>
      </c>
      <c r="S91">
        <v>67.284599999999998</v>
      </c>
      <c r="T91">
        <v>5</v>
      </c>
      <c r="U91">
        <v>1.7669999999999999</v>
      </c>
      <c r="V91">
        <v>35.340000000000003</v>
      </c>
      <c r="W91">
        <v>5.3414000000000001</v>
      </c>
      <c r="X91">
        <v>2132</v>
      </c>
      <c r="Y91">
        <v>154072.79</v>
      </c>
      <c r="Z91">
        <v>11387.83</v>
      </c>
      <c r="AA91">
        <v>2457.08</v>
      </c>
      <c r="AB91">
        <v>70.069999999999993</v>
      </c>
      <c r="AC91">
        <v>0</v>
      </c>
      <c r="AD91">
        <v>98.41</v>
      </c>
      <c r="AE91">
        <v>75</v>
      </c>
      <c r="AF91" s="12" t="s">
        <v>7476</v>
      </c>
      <c r="AG91">
        <v>0</v>
      </c>
      <c r="AH91" s="12" t="s">
        <v>7482</v>
      </c>
    </row>
    <row r="92" spans="1:34" x14ac:dyDescent="0.35">
      <c r="A92">
        <v>91</v>
      </c>
      <c r="B92">
        <v>21</v>
      </c>
      <c r="C92" s="12" t="s">
        <v>112</v>
      </c>
      <c r="D92" s="12" t="s">
        <v>113</v>
      </c>
      <c r="E92" s="12" t="s">
        <v>114</v>
      </c>
      <c r="F92" s="12" t="s">
        <v>104</v>
      </c>
      <c r="G92">
        <v>3</v>
      </c>
      <c r="H92">
        <v>1</v>
      </c>
      <c r="I92">
        <v>0</v>
      </c>
      <c r="J92" s="12" t="s">
        <v>227</v>
      </c>
      <c r="K92" s="12" t="s">
        <v>228</v>
      </c>
      <c r="L92" s="12" t="s">
        <v>96</v>
      </c>
      <c r="M92">
        <v>9.15</v>
      </c>
      <c r="N92" s="12" t="s">
        <v>97</v>
      </c>
      <c r="O92" s="12" t="s">
        <v>98</v>
      </c>
      <c r="P92" s="12" t="s">
        <v>72</v>
      </c>
      <c r="Q92">
        <v>264.17590000000001</v>
      </c>
      <c r="R92">
        <v>265.51659999999998</v>
      </c>
      <c r="S92">
        <v>242.0112</v>
      </c>
      <c r="T92">
        <v>3</v>
      </c>
      <c r="U92">
        <v>-0.17599999999999999</v>
      </c>
      <c r="V92">
        <v>-5.87</v>
      </c>
      <c r="W92">
        <v>23.505400000000002</v>
      </c>
      <c r="X92">
        <v>478</v>
      </c>
      <c r="Y92">
        <v>126145.13</v>
      </c>
      <c r="Z92">
        <v>11235.6</v>
      </c>
      <c r="AA92">
        <v>1571.19</v>
      </c>
      <c r="AC92">
        <v>126145.13</v>
      </c>
      <c r="AD92">
        <v>98.63</v>
      </c>
      <c r="AE92">
        <v>90</v>
      </c>
      <c r="AF92" s="12" t="s">
        <v>7474</v>
      </c>
      <c r="AG92">
        <v>0</v>
      </c>
      <c r="AH92" s="12" t="s">
        <v>7475</v>
      </c>
    </row>
    <row r="93" spans="1:34" x14ac:dyDescent="0.35">
      <c r="A93">
        <v>92</v>
      </c>
      <c r="B93">
        <v>22</v>
      </c>
      <c r="C93" s="12" t="s">
        <v>602</v>
      </c>
      <c r="D93" s="12" t="s">
        <v>603</v>
      </c>
      <c r="E93" s="12" t="s">
        <v>114</v>
      </c>
      <c r="F93" s="12" t="s">
        <v>142</v>
      </c>
      <c r="G93">
        <v>2</v>
      </c>
      <c r="H93">
        <v>10</v>
      </c>
      <c r="I93">
        <v>0</v>
      </c>
      <c r="J93" s="12" t="s">
        <v>263</v>
      </c>
      <c r="K93" s="12" t="s">
        <v>264</v>
      </c>
      <c r="L93" s="12" t="s">
        <v>82</v>
      </c>
      <c r="M93">
        <v>10.210000000000001</v>
      </c>
      <c r="N93" s="12" t="s">
        <v>97</v>
      </c>
      <c r="O93" s="12" t="s">
        <v>98</v>
      </c>
      <c r="P93" s="12" t="s">
        <v>72</v>
      </c>
      <c r="Q93">
        <v>213.4624</v>
      </c>
      <c r="R93">
        <v>207.9658</v>
      </c>
      <c r="S93">
        <v>196.46610000000001</v>
      </c>
      <c r="T93">
        <v>3</v>
      </c>
      <c r="U93">
        <v>0.95299999999999996</v>
      </c>
      <c r="V93">
        <v>31.77</v>
      </c>
      <c r="W93">
        <v>11.499700000000001</v>
      </c>
      <c r="X93">
        <v>966</v>
      </c>
      <c r="Y93">
        <v>201893.77</v>
      </c>
      <c r="Z93">
        <v>11108.71</v>
      </c>
      <c r="AA93">
        <v>1877.16</v>
      </c>
      <c r="AB93">
        <v>216.85</v>
      </c>
      <c r="AC93">
        <v>0</v>
      </c>
      <c r="AD93">
        <v>98.93</v>
      </c>
      <c r="AE93">
        <v>52</v>
      </c>
      <c r="AF93" s="12" t="s">
        <v>7476</v>
      </c>
      <c r="AG93">
        <v>0</v>
      </c>
      <c r="AH93" s="12" t="s">
        <v>7482</v>
      </c>
    </row>
    <row r="94" spans="1:34" x14ac:dyDescent="0.35">
      <c r="A94">
        <v>93</v>
      </c>
      <c r="B94">
        <v>29</v>
      </c>
      <c r="C94" s="12" t="s">
        <v>378</v>
      </c>
      <c r="D94" s="12" t="s">
        <v>379</v>
      </c>
      <c r="E94" s="12" t="s">
        <v>64</v>
      </c>
      <c r="F94" s="12" t="s">
        <v>104</v>
      </c>
      <c r="G94">
        <v>3</v>
      </c>
      <c r="H94">
        <v>1</v>
      </c>
      <c r="I94">
        <v>0</v>
      </c>
      <c r="J94" s="12" t="s">
        <v>380</v>
      </c>
      <c r="K94" s="12" t="s">
        <v>381</v>
      </c>
      <c r="L94" s="12" t="s">
        <v>96</v>
      </c>
      <c r="M94">
        <v>10.210000000000001</v>
      </c>
      <c r="N94" s="12" t="s">
        <v>70</v>
      </c>
      <c r="O94" s="12" t="s">
        <v>71</v>
      </c>
      <c r="P94" s="12" t="s">
        <v>72</v>
      </c>
      <c r="Q94">
        <v>16.822099999999999</v>
      </c>
      <c r="R94">
        <v>15.3193</v>
      </c>
      <c r="S94">
        <v>13.774699999999999</v>
      </c>
      <c r="T94">
        <v>7</v>
      </c>
      <c r="U94">
        <v>3.3410000000000002</v>
      </c>
      <c r="V94">
        <v>47.73</v>
      </c>
      <c r="W94">
        <v>1.5446</v>
      </c>
      <c r="X94">
        <v>6655</v>
      </c>
      <c r="Y94">
        <v>102166.11</v>
      </c>
      <c r="Z94">
        <v>10279.31</v>
      </c>
      <c r="AA94">
        <v>858.71</v>
      </c>
      <c r="AB94">
        <v>0</v>
      </c>
      <c r="AC94">
        <v>0</v>
      </c>
      <c r="AD94">
        <v>99.16</v>
      </c>
      <c r="AE94">
        <v>86</v>
      </c>
      <c r="AF94" s="12" t="s">
        <v>7476</v>
      </c>
      <c r="AG94">
        <v>0</v>
      </c>
      <c r="AH94" s="12" t="s">
        <v>7482</v>
      </c>
    </row>
    <row r="95" spans="1:34" x14ac:dyDescent="0.35">
      <c r="A95">
        <v>94</v>
      </c>
      <c r="B95">
        <v>13</v>
      </c>
      <c r="C95" s="12" t="s">
        <v>924</v>
      </c>
      <c r="D95" s="12" t="s">
        <v>925</v>
      </c>
      <c r="E95" s="12" t="s">
        <v>103</v>
      </c>
      <c r="F95" s="12" t="s">
        <v>104</v>
      </c>
      <c r="G95">
        <v>2</v>
      </c>
      <c r="H95">
        <v>0</v>
      </c>
      <c r="I95">
        <v>0</v>
      </c>
      <c r="J95" s="12" t="s">
        <v>335</v>
      </c>
      <c r="K95" s="12" t="s">
        <v>336</v>
      </c>
      <c r="L95" s="12" t="s">
        <v>82</v>
      </c>
      <c r="M95">
        <v>16</v>
      </c>
      <c r="N95" s="12" t="s">
        <v>107</v>
      </c>
      <c r="O95" s="12" t="s">
        <v>108</v>
      </c>
      <c r="P95" s="12" t="s">
        <v>109</v>
      </c>
      <c r="Q95">
        <v>161.51509999999999</v>
      </c>
      <c r="R95">
        <v>168.8391</v>
      </c>
      <c r="S95">
        <v>153.0521</v>
      </c>
      <c r="T95">
        <v>2</v>
      </c>
      <c r="U95">
        <v>-1.679</v>
      </c>
      <c r="V95">
        <v>-83.95</v>
      </c>
      <c r="W95">
        <v>15.787000000000001</v>
      </c>
      <c r="X95">
        <v>649</v>
      </c>
      <c r="Y95">
        <v>108826.11</v>
      </c>
      <c r="Z95">
        <v>10245.73</v>
      </c>
      <c r="AA95">
        <v>844.1</v>
      </c>
      <c r="AC95">
        <v>108826.11</v>
      </c>
      <c r="AD95">
        <v>99.21</v>
      </c>
      <c r="AE95">
        <v>86</v>
      </c>
      <c r="AF95" s="12" t="s">
        <v>7474</v>
      </c>
      <c r="AG95">
        <v>0</v>
      </c>
      <c r="AH95" s="12" t="s">
        <v>7475</v>
      </c>
    </row>
    <row r="96" spans="1:34" x14ac:dyDescent="0.35">
      <c r="A96">
        <v>95</v>
      </c>
      <c r="B96">
        <v>23</v>
      </c>
      <c r="C96" s="12" t="s">
        <v>565</v>
      </c>
      <c r="D96" s="12" t="s">
        <v>566</v>
      </c>
      <c r="E96" s="12" t="s">
        <v>122</v>
      </c>
      <c r="F96" s="12" t="s">
        <v>104</v>
      </c>
      <c r="G96">
        <v>3</v>
      </c>
      <c r="H96">
        <v>1</v>
      </c>
      <c r="I96">
        <v>0</v>
      </c>
      <c r="J96" s="12" t="s">
        <v>131</v>
      </c>
      <c r="K96" s="12" t="s">
        <v>132</v>
      </c>
      <c r="L96" s="12" t="s">
        <v>134</v>
      </c>
      <c r="M96">
        <v>1.51</v>
      </c>
      <c r="N96" s="12" t="s">
        <v>97</v>
      </c>
      <c r="O96" s="12" t="s">
        <v>98</v>
      </c>
      <c r="P96" s="12" t="s">
        <v>72</v>
      </c>
      <c r="Q96">
        <v>36.2883</v>
      </c>
      <c r="R96">
        <v>35.119900000000001</v>
      </c>
      <c r="S96">
        <v>33.688600000000001</v>
      </c>
      <c r="T96">
        <v>4</v>
      </c>
      <c r="U96">
        <v>1.782</v>
      </c>
      <c r="V96">
        <v>44.55</v>
      </c>
      <c r="W96">
        <v>1.4313</v>
      </c>
      <c r="X96">
        <v>7045</v>
      </c>
      <c r="Y96">
        <v>244452.42</v>
      </c>
      <c r="Z96">
        <v>10083.51</v>
      </c>
      <c r="AA96">
        <v>1599.35</v>
      </c>
      <c r="AB96">
        <v>-3578.29</v>
      </c>
      <c r="AC96">
        <v>0</v>
      </c>
      <c r="AD96">
        <v>99.35</v>
      </c>
      <c r="AE96">
        <v>69</v>
      </c>
      <c r="AF96" s="12" t="s">
        <v>7476</v>
      </c>
      <c r="AG96">
        <v>0</v>
      </c>
      <c r="AH96" s="12" t="s">
        <v>7478</v>
      </c>
    </row>
    <row r="97" spans="1:34" x14ac:dyDescent="0.35">
      <c r="A97">
        <v>96</v>
      </c>
      <c r="B97">
        <v>4</v>
      </c>
      <c r="C97" s="12" t="s">
        <v>494</v>
      </c>
      <c r="D97" s="12" t="s">
        <v>495</v>
      </c>
      <c r="E97" s="12" t="s">
        <v>175</v>
      </c>
      <c r="F97" s="12" t="s">
        <v>65</v>
      </c>
      <c r="G97">
        <v>2</v>
      </c>
      <c r="H97">
        <v>3</v>
      </c>
      <c r="I97">
        <v>0</v>
      </c>
      <c r="J97" s="12" t="s">
        <v>515</v>
      </c>
      <c r="K97" s="12" t="s">
        <v>516</v>
      </c>
      <c r="L97" s="12" t="s">
        <v>134</v>
      </c>
      <c r="M97">
        <v>3.69</v>
      </c>
      <c r="N97" s="12" t="s">
        <v>145</v>
      </c>
      <c r="O97" s="12" t="s">
        <v>146</v>
      </c>
      <c r="P97" s="12" t="s">
        <v>109</v>
      </c>
      <c r="Q97">
        <v>162.8912</v>
      </c>
      <c r="R97">
        <v>150.57810000000001</v>
      </c>
      <c r="S97">
        <v>140.8023</v>
      </c>
      <c r="T97">
        <v>5.5</v>
      </c>
      <c r="U97">
        <v>3.0049999999999999</v>
      </c>
      <c r="V97">
        <v>54.64</v>
      </c>
      <c r="W97">
        <v>9.7758000000000003</v>
      </c>
      <c r="X97">
        <v>1022</v>
      </c>
      <c r="Y97">
        <v>154190.82999999999</v>
      </c>
      <c r="Z97">
        <v>9990.84</v>
      </c>
      <c r="AA97">
        <v>1194.82</v>
      </c>
      <c r="AB97">
        <v>-3048.05</v>
      </c>
      <c r="AC97">
        <v>0</v>
      </c>
      <c r="AD97">
        <v>99.12</v>
      </c>
      <c r="AE97">
        <v>48</v>
      </c>
      <c r="AF97" s="12" t="s">
        <v>7476</v>
      </c>
      <c r="AG97">
        <v>1</v>
      </c>
      <c r="AH97" s="12" t="s">
        <v>7478</v>
      </c>
    </row>
    <row r="98" spans="1:34" x14ac:dyDescent="0.35">
      <c r="A98">
        <v>97</v>
      </c>
      <c r="B98">
        <v>30</v>
      </c>
      <c r="C98" s="12" t="s">
        <v>249</v>
      </c>
      <c r="D98" s="12" t="s">
        <v>250</v>
      </c>
      <c r="E98" s="12" t="s">
        <v>64</v>
      </c>
      <c r="F98" s="12" t="s">
        <v>65</v>
      </c>
      <c r="G98">
        <v>2</v>
      </c>
      <c r="H98">
        <v>3</v>
      </c>
      <c r="I98">
        <v>0</v>
      </c>
      <c r="J98" s="12" t="s">
        <v>251</v>
      </c>
      <c r="K98" s="12" t="s">
        <v>252</v>
      </c>
      <c r="L98" s="12" t="s">
        <v>69</v>
      </c>
      <c r="M98">
        <v>34.49</v>
      </c>
      <c r="N98" s="12" t="s">
        <v>70</v>
      </c>
      <c r="O98" s="12" t="s">
        <v>71</v>
      </c>
      <c r="P98" s="12" t="s">
        <v>72</v>
      </c>
      <c r="Q98">
        <v>10.6486</v>
      </c>
      <c r="R98">
        <v>9.8320000000000007</v>
      </c>
      <c r="S98">
        <v>8.6746999999999996</v>
      </c>
      <c r="T98">
        <v>7</v>
      </c>
      <c r="U98">
        <v>2.7839999999999998</v>
      </c>
      <c r="V98">
        <v>39.770000000000003</v>
      </c>
      <c r="W98">
        <v>1.1573</v>
      </c>
      <c r="X98">
        <v>8400</v>
      </c>
      <c r="Y98">
        <v>83090.64</v>
      </c>
      <c r="Z98">
        <v>9721.16</v>
      </c>
      <c r="AA98">
        <v>735.62</v>
      </c>
      <c r="AB98">
        <v>-662.35</v>
      </c>
      <c r="AC98">
        <v>0</v>
      </c>
      <c r="AD98">
        <v>99.02</v>
      </c>
      <c r="AE98">
        <v>75</v>
      </c>
      <c r="AF98" s="12" t="s">
        <v>7476</v>
      </c>
      <c r="AG98">
        <v>0</v>
      </c>
      <c r="AH98" s="12" t="s">
        <v>7482</v>
      </c>
    </row>
    <row r="99" spans="1:34" x14ac:dyDescent="0.35">
      <c r="A99">
        <v>98</v>
      </c>
      <c r="B99">
        <v>14</v>
      </c>
      <c r="C99" s="12" t="s">
        <v>1075</v>
      </c>
      <c r="D99" s="12" t="s">
        <v>1076</v>
      </c>
      <c r="E99" s="12" t="s">
        <v>103</v>
      </c>
      <c r="F99" s="12" t="s">
        <v>65</v>
      </c>
      <c r="G99">
        <v>2</v>
      </c>
      <c r="H99">
        <v>4</v>
      </c>
      <c r="I99">
        <v>0</v>
      </c>
      <c r="J99" s="12" t="s">
        <v>183</v>
      </c>
      <c r="K99" s="12" t="s">
        <v>184</v>
      </c>
      <c r="L99" s="12" t="s">
        <v>82</v>
      </c>
      <c r="M99">
        <v>8.6199999999999992</v>
      </c>
      <c r="N99" s="12" t="s">
        <v>107</v>
      </c>
      <c r="O99" s="12" t="s">
        <v>108</v>
      </c>
      <c r="P99" s="12" t="s">
        <v>109</v>
      </c>
      <c r="Q99">
        <v>68.470200000000006</v>
      </c>
      <c r="R99">
        <v>74.169300000000007</v>
      </c>
      <c r="S99">
        <v>65.137299999999996</v>
      </c>
      <c r="T99">
        <v>2</v>
      </c>
      <c r="U99">
        <v>-3.2909999999999999</v>
      </c>
      <c r="V99">
        <v>-164.55</v>
      </c>
      <c r="W99">
        <v>9.032</v>
      </c>
      <c r="X99">
        <v>1053</v>
      </c>
      <c r="Y99">
        <v>79251.86</v>
      </c>
      <c r="Z99">
        <v>9510.7199999999993</v>
      </c>
      <c r="AA99">
        <v>596.88</v>
      </c>
      <c r="AC99">
        <v>79251.86</v>
      </c>
      <c r="AD99">
        <v>99.24</v>
      </c>
      <c r="AE99">
        <v>69</v>
      </c>
      <c r="AF99" s="12" t="s">
        <v>7474</v>
      </c>
      <c r="AG99">
        <v>0</v>
      </c>
      <c r="AH99" s="12" t="s">
        <v>7475</v>
      </c>
    </row>
    <row r="100" spans="1:34" x14ac:dyDescent="0.35">
      <c r="A100">
        <v>99</v>
      </c>
      <c r="B100">
        <v>24</v>
      </c>
      <c r="C100" s="12" t="s">
        <v>809</v>
      </c>
      <c r="D100" s="12" t="s">
        <v>810</v>
      </c>
      <c r="E100" s="12" t="s">
        <v>114</v>
      </c>
      <c r="F100" s="12" t="s">
        <v>65</v>
      </c>
      <c r="G100">
        <v>3</v>
      </c>
      <c r="H100">
        <v>5</v>
      </c>
      <c r="I100">
        <v>0</v>
      </c>
      <c r="J100" s="12" t="s">
        <v>811</v>
      </c>
      <c r="K100" s="12" t="s">
        <v>812</v>
      </c>
      <c r="L100" s="12" t="s">
        <v>69</v>
      </c>
      <c r="M100">
        <v>26.4</v>
      </c>
      <c r="N100" s="12" t="s">
        <v>97</v>
      </c>
      <c r="O100" s="12" t="s">
        <v>98</v>
      </c>
      <c r="P100" s="12" t="s">
        <v>72</v>
      </c>
      <c r="Q100">
        <v>323.22789999999998</v>
      </c>
      <c r="R100">
        <v>315.6524</v>
      </c>
      <c r="S100">
        <v>298.68119999999999</v>
      </c>
      <c r="T100">
        <v>3</v>
      </c>
      <c r="U100">
        <v>0.91100000000000003</v>
      </c>
      <c r="V100">
        <v>30.37</v>
      </c>
      <c r="W100">
        <v>16.9712</v>
      </c>
      <c r="X100">
        <v>542</v>
      </c>
      <c r="Y100">
        <v>171422.7</v>
      </c>
      <c r="Z100">
        <v>9198.39</v>
      </c>
      <c r="AA100">
        <v>3472.18</v>
      </c>
      <c r="AB100">
        <v>260.14</v>
      </c>
      <c r="AC100">
        <v>0</v>
      </c>
      <c r="AD100">
        <v>97.97</v>
      </c>
      <c r="AE100">
        <v>89</v>
      </c>
      <c r="AF100" s="12" t="s">
        <v>7476</v>
      </c>
      <c r="AG100">
        <v>0</v>
      </c>
      <c r="AH100" s="12" t="s">
        <v>7482</v>
      </c>
    </row>
    <row r="101" spans="1:34" x14ac:dyDescent="0.35">
      <c r="A101">
        <v>100</v>
      </c>
      <c r="B101">
        <v>5</v>
      </c>
      <c r="C101" s="12" t="s">
        <v>670</v>
      </c>
      <c r="D101" s="12" t="s">
        <v>671</v>
      </c>
      <c r="E101" s="12" t="s">
        <v>175</v>
      </c>
      <c r="F101" s="12" t="s">
        <v>142</v>
      </c>
      <c r="G101">
        <v>2</v>
      </c>
      <c r="H101">
        <v>9</v>
      </c>
      <c r="I101">
        <v>0</v>
      </c>
      <c r="J101" s="12" t="s">
        <v>233</v>
      </c>
      <c r="K101" s="12" t="s">
        <v>234</v>
      </c>
      <c r="L101" s="12" t="s">
        <v>96</v>
      </c>
      <c r="M101">
        <v>3.73</v>
      </c>
      <c r="N101" s="12" t="s">
        <v>145</v>
      </c>
      <c r="O101" s="12" t="s">
        <v>146</v>
      </c>
      <c r="P101" s="12" t="s">
        <v>109</v>
      </c>
      <c r="Q101">
        <v>151.31620000000001</v>
      </c>
      <c r="R101">
        <v>144.0438</v>
      </c>
      <c r="S101">
        <v>130.1917</v>
      </c>
      <c r="T101">
        <v>5.5</v>
      </c>
      <c r="U101">
        <v>1.8360000000000001</v>
      </c>
      <c r="V101">
        <v>33.380000000000003</v>
      </c>
      <c r="W101">
        <v>13.8521</v>
      </c>
      <c r="X101">
        <v>663</v>
      </c>
      <c r="Y101">
        <v>96494.47</v>
      </c>
      <c r="Z101">
        <v>9183.94</v>
      </c>
      <c r="AA101">
        <v>1022.65</v>
      </c>
      <c r="AB101">
        <v>0</v>
      </c>
      <c r="AC101">
        <v>0</v>
      </c>
      <c r="AD101">
        <v>98.65</v>
      </c>
      <c r="AE101">
        <v>35</v>
      </c>
      <c r="AF101" s="12" t="s">
        <v>7483</v>
      </c>
      <c r="AG101">
        <v>0</v>
      </c>
      <c r="AH101" s="12" t="s">
        <v>7484</v>
      </c>
    </row>
    <row r="102" spans="1:34" x14ac:dyDescent="0.35">
      <c r="A102">
        <v>101</v>
      </c>
      <c r="B102">
        <v>25</v>
      </c>
      <c r="C102" s="12" t="s">
        <v>454</v>
      </c>
      <c r="D102" s="12" t="s">
        <v>455</v>
      </c>
      <c r="E102" s="12" t="s">
        <v>122</v>
      </c>
      <c r="F102" s="12" t="s">
        <v>104</v>
      </c>
      <c r="G102">
        <v>3</v>
      </c>
      <c r="H102">
        <v>1</v>
      </c>
      <c r="I102">
        <v>0</v>
      </c>
      <c r="J102" s="12" t="s">
        <v>243</v>
      </c>
      <c r="K102" s="12" t="s">
        <v>244</v>
      </c>
      <c r="L102" s="12" t="s">
        <v>82</v>
      </c>
      <c r="M102">
        <v>9.2200000000000006</v>
      </c>
      <c r="N102" s="12" t="s">
        <v>97</v>
      </c>
      <c r="O102" s="12" t="s">
        <v>98</v>
      </c>
      <c r="P102" s="12" t="s">
        <v>72</v>
      </c>
      <c r="Q102">
        <v>21.796199999999999</v>
      </c>
      <c r="R102">
        <v>20.770800000000001</v>
      </c>
      <c r="S102">
        <v>19.6799</v>
      </c>
      <c r="T102">
        <v>4</v>
      </c>
      <c r="U102">
        <v>1.907</v>
      </c>
      <c r="V102">
        <v>47.68</v>
      </c>
      <c r="W102">
        <v>1.0909</v>
      </c>
      <c r="X102">
        <v>8291</v>
      </c>
      <c r="Y102">
        <v>176766.84</v>
      </c>
      <c r="Z102">
        <v>9044.52</v>
      </c>
      <c r="AA102">
        <v>1209.81</v>
      </c>
      <c r="AB102">
        <v>0</v>
      </c>
      <c r="AC102">
        <v>141452.87</v>
      </c>
      <c r="AD102">
        <v>99.31</v>
      </c>
      <c r="AE102">
        <v>90</v>
      </c>
      <c r="AF102" s="12" t="s">
        <v>7474</v>
      </c>
      <c r="AG102">
        <v>0</v>
      </c>
      <c r="AH102" s="12" t="s">
        <v>7475</v>
      </c>
    </row>
    <row r="103" spans="1:34" x14ac:dyDescent="0.35">
      <c r="A103">
        <v>102</v>
      </c>
      <c r="B103">
        <v>26</v>
      </c>
      <c r="C103" s="12" t="s">
        <v>617</v>
      </c>
      <c r="D103" s="12" t="s">
        <v>618</v>
      </c>
      <c r="E103" s="12" t="s">
        <v>78</v>
      </c>
      <c r="F103" s="12" t="s">
        <v>65</v>
      </c>
      <c r="G103">
        <v>2</v>
      </c>
      <c r="H103">
        <v>4</v>
      </c>
      <c r="I103">
        <v>0</v>
      </c>
      <c r="J103" s="12" t="s">
        <v>209</v>
      </c>
      <c r="K103" s="12" t="s">
        <v>210</v>
      </c>
      <c r="L103" s="12" t="s">
        <v>96</v>
      </c>
      <c r="M103">
        <v>7.82</v>
      </c>
      <c r="N103" s="12" t="s">
        <v>97</v>
      </c>
      <c r="O103" s="12" t="s">
        <v>98</v>
      </c>
      <c r="P103" s="12" t="s">
        <v>72</v>
      </c>
      <c r="Q103">
        <v>104.35680000000001</v>
      </c>
      <c r="R103">
        <v>108.7697</v>
      </c>
      <c r="S103">
        <v>93.6233</v>
      </c>
      <c r="T103">
        <v>5</v>
      </c>
      <c r="U103">
        <v>-1.976</v>
      </c>
      <c r="V103">
        <v>-39.520000000000003</v>
      </c>
      <c r="W103">
        <v>15.1464</v>
      </c>
      <c r="X103">
        <v>581</v>
      </c>
      <c r="Y103">
        <v>62967.74</v>
      </c>
      <c r="Z103">
        <v>8800.0300000000007</v>
      </c>
      <c r="AA103">
        <v>1190.57</v>
      </c>
      <c r="AB103">
        <v>222.01</v>
      </c>
      <c r="AC103">
        <v>0</v>
      </c>
      <c r="AD103">
        <v>98.11</v>
      </c>
      <c r="AE103">
        <v>56</v>
      </c>
      <c r="AF103" s="12" t="s">
        <v>7476</v>
      </c>
      <c r="AG103">
        <v>0</v>
      </c>
      <c r="AH103" s="12" t="s">
        <v>7478</v>
      </c>
    </row>
    <row r="104" spans="1:34" x14ac:dyDescent="0.35">
      <c r="A104">
        <v>103</v>
      </c>
      <c r="B104">
        <v>16</v>
      </c>
      <c r="C104" s="12" t="s">
        <v>909</v>
      </c>
      <c r="D104" s="12" t="s">
        <v>910</v>
      </c>
      <c r="E104" s="12" t="s">
        <v>269</v>
      </c>
      <c r="F104" s="12" t="s">
        <v>65</v>
      </c>
      <c r="G104">
        <v>3</v>
      </c>
      <c r="H104">
        <v>4</v>
      </c>
      <c r="I104">
        <v>0</v>
      </c>
      <c r="J104" s="12" t="s">
        <v>199</v>
      </c>
      <c r="K104" s="12" t="s">
        <v>200</v>
      </c>
      <c r="L104" s="12" t="s">
        <v>96</v>
      </c>
      <c r="M104">
        <v>9.4700000000000006</v>
      </c>
      <c r="N104" s="12" t="s">
        <v>135</v>
      </c>
      <c r="O104" s="12" t="s">
        <v>136</v>
      </c>
      <c r="P104" s="12" t="s">
        <v>137</v>
      </c>
      <c r="Q104">
        <v>108.32040000000001</v>
      </c>
      <c r="R104">
        <v>103.0488</v>
      </c>
      <c r="S104">
        <v>91.333500000000001</v>
      </c>
      <c r="T104">
        <v>6.5</v>
      </c>
      <c r="U104">
        <v>1.9470000000000001</v>
      </c>
      <c r="V104">
        <v>29.95</v>
      </c>
      <c r="W104">
        <v>11.715299999999999</v>
      </c>
      <c r="X104">
        <v>739</v>
      </c>
      <c r="Y104">
        <v>77444.23</v>
      </c>
      <c r="Z104">
        <v>8657.61</v>
      </c>
      <c r="AA104">
        <v>526.41999999999996</v>
      </c>
      <c r="AB104">
        <v>633.54</v>
      </c>
      <c r="AC104">
        <v>0</v>
      </c>
      <c r="AD104">
        <v>99.18</v>
      </c>
      <c r="AE104">
        <v>79</v>
      </c>
      <c r="AF104" s="12" t="s">
        <v>7476</v>
      </c>
      <c r="AG104">
        <v>0</v>
      </c>
      <c r="AH104" s="12" t="s">
        <v>7482</v>
      </c>
    </row>
    <row r="105" spans="1:34" x14ac:dyDescent="0.35">
      <c r="A105">
        <v>104</v>
      </c>
      <c r="B105">
        <v>17</v>
      </c>
      <c r="C105" s="12" t="s">
        <v>420</v>
      </c>
      <c r="D105" s="12" t="s">
        <v>421</v>
      </c>
      <c r="E105" s="12" t="s">
        <v>269</v>
      </c>
      <c r="F105" s="12" t="s">
        <v>104</v>
      </c>
      <c r="G105">
        <v>2</v>
      </c>
      <c r="H105">
        <v>0</v>
      </c>
      <c r="I105">
        <v>0</v>
      </c>
      <c r="J105" s="12" t="s">
        <v>380</v>
      </c>
      <c r="K105" s="12" t="s">
        <v>381</v>
      </c>
      <c r="L105" s="12" t="s">
        <v>96</v>
      </c>
      <c r="M105">
        <v>10.210000000000001</v>
      </c>
      <c r="N105" s="12" t="s">
        <v>135</v>
      </c>
      <c r="O105" s="12" t="s">
        <v>136</v>
      </c>
      <c r="P105" s="12" t="s">
        <v>137</v>
      </c>
      <c r="Q105">
        <v>143.18369999999999</v>
      </c>
      <c r="R105">
        <v>137.98429999999999</v>
      </c>
      <c r="S105">
        <v>119.4944</v>
      </c>
      <c r="T105">
        <v>6.5</v>
      </c>
      <c r="U105">
        <v>1.365</v>
      </c>
      <c r="V105">
        <v>21</v>
      </c>
      <c r="W105">
        <v>18.489899999999999</v>
      </c>
      <c r="X105">
        <v>451</v>
      </c>
      <c r="Y105">
        <v>62230.92</v>
      </c>
      <c r="Z105">
        <v>8338.94</v>
      </c>
      <c r="AA105">
        <v>689.9</v>
      </c>
      <c r="AB105">
        <v>0</v>
      </c>
      <c r="AC105">
        <v>0</v>
      </c>
      <c r="AD105">
        <v>98.89</v>
      </c>
      <c r="AE105">
        <v>72</v>
      </c>
      <c r="AF105" s="12" t="s">
        <v>7476</v>
      </c>
      <c r="AG105">
        <v>0</v>
      </c>
      <c r="AH105" s="12" t="s">
        <v>7482</v>
      </c>
    </row>
    <row r="106" spans="1:34" x14ac:dyDescent="0.35">
      <c r="A106">
        <v>105</v>
      </c>
      <c r="B106">
        <v>31</v>
      </c>
      <c r="C106" s="12" t="s">
        <v>85</v>
      </c>
      <c r="D106" s="12" t="s">
        <v>86</v>
      </c>
      <c r="E106" s="12" t="s">
        <v>78</v>
      </c>
      <c r="F106" s="12" t="s">
        <v>65</v>
      </c>
      <c r="G106">
        <v>3</v>
      </c>
      <c r="H106">
        <v>5</v>
      </c>
      <c r="I106">
        <v>0</v>
      </c>
      <c r="J106" s="12" t="s">
        <v>87</v>
      </c>
      <c r="K106" s="12" t="s">
        <v>88</v>
      </c>
      <c r="L106" s="12" t="s">
        <v>69</v>
      </c>
      <c r="M106">
        <v>14.93</v>
      </c>
      <c r="N106" s="12" t="s">
        <v>70</v>
      </c>
      <c r="O106" s="12" t="s">
        <v>71</v>
      </c>
      <c r="P106" s="12" t="s">
        <v>72</v>
      </c>
      <c r="Q106">
        <v>147.55000000000001</v>
      </c>
      <c r="R106">
        <v>132.05160000000001</v>
      </c>
      <c r="S106">
        <v>127.1758</v>
      </c>
      <c r="T106">
        <v>5</v>
      </c>
      <c r="U106">
        <v>3.7589999999999999</v>
      </c>
      <c r="V106">
        <v>75.180000000000007</v>
      </c>
      <c r="W106">
        <v>4.8757999999999999</v>
      </c>
      <c r="X106">
        <v>1705</v>
      </c>
      <c r="Y106">
        <v>227013.86</v>
      </c>
      <c r="Z106">
        <v>8313.24</v>
      </c>
      <c r="AA106">
        <v>3593.9</v>
      </c>
      <c r="AB106">
        <v>1865.88</v>
      </c>
      <c r="AC106">
        <v>0</v>
      </c>
      <c r="AD106">
        <v>98.3</v>
      </c>
      <c r="AE106">
        <v>79</v>
      </c>
      <c r="AF106" s="12" t="s">
        <v>7476</v>
      </c>
      <c r="AG106">
        <v>0</v>
      </c>
      <c r="AH106" s="12" t="s">
        <v>7482</v>
      </c>
    </row>
    <row r="107" spans="1:34" x14ac:dyDescent="0.35">
      <c r="A107">
        <v>106</v>
      </c>
      <c r="B107">
        <v>32</v>
      </c>
      <c r="C107" s="12" t="s">
        <v>167</v>
      </c>
      <c r="D107" s="12" t="s">
        <v>168</v>
      </c>
      <c r="E107" s="12" t="s">
        <v>64</v>
      </c>
      <c r="F107" s="12" t="s">
        <v>104</v>
      </c>
      <c r="G107">
        <v>3</v>
      </c>
      <c r="H107">
        <v>1</v>
      </c>
      <c r="I107">
        <v>0</v>
      </c>
      <c r="J107" s="12" t="s">
        <v>169</v>
      </c>
      <c r="K107" s="12" t="s">
        <v>170</v>
      </c>
      <c r="L107" s="12" t="s">
        <v>134</v>
      </c>
      <c r="M107">
        <v>1.37</v>
      </c>
      <c r="N107" s="12" t="s">
        <v>70</v>
      </c>
      <c r="O107" s="12" t="s">
        <v>71</v>
      </c>
      <c r="P107" s="12" t="s">
        <v>72</v>
      </c>
      <c r="Q107">
        <v>28.7181</v>
      </c>
      <c r="R107">
        <v>24.298999999999999</v>
      </c>
      <c r="S107">
        <v>23.277999999999999</v>
      </c>
      <c r="T107">
        <v>7</v>
      </c>
      <c r="U107">
        <v>5.61</v>
      </c>
      <c r="V107">
        <v>80.14</v>
      </c>
      <c r="W107">
        <v>1.0209999999999999</v>
      </c>
      <c r="X107">
        <v>8069</v>
      </c>
      <c r="Y107">
        <v>195709.11</v>
      </c>
      <c r="Z107">
        <v>8238.81</v>
      </c>
      <c r="AA107">
        <v>1653.24</v>
      </c>
      <c r="AB107">
        <v>-3385.07</v>
      </c>
      <c r="AC107">
        <v>0</v>
      </c>
      <c r="AD107">
        <v>99.09</v>
      </c>
      <c r="AE107">
        <v>69</v>
      </c>
      <c r="AF107" s="12" t="s">
        <v>7476</v>
      </c>
      <c r="AG107">
        <v>0</v>
      </c>
      <c r="AH107" s="12" t="s">
        <v>7478</v>
      </c>
    </row>
    <row r="108" spans="1:34" x14ac:dyDescent="0.35">
      <c r="A108">
        <v>107</v>
      </c>
      <c r="B108">
        <v>6</v>
      </c>
      <c r="C108" s="12" t="s">
        <v>685</v>
      </c>
      <c r="D108" s="12" t="s">
        <v>686</v>
      </c>
      <c r="E108" s="12" t="s">
        <v>175</v>
      </c>
      <c r="F108" s="12" t="s">
        <v>104</v>
      </c>
      <c r="G108">
        <v>2</v>
      </c>
      <c r="H108">
        <v>0</v>
      </c>
      <c r="I108">
        <v>0</v>
      </c>
      <c r="J108" s="12" t="s">
        <v>195</v>
      </c>
      <c r="K108" s="12" t="s">
        <v>196</v>
      </c>
      <c r="L108" s="12" t="s">
        <v>134</v>
      </c>
      <c r="M108">
        <v>4.7699999999999996</v>
      </c>
      <c r="N108" s="12" t="s">
        <v>145</v>
      </c>
      <c r="O108" s="12" t="s">
        <v>146</v>
      </c>
      <c r="P108" s="12" t="s">
        <v>109</v>
      </c>
      <c r="Q108">
        <v>221.7389</v>
      </c>
      <c r="R108">
        <v>221.73</v>
      </c>
      <c r="S108">
        <v>195.7131</v>
      </c>
      <c r="T108">
        <v>5.5</v>
      </c>
      <c r="U108">
        <v>2E-3</v>
      </c>
      <c r="V108">
        <v>0.04</v>
      </c>
      <c r="W108">
        <v>26.0169</v>
      </c>
      <c r="X108">
        <v>313</v>
      </c>
      <c r="Y108">
        <v>69401.490000000005</v>
      </c>
      <c r="Z108">
        <v>8143.29</v>
      </c>
      <c r="AA108">
        <v>665.19</v>
      </c>
      <c r="AB108">
        <v>0</v>
      </c>
      <c r="AC108">
        <v>0</v>
      </c>
      <c r="AD108">
        <v>99.04</v>
      </c>
      <c r="AE108">
        <v>63</v>
      </c>
      <c r="AF108" s="12" t="s">
        <v>7476</v>
      </c>
      <c r="AG108">
        <v>1</v>
      </c>
      <c r="AH108" s="12" t="s">
        <v>7478</v>
      </c>
    </row>
    <row r="109" spans="1:34" x14ac:dyDescent="0.35">
      <c r="A109">
        <v>108</v>
      </c>
      <c r="B109">
        <v>18</v>
      </c>
      <c r="C109" s="12" t="s">
        <v>395</v>
      </c>
      <c r="D109" s="12" t="s">
        <v>396</v>
      </c>
      <c r="E109" s="12" t="s">
        <v>130</v>
      </c>
      <c r="F109" s="12" t="s">
        <v>104</v>
      </c>
      <c r="G109">
        <v>3</v>
      </c>
      <c r="H109">
        <v>1</v>
      </c>
      <c r="I109">
        <v>0</v>
      </c>
      <c r="J109" s="12" t="s">
        <v>341</v>
      </c>
      <c r="K109" s="12" t="s">
        <v>342</v>
      </c>
      <c r="L109" s="12" t="s">
        <v>82</v>
      </c>
      <c r="M109">
        <v>18.36</v>
      </c>
      <c r="N109" s="12" t="s">
        <v>135</v>
      </c>
      <c r="O109" s="12" t="s">
        <v>136</v>
      </c>
      <c r="P109" s="12" t="s">
        <v>137</v>
      </c>
      <c r="Q109">
        <v>190.43799999999999</v>
      </c>
      <c r="R109">
        <v>159.31549999999999</v>
      </c>
      <c r="S109">
        <v>150.5719</v>
      </c>
      <c r="T109">
        <v>8</v>
      </c>
      <c r="U109">
        <v>6.1369999999999996</v>
      </c>
      <c r="V109">
        <v>76.709999999999994</v>
      </c>
      <c r="W109">
        <v>8.7436000000000007</v>
      </c>
      <c r="X109">
        <v>875</v>
      </c>
      <c r="Y109">
        <v>139401.07</v>
      </c>
      <c r="Z109">
        <v>7650.65</v>
      </c>
      <c r="AA109">
        <v>1274.55</v>
      </c>
      <c r="AB109">
        <v>0</v>
      </c>
      <c r="AC109">
        <v>0</v>
      </c>
      <c r="AD109">
        <v>99.02</v>
      </c>
      <c r="AE109">
        <v>96</v>
      </c>
      <c r="AF109" s="12" t="s">
        <v>7483</v>
      </c>
      <c r="AG109">
        <v>0</v>
      </c>
      <c r="AH109" s="12" t="s">
        <v>7484</v>
      </c>
    </row>
    <row r="110" spans="1:34" x14ac:dyDescent="0.35">
      <c r="A110">
        <v>109</v>
      </c>
      <c r="B110">
        <v>15</v>
      </c>
      <c r="C110" s="12" t="s">
        <v>1220</v>
      </c>
      <c r="D110" s="12" t="s">
        <v>1221</v>
      </c>
      <c r="E110" s="12" t="s">
        <v>175</v>
      </c>
      <c r="F110" s="12" t="s">
        <v>104</v>
      </c>
      <c r="G110">
        <v>3</v>
      </c>
      <c r="H110">
        <v>1</v>
      </c>
      <c r="I110">
        <v>0</v>
      </c>
      <c r="J110" s="12" t="s">
        <v>251</v>
      </c>
      <c r="K110" s="12" t="s">
        <v>252</v>
      </c>
      <c r="L110" s="12" t="s">
        <v>69</v>
      </c>
      <c r="M110">
        <v>34.49</v>
      </c>
      <c r="N110" s="12" t="s">
        <v>107</v>
      </c>
      <c r="O110" s="12" t="s">
        <v>108</v>
      </c>
      <c r="P110" s="12" t="s">
        <v>109</v>
      </c>
      <c r="Q110">
        <v>138.98759999999999</v>
      </c>
      <c r="R110">
        <v>135.29990000000001</v>
      </c>
      <c r="S110">
        <v>121.29430000000001</v>
      </c>
      <c r="T110">
        <v>5.5</v>
      </c>
      <c r="U110">
        <v>1.111</v>
      </c>
      <c r="V110">
        <v>20.2</v>
      </c>
      <c r="W110">
        <v>14.005599999999999</v>
      </c>
      <c r="X110">
        <v>539</v>
      </c>
      <c r="Y110">
        <v>74250.33</v>
      </c>
      <c r="Z110">
        <v>7549</v>
      </c>
      <c r="AA110">
        <v>555.77</v>
      </c>
      <c r="AB110">
        <v>-634.72</v>
      </c>
      <c r="AC110">
        <v>0</v>
      </c>
      <c r="AD110">
        <v>99.26</v>
      </c>
      <c r="AE110">
        <v>96</v>
      </c>
      <c r="AF110" s="12" t="s">
        <v>7483</v>
      </c>
      <c r="AG110">
        <v>0</v>
      </c>
      <c r="AH110" s="12" t="s">
        <v>7484</v>
      </c>
    </row>
    <row r="111" spans="1:34" x14ac:dyDescent="0.35">
      <c r="A111">
        <v>110</v>
      </c>
      <c r="B111">
        <v>33</v>
      </c>
      <c r="C111" s="12" t="s">
        <v>76</v>
      </c>
      <c r="D111" s="12" t="s">
        <v>77</v>
      </c>
      <c r="E111" s="12" t="s">
        <v>78</v>
      </c>
      <c r="F111" s="12" t="s">
        <v>65</v>
      </c>
      <c r="G111">
        <v>2</v>
      </c>
      <c r="H111">
        <v>4</v>
      </c>
      <c r="I111">
        <v>0</v>
      </c>
      <c r="J111" s="12" t="s">
        <v>79</v>
      </c>
      <c r="K111" s="12" t="s">
        <v>80</v>
      </c>
      <c r="L111" s="12" t="s">
        <v>82</v>
      </c>
      <c r="M111">
        <v>12.07</v>
      </c>
      <c r="N111" s="12" t="s">
        <v>70</v>
      </c>
      <c r="O111" s="12" t="s">
        <v>71</v>
      </c>
      <c r="P111" s="12" t="s">
        <v>72</v>
      </c>
      <c r="Q111">
        <v>45.991</v>
      </c>
      <c r="R111">
        <v>43.147799999999997</v>
      </c>
      <c r="S111">
        <v>39.658700000000003</v>
      </c>
      <c r="T111">
        <v>5</v>
      </c>
      <c r="U111">
        <v>2.1850000000000001</v>
      </c>
      <c r="V111">
        <v>43.7</v>
      </c>
      <c r="W111">
        <v>3.4891000000000001</v>
      </c>
      <c r="X111">
        <v>2141</v>
      </c>
      <c r="Y111">
        <v>92966.51</v>
      </c>
      <c r="Z111">
        <v>7470.13</v>
      </c>
      <c r="AA111">
        <v>1217.3900000000001</v>
      </c>
      <c r="AB111">
        <v>-1440.02</v>
      </c>
      <c r="AC111">
        <v>0</v>
      </c>
      <c r="AD111">
        <v>98.63</v>
      </c>
      <c r="AE111">
        <v>65</v>
      </c>
      <c r="AF111" s="12" t="s">
        <v>7483</v>
      </c>
      <c r="AG111">
        <v>0</v>
      </c>
      <c r="AH111" s="12" t="s">
        <v>7484</v>
      </c>
    </row>
    <row r="112" spans="1:34" x14ac:dyDescent="0.35">
      <c r="A112">
        <v>111</v>
      </c>
      <c r="B112">
        <v>7</v>
      </c>
      <c r="C112" s="12" t="s">
        <v>621</v>
      </c>
      <c r="D112" s="12" t="s">
        <v>622</v>
      </c>
      <c r="E112" s="12" t="s">
        <v>103</v>
      </c>
      <c r="F112" s="12" t="s">
        <v>65</v>
      </c>
      <c r="G112">
        <v>1</v>
      </c>
      <c r="H112">
        <v>2</v>
      </c>
      <c r="I112">
        <v>1</v>
      </c>
      <c r="J112" s="12" t="s">
        <v>486</v>
      </c>
      <c r="K112" s="12" t="s">
        <v>487</v>
      </c>
      <c r="L112" s="12" t="s">
        <v>69</v>
      </c>
      <c r="M112">
        <v>36.86</v>
      </c>
      <c r="N112" s="12" t="s">
        <v>145</v>
      </c>
      <c r="O112" s="12" t="s">
        <v>146</v>
      </c>
      <c r="P112" s="12" t="s">
        <v>109</v>
      </c>
      <c r="Q112">
        <v>202.44030000000001</v>
      </c>
      <c r="R112">
        <v>197.4195</v>
      </c>
      <c r="S112">
        <v>191.6122</v>
      </c>
      <c r="T112">
        <v>2</v>
      </c>
      <c r="U112">
        <v>0.91900000000000004</v>
      </c>
      <c r="V112">
        <v>45.95</v>
      </c>
      <c r="W112">
        <v>5.8072999999999997</v>
      </c>
      <c r="X112">
        <v>1283</v>
      </c>
      <c r="Y112">
        <v>257265.86</v>
      </c>
      <c r="Z112">
        <v>7450.82</v>
      </c>
      <c r="AA112">
        <v>2184.4899999999998</v>
      </c>
      <c r="AB112">
        <v>-323.86</v>
      </c>
      <c r="AC112">
        <v>0</v>
      </c>
      <c r="AD112">
        <v>99.08</v>
      </c>
      <c r="AE112">
        <v>60</v>
      </c>
      <c r="AF112" s="12" t="s">
        <v>7483</v>
      </c>
      <c r="AG112">
        <v>0</v>
      </c>
      <c r="AH112" s="12" t="s">
        <v>7484</v>
      </c>
    </row>
    <row r="113" spans="1:34" x14ac:dyDescent="0.35">
      <c r="A113">
        <v>112</v>
      </c>
      <c r="B113">
        <v>13</v>
      </c>
      <c r="C113" s="12" t="s">
        <v>941</v>
      </c>
      <c r="D113" s="12" t="s">
        <v>942</v>
      </c>
      <c r="E113" s="12" t="s">
        <v>130</v>
      </c>
      <c r="F113" s="12" t="s">
        <v>104</v>
      </c>
      <c r="G113">
        <v>2</v>
      </c>
      <c r="H113">
        <v>0</v>
      </c>
      <c r="I113">
        <v>0</v>
      </c>
      <c r="J113" s="12" t="s">
        <v>151</v>
      </c>
      <c r="K113" s="12" t="s">
        <v>152</v>
      </c>
      <c r="L113" s="12" t="s">
        <v>69</v>
      </c>
      <c r="M113">
        <v>36.479999999999997</v>
      </c>
      <c r="N113" s="12" t="s">
        <v>159</v>
      </c>
      <c r="O113" s="12" t="s">
        <v>160</v>
      </c>
      <c r="P113" s="12" t="s">
        <v>137</v>
      </c>
      <c r="Q113">
        <v>1034.5934</v>
      </c>
      <c r="R113">
        <v>919.21429999999998</v>
      </c>
      <c r="S113">
        <v>850.13909999999998</v>
      </c>
      <c r="T113">
        <v>8</v>
      </c>
      <c r="U113">
        <v>4.8979999999999997</v>
      </c>
      <c r="V113">
        <v>61.23</v>
      </c>
      <c r="W113">
        <v>69.075199999999995</v>
      </c>
      <c r="X113">
        <v>105</v>
      </c>
      <c r="Y113">
        <v>99338.54</v>
      </c>
      <c r="Z113">
        <v>7252.9</v>
      </c>
      <c r="AA113">
        <v>954.04</v>
      </c>
      <c r="AB113">
        <v>0</v>
      </c>
      <c r="AC113">
        <v>0</v>
      </c>
      <c r="AD113">
        <v>99.05</v>
      </c>
      <c r="AE113">
        <v>82</v>
      </c>
      <c r="AF113" s="12" t="s">
        <v>7483</v>
      </c>
      <c r="AG113">
        <v>0</v>
      </c>
      <c r="AH113" s="12" t="s">
        <v>7484</v>
      </c>
    </row>
    <row r="114" spans="1:34" x14ac:dyDescent="0.35">
      <c r="A114">
        <v>113</v>
      </c>
      <c r="B114">
        <v>16</v>
      </c>
      <c r="C114" s="12" t="s">
        <v>101</v>
      </c>
      <c r="D114" s="12" t="s">
        <v>102</v>
      </c>
      <c r="E114" s="12" t="s">
        <v>103</v>
      </c>
      <c r="F114" s="12" t="s">
        <v>104</v>
      </c>
      <c r="G114">
        <v>1</v>
      </c>
      <c r="H114">
        <v>0</v>
      </c>
      <c r="I114">
        <v>1</v>
      </c>
      <c r="J114" s="12" t="s">
        <v>105</v>
      </c>
      <c r="K114" s="12" t="s">
        <v>106</v>
      </c>
      <c r="L114" s="12" t="s">
        <v>96</v>
      </c>
      <c r="M114">
        <v>5.01</v>
      </c>
      <c r="N114" s="12" t="s">
        <v>107</v>
      </c>
      <c r="O114" s="12" t="s">
        <v>108</v>
      </c>
      <c r="P114" s="12" t="s">
        <v>109</v>
      </c>
      <c r="Q114">
        <v>204.35300000000001</v>
      </c>
      <c r="R114">
        <v>200.99549999999999</v>
      </c>
      <c r="S114">
        <v>192.81389999999999</v>
      </c>
      <c r="T114">
        <v>2</v>
      </c>
      <c r="U114">
        <v>0.57399999999999995</v>
      </c>
      <c r="V114">
        <v>28.7</v>
      </c>
      <c r="W114">
        <v>8.1815999999999995</v>
      </c>
      <c r="X114">
        <v>850</v>
      </c>
      <c r="Y114">
        <v>172120.59</v>
      </c>
      <c r="Z114">
        <v>6954.38</v>
      </c>
      <c r="AA114">
        <v>1219.1300000000001</v>
      </c>
      <c r="AB114">
        <v>-586.83000000000004</v>
      </c>
      <c r="AC114">
        <v>0</v>
      </c>
      <c r="AD114">
        <v>99.29</v>
      </c>
      <c r="AE114">
        <v>41</v>
      </c>
      <c r="AF114" s="12" t="s">
        <v>7483</v>
      </c>
      <c r="AG114">
        <v>0</v>
      </c>
      <c r="AH114" s="12" t="s">
        <v>7484</v>
      </c>
    </row>
    <row r="115" spans="1:34" x14ac:dyDescent="0.35">
      <c r="A115">
        <v>114</v>
      </c>
      <c r="B115">
        <v>34</v>
      </c>
      <c r="C115" s="12" t="s">
        <v>350</v>
      </c>
      <c r="D115" s="12" t="s">
        <v>351</v>
      </c>
      <c r="E115" s="12" t="s">
        <v>64</v>
      </c>
      <c r="F115" s="12" t="s">
        <v>104</v>
      </c>
      <c r="G115">
        <v>3</v>
      </c>
      <c r="H115">
        <v>1</v>
      </c>
      <c r="I115">
        <v>0</v>
      </c>
      <c r="J115" s="12" t="s">
        <v>486</v>
      </c>
      <c r="K115" s="12" t="s">
        <v>487</v>
      </c>
      <c r="L115" s="12" t="s">
        <v>69</v>
      </c>
      <c r="M115">
        <v>36.86</v>
      </c>
      <c r="N115" s="12" t="s">
        <v>70</v>
      </c>
      <c r="O115" s="12" t="s">
        <v>71</v>
      </c>
      <c r="P115" s="12" t="s">
        <v>72</v>
      </c>
      <c r="Q115">
        <v>8.7273999999999994</v>
      </c>
      <c r="R115">
        <v>8.2452000000000005</v>
      </c>
      <c r="S115">
        <v>7.2220000000000004</v>
      </c>
      <c r="T115">
        <v>7</v>
      </c>
      <c r="U115">
        <v>2.1549999999999998</v>
      </c>
      <c r="V115">
        <v>30.79</v>
      </c>
      <c r="W115">
        <v>1.0232000000000001</v>
      </c>
      <c r="X115">
        <v>6420</v>
      </c>
      <c r="Y115">
        <v>52715.92</v>
      </c>
      <c r="Z115">
        <v>6568.94</v>
      </c>
      <c r="AA115">
        <v>435.2</v>
      </c>
      <c r="AB115">
        <v>-418.4</v>
      </c>
      <c r="AC115">
        <v>0</v>
      </c>
      <c r="AD115">
        <v>99.17</v>
      </c>
      <c r="AE115">
        <v>96</v>
      </c>
      <c r="AF115" s="12" t="s">
        <v>7483</v>
      </c>
      <c r="AG115">
        <v>0</v>
      </c>
      <c r="AH115" s="12" t="s">
        <v>7484</v>
      </c>
    </row>
    <row r="116" spans="1:34" x14ac:dyDescent="0.35">
      <c r="A116">
        <v>115</v>
      </c>
      <c r="B116">
        <v>19</v>
      </c>
      <c r="C116" s="12" t="s">
        <v>155</v>
      </c>
      <c r="D116" s="12" t="s">
        <v>156</v>
      </c>
      <c r="E116" s="12" t="s">
        <v>130</v>
      </c>
      <c r="F116" s="12" t="s">
        <v>104</v>
      </c>
      <c r="G116">
        <v>3</v>
      </c>
      <c r="H116">
        <v>1</v>
      </c>
      <c r="I116">
        <v>0</v>
      </c>
      <c r="J116" s="12" t="s">
        <v>157</v>
      </c>
      <c r="K116" s="12" t="s">
        <v>158</v>
      </c>
      <c r="L116" s="12" t="s">
        <v>96</v>
      </c>
      <c r="M116">
        <v>4.72</v>
      </c>
      <c r="N116" s="12" t="s">
        <v>135</v>
      </c>
      <c r="O116" s="12" t="s">
        <v>136</v>
      </c>
      <c r="P116" s="12" t="s">
        <v>137</v>
      </c>
      <c r="Q116">
        <v>206.28880000000001</v>
      </c>
      <c r="R116">
        <v>177.73990000000001</v>
      </c>
      <c r="S116">
        <v>163.404</v>
      </c>
      <c r="T116">
        <v>8</v>
      </c>
      <c r="U116">
        <v>5.1890000000000001</v>
      </c>
      <c r="V116">
        <v>64.86</v>
      </c>
      <c r="W116">
        <v>14.335900000000001</v>
      </c>
      <c r="X116">
        <v>457</v>
      </c>
      <c r="Y116">
        <v>84204.51</v>
      </c>
      <c r="Z116">
        <v>6551.49</v>
      </c>
      <c r="AA116">
        <v>916.02</v>
      </c>
      <c r="AC116">
        <v>84204.51</v>
      </c>
      <c r="AD116">
        <v>98.91</v>
      </c>
      <c r="AE116">
        <v>81</v>
      </c>
      <c r="AF116" s="12" t="s">
        <v>7474</v>
      </c>
      <c r="AG116">
        <v>0</v>
      </c>
      <c r="AH116" s="12" t="s">
        <v>7475</v>
      </c>
    </row>
    <row r="117" spans="1:34" x14ac:dyDescent="0.35">
      <c r="A117">
        <v>116</v>
      </c>
      <c r="B117">
        <v>27</v>
      </c>
      <c r="C117" s="12" t="s">
        <v>317</v>
      </c>
      <c r="D117" s="12" t="s">
        <v>318</v>
      </c>
      <c r="E117" s="12" t="s">
        <v>64</v>
      </c>
      <c r="F117" s="12" t="s">
        <v>104</v>
      </c>
      <c r="G117">
        <v>2</v>
      </c>
      <c r="H117">
        <v>0</v>
      </c>
      <c r="I117">
        <v>0</v>
      </c>
      <c r="J117" s="12" t="s">
        <v>183</v>
      </c>
      <c r="K117" s="12" t="s">
        <v>184</v>
      </c>
      <c r="L117" s="12" t="s">
        <v>82</v>
      </c>
      <c r="M117">
        <v>8.6199999999999992</v>
      </c>
      <c r="N117" s="12" t="s">
        <v>97</v>
      </c>
      <c r="O117" s="12" t="s">
        <v>98</v>
      </c>
      <c r="P117" s="12" t="s">
        <v>72</v>
      </c>
      <c r="Q117">
        <v>16.2315</v>
      </c>
      <c r="R117">
        <v>15.7446</v>
      </c>
      <c r="S117">
        <v>13.6439</v>
      </c>
      <c r="T117">
        <v>7</v>
      </c>
      <c r="U117">
        <v>1.2649999999999999</v>
      </c>
      <c r="V117">
        <v>18.07</v>
      </c>
      <c r="W117">
        <v>2.1006999999999998</v>
      </c>
      <c r="X117">
        <v>3070</v>
      </c>
      <c r="Y117">
        <v>48335.93</v>
      </c>
      <c r="Z117">
        <v>6449.15</v>
      </c>
      <c r="AA117">
        <v>299.14</v>
      </c>
      <c r="AB117">
        <v>0</v>
      </c>
      <c r="AC117">
        <v>0</v>
      </c>
      <c r="AD117">
        <v>98.77</v>
      </c>
      <c r="AE117">
        <v>72</v>
      </c>
      <c r="AF117" s="12" t="s">
        <v>7483</v>
      </c>
      <c r="AG117">
        <v>0</v>
      </c>
      <c r="AH117" s="12" t="s">
        <v>7484</v>
      </c>
    </row>
    <row r="118" spans="1:34" x14ac:dyDescent="0.35">
      <c r="A118">
        <v>117</v>
      </c>
      <c r="B118">
        <v>20</v>
      </c>
      <c r="C118" s="12" t="s">
        <v>876</v>
      </c>
      <c r="D118" s="12" t="s">
        <v>877</v>
      </c>
      <c r="E118" s="12" t="s">
        <v>269</v>
      </c>
      <c r="F118" s="12" t="s">
        <v>142</v>
      </c>
      <c r="G118">
        <v>3</v>
      </c>
      <c r="H118">
        <v>11</v>
      </c>
      <c r="I118">
        <v>0</v>
      </c>
      <c r="J118" s="12" t="s">
        <v>515</v>
      </c>
      <c r="K118" s="12" t="s">
        <v>516</v>
      </c>
      <c r="L118" s="12" t="s">
        <v>134</v>
      </c>
      <c r="M118">
        <v>3.69</v>
      </c>
      <c r="N118" s="12" t="s">
        <v>135</v>
      </c>
      <c r="O118" s="12" t="s">
        <v>136</v>
      </c>
      <c r="P118" s="12" t="s">
        <v>137</v>
      </c>
      <c r="Q118">
        <v>201.90870000000001</v>
      </c>
      <c r="R118">
        <v>179.24969999999999</v>
      </c>
      <c r="S118">
        <v>171.6584</v>
      </c>
      <c r="T118">
        <v>6.5</v>
      </c>
      <c r="U118">
        <v>4.8099999999999996</v>
      </c>
      <c r="V118">
        <v>74</v>
      </c>
      <c r="W118">
        <v>7.5913000000000004</v>
      </c>
      <c r="X118">
        <v>823</v>
      </c>
      <c r="Y118">
        <v>146910.85999999999</v>
      </c>
      <c r="Z118">
        <v>6247.64</v>
      </c>
      <c r="AA118">
        <v>1235.2</v>
      </c>
      <c r="AB118">
        <v>-1820.33</v>
      </c>
      <c r="AC118">
        <v>0</v>
      </c>
      <c r="AD118">
        <v>99.15</v>
      </c>
      <c r="AE118">
        <v>49</v>
      </c>
      <c r="AF118" s="12" t="s">
        <v>7483</v>
      </c>
      <c r="AG118">
        <v>0</v>
      </c>
      <c r="AH118" s="12" t="s">
        <v>7484</v>
      </c>
    </row>
    <row r="119" spans="1:34" x14ac:dyDescent="0.35">
      <c r="A119">
        <v>118</v>
      </c>
      <c r="B119">
        <v>17</v>
      </c>
      <c r="C119" s="12" t="s">
        <v>646</v>
      </c>
      <c r="D119" s="12" t="s">
        <v>647</v>
      </c>
      <c r="E119" s="12" t="s">
        <v>175</v>
      </c>
      <c r="F119" s="12" t="s">
        <v>104</v>
      </c>
      <c r="G119">
        <v>3</v>
      </c>
      <c r="H119">
        <v>1</v>
      </c>
      <c r="I119">
        <v>0</v>
      </c>
      <c r="J119" s="12" t="s">
        <v>227</v>
      </c>
      <c r="K119" s="12" t="s">
        <v>228</v>
      </c>
      <c r="L119" s="12" t="s">
        <v>96</v>
      </c>
      <c r="M119">
        <v>9.15</v>
      </c>
      <c r="N119" s="12" t="s">
        <v>107</v>
      </c>
      <c r="O119" s="12" t="s">
        <v>108</v>
      </c>
      <c r="P119" s="12" t="s">
        <v>109</v>
      </c>
      <c r="Q119">
        <v>216.21350000000001</v>
      </c>
      <c r="R119">
        <v>193.26390000000001</v>
      </c>
      <c r="S119">
        <v>185.619</v>
      </c>
      <c r="T119">
        <v>5.5</v>
      </c>
      <c r="U119">
        <v>4.0759999999999996</v>
      </c>
      <c r="V119">
        <v>74.11</v>
      </c>
      <c r="W119">
        <v>7.6448999999999998</v>
      </c>
      <c r="X119">
        <v>811</v>
      </c>
      <c r="Y119">
        <v>159952.85999999999</v>
      </c>
      <c r="Z119">
        <v>6200</v>
      </c>
      <c r="AA119">
        <v>1383.12</v>
      </c>
      <c r="AB119">
        <v>1759.94</v>
      </c>
      <c r="AC119">
        <v>0</v>
      </c>
      <c r="AD119">
        <v>99.09</v>
      </c>
      <c r="AE119">
        <v>86</v>
      </c>
      <c r="AF119" s="12" t="s">
        <v>7483</v>
      </c>
      <c r="AG119">
        <v>0</v>
      </c>
      <c r="AH119" s="12" t="s">
        <v>7484</v>
      </c>
    </row>
    <row r="120" spans="1:34" x14ac:dyDescent="0.35">
      <c r="A120">
        <v>119</v>
      </c>
      <c r="B120">
        <v>8</v>
      </c>
      <c r="C120" s="12" t="s">
        <v>1220</v>
      </c>
      <c r="D120" s="12" t="s">
        <v>1221</v>
      </c>
      <c r="E120" s="12" t="s">
        <v>175</v>
      </c>
      <c r="F120" s="12" t="s">
        <v>104</v>
      </c>
      <c r="G120">
        <v>3</v>
      </c>
      <c r="H120">
        <v>1</v>
      </c>
      <c r="I120">
        <v>0</v>
      </c>
      <c r="J120" s="12" t="s">
        <v>515</v>
      </c>
      <c r="K120" s="12" t="s">
        <v>516</v>
      </c>
      <c r="L120" s="12" t="s">
        <v>134</v>
      </c>
      <c r="M120">
        <v>3.69</v>
      </c>
      <c r="N120" s="12" t="s">
        <v>145</v>
      </c>
      <c r="O120" s="12" t="s">
        <v>146</v>
      </c>
      <c r="P120" s="12" t="s">
        <v>109</v>
      </c>
      <c r="Q120">
        <v>138.98759999999999</v>
      </c>
      <c r="R120">
        <v>133.24299999999999</v>
      </c>
      <c r="S120">
        <v>120.7193</v>
      </c>
      <c r="T120">
        <v>5.5</v>
      </c>
      <c r="U120">
        <v>1.68</v>
      </c>
      <c r="V120">
        <v>30.55</v>
      </c>
      <c r="W120">
        <v>12.5237</v>
      </c>
      <c r="X120">
        <v>480</v>
      </c>
      <c r="Y120">
        <v>63724.76</v>
      </c>
      <c r="Z120">
        <v>6011.38</v>
      </c>
      <c r="AA120">
        <v>0</v>
      </c>
      <c r="AB120">
        <v>-546.9</v>
      </c>
      <c r="AC120">
        <v>0</v>
      </c>
      <c r="AD120">
        <v>100</v>
      </c>
      <c r="AE120">
        <v>69</v>
      </c>
      <c r="AF120" s="12" t="s">
        <v>7483</v>
      </c>
      <c r="AG120">
        <v>0</v>
      </c>
      <c r="AH120" s="12" t="s">
        <v>7484</v>
      </c>
    </row>
    <row r="121" spans="1:34" x14ac:dyDescent="0.35">
      <c r="A121">
        <v>120</v>
      </c>
      <c r="B121">
        <v>28</v>
      </c>
      <c r="C121" s="12" t="s">
        <v>755</v>
      </c>
      <c r="D121" s="12" t="s">
        <v>756</v>
      </c>
      <c r="E121" s="12" t="s">
        <v>78</v>
      </c>
      <c r="F121" s="12" t="s">
        <v>65</v>
      </c>
      <c r="G121">
        <v>2</v>
      </c>
      <c r="H121">
        <v>2</v>
      </c>
      <c r="I121">
        <v>0</v>
      </c>
      <c r="J121" s="12" t="s">
        <v>359</v>
      </c>
      <c r="K121" s="12" t="s">
        <v>360</v>
      </c>
      <c r="L121" s="12" t="s">
        <v>82</v>
      </c>
      <c r="M121">
        <v>12.65</v>
      </c>
      <c r="N121" s="12" t="s">
        <v>97</v>
      </c>
      <c r="O121" s="12" t="s">
        <v>98</v>
      </c>
      <c r="P121" s="12" t="s">
        <v>72</v>
      </c>
      <c r="Q121">
        <v>44.434699999999999</v>
      </c>
      <c r="R121">
        <v>40.900399999999998</v>
      </c>
      <c r="S121">
        <v>38.721699999999998</v>
      </c>
      <c r="T121">
        <v>5</v>
      </c>
      <c r="U121">
        <v>3.0419999999999998</v>
      </c>
      <c r="V121">
        <v>60.84</v>
      </c>
      <c r="W121">
        <v>2.1787000000000001</v>
      </c>
      <c r="X121">
        <v>2523</v>
      </c>
      <c r="Y121">
        <v>106381.94</v>
      </c>
      <c r="Z121">
        <v>5496.86</v>
      </c>
      <c r="AA121">
        <v>1587.87</v>
      </c>
      <c r="AB121">
        <v>721.15</v>
      </c>
      <c r="AC121">
        <v>0</v>
      </c>
      <c r="AD121">
        <v>98.44</v>
      </c>
      <c r="AE121">
        <v>72</v>
      </c>
      <c r="AF121" s="12" t="s">
        <v>7483</v>
      </c>
      <c r="AG121">
        <v>0</v>
      </c>
      <c r="AH121" s="12" t="s">
        <v>7484</v>
      </c>
    </row>
    <row r="122" spans="1:34" x14ac:dyDescent="0.35">
      <c r="A122">
        <v>121</v>
      </c>
      <c r="B122">
        <v>29</v>
      </c>
      <c r="C122" s="12" t="s">
        <v>112</v>
      </c>
      <c r="D122" s="12" t="s">
        <v>113</v>
      </c>
      <c r="E122" s="12" t="s">
        <v>114</v>
      </c>
      <c r="F122" s="12" t="s">
        <v>104</v>
      </c>
      <c r="G122">
        <v>3</v>
      </c>
      <c r="H122">
        <v>1</v>
      </c>
      <c r="I122">
        <v>0</v>
      </c>
      <c r="J122" s="12" t="s">
        <v>115</v>
      </c>
      <c r="K122" s="12" t="s">
        <v>116</v>
      </c>
      <c r="L122" s="12" t="s">
        <v>82</v>
      </c>
      <c r="M122">
        <v>17.170000000000002</v>
      </c>
      <c r="N122" s="12" t="s">
        <v>97</v>
      </c>
      <c r="O122" s="12" t="s">
        <v>98</v>
      </c>
      <c r="P122" s="12" t="s">
        <v>72</v>
      </c>
      <c r="Q122">
        <v>264.17590000000001</v>
      </c>
      <c r="R122">
        <v>257.51960000000003</v>
      </c>
      <c r="S122">
        <v>241.98910000000001</v>
      </c>
      <c r="T122">
        <v>3</v>
      </c>
      <c r="U122">
        <v>0.88200000000000001</v>
      </c>
      <c r="V122">
        <v>29.4</v>
      </c>
      <c r="W122">
        <v>15.5305</v>
      </c>
      <c r="X122">
        <v>349</v>
      </c>
      <c r="Y122">
        <v>90085.119999999995</v>
      </c>
      <c r="Z122">
        <v>5420.14</v>
      </c>
      <c r="AA122">
        <v>1287.5999999999999</v>
      </c>
      <c r="AB122">
        <v>174.36</v>
      </c>
      <c r="AC122">
        <v>0</v>
      </c>
      <c r="AD122">
        <v>98.57</v>
      </c>
      <c r="AE122">
        <v>96</v>
      </c>
      <c r="AF122" s="12" t="s">
        <v>7483</v>
      </c>
      <c r="AG122">
        <v>0</v>
      </c>
      <c r="AH122" s="12" t="s">
        <v>7484</v>
      </c>
    </row>
    <row r="123" spans="1:34" x14ac:dyDescent="0.35">
      <c r="A123">
        <v>122</v>
      </c>
      <c r="B123">
        <v>9</v>
      </c>
      <c r="C123" s="12" t="s">
        <v>827</v>
      </c>
      <c r="D123" s="12" t="s">
        <v>828</v>
      </c>
      <c r="E123" s="12" t="s">
        <v>175</v>
      </c>
      <c r="F123" s="12" t="s">
        <v>104</v>
      </c>
      <c r="G123">
        <v>2</v>
      </c>
      <c r="H123">
        <v>0</v>
      </c>
      <c r="I123">
        <v>0</v>
      </c>
      <c r="J123" s="12" t="s">
        <v>183</v>
      </c>
      <c r="K123" s="12" t="s">
        <v>184</v>
      </c>
      <c r="L123" s="12" t="s">
        <v>82</v>
      </c>
      <c r="M123">
        <v>8.6199999999999992</v>
      </c>
      <c r="N123" s="12" t="s">
        <v>145</v>
      </c>
      <c r="O123" s="12" t="s">
        <v>146</v>
      </c>
      <c r="P123" s="12" t="s">
        <v>109</v>
      </c>
      <c r="Q123">
        <v>107.794</v>
      </c>
      <c r="R123">
        <v>102.61539999999999</v>
      </c>
      <c r="S123">
        <v>93.377099999999999</v>
      </c>
      <c r="T123">
        <v>5.5</v>
      </c>
      <c r="U123">
        <v>1.921</v>
      </c>
      <c r="V123">
        <v>34.93</v>
      </c>
      <c r="W123">
        <v>9.2383000000000006</v>
      </c>
      <c r="X123">
        <v>555</v>
      </c>
      <c r="Y123">
        <v>57151.45</v>
      </c>
      <c r="Z123">
        <v>5127.24</v>
      </c>
      <c r="AA123">
        <v>310.89999999999998</v>
      </c>
      <c r="AB123">
        <v>0</v>
      </c>
      <c r="AC123">
        <v>34692.199999999997</v>
      </c>
      <c r="AD123">
        <v>99.46</v>
      </c>
      <c r="AE123">
        <v>76</v>
      </c>
      <c r="AF123" s="12" t="s">
        <v>7474</v>
      </c>
      <c r="AG123">
        <v>0</v>
      </c>
      <c r="AH123" s="12" t="s">
        <v>7475</v>
      </c>
    </row>
    <row r="124" spans="1:34" x14ac:dyDescent="0.35">
      <c r="A124">
        <v>123</v>
      </c>
      <c r="B124">
        <v>35</v>
      </c>
      <c r="C124" s="12" t="s">
        <v>193</v>
      </c>
      <c r="D124" s="12" t="s">
        <v>194</v>
      </c>
      <c r="E124" s="12" t="s">
        <v>114</v>
      </c>
      <c r="F124" s="12" t="s">
        <v>65</v>
      </c>
      <c r="G124">
        <v>3</v>
      </c>
      <c r="H124">
        <v>4</v>
      </c>
      <c r="I124">
        <v>0</v>
      </c>
      <c r="J124" s="12" t="s">
        <v>195</v>
      </c>
      <c r="K124" s="12" t="s">
        <v>196</v>
      </c>
      <c r="L124" s="12" t="s">
        <v>134</v>
      </c>
      <c r="M124">
        <v>4.7699999999999996</v>
      </c>
      <c r="N124" s="12" t="s">
        <v>70</v>
      </c>
      <c r="O124" s="12" t="s">
        <v>71</v>
      </c>
      <c r="P124" s="12" t="s">
        <v>72</v>
      </c>
      <c r="Q124">
        <v>107.28270000000001</v>
      </c>
      <c r="R124">
        <v>104.5202</v>
      </c>
      <c r="S124">
        <v>98.518299999999996</v>
      </c>
      <c r="T124">
        <v>3</v>
      </c>
      <c r="U124">
        <v>0.92800000000000005</v>
      </c>
      <c r="V124">
        <v>30.93</v>
      </c>
      <c r="W124">
        <v>6.0019</v>
      </c>
      <c r="X124">
        <v>807</v>
      </c>
      <c r="Y124">
        <v>84169.51</v>
      </c>
      <c r="Z124">
        <v>4843.53</v>
      </c>
      <c r="AA124">
        <v>1143.6500000000001</v>
      </c>
      <c r="AB124">
        <v>-178.29</v>
      </c>
      <c r="AC124">
        <v>0</v>
      </c>
      <c r="AD124">
        <v>98.64</v>
      </c>
      <c r="AE124">
        <v>70</v>
      </c>
      <c r="AF124" s="12" t="s">
        <v>7483</v>
      </c>
      <c r="AG124">
        <v>0</v>
      </c>
      <c r="AH124" s="12" t="s">
        <v>7484</v>
      </c>
    </row>
    <row r="125" spans="1:34" x14ac:dyDescent="0.35">
      <c r="A125">
        <v>124</v>
      </c>
      <c r="B125">
        <v>18</v>
      </c>
      <c r="C125" s="12" t="s">
        <v>357</v>
      </c>
      <c r="D125" s="12" t="s">
        <v>358</v>
      </c>
      <c r="E125" s="12" t="s">
        <v>103</v>
      </c>
      <c r="F125" s="12" t="s">
        <v>104</v>
      </c>
      <c r="G125">
        <v>3</v>
      </c>
      <c r="H125">
        <v>1</v>
      </c>
      <c r="I125">
        <v>0</v>
      </c>
      <c r="J125" s="12" t="s">
        <v>105</v>
      </c>
      <c r="K125" s="12" t="s">
        <v>106</v>
      </c>
      <c r="L125" s="12" t="s">
        <v>96</v>
      </c>
      <c r="M125">
        <v>5.01</v>
      </c>
      <c r="N125" s="12" t="s">
        <v>107</v>
      </c>
      <c r="O125" s="12" t="s">
        <v>108</v>
      </c>
      <c r="P125" s="12" t="s">
        <v>109</v>
      </c>
      <c r="Q125">
        <v>107.20099999999999</v>
      </c>
      <c r="R125">
        <v>106.63800000000001</v>
      </c>
      <c r="S125">
        <v>101.5963</v>
      </c>
      <c r="T125">
        <v>2</v>
      </c>
      <c r="U125">
        <v>0.19800000000000001</v>
      </c>
      <c r="V125">
        <v>9.9</v>
      </c>
      <c r="W125">
        <v>5.0416999999999996</v>
      </c>
      <c r="X125">
        <v>913</v>
      </c>
      <c r="Y125">
        <v>97631</v>
      </c>
      <c r="Z125">
        <v>4603.07</v>
      </c>
      <c r="AA125">
        <v>533.20000000000005</v>
      </c>
      <c r="AB125">
        <v>270.51</v>
      </c>
      <c r="AC125">
        <v>0</v>
      </c>
      <c r="AD125">
        <v>99.39</v>
      </c>
      <c r="AE125">
        <v>77</v>
      </c>
      <c r="AF125" s="12" t="s">
        <v>7483</v>
      </c>
      <c r="AG125">
        <v>0</v>
      </c>
      <c r="AH125" s="12" t="s">
        <v>7484</v>
      </c>
    </row>
    <row r="126" spans="1:34" x14ac:dyDescent="0.35">
      <c r="A126">
        <v>125</v>
      </c>
      <c r="B126">
        <v>36</v>
      </c>
      <c r="C126" s="12" t="s">
        <v>617</v>
      </c>
      <c r="D126" s="12" t="s">
        <v>618</v>
      </c>
      <c r="E126" s="12" t="s">
        <v>78</v>
      </c>
      <c r="F126" s="12" t="s">
        <v>65</v>
      </c>
      <c r="G126">
        <v>2</v>
      </c>
      <c r="H126">
        <v>4</v>
      </c>
      <c r="I126">
        <v>0</v>
      </c>
      <c r="J126" s="12" t="s">
        <v>341</v>
      </c>
      <c r="K126" s="12" t="s">
        <v>342</v>
      </c>
      <c r="L126" s="12" t="s">
        <v>82</v>
      </c>
      <c r="M126">
        <v>18.36</v>
      </c>
      <c r="N126" s="12" t="s">
        <v>70</v>
      </c>
      <c r="O126" s="12" t="s">
        <v>71</v>
      </c>
      <c r="P126" s="12" t="s">
        <v>72</v>
      </c>
      <c r="Q126">
        <v>108.2711</v>
      </c>
      <c r="R126">
        <v>97.033799999999999</v>
      </c>
      <c r="S126">
        <v>94.389399999999995</v>
      </c>
      <c r="T126">
        <v>5</v>
      </c>
      <c r="U126">
        <v>4.0140000000000002</v>
      </c>
      <c r="V126">
        <v>80.28</v>
      </c>
      <c r="W126">
        <v>2.6444000000000001</v>
      </c>
      <c r="X126">
        <v>1736</v>
      </c>
      <c r="Y126">
        <v>168450.68</v>
      </c>
      <c r="Z126">
        <v>4590.68</v>
      </c>
      <c r="AA126">
        <v>2037.7</v>
      </c>
      <c r="AB126">
        <v>0</v>
      </c>
      <c r="AC126">
        <v>0</v>
      </c>
      <c r="AD126">
        <v>98.58</v>
      </c>
      <c r="AE126">
        <v>75</v>
      </c>
      <c r="AF126" s="12" t="s">
        <v>7483</v>
      </c>
      <c r="AG126">
        <v>0</v>
      </c>
      <c r="AH126" s="12" t="s">
        <v>7484</v>
      </c>
    </row>
    <row r="127" spans="1:34" x14ac:dyDescent="0.35">
      <c r="A127">
        <v>126</v>
      </c>
      <c r="B127">
        <v>14</v>
      </c>
      <c r="C127" s="12" t="s">
        <v>728</v>
      </c>
      <c r="D127" s="12" t="s">
        <v>729</v>
      </c>
      <c r="E127" s="12" t="s">
        <v>269</v>
      </c>
      <c r="F127" s="12" t="s">
        <v>65</v>
      </c>
      <c r="G127">
        <v>2</v>
      </c>
      <c r="H127">
        <v>3</v>
      </c>
      <c r="I127">
        <v>0</v>
      </c>
      <c r="J127" s="12" t="s">
        <v>243</v>
      </c>
      <c r="K127" s="12" t="s">
        <v>244</v>
      </c>
      <c r="L127" s="12" t="s">
        <v>82</v>
      </c>
      <c r="M127">
        <v>9.2200000000000006</v>
      </c>
      <c r="N127" s="12" t="s">
        <v>159</v>
      </c>
      <c r="O127" s="12" t="s">
        <v>160</v>
      </c>
      <c r="P127" s="12" t="s">
        <v>137</v>
      </c>
      <c r="Q127">
        <v>374.99740000000003</v>
      </c>
      <c r="R127">
        <v>348.96249999999998</v>
      </c>
      <c r="S127">
        <v>327.5018</v>
      </c>
      <c r="T127">
        <v>6.5</v>
      </c>
      <c r="U127">
        <v>3.508</v>
      </c>
      <c r="V127">
        <v>53.97</v>
      </c>
      <c r="W127">
        <v>21.460699999999999</v>
      </c>
      <c r="X127">
        <v>211</v>
      </c>
      <c r="Y127">
        <v>73631.09</v>
      </c>
      <c r="Z127">
        <v>4528.21</v>
      </c>
      <c r="AA127">
        <v>1064.33</v>
      </c>
      <c r="AB127">
        <v>-2254.02</v>
      </c>
      <c r="AC127">
        <v>0</v>
      </c>
      <c r="AD127">
        <v>98.58</v>
      </c>
      <c r="AE127">
        <v>65</v>
      </c>
      <c r="AF127" s="12" t="s">
        <v>7483</v>
      </c>
      <c r="AG127">
        <v>0</v>
      </c>
      <c r="AH127" s="12" t="s">
        <v>7484</v>
      </c>
    </row>
    <row r="128" spans="1:34" x14ac:dyDescent="0.35">
      <c r="A128">
        <v>127</v>
      </c>
      <c r="B128">
        <v>10</v>
      </c>
      <c r="C128" s="12" t="s">
        <v>957</v>
      </c>
      <c r="D128" s="12" t="s">
        <v>958</v>
      </c>
      <c r="E128" s="12" t="s">
        <v>103</v>
      </c>
      <c r="F128" s="12" t="s">
        <v>142</v>
      </c>
      <c r="G128">
        <v>1</v>
      </c>
      <c r="H128">
        <v>7</v>
      </c>
      <c r="I128">
        <v>1</v>
      </c>
      <c r="J128" s="12" t="s">
        <v>183</v>
      </c>
      <c r="K128" s="12" t="s">
        <v>184</v>
      </c>
      <c r="L128" s="12" t="s">
        <v>82</v>
      </c>
      <c r="M128">
        <v>8.6199999999999992</v>
      </c>
      <c r="N128" s="12" t="s">
        <v>145</v>
      </c>
      <c r="O128" s="12" t="s">
        <v>146</v>
      </c>
      <c r="P128" s="12" t="s">
        <v>109</v>
      </c>
      <c r="Q128">
        <v>199.1737</v>
      </c>
      <c r="R128">
        <v>192.04259999999999</v>
      </c>
      <c r="S128">
        <v>188.90539999999999</v>
      </c>
      <c r="T128">
        <v>2</v>
      </c>
      <c r="U128">
        <v>1.3819999999999999</v>
      </c>
      <c r="V128">
        <v>69.099999999999994</v>
      </c>
      <c r="W128">
        <v>3.1372</v>
      </c>
      <c r="X128">
        <v>1341</v>
      </c>
      <c r="Y128">
        <v>256192.96</v>
      </c>
      <c r="Z128">
        <v>4207.03</v>
      </c>
      <c r="AA128">
        <v>1924.9</v>
      </c>
      <c r="AB128">
        <v>1070.82</v>
      </c>
      <c r="AC128">
        <v>0</v>
      </c>
      <c r="AD128">
        <v>99.12</v>
      </c>
      <c r="AE128">
        <v>36</v>
      </c>
      <c r="AF128" s="12" t="s">
        <v>7483</v>
      </c>
      <c r="AG128">
        <v>0</v>
      </c>
      <c r="AH128" s="12" t="s">
        <v>7484</v>
      </c>
    </row>
    <row r="129" spans="1:34" x14ac:dyDescent="0.35">
      <c r="A129">
        <v>128</v>
      </c>
      <c r="B129">
        <v>30</v>
      </c>
      <c r="C129" s="12" t="s">
        <v>149</v>
      </c>
      <c r="D129" s="12" t="s">
        <v>150</v>
      </c>
      <c r="E129" s="12" t="s">
        <v>78</v>
      </c>
      <c r="F129" s="12" t="s">
        <v>65</v>
      </c>
      <c r="G129">
        <v>2</v>
      </c>
      <c r="H129">
        <v>2</v>
      </c>
      <c r="I129">
        <v>0</v>
      </c>
      <c r="J129" s="12" t="s">
        <v>169</v>
      </c>
      <c r="K129" s="12" t="s">
        <v>170</v>
      </c>
      <c r="L129" s="12" t="s">
        <v>134</v>
      </c>
      <c r="M129">
        <v>1.37</v>
      </c>
      <c r="N129" s="12" t="s">
        <v>97</v>
      </c>
      <c r="O129" s="12" t="s">
        <v>98</v>
      </c>
      <c r="P129" s="12" t="s">
        <v>72</v>
      </c>
      <c r="Q129">
        <v>76.092399999999998</v>
      </c>
      <c r="R129">
        <v>71.565399999999997</v>
      </c>
      <c r="S129">
        <v>66.749399999999994</v>
      </c>
      <c r="T129">
        <v>5</v>
      </c>
      <c r="U129">
        <v>2.3730000000000002</v>
      </c>
      <c r="V129">
        <v>47.46</v>
      </c>
      <c r="W129">
        <v>4.8159999999999998</v>
      </c>
      <c r="X129">
        <v>842</v>
      </c>
      <c r="Y129">
        <v>61424.9</v>
      </c>
      <c r="Z129">
        <v>4055.07</v>
      </c>
      <c r="AA129">
        <v>880.45</v>
      </c>
      <c r="AC129">
        <v>61424.9</v>
      </c>
      <c r="AD129">
        <v>98.57</v>
      </c>
      <c r="AE129">
        <v>59</v>
      </c>
      <c r="AF129" s="12" t="s">
        <v>7474</v>
      </c>
      <c r="AG129">
        <v>0</v>
      </c>
      <c r="AH129" s="12" t="s">
        <v>7475</v>
      </c>
    </row>
    <row r="130" spans="1:34" x14ac:dyDescent="0.35">
      <c r="A130">
        <v>129</v>
      </c>
      <c r="B130">
        <v>37</v>
      </c>
      <c r="C130" s="12" t="s">
        <v>433</v>
      </c>
      <c r="D130" s="12" t="s">
        <v>434</v>
      </c>
      <c r="E130" s="12" t="s">
        <v>78</v>
      </c>
      <c r="F130" s="12" t="s">
        <v>65</v>
      </c>
      <c r="G130">
        <v>2</v>
      </c>
      <c r="H130">
        <v>4</v>
      </c>
      <c r="I130">
        <v>0</v>
      </c>
      <c r="J130" s="12" t="s">
        <v>105</v>
      </c>
      <c r="K130" s="12" t="s">
        <v>106</v>
      </c>
      <c r="L130" s="12" t="s">
        <v>96</v>
      </c>
      <c r="M130">
        <v>5.01</v>
      </c>
      <c r="N130" s="12" t="s">
        <v>70</v>
      </c>
      <c r="O130" s="12" t="s">
        <v>71</v>
      </c>
      <c r="P130" s="12" t="s">
        <v>72</v>
      </c>
      <c r="Q130">
        <v>76.331100000000006</v>
      </c>
      <c r="R130">
        <v>67.722499999999997</v>
      </c>
      <c r="S130">
        <v>66.0989</v>
      </c>
      <c r="T130">
        <v>5</v>
      </c>
      <c r="U130">
        <v>4.1749999999999998</v>
      </c>
      <c r="V130">
        <v>83.5</v>
      </c>
      <c r="W130">
        <v>1.6235999999999999</v>
      </c>
      <c r="X130">
        <v>2261</v>
      </c>
      <c r="Y130">
        <v>155225.25</v>
      </c>
      <c r="Z130">
        <v>3670.87</v>
      </c>
      <c r="AA130">
        <v>2113.4499999999998</v>
      </c>
      <c r="AB130">
        <v>-1004.69</v>
      </c>
      <c r="AC130">
        <v>0</v>
      </c>
      <c r="AD130">
        <v>98.51</v>
      </c>
      <c r="AE130">
        <v>56</v>
      </c>
      <c r="AF130" s="12" t="s">
        <v>7483</v>
      </c>
      <c r="AG130">
        <v>0</v>
      </c>
      <c r="AH130" s="12" t="s">
        <v>7484</v>
      </c>
    </row>
    <row r="131" spans="1:34" x14ac:dyDescent="0.35">
      <c r="A131">
        <v>130</v>
      </c>
      <c r="B131">
        <v>31</v>
      </c>
      <c r="C131" s="12" t="s">
        <v>167</v>
      </c>
      <c r="D131" s="12" t="s">
        <v>168</v>
      </c>
      <c r="E131" s="12" t="s">
        <v>64</v>
      </c>
      <c r="F131" s="12" t="s">
        <v>104</v>
      </c>
      <c r="G131">
        <v>3</v>
      </c>
      <c r="H131">
        <v>1</v>
      </c>
      <c r="I131">
        <v>0</v>
      </c>
      <c r="J131" s="12" t="s">
        <v>243</v>
      </c>
      <c r="K131" s="12" t="s">
        <v>244</v>
      </c>
      <c r="L131" s="12" t="s">
        <v>82</v>
      </c>
      <c r="M131">
        <v>9.2200000000000006</v>
      </c>
      <c r="N131" s="12" t="s">
        <v>97</v>
      </c>
      <c r="O131" s="12" t="s">
        <v>98</v>
      </c>
      <c r="P131" s="12" t="s">
        <v>72</v>
      </c>
      <c r="Q131">
        <v>28.7181</v>
      </c>
      <c r="R131">
        <v>28.0687</v>
      </c>
      <c r="S131">
        <v>24.035</v>
      </c>
      <c r="T131">
        <v>7</v>
      </c>
      <c r="U131">
        <v>0.92800000000000005</v>
      </c>
      <c r="V131">
        <v>13.26</v>
      </c>
      <c r="W131">
        <v>4.0336999999999996</v>
      </c>
      <c r="X131">
        <v>883</v>
      </c>
      <c r="Y131">
        <v>24148.48</v>
      </c>
      <c r="Z131">
        <v>3561.76</v>
      </c>
      <c r="AA131">
        <v>217.86</v>
      </c>
      <c r="AC131">
        <v>24148.48</v>
      </c>
      <c r="AD131">
        <v>99.09</v>
      </c>
      <c r="AE131">
        <v>90</v>
      </c>
      <c r="AF131" s="12" t="s">
        <v>7474</v>
      </c>
      <c r="AG131">
        <v>0</v>
      </c>
      <c r="AH131" s="12" t="s">
        <v>7475</v>
      </c>
    </row>
    <row r="132" spans="1:34" x14ac:dyDescent="0.35">
      <c r="A132">
        <v>131</v>
      </c>
      <c r="B132">
        <v>19</v>
      </c>
      <c r="C132" s="12" t="s">
        <v>848</v>
      </c>
      <c r="D132" s="12" t="s">
        <v>849</v>
      </c>
      <c r="E132" s="12" t="s">
        <v>103</v>
      </c>
      <c r="F132" s="12" t="s">
        <v>65</v>
      </c>
      <c r="G132">
        <v>2</v>
      </c>
      <c r="H132">
        <v>4</v>
      </c>
      <c r="I132">
        <v>0</v>
      </c>
      <c r="J132" s="12" t="s">
        <v>87</v>
      </c>
      <c r="K132" s="12" t="s">
        <v>88</v>
      </c>
      <c r="L132" s="12" t="s">
        <v>69</v>
      </c>
      <c r="M132">
        <v>14.93</v>
      </c>
      <c r="N132" s="12" t="s">
        <v>107</v>
      </c>
      <c r="O132" s="12" t="s">
        <v>108</v>
      </c>
      <c r="P132" s="12" t="s">
        <v>109</v>
      </c>
      <c r="Q132">
        <v>119.7901</v>
      </c>
      <c r="R132">
        <v>118.5639</v>
      </c>
      <c r="S132">
        <v>113.6465</v>
      </c>
      <c r="T132">
        <v>2</v>
      </c>
      <c r="U132">
        <v>0.39400000000000002</v>
      </c>
      <c r="V132">
        <v>19.7</v>
      </c>
      <c r="W132">
        <v>4.9173999999999998</v>
      </c>
      <c r="X132">
        <v>671</v>
      </c>
      <c r="Y132">
        <v>79860.52</v>
      </c>
      <c r="Z132">
        <v>3299.58</v>
      </c>
      <c r="AA132">
        <v>358.28</v>
      </c>
      <c r="AB132">
        <v>0</v>
      </c>
      <c r="AC132">
        <v>0</v>
      </c>
      <c r="AD132">
        <v>99.27</v>
      </c>
      <c r="AE132">
        <v>65</v>
      </c>
      <c r="AF132" s="12" t="s">
        <v>7483</v>
      </c>
      <c r="AG132">
        <v>0</v>
      </c>
      <c r="AH132" s="12" t="s">
        <v>7484</v>
      </c>
    </row>
    <row r="133" spans="1:34" x14ac:dyDescent="0.35">
      <c r="A133">
        <v>132</v>
      </c>
      <c r="B133">
        <v>20</v>
      </c>
      <c r="C133" s="12" t="s">
        <v>255</v>
      </c>
      <c r="D133" s="12" t="s">
        <v>256</v>
      </c>
      <c r="E133" s="12" t="s">
        <v>103</v>
      </c>
      <c r="F133" s="12" t="s">
        <v>65</v>
      </c>
      <c r="G133">
        <v>2</v>
      </c>
      <c r="H133">
        <v>4</v>
      </c>
      <c r="I133">
        <v>0</v>
      </c>
      <c r="J133" s="12" t="s">
        <v>143</v>
      </c>
      <c r="K133" s="12" t="s">
        <v>144</v>
      </c>
      <c r="L133" s="12" t="s">
        <v>96</v>
      </c>
      <c r="M133">
        <v>5.43</v>
      </c>
      <c r="N133" s="12" t="s">
        <v>107</v>
      </c>
      <c r="O133" s="12" t="s">
        <v>108</v>
      </c>
      <c r="P133" s="12" t="s">
        <v>109</v>
      </c>
      <c r="Q133">
        <v>96.960700000000003</v>
      </c>
      <c r="R133">
        <v>94.292199999999994</v>
      </c>
      <c r="S133">
        <v>91.561499999999995</v>
      </c>
      <c r="T133">
        <v>2</v>
      </c>
      <c r="U133">
        <v>0.97899999999999998</v>
      </c>
      <c r="V133">
        <v>48.95</v>
      </c>
      <c r="W133">
        <v>2.7307000000000001</v>
      </c>
      <c r="X133">
        <v>1175</v>
      </c>
      <c r="Y133">
        <v>111076.02</v>
      </c>
      <c r="Z133">
        <v>3208.53</v>
      </c>
      <c r="AA133">
        <v>755</v>
      </c>
      <c r="AB133">
        <v>-620.66999999999996</v>
      </c>
      <c r="AC133">
        <v>0</v>
      </c>
      <c r="AD133">
        <v>99.18</v>
      </c>
      <c r="AE133">
        <v>56</v>
      </c>
      <c r="AF133" s="12" t="s">
        <v>7483</v>
      </c>
      <c r="AG133">
        <v>0</v>
      </c>
      <c r="AH133" s="12" t="s">
        <v>7484</v>
      </c>
    </row>
    <row r="134" spans="1:34" x14ac:dyDescent="0.35">
      <c r="A134">
        <v>133</v>
      </c>
      <c r="B134">
        <v>38</v>
      </c>
      <c r="C134" s="12" t="s">
        <v>458</v>
      </c>
      <c r="D134" s="12" t="s">
        <v>459</v>
      </c>
      <c r="E134" s="12" t="s">
        <v>64</v>
      </c>
      <c r="F134" s="12" t="s">
        <v>104</v>
      </c>
      <c r="G134">
        <v>2</v>
      </c>
      <c r="H134">
        <v>0</v>
      </c>
      <c r="I134">
        <v>0</v>
      </c>
      <c r="J134" s="12" t="s">
        <v>199</v>
      </c>
      <c r="K134" s="12" t="s">
        <v>200</v>
      </c>
      <c r="L134" s="12" t="s">
        <v>96</v>
      </c>
      <c r="M134">
        <v>9.4700000000000006</v>
      </c>
      <c r="N134" s="12" t="s">
        <v>70</v>
      </c>
      <c r="O134" s="12" t="s">
        <v>71</v>
      </c>
      <c r="P134" s="12" t="s">
        <v>72</v>
      </c>
      <c r="Q134">
        <v>24.464700000000001</v>
      </c>
      <c r="R134">
        <v>20.480899999999998</v>
      </c>
      <c r="S134">
        <v>19.980499999999999</v>
      </c>
      <c r="T134">
        <v>7</v>
      </c>
      <c r="U134">
        <v>6.1719999999999997</v>
      </c>
      <c r="V134">
        <v>88.17</v>
      </c>
      <c r="W134">
        <v>0.50039999999999996</v>
      </c>
      <c r="X134">
        <v>6387</v>
      </c>
      <c r="Y134">
        <v>137637.38</v>
      </c>
      <c r="Z134">
        <v>3195.9</v>
      </c>
      <c r="AA134">
        <v>1292.07</v>
      </c>
      <c r="AB134">
        <v>-818.56</v>
      </c>
      <c r="AC134">
        <v>0</v>
      </c>
      <c r="AD134">
        <v>99.02</v>
      </c>
      <c r="AE134">
        <v>72</v>
      </c>
      <c r="AF134" s="12" t="s">
        <v>7483</v>
      </c>
      <c r="AG134">
        <v>0</v>
      </c>
      <c r="AH134" s="12" t="s">
        <v>7484</v>
      </c>
    </row>
    <row r="135" spans="1:34" x14ac:dyDescent="0.35">
      <c r="A135">
        <v>134</v>
      </c>
      <c r="B135">
        <v>39</v>
      </c>
      <c r="C135" s="12" t="s">
        <v>428</v>
      </c>
      <c r="D135" s="12" t="s">
        <v>429</v>
      </c>
      <c r="E135" s="12" t="s">
        <v>64</v>
      </c>
      <c r="F135" s="12" t="s">
        <v>65</v>
      </c>
      <c r="G135">
        <v>3</v>
      </c>
      <c r="H135">
        <v>4</v>
      </c>
      <c r="I135">
        <v>0</v>
      </c>
      <c r="J135" s="12" t="s">
        <v>380</v>
      </c>
      <c r="K135" s="12" t="s">
        <v>381</v>
      </c>
      <c r="L135" s="12" t="s">
        <v>96</v>
      </c>
      <c r="M135">
        <v>10.210000000000001</v>
      </c>
      <c r="N135" s="12" t="s">
        <v>70</v>
      </c>
      <c r="O135" s="12" t="s">
        <v>71</v>
      </c>
      <c r="P135" s="12" t="s">
        <v>72</v>
      </c>
      <c r="Q135">
        <v>15.0402</v>
      </c>
      <c r="R135">
        <v>13.129200000000001</v>
      </c>
      <c r="S135">
        <v>12.4017</v>
      </c>
      <c r="T135">
        <v>7</v>
      </c>
      <c r="U135">
        <v>4.9829999999999997</v>
      </c>
      <c r="V135">
        <v>71.19</v>
      </c>
      <c r="W135">
        <v>0.72750000000000004</v>
      </c>
      <c r="X135">
        <v>4344</v>
      </c>
      <c r="Y135">
        <v>56583</v>
      </c>
      <c r="Z135">
        <v>3160.14</v>
      </c>
      <c r="AA135">
        <v>454.41</v>
      </c>
      <c r="AB135">
        <v>636.17999999999995</v>
      </c>
      <c r="AC135">
        <v>0</v>
      </c>
      <c r="AD135">
        <v>99.19</v>
      </c>
      <c r="AE135">
        <v>79</v>
      </c>
      <c r="AF135" s="12" t="s">
        <v>7483</v>
      </c>
      <c r="AG135">
        <v>0</v>
      </c>
      <c r="AH135" s="12" t="s">
        <v>7484</v>
      </c>
    </row>
    <row r="136" spans="1:34" x14ac:dyDescent="0.35">
      <c r="A136">
        <v>135</v>
      </c>
      <c r="B136">
        <v>15</v>
      </c>
      <c r="C136" s="12" t="s">
        <v>267</v>
      </c>
      <c r="D136" s="12" t="s">
        <v>268</v>
      </c>
      <c r="E136" s="12" t="s">
        <v>269</v>
      </c>
      <c r="F136" s="12" t="s">
        <v>142</v>
      </c>
      <c r="G136">
        <v>1</v>
      </c>
      <c r="H136">
        <v>8</v>
      </c>
      <c r="I136">
        <v>1</v>
      </c>
      <c r="J136" s="12" t="s">
        <v>94</v>
      </c>
      <c r="K136" s="12" t="s">
        <v>95</v>
      </c>
      <c r="L136" s="12" t="s">
        <v>96</v>
      </c>
      <c r="M136">
        <v>4.8099999999999996</v>
      </c>
      <c r="N136" s="12" t="s">
        <v>159</v>
      </c>
      <c r="O136" s="12" t="s">
        <v>160</v>
      </c>
      <c r="P136" s="12" t="s">
        <v>137</v>
      </c>
      <c r="Q136">
        <v>247.31829999999999</v>
      </c>
      <c r="R136">
        <v>206.69030000000001</v>
      </c>
      <c r="S136">
        <v>203.75399999999999</v>
      </c>
      <c r="T136">
        <v>6.5</v>
      </c>
      <c r="U136">
        <v>6.0350000000000001</v>
      </c>
      <c r="V136">
        <v>92.85</v>
      </c>
      <c r="W136">
        <v>2.9363000000000001</v>
      </c>
      <c r="X136">
        <v>984</v>
      </c>
      <c r="Y136">
        <v>215560.72</v>
      </c>
      <c r="Z136">
        <v>2889.36</v>
      </c>
      <c r="AA136">
        <v>1568.9</v>
      </c>
      <c r="AC136">
        <v>215560.72</v>
      </c>
      <c r="AD136">
        <v>99.17</v>
      </c>
      <c r="AE136">
        <v>31</v>
      </c>
      <c r="AF136" s="12" t="s">
        <v>7474</v>
      </c>
      <c r="AG136">
        <v>0</v>
      </c>
      <c r="AH136" s="12" t="s">
        <v>7475</v>
      </c>
    </row>
    <row r="137" spans="1:34" x14ac:dyDescent="0.35">
      <c r="A137">
        <v>136</v>
      </c>
      <c r="B137">
        <v>32</v>
      </c>
      <c r="C137" s="12" t="s">
        <v>378</v>
      </c>
      <c r="D137" s="12" t="s">
        <v>379</v>
      </c>
      <c r="E137" s="12" t="s">
        <v>64</v>
      </c>
      <c r="F137" s="12" t="s">
        <v>104</v>
      </c>
      <c r="G137">
        <v>3</v>
      </c>
      <c r="H137">
        <v>1</v>
      </c>
      <c r="I137">
        <v>0</v>
      </c>
      <c r="J137" s="12" t="s">
        <v>176</v>
      </c>
      <c r="K137" s="12" t="s">
        <v>177</v>
      </c>
      <c r="L137" s="12" t="s">
        <v>134</v>
      </c>
      <c r="M137">
        <v>1.75</v>
      </c>
      <c r="N137" s="12" t="s">
        <v>97</v>
      </c>
      <c r="O137" s="12" t="s">
        <v>98</v>
      </c>
      <c r="P137" s="12" t="s">
        <v>72</v>
      </c>
      <c r="Q137">
        <v>16.367000000000001</v>
      </c>
      <c r="R137">
        <v>15.2897</v>
      </c>
      <c r="S137">
        <v>13.873100000000001</v>
      </c>
      <c r="T137">
        <v>7</v>
      </c>
      <c r="U137">
        <v>2.9449999999999998</v>
      </c>
      <c r="V137">
        <v>42.07</v>
      </c>
      <c r="W137">
        <v>1.4166000000000001</v>
      </c>
      <c r="X137">
        <v>1727</v>
      </c>
      <c r="Y137">
        <v>25960.35</v>
      </c>
      <c r="Z137">
        <v>2446.42</v>
      </c>
      <c r="AA137">
        <v>330.41</v>
      </c>
      <c r="AC137">
        <v>25960.35</v>
      </c>
      <c r="AD137">
        <v>98.73</v>
      </c>
      <c r="AE137">
        <v>73</v>
      </c>
      <c r="AF137" s="12" t="s">
        <v>7474</v>
      </c>
      <c r="AG137">
        <v>0</v>
      </c>
      <c r="AH137" s="12" t="s">
        <v>7475</v>
      </c>
    </row>
    <row r="138" spans="1:34" x14ac:dyDescent="0.35">
      <c r="A138">
        <v>137</v>
      </c>
      <c r="B138">
        <v>40</v>
      </c>
      <c r="C138" s="12" t="s">
        <v>238</v>
      </c>
      <c r="D138" s="12" t="s">
        <v>239</v>
      </c>
      <c r="E138" s="12" t="s">
        <v>122</v>
      </c>
      <c r="F138" s="12" t="s">
        <v>65</v>
      </c>
      <c r="G138">
        <v>3</v>
      </c>
      <c r="H138">
        <v>4</v>
      </c>
      <c r="I138">
        <v>0</v>
      </c>
      <c r="J138" s="12" t="s">
        <v>79</v>
      </c>
      <c r="K138" s="12" t="s">
        <v>80</v>
      </c>
      <c r="L138" s="12" t="s">
        <v>82</v>
      </c>
      <c r="M138">
        <v>12.07</v>
      </c>
      <c r="N138" s="12" t="s">
        <v>70</v>
      </c>
      <c r="O138" s="12" t="s">
        <v>71</v>
      </c>
      <c r="P138" s="12" t="s">
        <v>72</v>
      </c>
      <c r="Q138">
        <v>37.616399999999999</v>
      </c>
      <c r="R138">
        <v>33.671799999999998</v>
      </c>
      <c r="S138">
        <v>33.530099999999997</v>
      </c>
      <c r="T138">
        <v>4</v>
      </c>
      <c r="U138">
        <v>3.8559999999999999</v>
      </c>
      <c r="V138">
        <v>96.4</v>
      </c>
      <c r="W138">
        <v>0.14169999999999999</v>
      </c>
      <c r="X138">
        <v>17019</v>
      </c>
      <c r="Y138">
        <v>578524.14</v>
      </c>
      <c r="Z138">
        <v>2410.89</v>
      </c>
      <c r="AA138">
        <v>3146.89</v>
      </c>
      <c r="AB138">
        <v>-3617.55</v>
      </c>
      <c r="AC138">
        <v>0</v>
      </c>
      <c r="AD138">
        <v>99.31</v>
      </c>
      <c r="AE138">
        <v>79</v>
      </c>
      <c r="AF138" s="12" t="s">
        <v>7483</v>
      </c>
      <c r="AG138">
        <v>0</v>
      </c>
      <c r="AH138" s="12" t="s">
        <v>7484</v>
      </c>
    </row>
    <row r="139" spans="1:34" x14ac:dyDescent="0.35">
      <c r="A139">
        <v>138</v>
      </c>
      <c r="B139">
        <v>41</v>
      </c>
      <c r="C139" s="12" t="s">
        <v>215</v>
      </c>
      <c r="D139" s="12" t="s">
        <v>216</v>
      </c>
      <c r="E139" s="12" t="s">
        <v>122</v>
      </c>
      <c r="F139" s="12" t="s">
        <v>142</v>
      </c>
      <c r="G139">
        <v>3</v>
      </c>
      <c r="H139">
        <v>11</v>
      </c>
      <c r="I139">
        <v>0</v>
      </c>
      <c r="J139" s="12" t="s">
        <v>217</v>
      </c>
      <c r="K139" s="12" t="s">
        <v>218</v>
      </c>
      <c r="L139" s="12" t="s">
        <v>82</v>
      </c>
      <c r="M139">
        <v>14.24</v>
      </c>
      <c r="N139" s="12" t="s">
        <v>70</v>
      </c>
      <c r="O139" s="12" t="s">
        <v>71</v>
      </c>
      <c r="P139" s="12" t="s">
        <v>72</v>
      </c>
      <c r="Q139">
        <v>15.3515</v>
      </c>
      <c r="R139">
        <v>14.1587</v>
      </c>
      <c r="S139">
        <v>13.746600000000001</v>
      </c>
      <c r="T139">
        <v>4</v>
      </c>
      <c r="U139">
        <v>2.9460000000000002</v>
      </c>
      <c r="V139">
        <v>73.650000000000006</v>
      </c>
      <c r="W139">
        <v>0.41210000000000002</v>
      </c>
      <c r="X139">
        <v>5569</v>
      </c>
      <c r="Y139">
        <v>78235.03</v>
      </c>
      <c r="Z139">
        <v>2294.98</v>
      </c>
      <c r="AA139">
        <v>478.1</v>
      </c>
      <c r="AB139">
        <v>-614.78</v>
      </c>
      <c r="AC139">
        <v>0</v>
      </c>
      <c r="AD139">
        <v>99.39</v>
      </c>
      <c r="AE139">
        <v>66</v>
      </c>
      <c r="AF139" s="12" t="s">
        <v>7483</v>
      </c>
      <c r="AG139">
        <v>0</v>
      </c>
      <c r="AH139" s="12" t="s">
        <v>7484</v>
      </c>
    </row>
    <row r="140" spans="1:34" x14ac:dyDescent="0.35">
      <c r="A140">
        <v>139</v>
      </c>
      <c r="B140">
        <v>42</v>
      </c>
      <c r="C140" s="12" t="s">
        <v>736</v>
      </c>
      <c r="D140" s="12" t="s">
        <v>737</v>
      </c>
      <c r="E140" s="12" t="s">
        <v>64</v>
      </c>
      <c r="F140" s="12" t="s">
        <v>104</v>
      </c>
      <c r="G140">
        <v>3</v>
      </c>
      <c r="H140">
        <v>1</v>
      </c>
      <c r="I140">
        <v>0</v>
      </c>
      <c r="J140" s="12" t="s">
        <v>94</v>
      </c>
      <c r="K140" s="12" t="s">
        <v>95</v>
      </c>
      <c r="L140" s="12" t="s">
        <v>96</v>
      </c>
      <c r="M140">
        <v>4.8099999999999996</v>
      </c>
      <c r="N140" s="12" t="s">
        <v>70</v>
      </c>
      <c r="O140" s="12" t="s">
        <v>71</v>
      </c>
      <c r="P140" s="12" t="s">
        <v>72</v>
      </c>
      <c r="Q140">
        <v>24.696300000000001</v>
      </c>
      <c r="R140">
        <v>21.2288</v>
      </c>
      <c r="S140">
        <v>20.338699999999999</v>
      </c>
      <c r="T140">
        <v>7</v>
      </c>
      <c r="U140">
        <v>5.4989999999999997</v>
      </c>
      <c r="V140">
        <v>78.56</v>
      </c>
      <c r="W140">
        <v>0.8901</v>
      </c>
      <c r="X140">
        <v>2339</v>
      </c>
      <c r="Y140">
        <v>49654.16</v>
      </c>
      <c r="Z140">
        <v>2081.94</v>
      </c>
      <c r="AA140">
        <v>318.44</v>
      </c>
      <c r="AB140">
        <v>0</v>
      </c>
      <c r="AC140">
        <v>0</v>
      </c>
      <c r="AD140">
        <v>99.27</v>
      </c>
      <c r="AE140">
        <v>77</v>
      </c>
      <c r="AF140" s="12" t="s">
        <v>7483</v>
      </c>
      <c r="AG140">
        <v>0</v>
      </c>
      <c r="AH140" s="12" t="s">
        <v>7484</v>
      </c>
    </row>
    <row r="141" spans="1:34" x14ac:dyDescent="0.35">
      <c r="A141">
        <v>140</v>
      </c>
      <c r="B141">
        <v>33</v>
      </c>
      <c r="C141" s="12" t="s">
        <v>747</v>
      </c>
      <c r="D141" s="12" t="s">
        <v>748</v>
      </c>
      <c r="E141" s="12" t="s">
        <v>114</v>
      </c>
      <c r="F141" s="12" t="s">
        <v>104</v>
      </c>
      <c r="G141">
        <v>2</v>
      </c>
      <c r="H141">
        <v>0</v>
      </c>
      <c r="I141">
        <v>0</v>
      </c>
      <c r="J141" s="12" t="s">
        <v>251</v>
      </c>
      <c r="K141" s="12" t="s">
        <v>252</v>
      </c>
      <c r="L141" s="12" t="s">
        <v>69</v>
      </c>
      <c r="M141">
        <v>34.49</v>
      </c>
      <c r="N141" s="12" t="s">
        <v>97</v>
      </c>
      <c r="O141" s="12" t="s">
        <v>98</v>
      </c>
      <c r="P141" s="12" t="s">
        <v>72</v>
      </c>
      <c r="Q141">
        <v>245.56890000000001</v>
      </c>
      <c r="R141">
        <v>238.95949999999999</v>
      </c>
      <c r="S141">
        <v>229.28210000000001</v>
      </c>
      <c r="T141">
        <v>3</v>
      </c>
      <c r="U141">
        <v>1.204</v>
      </c>
      <c r="V141">
        <v>40.130000000000003</v>
      </c>
      <c r="W141">
        <v>9.6774000000000004</v>
      </c>
      <c r="X141">
        <v>211</v>
      </c>
      <c r="Y141">
        <v>50810.48</v>
      </c>
      <c r="Z141">
        <v>2041.93</v>
      </c>
      <c r="AA141">
        <v>962.39</v>
      </c>
      <c r="AB141">
        <v>0</v>
      </c>
      <c r="AC141">
        <v>0</v>
      </c>
      <c r="AD141">
        <v>98.1</v>
      </c>
      <c r="AE141">
        <v>82</v>
      </c>
      <c r="AF141" s="12" t="s">
        <v>7483</v>
      </c>
      <c r="AG141">
        <v>0</v>
      </c>
      <c r="AH141" s="12" t="s">
        <v>7484</v>
      </c>
    </row>
    <row r="142" spans="1:34" x14ac:dyDescent="0.35">
      <c r="A142">
        <v>141</v>
      </c>
      <c r="B142">
        <v>43</v>
      </c>
      <c r="C142" s="12" t="s">
        <v>1034</v>
      </c>
      <c r="D142" s="12" t="s">
        <v>1035</v>
      </c>
      <c r="E142" s="12" t="s">
        <v>64</v>
      </c>
      <c r="F142" s="12" t="s">
        <v>104</v>
      </c>
      <c r="G142">
        <v>2</v>
      </c>
      <c r="H142">
        <v>0</v>
      </c>
      <c r="I142">
        <v>0</v>
      </c>
      <c r="J142" s="12" t="s">
        <v>157</v>
      </c>
      <c r="K142" s="12" t="s">
        <v>158</v>
      </c>
      <c r="L142" s="12" t="s">
        <v>96</v>
      </c>
      <c r="M142">
        <v>4.72</v>
      </c>
      <c r="N142" s="12" t="s">
        <v>70</v>
      </c>
      <c r="O142" s="12" t="s">
        <v>71</v>
      </c>
      <c r="P142" s="12" t="s">
        <v>72</v>
      </c>
      <c r="Q142">
        <v>9.9979999999999993</v>
      </c>
      <c r="R142">
        <v>8.5963999999999992</v>
      </c>
      <c r="S142">
        <v>8.3028999999999993</v>
      </c>
      <c r="T142">
        <v>7</v>
      </c>
      <c r="U142">
        <v>5.73</v>
      </c>
      <c r="V142">
        <v>81.86</v>
      </c>
      <c r="W142">
        <v>0.29349999999999998</v>
      </c>
      <c r="X142">
        <v>6822</v>
      </c>
      <c r="Y142">
        <v>59773.36</v>
      </c>
      <c r="Z142">
        <v>2002.26</v>
      </c>
      <c r="AA142">
        <v>546.16999999999996</v>
      </c>
      <c r="AB142">
        <v>172.5</v>
      </c>
      <c r="AC142">
        <v>0</v>
      </c>
      <c r="AD142">
        <v>99.09</v>
      </c>
      <c r="AE142">
        <v>63</v>
      </c>
      <c r="AF142" s="12" t="s">
        <v>7483</v>
      </c>
      <c r="AG142">
        <v>0</v>
      </c>
      <c r="AH142" s="12" t="s">
        <v>7484</v>
      </c>
    </row>
    <row r="143" spans="1:34" x14ac:dyDescent="0.35">
      <c r="A143">
        <v>142</v>
      </c>
      <c r="B143">
        <v>34</v>
      </c>
      <c r="C143" s="12" t="s">
        <v>532</v>
      </c>
      <c r="D143" s="12" t="s">
        <v>533</v>
      </c>
      <c r="E143" s="12" t="s">
        <v>114</v>
      </c>
      <c r="F143" s="12" t="s">
        <v>65</v>
      </c>
      <c r="G143">
        <v>2</v>
      </c>
      <c r="H143">
        <v>3</v>
      </c>
      <c r="I143">
        <v>0</v>
      </c>
      <c r="J143" s="12" t="s">
        <v>115</v>
      </c>
      <c r="K143" s="12" t="s">
        <v>116</v>
      </c>
      <c r="L143" s="12" t="s">
        <v>82</v>
      </c>
      <c r="M143">
        <v>17.170000000000002</v>
      </c>
      <c r="N143" s="12" t="s">
        <v>97</v>
      </c>
      <c r="O143" s="12" t="s">
        <v>98</v>
      </c>
      <c r="P143" s="12" t="s">
        <v>72</v>
      </c>
      <c r="Q143">
        <v>250.00970000000001</v>
      </c>
      <c r="R143">
        <v>234.55500000000001</v>
      </c>
      <c r="S143">
        <v>230.56649999999999</v>
      </c>
      <c r="T143">
        <v>3</v>
      </c>
      <c r="U143">
        <v>2.3719999999999999</v>
      </c>
      <c r="V143">
        <v>79.069999999999993</v>
      </c>
      <c r="W143">
        <v>3.9885000000000002</v>
      </c>
      <c r="X143">
        <v>486</v>
      </c>
      <c r="Y143">
        <v>114631.59</v>
      </c>
      <c r="Z143">
        <v>1938.41</v>
      </c>
      <c r="AA143">
        <v>1414.93</v>
      </c>
      <c r="AB143">
        <v>0</v>
      </c>
      <c r="AC143">
        <v>0</v>
      </c>
      <c r="AD143">
        <v>98.5</v>
      </c>
      <c r="AE143">
        <v>75</v>
      </c>
      <c r="AF143" s="12" t="s">
        <v>7483</v>
      </c>
      <c r="AG143">
        <v>0</v>
      </c>
      <c r="AH143" s="12" t="s">
        <v>7484</v>
      </c>
    </row>
    <row r="144" spans="1:34" x14ac:dyDescent="0.35">
      <c r="A144">
        <v>143</v>
      </c>
      <c r="B144">
        <v>35</v>
      </c>
      <c r="C144" s="12" t="s">
        <v>802</v>
      </c>
      <c r="D144" s="12" t="s">
        <v>803</v>
      </c>
      <c r="E144" s="12" t="s">
        <v>114</v>
      </c>
      <c r="F144" s="12" t="s">
        <v>65</v>
      </c>
      <c r="G144">
        <v>3</v>
      </c>
      <c r="H144">
        <v>5</v>
      </c>
      <c r="I144">
        <v>0</v>
      </c>
      <c r="J144" s="12" t="s">
        <v>87</v>
      </c>
      <c r="K144" s="12" t="s">
        <v>88</v>
      </c>
      <c r="L144" s="12" t="s">
        <v>69</v>
      </c>
      <c r="M144">
        <v>14.93</v>
      </c>
      <c r="N144" s="12" t="s">
        <v>97</v>
      </c>
      <c r="O144" s="12" t="s">
        <v>98</v>
      </c>
      <c r="P144" s="12" t="s">
        <v>72</v>
      </c>
      <c r="Q144">
        <v>350.71699999999998</v>
      </c>
      <c r="R144">
        <v>329.8329</v>
      </c>
      <c r="S144">
        <v>324.89319999999998</v>
      </c>
      <c r="T144">
        <v>3</v>
      </c>
      <c r="U144">
        <v>2.4159999999999999</v>
      </c>
      <c r="V144">
        <v>80.53</v>
      </c>
      <c r="W144">
        <v>4.9397000000000002</v>
      </c>
      <c r="X144">
        <v>390</v>
      </c>
      <c r="Y144">
        <v>129497.3</v>
      </c>
      <c r="Z144">
        <v>1926.48</v>
      </c>
      <c r="AA144">
        <v>2329.36</v>
      </c>
      <c r="AB144">
        <v>0</v>
      </c>
      <c r="AC144">
        <v>0</v>
      </c>
      <c r="AD144">
        <v>98.21</v>
      </c>
      <c r="AE144">
        <v>79</v>
      </c>
      <c r="AF144" s="12" t="s">
        <v>7483</v>
      </c>
      <c r="AG144">
        <v>0</v>
      </c>
      <c r="AH144" s="12" t="s">
        <v>7484</v>
      </c>
    </row>
    <row r="145" spans="1:34" x14ac:dyDescent="0.35">
      <c r="A145">
        <v>144</v>
      </c>
      <c r="B145">
        <v>11</v>
      </c>
      <c r="C145" s="12" t="s">
        <v>173</v>
      </c>
      <c r="D145" s="12" t="s">
        <v>174</v>
      </c>
      <c r="E145" s="12" t="s">
        <v>175</v>
      </c>
      <c r="F145" s="12" t="s">
        <v>104</v>
      </c>
      <c r="G145">
        <v>3</v>
      </c>
      <c r="H145">
        <v>1</v>
      </c>
      <c r="I145">
        <v>0</v>
      </c>
      <c r="J145" s="12" t="s">
        <v>227</v>
      </c>
      <c r="K145" s="12" t="s">
        <v>228</v>
      </c>
      <c r="L145" s="12" t="s">
        <v>96</v>
      </c>
      <c r="M145">
        <v>9.15</v>
      </c>
      <c r="N145" s="12" t="s">
        <v>145</v>
      </c>
      <c r="O145" s="12" t="s">
        <v>146</v>
      </c>
      <c r="P145" s="12" t="s">
        <v>109</v>
      </c>
      <c r="Q145">
        <v>79.9559</v>
      </c>
      <c r="R145">
        <v>79.938000000000002</v>
      </c>
      <c r="S145">
        <v>71.297700000000006</v>
      </c>
      <c r="T145">
        <v>5.5</v>
      </c>
      <c r="U145">
        <v>1.0999999999999999E-2</v>
      </c>
      <c r="V145">
        <v>0.2</v>
      </c>
      <c r="W145">
        <v>8.6402999999999999</v>
      </c>
      <c r="X145">
        <v>221</v>
      </c>
      <c r="Y145">
        <v>17666.3</v>
      </c>
      <c r="Z145">
        <v>1909.51</v>
      </c>
      <c r="AA145">
        <v>79.930000000000007</v>
      </c>
      <c r="AB145">
        <v>0</v>
      </c>
      <c r="AC145">
        <v>0</v>
      </c>
      <c r="AD145">
        <v>99.55</v>
      </c>
      <c r="AE145">
        <v>86</v>
      </c>
      <c r="AF145" s="12" t="s">
        <v>7483</v>
      </c>
      <c r="AG145">
        <v>0</v>
      </c>
      <c r="AH145" s="12" t="s">
        <v>7484</v>
      </c>
    </row>
    <row r="146" spans="1:34" x14ac:dyDescent="0.35">
      <c r="A146">
        <v>145</v>
      </c>
      <c r="B146">
        <v>44</v>
      </c>
      <c r="C146" s="12" t="s">
        <v>482</v>
      </c>
      <c r="D146" s="12" t="s">
        <v>483</v>
      </c>
      <c r="E146" s="12" t="s">
        <v>78</v>
      </c>
      <c r="F146" s="12" t="s">
        <v>142</v>
      </c>
      <c r="G146">
        <v>2</v>
      </c>
      <c r="H146">
        <v>9</v>
      </c>
      <c r="I146">
        <v>0</v>
      </c>
      <c r="J146" s="12" t="s">
        <v>87</v>
      </c>
      <c r="K146" s="12" t="s">
        <v>88</v>
      </c>
      <c r="L146" s="12" t="s">
        <v>69</v>
      </c>
      <c r="M146">
        <v>14.93</v>
      </c>
      <c r="N146" s="12" t="s">
        <v>70</v>
      </c>
      <c r="O146" s="12" t="s">
        <v>71</v>
      </c>
      <c r="P146" s="12" t="s">
        <v>72</v>
      </c>
      <c r="Q146">
        <v>49.985599999999998</v>
      </c>
      <c r="R146">
        <v>44.658099999999997</v>
      </c>
      <c r="S146">
        <v>43.454099999999997</v>
      </c>
      <c r="T146">
        <v>5</v>
      </c>
      <c r="U146">
        <v>4.0449999999999999</v>
      </c>
      <c r="V146">
        <v>80.900000000000006</v>
      </c>
      <c r="W146">
        <v>1.204</v>
      </c>
      <c r="X146">
        <v>1566</v>
      </c>
      <c r="Y146">
        <v>70028.679999999993</v>
      </c>
      <c r="Z146">
        <v>1885.46</v>
      </c>
      <c r="AA146">
        <v>939.91</v>
      </c>
      <c r="AB146">
        <v>-245.56</v>
      </c>
      <c r="AC146">
        <v>0</v>
      </c>
      <c r="AD146">
        <v>98.45</v>
      </c>
      <c r="AE146">
        <v>52</v>
      </c>
      <c r="AF146" s="12" t="s">
        <v>7483</v>
      </c>
      <c r="AG146">
        <v>0</v>
      </c>
      <c r="AH146" s="12" t="s">
        <v>7484</v>
      </c>
    </row>
    <row r="147" spans="1:34" x14ac:dyDescent="0.35">
      <c r="A147">
        <v>146</v>
      </c>
      <c r="B147">
        <v>21</v>
      </c>
      <c r="C147" s="12" t="s">
        <v>766</v>
      </c>
      <c r="D147" s="12" t="s">
        <v>767</v>
      </c>
      <c r="E147" s="12" t="s">
        <v>175</v>
      </c>
      <c r="F147" s="12" t="s">
        <v>65</v>
      </c>
      <c r="G147">
        <v>3</v>
      </c>
      <c r="H147">
        <v>5</v>
      </c>
      <c r="I147">
        <v>0</v>
      </c>
      <c r="J147" s="12" t="s">
        <v>87</v>
      </c>
      <c r="K147" s="12" t="s">
        <v>88</v>
      </c>
      <c r="L147" s="12" t="s">
        <v>69</v>
      </c>
      <c r="M147">
        <v>14.93</v>
      </c>
      <c r="N147" s="12" t="s">
        <v>107</v>
      </c>
      <c r="O147" s="12" t="s">
        <v>108</v>
      </c>
      <c r="P147" s="12" t="s">
        <v>109</v>
      </c>
      <c r="Q147">
        <v>86.977900000000005</v>
      </c>
      <c r="R147">
        <v>76.991200000000006</v>
      </c>
      <c r="S147">
        <v>74.716899999999995</v>
      </c>
      <c r="T147">
        <v>5.5</v>
      </c>
      <c r="U147">
        <v>4.4390000000000001</v>
      </c>
      <c r="V147">
        <v>80.709999999999994</v>
      </c>
      <c r="W147">
        <v>2.2743000000000002</v>
      </c>
      <c r="X147">
        <v>744</v>
      </c>
      <c r="Y147">
        <v>58668.9</v>
      </c>
      <c r="Z147">
        <v>1692.08</v>
      </c>
      <c r="AA147">
        <v>471.62</v>
      </c>
      <c r="AB147">
        <v>0</v>
      </c>
      <c r="AC147">
        <v>0</v>
      </c>
      <c r="AD147">
        <v>99.17</v>
      </c>
      <c r="AE147">
        <v>79</v>
      </c>
      <c r="AF147" s="12" t="s">
        <v>7483</v>
      </c>
      <c r="AG147">
        <v>0</v>
      </c>
      <c r="AH147" s="12" t="s">
        <v>7484</v>
      </c>
    </row>
    <row r="148" spans="1:34" x14ac:dyDescent="0.35">
      <c r="A148">
        <v>147</v>
      </c>
      <c r="B148">
        <v>36</v>
      </c>
      <c r="C148" s="12" t="s">
        <v>1034</v>
      </c>
      <c r="D148" s="12" t="s">
        <v>1035</v>
      </c>
      <c r="E148" s="12" t="s">
        <v>64</v>
      </c>
      <c r="F148" s="12" t="s">
        <v>104</v>
      </c>
      <c r="G148">
        <v>2</v>
      </c>
      <c r="H148">
        <v>0</v>
      </c>
      <c r="I148">
        <v>0</v>
      </c>
      <c r="J148" s="12" t="s">
        <v>676</v>
      </c>
      <c r="K148" s="12" t="s">
        <v>677</v>
      </c>
      <c r="L148" s="12" t="s">
        <v>96</v>
      </c>
      <c r="M148">
        <v>3.57</v>
      </c>
      <c r="N148" s="12" t="s">
        <v>97</v>
      </c>
      <c r="O148" s="12" t="s">
        <v>98</v>
      </c>
      <c r="P148" s="12" t="s">
        <v>72</v>
      </c>
      <c r="Q148">
        <v>10.226599999999999</v>
      </c>
      <c r="R148">
        <v>9.9461999999999993</v>
      </c>
      <c r="S148">
        <v>8.7049000000000003</v>
      </c>
      <c r="T148">
        <v>7</v>
      </c>
      <c r="U148">
        <v>1.244</v>
      </c>
      <c r="V148">
        <v>17.77</v>
      </c>
      <c r="W148">
        <v>1.2413000000000001</v>
      </c>
      <c r="X148">
        <v>1352</v>
      </c>
      <c r="Y148">
        <v>13447.26</v>
      </c>
      <c r="Z148">
        <v>1678.24</v>
      </c>
      <c r="AA148">
        <v>159.13999999999999</v>
      </c>
      <c r="AB148">
        <v>0</v>
      </c>
      <c r="AC148">
        <v>0</v>
      </c>
      <c r="AD148">
        <v>98.82</v>
      </c>
      <c r="AE148">
        <v>55</v>
      </c>
      <c r="AF148" s="12" t="s">
        <v>7483</v>
      </c>
      <c r="AG148">
        <v>0</v>
      </c>
      <c r="AH148" s="12" t="s">
        <v>7484</v>
      </c>
    </row>
    <row r="149" spans="1:34" x14ac:dyDescent="0.35">
      <c r="A149">
        <v>148</v>
      </c>
      <c r="B149">
        <v>22</v>
      </c>
      <c r="C149" s="12" t="s">
        <v>173</v>
      </c>
      <c r="D149" s="12" t="s">
        <v>174</v>
      </c>
      <c r="E149" s="12" t="s">
        <v>175</v>
      </c>
      <c r="F149" s="12" t="s">
        <v>104</v>
      </c>
      <c r="G149">
        <v>3</v>
      </c>
      <c r="H149">
        <v>1</v>
      </c>
      <c r="I149">
        <v>0</v>
      </c>
      <c r="J149" s="12" t="s">
        <v>176</v>
      </c>
      <c r="K149" s="12" t="s">
        <v>177</v>
      </c>
      <c r="L149" s="12" t="s">
        <v>134</v>
      </c>
      <c r="M149">
        <v>1.75</v>
      </c>
      <c r="N149" s="12" t="s">
        <v>107</v>
      </c>
      <c r="O149" s="12" t="s">
        <v>108</v>
      </c>
      <c r="P149" s="12" t="s">
        <v>109</v>
      </c>
      <c r="Q149">
        <v>79.994600000000005</v>
      </c>
      <c r="R149">
        <v>70.064999999999998</v>
      </c>
      <c r="S149">
        <v>67.768299999999996</v>
      </c>
      <c r="T149">
        <v>5.5</v>
      </c>
      <c r="U149">
        <v>4.4189999999999996</v>
      </c>
      <c r="V149">
        <v>80.349999999999994</v>
      </c>
      <c r="W149">
        <v>2.2967</v>
      </c>
      <c r="X149">
        <v>684</v>
      </c>
      <c r="Y149">
        <v>48881.47</v>
      </c>
      <c r="Z149">
        <v>1570.92</v>
      </c>
      <c r="AA149">
        <v>288.06</v>
      </c>
      <c r="AB149">
        <v>-78.98</v>
      </c>
      <c r="AC149">
        <v>0</v>
      </c>
      <c r="AD149">
        <v>99.14</v>
      </c>
      <c r="AE149">
        <v>69</v>
      </c>
      <c r="AF149" s="12" t="s">
        <v>7483</v>
      </c>
      <c r="AG149">
        <v>0</v>
      </c>
      <c r="AH149" s="12" t="s">
        <v>7484</v>
      </c>
    </row>
    <row r="150" spans="1:34" x14ac:dyDescent="0.35">
      <c r="A150">
        <v>149</v>
      </c>
      <c r="B150">
        <v>12</v>
      </c>
      <c r="C150" s="12" t="s">
        <v>792</v>
      </c>
      <c r="D150" s="12" t="s">
        <v>793</v>
      </c>
      <c r="E150" s="12" t="s">
        <v>103</v>
      </c>
      <c r="F150" s="12" t="s">
        <v>65</v>
      </c>
      <c r="G150">
        <v>2</v>
      </c>
      <c r="H150">
        <v>3</v>
      </c>
      <c r="I150">
        <v>0</v>
      </c>
      <c r="J150" s="12" t="s">
        <v>115</v>
      </c>
      <c r="K150" s="12" t="s">
        <v>116</v>
      </c>
      <c r="L150" s="12" t="s">
        <v>82</v>
      </c>
      <c r="M150">
        <v>17.170000000000002</v>
      </c>
      <c r="N150" s="12" t="s">
        <v>145</v>
      </c>
      <c r="O150" s="12" t="s">
        <v>146</v>
      </c>
      <c r="P150" s="12" t="s">
        <v>109</v>
      </c>
      <c r="Q150">
        <v>99.173299999999998</v>
      </c>
      <c r="R150">
        <v>97.497299999999996</v>
      </c>
      <c r="S150">
        <v>94.267799999999994</v>
      </c>
      <c r="T150">
        <v>2</v>
      </c>
      <c r="U150">
        <v>0.67700000000000005</v>
      </c>
      <c r="V150">
        <v>33.85</v>
      </c>
      <c r="W150">
        <v>3.2294999999999998</v>
      </c>
      <c r="X150">
        <v>458</v>
      </c>
      <c r="Y150">
        <v>45100.800000000003</v>
      </c>
      <c r="Z150">
        <v>1479.11</v>
      </c>
      <c r="AA150">
        <v>592.20000000000005</v>
      </c>
      <c r="AB150">
        <v>212.03</v>
      </c>
      <c r="AC150">
        <v>0</v>
      </c>
      <c r="AD150">
        <v>98.69</v>
      </c>
      <c r="AE150">
        <v>75</v>
      </c>
      <c r="AF150" s="12" t="s">
        <v>7483</v>
      </c>
      <c r="AG150">
        <v>0</v>
      </c>
      <c r="AH150" s="12" t="s">
        <v>7484</v>
      </c>
    </row>
    <row r="151" spans="1:34" x14ac:dyDescent="0.35">
      <c r="A151">
        <v>150</v>
      </c>
      <c r="B151">
        <v>37</v>
      </c>
      <c r="C151" s="12" t="s">
        <v>193</v>
      </c>
      <c r="D151" s="12" t="s">
        <v>194</v>
      </c>
      <c r="E151" s="12" t="s">
        <v>114</v>
      </c>
      <c r="F151" s="12" t="s">
        <v>65</v>
      </c>
      <c r="G151">
        <v>3</v>
      </c>
      <c r="H151">
        <v>4</v>
      </c>
      <c r="I151">
        <v>0</v>
      </c>
      <c r="J151" s="12" t="s">
        <v>143</v>
      </c>
      <c r="K151" s="12" t="s">
        <v>144</v>
      </c>
      <c r="L151" s="12" t="s">
        <v>96</v>
      </c>
      <c r="M151">
        <v>5.43</v>
      </c>
      <c r="N151" s="12" t="s">
        <v>97</v>
      </c>
      <c r="O151" s="12" t="s">
        <v>98</v>
      </c>
      <c r="P151" s="12" t="s">
        <v>72</v>
      </c>
      <c r="Q151">
        <v>107.28270000000001</v>
      </c>
      <c r="R151">
        <v>104.46510000000001</v>
      </c>
      <c r="S151">
        <v>98.873099999999994</v>
      </c>
      <c r="T151">
        <v>3</v>
      </c>
      <c r="U151">
        <v>0.98799999999999999</v>
      </c>
      <c r="V151">
        <v>32.93</v>
      </c>
      <c r="W151">
        <v>5.5919999999999996</v>
      </c>
      <c r="X151">
        <v>259</v>
      </c>
      <c r="Y151">
        <v>27210.61</v>
      </c>
      <c r="Z151">
        <v>1448.33</v>
      </c>
      <c r="AA151">
        <v>210.34</v>
      </c>
      <c r="AB151">
        <v>0</v>
      </c>
      <c r="AC151">
        <v>0</v>
      </c>
      <c r="AD151">
        <v>99.23</v>
      </c>
      <c r="AE151">
        <v>70</v>
      </c>
      <c r="AF151" s="12" t="s">
        <v>7483</v>
      </c>
      <c r="AG151">
        <v>0</v>
      </c>
      <c r="AH151" s="12" t="s">
        <v>7484</v>
      </c>
    </row>
    <row r="152" spans="1:34" x14ac:dyDescent="0.35">
      <c r="A152">
        <v>151</v>
      </c>
      <c r="B152">
        <v>38</v>
      </c>
      <c r="C152" s="12" t="s">
        <v>482</v>
      </c>
      <c r="D152" s="12" t="s">
        <v>483</v>
      </c>
      <c r="E152" s="12" t="s">
        <v>78</v>
      </c>
      <c r="F152" s="12" t="s">
        <v>142</v>
      </c>
      <c r="G152">
        <v>2</v>
      </c>
      <c r="H152">
        <v>9</v>
      </c>
      <c r="I152">
        <v>0</v>
      </c>
      <c r="J152" s="12" t="s">
        <v>183</v>
      </c>
      <c r="K152" s="12" t="s">
        <v>184</v>
      </c>
      <c r="L152" s="12" t="s">
        <v>82</v>
      </c>
      <c r="M152">
        <v>8.6199999999999992</v>
      </c>
      <c r="N152" s="12" t="s">
        <v>97</v>
      </c>
      <c r="O152" s="12" t="s">
        <v>98</v>
      </c>
      <c r="P152" s="12" t="s">
        <v>72</v>
      </c>
      <c r="Q152">
        <v>49.685899999999997</v>
      </c>
      <c r="R152">
        <v>46.313200000000002</v>
      </c>
      <c r="S152">
        <v>43.469099999999997</v>
      </c>
      <c r="T152">
        <v>5</v>
      </c>
      <c r="U152">
        <v>2.661</v>
      </c>
      <c r="V152">
        <v>53.22</v>
      </c>
      <c r="W152">
        <v>2.8441000000000001</v>
      </c>
      <c r="X152">
        <v>503</v>
      </c>
      <c r="Y152">
        <v>22905.09</v>
      </c>
      <c r="Z152">
        <v>1430.58</v>
      </c>
      <c r="AA152">
        <v>224.41</v>
      </c>
      <c r="AC152">
        <v>22905.09</v>
      </c>
      <c r="AD152">
        <v>98.61</v>
      </c>
      <c r="AE152">
        <v>56</v>
      </c>
      <c r="AF152" s="12" t="s">
        <v>7474</v>
      </c>
      <c r="AG152">
        <v>0</v>
      </c>
      <c r="AH152" s="12" t="s">
        <v>7475</v>
      </c>
    </row>
    <row r="153" spans="1:34" x14ac:dyDescent="0.35">
      <c r="A153">
        <v>152</v>
      </c>
      <c r="B153">
        <v>45</v>
      </c>
      <c r="C153" s="12" t="s">
        <v>548</v>
      </c>
      <c r="D153" s="12" t="s">
        <v>549</v>
      </c>
      <c r="E153" s="12" t="s">
        <v>78</v>
      </c>
      <c r="F153" s="12" t="s">
        <v>104</v>
      </c>
      <c r="G153">
        <v>3</v>
      </c>
      <c r="H153">
        <v>1</v>
      </c>
      <c r="I153">
        <v>0</v>
      </c>
      <c r="J153" s="12" t="s">
        <v>223</v>
      </c>
      <c r="K153" s="12" t="s">
        <v>224</v>
      </c>
      <c r="L153" s="12" t="s">
        <v>134</v>
      </c>
      <c r="M153">
        <v>2.4900000000000002</v>
      </c>
      <c r="N153" s="12" t="s">
        <v>70</v>
      </c>
      <c r="O153" s="12" t="s">
        <v>71</v>
      </c>
      <c r="P153" s="12" t="s">
        <v>72</v>
      </c>
      <c r="Q153">
        <v>62.471600000000002</v>
      </c>
      <c r="R153">
        <v>56.384999999999998</v>
      </c>
      <c r="S153">
        <v>54.730800000000002</v>
      </c>
      <c r="T153">
        <v>5</v>
      </c>
      <c r="U153">
        <v>3.8969999999999998</v>
      </c>
      <c r="V153">
        <v>77.94</v>
      </c>
      <c r="W153">
        <v>1.6541999999999999</v>
      </c>
      <c r="X153">
        <v>832</v>
      </c>
      <c r="Y153">
        <v>47667.01</v>
      </c>
      <c r="Z153">
        <v>1376.29</v>
      </c>
      <c r="AA153">
        <v>742.45</v>
      </c>
      <c r="AB153">
        <v>754.68</v>
      </c>
      <c r="AC153">
        <v>0</v>
      </c>
      <c r="AD153">
        <v>98.44</v>
      </c>
      <c r="AE153">
        <v>69</v>
      </c>
      <c r="AF153" s="12" t="s">
        <v>7483</v>
      </c>
      <c r="AG153">
        <v>0</v>
      </c>
      <c r="AH153" s="12" t="s">
        <v>7484</v>
      </c>
    </row>
    <row r="154" spans="1:34" x14ac:dyDescent="0.35">
      <c r="A154">
        <v>153</v>
      </c>
      <c r="B154">
        <v>46</v>
      </c>
      <c r="C154" s="12" t="s">
        <v>519</v>
      </c>
      <c r="D154" s="12" t="s">
        <v>520</v>
      </c>
      <c r="E154" s="12" t="s">
        <v>78</v>
      </c>
      <c r="F154" s="12" t="s">
        <v>65</v>
      </c>
      <c r="G154">
        <v>2</v>
      </c>
      <c r="H154">
        <v>3</v>
      </c>
      <c r="I154">
        <v>0</v>
      </c>
      <c r="J154" s="12" t="s">
        <v>143</v>
      </c>
      <c r="K154" s="12" t="s">
        <v>144</v>
      </c>
      <c r="L154" s="12" t="s">
        <v>96</v>
      </c>
      <c r="M154">
        <v>5.43</v>
      </c>
      <c r="N154" s="12" t="s">
        <v>70</v>
      </c>
      <c r="O154" s="12" t="s">
        <v>71</v>
      </c>
      <c r="P154" s="12" t="s">
        <v>72</v>
      </c>
      <c r="Q154">
        <v>31.7883</v>
      </c>
      <c r="R154">
        <v>28.570399999999999</v>
      </c>
      <c r="S154">
        <v>28.025700000000001</v>
      </c>
      <c r="T154">
        <v>5</v>
      </c>
      <c r="U154">
        <v>4.2530000000000001</v>
      </c>
      <c r="V154">
        <v>85.06</v>
      </c>
      <c r="W154">
        <v>0.54469999999999996</v>
      </c>
      <c r="X154">
        <v>2386</v>
      </c>
      <c r="Y154">
        <v>68573.38</v>
      </c>
      <c r="Z154">
        <v>1299.6500000000001</v>
      </c>
      <c r="AA154">
        <v>833.04</v>
      </c>
      <c r="AB154">
        <v>-85.07</v>
      </c>
      <c r="AC154">
        <v>0</v>
      </c>
      <c r="AD154">
        <v>98.78</v>
      </c>
      <c r="AE154">
        <v>56</v>
      </c>
      <c r="AF154" s="12" t="s">
        <v>7483</v>
      </c>
      <c r="AG154">
        <v>0</v>
      </c>
      <c r="AH154" s="12" t="s">
        <v>7484</v>
      </c>
    </row>
    <row r="155" spans="1:34" x14ac:dyDescent="0.35">
      <c r="A155">
        <v>154</v>
      </c>
      <c r="B155">
        <v>23</v>
      </c>
      <c r="C155" s="12" t="s">
        <v>1108</v>
      </c>
      <c r="D155" s="12" t="s">
        <v>1109</v>
      </c>
      <c r="E155" s="12" t="s">
        <v>103</v>
      </c>
      <c r="F155" s="12" t="s">
        <v>65</v>
      </c>
      <c r="G155">
        <v>3</v>
      </c>
      <c r="H155">
        <v>4</v>
      </c>
      <c r="I155">
        <v>0</v>
      </c>
      <c r="J155" s="12" t="s">
        <v>79</v>
      </c>
      <c r="K155" s="12" t="s">
        <v>80</v>
      </c>
      <c r="L155" s="12" t="s">
        <v>82</v>
      </c>
      <c r="M155">
        <v>12.07</v>
      </c>
      <c r="N155" s="12" t="s">
        <v>107</v>
      </c>
      <c r="O155" s="12" t="s">
        <v>108</v>
      </c>
      <c r="P155" s="12" t="s">
        <v>109</v>
      </c>
      <c r="Q155">
        <v>86.615200000000002</v>
      </c>
      <c r="R155">
        <v>83.939599999999999</v>
      </c>
      <c r="S155">
        <v>82.710999999999999</v>
      </c>
      <c r="T155">
        <v>2</v>
      </c>
      <c r="U155">
        <v>1.365</v>
      </c>
      <c r="V155">
        <v>68.25</v>
      </c>
      <c r="W155">
        <v>1.2285999999999999</v>
      </c>
      <c r="X155">
        <v>995</v>
      </c>
      <c r="Y155">
        <v>84691.73</v>
      </c>
      <c r="Z155">
        <v>1222.46</v>
      </c>
      <c r="AA155">
        <v>854.58</v>
      </c>
      <c r="AB155">
        <v>-345.1</v>
      </c>
      <c r="AC155">
        <v>0</v>
      </c>
      <c r="AD155">
        <v>98.99</v>
      </c>
      <c r="AE155">
        <v>79</v>
      </c>
      <c r="AF155" s="12" t="s">
        <v>7483</v>
      </c>
      <c r="AG155">
        <v>0</v>
      </c>
      <c r="AH155" s="12" t="s">
        <v>7484</v>
      </c>
    </row>
    <row r="156" spans="1:34" x14ac:dyDescent="0.35">
      <c r="A156">
        <v>155</v>
      </c>
      <c r="B156">
        <v>39</v>
      </c>
      <c r="C156" s="12" t="s">
        <v>548</v>
      </c>
      <c r="D156" s="12" t="s">
        <v>549</v>
      </c>
      <c r="E156" s="12" t="s">
        <v>78</v>
      </c>
      <c r="F156" s="12" t="s">
        <v>104</v>
      </c>
      <c r="G156">
        <v>3</v>
      </c>
      <c r="H156">
        <v>1</v>
      </c>
      <c r="I156">
        <v>0</v>
      </c>
      <c r="J156" s="12" t="s">
        <v>199</v>
      </c>
      <c r="K156" s="12" t="s">
        <v>200</v>
      </c>
      <c r="L156" s="12" t="s">
        <v>96</v>
      </c>
      <c r="M156">
        <v>9.4700000000000006</v>
      </c>
      <c r="N156" s="12" t="s">
        <v>97</v>
      </c>
      <c r="O156" s="12" t="s">
        <v>98</v>
      </c>
      <c r="P156" s="12" t="s">
        <v>72</v>
      </c>
      <c r="Q156">
        <v>62.471600000000002</v>
      </c>
      <c r="R156">
        <v>59.1252</v>
      </c>
      <c r="S156">
        <v>56.789900000000003</v>
      </c>
      <c r="T156">
        <v>5</v>
      </c>
      <c r="U156">
        <v>2.9180000000000001</v>
      </c>
      <c r="V156">
        <v>58.36</v>
      </c>
      <c r="W156">
        <v>2.3353000000000002</v>
      </c>
      <c r="X156">
        <v>473</v>
      </c>
      <c r="Y156">
        <v>27966.22</v>
      </c>
      <c r="Z156">
        <v>1104.5999999999999</v>
      </c>
      <c r="AA156">
        <v>591.26</v>
      </c>
      <c r="AB156">
        <v>0</v>
      </c>
      <c r="AC156">
        <v>0</v>
      </c>
      <c r="AD156">
        <v>97.89</v>
      </c>
      <c r="AE156">
        <v>86</v>
      </c>
      <c r="AF156" s="12" t="s">
        <v>7483</v>
      </c>
      <c r="AG156">
        <v>0</v>
      </c>
      <c r="AH156" s="12" t="s">
        <v>7484</v>
      </c>
    </row>
    <row r="157" spans="1:34" x14ac:dyDescent="0.35">
      <c r="A157">
        <v>156</v>
      </c>
      <c r="B157">
        <v>40</v>
      </c>
      <c r="C157" s="12" t="s">
        <v>732</v>
      </c>
      <c r="D157" s="12" t="s">
        <v>733</v>
      </c>
      <c r="E157" s="12" t="s">
        <v>114</v>
      </c>
      <c r="F157" s="12" t="s">
        <v>104</v>
      </c>
      <c r="G157">
        <v>3</v>
      </c>
      <c r="H157">
        <v>1</v>
      </c>
      <c r="I157">
        <v>0</v>
      </c>
      <c r="J157" s="12" t="s">
        <v>251</v>
      </c>
      <c r="K157" s="12" t="s">
        <v>252</v>
      </c>
      <c r="L157" s="12" t="s">
        <v>69</v>
      </c>
      <c r="M157">
        <v>34.49</v>
      </c>
      <c r="N157" s="12" t="s">
        <v>97</v>
      </c>
      <c r="O157" s="12" t="s">
        <v>98</v>
      </c>
      <c r="P157" s="12" t="s">
        <v>72</v>
      </c>
      <c r="Q157">
        <v>314.15269999999998</v>
      </c>
      <c r="R157">
        <v>295.06799999999998</v>
      </c>
      <c r="S157">
        <v>290.4898</v>
      </c>
      <c r="T157">
        <v>3</v>
      </c>
      <c r="U157">
        <v>2.4079999999999999</v>
      </c>
      <c r="V157">
        <v>80.27</v>
      </c>
      <c r="W157">
        <v>4.5781999999999998</v>
      </c>
      <c r="X157">
        <v>241</v>
      </c>
      <c r="Y157">
        <v>71111.39</v>
      </c>
      <c r="Z157">
        <v>1103.3499999999999</v>
      </c>
      <c r="AA157">
        <v>885.21</v>
      </c>
      <c r="AB157">
        <v>0</v>
      </c>
      <c r="AC157">
        <v>0</v>
      </c>
      <c r="AD157">
        <v>98.76</v>
      </c>
      <c r="AE157">
        <v>96</v>
      </c>
      <c r="AF157" s="12" t="s">
        <v>7483</v>
      </c>
      <c r="AG157">
        <v>0</v>
      </c>
      <c r="AH157" s="12" t="s">
        <v>7484</v>
      </c>
    </row>
    <row r="158" spans="1:34" x14ac:dyDescent="0.35">
      <c r="A158">
        <v>157</v>
      </c>
      <c r="B158">
        <v>41</v>
      </c>
      <c r="C158" s="12" t="s">
        <v>85</v>
      </c>
      <c r="D158" s="12" t="s">
        <v>86</v>
      </c>
      <c r="E158" s="12" t="s">
        <v>78</v>
      </c>
      <c r="F158" s="12" t="s">
        <v>65</v>
      </c>
      <c r="G158">
        <v>3</v>
      </c>
      <c r="H158">
        <v>5</v>
      </c>
      <c r="I158">
        <v>0</v>
      </c>
      <c r="J158" s="12" t="s">
        <v>195</v>
      </c>
      <c r="K158" s="12" t="s">
        <v>196</v>
      </c>
      <c r="L158" s="12" t="s">
        <v>134</v>
      </c>
      <c r="M158">
        <v>4.7699999999999996</v>
      </c>
      <c r="N158" s="12" t="s">
        <v>97</v>
      </c>
      <c r="O158" s="12" t="s">
        <v>98</v>
      </c>
      <c r="P158" s="12" t="s">
        <v>72</v>
      </c>
      <c r="Q158">
        <v>147.55000000000001</v>
      </c>
      <c r="R158">
        <v>132.72290000000001</v>
      </c>
      <c r="S158">
        <v>131.1506</v>
      </c>
      <c r="T158">
        <v>5</v>
      </c>
      <c r="U158">
        <v>4.5060000000000002</v>
      </c>
      <c r="V158">
        <v>90.12</v>
      </c>
      <c r="W158">
        <v>1.5723</v>
      </c>
      <c r="X158">
        <v>633</v>
      </c>
      <c r="Y158">
        <v>84013.59</v>
      </c>
      <c r="Z158">
        <v>995.27</v>
      </c>
      <c r="AA158">
        <v>929.06</v>
      </c>
      <c r="AB158">
        <v>0</v>
      </c>
      <c r="AC158">
        <v>0</v>
      </c>
      <c r="AD158">
        <v>98.89</v>
      </c>
      <c r="AE158">
        <v>70</v>
      </c>
      <c r="AF158" s="12" t="s">
        <v>7483</v>
      </c>
      <c r="AG158">
        <v>0</v>
      </c>
      <c r="AH158" s="12" t="s">
        <v>7484</v>
      </c>
    </row>
    <row r="159" spans="1:34" x14ac:dyDescent="0.35">
      <c r="A159">
        <v>158</v>
      </c>
      <c r="B159">
        <v>47</v>
      </c>
      <c r="C159" s="12" t="s">
        <v>809</v>
      </c>
      <c r="D159" s="12" t="s">
        <v>810</v>
      </c>
      <c r="E159" s="12" t="s">
        <v>114</v>
      </c>
      <c r="F159" s="12" t="s">
        <v>65</v>
      </c>
      <c r="G159">
        <v>3</v>
      </c>
      <c r="H159">
        <v>5</v>
      </c>
      <c r="I159">
        <v>0</v>
      </c>
      <c r="J159" s="12" t="s">
        <v>804</v>
      </c>
      <c r="K159" s="12" t="s">
        <v>342</v>
      </c>
      <c r="L159" s="12" t="s">
        <v>69</v>
      </c>
      <c r="M159">
        <v>30.07</v>
      </c>
      <c r="N159" s="12" t="s">
        <v>70</v>
      </c>
      <c r="O159" s="12" t="s">
        <v>71</v>
      </c>
      <c r="P159" s="12" t="s">
        <v>72</v>
      </c>
      <c r="Q159">
        <v>326.9255</v>
      </c>
      <c r="R159">
        <v>302.71480000000003</v>
      </c>
      <c r="S159">
        <v>301.37189999999998</v>
      </c>
      <c r="T159">
        <v>3</v>
      </c>
      <c r="U159">
        <v>2.8380000000000001</v>
      </c>
      <c r="V159">
        <v>94.6</v>
      </c>
      <c r="W159">
        <v>1.3429</v>
      </c>
      <c r="X159">
        <v>726</v>
      </c>
      <c r="Y159">
        <v>223968.49</v>
      </c>
      <c r="Z159">
        <v>974.95</v>
      </c>
      <c r="AA159">
        <v>4007.94</v>
      </c>
      <c r="AB159">
        <v>3250.54</v>
      </c>
      <c r="AC159">
        <v>0</v>
      </c>
      <c r="AD159">
        <v>98.17</v>
      </c>
      <c r="AE159">
        <v>89</v>
      </c>
      <c r="AF159" s="12" t="s">
        <v>7483</v>
      </c>
      <c r="AG159">
        <v>0</v>
      </c>
      <c r="AH159" s="12" t="s">
        <v>7484</v>
      </c>
    </row>
    <row r="160" spans="1:34" x14ac:dyDescent="0.35">
      <c r="A160">
        <v>159</v>
      </c>
      <c r="B160">
        <v>42</v>
      </c>
      <c r="C160" s="12" t="s">
        <v>519</v>
      </c>
      <c r="D160" s="12" t="s">
        <v>520</v>
      </c>
      <c r="E160" s="12" t="s">
        <v>78</v>
      </c>
      <c r="F160" s="12" t="s">
        <v>65</v>
      </c>
      <c r="G160">
        <v>2</v>
      </c>
      <c r="H160">
        <v>3</v>
      </c>
      <c r="I160">
        <v>0</v>
      </c>
      <c r="J160" s="12" t="s">
        <v>66</v>
      </c>
      <c r="K160" s="12" t="s">
        <v>67</v>
      </c>
      <c r="L160" s="12" t="s">
        <v>69</v>
      </c>
      <c r="M160">
        <v>17.66</v>
      </c>
      <c r="N160" s="12" t="s">
        <v>97</v>
      </c>
      <c r="O160" s="12" t="s">
        <v>98</v>
      </c>
      <c r="P160" s="12" t="s">
        <v>72</v>
      </c>
      <c r="Q160">
        <v>31.7883</v>
      </c>
      <c r="R160">
        <v>35.188099999999999</v>
      </c>
      <c r="S160">
        <v>27.6006</v>
      </c>
      <c r="T160">
        <v>5</v>
      </c>
      <c r="U160">
        <v>-3.758</v>
      </c>
      <c r="V160">
        <v>-75.16</v>
      </c>
      <c r="W160">
        <v>7.5875000000000004</v>
      </c>
      <c r="X160">
        <v>109</v>
      </c>
      <c r="Y160">
        <v>3835.5</v>
      </c>
      <c r="Z160">
        <v>827.03</v>
      </c>
      <c r="AA160">
        <v>0</v>
      </c>
      <c r="AC160">
        <v>3835.5</v>
      </c>
      <c r="AE160">
        <v>79</v>
      </c>
      <c r="AF160" s="12" t="s">
        <v>7474</v>
      </c>
      <c r="AG160">
        <v>0</v>
      </c>
      <c r="AH160" s="12" t="s">
        <v>7475</v>
      </c>
    </row>
    <row r="161" spans="1:34" x14ac:dyDescent="0.35">
      <c r="A161">
        <v>160</v>
      </c>
      <c r="B161">
        <v>48</v>
      </c>
      <c r="C161" s="12" t="s">
        <v>163</v>
      </c>
      <c r="D161" s="12" t="s">
        <v>164</v>
      </c>
      <c r="E161" s="12" t="s">
        <v>64</v>
      </c>
      <c r="F161" s="12" t="s">
        <v>104</v>
      </c>
      <c r="G161">
        <v>2</v>
      </c>
      <c r="H161">
        <v>0</v>
      </c>
      <c r="I161">
        <v>0</v>
      </c>
      <c r="J161" s="12" t="s">
        <v>79</v>
      </c>
      <c r="K161" s="12" t="s">
        <v>80</v>
      </c>
      <c r="L161" s="12" t="s">
        <v>82</v>
      </c>
      <c r="M161">
        <v>12.07</v>
      </c>
      <c r="N161" s="12" t="s">
        <v>70</v>
      </c>
      <c r="O161" s="12" t="s">
        <v>71</v>
      </c>
      <c r="P161" s="12" t="s">
        <v>72</v>
      </c>
      <c r="Q161">
        <v>12.8643</v>
      </c>
      <c r="R161">
        <v>10.482900000000001</v>
      </c>
      <c r="S161">
        <v>10.4251</v>
      </c>
      <c r="T161">
        <v>7</v>
      </c>
      <c r="U161">
        <v>6.8230000000000004</v>
      </c>
      <c r="V161">
        <v>97.47</v>
      </c>
      <c r="W161">
        <v>5.7799999999999997E-2</v>
      </c>
      <c r="X161">
        <v>9823</v>
      </c>
      <c r="Y161">
        <v>103402.37</v>
      </c>
      <c r="Z161">
        <v>567.77</v>
      </c>
      <c r="AA161">
        <v>706.13</v>
      </c>
      <c r="AB161">
        <v>-66.709999999999994</v>
      </c>
      <c r="AC161">
        <v>0</v>
      </c>
      <c r="AD161">
        <v>99.15</v>
      </c>
      <c r="AE161">
        <v>72</v>
      </c>
      <c r="AF161" s="12" t="s">
        <v>7483</v>
      </c>
      <c r="AG161">
        <v>0</v>
      </c>
      <c r="AH161" s="12" t="s">
        <v>7484</v>
      </c>
    </row>
    <row r="162" spans="1:34" x14ac:dyDescent="0.35">
      <c r="A162">
        <v>161</v>
      </c>
      <c r="B162">
        <v>13</v>
      </c>
      <c r="C162" s="12" t="s">
        <v>255</v>
      </c>
      <c r="D162" s="12" t="s">
        <v>256</v>
      </c>
      <c r="E162" s="12" t="s">
        <v>103</v>
      </c>
      <c r="F162" s="12" t="s">
        <v>65</v>
      </c>
      <c r="G162">
        <v>2</v>
      </c>
      <c r="H162">
        <v>4</v>
      </c>
      <c r="I162">
        <v>0</v>
      </c>
      <c r="J162" s="12" t="s">
        <v>251</v>
      </c>
      <c r="K162" s="12" t="s">
        <v>252</v>
      </c>
      <c r="L162" s="12" t="s">
        <v>69</v>
      </c>
      <c r="M162">
        <v>34.49</v>
      </c>
      <c r="N162" s="12" t="s">
        <v>145</v>
      </c>
      <c r="O162" s="12" t="s">
        <v>146</v>
      </c>
      <c r="P162" s="12" t="s">
        <v>109</v>
      </c>
      <c r="Q162">
        <v>95.9011</v>
      </c>
      <c r="R162">
        <v>93.480699999999999</v>
      </c>
      <c r="S162">
        <v>90.830200000000005</v>
      </c>
      <c r="T162">
        <v>2</v>
      </c>
      <c r="U162">
        <v>0.94599999999999995</v>
      </c>
      <c r="V162">
        <v>47.3</v>
      </c>
      <c r="W162">
        <v>2.6505000000000001</v>
      </c>
      <c r="X162">
        <v>212</v>
      </c>
      <c r="Y162">
        <v>19817.91</v>
      </c>
      <c r="Z162">
        <v>561.91</v>
      </c>
      <c r="AA162">
        <v>186.96</v>
      </c>
      <c r="AB162">
        <v>0</v>
      </c>
      <c r="AC162">
        <v>0</v>
      </c>
      <c r="AD162">
        <v>99.06</v>
      </c>
      <c r="AE162">
        <v>75</v>
      </c>
      <c r="AF162" s="12" t="s">
        <v>7483</v>
      </c>
      <c r="AG162">
        <v>0</v>
      </c>
      <c r="AH162" s="12" t="s">
        <v>7484</v>
      </c>
    </row>
    <row r="163" spans="1:34" x14ac:dyDescent="0.35">
      <c r="A163">
        <v>162</v>
      </c>
      <c r="B163">
        <v>21</v>
      </c>
      <c r="C163" s="12" t="s">
        <v>490</v>
      </c>
      <c r="D163" s="12" t="s">
        <v>491</v>
      </c>
      <c r="E163" s="12" t="s">
        <v>130</v>
      </c>
      <c r="F163" s="12" t="s">
        <v>104</v>
      </c>
      <c r="G163">
        <v>3</v>
      </c>
      <c r="H163">
        <v>1</v>
      </c>
      <c r="I163">
        <v>0</v>
      </c>
      <c r="J163" s="12" t="s">
        <v>176</v>
      </c>
      <c r="K163" s="12" t="s">
        <v>177</v>
      </c>
      <c r="L163" s="12" t="s">
        <v>134</v>
      </c>
      <c r="M163">
        <v>1.75</v>
      </c>
      <c r="N163" s="12" t="s">
        <v>135</v>
      </c>
      <c r="O163" s="12" t="s">
        <v>136</v>
      </c>
      <c r="P163" s="12" t="s">
        <v>137</v>
      </c>
      <c r="Q163">
        <v>297.19900000000001</v>
      </c>
      <c r="R163">
        <v>237.95959999999999</v>
      </c>
      <c r="S163">
        <v>237.62389999999999</v>
      </c>
      <c r="T163">
        <v>8</v>
      </c>
      <c r="U163">
        <v>7.9509999999999996</v>
      </c>
      <c r="V163">
        <v>99.39</v>
      </c>
      <c r="W163">
        <v>0.3357</v>
      </c>
      <c r="X163">
        <v>1232</v>
      </c>
      <c r="Y163">
        <v>292146.15999999997</v>
      </c>
      <c r="Z163">
        <v>413.64</v>
      </c>
      <c r="AA163">
        <v>2140.02</v>
      </c>
      <c r="AB163">
        <v>1839.06</v>
      </c>
      <c r="AC163">
        <v>0</v>
      </c>
      <c r="AD163">
        <v>99.27</v>
      </c>
      <c r="AE163">
        <v>69</v>
      </c>
      <c r="AF163" s="12" t="s">
        <v>7483</v>
      </c>
      <c r="AG163">
        <v>0</v>
      </c>
      <c r="AH163" s="12" t="s">
        <v>7484</v>
      </c>
    </row>
    <row r="164" spans="1:34" x14ac:dyDescent="0.35">
      <c r="A164">
        <v>163</v>
      </c>
      <c r="B164">
        <v>24</v>
      </c>
      <c r="C164" s="12" t="s">
        <v>339</v>
      </c>
      <c r="D164" s="12" t="s">
        <v>340</v>
      </c>
      <c r="E164" s="12" t="s">
        <v>103</v>
      </c>
      <c r="F164" s="12" t="s">
        <v>142</v>
      </c>
      <c r="G164">
        <v>2</v>
      </c>
      <c r="H164">
        <v>9</v>
      </c>
      <c r="I164">
        <v>0</v>
      </c>
      <c r="J164" s="12" t="s">
        <v>169</v>
      </c>
      <c r="K164" s="12" t="s">
        <v>170</v>
      </c>
      <c r="L164" s="12" t="s">
        <v>134</v>
      </c>
      <c r="M164">
        <v>1.37</v>
      </c>
      <c r="N164" s="12" t="s">
        <v>107</v>
      </c>
      <c r="O164" s="12" t="s">
        <v>108</v>
      </c>
      <c r="P164" s="12" t="s">
        <v>109</v>
      </c>
      <c r="Q164">
        <v>249.9879</v>
      </c>
      <c r="R164">
        <v>236.3116</v>
      </c>
      <c r="S164">
        <v>235.97210000000001</v>
      </c>
      <c r="T164">
        <v>2</v>
      </c>
      <c r="U164">
        <v>1.9510000000000001</v>
      </c>
      <c r="V164">
        <v>97.55</v>
      </c>
      <c r="W164">
        <v>0.33950000000000002</v>
      </c>
      <c r="X164">
        <v>675</v>
      </c>
      <c r="Y164">
        <v>159510.34</v>
      </c>
      <c r="Z164">
        <v>229.16</v>
      </c>
      <c r="AA164">
        <v>945.24</v>
      </c>
      <c r="AB164">
        <v>0</v>
      </c>
      <c r="AC164">
        <v>0</v>
      </c>
      <c r="AD164">
        <v>99.28</v>
      </c>
      <c r="AE164">
        <v>35</v>
      </c>
      <c r="AF164" s="12" t="s">
        <v>7483</v>
      </c>
      <c r="AG164">
        <v>0</v>
      </c>
      <c r="AH164" s="12" t="s">
        <v>7484</v>
      </c>
    </row>
    <row r="165" spans="1:34" x14ac:dyDescent="0.35">
      <c r="A165">
        <v>164</v>
      </c>
      <c r="B165">
        <v>14</v>
      </c>
      <c r="C165" s="12" t="s">
        <v>544</v>
      </c>
      <c r="D165" s="12" t="s">
        <v>545</v>
      </c>
      <c r="E165" s="12" t="s">
        <v>175</v>
      </c>
      <c r="F165" s="12" t="s">
        <v>65</v>
      </c>
      <c r="G165">
        <v>3</v>
      </c>
      <c r="H165">
        <v>5</v>
      </c>
      <c r="I165">
        <v>0</v>
      </c>
      <c r="J165" s="12" t="s">
        <v>359</v>
      </c>
      <c r="K165" s="12" t="s">
        <v>360</v>
      </c>
      <c r="L165" s="12" t="s">
        <v>82</v>
      </c>
      <c r="M165">
        <v>12.65</v>
      </c>
      <c r="N165" s="12" t="s">
        <v>145</v>
      </c>
      <c r="O165" s="12" t="s">
        <v>146</v>
      </c>
      <c r="P165" s="12" t="s">
        <v>109</v>
      </c>
      <c r="Q165">
        <v>155.36940000000001</v>
      </c>
      <c r="R165">
        <v>134.7713</v>
      </c>
      <c r="S165">
        <v>134.255</v>
      </c>
      <c r="T165">
        <v>5.5</v>
      </c>
      <c r="U165">
        <v>5.36</v>
      </c>
      <c r="V165">
        <v>97.45</v>
      </c>
      <c r="W165">
        <v>0.51629999999999998</v>
      </c>
      <c r="X165">
        <v>399</v>
      </c>
      <c r="Y165">
        <v>55159.26</v>
      </c>
      <c r="Z165">
        <v>206</v>
      </c>
      <c r="AA165">
        <v>424.26</v>
      </c>
      <c r="AB165">
        <v>-815.33</v>
      </c>
      <c r="AC165">
        <v>0</v>
      </c>
      <c r="AD165">
        <v>98.99</v>
      </c>
      <c r="AE165">
        <v>79</v>
      </c>
      <c r="AF165" s="12" t="s">
        <v>7483</v>
      </c>
      <c r="AG165">
        <v>0</v>
      </c>
      <c r="AH165" s="12" t="s">
        <v>7484</v>
      </c>
    </row>
    <row r="166" spans="1:34" x14ac:dyDescent="0.35">
      <c r="A166">
        <v>165</v>
      </c>
      <c r="B166">
        <v>15</v>
      </c>
      <c r="C166" s="12" t="s">
        <v>766</v>
      </c>
      <c r="D166" s="12" t="s">
        <v>767</v>
      </c>
      <c r="E166" s="12" t="s">
        <v>175</v>
      </c>
      <c r="F166" s="12" t="s">
        <v>65</v>
      </c>
      <c r="G166">
        <v>3</v>
      </c>
      <c r="H166">
        <v>5</v>
      </c>
      <c r="I166">
        <v>0</v>
      </c>
      <c r="J166" s="12" t="s">
        <v>157</v>
      </c>
      <c r="K166" s="12" t="s">
        <v>158</v>
      </c>
      <c r="L166" s="12" t="s">
        <v>96</v>
      </c>
      <c r="M166">
        <v>4.72</v>
      </c>
      <c r="N166" s="12" t="s">
        <v>145</v>
      </c>
      <c r="O166" s="12" t="s">
        <v>146</v>
      </c>
      <c r="P166" s="12" t="s">
        <v>109</v>
      </c>
      <c r="Q166">
        <v>88.5655</v>
      </c>
      <c r="R166">
        <v>77.425799999999995</v>
      </c>
      <c r="S166">
        <v>77.199200000000005</v>
      </c>
      <c r="T166">
        <v>5.5</v>
      </c>
      <c r="U166">
        <v>5.3849999999999998</v>
      </c>
      <c r="V166">
        <v>97.91</v>
      </c>
      <c r="W166">
        <v>0.2266</v>
      </c>
      <c r="X166">
        <v>475</v>
      </c>
      <c r="Y166">
        <v>37684.18</v>
      </c>
      <c r="Z166">
        <v>107.64</v>
      </c>
      <c r="AA166">
        <v>163.1</v>
      </c>
      <c r="AB166">
        <v>397.54</v>
      </c>
      <c r="AC166">
        <v>0</v>
      </c>
      <c r="AD166">
        <v>99.42</v>
      </c>
      <c r="AE166">
        <v>70</v>
      </c>
      <c r="AF166" s="12" t="s">
        <v>7483</v>
      </c>
      <c r="AG166">
        <v>0</v>
      </c>
      <c r="AH166" s="12" t="s">
        <v>7484</v>
      </c>
    </row>
    <row r="167" spans="1:34" x14ac:dyDescent="0.35">
      <c r="A167">
        <v>166</v>
      </c>
      <c r="B167">
        <v>43</v>
      </c>
      <c r="C167" s="12" t="s">
        <v>732</v>
      </c>
      <c r="D167" s="12" t="s">
        <v>733</v>
      </c>
      <c r="E167" s="12" t="s">
        <v>114</v>
      </c>
      <c r="F167" s="12" t="s">
        <v>104</v>
      </c>
      <c r="G167">
        <v>3</v>
      </c>
      <c r="H167">
        <v>1</v>
      </c>
      <c r="I167">
        <v>0</v>
      </c>
      <c r="J167" s="12" t="s">
        <v>199</v>
      </c>
      <c r="K167" s="12" t="s">
        <v>200</v>
      </c>
      <c r="L167" s="12" t="s">
        <v>96</v>
      </c>
      <c r="M167">
        <v>9.4700000000000006</v>
      </c>
      <c r="N167" s="12" t="s">
        <v>97</v>
      </c>
      <c r="O167" s="12" t="s">
        <v>98</v>
      </c>
      <c r="P167" s="12" t="s">
        <v>72</v>
      </c>
      <c r="Q167">
        <v>314.15269999999998</v>
      </c>
      <c r="R167">
        <v>290.7165</v>
      </c>
      <c r="S167">
        <v>290.54289999999997</v>
      </c>
      <c r="T167">
        <v>3</v>
      </c>
      <c r="U167">
        <v>2.9769999999999999</v>
      </c>
      <c r="V167">
        <v>99.23</v>
      </c>
      <c r="W167">
        <v>0.1736</v>
      </c>
      <c r="X167">
        <v>499</v>
      </c>
      <c r="Y167">
        <v>147169.32999999999</v>
      </c>
      <c r="Z167">
        <v>86.64</v>
      </c>
      <c r="AA167">
        <v>2044.1</v>
      </c>
      <c r="AB167">
        <v>-1148.1500000000001</v>
      </c>
      <c r="AC167">
        <v>0</v>
      </c>
      <c r="AD167">
        <v>98.6</v>
      </c>
      <c r="AE167">
        <v>86</v>
      </c>
      <c r="AF167" s="12" t="s">
        <v>7483</v>
      </c>
      <c r="AG167">
        <v>0</v>
      </c>
      <c r="AH167" s="12" t="s">
        <v>7484</v>
      </c>
    </row>
    <row r="168" spans="1:34" x14ac:dyDescent="0.35">
      <c r="A168">
        <v>167</v>
      </c>
      <c r="B168">
        <v>22</v>
      </c>
      <c r="C168" s="12" t="s">
        <v>941</v>
      </c>
      <c r="D168" s="12" t="s">
        <v>942</v>
      </c>
      <c r="E168" s="12" t="s">
        <v>130</v>
      </c>
      <c r="F168" s="12" t="s">
        <v>104</v>
      </c>
      <c r="G168">
        <v>2</v>
      </c>
      <c r="H168">
        <v>0</v>
      </c>
      <c r="I168">
        <v>0</v>
      </c>
      <c r="J168" s="12" t="s">
        <v>131</v>
      </c>
      <c r="K168" s="12" t="s">
        <v>132</v>
      </c>
      <c r="L168" s="12" t="s">
        <v>134</v>
      </c>
      <c r="M168">
        <v>1.51</v>
      </c>
      <c r="N168" s="12" t="s">
        <v>135</v>
      </c>
      <c r="O168" s="12" t="s">
        <v>136</v>
      </c>
      <c r="P168" s="12" t="s">
        <v>137</v>
      </c>
      <c r="Q168">
        <v>990.29020000000003</v>
      </c>
      <c r="R168">
        <v>699.49869999999999</v>
      </c>
      <c r="S168">
        <v>794.69140000000004</v>
      </c>
      <c r="T168">
        <v>8</v>
      </c>
      <c r="U168">
        <v>12.340999999999999</v>
      </c>
      <c r="V168">
        <v>154.26</v>
      </c>
      <c r="W168">
        <v>-95.192700000000002</v>
      </c>
      <c r="X168">
        <v>970</v>
      </c>
      <c r="Y168">
        <v>748493.18</v>
      </c>
      <c r="Z168">
        <v>0</v>
      </c>
      <c r="AA168">
        <v>55312.42</v>
      </c>
      <c r="AB168">
        <v>-386.04</v>
      </c>
      <c r="AC168">
        <v>0</v>
      </c>
      <c r="AD168">
        <v>91.85</v>
      </c>
      <c r="AE168">
        <v>55</v>
      </c>
      <c r="AF168" s="12" t="s">
        <v>7485</v>
      </c>
      <c r="AG168">
        <v>0</v>
      </c>
      <c r="AH168" s="12" t="s">
        <v>7486</v>
      </c>
    </row>
    <row r="169" spans="1:34" x14ac:dyDescent="0.35">
      <c r="A169">
        <v>168</v>
      </c>
      <c r="B169">
        <v>49</v>
      </c>
      <c r="C169" s="12" t="s">
        <v>565</v>
      </c>
      <c r="D169" s="12" t="s">
        <v>566</v>
      </c>
      <c r="E169" s="12" t="s">
        <v>122</v>
      </c>
      <c r="F169" s="12" t="s">
        <v>104</v>
      </c>
      <c r="G169">
        <v>3</v>
      </c>
      <c r="H169">
        <v>1</v>
      </c>
      <c r="I169">
        <v>0</v>
      </c>
      <c r="J169" s="12" t="s">
        <v>87</v>
      </c>
      <c r="K169" s="12" t="s">
        <v>88</v>
      </c>
      <c r="L169" s="12" t="s">
        <v>69</v>
      </c>
      <c r="M169">
        <v>14.93</v>
      </c>
      <c r="N169" s="12" t="s">
        <v>70</v>
      </c>
      <c r="O169" s="12" t="s">
        <v>71</v>
      </c>
      <c r="P169" s="12" t="s">
        <v>72</v>
      </c>
      <c r="Q169">
        <v>36.6648</v>
      </c>
      <c r="R169">
        <v>32.602800000000002</v>
      </c>
      <c r="S169">
        <v>32.810299999999998</v>
      </c>
      <c r="T169">
        <v>4</v>
      </c>
      <c r="U169">
        <v>4.2229999999999999</v>
      </c>
      <c r="V169">
        <v>105.58</v>
      </c>
      <c r="W169">
        <v>-0.20749999999999999</v>
      </c>
      <c r="X169">
        <v>15621</v>
      </c>
      <c r="Y169">
        <v>518750.69</v>
      </c>
      <c r="Z169">
        <v>0</v>
      </c>
      <c r="AA169">
        <v>3155.59</v>
      </c>
      <c r="AB169">
        <v>-3063.16</v>
      </c>
      <c r="AC169">
        <v>0</v>
      </c>
      <c r="AD169">
        <v>99.24</v>
      </c>
      <c r="AE169">
        <v>86</v>
      </c>
      <c r="AF169" s="12" t="s">
        <v>7483</v>
      </c>
      <c r="AG169">
        <v>0</v>
      </c>
      <c r="AH169" s="12" t="s">
        <v>7484</v>
      </c>
    </row>
    <row r="170" spans="1:34" x14ac:dyDescent="0.35">
      <c r="A170">
        <v>169</v>
      </c>
      <c r="B170">
        <v>23</v>
      </c>
      <c r="C170" s="12" t="s">
        <v>437</v>
      </c>
      <c r="D170" s="12" t="s">
        <v>438</v>
      </c>
      <c r="E170" s="12" t="s">
        <v>269</v>
      </c>
      <c r="F170" s="12" t="s">
        <v>65</v>
      </c>
      <c r="G170">
        <v>2</v>
      </c>
      <c r="H170">
        <v>4</v>
      </c>
      <c r="I170">
        <v>0</v>
      </c>
      <c r="J170" s="12" t="s">
        <v>115</v>
      </c>
      <c r="K170" s="12" t="s">
        <v>116</v>
      </c>
      <c r="L170" s="12" t="s">
        <v>82</v>
      </c>
      <c r="M170">
        <v>17.170000000000002</v>
      </c>
      <c r="N170" s="12" t="s">
        <v>135</v>
      </c>
      <c r="O170" s="12" t="s">
        <v>136</v>
      </c>
      <c r="P170" s="12" t="s">
        <v>137</v>
      </c>
      <c r="Q170">
        <v>496.18430000000001</v>
      </c>
      <c r="R170">
        <v>409.1377</v>
      </c>
      <c r="S170">
        <v>410.82119999999998</v>
      </c>
      <c r="T170">
        <v>6.5</v>
      </c>
      <c r="U170">
        <v>6.6369999999999996</v>
      </c>
      <c r="V170">
        <v>102.11</v>
      </c>
      <c r="W170">
        <v>-1.6835</v>
      </c>
      <c r="X170">
        <v>1207</v>
      </c>
      <c r="Y170">
        <v>490628.94</v>
      </c>
      <c r="Z170">
        <v>0</v>
      </c>
      <c r="AA170">
        <v>3642.13</v>
      </c>
      <c r="AB170">
        <v>-7776.1</v>
      </c>
      <c r="AC170">
        <v>0</v>
      </c>
      <c r="AD170">
        <v>99.16</v>
      </c>
      <c r="AE170">
        <v>75</v>
      </c>
      <c r="AF170" s="12" t="s">
        <v>7483</v>
      </c>
      <c r="AG170">
        <v>0</v>
      </c>
      <c r="AH170" s="12" t="s">
        <v>7484</v>
      </c>
    </row>
    <row r="171" spans="1:34" x14ac:dyDescent="0.35">
      <c r="A171">
        <v>170</v>
      </c>
      <c r="B171">
        <v>24</v>
      </c>
      <c r="C171" s="12" t="s">
        <v>128</v>
      </c>
      <c r="D171" s="12" t="s">
        <v>129</v>
      </c>
      <c r="E171" s="12" t="s">
        <v>130</v>
      </c>
      <c r="F171" s="12" t="s">
        <v>65</v>
      </c>
      <c r="G171">
        <v>3</v>
      </c>
      <c r="H171">
        <v>5</v>
      </c>
      <c r="I171">
        <v>0</v>
      </c>
      <c r="J171" s="12" t="s">
        <v>131</v>
      </c>
      <c r="K171" s="12" t="s">
        <v>132</v>
      </c>
      <c r="L171" s="12" t="s">
        <v>134</v>
      </c>
      <c r="M171">
        <v>1.51</v>
      </c>
      <c r="N171" s="12" t="s">
        <v>135</v>
      </c>
      <c r="O171" s="12" t="s">
        <v>136</v>
      </c>
      <c r="P171" s="12" t="s">
        <v>137</v>
      </c>
      <c r="Q171">
        <v>501.92320000000001</v>
      </c>
      <c r="R171">
        <v>351.10759999999999</v>
      </c>
      <c r="S171">
        <v>394.67320000000001</v>
      </c>
      <c r="T171">
        <v>8</v>
      </c>
      <c r="U171">
        <v>11.657999999999999</v>
      </c>
      <c r="V171">
        <v>145.72999999999999</v>
      </c>
      <c r="W171">
        <v>-43.565600000000003</v>
      </c>
      <c r="X171">
        <v>948</v>
      </c>
      <c r="Y171">
        <v>358229.94</v>
      </c>
      <c r="Z171">
        <v>0</v>
      </c>
      <c r="AA171">
        <v>31436</v>
      </c>
      <c r="AC171">
        <v>358229.94</v>
      </c>
      <c r="AD171">
        <v>91.24</v>
      </c>
      <c r="AE171">
        <v>66</v>
      </c>
      <c r="AF171" s="12" t="s">
        <v>7485</v>
      </c>
      <c r="AG171">
        <v>0</v>
      </c>
      <c r="AH171" s="12" t="s">
        <v>7486</v>
      </c>
    </row>
    <row r="172" spans="1:34" x14ac:dyDescent="0.35">
      <c r="A172">
        <v>171</v>
      </c>
      <c r="B172">
        <v>50</v>
      </c>
      <c r="C172" s="12" t="s">
        <v>1068</v>
      </c>
      <c r="D172" s="12" t="s">
        <v>1069</v>
      </c>
      <c r="E172" s="12" t="s">
        <v>122</v>
      </c>
      <c r="F172" s="12" t="s">
        <v>65</v>
      </c>
      <c r="G172">
        <v>2</v>
      </c>
      <c r="H172">
        <v>2</v>
      </c>
      <c r="I172">
        <v>0</v>
      </c>
      <c r="J172" s="12" t="s">
        <v>79</v>
      </c>
      <c r="K172" s="12" t="s">
        <v>80</v>
      </c>
      <c r="L172" s="12" t="s">
        <v>82</v>
      </c>
      <c r="M172">
        <v>12.07</v>
      </c>
      <c r="N172" s="12" t="s">
        <v>70</v>
      </c>
      <c r="O172" s="12" t="s">
        <v>71</v>
      </c>
      <c r="P172" s="12" t="s">
        <v>72</v>
      </c>
      <c r="Q172">
        <v>28.931100000000001</v>
      </c>
      <c r="R172">
        <v>20.513200000000001</v>
      </c>
      <c r="S172">
        <v>26.075199999999999</v>
      </c>
      <c r="T172">
        <v>4</v>
      </c>
      <c r="U172">
        <v>12.632</v>
      </c>
      <c r="V172">
        <v>315.8</v>
      </c>
      <c r="W172">
        <v>-5.5620000000000003</v>
      </c>
      <c r="X172">
        <v>16885</v>
      </c>
      <c r="Y172">
        <v>350455.91</v>
      </c>
      <c r="Z172">
        <v>0</v>
      </c>
      <c r="AA172">
        <v>2485.34</v>
      </c>
      <c r="AB172">
        <v>-2734.51</v>
      </c>
      <c r="AC172">
        <v>0</v>
      </c>
      <c r="AD172">
        <v>99.29</v>
      </c>
      <c r="AE172">
        <v>72</v>
      </c>
      <c r="AF172" s="12" t="s">
        <v>7483</v>
      </c>
      <c r="AG172">
        <v>0</v>
      </c>
      <c r="AH172" s="12" t="s">
        <v>7484</v>
      </c>
    </row>
    <row r="173" spans="1:34" x14ac:dyDescent="0.35">
      <c r="A173">
        <v>172</v>
      </c>
      <c r="B173">
        <v>16</v>
      </c>
      <c r="C173" s="12" t="s">
        <v>451</v>
      </c>
      <c r="D173" s="12" t="s">
        <v>452</v>
      </c>
      <c r="E173" s="12" t="s">
        <v>175</v>
      </c>
      <c r="F173" s="12" t="s">
        <v>104</v>
      </c>
      <c r="G173">
        <v>3</v>
      </c>
      <c r="H173">
        <v>1</v>
      </c>
      <c r="I173">
        <v>0</v>
      </c>
      <c r="J173" s="12" t="s">
        <v>359</v>
      </c>
      <c r="K173" s="12" t="s">
        <v>360</v>
      </c>
      <c r="L173" s="12" t="s">
        <v>82</v>
      </c>
      <c r="M173">
        <v>12.65</v>
      </c>
      <c r="N173" s="12" t="s">
        <v>145</v>
      </c>
      <c r="O173" s="12" t="s">
        <v>146</v>
      </c>
      <c r="P173" s="12" t="s">
        <v>109</v>
      </c>
      <c r="Q173">
        <v>254.15530000000001</v>
      </c>
      <c r="R173">
        <v>216.9588</v>
      </c>
      <c r="S173">
        <v>217.785</v>
      </c>
      <c r="T173">
        <v>5.5</v>
      </c>
      <c r="U173">
        <v>5.6319999999999997</v>
      </c>
      <c r="V173">
        <v>102.4</v>
      </c>
      <c r="W173">
        <v>-0.82620000000000005</v>
      </c>
      <c r="X173">
        <v>1435</v>
      </c>
      <c r="Y173">
        <v>314555.83</v>
      </c>
      <c r="Z173">
        <v>0</v>
      </c>
      <c r="AA173">
        <v>2200.5100000000002</v>
      </c>
      <c r="AB173">
        <v>661.91</v>
      </c>
      <c r="AC173">
        <v>0</v>
      </c>
      <c r="AD173">
        <v>99.24</v>
      </c>
      <c r="AE173">
        <v>86</v>
      </c>
      <c r="AF173" s="12" t="s">
        <v>7483</v>
      </c>
      <c r="AG173">
        <v>0</v>
      </c>
      <c r="AH173" s="12" t="s">
        <v>7484</v>
      </c>
    </row>
    <row r="174" spans="1:34" x14ac:dyDescent="0.35">
      <c r="A174">
        <v>173</v>
      </c>
      <c r="B174">
        <v>25</v>
      </c>
      <c r="C174" s="12" t="s">
        <v>661</v>
      </c>
      <c r="D174" s="12" t="s">
        <v>662</v>
      </c>
      <c r="E174" s="12" t="s">
        <v>175</v>
      </c>
      <c r="F174" s="12" t="s">
        <v>104</v>
      </c>
      <c r="G174">
        <v>1</v>
      </c>
      <c r="H174">
        <v>0</v>
      </c>
      <c r="I174">
        <v>1</v>
      </c>
      <c r="J174" s="12" t="s">
        <v>183</v>
      </c>
      <c r="K174" s="12" t="s">
        <v>184</v>
      </c>
      <c r="L174" s="12" t="s">
        <v>82</v>
      </c>
      <c r="M174">
        <v>8.6199999999999992</v>
      </c>
      <c r="N174" s="12" t="s">
        <v>107</v>
      </c>
      <c r="O174" s="12" t="s">
        <v>108</v>
      </c>
      <c r="P174" s="12" t="s">
        <v>109</v>
      </c>
      <c r="Q174">
        <v>194.86689999999999</v>
      </c>
      <c r="R174">
        <v>166.30070000000001</v>
      </c>
      <c r="S174">
        <v>167.5771</v>
      </c>
      <c r="T174">
        <v>5.5</v>
      </c>
      <c r="U174">
        <v>5.7709999999999999</v>
      </c>
      <c r="V174">
        <v>104.93</v>
      </c>
      <c r="W174">
        <v>-1.2764</v>
      </c>
      <c r="X174">
        <v>1796</v>
      </c>
      <c r="Y174">
        <v>301950.75</v>
      </c>
      <c r="Z174">
        <v>0</v>
      </c>
      <c r="AA174">
        <v>2702.02</v>
      </c>
      <c r="AB174">
        <v>-200.72</v>
      </c>
      <c r="AC174">
        <v>0</v>
      </c>
      <c r="AD174">
        <v>99.11</v>
      </c>
      <c r="AE174">
        <v>50</v>
      </c>
      <c r="AF174" s="12" t="s">
        <v>7483</v>
      </c>
      <c r="AG174">
        <v>0</v>
      </c>
      <c r="AH174" s="12" t="s">
        <v>7484</v>
      </c>
    </row>
    <row r="175" spans="1:34" x14ac:dyDescent="0.35">
      <c r="A175">
        <v>174</v>
      </c>
      <c r="B175">
        <v>26</v>
      </c>
      <c r="C175" s="12" t="s">
        <v>694</v>
      </c>
      <c r="D175" s="12" t="s">
        <v>695</v>
      </c>
      <c r="E175" s="12" t="s">
        <v>103</v>
      </c>
      <c r="F175" s="12" t="s">
        <v>65</v>
      </c>
      <c r="G175">
        <v>2</v>
      </c>
      <c r="H175">
        <v>3</v>
      </c>
      <c r="I175">
        <v>0</v>
      </c>
      <c r="J175" s="12" t="s">
        <v>263</v>
      </c>
      <c r="K175" s="12" t="s">
        <v>264</v>
      </c>
      <c r="L175" s="12" t="s">
        <v>82</v>
      </c>
      <c r="M175">
        <v>10.210000000000001</v>
      </c>
      <c r="N175" s="12" t="s">
        <v>107</v>
      </c>
      <c r="O175" s="12" t="s">
        <v>108</v>
      </c>
      <c r="P175" s="12" t="s">
        <v>109</v>
      </c>
      <c r="Q175">
        <v>215.60980000000001</v>
      </c>
      <c r="R175">
        <v>203.7877</v>
      </c>
      <c r="S175">
        <v>204.46109999999999</v>
      </c>
      <c r="T175">
        <v>2</v>
      </c>
      <c r="U175">
        <v>2.1230000000000002</v>
      </c>
      <c r="V175">
        <v>106.15</v>
      </c>
      <c r="W175">
        <v>-0.6734</v>
      </c>
      <c r="X175">
        <v>1427</v>
      </c>
      <c r="Y175">
        <v>296432.44</v>
      </c>
      <c r="Z175">
        <v>0</v>
      </c>
      <c r="AA175">
        <v>2069.08</v>
      </c>
      <c r="AB175">
        <v>-60.54</v>
      </c>
      <c r="AC175">
        <v>0</v>
      </c>
      <c r="AD175">
        <v>99.22</v>
      </c>
      <c r="AE175">
        <v>65</v>
      </c>
      <c r="AF175" s="12" t="s">
        <v>7483</v>
      </c>
      <c r="AG175">
        <v>0</v>
      </c>
      <c r="AH175" s="12" t="s">
        <v>7484</v>
      </c>
    </row>
    <row r="176" spans="1:34" x14ac:dyDescent="0.35">
      <c r="A176">
        <v>175</v>
      </c>
      <c r="B176">
        <v>44</v>
      </c>
      <c r="C176" s="12" t="s">
        <v>555</v>
      </c>
      <c r="D176" s="12" t="s">
        <v>556</v>
      </c>
      <c r="E176" s="12" t="s">
        <v>114</v>
      </c>
      <c r="F176" s="12" t="s">
        <v>142</v>
      </c>
      <c r="G176">
        <v>1</v>
      </c>
      <c r="H176">
        <v>6</v>
      </c>
      <c r="I176">
        <v>1</v>
      </c>
      <c r="J176" s="12" t="s">
        <v>151</v>
      </c>
      <c r="K176" s="12" t="s">
        <v>152</v>
      </c>
      <c r="L176" s="12" t="s">
        <v>69</v>
      </c>
      <c r="M176">
        <v>36.479999999999997</v>
      </c>
      <c r="N176" s="12" t="s">
        <v>97</v>
      </c>
      <c r="O176" s="12" t="s">
        <v>98</v>
      </c>
      <c r="P176" s="12" t="s">
        <v>72</v>
      </c>
      <c r="Q176">
        <v>290.42770000000002</v>
      </c>
      <c r="R176">
        <v>265.5249</v>
      </c>
      <c r="S176">
        <v>268.57639999999998</v>
      </c>
      <c r="T176">
        <v>3</v>
      </c>
      <c r="U176">
        <v>3.431</v>
      </c>
      <c r="V176">
        <v>114.37</v>
      </c>
      <c r="W176">
        <v>-3.0514999999999999</v>
      </c>
      <c r="X176">
        <v>848</v>
      </c>
      <c r="Y176">
        <v>225360.51</v>
      </c>
      <c r="Z176">
        <v>0</v>
      </c>
      <c r="AA176">
        <v>3985.04</v>
      </c>
      <c r="AB176">
        <v>-1439.42</v>
      </c>
      <c r="AC176">
        <v>0</v>
      </c>
      <c r="AD176">
        <v>98.23</v>
      </c>
      <c r="AE176">
        <v>46</v>
      </c>
      <c r="AF176" s="12" t="s">
        <v>7483</v>
      </c>
      <c r="AG176">
        <v>0</v>
      </c>
      <c r="AH176" s="12" t="s">
        <v>7484</v>
      </c>
    </row>
    <row r="177" spans="1:34" x14ac:dyDescent="0.35">
      <c r="A177">
        <v>176</v>
      </c>
      <c r="B177">
        <v>25</v>
      </c>
      <c r="C177" s="12" t="s">
        <v>613</v>
      </c>
      <c r="D177" s="12" t="s">
        <v>614</v>
      </c>
      <c r="E177" s="12" t="s">
        <v>130</v>
      </c>
      <c r="F177" s="12" t="s">
        <v>104</v>
      </c>
      <c r="G177">
        <v>3</v>
      </c>
      <c r="H177">
        <v>1</v>
      </c>
      <c r="I177">
        <v>0</v>
      </c>
      <c r="J177" s="12" t="s">
        <v>66</v>
      </c>
      <c r="K177" s="12" t="s">
        <v>67</v>
      </c>
      <c r="L177" s="12" t="s">
        <v>69</v>
      </c>
      <c r="M177">
        <v>17.66</v>
      </c>
      <c r="N177" s="12" t="s">
        <v>135</v>
      </c>
      <c r="O177" s="12" t="s">
        <v>136</v>
      </c>
      <c r="P177" s="12" t="s">
        <v>137</v>
      </c>
      <c r="Q177">
        <v>195.35140000000001</v>
      </c>
      <c r="R177">
        <v>153.92060000000001</v>
      </c>
      <c r="S177">
        <v>155.8409</v>
      </c>
      <c r="T177">
        <v>8</v>
      </c>
      <c r="U177">
        <v>8.4190000000000005</v>
      </c>
      <c r="V177">
        <v>105.24</v>
      </c>
      <c r="W177">
        <v>-1.9202999999999999</v>
      </c>
      <c r="X177">
        <v>1097</v>
      </c>
      <c r="Y177">
        <v>170604.06</v>
      </c>
      <c r="Z177">
        <v>0</v>
      </c>
      <c r="AA177">
        <v>1244.9000000000001</v>
      </c>
      <c r="AB177">
        <v>-1196.52</v>
      </c>
      <c r="AC177">
        <v>0</v>
      </c>
      <c r="AD177">
        <v>99.27</v>
      </c>
      <c r="AE177">
        <v>96</v>
      </c>
      <c r="AF177" s="12" t="s">
        <v>7483</v>
      </c>
      <c r="AG177">
        <v>0</v>
      </c>
      <c r="AH177" s="12" t="s">
        <v>7484</v>
      </c>
    </row>
    <row r="178" spans="1:34" x14ac:dyDescent="0.35">
      <c r="A178">
        <v>177</v>
      </c>
      <c r="B178">
        <v>51</v>
      </c>
      <c r="C178" s="12" t="s">
        <v>149</v>
      </c>
      <c r="D178" s="12" t="s">
        <v>150</v>
      </c>
      <c r="E178" s="12" t="s">
        <v>78</v>
      </c>
      <c r="F178" s="12" t="s">
        <v>65</v>
      </c>
      <c r="G178">
        <v>2</v>
      </c>
      <c r="H178">
        <v>2</v>
      </c>
      <c r="I178">
        <v>0</v>
      </c>
      <c r="J178" s="12" t="s">
        <v>151</v>
      </c>
      <c r="K178" s="12" t="s">
        <v>152</v>
      </c>
      <c r="L178" s="12" t="s">
        <v>69</v>
      </c>
      <c r="M178">
        <v>36.479999999999997</v>
      </c>
      <c r="N178" s="12" t="s">
        <v>70</v>
      </c>
      <c r="O178" s="12" t="s">
        <v>71</v>
      </c>
      <c r="P178" s="12" t="s">
        <v>72</v>
      </c>
      <c r="Q178">
        <v>76.092399999999998</v>
      </c>
      <c r="R178">
        <v>64.948700000000002</v>
      </c>
      <c r="S178">
        <v>65.474400000000003</v>
      </c>
      <c r="T178">
        <v>5</v>
      </c>
      <c r="U178">
        <v>5.2619999999999996</v>
      </c>
      <c r="V178">
        <v>105.24</v>
      </c>
      <c r="W178">
        <v>-0.52569999999999995</v>
      </c>
      <c r="X178">
        <v>2120</v>
      </c>
      <c r="Y178">
        <v>138121.38</v>
      </c>
      <c r="Z178">
        <v>0</v>
      </c>
      <c r="AA178">
        <v>2209.9</v>
      </c>
      <c r="AB178">
        <v>-1660.17</v>
      </c>
      <c r="AC178">
        <v>0</v>
      </c>
      <c r="AD178">
        <v>98.14</v>
      </c>
      <c r="AE178">
        <v>82</v>
      </c>
      <c r="AF178" s="12" t="s">
        <v>7483</v>
      </c>
      <c r="AG178">
        <v>0</v>
      </c>
      <c r="AH178" s="12" t="s">
        <v>7484</v>
      </c>
    </row>
    <row r="179" spans="1:34" x14ac:dyDescent="0.35">
      <c r="A179">
        <v>178</v>
      </c>
      <c r="B179">
        <v>26</v>
      </c>
      <c r="C179" s="12" t="s">
        <v>1134</v>
      </c>
      <c r="D179" s="12" t="s">
        <v>1135</v>
      </c>
      <c r="E179" s="12" t="s">
        <v>269</v>
      </c>
      <c r="F179" s="12" t="s">
        <v>104</v>
      </c>
      <c r="G179">
        <v>2</v>
      </c>
      <c r="H179">
        <v>0</v>
      </c>
      <c r="I179">
        <v>0</v>
      </c>
      <c r="J179" s="12" t="s">
        <v>380</v>
      </c>
      <c r="K179" s="12" t="s">
        <v>381</v>
      </c>
      <c r="L179" s="12" t="s">
        <v>96</v>
      </c>
      <c r="M179">
        <v>10.210000000000001</v>
      </c>
      <c r="N179" s="12" t="s">
        <v>135</v>
      </c>
      <c r="O179" s="12" t="s">
        <v>136</v>
      </c>
      <c r="P179" s="12" t="s">
        <v>137</v>
      </c>
      <c r="Q179">
        <v>107.5608</v>
      </c>
      <c r="R179">
        <v>87.644300000000001</v>
      </c>
      <c r="S179">
        <v>92.341399999999993</v>
      </c>
      <c r="T179">
        <v>6.5</v>
      </c>
      <c r="U179">
        <v>8.6270000000000007</v>
      </c>
      <c r="V179">
        <v>132.72</v>
      </c>
      <c r="W179">
        <v>-4.6970999999999998</v>
      </c>
      <c r="X179">
        <v>752</v>
      </c>
      <c r="Y179">
        <v>73352.479999999996</v>
      </c>
      <c r="Z179">
        <v>0</v>
      </c>
      <c r="AA179">
        <v>672.07</v>
      </c>
      <c r="AB179">
        <v>264.29000000000002</v>
      </c>
      <c r="AC179">
        <v>0</v>
      </c>
      <c r="AD179">
        <v>99.07</v>
      </c>
      <c r="AE179">
        <v>72</v>
      </c>
      <c r="AF179" s="12" t="s">
        <v>7483</v>
      </c>
      <c r="AG179">
        <v>0</v>
      </c>
      <c r="AH179" s="12" t="s">
        <v>7484</v>
      </c>
    </row>
    <row r="180" spans="1:34" x14ac:dyDescent="0.35">
      <c r="A180">
        <v>179</v>
      </c>
      <c r="B180">
        <v>17</v>
      </c>
      <c r="C180" s="12" t="s">
        <v>339</v>
      </c>
      <c r="D180" s="12" t="s">
        <v>340</v>
      </c>
      <c r="E180" s="12" t="s">
        <v>103</v>
      </c>
      <c r="F180" s="12" t="s">
        <v>142</v>
      </c>
      <c r="G180">
        <v>2</v>
      </c>
      <c r="H180">
        <v>9</v>
      </c>
      <c r="I180">
        <v>0</v>
      </c>
      <c r="J180" s="12" t="s">
        <v>341</v>
      </c>
      <c r="K180" s="12" t="s">
        <v>342</v>
      </c>
      <c r="L180" s="12" t="s">
        <v>82</v>
      </c>
      <c r="M180">
        <v>18.36</v>
      </c>
      <c r="N180" s="12" t="s">
        <v>145</v>
      </c>
      <c r="O180" s="12" t="s">
        <v>146</v>
      </c>
      <c r="P180" s="12" t="s">
        <v>109</v>
      </c>
      <c r="Q180">
        <v>249.9879</v>
      </c>
      <c r="R180">
        <v>236.22890000000001</v>
      </c>
      <c r="S180">
        <v>238.4786</v>
      </c>
      <c r="T180">
        <v>2</v>
      </c>
      <c r="U180">
        <v>2.3980000000000001</v>
      </c>
      <c r="V180">
        <v>119.9</v>
      </c>
      <c r="W180">
        <v>-2.2496999999999998</v>
      </c>
      <c r="X180">
        <v>251</v>
      </c>
      <c r="Y180">
        <v>59673.77</v>
      </c>
      <c r="Z180">
        <v>0</v>
      </c>
      <c r="AA180">
        <v>715.48</v>
      </c>
      <c r="AB180">
        <v>0</v>
      </c>
      <c r="AC180">
        <v>0</v>
      </c>
      <c r="AD180">
        <v>98.8</v>
      </c>
      <c r="AE180">
        <v>62</v>
      </c>
      <c r="AF180" s="12" t="s">
        <v>7483</v>
      </c>
      <c r="AG180">
        <v>0</v>
      </c>
      <c r="AH180" s="12" t="s">
        <v>7484</v>
      </c>
    </row>
    <row r="181" spans="1:34" x14ac:dyDescent="0.35">
      <c r="A181">
        <v>180</v>
      </c>
      <c r="B181">
        <v>45</v>
      </c>
      <c r="C181" s="12" t="s">
        <v>837</v>
      </c>
      <c r="D181" s="12" t="s">
        <v>838</v>
      </c>
      <c r="E181" s="12" t="s">
        <v>114</v>
      </c>
      <c r="F181" s="12" t="s">
        <v>104</v>
      </c>
      <c r="G181">
        <v>2</v>
      </c>
      <c r="H181">
        <v>0</v>
      </c>
      <c r="I181">
        <v>0</v>
      </c>
      <c r="J181" s="12" t="s">
        <v>199</v>
      </c>
      <c r="K181" s="12" t="s">
        <v>200</v>
      </c>
      <c r="L181" s="12" t="s">
        <v>96</v>
      </c>
      <c r="M181">
        <v>9.4700000000000006</v>
      </c>
      <c r="N181" s="12" t="s">
        <v>97</v>
      </c>
      <c r="O181" s="12" t="s">
        <v>98</v>
      </c>
      <c r="P181" s="12" t="s">
        <v>72</v>
      </c>
      <c r="Q181">
        <v>72.603499999999997</v>
      </c>
      <c r="R181">
        <v>66.785399999999996</v>
      </c>
      <c r="S181">
        <v>67.034599999999998</v>
      </c>
      <c r="T181">
        <v>3</v>
      </c>
      <c r="U181">
        <v>3.1379999999999999</v>
      </c>
      <c r="V181">
        <v>104.6</v>
      </c>
      <c r="W181">
        <v>-0.2492</v>
      </c>
      <c r="X181">
        <v>852</v>
      </c>
      <c r="Y181">
        <v>57621.64</v>
      </c>
      <c r="Z181">
        <v>0</v>
      </c>
      <c r="AA181">
        <v>814.33</v>
      </c>
      <c r="AB181">
        <v>251.65</v>
      </c>
      <c r="AC181">
        <v>0</v>
      </c>
      <c r="AD181">
        <v>98.59</v>
      </c>
      <c r="AE181">
        <v>72</v>
      </c>
      <c r="AF181" s="12" t="s">
        <v>7483</v>
      </c>
      <c r="AG181">
        <v>0</v>
      </c>
      <c r="AH181" s="12" t="s">
        <v>7484</v>
      </c>
    </row>
    <row r="182" spans="1:34" x14ac:dyDescent="0.35">
      <c r="A182">
        <v>181</v>
      </c>
      <c r="B182">
        <v>16</v>
      </c>
      <c r="C182" s="12" t="s">
        <v>613</v>
      </c>
      <c r="D182" s="12" t="s">
        <v>614</v>
      </c>
      <c r="E182" s="12" t="s">
        <v>130</v>
      </c>
      <c r="F182" s="12" t="s">
        <v>104</v>
      </c>
      <c r="G182">
        <v>3</v>
      </c>
      <c r="H182">
        <v>1</v>
      </c>
      <c r="I182">
        <v>0</v>
      </c>
      <c r="J182" s="12" t="s">
        <v>676</v>
      </c>
      <c r="K182" s="12" t="s">
        <v>677</v>
      </c>
      <c r="L182" s="12" t="s">
        <v>96</v>
      </c>
      <c r="M182">
        <v>3.57</v>
      </c>
      <c r="N182" s="12" t="s">
        <v>159</v>
      </c>
      <c r="O182" s="12" t="s">
        <v>160</v>
      </c>
      <c r="P182" s="12" t="s">
        <v>137</v>
      </c>
      <c r="Q182">
        <v>195.35140000000001</v>
      </c>
      <c r="R182">
        <v>157.54730000000001</v>
      </c>
      <c r="S182">
        <v>158.34270000000001</v>
      </c>
      <c r="T182">
        <v>8</v>
      </c>
      <c r="U182">
        <v>8.1839999999999993</v>
      </c>
      <c r="V182">
        <v>102.3</v>
      </c>
      <c r="W182">
        <v>-0.7954</v>
      </c>
      <c r="X182">
        <v>200</v>
      </c>
      <c r="Y182">
        <v>33971.129999999997</v>
      </c>
      <c r="Z182">
        <v>0</v>
      </c>
      <c r="AA182">
        <v>331.5</v>
      </c>
      <c r="AB182">
        <v>0</v>
      </c>
      <c r="AC182">
        <v>28935.37</v>
      </c>
      <c r="AD182">
        <v>99</v>
      </c>
      <c r="AE182">
        <v>73</v>
      </c>
      <c r="AF182" s="12" t="s">
        <v>7474</v>
      </c>
      <c r="AG182">
        <v>0</v>
      </c>
      <c r="AH182" s="12" t="s">
        <v>7475</v>
      </c>
    </row>
    <row r="183" spans="1:34" x14ac:dyDescent="0.35">
      <c r="A183">
        <v>182</v>
      </c>
      <c r="B183">
        <v>46</v>
      </c>
      <c r="C183" s="12" t="s">
        <v>433</v>
      </c>
      <c r="D183" s="12" t="s">
        <v>434</v>
      </c>
      <c r="E183" s="12" t="s">
        <v>78</v>
      </c>
      <c r="F183" s="12" t="s">
        <v>65</v>
      </c>
      <c r="G183">
        <v>2</v>
      </c>
      <c r="H183">
        <v>4</v>
      </c>
      <c r="I183">
        <v>0</v>
      </c>
      <c r="J183" s="12" t="s">
        <v>243</v>
      </c>
      <c r="K183" s="12" t="s">
        <v>244</v>
      </c>
      <c r="L183" s="12" t="s">
        <v>82</v>
      </c>
      <c r="M183">
        <v>9.2200000000000006</v>
      </c>
      <c r="N183" s="12" t="s">
        <v>97</v>
      </c>
      <c r="O183" s="12" t="s">
        <v>98</v>
      </c>
      <c r="P183" s="12" t="s">
        <v>72</v>
      </c>
      <c r="Q183">
        <v>80.636700000000005</v>
      </c>
      <c r="R183">
        <v>68.537599999999998</v>
      </c>
      <c r="S183">
        <v>70.013800000000003</v>
      </c>
      <c r="T183">
        <v>5</v>
      </c>
      <c r="U183">
        <v>5.7320000000000002</v>
      </c>
      <c r="V183">
        <v>114.64</v>
      </c>
      <c r="W183">
        <v>-1.4762</v>
      </c>
      <c r="X183">
        <v>488</v>
      </c>
      <c r="Y183">
        <v>33446.35</v>
      </c>
      <c r="Z183">
        <v>0</v>
      </c>
      <c r="AA183">
        <v>68.540000000000006</v>
      </c>
      <c r="AB183">
        <v>0</v>
      </c>
      <c r="AC183">
        <v>0</v>
      </c>
      <c r="AD183">
        <v>99.57</v>
      </c>
      <c r="AE183">
        <v>65</v>
      </c>
      <c r="AF183" s="12" t="s">
        <v>7483</v>
      </c>
      <c r="AG183">
        <v>0</v>
      </c>
      <c r="AH183" s="12" t="s">
        <v>7484</v>
      </c>
    </row>
    <row r="184" spans="1:34" x14ac:dyDescent="0.35">
      <c r="A184">
        <v>183</v>
      </c>
      <c r="B184">
        <v>47</v>
      </c>
      <c r="C184" s="12" t="s">
        <v>736</v>
      </c>
      <c r="D184" s="12" t="s">
        <v>737</v>
      </c>
      <c r="E184" s="12" t="s">
        <v>64</v>
      </c>
      <c r="F184" s="12" t="s">
        <v>104</v>
      </c>
      <c r="G184">
        <v>3</v>
      </c>
      <c r="H184">
        <v>1</v>
      </c>
      <c r="I184">
        <v>0</v>
      </c>
      <c r="J184" s="12" t="s">
        <v>115</v>
      </c>
      <c r="K184" s="12" t="s">
        <v>116</v>
      </c>
      <c r="L184" s="12" t="s">
        <v>82</v>
      </c>
      <c r="M184">
        <v>17.170000000000002</v>
      </c>
      <c r="N184" s="12" t="s">
        <v>97</v>
      </c>
      <c r="O184" s="12" t="s">
        <v>98</v>
      </c>
      <c r="P184" s="12" t="s">
        <v>72</v>
      </c>
      <c r="Q184">
        <v>24.950800000000001</v>
      </c>
      <c r="R184">
        <v>21.297499999999999</v>
      </c>
      <c r="S184">
        <v>21.697700000000001</v>
      </c>
      <c r="T184">
        <v>7</v>
      </c>
      <c r="U184">
        <v>7.8959999999999999</v>
      </c>
      <c r="V184">
        <v>112.8</v>
      </c>
      <c r="W184">
        <v>-0.4002</v>
      </c>
      <c r="X184">
        <v>1448</v>
      </c>
      <c r="Y184">
        <v>31594.63</v>
      </c>
      <c r="Z184">
        <v>0</v>
      </c>
      <c r="AA184">
        <v>282.24</v>
      </c>
      <c r="AB184">
        <v>182.25</v>
      </c>
      <c r="AC184">
        <v>0</v>
      </c>
      <c r="AD184">
        <v>99.1</v>
      </c>
      <c r="AE184">
        <v>96</v>
      </c>
      <c r="AF184" s="12" t="s">
        <v>7483</v>
      </c>
      <c r="AG184">
        <v>0</v>
      </c>
      <c r="AH184" s="12" t="s">
        <v>7484</v>
      </c>
    </row>
    <row r="185" spans="1:34" x14ac:dyDescent="0.35">
      <c r="A185">
        <v>184</v>
      </c>
      <c r="B185">
        <v>18</v>
      </c>
      <c r="C185" s="12" t="s">
        <v>503</v>
      </c>
      <c r="D185" s="12" t="s">
        <v>504</v>
      </c>
      <c r="E185" s="12" t="s">
        <v>103</v>
      </c>
      <c r="F185" s="12" t="s">
        <v>104</v>
      </c>
      <c r="G185">
        <v>3</v>
      </c>
      <c r="H185">
        <v>1</v>
      </c>
      <c r="I185">
        <v>0</v>
      </c>
      <c r="J185" s="12" t="s">
        <v>251</v>
      </c>
      <c r="K185" s="12" t="s">
        <v>252</v>
      </c>
      <c r="L185" s="12" t="s">
        <v>69</v>
      </c>
      <c r="M185">
        <v>34.49</v>
      </c>
      <c r="N185" s="12" t="s">
        <v>145</v>
      </c>
      <c r="O185" s="12" t="s">
        <v>146</v>
      </c>
      <c r="P185" s="12" t="s">
        <v>109</v>
      </c>
      <c r="Q185">
        <v>158.00909999999999</v>
      </c>
      <c r="R185">
        <v>149.37700000000001</v>
      </c>
      <c r="S185">
        <v>150.41200000000001</v>
      </c>
      <c r="T185">
        <v>2</v>
      </c>
      <c r="U185">
        <v>2.2770000000000001</v>
      </c>
      <c r="V185">
        <v>113.85</v>
      </c>
      <c r="W185">
        <v>-1.0349999999999999</v>
      </c>
      <c r="X185">
        <v>204</v>
      </c>
      <c r="Y185">
        <v>30472.91</v>
      </c>
      <c r="Z185">
        <v>0</v>
      </c>
      <c r="AA185">
        <v>149.38</v>
      </c>
      <c r="AB185">
        <v>0</v>
      </c>
      <c r="AC185">
        <v>0</v>
      </c>
      <c r="AD185">
        <v>99.51</v>
      </c>
      <c r="AE185">
        <v>96</v>
      </c>
      <c r="AF185" s="12" t="s">
        <v>7483</v>
      </c>
      <c r="AG185">
        <v>0</v>
      </c>
      <c r="AH185" s="12" t="s">
        <v>7484</v>
      </c>
    </row>
    <row r="186" spans="1:34" x14ac:dyDescent="0.35">
      <c r="A186">
        <v>185</v>
      </c>
      <c r="B186">
        <v>19</v>
      </c>
      <c r="C186" s="12" t="s">
        <v>712</v>
      </c>
      <c r="D186" s="12" t="s">
        <v>713</v>
      </c>
      <c r="E186" s="12" t="s">
        <v>103</v>
      </c>
      <c r="F186" s="12" t="s">
        <v>104</v>
      </c>
      <c r="G186">
        <v>2</v>
      </c>
      <c r="H186">
        <v>0</v>
      </c>
      <c r="I186">
        <v>0</v>
      </c>
      <c r="J186" s="12" t="s">
        <v>105</v>
      </c>
      <c r="K186" s="12" t="s">
        <v>106</v>
      </c>
      <c r="L186" s="12" t="s">
        <v>96</v>
      </c>
      <c r="M186">
        <v>5.01</v>
      </c>
      <c r="N186" s="12" t="s">
        <v>145</v>
      </c>
      <c r="O186" s="12" t="s">
        <v>146</v>
      </c>
      <c r="P186" s="12" t="s">
        <v>109</v>
      </c>
      <c r="Q186">
        <v>202.47229999999999</v>
      </c>
      <c r="R186">
        <v>191.297</v>
      </c>
      <c r="S186">
        <v>194.61160000000001</v>
      </c>
      <c r="T186">
        <v>2</v>
      </c>
      <c r="U186">
        <v>2.855</v>
      </c>
      <c r="V186">
        <v>142.75</v>
      </c>
      <c r="W186">
        <v>-3.3146</v>
      </c>
      <c r="X186">
        <v>114</v>
      </c>
      <c r="Y186">
        <v>22214.91</v>
      </c>
      <c r="Z186">
        <v>0</v>
      </c>
      <c r="AA186">
        <v>0</v>
      </c>
      <c r="AB186">
        <v>0</v>
      </c>
      <c r="AC186">
        <v>0</v>
      </c>
      <c r="AD186">
        <v>100</v>
      </c>
      <c r="AE186">
        <v>63</v>
      </c>
      <c r="AF186" s="12" t="s">
        <v>7483</v>
      </c>
      <c r="AG186">
        <v>0</v>
      </c>
      <c r="AH186" s="12" t="s">
        <v>7484</v>
      </c>
    </row>
  </sheetData>
  <phoneticPr fontId="6"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A82C0-231A-4901-99C9-DCDBD7530D55}">
  <dimension ref="A1:V37"/>
  <sheetViews>
    <sheetView workbookViewId="0"/>
  </sheetViews>
  <sheetFormatPr defaultRowHeight="14.5" x14ac:dyDescent="0.35"/>
  <cols>
    <col min="1" max="1" width="10.81640625" bestFit="1" customWidth="1"/>
    <col min="2" max="2" width="27.6328125" bestFit="1" customWidth="1"/>
    <col min="3" max="3" width="13.54296875" bestFit="1" customWidth="1"/>
    <col min="4" max="4" width="12.08984375" bestFit="1" customWidth="1"/>
    <col min="5" max="5" width="23.90625" bestFit="1" customWidth="1"/>
    <col min="6" max="6" width="7.54296875" bestFit="1" customWidth="1"/>
    <col min="7" max="7" width="12.54296875" bestFit="1" customWidth="1"/>
    <col min="8" max="8" width="14.6328125" bestFit="1" customWidth="1"/>
    <col min="9" max="9" width="14.26953125" bestFit="1" customWidth="1"/>
    <col min="10" max="10" width="15.81640625" bestFit="1" customWidth="1"/>
    <col min="11" max="11" width="20.54296875" bestFit="1" customWidth="1"/>
    <col min="12" max="12" width="15.54296875" bestFit="1" customWidth="1"/>
    <col min="13" max="13" width="12.90625" bestFit="1" customWidth="1"/>
    <col min="14" max="14" width="9.08984375" bestFit="1" customWidth="1"/>
    <col min="15" max="15" width="13.6328125" bestFit="1" customWidth="1"/>
    <col min="16" max="16" width="13.81640625" bestFit="1" customWidth="1"/>
    <col min="17" max="17" width="19.7265625" bestFit="1" customWidth="1"/>
    <col min="18" max="18" width="15.36328125" bestFit="1" customWidth="1"/>
    <col min="19" max="19" width="12.26953125" bestFit="1" customWidth="1"/>
    <col min="20" max="20" width="13.6328125" bestFit="1" customWidth="1"/>
    <col min="21" max="21" width="17.26953125" bestFit="1" customWidth="1"/>
    <col min="22" max="22" width="13.26953125" bestFit="1" customWidth="1"/>
  </cols>
  <sheetData>
    <row r="1" spans="1:22" s="3" customFormat="1" x14ac:dyDescent="0.35">
      <c r="A1" s="3" t="s">
        <v>25</v>
      </c>
      <c r="B1" s="3" t="s">
        <v>26</v>
      </c>
      <c r="C1" s="3" t="s">
        <v>27</v>
      </c>
      <c r="D1" s="3" t="s">
        <v>28</v>
      </c>
      <c r="E1" s="3" t="s">
        <v>29</v>
      </c>
      <c r="F1" s="3" t="s">
        <v>7452</v>
      </c>
      <c r="G1" s="3" t="s">
        <v>7454</v>
      </c>
      <c r="H1" s="3" t="s">
        <v>7487</v>
      </c>
      <c r="I1" s="3" t="s">
        <v>7488</v>
      </c>
      <c r="J1" s="3" t="s">
        <v>7489</v>
      </c>
      <c r="K1" s="3" t="s">
        <v>7490</v>
      </c>
      <c r="L1" s="3" t="s">
        <v>7491</v>
      </c>
      <c r="M1" s="3" t="s">
        <v>48</v>
      </c>
      <c r="N1" s="3" t="s">
        <v>7492</v>
      </c>
      <c r="O1" s="3" t="s">
        <v>50</v>
      </c>
      <c r="P1" s="3" t="s">
        <v>51</v>
      </c>
      <c r="Q1" s="3" t="s">
        <v>55</v>
      </c>
      <c r="R1" s="3" t="s">
        <v>57</v>
      </c>
      <c r="S1" s="3" t="s">
        <v>7493</v>
      </c>
      <c r="T1" s="3" t="s">
        <v>7494</v>
      </c>
      <c r="U1" s="3" t="s">
        <v>7495</v>
      </c>
      <c r="V1" s="3" t="s">
        <v>7496</v>
      </c>
    </row>
    <row r="2" spans="1:22" x14ac:dyDescent="0.35">
      <c r="A2" s="12" t="s">
        <v>105</v>
      </c>
      <c r="B2" s="12" t="s">
        <v>106</v>
      </c>
      <c r="C2" s="12" t="s">
        <v>81</v>
      </c>
      <c r="D2" s="12" t="s">
        <v>96</v>
      </c>
      <c r="E2">
        <v>5.01</v>
      </c>
      <c r="F2">
        <v>372</v>
      </c>
      <c r="G2">
        <v>8518594.0399999991</v>
      </c>
      <c r="H2">
        <v>8667678.3300000001</v>
      </c>
      <c r="I2">
        <v>136466.06</v>
      </c>
      <c r="J2">
        <v>12618.23</v>
      </c>
      <c r="K2">
        <v>0.15</v>
      </c>
      <c r="L2">
        <v>87.9</v>
      </c>
      <c r="M2">
        <v>-9184.16</v>
      </c>
      <c r="N2">
        <v>-0.121</v>
      </c>
      <c r="O2">
        <v>86489</v>
      </c>
      <c r="P2">
        <v>85739</v>
      </c>
      <c r="Q2">
        <v>99.13</v>
      </c>
      <c r="R2">
        <v>81655.48</v>
      </c>
      <c r="S2">
        <v>81.11</v>
      </c>
      <c r="T2">
        <v>-7.0000000000000007E-2</v>
      </c>
      <c r="U2">
        <v>104.42</v>
      </c>
      <c r="V2">
        <v>14</v>
      </c>
    </row>
    <row r="3" spans="1:22" x14ac:dyDescent="0.35">
      <c r="A3" s="12" t="s">
        <v>143</v>
      </c>
      <c r="B3" s="12" t="s">
        <v>144</v>
      </c>
      <c r="C3" s="12" t="s">
        <v>133</v>
      </c>
      <c r="D3" s="12" t="s">
        <v>96</v>
      </c>
      <c r="E3">
        <v>5.43</v>
      </c>
      <c r="F3">
        <v>361</v>
      </c>
      <c r="G3">
        <v>8098186.8399999999</v>
      </c>
      <c r="H3">
        <v>8237508.9800000004</v>
      </c>
      <c r="I3">
        <v>128592.2</v>
      </c>
      <c r="J3">
        <v>10729.94</v>
      </c>
      <c r="K3">
        <v>0.13</v>
      </c>
      <c r="L3">
        <v>89.75</v>
      </c>
      <c r="M3">
        <v>-1393.71</v>
      </c>
      <c r="N3">
        <v>-0.02</v>
      </c>
      <c r="O3">
        <v>105140</v>
      </c>
      <c r="P3">
        <v>104303</v>
      </c>
      <c r="Q3">
        <v>99.2</v>
      </c>
      <c r="R3">
        <v>62897.760000000002</v>
      </c>
      <c r="S3">
        <v>81.84</v>
      </c>
      <c r="T3">
        <v>-0.37</v>
      </c>
      <c r="U3">
        <v>101.77</v>
      </c>
      <c r="V3">
        <v>10</v>
      </c>
    </row>
    <row r="4" spans="1:22" x14ac:dyDescent="0.35">
      <c r="A4" s="12" t="s">
        <v>209</v>
      </c>
      <c r="B4" s="12" t="s">
        <v>210</v>
      </c>
      <c r="C4" s="12" t="s">
        <v>133</v>
      </c>
      <c r="D4" s="12" t="s">
        <v>96</v>
      </c>
      <c r="E4">
        <v>7.82</v>
      </c>
      <c r="F4">
        <v>195</v>
      </c>
      <c r="G4">
        <v>7562968.4299999997</v>
      </c>
      <c r="H4">
        <v>7693723.79</v>
      </c>
      <c r="I4">
        <v>121680.33</v>
      </c>
      <c r="J4">
        <v>9075.0300000000007</v>
      </c>
      <c r="K4">
        <v>0.12</v>
      </c>
      <c r="L4">
        <v>79.489999999999995</v>
      </c>
      <c r="M4">
        <v>6426.72</v>
      </c>
      <c r="N4">
        <v>0.1</v>
      </c>
      <c r="O4">
        <v>66734</v>
      </c>
      <c r="P4">
        <v>66156</v>
      </c>
      <c r="Q4">
        <v>99.13</v>
      </c>
      <c r="R4">
        <v>77381.039999999994</v>
      </c>
      <c r="S4">
        <v>77.95</v>
      </c>
      <c r="T4">
        <v>0.09</v>
      </c>
      <c r="U4">
        <v>100.8</v>
      </c>
      <c r="V4">
        <v>11</v>
      </c>
    </row>
    <row r="5" spans="1:22" x14ac:dyDescent="0.35">
      <c r="A5" s="12" t="s">
        <v>310</v>
      </c>
      <c r="B5" s="12" t="s">
        <v>311</v>
      </c>
      <c r="C5" s="12" t="s">
        <v>81</v>
      </c>
      <c r="D5" s="12" t="s">
        <v>69</v>
      </c>
      <c r="E5">
        <v>28.3</v>
      </c>
      <c r="F5">
        <v>212</v>
      </c>
      <c r="G5">
        <v>7188922.5999999996</v>
      </c>
      <c r="H5">
        <v>7309705.9900000002</v>
      </c>
      <c r="I5">
        <v>109181.01</v>
      </c>
      <c r="J5">
        <v>11602.38</v>
      </c>
      <c r="K5">
        <v>0.16</v>
      </c>
      <c r="L5">
        <v>93.87</v>
      </c>
      <c r="M5">
        <v>-17779.36</v>
      </c>
      <c r="N5">
        <v>-0.255</v>
      </c>
      <c r="O5">
        <v>116153</v>
      </c>
      <c r="P5">
        <v>115319</v>
      </c>
      <c r="Q5">
        <v>99.28</v>
      </c>
      <c r="R5">
        <v>56967.13</v>
      </c>
      <c r="S5">
        <v>86.19</v>
      </c>
      <c r="T5">
        <v>-0.71</v>
      </c>
      <c r="U5">
        <v>101.04</v>
      </c>
      <c r="V5">
        <v>6</v>
      </c>
    </row>
    <row r="6" spans="1:22" x14ac:dyDescent="0.35">
      <c r="A6" s="12" t="s">
        <v>94</v>
      </c>
      <c r="B6" s="12" t="s">
        <v>95</v>
      </c>
      <c r="C6" s="12" t="s">
        <v>81</v>
      </c>
      <c r="D6" s="12" t="s">
        <v>96</v>
      </c>
      <c r="E6">
        <v>4.8099999999999996</v>
      </c>
      <c r="F6">
        <v>239</v>
      </c>
      <c r="G6">
        <v>6776342.2000000002</v>
      </c>
      <c r="H6">
        <v>6896297.7000000002</v>
      </c>
      <c r="I6">
        <v>107394.83</v>
      </c>
      <c r="J6">
        <v>12560.67</v>
      </c>
      <c r="K6">
        <v>0.19</v>
      </c>
      <c r="L6">
        <v>83.68</v>
      </c>
      <c r="M6">
        <v>-15136.09</v>
      </c>
      <c r="N6">
        <v>-0.26500000000000001</v>
      </c>
      <c r="O6">
        <v>54272</v>
      </c>
      <c r="P6">
        <v>53810</v>
      </c>
      <c r="Q6">
        <v>99.15</v>
      </c>
      <c r="R6">
        <v>54049.22</v>
      </c>
      <c r="S6">
        <v>84.48</v>
      </c>
      <c r="T6">
        <v>-0.47</v>
      </c>
      <c r="U6">
        <v>104.15</v>
      </c>
      <c r="V6">
        <v>13</v>
      </c>
    </row>
    <row r="7" spans="1:22" x14ac:dyDescent="0.35">
      <c r="A7" s="12" t="s">
        <v>176</v>
      </c>
      <c r="B7" s="12" t="s">
        <v>177</v>
      </c>
      <c r="C7" s="12" t="s">
        <v>125</v>
      </c>
      <c r="D7" s="12" t="s">
        <v>134</v>
      </c>
      <c r="E7">
        <v>1.75</v>
      </c>
      <c r="F7">
        <v>281</v>
      </c>
      <c r="G7">
        <v>6535276.5700000003</v>
      </c>
      <c r="H7">
        <v>6651838</v>
      </c>
      <c r="I7">
        <v>99733.16</v>
      </c>
      <c r="J7">
        <v>16828.27</v>
      </c>
      <c r="K7">
        <v>0.26</v>
      </c>
      <c r="L7">
        <v>80.069999999999993</v>
      </c>
      <c r="M7">
        <v>7827.98</v>
      </c>
      <c r="N7">
        <v>0.15</v>
      </c>
      <c r="O7">
        <v>78025</v>
      </c>
      <c r="P7">
        <v>77365</v>
      </c>
      <c r="Q7">
        <v>99.15</v>
      </c>
      <c r="R7">
        <v>60207.61</v>
      </c>
      <c r="S7">
        <v>84.25</v>
      </c>
      <c r="T7">
        <v>-0.43</v>
      </c>
      <c r="U7">
        <v>101.57</v>
      </c>
      <c r="V7">
        <v>11</v>
      </c>
    </row>
    <row r="8" spans="1:22" x14ac:dyDescent="0.35">
      <c r="A8" s="12" t="s">
        <v>515</v>
      </c>
      <c r="B8" s="12" t="s">
        <v>516</v>
      </c>
      <c r="C8" s="12" t="s">
        <v>68</v>
      </c>
      <c r="D8" s="12" t="s">
        <v>134</v>
      </c>
      <c r="E8">
        <v>3.69</v>
      </c>
      <c r="F8">
        <v>234</v>
      </c>
      <c r="G8">
        <v>5774441.6399999997</v>
      </c>
      <c r="H8">
        <v>5870564.5700000003</v>
      </c>
      <c r="I8">
        <v>91897.81</v>
      </c>
      <c r="J8">
        <v>4225.12</v>
      </c>
      <c r="K8">
        <v>7.0000000000000007E-2</v>
      </c>
      <c r="L8">
        <v>74.790000000000006</v>
      </c>
      <c r="M8">
        <v>-2320.34</v>
      </c>
      <c r="N8">
        <v>-6.3E-2</v>
      </c>
      <c r="O8">
        <v>22364</v>
      </c>
      <c r="P8">
        <v>22147</v>
      </c>
      <c r="Q8">
        <v>99.03</v>
      </c>
      <c r="R8">
        <v>60006.31</v>
      </c>
      <c r="S8">
        <v>82.17</v>
      </c>
      <c r="T8">
        <v>-0.38</v>
      </c>
      <c r="U8">
        <v>102.13</v>
      </c>
      <c r="V8">
        <v>6</v>
      </c>
    </row>
    <row r="9" spans="1:22" x14ac:dyDescent="0.35">
      <c r="A9" s="12" t="s">
        <v>87</v>
      </c>
      <c r="B9" s="12" t="s">
        <v>88</v>
      </c>
      <c r="C9" s="12" t="s">
        <v>89</v>
      </c>
      <c r="D9" s="12" t="s">
        <v>69</v>
      </c>
      <c r="E9">
        <v>14.93</v>
      </c>
      <c r="F9">
        <v>258</v>
      </c>
      <c r="G9">
        <v>5598522.3700000001</v>
      </c>
      <c r="H9">
        <v>5692618.8799999999</v>
      </c>
      <c r="I9">
        <v>89897.64</v>
      </c>
      <c r="J9">
        <v>4198.87</v>
      </c>
      <c r="K9">
        <v>7.0000000000000007E-2</v>
      </c>
      <c r="L9">
        <v>88.76</v>
      </c>
      <c r="M9">
        <v>-12946.31</v>
      </c>
      <c r="N9">
        <v>-0.27800000000000002</v>
      </c>
      <c r="O9">
        <v>99191</v>
      </c>
      <c r="P9">
        <v>98381</v>
      </c>
      <c r="Q9">
        <v>99.18</v>
      </c>
      <c r="R9">
        <v>52890.82</v>
      </c>
      <c r="S9">
        <v>84.27</v>
      </c>
      <c r="T9">
        <v>-0.45</v>
      </c>
      <c r="U9">
        <v>105.59</v>
      </c>
      <c r="V9">
        <v>14</v>
      </c>
    </row>
    <row r="10" spans="1:22" x14ac:dyDescent="0.35">
      <c r="A10" s="12" t="s">
        <v>123</v>
      </c>
      <c r="B10" s="12" t="s">
        <v>124</v>
      </c>
      <c r="C10" s="12" t="s">
        <v>125</v>
      </c>
      <c r="D10" s="12" t="s">
        <v>82</v>
      </c>
      <c r="E10">
        <v>6.75</v>
      </c>
      <c r="F10">
        <v>152</v>
      </c>
      <c r="G10">
        <v>5429746.8700000001</v>
      </c>
      <c r="H10">
        <v>5522761.2300000004</v>
      </c>
      <c r="I10">
        <v>79324.740000000005</v>
      </c>
      <c r="J10">
        <v>13689.62</v>
      </c>
      <c r="K10">
        <v>0.25</v>
      </c>
      <c r="L10">
        <v>85.53</v>
      </c>
      <c r="M10">
        <v>-8787.8799999999992</v>
      </c>
      <c r="N10">
        <v>-0.17299999999999999</v>
      </c>
      <c r="O10">
        <v>58909</v>
      </c>
      <c r="P10">
        <v>58454</v>
      </c>
      <c r="Q10">
        <v>99.23</v>
      </c>
      <c r="R10">
        <v>47208.63</v>
      </c>
      <c r="S10">
        <v>76.430000000000007</v>
      </c>
      <c r="T10">
        <v>0.09</v>
      </c>
      <c r="U10">
        <v>108.5</v>
      </c>
      <c r="V10">
        <v>10</v>
      </c>
    </row>
    <row r="11" spans="1:22" x14ac:dyDescent="0.35">
      <c r="A11" s="12" t="s">
        <v>79</v>
      </c>
      <c r="B11" s="12" t="s">
        <v>80</v>
      </c>
      <c r="C11" s="12" t="s">
        <v>81</v>
      </c>
      <c r="D11" s="12" t="s">
        <v>82</v>
      </c>
      <c r="E11">
        <v>12.07</v>
      </c>
      <c r="F11">
        <v>256</v>
      </c>
      <c r="G11">
        <v>5336318.29</v>
      </c>
      <c r="H11">
        <v>5428913.3600000003</v>
      </c>
      <c r="I11">
        <v>83650.22</v>
      </c>
      <c r="J11">
        <v>8944.85</v>
      </c>
      <c r="K11">
        <v>0.17</v>
      </c>
      <c r="L11">
        <v>98.44</v>
      </c>
      <c r="M11">
        <v>69512.36</v>
      </c>
      <c r="N11">
        <v>1.327</v>
      </c>
      <c r="O11">
        <v>138471</v>
      </c>
      <c r="P11">
        <v>137362</v>
      </c>
      <c r="Q11">
        <v>99.2</v>
      </c>
      <c r="R11">
        <v>41513.03</v>
      </c>
      <c r="S11">
        <v>80.319999999999993</v>
      </c>
      <c r="T11">
        <v>-0.38</v>
      </c>
      <c r="U11">
        <v>104.12</v>
      </c>
      <c r="V11">
        <v>11</v>
      </c>
    </row>
    <row r="12" spans="1:22" x14ac:dyDescent="0.35">
      <c r="A12" s="12" t="s">
        <v>183</v>
      </c>
      <c r="B12" s="12" t="s">
        <v>184</v>
      </c>
      <c r="C12" s="12" t="s">
        <v>133</v>
      </c>
      <c r="D12" s="12" t="s">
        <v>82</v>
      </c>
      <c r="E12">
        <v>8.6199999999999992</v>
      </c>
      <c r="F12">
        <v>315</v>
      </c>
      <c r="G12">
        <v>5082227.67</v>
      </c>
      <c r="H12">
        <v>5165870.47</v>
      </c>
      <c r="I12">
        <v>79399.66</v>
      </c>
      <c r="J12">
        <v>4243.1400000000003</v>
      </c>
      <c r="K12">
        <v>0.08</v>
      </c>
      <c r="L12">
        <v>85.71</v>
      </c>
      <c r="M12">
        <v>43110.9</v>
      </c>
      <c r="N12">
        <v>1.0229999999999999</v>
      </c>
      <c r="O12">
        <v>79009</v>
      </c>
      <c r="P12">
        <v>78362</v>
      </c>
      <c r="Q12">
        <v>99.18</v>
      </c>
      <c r="R12">
        <v>38312.959999999999</v>
      </c>
      <c r="S12">
        <v>79.8</v>
      </c>
      <c r="T12">
        <v>-0.2</v>
      </c>
      <c r="U12">
        <v>105.42</v>
      </c>
      <c r="V12">
        <v>10</v>
      </c>
    </row>
    <row r="13" spans="1:22" x14ac:dyDescent="0.35">
      <c r="A13" s="12" t="s">
        <v>131</v>
      </c>
      <c r="B13" s="12" t="s">
        <v>132</v>
      </c>
      <c r="C13" s="12" t="s">
        <v>133</v>
      </c>
      <c r="D13" s="12" t="s">
        <v>134</v>
      </c>
      <c r="E13">
        <v>1.51</v>
      </c>
      <c r="F13">
        <v>140</v>
      </c>
      <c r="G13">
        <v>4712776.0599999996</v>
      </c>
      <c r="H13">
        <v>4796701.6900000004</v>
      </c>
      <c r="I13">
        <v>76716.78</v>
      </c>
      <c r="J13">
        <v>7208.85</v>
      </c>
      <c r="K13">
        <v>0.15</v>
      </c>
      <c r="L13">
        <v>81.430000000000007</v>
      </c>
      <c r="M13">
        <v>-12377.51</v>
      </c>
      <c r="N13">
        <v>-0.30499999999999999</v>
      </c>
      <c r="O13">
        <v>49172</v>
      </c>
      <c r="P13">
        <v>48352</v>
      </c>
      <c r="Q13">
        <v>98.33</v>
      </c>
      <c r="R13">
        <v>289024.27</v>
      </c>
      <c r="S13">
        <v>83.94</v>
      </c>
      <c r="T13">
        <v>-0.43</v>
      </c>
      <c r="U13">
        <v>100.23</v>
      </c>
      <c r="V13">
        <v>5</v>
      </c>
    </row>
    <row r="14" spans="1:22" x14ac:dyDescent="0.35">
      <c r="A14" s="12" t="s">
        <v>380</v>
      </c>
      <c r="B14" s="12" t="s">
        <v>381</v>
      </c>
      <c r="C14" s="12" t="s">
        <v>89</v>
      </c>
      <c r="D14" s="12" t="s">
        <v>96</v>
      </c>
      <c r="E14">
        <v>10.210000000000001</v>
      </c>
      <c r="F14">
        <v>207</v>
      </c>
      <c r="G14">
        <v>4232747.9400000004</v>
      </c>
      <c r="H14">
        <v>4306439.5599999996</v>
      </c>
      <c r="I14">
        <v>68958.929999999993</v>
      </c>
      <c r="J14">
        <v>4732.6899999999996</v>
      </c>
      <c r="K14">
        <v>0.11</v>
      </c>
      <c r="L14">
        <v>93.24</v>
      </c>
      <c r="M14">
        <v>6970.4</v>
      </c>
      <c r="N14">
        <v>0.17299999999999999</v>
      </c>
      <c r="O14">
        <v>44698</v>
      </c>
      <c r="P14">
        <v>44290</v>
      </c>
      <c r="Q14">
        <v>99.09</v>
      </c>
      <c r="R14">
        <v>37788.82</v>
      </c>
      <c r="S14">
        <v>84.8</v>
      </c>
      <c r="T14">
        <v>-0.5</v>
      </c>
      <c r="U14">
        <v>103.4</v>
      </c>
      <c r="V14">
        <v>9</v>
      </c>
    </row>
    <row r="15" spans="1:22" x14ac:dyDescent="0.35">
      <c r="A15" s="12" t="s">
        <v>263</v>
      </c>
      <c r="B15" s="12" t="s">
        <v>264</v>
      </c>
      <c r="C15" s="12" t="s">
        <v>125</v>
      </c>
      <c r="D15" s="12" t="s">
        <v>82</v>
      </c>
      <c r="E15">
        <v>10.210000000000001</v>
      </c>
      <c r="F15">
        <v>216</v>
      </c>
      <c r="G15">
        <v>4074084.85</v>
      </c>
      <c r="H15">
        <v>4144679.22</v>
      </c>
      <c r="I15">
        <v>64581.760000000002</v>
      </c>
      <c r="J15">
        <v>6012.61</v>
      </c>
      <c r="K15">
        <v>0.15</v>
      </c>
      <c r="L15">
        <v>93.52</v>
      </c>
      <c r="M15">
        <v>2887.51</v>
      </c>
      <c r="N15">
        <v>7.3999999999999996E-2</v>
      </c>
      <c r="O15">
        <v>56308</v>
      </c>
      <c r="P15">
        <v>55818</v>
      </c>
      <c r="Q15">
        <v>99.13</v>
      </c>
      <c r="R15">
        <v>39904.83</v>
      </c>
      <c r="S15">
        <v>78.95</v>
      </c>
      <c r="T15">
        <v>-0.12</v>
      </c>
      <c r="U15">
        <v>101.58</v>
      </c>
      <c r="V15">
        <v>4</v>
      </c>
    </row>
    <row r="16" spans="1:22" x14ac:dyDescent="0.35">
      <c r="A16" s="12" t="s">
        <v>199</v>
      </c>
      <c r="B16" s="12" t="s">
        <v>200</v>
      </c>
      <c r="C16" s="12" t="s">
        <v>68</v>
      </c>
      <c r="D16" s="12" t="s">
        <v>96</v>
      </c>
      <c r="E16">
        <v>9.4700000000000006</v>
      </c>
      <c r="F16">
        <v>230</v>
      </c>
      <c r="G16">
        <v>4072508.87</v>
      </c>
      <c r="H16">
        <v>4144289.31</v>
      </c>
      <c r="I16">
        <v>67695.91</v>
      </c>
      <c r="J16">
        <v>4084.53</v>
      </c>
      <c r="K16">
        <v>0.1</v>
      </c>
      <c r="L16">
        <v>71.3</v>
      </c>
      <c r="M16">
        <v>-5209.18</v>
      </c>
      <c r="N16">
        <v>-0.20799999999999999</v>
      </c>
      <c r="O16">
        <v>34459</v>
      </c>
      <c r="P16">
        <v>34073</v>
      </c>
      <c r="Q16">
        <v>98.88</v>
      </c>
      <c r="R16">
        <v>46617.13</v>
      </c>
      <c r="S16">
        <v>59.64</v>
      </c>
      <c r="T16">
        <v>1.05</v>
      </c>
      <c r="U16">
        <v>103.99</v>
      </c>
      <c r="V16">
        <v>10</v>
      </c>
    </row>
    <row r="17" spans="1:22" x14ac:dyDescent="0.35">
      <c r="A17" s="12" t="s">
        <v>233</v>
      </c>
      <c r="B17" s="12" t="s">
        <v>234</v>
      </c>
      <c r="C17" s="12" t="s">
        <v>125</v>
      </c>
      <c r="D17" s="12" t="s">
        <v>96</v>
      </c>
      <c r="E17">
        <v>3.73</v>
      </c>
      <c r="F17">
        <v>141</v>
      </c>
      <c r="G17">
        <v>3942975.99</v>
      </c>
      <c r="H17">
        <v>3999251.91</v>
      </c>
      <c r="I17">
        <v>50247.94</v>
      </c>
      <c r="J17">
        <v>6027.98</v>
      </c>
      <c r="K17">
        <v>0.15</v>
      </c>
      <c r="L17">
        <v>66.67</v>
      </c>
      <c r="M17">
        <v>544330.66</v>
      </c>
      <c r="N17">
        <v>31.716000000000001</v>
      </c>
      <c r="O17">
        <v>14811</v>
      </c>
      <c r="P17">
        <v>14688</v>
      </c>
      <c r="Q17">
        <v>99.17</v>
      </c>
      <c r="R17">
        <v>37088.25</v>
      </c>
      <c r="S17">
        <v>82.35</v>
      </c>
      <c r="T17">
        <v>-0.14000000000000001</v>
      </c>
      <c r="U17">
        <v>101.98</v>
      </c>
      <c r="V17">
        <v>5</v>
      </c>
    </row>
    <row r="18" spans="1:22" x14ac:dyDescent="0.35">
      <c r="A18" s="12" t="s">
        <v>151</v>
      </c>
      <c r="B18" s="12" t="s">
        <v>152</v>
      </c>
      <c r="C18" s="12" t="s">
        <v>125</v>
      </c>
      <c r="D18" s="12" t="s">
        <v>69</v>
      </c>
      <c r="E18">
        <v>36.479999999999997</v>
      </c>
      <c r="F18">
        <v>176</v>
      </c>
      <c r="G18">
        <v>3860778.97</v>
      </c>
      <c r="H18">
        <v>3928256.83</v>
      </c>
      <c r="I18">
        <v>63464.84</v>
      </c>
      <c r="J18">
        <v>4013.02</v>
      </c>
      <c r="K18">
        <v>0.1</v>
      </c>
      <c r="L18">
        <v>88.07</v>
      </c>
      <c r="M18">
        <v>3165.46</v>
      </c>
      <c r="N18">
        <v>9.2999999999999999E-2</v>
      </c>
      <c r="O18">
        <v>24583</v>
      </c>
      <c r="P18">
        <v>24278</v>
      </c>
      <c r="Q18">
        <v>98.76</v>
      </c>
      <c r="R18">
        <v>47507.28</v>
      </c>
      <c r="S18">
        <v>81.5</v>
      </c>
      <c r="T18">
        <v>-0.39</v>
      </c>
      <c r="U18">
        <v>100.94</v>
      </c>
      <c r="V18">
        <v>7</v>
      </c>
    </row>
    <row r="19" spans="1:22" x14ac:dyDescent="0.35">
      <c r="A19" s="12" t="s">
        <v>676</v>
      </c>
      <c r="B19" s="12" t="s">
        <v>677</v>
      </c>
      <c r="C19" s="12" t="s">
        <v>68</v>
      </c>
      <c r="D19" s="12" t="s">
        <v>96</v>
      </c>
      <c r="E19">
        <v>3.57</v>
      </c>
      <c r="F19">
        <v>117</v>
      </c>
      <c r="G19">
        <v>3849672.24</v>
      </c>
      <c r="H19">
        <v>3920300.1</v>
      </c>
      <c r="I19">
        <v>64220.32</v>
      </c>
      <c r="J19">
        <v>6407.54</v>
      </c>
      <c r="K19">
        <v>0.17</v>
      </c>
      <c r="L19">
        <v>66.67</v>
      </c>
      <c r="M19">
        <v>4782.58</v>
      </c>
      <c r="N19">
        <v>0.16500000000000001</v>
      </c>
      <c r="O19">
        <v>13194</v>
      </c>
      <c r="P19">
        <v>13084</v>
      </c>
      <c r="Q19">
        <v>99.17</v>
      </c>
      <c r="R19">
        <v>31122.44</v>
      </c>
      <c r="S19">
        <v>81.08</v>
      </c>
      <c r="T19">
        <v>-0.06</v>
      </c>
      <c r="U19">
        <v>108.71</v>
      </c>
      <c r="V19">
        <v>6</v>
      </c>
    </row>
    <row r="20" spans="1:22" x14ac:dyDescent="0.35">
      <c r="A20" s="12" t="s">
        <v>195</v>
      </c>
      <c r="B20" s="12" t="s">
        <v>196</v>
      </c>
      <c r="C20" s="12" t="s">
        <v>117</v>
      </c>
      <c r="D20" s="12" t="s">
        <v>134</v>
      </c>
      <c r="E20">
        <v>4.7699999999999996</v>
      </c>
      <c r="F20">
        <v>189</v>
      </c>
      <c r="G20">
        <v>3718821.08</v>
      </c>
      <c r="H20">
        <v>3785468.32</v>
      </c>
      <c r="I20">
        <v>58991.76</v>
      </c>
      <c r="J20">
        <v>7655.48</v>
      </c>
      <c r="K20">
        <v>0.21</v>
      </c>
      <c r="L20">
        <v>93.65</v>
      </c>
      <c r="M20">
        <v>-8655.39</v>
      </c>
      <c r="N20">
        <v>-0.24299999999999999</v>
      </c>
      <c r="O20">
        <v>55174</v>
      </c>
      <c r="P20">
        <v>54653</v>
      </c>
      <c r="Q20">
        <v>99.06</v>
      </c>
      <c r="R20">
        <v>44321.59</v>
      </c>
      <c r="S20">
        <v>83.51</v>
      </c>
      <c r="T20">
        <v>-0.41</v>
      </c>
      <c r="U20">
        <v>101.43</v>
      </c>
      <c r="V20">
        <v>8</v>
      </c>
    </row>
    <row r="21" spans="1:22" x14ac:dyDescent="0.35">
      <c r="A21" s="12" t="s">
        <v>335</v>
      </c>
      <c r="B21" s="12" t="s">
        <v>336</v>
      </c>
      <c r="C21" s="12" t="s">
        <v>89</v>
      </c>
      <c r="D21" s="12" t="s">
        <v>82</v>
      </c>
      <c r="E21">
        <v>16</v>
      </c>
      <c r="F21">
        <v>145</v>
      </c>
      <c r="G21">
        <v>3376414.95</v>
      </c>
      <c r="H21">
        <v>3430391.31</v>
      </c>
      <c r="I21">
        <v>52939.49</v>
      </c>
      <c r="J21">
        <v>1036.8699999999999</v>
      </c>
      <c r="K21">
        <v>0.03</v>
      </c>
      <c r="L21">
        <v>78.62</v>
      </c>
      <c r="M21">
        <v>-14428.8</v>
      </c>
      <c r="N21">
        <v>-0.48699999999999999</v>
      </c>
      <c r="O21">
        <v>16057</v>
      </c>
      <c r="P21">
        <v>15874</v>
      </c>
      <c r="Q21">
        <v>98.86</v>
      </c>
      <c r="R21">
        <v>34364.03</v>
      </c>
      <c r="S21">
        <v>76.92</v>
      </c>
      <c r="T21">
        <v>0.02</v>
      </c>
      <c r="U21">
        <v>101.9</v>
      </c>
      <c r="V21">
        <v>6</v>
      </c>
    </row>
    <row r="22" spans="1:22" x14ac:dyDescent="0.35">
      <c r="A22" s="12" t="s">
        <v>223</v>
      </c>
      <c r="B22" s="12" t="s">
        <v>224</v>
      </c>
      <c r="C22" s="12" t="s">
        <v>81</v>
      </c>
      <c r="D22" s="12" t="s">
        <v>134</v>
      </c>
      <c r="E22">
        <v>2.4900000000000002</v>
      </c>
      <c r="F22">
        <v>106</v>
      </c>
      <c r="G22">
        <v>3168434.02</v>
      </c>
      <c r="H22">
        <v>3225981.21</v>
      </c>
      <c r="I22">
        <v>52163.3</v>
      </c>
      <c r="J22">
        <v>5383.89</v>
      </c>
      <c r="K22">
        <v>0.17</v>
      </c>
      <c r="L22">
        <v>49.06</v>
      </c>
      <c r="M22">
        <v>-3810.35</v>
      </c>
      <c r="N22">
        <v>-0.29099999999999998</v>
      </c>
      <c r="O22">
        <v>14374</v>
      </c>
      <c r="P22">
        <v>14224</v>
      </c>
      <c r="Q22">
        <v>98.96</v>
      </c>
      <c r="R22">
        <v>27294.97</v>
      </c>
      <c r="S22">
        <v>85.29</v>
      </c>
      <c r="T22">
        <v>-0.44</v>
      </c>
      <c r="U22">
        <v>103.08</v>
      </c>
      <c r="V22">
        <v>4</v>
      </c>
    </row>
    <row r="23" spans="1:22" x14ac:dyDescent="0.35">
      <c r="A23" s="12" t="s">
        <v>251</v>
      </c>
      <c r="B23" s="12" t="s">
        <v>252</v>
      </c>
      <c r="C23" s="12" t="s">
        <v>133</v>
      </c>
      <c r="D23" s="12" t="s">
        <v>69</v>
      </c>
      <c r="E23">
        <v>34.49</v>
      </c>
      <c r="F23">
        <v>210</v>
      </c>
      <c r="G23">
        <v>3147306.5</v>
      </c>
      <c r="H23">
        <v>3201525.35</v>
      </c>
      <c r="I23">
        <v>50225.03</v>
      </c>
      <c r="J23">
        <v>3993.82</v>
      </c>
      <c r="K23">
        <v>0.13</v>
      </c>
      <c r="L23">
        <v>97.62</v>
      </c>
      <c r="M23">
        <v>-5049.1499999999996</v>
      </c>
      <c r="N23">
        <v>-0.16800000000000001</v>
      </c>
      <c r="O23">
        <v>60001</v>
      </c>
      <c r="P23">
        <v>59422</v>
      </c>
      <c r="Q23">
        <v>99.04</v>
      </c>
      <c r="R23">
        <v>33523.61</v>
      </c>
      <c r="S23">
        <v>82.13</v>
      </c>
      <c r="T23">
        <v>-0.42</v>
      </c>
      <c r="U23">
        <v>102.94</v>
      </c>
      <c r="V23">
        <v>9</v>
      </c>
    </row>
    <row r="24" spans="1:22" x14ac:dyDescent="0.35">
      <c r="A24" s="12" t="s">
        <v>243</v>
      </c>
      <c r="B24" s="12" t="s">
        <v>244</v>
      </c>
      <c r="C24" s="12" t="s">
        <v>81</v>
      </c>
      <c r="D24" s="12" t="s">
        <v>82</v>
      </c>
      <c r="E24">
        <v>9.2200000000000006</v>
      </c>
      <c r="F24">
        <v>152</v>
      </c>
      <c r="G24">
        <v>3122968.97</v>
      </c>
      <c r="H24">
        <v>3175037.21</v>
      </c>
      <c r="I24">
        <v>49528.44</v>
      </c>
      <c r="J24">
        <v>2539.8000000000002</v>
      </c>
      <c r="K24">
        <v>0.08</v>
      </c>
      <c r="L24">
        <v>58.55</v>
      </c>
      <c r="M24">
        <v>-13622.68</v>
      </c>
      <c r="N24">
        <v>-0.69599999999999995</v>
      </c>
      <c r="O24">
        <v>50553</v>
      </c>
      <c r="P24">
        <v>50129</v>
      </c>
      <c r="Q24">
        <v>99.16</v>
      </c>
      <c r="R24">
        <v>28359.02</v>
      </c>
      <c r="S24">
        <v>86.67</v>
      </c>
      <c r="T24">
        <v>-0.79</v>
      </c>
      <c r="U24">
        <v>104.32</v>
      </c>
      <c r="V24">
        <v>12</v>
      </c>
    </row>
    <row r="25" spans="1:22" x14ac:dyDescent="0.35">
      <c r="A25" s="12" t="s">
        <v>359</v>
      </c>
      <c r="B25" s="12" t="s">
        <v>360</v>
      </c>
      <c r="C25" s="12" t="s">
        <v>133</v>
      </c>
      <c r="D25" s="12" t="s">
        <v>82</v>
      </c>
      <c r="E25">
        <v>12.65</v>
      </c>
      <c r="F25">
        <v>171</v>
      </c>
      <c r="G25">
        <v>2991524.18</v>
      </c>
      <c r="H25">
        <v>3046536.25</v>
      </c>
      <c r="I25">
        <v>48172.3</v>
      </c>
      <c r="J25">
        <v>6839.77</v>
      </c>
      <c r="K25">
        <v>0.23</v>
      </c>
      <c r="L25">
        <v>92.98</v>
      </c>
      <c r="M25">
        <v>-935.67</v>
      </c>
      <c r="N25">
        <v>-3.4000000000000002E-2</v>
      </c>
      <c r="O25">
        <v>18649</v>
      </c>
      <c r="P25">
        <v>18432</v>
      </c>
      <c r="Q25">
        <v>98.84</v>
      </c>
      <c r="R25">
        <v>28958.92</v>
      </c>
      <c r="S25">
        <v>86.75</v>
      </c>
      <c r="T25">
        <v>-0.51</v>
      </c>
      <c r="U25">
        <v>102.72</v>
      </c>
      <c r="V25">
        <v>11</v>
      </c>
    </row>
    <row r="26" spans="1:22" x14ac:dyDescent="0.35">
      <c r="A26" s="12" t="s">
        <v>66</v>
      </c>
      <c r="B26" s="12" t="s">
        <v>67</v>
      </c>
      <c r="C26" s="12" t="s">
        <v>68</v>
      </c>
      <c r="D26" s="12" t="s">
        <v>69</v>
      </c>
      <c r="E26">
        <v>17.66</v>
      </c>
      <c r="F26">
        <v>156</v>
      </c>
      <c r="G26">
        <v>2972739.36</v>
      </c>
      <c r="H26">
        <v>3025101.43</v>
      </c>
      <c r="I26">
        <v>46785.5</v>
      </c>
      <c r="J26">
        <v>5576.57</v>
      </c>
      <c r="K26">
        <v>0.19</v>
      </c>
      <c r="L26">
        <v>53.85</v>
      </c>
      <c r="M26">
        <v>-1926.43</v>
      </c>
      <c r="N26">
        <v>-0.106</v>
      </c>
      <c r="O26">
        <v>37746</v>
      </c>
      <c r="P26">
        <v>37388</v>
      </c>
      <c r="Q26">
        <v>99.05</v>
      </c>
      <c r="R26">
        <v>26321.09</v>
      </c>
      <c r="S26">
        <v>80.260000000000005</v>
      </c>
      <c r="T26">
        <v>-0.18</v>
      </c>
      <c r="U26">
        <v>101.68</v>
      </c>
      <c r="V26">
        <v>8</v>
      </c>
    </row>
    <row r="27" spans="1:22" x14ac:dyDescent="0.35">
      <c r="A27" s="12" t="s">
        <v>227</v>
      </c>
      <c r="B27" s="12" t="s">
        <v>228</v>
      </c>
      <c r="C27" s="12" t="s">
        <v>89</v>
      </c>
      <c r="D27" s="12" t="s">
        <v>96</v>
      </c>
      <c r="E27">
        <v>9.15</v>
      </c>
      <c r="F27">
        <v>164</v>
      </c>
      <c r="G27">
        <v>2846030.62</v>
      </c>
      <c r="H27">
        <v>2892933.4</v>
      </c>
      <c r="I27">
        <v>44090.58</v>
      </c>
      <c r="J27">
        <v>2812.2</v>
      </c>
      <c r="K27">
        <v>0.1</v>
      </c>
      <c r="L27">
        <v>79.27</v>
      </c>
      <c r="M27">
        <v>-146.04</v>
      </c>
      <c r="N27">
        <v>-7.0000000000000001E-3</v>
      </c>
      <c r="O27">
        <v>66614</v>
      </c>
      <c r="P27">
        <v>66061</v>
      </c>
      <c r="Q27">
        <v>99.17</v>
      </c>
      <c r="R27">
        <v>26707.16</v>
      </c>
      <c r="S27">
        <v>88.61</v>
      </c>
      <c r="T27">
        <v>-0.86</v>
      </c>
      <c r="U27">
        <v>104.41</v>
      </c>
      <c r="V27">
        <v>6</v>
      </c>
    </row>
    <row r="28" spans="1:22" x14ac:dyDescent="0.35">
      <c r="A28" s="12" t="s">
        <v>115</v>
      </c>
      <c r="B28" s="12" t="s">
        <v>116</v>
      </c>
      <c r="C28" s="12" t="s">
        <v>117</v>
      </c>
      <c r="D28" s="12" t="s">
        <v>82</v>
      </c>
      <c r="E28">
        <v>17.170000000000002</v>
      </c>
      <c r="F28">
        <v>118</v>
      </c>
      <c r="G28">
        <v>2708008.75</v>
      </c>
      <c r="H28">
        <v>2751817.87</v>
      </c>
      <c r="I28">
        <v>43030.68</v>
      </c>
      <c r="J28">
        <v>778.44</v>
      </c>
      <c r="K28">
        <v>0.03</v>
      </c>
      <c r="L28">
        <v>98.31</v>
      </c>
      <c r="M28">
        <v>1409.87</v>
      </c>
      <c r="N28">
        <v>5.2999999999999999E-2</v>
      </c>
      <c r="O28">
        <v>14361</v>
      </c>
      <c r="P28">
        <v>14217</v>
      </c>
      <c r="Q28">
        <v>99</v>
      </c>
      <c r="R28">
        <v>25979.26</v>
      </c>
      <c r="S28">
        <v>85.09</v>
      </c>
      <c r="T28">
        <v>-0.89</v>
      </c>
      <c r="U28">
        <v>104.45</v>
      </c>
      <c r="V28">
        <v>8</v>
      </c>
    </row>
    <row r="29" spans="1:22" x14ac:dyDescent="0.35">
      <c r="A29" s="12" t="s">
        <v>169</v>
      </c>
      <c r="B29" s="12" t="s">
        <v>170</v>
      </c>
      <c r="C29" s="12" t="s">
        <v>89</v>
      </c>
      <c r="D29" s="12" t="s">
        <v>134</v>
      </c>
      <c r="E29">
        <v>1.37</v>
      </c>
      <c r="F29">
        <v>159</v>
      </c>
      <c r="G29">
        <v>2610446.87</v>
      </c>
      <c r="H29">
        <v>2657279.2000000002</v>
      </c>
      <c r="I29">
        <v>40402.68</v>
      </c>
      <c r="J29">
        <v>6429.65</v>
      </c>
      <c r="K29">
        <v>0.25</v>
      </c>
      <c r="L29">
        <v>94.34</v>
      </c>
      <c r="M29">
        <v>-16194.26</v>
      </c>
      <c r="N29">
        <v>-0.66</v>
      </c>
      <c r="O29">
        <v>52773</v>
      </c>
      <c r="P29">
        <v>52266</v>
      </c>
      <c r="Q29">
        <v>99.04</v>
      </c>
      <c r="R29">
        <v>26356.41</v>
      </c>
      <c r="S29">
        <v>81.94</v>
      </c>
      <c r="T29">
        <v>-0.34</v>
      </c>
      <c r="U29">
        <v>101.86</v>
      </c>
      <c r="V29">
        <v>8</v>
      </c>
    </row>
    <row r="30" spans="1:22" x14ac:dyDescent="0.35">
      <c r="A30" s="12" t="s">
        <v>217</v>
      </c>
      <c r="B30" s="12" t="s">
        <v>218</v>
      </c>
      <c r="C30" s="12" t="s">
        <v>68</v>
      </c>
      <c r="D30" s="12" t="s">
        <v>82</v>
      </c>
      <c r="E30">
        <v>14.24</v>
      </c>
      <c r="F30">
        <v>82</v>
      </c>
      <c r="G30">
        <v>2420352.9500000002</v>
      </c>
      <c r="H30">
        <v>2462493.67</v>
      </c>
      <c r="I30">
        <v>35832.74</v>
      </c>
      <c r="J30">
        <v>6307.98</v>
      </c>
      <c r="K30">
        <v>0.26</v>
      </c>
      <c r="L30">
        <v>100</v>
      </c>
      <c r="M30">
        <v>-2557.98</v>
      </c>
      <c r="N30">
        <v>-0.106</v>
      </c>
      <c r="O30">
        <v>80473</v>
      </c>
      <c r="P30">
        <v>79935</v>
      </c>
      <c r="Q30">
        <v>99.33</v>
      </c>
      <c r="R30">
        <v>16227.01</v>
      </c>
      <c r="S30">
        <v>86.08</v>
      </c>
      <c r="T30">
        <v>-0.43</v>
      </c>
      <c r="U30">
        <v>100.03</v>
      </c>
      <c r="V30">
        <v>2</v>
      </c>
    </row>
    <row r="31" spans="1:22" x14ac:dyDescent="0.35">
      <c r="A31" s="12" t="s">
        <v>157</v>
      </c>
      <c r="B31" s="12" t="s">
        <v>158</v>
      </c>
      <c r="C31" s="12" t="s">
        <v>117</v>
      </c>
      <c r="D31" s="12" t="s">
        <v>96</v>
      </c>
      <c r="E31">
        <v>4.72</v>
      </c>
      <c r="F31">
        <v>179</v>
      </c>
      <c r="G31">
        <v>1932201.82</v>
      </c>
      <c r="H31">
        <v>1966895.57</v>
      </c>
      <c r="I31">
        <v>30679.759999999998</v>
      </c>
      <c r="J31">
        <v>4013.99</v>
      </c>
      <c r="K31">
        <v>0.21</v>
      </c>
      <c r="L31">
        <v>72.63</v>
      </c>
      <c r="M31">
        <v>-1177.92</v>
      </c>
      <c r="N31">
        <v>-8.8999999999999996E-2</v>
      </c>
      <c r="O31">
        <v>36618</v>
      </c>
      <c r="P31">
        <v>36263</v>
      </c>
      <c r="Q31">
        <v>99.03</v>
      </c>
      <c r="R31">
        <v>19397.22</v>
      </c>
      <c r="S31">
        <v>84.75</v>
      </c>
      <c r="T31">
        <v>-0.54</v>
      </c>
      <c r="U31">
        <v>101.71</v>
      </c>
      <c r="V31">
        <v>7</v>
      </c>
    </row>
    <row r="32" spans="1:22" x14ac:dyDescent="0.35">
      <c r="A32" s="12" t="s">
        <v>804</v>
      </c>
      <c r="B32" s="12" t="s">
        <v>342</v>
      </c>
      <c r="C32" s="12" t="s">
        <v>117</v>
      </c>
      <c r="D32" s="12" t="s">
        <v>69</v>
      </c>
      <c r="E32">
        <v>30.07</v>
      </c>
      <c r="F32">
        <v>63</v>
      </c>
      <c r="G32">
        <v>1503596.69</v>
      </c>
      <c r="H32">
        <v>1530135.64</v>
      </c>
      <c r="I32">
        <v>22463.67</v>
      </c>
      <c r="J32">
        <v>4075.28</v>
      </c>
      <c r="K32">
        <v>0.27</v>
      </c>
      <c r="L32">
        <v>76.19</v>
      </c>
      <c r="M32">
        <v>-7354.92</v>
      </c>
      <c r="N32">
        <v>-0.69399999999999995</v>
      </c>
      <c r="O32">
        <v>4369</v>
      </c>
      <c r="P32">
        <v>4304</v>
      </c>
      <c r="Q32">
        <v>98.51</v>
      </c>
      <c r="R32">
        <v>21548.240000000002</v>
      </c>
      <c r="S32">
        <v>85</v>
      </c>
      <c r="T32">
        <v>-0.47</v>
      </c>
      <c r="U32">
        <v>109.71</v>
      </c>
      <c r="V32">
        <v>3</v>
      </c>
    </row>
    <row r="33" spans="1:22" x14ac:dyDescent="0.35">
      <c r="A33" s="12" t="s">
        <v>341</v>
      </c>
      <c r="B33" s="12" t="s">
        <v>342</v>
      </c>
      <c r="C33" s="12" t="s">
        <v>117</v>
      </c>
      <c r="D33" s="12" t="s">
        <v>82</v>
      </c>
      <c r="E33">
        <v>18.36</v>
      </c>
      <c r="F33">
        <v>91</v>
      </c>
      <c r="G33">
        <v>1469457.03</v>
      </c>
      <c r="H33">
        <v>1494955.82</v>
      </c>
      <c r="I33">
        <v>24121.89</v>
      </c>
      <c r="J33">
        <v>1376.9</v>
      </c>
      <c r="K33">
        <v>0.09</v>
      </c>
      <c r="L33">
        <v>100</v>
      </c>
      <c r="M33">
        <v>-5539.56</v>
      </c>
      <c r="N33">
        <v>-0.376</v>
      </c>
      <c r="O33">
        <v>10323</v>
      </c>
      <c r="P33">
        <v>10199</v>
      </c>
      <c r="Q33">
        <v>98.8</v>
      </c>
      <c r="R33">
        <v>16471.86</v>
      </c>
      <c r="S33">
        <v>78.650000000000006</v>
      </c>
      <c r="T33">
        <v>-0.06</v>
      </c>
      <c r="U33">
        <v>100.07</v>
      </c>
      <c r="V33">
        <v>5</v>
      </c>
    </row>
    <row r="34" spans="1:22" x14ac:dyDescent="0.35">
      <c r="A34" s="12" t="s">
        <v>486</v>
      </c>
      <c r="B34" s="12" t="s">
        <v>487</v>
      </c>
      <c r="C34" s="12" t="s">
        <v>125</v>
      </c>
      <c r="D34" s="12" t="s">
        <v>69</v>
      </c>
      <c r="E34">
        <v>36.86</v>
      </c>
      <c r="F34">
        <v>112</v>
      </c>
      <c r="G34">
        <v>1445470.41</v>
      </c>
      <c r="H34">
        <v>1470446.51</v>
      </c>
      <c r="I34">
        <v>22484.99</v>
      </c>
      <c r="J34">
        <v>2491.11</v>
      </c>
      <c r="K34">
        <v>0.17</v>
      </c>
      <c r="L34">
        <v>90.18</v>
      </c>
      <c r="M34">
        <v>-314.83</v>
      </c>
      <c r="N34">
        <v>-2.4E-2</v>
      </c>
      <c r="O34">
        <v>62798</v>
      </c>
      <c r="P34">
        <v>62321</v>
      </c>
      <c r="Q34">
        <v>99.24</v>
      </c>
      <c r="R34">
        <v>10359.57</v>
      </c>
      <c r="S34">
        <v>86.11</v>
      </c>
      <c r="T34">
        <v>-0.52</v>
      </c>
      <c r="U34">
        <v>101.74</v>
      </c>
      <c r="V34">
        <v>3</v>
      </c>
    </row>
    <row r="35" spans="1:22" x14ac:dyDescent="0.35">
      <c r="A35" s="12" t="s">
        <v>275</v>
      </c>
      <c r="B35" s="12" t="s">
        <v>276</v>
      </c>
      <c r="C35" s="12" t="s">
        <v>89</v>
      </c>
      <c r="D35" s="12" t="s">
        <v>82</v>
      </c>
      <c r="E35">
        <v>14.26</v>
      </c>
      <c r="F35">
        <v>59</v>
      </c>
      <c r="G35">
        <v>971234.04</v>
      </c>
      <c r="H35">
        <v>989114.17</v>
      </c>
      <c r="I35">
        <v>15051.98</v>
      </c>
      <c r="J35">
        <v>2828.15</v>
      </c>
      <c r="K35">
        <v>0.28999999999999998</v>
      </c>
      <c r="L35">
        <v>83.05</v>
      </c>
      <c r="M35">
        <v>-6021.54</v>
      </c>
      <c r="N35">
        <v>-0.89900000000000002</v>
      </c>
      <c r="O35">
        <v>5972</v>
      </c>
      <c r="P35">
        <v>5918</v>
      </c>
      <c r="Q35">
        <v>99.1</v>
      </c>
      <c r="R35">
        <v>8851.33</v>
      </c>
      <c r="S35">
        <v>84.48</v>
      </c>
      <c r="T35">
        <v>-0.48</v>
      </c>
      <c r="U35">
        <v>102.99</v>
      </c>
      <c r="V35">
        <v>5</v>
      </c>
    </row>
    <row r="36" spans="1:22" x14ac:dyDescent="0.35">
      <c r="A36" s="12" t="s">
        <v>811</v>
      </c>
      <c r="B36" s="12" t="s">
        <v>812</v>
      </c>
      <c r="C36" s="12" t="s">
        <v>117</v>
      </c>
      <c r="D36" s="12" t="s">
        <v>69</v>
      </c>
      <c r="E36">
        <v>26.4</v>
      </c>
      <c r="F36">
        <v>21</v>
      </c>
      <c r="G36">
        <v>670517.98</v>
      </c>
      <c r="H36">
        <v>685365.66</v>
      </c>
      <c r="I36">
        <v>12279.41</v>
      </c>
      <c r="J36">
        <v>2568.27</v>
      </c>
      <c r="K36">
        <v>0.38</v>
      </c>
      <c r="L36">
        <v>90.48</v>
      </c>
      <c r="M36">
        <v>888.86</v>
      </c>
      <c r="N36">
        <v>0.23799999999999999</v>
      </c>
      <c r="O36">
        <v>1764</v>
      </c>
      <c r="P36">
        <v>1738</v>
      </c>
      <c r="Q36">
        <v>98.53</v>
      </c>
      <c r="R36">
        <v>9800.57</v>
      </c>
      <c r="S36">
        <v>80.95</v>
      </c>
      <c r="T36">
        <v>0.43</v>
      </c>
      <c r="U36">
        <v>102.51</v>
      </c>
      <c r="V36">
        <v>3</v>
      </c>
    </row>
    <row r="37" spans="1:22" x14ac:dyDescent="0.35">
      <c r="A37" s="12" t="s">
        <v>604</v>
      </c>
      <c r="B37" s="12" t="s">
        <v>605</v>
      </c>
      <c r="C37" s="12" t="s">
        <v>68</v>
      </c>
      <c r="D37" s="12" t="s">
        <v>82</v>
      </c>
      <c r="E37">
        <v>7.24</v>
      </c>
      <c r="F37">
        <v>22</v>
      </c>
      <c r="G37">
        <v>591810.44999999995</v>
      </c>
      <c r="H37">
        <v>601906.5</v>
      </c>
      <c r="I37">
        <v>10096.049999999999</v>
      </c>
      <c r="J37">
        <v>0</v>
      </c>
      <c r="K37">
        <v>0</v>
      </c>
      <c r="L37">
        <v>100</v>
      </c>
      <c r="M37">
        <v>-2515.09</v>
      </c>
      <c r="N37">
        <v>-0.42299999999999999</v>
      </c>
      <c r="O37">
        <v>10687</v>
      </c>
      <c r="P37">
        <v>10610</v>
      </c>
      <c r="Q37">
        <v>99.28</v>
      </c>
      <c r="R37">
        <v>4183.17</v>
      </c>
      <c r="S37">
        <v>100</v>
      </c>
      <c r="T37">
        <v>-1.43</v>
      </c>
      <c r="U37">
        <v>104.39</v>
      </c>
      <c r="V37">
        <v>2</v>
      </c>
    </row>
  </sheetData>
  <phoneticPr fontId="6"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7A776-F704-4D1A-AED1-122CDF1F29C6}">
  <dimension ref="A1:O26"/>
  <sheetViews>
    <sheetView workbookViewId="0"/>
  </sheetViews>
  <sheetFormatPr defaultRowHeight="14.5" x14ac:dyDescent="0.35"/>
  <cols>
    <col min="1" max="1" width="10.90625" bestFit="1" customWidth="1"/>
    <col min="2" max="2" width="7.54296875" bestFit="1" customWidth="1"/>
    <col min="3" max="3" width="12.54296875" bestFit="1" customWidth="1"/>
    <col min="4" max="4" width="14.6328125" bestFit="1" customWidth="1"/>
    <col min="5" max="5" width="12.90625" bestFit="1" customWidth="1"/>
    <col min="6" max="6" width="9.08984375" bestFit="1" customWidth="1"/>
    <col min="7" max="7" width="18.81640625" bestFit="1" customWidth="1"/>
    <col min="8" max="8" width="19.7265625" bestFit="1" customWidth="1"/>
    <col min="9" max="9" width="15.36328125" bestFit="1" customWidth="1"/>
    <col min="10" max="10" width="19.26953125" bestFit="1" customWidth="1"/>
    <col min="11" max="11" width="18.54296875" bestFit="1" customWidth="1"/>
    <col min="12" max="12" width="18.81640625" bestFit="1" customWidth="1"/>
    <col min="13" max="13" width="19.453125" bestFit="1" customWidth="1"/>
    <col min="14" max="14" width="22.36328125" bestFit="1" customWidth="1"/>
    <col min="15" max="15" width="20.7265625" bestFit="1" customWidth="1"/>
  </cols>
  <sheetData>
    <row r="1" spans="1:15" s="3" customFormat="1" x14ac:dyDescent="0.35">
      <c r="A1" s="3" t="s">
        <v>7497</v>
      </c>
      <c r="B1" s="3" t="s">
        <v>7452</v>
      </c>
      <c r="C1" s="3" t="s">
        <v>7454</v>
      </c>
      <c r="D1" s="3" t="s">
        <v>7487</v>
      </c>
      <c r="E1" s="3" t="s">
        <v>48</v>
      </c>
      <c r="F1" s="3" t="s">
        <v>7492</v>
      </c>
      <c r="G1" s="3" t="s">
        <v>7498</v>
      </c>
      <c r="H1" s="3" t="s">
        <v>55</v>
      </c>
      <c r="I1" s="3" t="s">
        <v>57</v>
      </c>
      <c r="J1" s="3" t="s">
        <v>7499</v>
      </c>
      <c r="K1" s="3" t="s">
        <v>7500</v>
      </c>
      <c r="L1" s="3" t="s">
        <v>7463</v>
      </c>
      <c r="M1" s="3" t="s">
        <v>7501</v>
      </c>
      <c r="N1" s="3" t="s">
        <v>7502</v>
      </c>
      <c r="O1" s="3" t="s">
        <v>7503</v>
      </c>
    </row>
    <row r="2" spans="1:15" x14ac:dyDescent="0.35">
      <c r="A2" s="13">
        <v>45291</v>
      </c>
      <c r="B2">
        <v>1810</v>
      </c>
      <c r="C2">
        <v>41646332.420000002</v>
      </c>
      <c r="D2">
        <v>42337932.82</v>
      </c>
      <c r="E2">
        <v>561942.44999999995</v>
      </c>
      <c r="F2">
        <v>1.4319999999999999</v>
      </c>
      <c r="G2">
        <v>4.45</v>
      </c>
      <c r="H2">
        <v>99.11</v>
      </c>
      <c r="I2">
        <v>450925.69</v>
      </c>
      <c r="J2">
        <v>82.33</v>
      </c>
      <c r="K2">
        <v>0.12</v>
      </c>
      <c r="N2">
        <v>27.44</v>
      </c>
      <c r="O2">
        <v>26.35</v>
      </c>
    </row>
    <row r="3" spans="1:15" x14ac:dyDescent="0.35">
      <c r="A3" s="13">
        <v>45322</v>
      </c>
      <c r="B3">
        <v>1994</v>
      </c>
      <c r="C3">
        <v>46234144.030000001</v>
      </c>
      <c r="D3">
        <v>47002316.969999999</v>
      </c>
      <c r="E3">
        <v>570962.80000000005</v>
      </c>
      <c r="F3">
        <v>1.3089999999999999</v>
      </c>
      <c r="G3">
        <v>4.43</v>
      </c>
      <c r="H3">
        <v>99.11</v>
      </c>
      <c r="I3">
        <v>482674.39</v>
      </c>
      <c r="J3">
        <v>82.59</v>
      </c>
      <c r="K3">
        <v>0.11</v>
      </c>
      <c r="N3">
        <v>27.83</v>
      </c>
      <c r="O3">
        <v>26.9</v>
      </c>
    </row>
    <row r="4" spans="1:15" x14ac:dyDescent="0.35">
      <c r="A4" s="13">
        <v>45351</v>
      </c>
      <c r="B4">
        <v>2100</v>
      </c>
      <c r="C4">
        <v>49220360.299999997</v>
      </c>
      <c r="D4">
        <v>50033502.82</v>
      </c>
      <c r="E4">
        <v>564328.21</v>
      </c>
      <c r="F4">
        <v>1.2170000000000001</v>
      </c>
      <c r="G4">
        <v>4.6100000000000003</v>
      </c>
      <c r="H4">
        <v>99.12</v>
      </c>
      <c r="I4">
        <v>501499.13</v>
      </c>
      <c r="J4">
        <v>82.47</v>
      </c>
      <c r="K4">
        <v>0.1</v>
      </c>
      <c r="N4">
        <v>27.29</v>
      </c>
      <c r="O4">
        <v>26.8</v>
      </c>
    </row>
    <row r="5" spans="1:15" x14ac:dyDescent="0.35">
      <c r="A5" s="13">
        <v>45382</v>
      </c>
      <c r="B5">
        <v>2183</v>
      </c>
      <c r="C5">
        <v>50823893.880000003</v>
      </c>
      <c r="D5">
        <v>51664640.229999997</v>
      </c>
      <c r="E5">
        <v>559219.63</v>
      </c>
      <c r="F5">
        <v>1.169</v>
      </c>
      <c r="G5">
        <v>4.74</v>
      </c>
      <c r="H5">
        <v>99.12</v>
      </c>
      <c r="I5">
        <v>534934.31999999995</v>
      </c>
      <c r="J5">
        <v>82.8</v>
      </c>
      <c r="K5">
        <v>0.1</v>
      </c>
      <c r="N5">
        <v>27.94</v>
      </c>
      <c r="O5">
        <v>27.54</v>
      </c>
    </row>
    <row r="6" spans="1:15" x14ac:dyDescent="0.35">
      <c r="A6" s="13">
        <v>45412</v>
      </c>
      <c r="B6">
        <v>2239</v>
      </c>
      <c r="C6">
        <v>52811929.240000002</v>
      </c>
      <c r="D6">
        <v>53691273.710000001</v>
      </c>
      <c r="E6">
        <v>563988.06999999995</v>
      </c>
      <c r="F6">
        <v>1.147</v>
      </c>
      <c r="G6">
        <v>5.8</v>
      </c>
      <c r="H6">
        <v>99.13</v>
      </c>
      <c r="I6">
        <v>545090.06999999995</v>
      </c>
      <c r="J6">
        <v>82.6</v>
      </c>
      <c r="K6">
        <v>0.11</v>
      </c>
      <c r="N6">
        <v>28</v>
      </c>
      <c r="O6">
        <v>28.58</v>
      </c>
    </row>
    <row r="7" spans="1:15" x14ac:dyDescent="0.35">
      <c r="A7" s="13">
        <v>45443</v>
      </c>
      <c r="B7">
        <v>2258</v>
      </c>
      <c r="C7">
        <v>53449853.75</v>
      </c>
      <c r="D7">
        <v>54338219.420000002</v>
      </c>
      <c r="E7">
        <v>635464.9</v>
      </c>
      <c r="F7">
        <v>1.2949999999999999</v>
      </c>
      <c r="G7">
        <v>7.04</v>
      </c>
      <c r="H7">
        <v>99.12</v>
      </c>
      <c r="I7">
        <v>544091.93999999994</v>
      </c>
      <c r="J7">
        <v>82.79</v>
      </c>
      <c r="K7">
        <v>0.12</v>
      </c>
      <c r="N7">
        <v>28.26</v>
      </c>
      <c r="O7">
        <v>29.19</v>
      </c>
    </row>
    <row r="8" spans="1:15" x14ac:dyDescent="0.35">
      <c r="A8" s="13">
        <v>45473</v>
      </c>
      <c r="B8">
        <v>2275</v>
      </c>
      <c r="C8">
        <v>53681543.25</v>
      </c>
      <c r="D8">
        <v>54574737.329999998</v>
      </c>
      <c r="E8">
        <v>612728.37</v>
      </c>
      <c r="F8">
        <v>1.2629999999999999</v>
      </c>
      <c r="G8">
        <v>8.49</v>
      </c>
      <c r="H8">
        <v>99.13</v>
      </c>
      <c r="I8">
        <v>538311.63</v>
      </c>
      <c r="J8">
        <v>83.35</v>
      </c>
      <c r="K8">
        <v>0.12</v>
      </c>
      <c r="L8">
        <v>59.29</v>
      </c>
      <c r="M8">
        <v>55427.99</v>
      </c>
      <c r="N8">
        <v>29.39</v>
      </c>
      <c r="O8">
        <v>29.4</v>
      </c>
    </row>
    <row r="9" spans="1:15" x14ac:dyDescent="0.35">
      <c r="A9" s="13">
        <v>45504</v>
      </c>
      <c r="B9">
        <v>2310</v>
      </c>
      <c r="C9">
        <v>54308377.659999996</v>
      </c>
      <c r="D9">
        <v>55210880.68</v>
      </c>
      <c r="E9">
        <v>548473.17000000004</v>
      </c>
      <c r="F9">
        <v>1.1379999999999999</v>
      </c>
      <c r="G9">
        <v>10.210000000000001</v>
      </c>
      <c r="H9">
        <v>99.12</v>
      </c>
      <c r="I9">
        <v>548844.4</v>
      </c>
      <c r="J9">
        <v>82.76</v>
      </c>
      <c r="K9">
        <v>0.12</v>
      </c>
      <c r="L9">
        <v>36.4</v>
      </c>
      <c r="M9">
        <v>506152.98</v>
      </c>
      <c r="N9">
        <v>29.07</v>
      </c>
      <c r="O9">
        <v>29.96</v>
      </c>
    </row>
    <row r="10" spans="1:15" x14ac:dyDescent="0.35">
      <c r="A10" s="13">
        <v>45535</v>
      </c>
      <c r="B10">
        <v>2293</v>
      </c>
      <c r="C10">
        <v>53962818.130000003</v>
      </c>
      <c r="D10">
        <v>54864353.539999999</v>
      </c>
      <c r="E10">
        <v>563027.86</v>
      </c>
      <c r="F10">
        <v>1.1859999999999999</v>
      </c>
      <c r="G10">
        <v>11</v>
      </c>
      <c r="H10">
        <v>99.13</v>
      </c>
      <c r="I10">
        <v>556883.24</v>
      </c>
      <c r="J10">
        <v>83.02</v>
      </c>
      <c r="K10">
        <v>0.12</v>
      </c>
      <c r="L10">
        <v>29.51</v>
      </c>
      <c r="M10">
        <v>1102547.1399999999</v>
      </c>
      <c r="N10">
        <v>29.29</v>
      </c>
      <c r="O10">
        <v>29.48</v>
      </c>
    </row>
    <row r="11" spans="1:15" x14ac:dyDescent="0.35">
      <c r="A11" s="13">
        <v>45565</v>
      </c>
      <c r="B11">
        <v>2297</v>
      </c>
      <c r="C11">
        <v>53802949.399999999</v>
      </c>
      <c r="D11">
        <v>54701797.909999996</v>
      </c>
      <c r="E11">
        <v>566039.77</v>
      </c>
      <c r="F11">
        <v>1.218</v>
      </c>
      <c r="G11">
        <v>12.58</v>
      </c>
      <c r="H11">
        <v>99.13</v>
      </c>
      <c r="I11">
        <v>555612.93999999994</v>
      </c>
      <c r="J11">
        <v>83.11</v>
      </c>
      <c r="K11">
        <v>0.11</v>
      </c>
      <c r="L11">
        <v>21.32</v>
      </c>
      <c r="M11">
        <v>1799231.45</v>
      </c>
      <c r="N11">
        <v>28.84</v>
      </c>
      <c r="O11">
        <v>29.19</v>
      </c>
    </row>
    <row r="12" spans="1:15" x14ac:dyDescent="0.35">
      <c r="A12" s="13">
        <v>45596</v>
      </c>
      <c r="B12">
        <v>2302</v>
      </c>
      <c r="C12">
        <v>53850267.780000001</v>
      </c>
      <c r="D12">
        <v>54748816.969999999</v>
      </c>
      <c r="E12">
        <v>562007.47</v>
      </c>
      <c r="F12">
        <v>1.222</v>
      </c>
      <c r="G12">
        <v>13.56</v>
      </c>
      <c r="H12">
        <v>99.14</v>
      </c>
      <c r="I12">
        <v>537885.31999999995</v>
      </c>
      <c r="J12">
        <v>83.34</v>
      </c>
      <c r="K12">
        <v>0.11</v>
      </c>
      <c r="L12">
        <v>26.93</v>
      </c>
      <c r="M12">
        <v>2379894.87</v>
      </c>
      <c r="N12">
        <v>28.53</v>
      </c>
      <c r="O12">
        <v>28.76</v>
      </c>
    </row>
    <row r="13" spans="1:15" x14ac:dyDescent="0.35">
      <c r="A13" s="13">
        <v>45626</v>
      </c>
      <c r="B13">
        <v>2276</v>
      </c>
      <c r="C13">
        <v>52413078.259999998</v>
      </c>
      <c r="D13">
        <v>53295615.079999998</v>
      </c>
      <c r="E13">
        <v>8142.13</v>
      </c>
      <c r="F13">
        <v>1.7999999999999999E-2</v>
      </c>
      <c r="G13">
        <v>15.24</v>
      </c>
      <c r="H13">
        <v>99.14</v>
      </c>
      <c r="I13">
        <v>515463.67999999999</v>
      </c>
      <c r="J13">
        <v>83.37</v>
      </c>
      <c r="K13">
        <v>0.11</v>
      </c>
      <c r="L13">
        <v>24.7</v>
      </c>
      <c r="M13">
        <v>2551942.5499999998</v>
      </c>
      <c r="N13">
        <v>27.13</v>
      </c>
      <c r="O13">
        <v>28.13</v>
      </c>
    </row>
    <row r="14" spans="1:15" x14ac:dyDescent="0.35">
      <c r="A14" s="13">
        <v>45657</v>
      </c>
      <c r="B14">
        <v>2308</v>
      </c>
      <c r="C14">
        <v>52804699.350000001</v>
      </c>
      <c r="D14">
        <v>53698346.710000001</v>
      </c>
      <c r="E14">
        <v>22303.7</v>
      </c>
      <c r="F14">
        <v>5.0999999999999997E-2</v>
      </c>
      <c r="G14">
        <v>16.39</v>
      </c>
      <c r="H14">
        <v>99.14</v>
      </c>
      <c r="I14">
        <v>540904.95999999996</v>
      </c>
      <c r="J14">
        <v>82.94</v>
      </c>
      <c r="K14">
        <v>0.12</v>
      </c>
      <c r="L14">
        <v>24.71</v>
      </c>
      <c r="M14">
        <v>2789069.02</v>
      </c>
      <c r="N14">
        <v>27.73</v>
      </c>
      <c r="O14">
        <v>27.71</v>
      </c>
    </row>
    <row r="15" spans="1:15" x14ac:dyDescent="0.35">
      <c r="A15" s="13">
        <v>45688</v>
      </c>
      <c r="B15">
        <v>2292</v>
      </c>
      <c r="C15">
        <v>52179971.399999999</v>
      </c>
      <c r="D15">
        <v>53064076.390000001</v>
      </c>
      <c r="E15">
        <v>5082.12</v>
      </c>
      <c r="F15">
        <v>1.2E-2</v>
      </c>
      <c r="G15">
        <v>17.809999999999999</v>
      </c>
      <c r="H15">
        <v>99.12</v>
      </c>
      <c r="I15">
        <v>535052.61</v>
      </c>
      <c r="J15">
        <v>82.9</v>
      </c>
      <c r="K15">
        <v>0.13</v>
      </c>
      <c r="L15">
        <v>26.07</v>
      </c>
      <c r="M15">
        <v>2912186.65</v>
      </c>
      <c r="N15">
        <v>27.1</v>
      </c>
      <c r="O15">
        <v>26.86</v>
      </c>
    </row>
    <row r="16" spans="1:15" x14ac:dyDescent="0.35">
      <c r="A16" s="13">
        <v>45716</v>
      </c>
      <c r="B16">
        <v>2308</v>
      </c>
      <c r="C16">
        <v>52304756.420000002</v>
      </c>
      <c r="D16">
        <v>53197451.740000002</v>
      </c>
      <c r="E16">
        <v>12696.29</v>
      </c>
      <c r="F16">
        <v>0.03</v>
      </c>
      <c r="G16">
        <v>18.66</v>
      </c>
      <c r="H16">
        <v>99.12</v>
      </c>
      <c r="I16">
        <v>522363.03</v>
      </c>
      <c r="J16">
        <v>82.45</v>
      </c>
      <c r="K16">
        <v>0.13</v>
      </c>
      <c r="L16">
        <v>24.76</v>
      </c>
      <c r="M16">
        <v>3058721.86</v>
      </c>
      <c r="N16">
        <v>27.66</v>
      </c>
      <c r="O16">
        <v>27.42</v>
      </c>
    </row>
    <row r="17" spans="1:15" x14ac:dyDescent="0.35">
      <c r="A17" s="13">
        <v>45747</v>
      </c>
      <c r="B17">
        <v>2283</v>
      </c>
      <c r="C17">
        <v>51466078.960000001</v>
      </c>
      <c r="D17">
        <v>52348111.369999997</v>
      </c>
      <c r="E17">
        <v>18201.11</v>
      </c>
      <c r="F17">
        <v>4.3999999999999997E-2</v>
      </c>
      <c r="G17">
        <v>20.2</v>
      </c>
      <c r="H17">
        <v>99.11</v>
      </c>
      <c r="I17">
        <v>554092.57999999996</v>
      </c>
      <c r="J17">
        <v>82.07</v>
      </c>
      <c r="K17">
        <v>0.13</v>
      </c>
      <c r="L17">
        <v>25.93</v>
      </c>
      <c r="M17">
        <v>3096866.62</v>
      </c>
      <c r="N17">
        <v>28.42</v>
      </c>
      <c r="O17">
        <v>27.56</v>
      </c>
    </row>
    <row r="18" spans="1:15" x14ac:dyDescent="0.35">
      <c r="A18" s="13">
        <v>45777</v>
      </c>
      <c r="B18">
        <v>2269</v>
      </c>
      <c r="C18">
        <v>51054360.359999999</v>
      </c>
      <c r="D18">
        <v>51933441.149999999</v>
      </c>
      <c r="E18">
        <v>15239.54</v>
      </c>
      <c r="F18">
        <v>3.7999999999999999E-2</v>
      </c>
      <c r="G18">
        <v>20.56</v>
      </c>
      <c r="H18">
        <v>99.11</v>
      </c>
      <c r="I18">
        <v>536361.69999999995</v>
      </c>
      <c r="J18">
        <v>81.430000000000007</v>
      </c>
      <c r="K18">
        <v>0.13</v>
      </c>
      <c r="L18">
        <v>29.02</v>
      </c>
      <c r="M18">
        <v>3149501.48</v>
      </c>
      <c r="N18">
        <v>28.23</v>
      </c>
      <c r="O18">
        <v>26.91</v>
      </c>
    </row>
    <row r="19" spans="1:15" x14ac:dyDescent="0.35">
      <c r="A19" s="13">
        <v>45808</v>
      </c>
      <c r="B19">
        <v>2261</v>
      </c>
      <c r="C19">
        <v>50857148.840000004</v>
      </c>
      <c r="D19">
        <v>51736173</v>
      </c>
      <c r="E19">
        <v>-53719.28</v>
      </c>
      <c r="F19">
        <v>-0.13400000000000001</v>
      </c>
      <c r="G19">
        <v>21.42</v>
      </c>
      <c r="H19">
        <v>99.11</v>
      </c>
      <c r="I19">
        <v>525642.99</v>
      </c>
      <c r="J19">
        <v>81.31</v>
      </c>
      <c r="K19">
        <v>0.12</v>
      </c>
      <c r="L19">
        <v>27.6</v>
      </c>
      <c r="M19">
        <v>3259250.58</v>
      </c>
      <c r="N19">
        <v>27.93</v>
      </c>
      <c r="O19">
        <v>27.5</v>
      </c>
    </row>
    <row r="20" spans="1:15" x14ac:dyDescent="0.35">
      <c r="A20" s="13">
        <v>45838</v>
      </c>
      <c r="B20">
        <v>2260</v>
      </c>
      <c r="C20">
        <v>50311337.020000003</v>
      </c>
      <c r="D20">
        <v>51189354.100000001</v>
      </c>
      <c r="E20">
        <v>-47788.800000000003</v>
      </c>
      <c r="F20">
        <v>-0.122</v>
      </c>
      <c r="G20">
        <v>22.47</v>
      </c>
      <c r="H20">
        <v>99.11</v>
      </c>
      <c r="I20">
        <v>532654.29</v>
      </c>
      <c r="J20">
        <v>81.239999999999995</v>
      </c>
      <c r="K20">
        <v>0.14000000000000001</v>
      </c>
      <c r="L20">
        <v>27.76</v>
      </c>
      <c r="M20">
        <v>3361931.31</v>
      </c>
      <c r="N20">
        <v>26.68</v>
      </c>
      <c r="O20">
        <v>26.98</v>
      </c>
    </row>
    <row r="21" spans="1:15" x14ac:dyDescent="0.35">
      <c r="A21" s="13">
        <v>45869</v>
      </c>
      <c r="B21">
        <v>2236</v>
      </c>
      <c r="C21">
        <v>49984994.5</v>
      </c>
      <c r="D21">
        <v>50867413.579999998</v>
      </c>
      <c r="E21">
        <v>-58239.02</v>
      </c>
      <c r="F21">
        <v>-0.151</v>
      </c>
      <c r="G21">
        <v>23.06</v>
      </c>
      <c r="H21">
        <v>99.11</v>
      </c>
      <c r="I21">
        <v>510638.89</v>
      </c>
      <c r="J21">
        <v>80.62</v>
      </c>
      <c r="K21">
        <v>0.16</v>
      </c>
      <c r="L21">
        <v>28.15</v>
      </c>
      <c r="M21">
        <v>3495059.57</v>
      </c>
      <c r="N21">
        <v>27.15</v>
      </c>
      <c r="O21">
        <v>26.12</v>
      </c>
    </row>
    <row r="22" spans="1:15" x14ac:dyDescent="0.35">
      <c r="A22" s="13">
        <v>45900</v>
      </c>
      <c r="B22">
        <v>2229</v>
      </c>
      <c r="C22">
        <v>49536466.109999999</v>
      </c>
      <c r="D22">
        <v>50416351</v>
      </c>
      <c r="E22">
        <v>-60913.54</v>
      </c>
      <c r="F22">
        <v>-0.16400000000000001</v>
      </c>
      <c r="G22">
        <v>25.22</v>
      </c>
      <c r="H22">
        <v>99.11</v>
      </c>
      <c r="I22">
        <v>521056.29</v>
      </c>
      <c r="J22">
        <v>80.67</v>
      </c>
      <c r="K22">
        <v>0.16</v>
      </c>
      <c r="L22">
        <v>28.31</v>
      </c>
      <c r="M22">
        <v>3596595.78</v>
      </c>
      <c r="N22">
        <v>27.24</v>
      </c>
      <c r="O22">
        <v>26.68</v>
      </c>
    </row>
    <row r="23" spans="1:15" x14ac:dyDescent="0.35">
      <c r="A23" s="13">
        <v>45930</v>
      </c>
      <c r="B23">
        <v>2232</v>
      </c>
      <c r="C23">
        <v>49401783.789999999</v>
      </c>
      <c r="D23">
        <v>50283839.609999999</v>
      </c>
      <c r="E23">
        <v>-60868.32</v>
      </c>
      <c r="F23">
        <v>-0.16500000000000001</v>
      </c>
      <c r="G23">
        <v>25.36</v>
      </c>
      <c r="H23">
        <v>99.11</v>
      </c>
      <c r="I23">
        <v>528596.99</v>
      </c>
      <c r="J23">
        <v>80.959999999999994</v>
      </c>
      <c r="K23">
        <v>0.18</v>
      </c>
      <c r="L23">
        <v>32.03</v>
      </c>
      <c r="M23">
        <v>3668425.58</v>
      </c>
      <c r="N23">
        <v>27.03</v>
      </c>
      <c r="O23">
        <v>26.74</v>
      </c>
    </row>
    <row r="24" spans="1:15" x14ac:dyDescent="0.35">
      <c r="A24" s="13">
        <v>45961</v>
      </c>
      <c r="B24">
        <v>2213</v>
      </c>
      <c r="C24">
        <v>48161201.960000001</v>
      </c>
      <c r="D24">
        <v>49024876.020000003</v>
      </c>
      <c r="E24">
        <v>-58926.34</v>
      </c>
      <c r="F24">
        <v>-0.16500000000000001</v>
      </c>
      <c r="G24">
        <v>26.17</v>
      </c>
      <c r="H24">
        <v>99.1</v>
      </c>
      <c r="I24">
        <v>515461.37</v>
      </c>
      <c r="J24">
        <v>80.260000000000005</v>
      </c>
      <c r="K24">
        <v>0.18</v>
      </c>
      <c r="L24">
        <v>31.19</v>
      </c>
      <c r="M24">
        <v>3665876.23</v>
      </c>
      <c r="N24">
        <v>27.27</v>
      </c>
      <c r="O24">
        <v>27.01</v>
      </c>
    </row>
    <row r="25" spans="1:15" x14ac:dyDescent="0.35">
      <c r="A25" s="13">
        <v>45991</v>
      </c>
      <c r="B25">
        <v>2227</v>
      </c>
      <c r="C25">
        <v>48145109.600000001</v>
      </c>
      <c r="D25">
        <v>49023911.549999997</v>
      </c>
      <c r="E25">
        <v>-49831.58</v>
      </c>
      <c r="F25">
        <v>-0.14099999999999999</v>
      </c>
      <c r="G25">
        <v>26.74</v>
      </c>
      <c r="H25">
        <v>99.1</v>
      </c>
      <c r="I25">
        <v>510188.21</v>
      </c>
      <c r="J25">
        <v>80.56</v>
      </c>
      <c r="K25">
        <v>0.22</v>
      </c>
      <c r="L25">
        <v>28.96</v>
      </c>
      <c r="M25">
        <v>3872427.65</v>
      </c>
      <c r="N25">
        <v>27.56</v>
      </c>
      <c r="O25">
        <v>26.8</v>
      </c>
    </row>
    <row r="26" spans="1:15" x14ac:dyDescent="0.35">
      <c r="A26" s="13">
        <v>46022</v>
      </c>
      <c r="B26">
        <v>2209</v>
      </c>
      <c r="C26">
        <v>48586386.859999999</v>
      </c>
      <c r="D26">
        <v>49474785.920000002</v>
      </c>
      <c r="E26">
        <v>-67087.759999999995</v>
      </c>
      <c r="F26">
        <v>-0.189</v>
      </c>
      <c r="G26">
        <v>27.09</v>
      </c>
      <c r="H26">
        <v>99.11</v>
      </c>
      <c r="I26">
        <v>498840.71</v>
      </c>
      <c r="J26">
        <v>80.62</v>
      </c>
      <c r="K26">
        <v>0.23</v>
      </c>
      <c r="L26">
        <v>29.5</v>
      </c>
      <c r="M26">
        <v>4047608.72</v>
      </c>
      <c r="N26">
        <v>27.17</v>
      </c>
      <c r="O26">
        <v>27.2</v>
      </c>
    </row>
  </sheetData>
  <phoneticPr fontId="6"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275A5-B5B0-40AD-AE91-90BBCA6F3B9A}">
  <dimension ref="A1:L9"/>
  <sheetViews>
    <sheetView workbookViewId="0"/>
  </sheetViews>
  <sheetFormatPr defaultRowHeight="14.5" x14ac:dyDescent="0.35"/>
  <cols>
    <col min="1" max="1" width="10.90625" bestFit="1" customWidth="1"/>
    <col min="2" max="2" width="12.26953125" bestFit="1" customWidth="1"/>
    <col min="3" max="3" width="13.90625" bestFit="1" customWidth="1"/>
    <col min="4" max="4" width="7.54296875" bestFit="1" customWidth="1"/>
    <col min="5" max="5" width="12.54296875" bestFit="1" customWidth="1"/>
    <col min="6" max="6" width="14.6328125" bestFit="1" customWidth="1"/>
    <col min="7" max="7" width="16.08984375" bestFit="1" customWidth="1"/>
    <col min="8" max="8" width="13.36328125" bestFit="1" customWidth="1"/>
    <col min="9" max="9" width="15.81640625" bestFit="1" customWidth="1"/>
    <col min="10" max="10" width="12.26953125" bestFit="1" customWidth="1"/>
    <col min="11" max="11" width="13.08984375" bestFit="1" customWidth="1"/>
    <col min="12" max="12" width="16.90625" bestFit="1" customWidth="1"/>
  </cols>
  <sheetData>
    <row r="1" spans="1:12" s="3" customFormat="1" x14ac:dyDescent="0.35">
      <c r="A1" s="3" t="s">
        <v>7497</v>
      </c>
      <c r="B1" s="3" t="s">
        <v>7504</v>
      </c>
      <c r="C1" s="3" t="s">
        <v>7505</v>
      </c>
      <c r="D1" s="3" t="s">
        <v>7452</v>
      </c>
      <c r="E1" s="3" t="s">
        <v>7454</v>
      </c>
      <c r="F1" s="3" t="s">
        <v>7487</v>
      </c>
      <c r="G1" s="3" t="s">
        <v>7506</v>
      </c>
      <c r="H1" s="3" t="s">
        <v>7507</v>
      </c>
      <c r="I1" s="3" t="s">
        <v>7508</v>
      </c>
      <c r="J1" s="3" t="s">
        <v>7493</v>
      </c>
      <c r="K1" s="3" t="s">
        <v>7509</v>
      </c>
      <c r="L1" s="3" t="s">
        <v>7510</v>
      </c>
    </row>
    <row r="2" spans="1:12" x14ac:dyDescent="0.35">
      <c r="A2" s="13"/>
      <c r="B2" s="12" t="s">
        <v>20</v>
      </c>
      <c r="C2" s="12" t="s">
        <v>122</v>
      </c>
      <c r="D2">
        <v>299</v>
      </c>
      <c r="E2">
        <v>11744601.050000001</v>
      </c>
      <c r="F2">
        <v>11970323.369999999</v>
      </c>
      <c r="G2">
        <v>24.31</v>
      </c>
      <c r="H2">
        <v>18.52</v>
      </c>
      <c r="I2">
        <v>99.3</v>
      </c>
      <c r="J2">
        <v>83.33</v>
      </c>
      <c r="K2">
        <v>0.27</v>
      </c>
      <c r="L2">
        <v>39.299999999999997</v>
      </c>
    </row>
    <row r="3" spans="1:12" x14ac:dyDescent="0.35">
      <c r="A3" s="13"/>
      <c r="B3" s="12" t="s">
        <v>20</v>
      </c>
      <c r="C3" s="12" t="s">
        <v>130</v>
      </c>
      <c r="D3">
        <v>275</v>
      </c>
      <c r="E3">
        <v>10570818.789999999</v>
      </c>
      <c r="F3">
        <v>10755372.16</v>
      </c>
      <c r="G3">
        <v>21.88</v>
      </c>
      <c r="H3">
        <v>28.15</v>
      </c>
      <c r="I3">
        <v>98.38</v>
      </c>
      <c r="J3">
        <v>83.07</v>
      </c>
      <c r="K3">
        <v>0.13</v>
      </c>
      <c r="L3">
        <v>19.72</v>
      </c>
    </row>
    <row r="4" spans="1:12" x14ac:dyDescent="0.35">
      <c r="A4" s="13"/>
      <c r="B4" s="12" t="s">
        <v>20</v>
      </c>
      <c r="C4" s="12" t="s">
        <v>269</v>
      </c>
      <c r="D4">
        <v>246</v>
      </c>
      <c r="E4">
        <v>6223787.8899999997</v>
      </c>
      <c r="F4">
        <v>6340613.71</v>
      </c>
      <c r="G4">
        <v>12.88</v>
      </c>
      <c r="H4">
        <v>40.299999999999997</v>
      </c>
      <c r="I4">
        <v>99.08</v>
      </c>
      <c r="J4">
        <v>74.319999999999993</v>
      </c>
      <c r="K4">
        <v>0.28000000000000003</v>
      </c>
      <c r="L4">
        <v>24.67</v>
      </c>
    </row>
    <row r="5" spans="1:12" x14ac:dyDescent="0.35">
      <c r="A5" s="13"/>
      <c r="B5" s="12" t="s">
        <v>20</v>
      </c>
      <c r="C5" s="12" t="s">
        <v>114</v>
      </c>
      <c r="D5">
        <v>285</v>
      </c>
      <c r="E5">
        <v>5473685.1600000001</v>
      </c>
      <c r="F5">
        <v>5570211.0700000003</v>
      </c>
      <c r="G5">
        <v>11.33</v>
      </c>
      <c r="H5">
        <v>40.07</v>
      </c>
      <c r="I5">
        <v>98.46</v>
      </c>
      <c r="J5">
        <v>75.28</v>
      </c>
      <c r="K5">
        <v>0.22</v>
      </c>
      <c r="L5">
        <v>41.05</v>
      </c>
    </row>
    <row r="6" spans="1:12" x14ac:dyDescent="0.35">
      <c r="A6" s="13"/>
      <c r="B6" s="12" t="s">
        <v>20</v>
      </c>
      <c r="C6" s="12" t="s">
        <v>78</v>
      </c>
      <c r="D6">
        <v>277</v>
      </c>
      <c r="E6">
        <v>4123861.87</v>
      </c>
      <c r="F6">
        <v>4196312.7699999996</v>
      </c>
      <c r="G6">
        <v>8.5299999999999994</v>
      </c>
      <c r="H6">
        <v>22.33</v>
      </c>
      <c r="I6">
        <v>98.51</v>
      </c>
      <c r="J6">
        <v>80.62</v>
      </c>
      <c r="K6">
        <v>0.2</v>
      </c>
      <c r="L6">
        <v>0</v>
      </c>
    </row>
    <row r="7" spans="1:12" x14ac:dyDescent="0.35">
      <c r="A7" s="13"/>
      <c r="B7" s="12" t="s">
        <v>20</v>
      </c>
      <c r="C7" s="12" t="s">
        <v>175</v>
      </c>
      <c r="D7">
        <v>277</v>
      </c>
      <c r="E7">
        <v>3826641.08</v>
      </c>
      <c r="F7">
        <v>3895263.08</v>
      </c>
      <c r="G7">
        <v>7.92</v>
      </c>
      <c r="H7">
        <v>30.27</v>
      </c>
      <c r="I7">
        <v>99.16</v>
      </c>
      <c r="J7">
        <v>82.03</v>
      </c>
      <c r="K7">
        <v>0.21</v>
      </c>
      <c r="L7">
        <v>11.71</v>
      </c>
    </row>
    <row r="8" spans="1:12" x14ac:dyDescent="0.35">
      <c r="A8" s="13"/>
      <c r="B8" s="12" t="s">
        <v>20</v>
      </c>
      <c r="C8" s="12" t="s">
        <v>103</v>
      </c>
      <c r="D8">
        <v>268</v>
      </c>
      <c r="E8">
        <v>3429103.14</v>
      </c>
      <c r="F8">
        <v>3492784.14</v>
      </c>
      <c r="G8">
        <v>7.1</v>
      </c>
      <c r="H8">
        <v>26.11</v>
      </c>
      <c r="I8">
        <v>99.16</v>
      </c>
      <c r="J8">
        <v>83</v>
      </c>
      <c r="K8">
        <v>0.27</v>
      </c>
      <c r="L8">
        <v>30.01</v>
      </c>
    </row>
    <row r="9" spans="1:12" x14ac:dyDescent="0.35">
      <c r="A9" s="13"/>
      <c r="B9" s="12" t="s">
        <v>20</v>
      </c>
      <c r="C9" s="12" t="s">
        <v>64</v>
      </c>
      <c r="D9">
        <v>270</v>
      </c>
      <c r="E9">
        <v>2925163.74</v>
      </c>
      <c r="F9">
        <v>2978062.37</v>
      </c>
      <c r="G9">
        <v>6.05</v>
      </c>
      <c r="H9">
        <v>9.8699999999999992</v>
      </c>
      <c r="I9">
        <v>99.11</v>
      </c>
      <c r="J9">
        <v>82.73</v>
      </c>
      <c r="K9">
        <v>0.21</v>
      </c>
      <c r="L9">
        <v>38.81</v>
      </c>
    </row>
  </sheetData>
  <phoneticPr fontId="6"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F3D9C-EAD3-4D2F-8CA7-3FDEE01CD23B}">
  <dimension ref="A1:E9"/>
  <sheetViews>
    <sheetView workbookViewId="0"/>
  </sheetViews>
  <sheetFormatPr defaultRowHeight="14.5" x14ac:dyDescent="0.35"/>
  <cols>
    <col min="1" max="1" width="13.90625" bestFit="1" customWidth="1"/>
    <col min="2" max="2" width="18" bestFit="1" customWidth="1"/>
    <col min="3" max="3" width="18.36328125" bestFit="1" customWidth="1"/>
    <col min="4" max="4" width="15.54296875" bestFit="1" customWidth="1"/>
    <col min="5" max="5" width="80.7265625" bestFit="1" customWidth="1"/>
  </cols>
  <sheetData>
    <row r="1" spans="1:5" s="3" customFormat="1" x14ac:dyDescent="0.35">
      <c r="A1" s="3" t="s">
        <v>20</v>
      </c>
      <c r="B1" s="3" t="s">
        <v>7511</v>
      </c>
      <c r="C1" s="3" t="s">
        <v>7461</v>
      </c>
      <c r="D1" s="3" t="s">
        <v>7512</v>
      </c>
      <c r="E1" s="3" t="s">
        <v>7513</v>
      </c>
    </row>
    <row r="2" spans="1:5" x14ac:dyDescent="0.35">
      <c r="A2" s="12" t="s">
        <v>64</v>
      </c>
      <c r="B2">
        <v>7</v>
      </c>
      <c r="C2">
        <v>2</v>
      </c>
      <c r="D2" s="12" t="s">
        <v>7514</v>
      </c>
      <c r="E2" s="12" t="s">
        <v>7515</v>
      </c>
    </row>
    <row r="3" spans="1:5" x14ac:dyDescent="0.35">
      <c r="A3" s="12" t="s">
        <v>130</v>
      </c>
      <c r="B3">
        <v>8</v>
      </c>
      <c r="C3">
        <v>2</v>
      </c>
      <c r="D3" s="12" t="s">
        <v>7514</v>
      </c>
      <c r="E3" s="12" t="s">
        <v>7516</v>
      </c>
    </row>
    <row r="4" spans="1:5" x14ac:dyDescent="0.35">
      <c r="A4" s="12" t="s">
        <v>114</v>
      </c>
      <c r="B4">
        <v>3</v>
      </c>
      <c r="C4">
        <v>1.5</v>
      </c>
      <c r="D4" s="12" t="s">
        <v>7517</v>
      </c>
      <c r="E4" s="12" t="s">
        <v>7518</v>
      </c>
    </row>
    <row r="5" spans="1:5" x14ac:dyDescent="0.35">
      <c r="A5" s="12" t="s">
        <v>78</v>
      </c>
      <c r="B5">
        <v>5</v>
      </c>
      <c r="C5">
        <v>2</v>
      </c>
      <c r="D5" s="12" t="s">
        <v>7514</v>
      </c>
      <c r="E5" s="12" t="s">
        <v>7519</v>
      </c>
    </row>
    <row r="6" spans="1:5" x14ac:dyDescent="0.35">
      <c r="A6" s="12" t="s">
        <v>122</v>
      </c>
      <c r="B6">
        <v>4</v>
      </c>
      <c r="C6">
        <v>1.5</v>
      </c>
      <c r="D6" s="12" t="s">
        <v>7517</v>
      </c>
      <c r="E6" s="12" t="s">
        <v>7520</v>
      </c>
    </row>
    <row r="7" spans="1:5" x14ac:dyDescent="0.35">
      <c r="A7" s="12" t="s">
        <v>269</v>
      </c>
      <c r="B7">
        <v>6.5</v>
      </c>
      <c r="C7">
        <v>2</v>
      </c>
      <c r="D7" s="12" t="s">
        <v>7514</v>
      </c>
      <c r="E7" s="12" t="s">
        <v>7521</v>
      </c>
    </row>
    <row r="8" spans="1:5" x14ac:dyDescent="0.35">
      <c r="A8" s="12" t="s">
        <v>103</v>
      </c>
      <c r="B8">
        <v>2</v>
      </c>
      <c r="C8">
        <v>1.5</v>
      </c>
      <c r="D8" s="12" t="s">
        <v>7517</v>
      </c>
      <c r="E8" s="12" t="s">
        <v>7522</v>
      </c>
    </row>
    <row r="9" spans="1:5" x14ac:dyDescent="0.35">
      <c r="A9" s="12" t="s">
        <v>175</v>
      </c>
      <c r="B9">
        <v>5.5</v>
      </c>
      <c r="C9">
        <v>2</v>
      </c>
      <c r="D9" s="12" t="s">
        <v>7514</v>
      </c>
      <c r="E9" s="12" t="s">
        <v>7523</v>
      </c>
    </row>
  </sheetData>
  <phoneticPr fontId="6"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76561-FAC6-448F-AF00-235C97FB6EAD}">
  <dimension ref="A1:F9"/>
  <sheetViews>
    <sheetView workbookViewId="0"/>
  </sheetViews>
  <sheetFormatPr defaultRowHeight="14.5" x14ac:dyDescent="0.35"/>
  <cols>
    <col min="1" max="1" width="19.1796875" bestFit="1" customWidth="1"/>
    <col min="2" max="2" width="12.90625" bestFit="1" customWidth="1"/>
    <col min="3" max="3" width="14.7265625" bestFit="1" customWidth="1"/>
    <col min="4" max="4" width="11.08984375" bestFit="1" customWidth="1"/>
    <col min="5" max="5" width="7.1796875" bestFit="1" customWidth="1"/>
    <col min="6" max="6" width="71.81640625" bestFit="1" customWidth="1"/>
  </cols>
  <sheetData>
    <row r="1" spans="1:6" s="3" customFormat="1" x14ac:dyDescent="0.35">
      <c r="A1" s="3" t="s">
        <v>7524</v>
      </c>
      <c r="B1" s="3" t="s">
        <v>7525</v>
      </c>
      <c r="C1" s="3" t="s">
        <v>7526</v>
      </c>
      <c r="D1" s="3" t="s">
        <v>7527</v>
      </c>
      <c r="E1" s="3" t="s">
        <v>7528</v>
      </c>
      <c r="F1" s="3" t="s">
        <v>7529</v>
      </c>
    </row>
    <row r="2" spans="1:6" x14ac:dyDescent="0.35">
      <c r="A2" s="12" t="s">
        <v>55</v>
      </c>
      <c r="B2">
        <v>98</v>
      </c>
      <c r="C2">
        <v>95</v>
      </c>
      <c r="D2" s="12" t="s">
        <v>7530</v>
      </c>
      <c r="E2" s="12" t="s">
        <v>7531</v>
      </c>
      <c r="F2" s="12" t="s">
        <v>7532</v>
      </c>
    </row>
    <row r="3" spans="1:6" x14ac:dyDescent="0.35">
      <c r="A3" s="12" t="s">
        <v>7463</v>
      </c>
      <c r="B3">
        <v>80</v>
      </c>
      <c r="C3">
        <v>60</v>
      </c>
      <c r="D3" s="12" t="s">
        <v>7530</v>
      </c>
      <c r="E3" s="12" t="s">
        <v>7531</v>
      </c>
      <c r="F3" s="12" t="s">
        <v>7533</v>
      </c>
    </row>
    <row r="4" spans="1:6" x14ac:dyDescent="0.35">
      <c r="A4" s="12" t="s">
        <v>7500</v>
      </c>
      <c r="B4">
        <v>1</v>
      </c>
      <c r="C4">
        <v>3</v>
      </c>
      <c r="D4" s="12" t="s">
        <v>7534</v>
      </c>
      <c r="E4" s="12" t="s">
        <v>7531</v>
      </c>
      <c r="F4" s="12" t="s">
        <v>7535</v>
      </c>
    </row>
    <row r="5" spans="1:6" x14ac:dyDescent="0.35">
      <c r="A5" s="12" t="s">
        <v>7498</v>
      </c>
      <c r="B5">
        <v>5</v>
      </c>
      <c r="C5">
        <v>12</v>
      </c>
      <c r="D5" s="12" t="s">
        <v>7534</v>
      </c>
      <c r="E5" s="12" t="s">
        <v>7531</v>
      </c>
      <c r="F5" s="12" t="s">
        <v>7536</v>
      </c>
    </row>
    <row r="6" spans="1:6" x14ac:dyDescent="0.35">
      <c r="A6" s="12" t="s">
        <v>7499</v>
      </c>
      <c r="B6">
        <v>95</v>
      </c>
      <c r="C6">
        <v>90</v>
      </c>
      <c r="D6" s="12" t="s">
        <v>7530</v>
      </c>
      <c r="E6" s="12" t="s">
        <v>7531</v>
      </c>
      <c r="F6" s="12" t="s">
        <v>7537</v>
      </c>
    </row>
    <row r="7" spans="1:6" x14ac:dyDescent="0.35">
      <c r="A7" s="12" t="s">
        <v>7492</v>
      </c>
      <c r="B7">
        <v>0</v>
      </c>
      <c r="C7">
        <v>2</v>
      </c>
      <c r="D7" s="12" t="s">
        <v>7534</v>
      </c>
      <c r="E7" s="12" t="s">
        <v>7531</v>
      </c>
      <c r="F7" s="12" t="s">
        <v>7538</v>
      </c>
    </row>
    <row r="8" spans="1:6" x14ac:dyDescent="0.35">
      <c r="A8" s="12" t="s">
        <v>7502</v>
      </c>
      <c r="B8">
        <v>20</v>
      </c>
      <c r="C8">
        <v>35</v>
      </c>
      <c r="D8" s="12" t="s">
        <v>7534</v>
      </c>
      <c r="E8" s="12" t="s">
        <v>7531</v>
      </c>
      <c r="F8" s="12" t="s">
        <v>7539</v>
      </c>
    </row>
    <row r="9" spans="1:6" x14ac:dyDescent="0.35">
      <c r="A9" s="12" t="s">
        <v>7503</v>
      </c>
      <c r="B9">
        <v>50</v>
      </c>
      <c r="C9">
        <v>70</v>
      </c>
      <c r="D9" s="12" t="s">
        <v>7534</v>
      </c>
      <c r="E9" s="12" t="s">
        <v>7531</v>
      </c>
      <c r="F9" s="12" t="s">
        <v>7540</v>
      </c>
    </row>
  </sheetData>
  <phoneticPr fontId="6"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1CBAB-C505-4440-82CA-0D8AE26E52D0}">
  <dimension ref="A1:C9"/>
  <sheetViews>
    <sheetView workbookViewId="0"/>
  </sheetViews>
  <sheetFormatPr defaultRowHeight="14.5" x14ac:dyDescent="0.35"/>
  <cols>
    <col min="1" max="1" width="19.08984375" bestFit="1" customWidth="1"/>
    <col min="2" max="2" width="48.36328125" bestFit="1" customWidth="1"/>
    <col min="3" max="3" width="12.08984375" bestFit="1" customWidth="1"/>
  </cols>
  <sheetData>
    <row r="1" spans="1:3" s="3" customFormat="1" x14ac:dyDescent="0.35">
      <c r="A1" s="3" t="s">
        <v>7541</v>
      </c>
      <c r="B1" s="3" t="s">
        <v>7529</v>
      </c>
      <c r="C1" s="3" t="s">
        <v>7542</v>
      </c>
    </row>
    <row r="2" spans="1:3" x14ac:dyDescent="0.35">
      <c r="A2" s="12" t="s">
        <v>7543</v>
      </c>
      <c r="B2" s="12" t="s">
        <v>7544</v>
      </c>
      <c r="C2" s="12" t="s">
        <v>7545</v>
      </c>
    </row>
    <row r="3" spans="1:3" x14ac:dyDescent="0.35">
      <c r="A3" s="12" t="s">
        <v>7546</v>
      </c>
      <c r="B3" s="12" t="s">
        <v>7547</v>
      </c>
      <c r="C3" s="12" t="s">
        <v>7548</v>
      </c>
    </row>
    <row r="4" spans="1:3" x14ac:dyDescent="0.35">
      <c r="A4" s="12" t="s">
        <v>7549</v>
      </c>
      <c r="B4" s="12" t="s">
        <v>7550</v>
      </c>
      <c r="C4" s="12" t="s">
        <v>7548</v>
      </c>
    </row>
    <row r="5" spans="1:3" x14ac:dyDescent="0.35">
      <c r="A5" s="12" t="s">
        <v>7551</v>
      </c>
      <c r="B5" s="12" t="s">
        <v>7552</v>
      </c>
      <c r="C5" s="12" t="s">
        <v>7553</v>
      </c>
    </row>
    <row r="6" spans="1:3" x14ac:dyDescent="0.35">
      <c r="A6" s="12" t="s">
        <v>7554</v>
      </c>
      <c r="B6" s="12" t="s">
        <v>7555</v>
      </c>
      <c r="C6" s="12" t="s">
        <v>7553</v>
      </c>
    </row>
    <row r="7" spans="1:3" x14ac:dyDescent="0.35">
      <c r="A7" s="12" t="s">
        <v>7556</v>
      </c>
      <c r="B7" s="12" t="s">
        <v>7557</v>
      </c>
      <c r="C7" s="12" t="s">
        <v>7553</v>
      </c>
    </row>
    <row r="8" spans="1:3" x14ac:dyDescent="0.35">
      <c r="A8" s="12" t="s">
        <v>7558</v>
      </c>
      <c r="B8" s="12" t="s">
        <v>7559</v>
      </c>
      <c r="C8" s="12" t="s">
        <v>7553</v>
      </c>
    </row>
    <row r="9" spans="1:3" x14ac:dyDescent="0.35">
      <c r="A9" s="12" t="s">
        <v>7560</v>
      </c>
      <c r="B9" s="12" t="s">
        <v>7561</v>
      </c>
      <c r="C9" s="12" t="s">
        <v>7553</v>
      </c>
    </row>
  </sheetData>
  <phoneticPr fontId="6"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C7236-DF99-4E04-8AA4-A8EF5928FCA9}">
  <dimension ref="A1:I11"/>
  <sheetViews>
    <sheetView workbookViewId="0"/>
  </sheetViews>
  <sheetFormatPr defaultRowHeight="14.5" x14ac:dyDescent="0.35"/>
  <cols>
    <col min="1" max="1" width="23.6328125" bestFit="1" customWidth="1"/>
    <col min="2" max="2" width="11.81640625" bestFit="1" customWidth="1"/>
    <col min="3" max="3" width="9.81640625" bestFit="1" customWidth="1"/>
    <col min="4" max="4" width="13.6328125" bestFit="1" customWidth="1"/>
    <col min="5" max="5" width="11.90625" bestFit="1" customWidth="1"/>
    <col min="6" max="6" width="15" bestFit="1" customWidth="1"/>
    <col min="7" max="7" width="19.7265625" bestFit="1" customWidth="1"/>
    <col min="8" max="8" width="17" bestFit="1" customWidth="1"/>
    <col min="9" max="9" width="22.90625" bestFit="1" customWidth="1"/>
  </cols>
  <sheetData>
    <row r="1" spans="1:9" s="3" customFormat="1" x14ac:dyDescent="0.35">
      <c r="A1" s="3" t="s">
        <v>7562</v>
      </c>
      <c r="B1" s="3" t="s">
        <v>7563</v>
      </c>
      <c r="C1" s="3" t="s">
        <v>7564</v>
      </c>
      <c r="D1" s="3" t="s">
        <v>7565</v>
      </c>
      <c r="E1" s="3" t="s">
        <v>7566</v>
      </c>
      <c r="F1" s="3" t="s">
        <v>7567</v>
      </c>
      <c r="G1" s="3" t="s">
        <v>7568</v>
      </c>
      <c r="H1" s="3" t="s">
        <v>7569</v>
      </c>
      <c r="I1" s="3" t="s">
        <v>7570</v>
      </c>
    </row>
    <row r="2" spans="1:9" x14ac:dyDescent="0.35">
      <c r="A2" s="12" t="s">
        <v>7571</v>
      </c>
      <c r="B2" s="12" t="s">
        <v>7572</v>
      </c>
      <c r="C2" s="12" t="s">
        <v>7573</v>
      </c>
      <c r="D2" s="12" t="s">
        <v>7574</v>
      </c>
      <c r="E2">
        <v>61</v>
      </c>
      <c r="F2">
        <v>1495917.13</v>
      </c>
      <c r="G2">
        <v>6327</v>
      </c>
      <c r="H2">
        <v>0.96399999999999997</v>
      </c>
      <c r="I2">
        <v>0</v>
      </c>
    </row>
    <row r="3" spans="1:9" x14ac:dyDescent="0.35">
      <c r="A3" s="12" t="s">
        <v>7575</v>
      </c>
      <c r="B3" s="12" t="s">
        <v>7572</v>
      </c>
      <c r="C3" s="12" t="s">
        <v>7573</v>
      </c>
      <c r="D3" s="12" t="s">
        <v>7576</v>
      </c>
      <c r="E3">
        <v>26</v>
      </c>
      <c r="F3">
        <v>722989.52</v>
      </c>
      <c r="G3">
        <v>6327</v>
      </c>
      <c r="H3">
        <v>0.41099999999999998</v>
      </c>
      <c r="I3">
        <v>1</v>
      </c>
    </row>
    <row r="4" spans="1:9" x14ac:dyDescent="0.35">
      <c r="A4" s="12" t="s">
        <v>7577</v>
      </c>
      <c r="B4" s="12" t="s">
        <v>7572</v>
      </c>
      <c r="C4" s="12" t="s">
        <v>7573</v>
      </c>
      <c r="D4" s="12" t="s">
        <v>7578</v>
      </c>
      <c r="E4">
        <v>0</v>
      </c>
      <c r="F4">
        <v>0</v>
      </c>
      <c r="G4">
        <v>6327</v>
      </c>
      <c r="H4">
        <v>0</v>
      </c>
      <c r="I4">
        <v>0</v>
      </c>
    </row>
    <row r="5" spans="1:9" x14ac:dyDescent="0.35">
      <c r="A5" s="12" t="s">
        <v>7579</v>
      </c>
      <c r="B5" s="12" t="s">
        <v>7572</v>
      </c>
      <c r="C5" s="12" t="s">
        <v>7573</v>
      </c>
      <c r="D5" s="12" t="s">
        <v>7576</v>
      </c>
      <c r="E5">
        <v>3</v>
      </c>
      <c r="F5">
        <v>705309.75</v>
      </c>
      <c r="G5">
        <v>6327</v>
      </c>
      <c r="H5">
        <v>4.7E-2</v>
      </c>
      <c r="I5">
        <v>0</v>
      </c>
    </row>
    <row r="6" spans="1:9" x14ac:dyDescent="0.35">
      <c r="A6" s="12" t="s">
        <v>7580</v>
      </c>
      <c r="B6" s="12" t="s">
        <v>7581</v>
      </c>
      <c r="C6" s="12" t="s">
        <v>7573</v>
      </c>
      <c r="D6" s="12" t="s">
        <v>7582</v>
      </c>
      <c r="E6">
        <v>4</v>
      </c>
      <c r="F6">
        <v>74253.320000000007</v>
      </c>
      <c r="G6">
        <v>6127</v>
      </c>
      <c r="H6">
        <v>6.5000000000000002E-2</v>
      </c>
      <c r="I6">
        <v>0</v>
      </c>
    </row>
    <row r="7" spans="1:9" x14ac:dyDescent="0.35">
      <c r="A7" s="12" t="s">
        <v>7583</v>
      </c>
      <c r="B7" s="12" t="s">
        <v>7581</v>
      </c>
      <c r="C7" s="12" t="s">
        <v>7573</v>
      </c>
      <c r="D7" s="12" t="s">
        <v>7584</v>
      </c>
      <c r="E7">
        <v>0</v>
      </c>
      <c r="F7">
        <v>0</v>
      </c>
      <c r="G7">
        <v>6127</v>
      </c>
      <c r="H7">
        <v>0</v>
      </c>
      <c r="I7">
        <v>0</v>
      </c>
    </row>
    <row r="8" spans="1:9" x14ac:dyDescent="0.35">
      <c r="A8" s="12" t="s">
        <v>7585</v>
      </c>
      <c r="B8" s="12" t="s">
        <v>7586</v>
      </c>
      <c r="C8" s="12" t="s">
        <v>7587</v>
      </c>
      <c r="D8" s="12" t="s">
        <v>7574</v>
      </c>
      <c r="E8">
        <v>0</v>
      </c>
      <c r="F8">
        <v>0</v>
      </c>
      <c r="G8">
        <v>655</v>
      </c>
      <c r="H8">
        <v>0</v>
      </c>
      <c r="I8">
        <v>0</v>
      </c>
    </row>
    <row r="9" spans="1:9" x14ac:dyDescent="0.35">
      <c r="A9" s="12" t="s">
        <v>7588</v>
      </c>
      <c r="B9" s="12" t="s">
        <v>7572</v>
      </c>
      <c r="C9" s="12" t="s">
        <v>7587</v>
      </c>
      <c r="D9" s="12" t="s">
        <v>7578</v>
      </c>
      <c r="E9">
        <v>0</v>
      </c>
      <c r="F9">
        <v>0</v>
      </c>
      <c r="G9">
        <v>6327</v>
      </c>
      <c r="H9">
        <v>0</v>
      </c>
      <c r="I9">
        <v>0</v>
      </c>
    </row>
    <row r="10" spans="1:9" x14ac:dyDescent="0.35">
      <c r="A10" s="12" t="s">
        <v>7589</v>
      </c>
      <c r="B10" s="12" t="s">
        <v>7572</v>
      </c>
      <c r="C10" s="12" t="s">
        <v>7587</v>
      </c>
      <c r="D10" s="12" t="s">
        <v>7584</v>
      </c>
      <c r="E10">
        <v>0</v>
      </c>
      <c r="F10">
        <v>0</v>
      </c>
      <c r="G10">
        <v>6327</v>
      </c>
      <c r="H10">
        <v>0</v>
      </c>
      <c r="I10">
        <v>0</v>
      </c>
    </row>
    <row r="11" spans="1:9" x14ac:dyDescent="0.35">
      <c r="A11" s="12" t="s">
        <v>7590</v>
      </c>
      <c r="B11" s="12" t="s">
        <v>7572</v>
      </c>
      <c r="C11" s="12" t="s">
        <v>7587</v>
      </c>
      <c r="D11" s="12" t="s">
        <v>7582</v>
      </c>
      <c r="E11">
        <v>0</v>
      </c>
      <c r="F11">
        <v>0</v>
      </c>
      <c r="G11">
        <v>6327</v>
      </c>
      <c r="H11">
        <v>0</v>
      </c>
      <c r="I11">
        <v>0</v>
      </c>
    </row>
  </sheetData>
  <phoneticPr fontId="6"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443D65-4831-4DCF-9D0A-436FCCCF29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9</vt:i4>
      </vt:variant>
    </vt:vector>
  </HeadingPairs>
  <TitlesOfParts>
    <vt:vector size="26" baseType="lpstr">
      <vt:lpstr>README</vt:lpstr>
      <vt:lpstr>Dashboard</vt:lpstr>
      <vt:lpstr>Renegotiation Queue</vt:lpstr>
      <vt:lpstr>Vendor Scorecard</vt:lpstr>
      <vt:lpstr>Validation</vt:lpstr>
      <vt:lpstr>Calc</vt:lpstr>
      <vt:lpstr>Control</vt:lpstr>
      <vt:lpstr>Data_PO</vt:lpstr>
      <vt:lpstr>Data_Erosion</vt:lpstr>
      <vt:lpstr>Data_Queue</vt:lpstr>
      <vt:lpstr>Data_Vendor</vt:lpstr>
      <vt:lpstr>Data_KPI</vt:lpstr>
      <vt:lpstr>Data_Category</vt:lpstr>
      <vt:lpstr>Data_Benchmark</vt:lpstr>
      <vt:lpstr>Data_Targets</vt:lpstr>
      <vt:lpstr>Data_Reject</vt:lpstr>
      <vt:lpstr>Data_DQ</vt:lpstr>
      <vt:lpstr>AsOfDate</vt:lpstr>
      <vt:lpstr>MaterialThreshold</vt:lpstr>
      <vt:lpstr>NegotiationsPerBuyer</vt:lpstr>
      <vt:lpstr>QueueRowsShown</vt:lpstr>
      <vt:lpstr>SourceFolder</vt:lpstr>
      <vt:lpstr>WinFrom</vt:lpstr>
      <vt:lpstr>WinTo</vt:lpstr>
      <vt:lpstr>xlTop5</vt:lpstr>
      <vt:lpstr>xlWindowAll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2026-09-30T08:26:52Z</dcterms:created>
  <dcterms:modified xsi:type="dcterms:W3CDTF">2026-09-30T08:27:28Z</dcterms:modified>
</cp:coreProperties>
</file>